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DieseArbeitsmappe"/>
  <mc:AlternateContent xmlns:mc="http://schemas.openxmlformats.org/markup-compatibility/2006">
    <mc:Choice Requires="x15">
      <x15ac:absPath xmlns:x15ac="http://schemas.microsoft.com/office/spreadsheetml/2010/11/ac" url="\\NET1.cec.eu.int\offline\04\doudnma\My Documents\00_Work DG CLIMA\01_ETS2\Guidelines\AER\"/>
    </mc:Choice>
  </mc:AlternateContent>
  <xr:revisionPtr revIDLastSave="0" documentId="8_{7AA75742-AE2B-4571-9901-665889D9356D}" xr6:coauthVersionLast="47" xr6:coauthVersionMax="47" xr10:uidLastSave="{00000000-0000-0000-0000-000000000000}"/>
  <workbookProtection lockStructure="1"/>
  <bookViews>
    <workbookView xWindow="-110" yWindow="-110" windowWidth="19420" windowHeight="10300" tabRatio="753" xr2:uid="{00000000-000D-0000-FFFF-FFFF00000000}"/>
  </bookViews>
  <sheets>
    <sheet name="a_Contents" sheetId="9" r:id="rId1"/>
    <sheet name="b_Guidelines and conditions" sheetId="10" r:id="rId2"/>
    <sheet name="A_EntityID" sheetId="37" r:id="rId3"/>
    <sheet name="B_IdentifyFuelStreams" sheetId="38" r:id="rId4"/>
    <sheet name="C_FuelStreams" sheetId="50" r:id="rId5"/>
    <sheet name="D_ETS1Amounts" sheetId="43" r:id="rId6"/>
    <sheet name="E_DataGaps" sheetId="63" r:id="rId7"/>
    <sheet name="F_Timing" sheetId="65" r:id="rId8"/>
    <sheet name="F.a.Tool_Blending" sheetId="66" r:id="rId9"/>
    <sheet name="G_AdditionalInformation" sheetId="26" r:id="rId10"/>
    <sheet name="H_Summary" sheetId="62" r:id="rId11"/>
    <sheet name="I_Accounting" sheetId="60" r:id="rId12"/>
    <sheet name="EUwideConstants" sheetId="52" state="hidden" r:id="rId13"/>
    <sheet name="MSParameters" sheetId="57" state="hidden" r:id="rId14"/>
    <sheet name="Translations" sheetId="56" state="hidden" r:id="rId15"/>
    <sheet name="VersionDocumentation" sheetId="54" state="hidden" r:id="rId16"/>
  </sheets>
  <definedNames>
    <definedName name="_xlnm._FilterDatabase" localSheetId="4" hidden="1">C_FuelStreams!$A$8:$X$8</definedName>
    <definedName name="_xlnm._FilterDatabase" localSheetId="6" hidden="1">E_DataGaps!$A$6:$U$6</definedName>
    <definedName name="_xlnm._FilterDatabase" localSheetId="14" hidden="1">Translations!$A$1:$K$609</definedName>
    <definedName name="ActivityDataTiers">EUwideConstants!$A$111:$A$116</definedName>
    <definedName name="BiomassTiers">EUwideConstants!$A$99:$A$104</definedName>
    <definedName name="CNTR_CalcRelevant">C_FuelStreams!$L$8</definedName>
    <definedName name="CNTR_EmissionPointsListEPx">B_IdentifyFuelStreams!$X$37:$X$46</definedName>
    <definedName name="CNTR_ListIntermediaries">INDIRECT(B_IdentifyFuelStreams!$X$36)</definedName>
    <definedName name="CNTR_ListMeans">INDIRECT(B_IdentifyFuelStreams!$X$17)</definedName>
    <definedName name="CNTR_ReportingYear">A_EntityID!$J$9</definedName>
    <definedName name="CNTR_SourceStreamListSx">B_IdentifyFuelStreams!$X$18:$X$27</definedName>
    <definedName name="CNTR_SourceStreamNames">B_IdentifyFuelStreams!$AB$67:$AB$116</definedName>
    <definedName name="CNTR_TierList">EUwideConstants!$D$201:$D$208</definedName>
    <definedName name="CNTR_TierListColumn">EUwideConstants!$C$201:$C$208</definedName>
    <definedName name="EFTiers">EUwideConstants!$A$127:$A$132</definedName>
    <definedName name="EFUnits">EUwideConstants!$A$150:$A$154</definedName>
    <definedName name="EUconst_ActivityDeterminationMethod">EUwideConstants!$B$34:$D$34</definedName>
    <definedName name="EUconst_CNTR_ActivityData">EUwideConstants!$B$5</definedName>
    <definedName name="EUconst_CNTR_BiomassContent">EUwideConstants!$B$8</definedName>
    <definedName name="EUconst_CNTR_EF">EUwideConstants!$B$7</definedName>
    <definedName name="EUconst_CNTR_NoSmallEmitter">EUwideConstants!$B$30</definedName>
    <definedName name="EUconst_CNTR_RFNBOetcContent">EUwideConstants!$B$9</definedName>
    <definedName name="EUconst_CNTR_ScopeFactor">EUwideConstants!$B$60</definedName>
    <definedName name="EUconst_CNTR_SmallEmitter">EUwideConstants!$B$29</definedName>
    <definedName name="EUconst_CNTR_SourceCategory">EUwideConstants!$B$26</definedName>
    <definedName name="EUconst_CNTR_SourceStreamClass">EUwideConstants!$B$28</definedName>
    <definedName name="EUconst_CNTR_SourceStreamName">EUwideConstants!$B$27</definedName>
    <definedName name="EUconst_CNTR_UCF">EUwideConstants!$B$6</definedName>
    <definedName name="EUconst_DefaultValues">EUwideConstants!$B$19:$C$19</definedName>
    <definedName name="EUconst_DefaultValuesBio">EUwideConstants!$B$20:$C$20</definedName>
    <definedName name="EUconst_ERR_CheckEstimatedEmissions">EUwideConstants!$B$54</definedName>
    <definedName name="EUconst_ERR_Incomplete">EUwideConstants!$B$42</definedName>
    <definedName name="EUconst_ERR_Inconsistent">EUwideConstants!$B$43</definedName>
    <definedName name="EUconst_ERR_ThreshholdDeminimis">EUwideConstants!$B$53</definedName>
    <definedName name="EUconst_Fuel">EUwideConstants!$B$4</definedName>
    <definedName name="EUconst_FuelStream">EUwideConstants!$B$32</definedName>
    <definedName name="EUconst_FurtherGuidancePoint1">EUwideConstants!$B$35</definedName>
    <definedName name="EUconst_GJ">EUwideConstants!$B$15</definedName>
    <definedName name="EUconst_GWhgross">EUwideConstants!$B$17</definedName>
    <definedName name="EUconst_IRMonth">EUwideConstants!$B$59:$F$59</definedName>
    <definedName name="EUconst_klitres">EUwideConstants!$B$14</definedName>
    <definedName name="EUconst_kNm3">EUwideConstants!$B$13</definedName>
    <definedName name="EUconst_ListCRF">EUwideConstants!$B$212:$B$220</definedName>
    <definedName name="Euconst_MPReferenceDateTypes">EUwideConstants!$B$58:$G$58</definedName>
    <definedName name="EUconst_MsgDeMinimis">EUwideConstants!$B$52</definedName>
    <definedName name="EUconst_MsgEnterThisSection">EUwideConstants!$B$46</definedName>
    <definedName name="EUconst_MsgGoOn">EUwideConstants!$B$47</definedName>
    <definedName name="EUconst_MsgNextSheet">EUwideConstants!$B$45</definedName>
    <definedName name="EUconst_MsgSmallEmitters">EUwideConstants!$B$48</definedName>
    <definedName name="EUconst_MsgTierActivityLevel">EUwideConstants!$B$44</definedName>
    <definedName name="EUconst_MSlist">EUwideConstants!$B$56:$AE$56</definedName>
    <definedName name="EUconst_MSlistISOcodes">EUwideConstants!$B$57:$AE$57</definedName>
    <definedName name="EUconst_NA">EUwideConstants!$B$36</definedName>
    <definedName name="EUconst_NextSheet">EUwideConstants!$B$50</definedName>
    <definedName name="EUconst_NotApplicable">EUwideConstants!$B$39</definedName>
    <definedName name="EUconst_NoTier">EUwideConstants!$B$51</definedName>
    <definedName name="EUconst_NotRelevant">EUwideConstants!$B$38</definedName>
    <definedName name="EUconst_OwnerInstrument">EUwideConstants!$B$33:$C$33</definedName>
    <definedName name="EUconst_PreviousSheet">EUwideConstants!$B$49</definedName>
    <definedName name="EUconst_Relevant">EUwideConstants!$B$37</definedName>
    <definedName name="EUconst_ReportingYear">EUwideConstants!$B$3:$R$3</definedName>
    <definedName name="EUconst_SumBioCO2">EUwideConstants!$B$22</definedName>
    <definedName name="EUconst_SumBioEnergyIN">EUwideConstants!$B$25</definedName>
    <definedName name="EUconst_SumCO2">EUwideConstants!$B$21</definedName>
    <definedName name="EUconst_SumEnergyIN">EUwideConstants!$B$24</definedName>
    <definedName name="EUconst_SumNonSustBioCO2">EUwideConstants!$B$23</definedName>
    <definedName name="EUconst_t">EUwideConstants!$B$12</definedName>
    <definedName name="EUconst_tCO2">EUwideConstants!$B$18</definedName>
    <definedName name="EUConst_TierActivityListNames">EUwideConstants!$Q$164:$Q$167</definedName>
    <definedName name="EUconst_TJ">EUwideConstants!$B$16</definedName>
    <definedName name="EUconst_ToolActualAmounts">EUwideConstants!$B$41</definedName>
    <definedName name="EUconst_ToolBestEstimate">EUwideConstants!$B$40</definedName>
    <definedName name="EUconst_TrueFalse">EUwideConstants!$B$2:$C$2</definedName>
    <definedName name="EUconst_Unit">EUwideConstants!$B$11</definedName>
    <definedName name="EUconst_Value">EUwideConstants!$B$10</definedName>
    <definedName name="Euconst_VersionTracking">EUwideConstants!$B$55:$C$55</definedName>
    <definedName name="JUMP_a_Content">a_Contents!$B$6</definedName>
    <definedName name="JUMP_Accounting">I_Accounting!$D$5</definedName>
    <definedName name="JUMP_B_2">A_EntityID!$C$16</definedName>
    <definedName name="JUMP_B_3">A_EntityID!$C$24</definedName>
    <definedName name="JUMP_B_4">A_EntityID!$C$45</definedName>
    <definedName name="JUMP_b_Guidelines_Top">'b_Guidelines and conditions'!$B$6</definedName>
    <definedName name="JUMP_B_Top">A_EntityID!$C$6</definedName>
    <definedName name="JUMP_C_Top">B_IdentifyFuelStreams!$C$6</definedName>
    <definedName name="JUMP_DG" localSheetId="6">E_DataGaps!$C$6</definedName>
    <definedName name="JUMP_E_Top">C_FuelStreams!$C$8</definedName>
    <definedName name="JUMP_I_Summary">H_Summary!$C$6</definedName>
    <definedName name="JUMP_K_Top" localSheetId="8">'F.a.Tool_Blending'!$C$6</definedName>
    <definedName name="JUMP_K_Top" localSheetId="7">F_Timing!$C$6</definedName>
    <definedName name="JUMP_K_Top">D_ETS1Amounts!$C$6</definedName>
    <definedName name="JUMP_L_Top">G_AdditionalInformation!$A$5</definedName>
    <definedName name="JUMP_Summary">H_Summary!$B$6</definedName>
    <definedName name="MeansIntermediaries">EUwideConstants!$A$71:$A$73</definedName>
    <definedName name="MeansReleased">EUwideConstants!$A$65:$A$68</definedName>
    <definedName name="MSPara_CalcFactors">MSParameters!$G$18:$T$18</definedName>
    <definedName name="MSPara_CalcFactorsMatrix">MSParameters!$G$19:$T$64</definedName>
    <definedName name="MSPara_CategoryAddress">MSParameters!$C$70:$C$73</definedName>
    <definedName name="MSPara_CategoryMatrix">MSParameters!$E$70:$AH$73</definedName>
    <definedName name="MSPara_IsFossil">MSParameters!$N$19:$N$64</definedName>
    <definedName name="MSPara_ListBlendingComponents">MSParameters!$AR$19:$AR$64</definedName>
    <definedName name="MSPara_NameOptional">MSParameters!$M$19:$M$64</definedName>
    <definedName name="MSPara_SourceStreamCategory">MSParameters!$A$19:$A$64</definedName>
    <definedName name="MSPara_ToolBlendingMandatory">MSParameters!$W$15</definedName>
    <definedName name="NCVTiers">EUwideConstants!$A$119:$A$124</definedName>
    <definedName name="PctUnits">EUwideConstants!$A$157:$A$158</definedName>
    <definedName name="_xlnm.Print_Area" localSheetId="0">a_Contents!$B$6:$J$69</definedName>
    <definedName name="_xlnm.Print_Area" localSheetId="2">A_EntityID!$A$5:$N$66</definedName>
    <definedName name="_xlnm.Print_Area" localSheetId="1">'b_Guidelines and conditions'!$B$5:$N$106</definedName>
    <definedName name="_xlnm.Print_Area" localSheetId="3">B_IdentifyFuelStreams!$B$5:$N$174</definedName>
    <definedName name="_xlnm.Print_Area" localSheetId="4">C_FuelStreams!$B$7:$N$86</definedName>
    <definedName name="_xlnm.Print_Area" localSheetId="5">D_ETS1Amounts!$B$5:$N$790</definedName>
    <definedName name="_xlnm.Print_Area" localSheetId="6">E_DataGaps!$B$5:$O$43</definedName>
    <definedName name="_xlnm.Print_Area" localSheetId="8">'F.a.Tool_Blending'!$B$5:$S$280</definedName>
    <definedName name="_xlnm.Print_Area" localSheetId="7">F_Timing!$B$5:$N$102</definedName>
    <definedName name="_xlnm.Print_Area" localSheetId="9">G_AdditionalInformation!$A$4:$M$69</definedName>
    <definedName name="_xlnm.Print_Area" localSheetId="10">H_Summary!$B$5:$M$541</definedName>
    <definedName name="_xlnm.Print_Area" localSheetId="15">VersionDocumentation!$A$1:$E$91</definedName>
    <definedName name="RFAUnits">EUwideConstants!$A$135:$A$139</definedName>
    <definedName name="RFNBOTiers">EUwideConstants!$A$107:$A$108</definedName>
    <definedName name="ScopeAddress">EUwideConstants!$B$77:$B$79</definedName>
    <definedName name="ScopeMethods">EUwideConstants!$C$77:$F$79</definedName>
    <definedName name="ScopeMethodsDetails">EUwideConstants!$A$82:$B$90</definedName>
    <definedName name="ScopeTiers">EUwideConstants!$A$77:$A$79</definedName>
    <definedName name="UCFUnits">EUwideConstants!$A$143:$A$147</definedName>
    <definedName name="ZeroRatingTiers">EUwideConstants!$A$93:$A$96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9" i="57" l="1"/>
  <c r="R44" i="57"/>
  <c r="P44" i="57"/>
  <c r="T28" i="57"/>
  <c r="T27" i="57"/>
  <c r="T26" i="57"/>
  <c r="T25" i="57"/>
  <c r="T24" i="57"/>
  <c r="T23" i="57"/>
  <c r="T22" i="57"/>
  <c r="T21" i="57"/>
  <c r="T20" i="57"/>
  <c r="L29" i="57"/>
  <c r="L28" i="57"/>
  <c r="L27" i="57"/>
  <c r="L26" i="57"/>
  <c r="L24" i="57"/>
  <c r="L23" i="57"/>
  <c r="L22" i="57"/>
  <c r="L21" i="57"/>
  <c r="T19" i="57"/>
  <c r="R28" i="57"/>
  <c r="R27" i="57"/>
  <c r="R26" i="57"/>
  <c r="R25" i="57"/>
  <c r="R24" i="57"/>
  <c r="R23" i="57"/>
  <c r="R22" i="57"/>
  <c r="R21" i="57"/>
  <c r="R20" i="57"/>
  <c r="R19" i="57"/>
  <c r="P29" i="57"/>
  <c r="P28" i="57"/>
  <c r="P27" i="57"/>
  <c r="P26" i="57"/>
  <c r="P25" i="57"/>
  <c r="P24" i="57"/>
  <c r="P23" i="57"/>
  <c r="P22" i="57"/>
  <c r="P21" i="57"/>
  <c r="P20" i="57"/>
  <c r="P19" i="57"/>
  <c r="T46" i="9"/>
  <c r="T44" i="9"/>
  <c r="T42" i="9"/>
  <c r="J29" i="62"/>
  <c r="K29" i="62"/>
  <c r="AB11" i="60"/>
  <c r="Z11" i="60"/>
  <c r="Z12" i="60"/>
  <c r="AA12" i="60"/>
  <c r="AB12" i="60"/>
  <c r="AC12" i="60"/>
  <c r="L34" i="62" l="1"/>
  <c r="L32" i="62"/>
  <c r="L30" i="62"/>
  <c r="J22" i="62"/>
  <c r="K22" i="62"/>
  <c r="L22" i="62"/>
  <c r="AR12" i="60"/>
  <c r="E30" i="62"/>
  <c r="E32" i="62"/>
  <c r="E34" i="62"/>
  <c r="E25" i="62"/>
  <c r="A23" i="57"/>
  <c r="A25" i="57"/>
  <c r="A26" i="57"/>
  <c r="A27" i="57"/>
  <c r="A28" i="57"/>
  <c r="A29" i="57"/>
  <c r="E762" i="66"/>
  <c r="V757" i="66"/>
  <c r="P757" i="66"/>
  <c r="D757" i="66"/>
  <c r="S750" i="66"/>
  <c r="P750" i="66"/>
  <c r="N750" i="66"/>
  <c r="O748" i="66"/>
  <c r="D747" i="66"/>
  <c r="N746" i="66"/>
  <c r="Z745" i="66"/>
  <c r="X745" i="66"/>
  <c r="W745" i="66"/>
  <c r="N745" i="66"/>
  <c r="L744" i="66"/>
  <c r="K744" i="66"/>
  <c r="J744" i="66"/>
  <c r="I744" i="66"/>
  <c r="H744" i="66"/>
  <c r="G744" i="66"/>
  <c r="F744" i="66"/>
  <c r="V743" i="66"/>
  <c r="D743" i="66"/>
  <c r="E739" i="66"/>
  <c r="V734" i="66"/>
  <c r="P734" i="66"/>
  <c r="D734" i="66"/>
  <c r="S727" i="66"/>
  <c r="P727" i="66"/>
  <c r="N727" i="66"/>
  <c r="O725" i="66"/>
  <c r="D724" i="66"/>
  <c r="N723" i="66"/>
  <c r="Z722" i="66"/>
  <c r="X722" i="66"/>
  <c r="W722" i="66"/>
  <c r="N722" i="66"/>
  <c r="L721" i="66"/>
  <c r="K721" i="66"/>
  <c r="J721" i="66"/>
  <c r="I721" i="66"/>
  <c r="H721" i="66"/>
  <c r="G721" i="66"/>
  <c r="F721" i="66"/>
  <c r="V720" i="66"/>
  <c r="D720" i="66"/>
  <c r="E716" i="66"/>
  <c r="V711" i="66"/>
  <c r="P711" i="66"/>
  <c r="D711" i="66"/>
  <c r="S704" i="66"/>
  <c r="P704" i="66"/>
  <c r="N704" i="66"/>
  <c r="O702" i="66"/>
  <c r="D701" i="66"/>
  <c r="N700" i="66"/>
  <c r="Z699" i="66"/>
  <c r="X699" i="66"/>
  <c r="W699" i="66"/>
  <c r="N699" i="66"/>
  <c r="L698" i="66"/>
  <c r="K698" i="66"/>
  <c r="J698" i="66"/>
  <c r="I698" i="66"/>
  <c r="H698" i="66"/>
  <c r="G698" i="66"/>
  <c r="F698" i="66"/>
  <c r="V697" i="66"/>
  <c r="D697" i="66"/>
  <c r="E693" i="66"/>
  <c r="V688" i="66"/>
  <c r="P688" i="66"/>
  <c r="D688" i="66"/>
  <c r="S681" i="66"/>
  <c r="P681" i="66"/>
  <c r="N681" i="66"/>
  <c r="O679" i="66"/>
  <c r="D678" i="66"/>
  <c r="N677" i="66"/>
  <c r="Z676" i="66"/>
  <c r="X676" i="66"/>
  <c r="W676" i="66"/>
  <c r="N676" i="66"/>
  <c r="L675" i="66"/>
  <c r="K675" i="66"/>
  <c r="J675" i="66"/>
  <c r="I675" i="66"/>
  <c r="H675" i="66"/>
  <c r="G675" i="66"/>
  <c r="F675" i="66"/>
  <c r="V674" i="66"/>
  <c r="D674" i="66"/>
  <c r="E670" i="66"/>
  <c r="V665" i="66"/>
  <c r="P665" i="66"/>
  <c r="D665" i="66"/>
  <c r="S658" i="66"/>
  <c r="P658" i="66"/>
  <c r="N658" i="66"/>
  <c r="O656" i="66"/>
  <c r="D655" i="66"/>
  <c r="N654" i="66"/>
  <c r="Z653" i="66"/>
  <c r="X653" i="66"/>
  <c r="W653" i="66"/>
  <c r="N653" i="66"/>
  <c r="L652" i="66"/>
  <c r="K652" i="66"/>
  <c r="J652" i="66"/>
  <c r="I652" i="66"/>
  <c r="H652" i="66"/>
  <c r="G652" i="66"/>
  <c r="F652" i="66"/>
  <c r="V651" i="66"/>
  <c r="D651" i="66"/>
  <c r="E647" i="66"/>
  <c r="V642" i="66"/>
  <c r="P642" i="66"/>
  <c r="D642" i="66"/>
  <c r="S635" i="66"/>
  <c r="P635" i="66"/>
  <c r="N635" i="66"/>
  <c r="O633" i="66"/>
  <c r="D632" i="66"/>
  <c r="N631" i="66"/>
  <c r="Z630" i="66"/>
  <c r="X630" i="66"/>
  <c r="W630" i="66"/>
  <c r="N630" i="66"/>
  <c r="L629" i="66"/>
  <c r="K629" i="66"/>
  <c r="J629" i="66"/>
  <c r="I629" i="66"/>
  <c r="H629" i="66"/>
  <c r="G629" i="66"/>
  <c r="F629" i="66"/>
  <c r="V628" i="66"/>
  <c r="D628" i="66"/>
  <c r="E624" i="66"/>
  <c r="V619" i="66"/>
  <c r="P619" i="66"/>
  <c r="D619" i="66"/>
  <c r="S612" i="66"/>
  <c r="P612" i="66"/>
  <c r="N612" i="66"/>
  <c r="O610" i="66"/>
  <c r="D609" i="66"/>
  <c r="N608" i="66"/>
  <c r="Z607" i="66"/>
  <c r="X607" i="66"/>
  <c r="W607" i="66"/>
  <c r="N607" i="66"/>
  <c r="L606" i="66"/>
  <c r="K606" i="66"/>
  <c r="J606" i="66"/>
  <c r="I606" i="66"/>
  <c r="H606" i="66"/>
  <c r="G606" i="66"/>
  <c r="F606" i="66"/>
  <c r="V605" i="66"/>
  <c r="D605" i="66"/>
  <c r="E601" i="66"/>
  <c r="V596" i="66"/>
  <c r="P596" i="66"/>
  <c r="D596" i="66"/>
  <c r="S589" i="66"/>
  <c r="P589" i="66"/>
  <c r="N589" i="66"/>
  <c r="O587" i="66"/>
  <c r="D586" i="66"/>
  <c r="N585" i="66"/>
  <c r="Z584" i="66"/>
  <c r="X584" i="66"/>
  <c r="W584" i="66"/>
  <c r="N584" i="66"/>
  <c r="L583" i="66"/>
  <c r="K583" i="66"/>
  <c r="J583" i="66"/>
  <c r="I583" i="66"/>
  <c r="H583" i="66"/>
  <c r="G583" i="66"/>
  <c r="F583" i="66"/>
  <c r="V582" i="66"/>
  <c r="D582" i="66"/>
  <c r="E578" i="66"/>
  <c r="V573" i="66"/>
  <c r="P573" i="66"/>
  <c r="D573" i="66"/>
  <c r="S566" i="66"/>
  <c r="P566" i="66"/>
  <c r="N566" i="66"/>
  <c r="O564" i="66"/>
  <c r="D563" i="66"/>
  <c r="N562" i="66"/>
  <c r="Z561" i="66"/>
  <c r="X561" i="66"/>
  <c r="W561" i="66"/>
  <c r="N561" i="66"/>
  <c r="L560" i="66"/>
  <c r="K560" i="66"/>
  <c r="J560" i="66"/>
  <c r="I560" i="66"/>
  <c r="H560" i="66"/>
  <c r="G560" i="66"/>
  <c r="F560" i="66"/>
  <c r="V559" i="66"/>
  <c r="D559" i="66"/>
  <c r="E555" i="66"/>
  <c r="V550" i="66"/>
  <c r="P550" i="66"/>
  <c r="D550" i="66"/>
  <c r="S543" i="66"/>
  <c r="P543" i="66"/>
  <c r="N543" i="66"/>
  <c r="O541" i="66"/>
  <c r="D540" i="66"/>
  <c r="N539" i="66"/>
  <c r="Z538" i="66"/>
  <c r="X538" i="66"/>
  <c r="W538" i="66"/>
  <c r="N538" i="66"/>
  <c r="L537" i="66"/>
  <c r="K537" i="66"/>
  <c r="J537" i="66"/>
  <c r="I537" i="66"/>
  <c r="H537" i="66"/>
  <c r="G537" i="66"/>
  <c r="F537" i="66"/>
  <c r="V536" i="66"/>
  <c r="D536" i="66"/>
  <c r="E532" i="66"/>
  <c r="V527" i="66"/>
  <c r="P527" i="66"/>
  <c r="D527" i="66"/>
  <c r="S520" i="66"/>
  <c r="P520" i="66"/>
  <c r="N520" i="66"/>
  <c r="O518" i="66"/>
  <c r="D517" i="66"/>
  <c r="N516" i="66"/>
  <c r="Z515" i="66"/>
  <c r="X515" i="66"/>
  <c r="W515" i="66"/>
  <c r="N515" i="66"/>
  <c r="L514" i="66"/>
  <c r="K514" i="66"/>
  <c r="J514" i="66"/>
  <c r="I514" i="66"/>
  <c r="H514" i="66"/>
  <c r="G514" i="66"/>
  <c r="F514" i="66"/>
  <c r="V513" i="66"/>
  <c r="D513" i="66"/>
  <c r="E509" i="66"/>
  <c r="V504" i="66"/>
  <c r="P504" i="66"/>
  <c r="D504" i="66"/>
  <c r="S497" i="66"/>
  <c r="P497" i="66"/>
  <c r="N497" i="66"/>
  <c r="O495" i="66"/>
  <c r="D494" i="66"/>
  <c r="N493" i="66"/>
  <c r="Z492" i="66"/>
  <c r="X492" i="66"/>
  <c r="W492" i="66"/>
  <c r="N492" i="66"/>
  <c r="L491" i="66"/>
  <c r="K491" i="66"/>
  <c r="J491" i="66"/>
  <c r="I491" i="66"/>
  <c r="H491" i="66"/>
  <c r="G491" i="66"/>
  <c r="F491" i="66"/>
  <c r="V490" i="66"/>
  <c r="D490" i="66"/>
  <c r="E486" i="66"/>
  <c r="V481" i="66"/>
  <c r="P481" i="66"/>
  <c r="D481" i="66"/>
  <c r="S474" i="66"/>
  <c r="P474" i="66"/>
  <c r="N474" i="66"/>
  <c r="O472" i="66"/>
  <c r="D471" i="66"/>
  <c r="N470" i="66"/>
  <c r="Z469" i="66"/>
  <c r="X469" i="66"/>
  <c r="W469" i="66"/>
  <c r="N469" i="66"/>
  <c r="L468" i="66"/>
  <c r="K468" i="66"/>
  <c r="J468" i="66"/>
  <c r="I468" i="66"/>
  <c r="H468" i="66"/>
  <c r="G468" i="66"/>
  <c r="F468" i="66"/>
  <c r="V467" i="66"/>
  <c r="D467" i="66"/>
  <c r="E463" i="66"/>
  <c r="V458" i="66"/>
  <c r="P458" i="66"/>
  <c r="D458" i="66"/>
  <c r="S451" i="66"/>
  <c r="P451" i="66"/>
  <c r="N451" i="66"/>
  <c r="O449" i="66"/>
  <c r="D448" i="66"/>
  <c r="N447" i="66"/>
  <c r="Z446" i="66"/>
  <c r="X446" i="66"/>
  <c r="W446" i="66"/>
  <c r="N446" i="66"/>
  <c r="L445" i="66"/>
  <c r="K445" i="66"/>
  <c r="J445" i="66"/>
  <c r="I445" i="66"/>
  <c r="H445" i="66"/>
  <c r="G445" i="66"/>
  <c r="F445" i="66"/>
  <c r="V444" i="66"/>
  <c r="D444" i="66"/>
  <c r="E440" i="66"/>
  <c r="V435" i="66"/>
  <c r="P435" i="66"/>
  <c r="D435" i="66"/>
  <c r="S428" i="66"/>
  <c r="P428" i="66"/>
  <c r="N428" i="66"/>
  <c r="O426" i="66"/>
  <c r="D425" i="66"/>
  <c r="N424" i="66"/>
  <c r="Z423" i="66"/>
  <c r="X423" i="66"/>
  <c r="W423" i="66"/>
  <c r="N423" i="66"/>
  <c r="L422" i="66"/>
  <c r="K422" i="66"/>
  <c r="J422" i="66"/>
  <c r="I422" i="66"/>
  <c r="H422" i="66"/>
  <c r="G422" i="66"/>
  <c r="F422" i="66"/>
  <c r="V421" i="66"/>
  <c r="D421" i="66"/>
  <c r="E417" i="66"/>
  <c r="V412" i="66"/>
  <c r="P412" i="66"/>
  <c r="D412" i="66"/>
  <c r="S405" i="66"/>
  <c r="P405" i="66"/>
  <c r="N405" i="66"/>
  <c r="O403" i="66"/>
  <c r="D402" i="66"/>
  <c r="N401" i="66"/>
  <c r="Z400" i="66"/>
  <c r="X400" i="66"/>
  <c r="W400" i="66"/>
  <c r="N400" i="66"/>
  <c r="L399" i="66"/>
  <c r="K399" i="66"/>
  <c r="J399" i="66"/>
  <c r="I399" i="66"/>
  <c r="H399" i="66"/>
  <c r="G399" i="66"/>
  <c r="F399" i="66"/>
  <c r="V398" i="66"/>
  <c r="D398" i="66"/>
  <c r="E394" i="66"/>
  <c r="V389" i="66"/>
  <c r="P389" i="66"/>
  <c r="D389" i="66"/>
  <c r="S382" i="66"/>
  <c r="P382" i="66"/>
  <c r="N382" i="66"/>
  <c r="O380" i="66"/>
  <c r="D379" i="66"/>
  <c r="N378" i="66"/>
  <c r="Z377" i="66"/>
  <c r="X377" i="66"/>
  <c r="W377" i="66"/>
  <c r="N377" i="66"/>
  <c r="L376" i="66"/>
  <c r="K376" i="66"/>
  <c r="J376" i="66"/>
  <c r="I376" i="66"/>
  <c r="H376" i="66"/>
  <c r="G376" i="66"/>
  <c r="F376" i="66"/>
  <c r="V375" i="66"/>
  <c r="D375" i="66"/>
  <c r="E371" i="66"/>
  <c r="V366" i="66"/>
  <c r="P366" i="66"/>
  <c r="D366" i="66"/>
  <c r="S359" i="66"/>
  <c r="P359" i="66"/>
  <c r="N359" i="66"/>
  <c r="O357" i="66"/>
  <c r="D356" i="66"/>
  <c r="N355" i="66"/>
  <c r="Z354" i="66"/>
  <c r="X354" i="66"/>
  <c r="W354" i="66"/>
  <c r="N354" i="66"/>
  <c r="L353" i="66"/>
  <c r="K353" i="66"/>
  <c r="J353" i="66"/>
  <c r="I353" i="66"/>
  <c r="H353" i="66"/>
  <c r="G353" i="66"/>
  <c r="F353" i="66"/>
  <c r="V352" i="66"/>
  <c r="D352" i="66"/>
  <c r="E348" i="66"/>
  <c r="V343" i="66"/>
  <c r="P343" i="66"/>
  <c r="D343" i="66"/>
  <c r="S336" i="66"/>
  <c r="P336" i="66"/>
  <c r="N336" i="66"/>
  <c r="O334" i="66"/>
  <c r="D333" i="66"/>
  <c r="N332" i="66"/>
  <c r="Z331" i="66"/>
  <c r="X331" i="66"/>
  <c r="W331" i="66"/>
  <c r="N331" i="66"/>
  <c r="L330" i="66"/>
  <c r="K330" i="66"/>
  <c r="J330" i="66"/>
  <c r="I330" i="66"/>
  <c r="H330" i="66"/>
  <c r="G330" i="66"/>
  <c r="F330" i="66"/>
  <c r="V329" i="66"/>
  <c r="D329" i="66"/>
  <c r="E325" i="66"/>
  <c r="V320" i="66"/>
  <c r="P320" i="66"/>
  <c r="D320" i="66"/>
  <c r="S313" i="66"/>
  <c r="P313" i="66"/>
  <c r="N313" i="66"/>
  <c r="O311" i="66"/>
  <c r="D310" i="66"/>
  <c r="N309" i="66"/>
  <c r="Z308" i="66"/>
  <c r="X308" i="66"/>
  <c r="W308" i="66"/>
  <c r="N308" i="66"/>
  <c r="L307" i="66"/>
  <c r="K307" i="66"/>
  <c r="J307" i="66"/>
  <c r="I307" i="66"/>
  <c r="H307" i="66"/>
  <c r="G307" i="66"/>
  <c r="F307" i="66"/>
  <c r="V306" i="66"/>
  <c r="D306" i="66"/>
  <c r="E302" i="66"/>
  <c r="V297" i="66"/>
  <c r="P297" i="66"/>
  <c r="D297" i="66"/>
  <c r="S290" i="66"/>
  <c r="P290" i="66"/>
  <c r="N290" i="66"/>
  <c r="O288" i="66"/>
  <c r="D287" i="66"/>
  <c r="N286" i="66"/>
  <c r="Z285" i="66"/>
  <c r="X285" i="66"/>
  <c r="W285" i="66"/>
  <c r="N285" i="66"/>
  <c r="L284" i="66"/>
  <c r="K284" i="66"/>
  <c r="J284" i="66"/>
  <c r="I284" i="66"/>
  <c r="H284" i="66"/>
  <c r="G284" i="66"/>
  <c r="F284" i="66"/>
  <c r="V283" i="66"/>
  <c r="D283" i="66"/>
  <c r="E279" i="66"/>
  <c r="V274" i="66"/>
  <c r="P274" i="66"/>
  <c r="D274" i="66"/>
  <c r="S267" i="66"/>
  <c r="P267" i="66"/>
  <c r="N267" i="66"/>
  <c r="O265" i="66"/>
  <c r="D264" i="66"/>
  <c r="N263" i="66"/>
  <c r="Z262" i="66"/>
  <c r="X262" i="66"/>
  <c r="W262" i="66"/>
  <c r="N262" i="66"/>
  <c r="L261" i="66"/>
  <c r="K261" i="66"/>
  <c r="J261" i="66"/>
  <c r="I261" i="66"/>
  <c r="H261" i="66"/>
  <c r="G261" i="66"/>
  <c r="F261" i="66"/>
  <c r="V260" i="66"/>
  <c r="D260" i="66"/>
  <c r="E256" i="66"/>
  <c r="V251" i="66"/>
  <c r="P251" i="66"/>
  <c r="D251" i="66"/>
  <c r="S244" i="66"/>
  <c r="P244" i="66"/>
  <c r="N244" i="66"/>
  <c r="O242" i="66"/>
  <c r="D241" i="66"/>
  <c r="N240" i="66"/>
  <c r="Z239" i="66"/>
  <c r="X239" i="66"/>
  <c r="W239" i="66"/>
  <c r="N239" i="66"/>
  <c r="L238" i="66"/>
  <c r="K238" i="66"/>
  <c r="J238" i="66"/>
  <c r="I238" i="66"/>
  <c r="H238" i="66"/>
  <c r="G238" i="66"/>
  <c r="F238" i="66"/>
  <c r="V237" i="66"/>
  <c r="D237" i="66"/>
  <c r="E233" i="66"/>
  <c r="V228" i="66"/>
  <c r="P228" i="66"/>
  <c r="D228" i="66"/>
  <c r="S221" i="66"/>
  <c r="P221" i="66"/>
  <c r="N221" i="66"/>
  <c r="O219" i="66"/>
  <c r="D218" i="66"/>
  <c r="N217" i="66"/>
  <c r="Z216" i="66"/>
  <c r="X216" i="66"/>
  <c r="W216" i="66"/>
  <c r="N216" i="66"/>
  <c r="L215" i="66"/>
  <c r="K215" i="66"/>
  <c r="J215" i="66"/>
  <c r="I215" i="66"/>
  <c r="H215" i="66"/>
  <c r="G215" i="66"/>
  <c r="F215" i="66"/>
  <c r="V214" i="66"/>
  <c r="D214" i="66"/>
  <c r="E210" i="66"/>
  <c r="V205" i="66"/>
  <c r="P205" i="66"/>
  <c r="D205" i="66"/>
  <c r="S198" i="66"/>
  <c r="P198" i="66"/>
  <c r="N198" i="66"/>
  <c r="O196" i="66"/>
  <c r="D195" i="66"/>
  <c r="N194" i="66"/>
  <c r="Z193" i="66"/>
  <c r="X193" i="66"/>
  <c r="W193" i="66"/>
  <c r="N193" i="66"/>
  <c r="L192" i="66"/>
  <c r="K192" i="66"/>
  <c r="J192" i="66"/>
  <c r="I192" i="66"/>
  <c r="H192" i="66"/>
  <c r="G192" i="66"/>
  <c r="F192" i="66"/>
  <c r="V191" i="66"/>
  <c r="D191" i="66"/>
  <c r="E187" i="66"/>
  <c r="V182" i="66"/>
  <c r="P182" i="66"/>
  <c r="D182" i="66"/>
  <c r="S175" i="66"/>
  <c r="P175" i="66"/>
  <c r="N175" i="66"/>
  <c r="O173" i="66"/>
  <c r="D172" i="66"/>
  <c r="N171" i="66"/>
  <c r="Z170" i="66"/>
  <c r="X170" i="66"/>
  <c r="W170" i="66"/>
  <c r="L169" i="66"/>
  <c r="K169" i="66"/>
  <c r="H169" i="66"/>
  <c r="G169" i="66"/>
  <c r="F169" i="66"/>
  <c r="V168" i="66"/>
  <c r="D168" i="66"/>
  <c r="E164" i="66"/>
  <c r="V159" i="66"/>
  <c r="P159" i="66"/>
  <c r="D159" i="66"/>
  <c r="S152" i="66"/>
  <c r="P152" i="66"/>
  <c r="N152" i="66"/>
  <c r="O150" i="66"/>
  <c r="D149" i="66"/>
  <c r="N148" i="66"/>
  <c r="Z147" i="66"/>
  <c r="X147" i="66"/>
  <c r="W147" i="66"/>
  <c r="N147" i="66"/>
  <c r="L146" i="66"/>
  <c r="K146" i="66"/>
  <c r="J146" i="66"/>
  <c r="I146" i="66"/>
  <c r="H146" i="66"/>
  <c r="G146" i="66"/>
  <c r="F146" i="66"/>
  <c r="V145" i="66"/>
  <c r="D145" i="66"/>
  <c r="E141" i="66"/>
  <c r="V136" i="66"/>
  <c r="P136" i="66"/>
  <c r="D136" i="66"/>
  <c r="S129" i="66"/>
  <c r="P129" i="66"/>
  <c r="N129" i="66"/>
  <c r="O127" i="66"/>
  <c r="D126" i="66"/>
  <c r="N125" i="66"/>
  <c r="Z124" i="66"/>
  <c r="X124" i="66"/>
  <c r="W124" i="66"/>
  <c r="N124" i="66"/>
  <c r="L123" i="66"/>
  <c r="K123" i="66"/>
  <c r="J123" i="66"/>
  <c r="I123" i="66"/>
  <c r="H123" i="66"/>
  <c r="G123" i="66"/>
  <c r="F123" i="66"/>
  <c r="V122" i="66"/>
  <c r="D122" i="66"/>
  <c r="E118" i="66"/>
  <c r="V113" i="66"/>
  <c r="P113" i="66"/>
  <c r="D113" i="66"/>
  <c r="S106" i="66"/>
  <c r="P106" i="66"/>
  <c r="N106" i="66"/>
  <c r="O104" i="66"/>
  <c r="D103" i="66"/>
  <c r="N102" i="66"/>
  <c r="Z101" i="66"/>
  <c r="X101" i="66"/>
  <c r="W101" i="66"/>
  <c r="N101" i="66"/>
  <c r="L100" i="66"/>
  <c r="K100" i="66"/>
  <c r="J100" i="66"/>
  <c r="I100" i="66"/>
  <c r="H100" i="66"/>
  <c r="G100" i="66"/>
  <c r="F100" i="66"/>
  <c r="V99" i="66"/>
  <c r="D99" i="66"/>
  <c r="E95" i="66"/>
  <c r="V90" i="66"/>
  <c r="P90" i="66"/>
  <c r="D90" i="66"/>
  <c r="S83" i="66"/>
  <c r="P83" i="66"/>
  <c r="N83" i="66"/>
  <c r="O81" i="66"/>
  <c r="D80" i="66"/>
  <c r="N79" i="66"/>
  <c r="Z78" i="66"/>
  <c r="X78" i="66"/>
  <c r="W78" i="66"/>
  <c r="N78" i="66"/>
  <c r="L77" i="66"/>
  <c r="K77" i="66"/>
  <c r="J77" i="66"/>
  <c r="I77" i="66"/>
  <c r="H77" i="66"/>
  <c r="G77" i="66"/>
  <c r="F77" i="66"/>
  <c r="V76" i="66"/>
  <c r="D76" i="66"/>
  <c r="Q41" i="66"/>
  <c r="M41" i="66"/>
  <c r="L41" i="66"/>
  <c r="K41" i="66"/>
  <c r="J41" i="66"/>
  <c r="I41" i="66"/>
  <c r="H41" i="66"/>
  <c r="G41" i="66"/>
  <c r="F41" i="66"/>
  <c r="E41" i="66"/>
  <c r="D39" i="66"/>
  <c r="L37" i="66"/>
  <c r="K37" i="66"/>
  <c r="J37" i="66"/>
  <c r="I37" i="66"/>
  <c r="H37" i="66"/>
  <c r="G37" i="66"/>
  <c r="F37" i="66"/>
  <c r="E36" i="66"/>
  <c r="V31" i="66"/>
  <c r="P31" i="66"/>
  <c r="D31" i="66"/>
  <c r="S24" i="66"/>
  <c r="P24" i="66"/>
  <c r="N24" i="66"/>
  <c r="E23" i="66"/>
  <c r="P22" i="66"/>
  <c r="O22" i="66"/>
  <c r="E22" i="66"/>
  <c r="E21" i="66"/>
  <c r="D21" i="66"/>
  <c r="N20" i="66"/>
  <c r="Z19" i="66"/>
  <c r="X19" i="66"/>
  <c r="W19" i="66"/>
  <c r="N19" i="66"/>
  <c r="L18" i="66"/>
  <c r="K18" i="66"/>
  <c r="J18" i="66"/>
  <c r="I18" i="66"/>
  <c r="H18" i="66"/>
  <c r="G18" i="66"/>
  <c r="F18" i="66"/>
  <c r="V17" i="66"/>
  <c r="D17" i="66"/>
  <c r="E15" i="66"/>
  <c r="E14" i="66"/>
  <c r="E13" i="66"/>
  <c r="E12" i="66"/>
  <c r="E11" i="66"/>
  <c r="E10" i="66"/>
  <c r="C6" i="66"/>
  <c r="B2" i="66"/>
  <c r="D1447" i="50"/>
  <c r="D1446" i="50"/>
  <c r="D1445" i="50"/>
  <c r="D1444" i="50"/>
  <c r="CM1433" i="50"/>
  <c r="CG1433" i="50"/>
  <c r="BY1433" i="50"/>
  <c r="BW1433" i="50"/>
  <c r="BV1433" i="50"/>
  <c r="BU1433" i="50"/>
  <c r="BT1433" i="50"/>
  <c r="BS1433" i="50"/>
  <c r="BR1433" i="50"/>
  <c r="BQ1433" i="50"/>
  <c r="BP1433" i="50"/>
  <c r="BO1433" i="50"/>
  <c r="BN1433" i="50"/>
  <c r="BM1433" i="50"/>
  <c r="BL1433" i="50"/>
  <c r="BK1433" i="50"/>
  <c r="BJ1433" i="50"/>
  <c r="M1433" i="50"/>
  <c r="M1432" i="50"/>
  <c r="D1419" i="50"/>
  <c r="D1418" i="50"/>
  <c r="D1417" i="50"/>
  <c r="D1416" i="50"/>
  <c r="CM1405" i="50"/>
  <c r="CG1405" i="50"/>
  <c r="BY1405" i="50"/>
  <c r="BV1405" i="50"/>
  <c r="BU1405" i="50"/>
  <c r="BT1405" i="50"/>
  <c r="BS1405" i="50"/>
  <c r="BR1405" i="50"/>
  <c r="BQ1405" i="50"/>
  <c r="BP1405" i="50"/>
  <c r="BO1405" i="50"/>
  <c r="BN1405" i="50"/>
  <c r="BM1405" i="50"/>
  <c r="BL1405" i="50"/>
  <c r="BK1405" i="50"/>
  <c r="BJ1405" i="50"/>
  <c r="M1405" i="50"/>
  <c r="M1404" i="50"/>
  <c r="D1391" i="50"/>
  <c r="D1390" i="50"/>
  <c r="D1389" i="50"/>
  <c r="D1388" i="50"/>
  <c r="CM1377" i="50"/>
  <c r="CG1377" i="50"/>
  <c r="BY1377" i="50"/>
  <c r="BW1377" i="50"/>
  <c r="BV1377" i="50"/>
  <c r="BU1377" i="50"/>
  <c r="BT1377" i="50"/>
  <c r="BS1377" i="50"/>
  <c r="BR1377" i="50"/>
  <c r="BQ1377" i="50"/>
  <c r="BP1377" i="50"/>
  <c r="BO1377" i="50"/>
  <c r="BN1377" i="50"/>
  <c r="BM1377" i="50"/>
  <c r="BL1377" i="50"/>
  <c r="BK1377" i="50"/>
  <c r="BJ1377" i="50"/>
  <c r="M1377" i="50"/>
  <c r="M1376" i="50"/>
  <c r="D1363" i="50"/>
  <c r="D1362" i="50"/>
  <c r="D1361" i="50"/>
  <c r="D1360" i="50"/>
  <c r="CM1349" i="50"/>
  <c r="CG1349" i="50"/>
  <c r="BY1349" i="50"/>
  <c r="BW1349" i="50"/>
  <c r="BV1349" i="50"/>
  <c r="BU1349" i="50"/>
  <c r="BT1349" i="50"/>
  <c r="BS1349" i="50"/>
  <c r="BR1349" i="50"/>
  <c r="BQ1349" i="50"/>
  <c r="BP1349" i="50"/>
  <c r="BO1349" i="50"/>
  <c r="BN1349" i="50"/>
  <c r="BM1349" i="50"/>
  <c r="BL1349" i="50"/>
  <c r="BK1349" i="50"/>
  <c r="BJ1349" i="50"/>
  <c r="M1349" i="50"/>
  <c r="M1348" i="50"/>
  <c r="D1335" i="50"/>
  <c r="D1334" i="50"/>
  <c r="D1333" i="50"/>
  <c r="D1332" i="50"/>
  <c r="CM1321" i="50"/>
  <c r="CG1321" i="50"/>
  <c r="BY1321" i="50"/>
  <c r="BW1321" i="50"/>
  <c r="BV1321" i="50"/>
  <c r="BU1321" i="50"/>
  <c r="BT1321" i="50"/>
  <c r="BS1321" i="50"/>
  <c r="BR1321" i="50"/>
  <c r="BQ1321" i="50"/>
  <c r="BP1321" i="50"/>
  <c r="BO1321" i="50"/>
  <c r="BN1321" i="50"/>
  <c r="BM1321" i="50"/>
  <c r="BL1321" i="50"/>
  <c r="BK1321" i="50"/>
  <c r="BJ1321" i="50"/>
  <c r="M1321" i="50"/>
  <c r="M1320" i="50"/>
  <c r="D1307" i="50"/>
  <c r="D1306" i="50"/>
  <c r="D1305" i="50"/>
  <c r="D1304" i="50"/>
  <c r="CM1293" i="50"/>
  <c r="CG1293" i="50"/>
  <c r="BY1293" i="50"/>
  <c r="BW1293" i="50"/>
  <c r="BV1293" i="50"/>
  <c r="BU1293" i="50"/>
  <c r="BT1293" i="50"/>
  <c r="BS1293" i="50"/>
  <c r="BR1293" i="50"/>
  <c r="BQ1293" i="50"/>
  <c r="BP1293" i="50"/>
  <c r="BO1293" i="50"/>
  <c r="BN1293" i="50"/>
  <c r="BM1293" i="50"/>
  <c r="BL1293" i="50"/>
  <c r="BK1293" i="50"/>
  <c r="BJ1293" i="50"/>
  <c r="M1293" i="50"/>
  <c r="M1292" i="50"/>
  <c r="D1279" i="50"/>
  <c r="D1278" i="50"/>
  <c r="D1277" i="50"/>
  <c r="D1276" i="50"/>
  <c r="CM1265" i="50"/>
  <c r="CG1265" i="50"/>
  <c r="BY1265" i="50"/>
  <c r="BW1265" i="50"/>
  <c r="BV1265" i="50"/>
  <c r="BU1265" i="50"/>
  <c r="BT1265" i="50"/>
  <c r="BS1265" i="50"/>
  <c r="BR1265" i="50"/>
  <c r="BQ1265" i="50"/>
  <c r="BP1265" i="50"/>
  <c r="BO1265" i="50"/>
  <c r="BN1265" i="50"/>
  <c r="BM1265" i="50"/>
  <c r="BL1265" i="50"/>
  <c r="BK1265" i="50"/>
  <c r="BJ1265" i="50"/>
  <c r="M1265" i="50"/>
  <c r="M1264" i="50"/>
  <c r="D1251" i="50"/>
  <c r="D1250" i="50"/>
  <c r="D1249" i="50"/>
  <c r="D1248" i="50"/>
  <c r="CM1237" i="50"/>
  <c r="CG1237" i="50"/>
  <c r="BY1237" i="50"/>
  <c r="BW1237" i="50"/>
  <c r="BV1237" i="50"/>
  <c r="BU1237" i="50"/>
  <c r="BT1237" i="50"/>
  <c r="BS1237" i="50"/>
  <c r="BR1237" i="50"/>
  <c r="BQ1237" i="50"/>
  <c r="BP1237" i="50"/>
  <c r="BO1237" i="50"/>
  <c r="BN1237" i="50"/>
  <c r="BM1237" i="50"/>
  <c r="BL1237" i="50"/>
  <c r="BK1237" i="50"/>
  <c r="BJ1237" i="50"/>
  <c r="M1237" i="50"/>
  <c r="M1236" i="50"/>
  <c r="D1223" i="50"/>
  <c r="D1222" i="50"/>
  <c r="D1221" i="50"/>
  <c r="D1220" i="50"/>
  <c r="CM1209" i="50"/>
  <c r="CG1209" i="50"/>
  <c r="BY1209" i="50"/>
  <c r="BW1209" i="50"/>
  <c r="BV1209" i="50"/>
  <c r="BU1209" i="50"/>
  <c r="BT1209" i="50"/>
  <c r="BS1209" i="50"/>
  <c r="BR1209" i="50"/>
  <c r="BQ1209" i="50"/>
  <c r="BP1209" i="50"/>
  <c r="BO1209" i="50"/>
  <c r="BN1209" i="50"/>
  <c r="BM1209" i="50"/>
  <c r="BL1209" i="50"/>
  <c r="BK1209" i="50"/>
  <c r="BJ1209" i="50"/>
  <c r="M1209" i="50"/>
  <c r="M1208" i="50"/>
  <c r="D1195" i="50"/>
  <c r="D1194" i="50"/>
  <c r="D1193" i="50"/>
  <c r="D1192" i="50"/>
  <c r="CM1181" i="50"/>
  <c r="CG1181" i="50"/>
  <c r="BY1181" i="50"/>
  <c r="BW1181" i="50"/>
  <c r="BV1181" i="50"/>
  <c r="BU1181" i="50"/>
  <c r="BT1181" i="50"/>
  <c r="BS1181" i="50"/>
  <c r="BR1181" i="50"/>
  <c r="BQ1181" i="50"/>
  <c r="BP1181" i="50"/>
  <c r="BO1181" i="50"/>
  <c r="BN1181" i="50"/>
  <c r="BM1181" i="50"/>
  <c r="BL1181" i="50"/>
  <c r="BK1181" i="50"/>
  <c r="BJ1181" i="50"/>
  <c r="M1181" i="50"/>
  <c r="M1180" i="50"/>
  <c r="D1167" i="50"/>
  <c r="D1166" i="50"/>
  <c r="D1165" i="50"/>
  <c r="D1164" i="50"/>
  <c r="CM1153" i="50"/>
  <c r="CG1153" i="50"/>
  <c r="BY1153" i="50"/>
  <c r="BW1153" i="50"/>
  <c r="BV1153" i="50"/>
  <c r="BU1153" i="50"/>
  <c r="BT1153" i="50"/>
  <c r="BS1153" i="50"/>
  <c r="BR1153" i="50"/>
  <c r="BQ1153" i="50"/>
  <c r="BP1153" i="50"/>
  <c r="BO1153" i="50"/>
  <c r="BN1153" i="50"/>
  <c r="BM1153" i="50"/>
  <c r="BL1153" i="50"/>
  <c r="BK1153" i="50"/>
  <c r="BJ1153" i="50"/>
  <c r="M1153" i="50"/>
  <c r="M1152" i="50"/>
  <c r="D1139" i="50"/>
  <c r="D1138" i="50"/>
  <c r="D1137" i="50"/>
  <c r="D1136" i="50"/>
  <c r="CM1125" i="50"/>
  <c r="CG1125" i="50"/>
  <c r="BY1125" i="50"/>
  <c r="BW1125" i="50"/>
  <c r="BV1125" i="50"/>
  <c r="BU1125" i="50"/>
  <c r="BT1125" i="50"/>
  <c r="BS1125" i="50"/>
  <c r="BR1125" i="50"/>
  <c r="BQ1125" i="50"/>
  <c r="BP1125" i="50"/>
  <c r="BO1125" i="50"/>
  <c r="BN1125" i="50"/>
  <c r="BM1125" i="50"/>
  <c r="BL1125" i="50"/>
  <c r="BK1125" i="50"/>
  <c r="BJ1125" i="50"/>
  <c r="M1125" i="50"/>
  <c r="M1124" i="50"/>
  <c r="D1111" i="50"/>
  <c r="D1110" i="50"/>
  <c r="D1109" i="50"/>
  <c r="D1108" i="50"/>
  <c r="CM1097" i="50"/>
  <c r="CG1097" i="50"/>
  <c r="BY1097" i="50"/>
  <c r="BW1097" i="50"/>
  <c r="BV1097" i="50"/>
  <c r="BU1097" i="50"/>
  <c r="BT1097" i="50"/>
  <c r="BS1097" i="50"/>
  <c r="BR1097" i="50"/>
  <c r="BQ1097" i="50"/>
  <c r="BP1097" i="50"/>
  <c r="BO1097" i="50"/>
  <c r="BN1097" i="50"/>
  <c r="BM1097" i="50"/>
  <c r="BL1097" i="50"/>
  <c r="BK1097" i="50"/>
  <c r="BJ1097" i="50"/>
  <c r="M1097" i="50"/>
  <c r="M1096" i="50"/>
  <c r="D1083" i="50"/>
  <c r="D1082" i="50"/>
  <c r="D1081" i="50"/>
  <c r="D1080" i="50"/>
  <c r="CM1069" i="50"/>
  <c r="CG1069" i="50"/>
  <c r="BY1069" i="50"/>
  <c r="BW1069" i="50"/>
  <c r="BV1069" i="50"/>
  <c r="BU1069" i="50"/>
  <c r="BT1069" i="50"/>
  <c r="BS1069" i="50"/>
  <c r="BR1069" i="50"/>
  <c r="BQ1069" i="50"/>
  <c r="BP1069" i="50"/>
  <c r="BO1069" i="50"/>
  <c r="BN1069" i="50"/>
  <c r="BM1069" i="50"/>
  <c r="BL1069" i="50"/>
  <c r="BK1069" i="50"/>
  <c r="BJ1069" i="50"/>
  <c r="M1069" i="50"/>
  <c r="M1068" i="50"/>
  <c r="D1055" i="50"/>
  <c r="D1054" i="50"/>
  <c r="D1053" i="50"/>
  <c r="D1052" i="50"/>
  <c r="CM1041" i="50"/>
  <c r="CG1041" i="50"/>
  <c r="BY1041" i="50"/>
  <c r="BW1041" i="50"/>
  <c r="BV1041" i="50"/>
  <c r="BU1041" i="50"/>
  <c r="BT1041" i="50"/>
  <c r="BS1041" i="50"/>
  <c r="BR1041" i="50"/>
  <c r="BQ1041" i="50"/>
  <c r="BP1041" i="50"/>
  <c r="BO1041" i="50"/>
  <c r="BN1041" i="50"/>
  <c r="BM1041" i="50"/>
  <c r="BL1041" i="50"/>
  <c r="BK1041" i="50"/>
  <c r="BJ1041" i="50"/>
  <c r="M1041" i="50"/>
  <c r="M1040" i="50"/>
  <c r="D1027" i="50"/>
  <c r="D1026" i="50"/>
  <c r="D1025" i="50"/>
  <c r="D1024" i="50"/>
  <c r="CM1013" i="50"/>
  <c r="CG1013" i="50"/>
  <c r="BY1013" i="50"/>
  <c r="BW1013" i="50"/>
  <c r="BV1013" i="50"/>
  <c r="BU1013" i="50"/>
  <c r="BT1013" i="50"/>
  <c r="BS1013" i="50"/>
  <c r="BR1013" i="50"/>
  <c r="BQ1013" i="50"/>
  <c r="BP1013" i="50"/>
  <c r="BO1013" i="50"/>
  <c r="BN1013" i="50"/>
  <c r="BM1013" i="50"/>
  <c r="BL1013" i="50"/>
  <c r="BK1013" i="50"/>
  <c r="BJ1013" i="50"/>
  <c r="M1013" i="50"/>
  <c r="M1012" i="50"/>
  <c r="D999" i="50"/>
  <c r="D998" i="50"/>
  <c r="D997" i="50"/>
  <c r="D996" i="50"/>
  <c r="CM985" i="50"/>
  <c r="CG985" i="50"/>
  <c r="BY985" i="50"/>
  <c r="BW985" i="50"/>
  <c r="BV985" i="50"/>
  <c r="BU985" i="50"/>
  <c r="BT985" i="50"/>
  <c r="BS985" i="50"/>
  <c r="BR985" i="50"/>
  <c r="BQ985" i="50"/>
  <c r="BP985" i="50"/>
  <c r="BO985" i="50"/>
  <c r="BN985" i="50"/>
  <c r="BM985" i="50"/>
  <c r="BL985" i="50"/>
  <c r="BK985" i="50"/>
  <c r="BJ985" i="50"/>
  <c r="M985" i="50"/>
  <c r="M984" i="50"/>
  <c r="D971" i="50"/>
  <c r="D970" i="50"/>
  <c r="D969" i="50"/>
  <c r="D968" i="50"/>
  <c r="CM957" i="50"/>
  <c r="CG957" i="50"/>
  <c r="BY957" i="50"/>
  <c r="BW957" i="50"/>
  <c r="BV957" i="50"/>
  <c r="BU957" i="50"/>
  <c r="BT957" i="50"/>
  <c r="BS957" i="50"/>
  <c r="BR957" i="50"/>
  <c r="BQ957" i="50"/>
  <c r="BP957" i="50"/>
  <c r="BO957" i="50"/>
  <c r="BN957" i="50"/>
  <c r="BM957" i="50"/>
  <c r="BL957" i="50"/>
  <c r="BK957" i="50"/>
  <c r="BJ957" i="50"/>
  <c r="M957" i="50"/>
  <c r="M956" i="50"/>
  <c r="D943" i="50"/>
  <c r="D942" i="50"/>
  <c r="D941" i="50"/>
  <c r="D940" i="50"/>
  <c r="CM929" i="50"/>
  <c r="CG929" i="50"/>
  <c r="BY929" i="50"/>
  <c r="BW929" i="50"/>
  <c r="BV929" i="50"/>
  <c r="BU929" i="50"/>
  <c r="BT929" i="50"/>
  <c r="BS929" i="50"/>
  <c r="BR929" i="50"/>
  <c r="BQ929" i="50"/>
  <c r="BP929" i="50"/>
  <c r="BO929" i="50"/>
  <c r="BN929" i="50"/>
  <c r="BM929" i="50"/>
  <c r="BL929" i="50"/>
  <c r="BK929" i="50"/>
  <c r="BJ929" i="50"/>
  <c r="M929" i="50"/>
  <c r="M928" i="50"/>
  <c r="D915" i="50"/>
  <c r="D914" i="50"/>
  <c r="D913" i="50"/>
  <c r="D912" i="50"/>
  <c r="CM901" i="50"/>
  <c r="CG901" i="50"/>
  <c r="BY901" i="50"/>
  <c r="BW901" i="50"/>
  <c r="BV901" i="50"/>
  <c r="BU901" i="50"/>
  <c r="BT901" i="50"/>
  <c r="BS901" i="50"/>
  <c r="BR901" i="50"/>
  <c r="BQ901" i="50"/>
  <c r="BP901" i="50"/>
  <c r="BO901" i="50"/>
  <c r="BN901" i="50"/>
  <c r="BM901" i="50"/>
  <c r="BL901" i="50"/>
  <c r="BK901" i="50"/>
  <c r="BJ901" i="50"/>
  <c r="M901" i="50"/>
  <c r="M900" i="50"/>
  <c r="D887" i="50"/>
  <c r="D886" i="50"/>
  <c r="D885" i="50"/>
  <c r="D884" i="50"/>
  <c r="CM873" i="50"/>
  <c r="CG873" i="50"/>
  <c r="BY873" i="50"/>
  <c r="BW873" i="50"/>
  <c r="BV873" i="50"/>
  <c r="BU873" i="50"/>
  <c r="BT873" i="50"/>
  <c r="BS873" i="50"/>
  <c r="BR873" i="50"/>
  <c r="BQ873" i="50"/>
  <c r="BP873" i="50"/>
  <c r="BO873" i="50"/>
  <c r="BN873" i="50"/>
  <c r="BM873" i="50"/>
  <c r="BL873" i="50"/>
  <c r="BK873" i="50"/>
  <c r="BJ873" i="50"/>
  <c r="M873" i="50"/>
  <c r="M872" i="50"/>
  <c r="D859" i="50"/>
  <c r="D858" i="50"/>
  <c r="D857" i="50"/>
  <c r="D856" i="50"/>
  <c r="CM845" i="50"/>
  <c r="CG845" i="50"/>
  <c r="BY845" i="50"/>
  <c r="BW845" i="50"/>
  <c r="BV845" i="50"/>
  <c r="BU845" i="50"/>
  <c r="BT845" i="50"/>
  <c r="BS845" i="50"/>
  <c r="BR845" i="50"/>
  <c r="BQ845" i="50"/>
  <c r="BP845" i="50"/>
  <c r="BO845" i="50"/>
  <c r="BN845" i="50"/>
  <c r="BM845" i="50"/>
  <c r="BL845" i="50"/>
  <c r="BK845" i="50"/>
  <c r="BJ845" i="50"/>
  <c r="M845" i="50"/>
  <c r="M844" i="50"/>
  <c r="D831" i="50"/>
  <c r="D830" i="50"/>
  <c r="D829" i="50"/>
  <c r="D828" i="50"/>
  <c r="CM817" i="50"/>
  <c r="CG817" i="50"/>
  <c r="BY817" i="50"/>
  <c r="BW817" i="50"/>
  <c r="BV817" i="50"/>
  <c r="BU817" i="50"/>
  <c r="BT817" i="50"/>
  <c r="BS817" i="50"/>
  <c r="BR817" i="50"/>
  <c r="BQ817" i="50"/>
  <c r="BP817" i="50"/>
  <c r="BO817" i="50"/>
  <c r="BN817" i="50"/>
  <c r="BM817" i="50"/>
  <c r="BL817" i="50"/>
  <c r="BK817" i="50"/>
  <c r="BJ817" i="50"/>
  <c r="M817" i="50"/>
  <c r="M816" i="50"/>
  <c r="D803" i="50"/>
  <c r="D802" i="50"/>
  <c r="D801" i="50"/>
  <c r="D800" i="50"/>
  <c r="CM789" i="50"/>
  <c r="CG789" i="50"/>
  <c r="BY789" i="50"/>
  <c r="BW789" i="50"/>
  <c r="BV789" i="50"/>
  <c r="BU789" i="50"/>
  <c r="BT789" i="50"/>
  <c r="BS789" i="50"/>
  <c r="BR789" i="50"/>
  <c r="BQ789" i="50"/>
  <c r="BP789" i="50"/>
  <c r="BO789" i="50"/>
  <c r="BN789" i="50"/>
  <c r="BM789" i="50"/>
  <c r="BL789" i="50"/>
  <c r="BK789" i="50"/>
  <c r="BJ789" i="50"/>
  <c r="M789" i="50"/>
  <c r="M788" i="50"/>
  <c r="D775" i="50"/>
  <c r="D774" i="50"/>
  <c r="D773" i="50"/>
  <c r="D772" i="50"/>
  <c r="CM761" i="50"/>
  <c r="CG761" i="50"/>
  <c r="BY761" i="50"/>
  <c r="BW761" i="50"/>
  <c r="BV761" i="50"/>
  <c r="BU761" i="50"/>
  <c r="BT761" i="50"/>
  <c r="BS761" i="50"/>
  <c r="BR761" i="50"/>
  <c r="BQ761" i="50"/>
  <c r="BP761" i="50"/>
  <c r="BO761" i="50"/>
  <c r="BN761" i="50"/>
  <c r="BM761" i="50"/>
  <c r="BL761" i="50"/>
  <c r="BK761" i="50"/>
  <c r="BJ761" i="50"/>
  <c r="M761" i="50"/>
  <c r="M760" i="50"/>
  <c r="D747" i="50"/>
  <c r="D746" i="50"/>
  <c r="D745" i="50"/>
  <c r="D744" i="50"/>
  <c r="CM733" i="50"/>
  <c r="CG733" i="50"/>
  <c r="BY733" i="50"/>
  <c r="BW733" i="50"/>
  <c r="BV733" i="50"/>
  <c r="BU733" i="50"/>
  <c r="BT733" i="50"/>
  <c r="BS733" i="50"/>
  <c r="BR733" i="50"/>
  <c r="BQ733" i="50"/>
  <c r="BP733" i="50"/>
  <c r="BO733" i="50"/>
  <c r="BN733" i="50"/>
  <c r="BM733" i="50"/>
  <c r="BL733" i="50"/>
  <c r="BK733" i="50"/>
  <c r="BJ733" i="50"/>
  <c r="M733" i="50"/>
  <c r="M732" i="50"/>
  <c r="D719" i="50"/>
  <c r="D718" i="50"/>
  <c r="D717" i="50"/>
  <c r="D716" i="50"/>
  <c r="CM705" i="50"/>
  <c r="CG705" i="50"/>
  <c r="BY705" i="50"/>
  <c r="BW705" i="50"/>
  <c r="BV705" i="50"/>
  <c r="BU705" i="50"/>
  <c r="BT705" i="50"/>
  <c r="BS705" i="50"/>
  <c r="BR705" i="50"/>
  <c r="BQ705" i="50"/>
  <c r="BP705" i="50"/>
  <c r="BO705" i="50"/>
  <c r="BN705" i="50"/>
  <c r="BM705" i="50"/>
  <c r="BL705" i="50"/>
  <c r="BK705" i="50"/>
  <c r="BJ705" i="50"/>
  <c r="M705" i="50"/>
  <c r="M704" i="50"/>
  <c r="D691" i="50"/>
  <c r="D690" i="50"/>
  <c r="D689" i="50"/>
  <c r="D688" i="50"/>
  <c r="CM677" i="50"/>
  <c r="CG677" i="50"/>
  <c r="BY677" i="50"/>
  <c r="BW677" i="50"/>
  <c r="BV677" i="50"/>
  <c r="BU677" i="50"/>
  <c r="BT677" i="50"/>
  <c r="BS677" i="50"/>
  <c r="BR677" i="50"/>
  <c r="BQ677" i="50"/>
  <c r="BP677" i="50"/>
  <c r="BO677" i="50"/>
  <c r="BN677" i="50"/>
  <c r="BM677" i="50"/>
  <c r="BL677" i="50"/>
  <c r="BK677" i="50"/>
  <c r="BJ677" i="50"/>
  <c r="M677" i="50"/>
  <c r="M676" i="50"/>
  <c r="D663" i="50"/>
  <c r="D662" i="50"/>
  <c r="D661" i="50"/>
  <c r="D660" i="50"/>
  <c r="CM649" i="50"/>
  <c r="CG649" i="50"/>
  <c r="BY649" i="50"/>
  <c r="BW649" i="50"/>
  <c r="BV649" i="50"/>
  <c r="BU649" i="50"/>
  <c r="BT649" i="50"/>
  <c r="BS649" i="50"/>
  <c r="BR649" i="50"/>
  <c r="BQ649" i="50"/>
  <c r="BP649" i="50"/>
  <c r="BO649" i="50"/>
  <c r="BN649" i="50"/>
  <c r="BM649" i="50"/>
  <c r="BL649" i="50"/>
  <c r="BK649" i="50"/>
  <c r="BJ649" i="50"/>
  <c r="M649" i="50"/>
  <c r="M648" i="50"/>
  <c r="D635" i="50"/>
  <c r="D634" i="50"/>
  <c r="D633" i="50"/>
  <c r="D632" i="50"/>
  <c r="CM621" i="50"/>
  <c r="CG621" i="50"/>
  <c r="BY621" i="50"/>
  <c r="BW621" i="50"/>
  <c r="BV621" i="50"/>
  <c r="BU621" i="50"/>
  <c r="BT621" i="50"/>
  <c r="BS621" i="50"/>
  <c r="BR621" i="50"/>
  <c r="BQ621" i="50"/>
  <c r="BP621" i="50"/>
  <c r="BO621" i="50"/>
  <c r="BN621" i="50"/>
  <c r="BM621" i="50"/>
  <c r="BL621" i="50"/>
  <c r="BK621" i="50"/>
  <c r="BJ621" i="50"/>
  <c r="M621" i="50"/>
  <c r="M620" i="50"/>
  <c r="D607" i="50"/>
  <c r="D606" i="50"/>
  <c r="D605" i="50"/>
  <c r="D604" i="50"/>
  <c r="CM593" i="50"/>
  <c r="CG593" i="50"/>
  <c r="BY593" i="50"/>
  <c r="BW593" i="50"/>
  <c r="BV593" i="50"/>
  <c r="BU593" i="50"/>
  <c r="BT593" i="50"/>
  <c r="BS593" i="50"/>
  <c r="BR593" i="50"/>
  <c r="BQ593" i="50"/>
  <c r="BP593" i="50"/>
  <c r="BO593" i="50"/>
  <c r="BN593" i="50"/>
  <c r="BM593" i="50"/>
  <c r="BL593" i="50"/>
  <c r="BK593" i="50"/>
  <c r="BJ593" i="50"/>
  <c r="M593" i="50"/>
  <c r="M592" i="50"/>
  <c r="D579" i="50"/>
  <c r="D578" i="50"/>
  <c r="D577" i="50"/>
  <c r="D576" i="50"/>
  <c r="CM565" i="50"/>
  <c r="CG565" i="50"/>
  <c r="BY565" i="50"/>
  <c r="BW565" i="50"/>
  <c r="BV565" i="50"/>
  <c r="BU565" i="50"/>
  <c r="BT565" i="50"/>
  <c r="BS565" i="50"/>
  <c r="BR565" i="50"/>
  <c r="BQ565" i="50"/>
  <c r="BP565" i="50"/>
  <c r="BO565" i="50"/>
  <c r="BN565" i="50"/>
  <c r="BM565" i="50"/>
  <c r="BL565" i="50"/>
  <c r="BK565" i="50"/>
  <c r="BJ565" i="50"/>
  <c r="M565" i="50"/>
  <c r="M564" i="50"/>
  <c r="D551" i="50"/>
  <c r="D550" i="50"/>
  <c r="D549" i="50"/>
  <c r="D548" i="50"/>
  <c r="CM537" i="50"/>
  <c r="CG537" i="50"/>
  <c r="BY537" i="50"/>
  <c r="BW537" i="50"/>
  <c r="BV537" i="50"/>
  <c r="BU537" i="50"/>
  <c r="BT537" i="50"/>
  <c r="BS537" i="50"/>
  <c r="BR537" i="50"/>
  <c r="BQ537" i="50"/>
  <c r="BP537" i="50"/>
  <c r="BO537" i="50"/>
  <c r="BN537" i="50"/>
  <c r="BM537" i="50"/>
  <c r="BL537" i="50"/>
  <c r="BK537" i="50"/>
  <c r="BJ537" i="50"/>
  <c r="M537" i="50"/>
  <c r="M536" i="50"/>
  <c r="D523" i="50"/>
  <c r="D522" i="50"/>
  <c r="D521" i="50"/>
  <c r="D520" i="50"/>
  <c r="CM509" i="50"/>
  <c r="CG509" i="50"/>
  <c r="BY509" i="50"/>
  <c r="BW509" i="50"/>
  <c r="BV509" i="50"/>
  <c r="BU509" i="50"/>
  <c r="BT509" i="50"/>
  <c r="BS509" i="50"/>
  <c r="BR509" i="50"/>
  <c r="BQ509" i="50"/>
  <c r="BP509" i="50"/>
  <c r="BO509" i="50"/>
  <c r="BN509" i="50"/>
  <c r="BM509" i="50"/>
  <c r="BL509" i="50"/>
  <c r="BK509" i="50"/>
  <c r="BJ509" i="50"/>
  <c r="M509" i="50"/>
  <c r="M508" i="50"/>
  <c r="D495" i="50"/>
  <c r="D494" i="50"/>
  <c r="D493" i="50"/>
  <c r="D492" i="50"/>
  <c r="CM481" i="50"/>
  <c r="CG481" i="50"/>
  <c r="BY481" i="50"/>
  <c r="BW481" i="50"/>
  <c r="BV481" i="50"/>
  <c r="BU481" i="50"/>
  <c r="BT481" i="50"/>
  <c r="BS481" i="50"/>
  <c r="BR481" i="50"/>
  <c r="BQ481" i="50"/>
  <c r="BP481" i="50"/>
  <c r="BO481" i="50"/>
  <c r="BN481" i="50"/>
  <c r="BM481" i="50"/>
  <c r="BL481" i="50"/>
  <c r="BK481" i="50"/>
  <c r="BJ481" i="50"/>
  <c r="M481" i="50"/>
  <c r="M480" i="50"/>
  <c r="D467" i="50"/>
  <c r="D466" i="50"/>
  <c r="D465" i="50"/>
  <c r="D464" i="50"/>
  <c r="CM453" i="50"/>
  <c r="CG453" i="50"/>
  <c r="BY453" i="50"/>
  <c r="BW453" i="50"/>
  <c r="BV453" i="50"/>
  <c r="BU453" i="50"/>
  <c r="BT453" i="50"/>
  <c r="BS453" i="50"/>
  <c r="BR453" i="50"/>
  <c r="BQ453" i="50"/>
  <c r="BP453" i="50"/>
  <c r="BO453" i="50"/>
  <c r="BN453" i="50"/>
  <c r="BM453" i="50"/>
  <c r="BL453" i="50"/>
  <c r="BK453" i="50"/>
  <c r="BJ453" i="50"/>
  <c r="M453" i="50"/>
  <c r="M452" i="50"/>
  <c r="D439" i="50"/>
  <c r="D438" i="50"/>
  <c r="D437" i="50"/>
  <c r="D436" i="50"/>
  <c r="CM425" i="50"/>
  <c r="CG425" i="50"/>
  <c r="BY425" i="50"/>
  <c r="BW425" i="50"/>
  <c r="BV425" i="50"/>
  <c r="BU425" i="50"/>
  <c r="BT425" i="50"/>
  <c r="BS425" i="50"/>
  <c r="BR425" i="50"/>
  <c r="BQ425" i="50"/>
  <c r="BP425" i="50"/>
  <c r="BO425" i="50"/>
  <c r="BN425" i="50"/>
  <c r="BM425" i="50"/>
  <c r="BL425" i="50"/>
  <c r="BK425" i="50"/>
  <c r="BJ425" i="50"/>
  <c r="M425" i="50"/>
  <c r="M424" i="50"/>
  <c r="D411" i="50"/>
  <c r="D410" i="50"/>
  <c r="D409" i="50"/>
  <c r="D408" i="50"/>
  <c r="CM397" i="50"/>
  <c r="CG397" i="50"/>
  <c r="BY397" i="50"/>
  <c r="BW397" i="50"/>
  <c r="BV397" i="50"/>
  <c r="BU397" i="50"/>
  <c r="BT397" i="50"/>
  <c r="BS397" i="50"/>
  <c r="BR397" i="50"/>
  <c r="BQ397" i="50"/>
  <c r="BP397" i="50"/>
  <c r="BO397" i="50"/>
  <c r="BN397" i="50"/>
  <c r="BM397" i="50"/>
  <c r="BL397" i="50"/>
  <c r="BK397" i="50"/>
  <c r="BJ397" i="50"/>
  <c r="M397" i="50"/>
  <c r="M396" i="50"/>
  <c r="D383" i="50"/>
  <c r="D382" i="50"/>
  <c r="D381" i="50"/>
  <c r="D380" i="50"/>
  <c r="CM369" i="50"/>
  <c r="CG369" i="50"/>
  <c r="BY369" i="50"/>
  <c r="BW369" i="50"/>
  <c r="BV369" i="50"/>
  <c r="BU369" i="50"/>
  <c r="BT369" i="50"/>
  <c r="BS369" i="50"/>
  <c r="BR369" i="50"/>
  <c r="BQ369" i="50"/>
  <c r="BP369" i="50"/>
  <c r="BO369" i="50"/>
  <c r="BN369" i="50"/>
  <c r="BM369" i="50"/>
  <c r="BL369" i="50"/>
  <c r="BK369" i="50"/>
  <c r="BJ369" i="50"/>
  <c r="M369" i="50"/>
  <c r="M368" i="50"/>
  <c r="D355" i="50"/>
  <c r="D354" i="50"/>
  <c r="D353" i="50"/>
  <c r="D352" i="50"/>
  <c r="CM341" i="50"/>
  <c r="CG341" i="50"/>
  <c r="BY341" i="50"/>
  <c r="BW341" i="50"/>
  <c r="BV341" i="50"/>
  <c r="BU341" i="50"/>
  <c r="BT341" i="50"/>
  <c r="BS341" i="50"/>
  <c r="BR341" i="50"/>
  <c r="BQ341" i="50"/>
  <c r="BP341" i="50"/>
  <c r="BO341" i="50"/>
  <c r="BN341" i="50"/>
  <c r="BM341" i="50"/>
  <c r="BL341" i="50"/>
  <c r="BK341" i="50"/>
  <c r="BJ341" i="50"/>
  <c r="M341" i="50"/>
  <c r="M340" i="50"/>
  <c r="D327" i="50"/>
  <c r="D326" i="50"/>
  <c r="D325" i="50"/>
  <c r="D324" i="50"/>
  <c r="CM313" i="50"/>
  <c r="CG313" i="50"/>
  <c r="BY313" i="50"/>
  <c r="BW313" i="50"/>
  <c r="BV313" i="50"/>
  <c r="BU313" i="50"/>
  <c r="BT313" i="50"/>
  <c r="BS313" i="50"/>
  <c r="BR313" i="50"/>
  <c r="BQ313" i="50"/>
  <c r="BP313" i="50"/>
  <c r="BO313" i="50"/>
  <c r="BN313" i="50"/>
  <c r="BM313" i="50"/>
  <c r="BL313" i="50"/>
  <c r="BK313" i="50"/>
  <c r="BJ313" i="50"/>
  <c r="M313" i="50"/>
  <c r="D298" i="50"/>
  <c r="D297" i="50"/>
  <c r="CM285" i="50"/>
  <c r="CG285" i="50"/>
  <c r="BY285" i="50"/>
  <c r="BW285" i="50"/>
  <c r="BV285" i="50"/>
  <c r="BU285" i="50"/>
  <c r="BT285" i="50"/>
  <c r="BS285" i="50"/>
  <c r="BR285" i="50"/>
  <c r="BQ285" i="50"/>
  <c r="BP285" i="50"/>
  <c r="BO285" i="50"/>
  <c r="BN285" i="50"/>
  <c r="BM285" i="50"/>
  <c r="BL285" i="50"/>
  <c r="BK285" i="50"/>
  <c r="BJ285" i="50"/>
  <c r="M285" i="50"/>
  <c r="M284" i="50"/>
  <c r="D271" i="50"/>
  <c r="D270" i="50"/>
  <c r="D269" i="50"/>
  <c r="D268" i="50"/>
  <c r="CM257" i="50"/>
  <c r="CG257" i="50"/>
  <c r="BY257" i="50"/>
  <c r="BW257" i="50"/>
  <c r="BV257" i="50"/>
  <c r="BU257" i="50"/>
  <c r="BT257" i="50"/>
  <c r="BS257" i="50"/>
  <c r="BR257" i="50"/>
  <c r="BQ257" i="50"/>
  <c r="BP257" i="50"/>
  <c r="BO257" i="50"/>
  <c r="BN257" i="50"/>
  <c r="BM257" i="50"/>
  <c r="BL257" i="50"/>
  <c r="BK257" i="50"/>
  <c r="BJ257" i="50"/>
  <c r="M257" i="50"/>
  <c r="M256" i="50"/>
  <c r="D243" i="50"/>
  <c r="D242" i="50"/>
  <c r="D241" i="50"/>
  <c r="D240" i="50"/>
  <c r="CM229" i="50"/>
  <c r="CG229" i="50"/>
  <c r="BY229" i="50"/>
  <c r="BW229" i="50"/>
  <c r="BV229" i="50"/>
  <c r="BU229" i="50"/>
  <c r="BT229" i="50"/>
  <c r="BS229" i="50"/>
  <c r="BR229" i="50"/>
  <c r="BQ229" i="50"/>
  <c r="BP229" i="50"/>
  <c r="BO229" i="50"/>
  <c r="BN229" i="50"/>
  <c r="BM229" i="50"/>
  <c r="BL229" i="50"/>
  <c r="BK229" i="50"/>
  <c r="BJ229" i="50"/>
  <c r="M229" i="50"/>
  <c r="M228" i="50"/>
  <c r="D215" i="50"/>
  <c r="D214" i="50"/>
  <c r="D213" i="50"/>
  <c r="D212" i="50"/>
  <c r="CM201" i="50"/>
  <c r="CG201" i="50"/>
  <c r="BY201" i="50"/>
  <c r="BW201" i="50"/>
  <c r="BV201" i="50"/>
  <c r="BU201" i="50"/>
  <c r="BT201" i="50"/>
  <c r="BS201" i="50"/>
  <c r="BR201" i="50"/>
  <c r="BQ201" i="50"/>
  <c r="BP201" i="50"/>
  <c r="BO201" i="50"/>
  <c r="BN201" i="50"/>
  <c r="BM201" i="50"/>
  <c r="BL201" i="50"/>
  <c r="BK201" i="50"/>
  <c r="BJ201" i="50"/>
  <c r="M201" i="50"/>
  <c r="M200" i="50"/>
  <c r="D187" i="50"/>
  <c r="D186" i="50"/>
  <c r="D185" i="50"/>
  <c r="D184" i="50"/>
  <c r="CM173" i="50"/>
  <c r="CG173" i="50"/>
  <c r="BY173" i="50"/>
  <c r="BW173" i="50"/>
  <c r="BV173" i="50"/>
  <c r="BU173" i="50"/>
  <c r="BT173" i="50"/>
  <c r="BS173" i="50"/>
  <c r="BR173" i="50"/>
  <c r="BQ173" i="50"/>
  <c r="BP173" i="50"/>
  <c r="BO173" i="50"/>
  <c r="BN173" i="50"/>
  <c r="BM173" i="50"/>
  <c r="BL173" i="50"/>
  <c r="BK173" i="50"/>
  <c r="BJ173" i="50"/>
  <c r="M173" i="50"/>
  <c r="M172" i="50"/>
  <c r="D159" i="50"/>
  <c r="D158" i="50"/>
  <c r="D157" i="50"/>
  <c r="D156" i="50"/>
  <c r="CM145" i="50"/>
  <c r="CG145" i="50"/>
  <c r="BY145" i="50"/>
  <c r="BS145" i="50"/>
  <c r="BR145" i="50"/>
  <c r="BQ145" i="50"/>
  <c r="BP145" i="50"/>
  <c r="BO145" i="50"/>
  <c r="BN145" i="50"/>
  <c r="BM145" i="50"/>
  <c r="BL145" i="50"/>
  <c r="BK145" i="50"/>
  <c r="BJ145" i="50"/>
  <c r="M145" i="50"/>
  <c r="M144" i="50"/>
  <c r="D131" i="50"/>
  <c r="D130" i="50"/>
  <c r="D129" i="50"/>
  <c r="D128" i="50"/>
  <c r="CM117" i="50"/>
  <c r="CG117" i="50"/>
  <c r="BY117" i="50"/>
  <c r="BW117" i="50"/>
  <c r="BV117" i="50"/>
  <c r="BU117" i="50"/>
  <c r="BT117" i="50"/>
  <c r="BS117" i="50"/>
  <c r="BR117" i="50"/>
  <c r="BQ117" i="50"/>
  <c r="BP117" i="50"/>
  <c r="BO117" i="50"/>
  <c r="BN117" i="50"/>
  <c r="BM117" i="50"/>
  <c r="BL117" i="50"/>
  <c r="BK117" i="50"/>
  <c r="BJ117" i="50"/>
  <c r="M117" i="50"/>
  <c r="M116" i="50"/>
  <c r="D103" i="50"/>
  <c r="D102" i="50"/>
  <c r="D101" i="50"/>
  <c r="D100" i="50"/>
  <c r="CM89" i="50"/>
  <c r="CG89" i="50"/>
  <c r="BY89" i="50"/>
  <c r="BW89" i="50"/>
  <c r="BV89" i="50"/>
  <c r="BU89" i="50"/>
  <c r="BT89" i="50"/>
  <c r="BS89" i="50"/>
  <c r="BR89" i="50"/>
  <c r="BQ89" i="50"/>
  <c r="BP89" i="50"/>
  <c r="BO89" i="50"/>
  <c r="BN89" i="50"/>
  <c r="BM89" i="50"/>
  <c r="BL89" i="50"/>
  <c r="BK89" i="50"/>
  <c r="BJ89" i="50"/>
  <c r="M89" i="50"/>
  <c r="M88" i="50"/>
  <c r="D75" i="50"/>
  <c r="D74" i="50"/>
  <c r="D73" i="50"/>
  <c r="D72" i="50"/>
  <c r="CM61" i="50"/>
  <c r="CG61" i="50"/>
  <c r="BY61" i="50"/>
  <c r="BW61" i="50"/>
  <c r="BV61" i="50"/>
  <c r="BU61" i="50"/>
  <c r="BT61" i="50"/>
  <c r="BS61" i="50"/>
  <c r="BR61" i="50"/>
  <c r="BQ61" i="50"/>
  <c r="BP61" i="50"/>
  <c r="BO61" i="50"/>
  <c r="BN61" i="50"/>
  <c r="BM61" i="50"/>
  <c r="BL61" i="50"/>
  <c r="BK61" i="50"/>
  <c r="BJ61" i="50"/>
  <c r="M61" i="50"/>
  <c r="M60" i="50"/>
  <c r="E57" i="50"/>
  <c r="F36" i="50"/>
  <c r="F35" i="50"/>
  <c r="E35" i="50"/>
  <c r="F34" i="50"/>
  <c r="F33" i="50"/>
  <c r="F32" i="50"/>
  <c r="E32" i="50"/>
  <c r="F31" i="50"/>
  <c r="F30" i="50"/>
  <c r="E30" i="50"/>
  <c r="F29" i="50"/>
  <c r="F27" i="50"/>
  <c r="E27" i="50"/>
  <c r="K29" i="57"/>
  <c r="I29" i="57"/>
  <c r="G29" i="57"/>
  <c r="K28" i="57"/>
  <c r="I28" i="57"/>
  <c r="G28" i="57"/>
  <c r="K27" i="57"/>
  <c r="I27" i="57"/>
  <c r="G27" i="57"/>
  <c r="K26" i="57"/>
  <c r="I26" i="57"/>
  <c r="G26" i="57"/>
  <c r="K25" i="57"/>
  <c r="I25" i="57"/>
  <c r="G25" i="57"/>
  <c r="K24" i="57"/>
  <c r="I24" i="57"/>
  <c r="G24" i="57"/>
  <c r="K23" i="57"/>
  <c r="I23" i="57"/>
  <c r="G23" i="57"/>
  <c r="AQ64" i="57"/>
  <c r="AQ63" i="57"/>
  <c r="AQ62" i="57"/>
  <c r="AQ61" i="57"/>
  <c r="AQ60" i="57"/>
  <c r="AQ59" i="57"/>
  <c r="AQ58" i="57"/>
  <c r="AQ57" i="57"/>
  <c r="AQ56" i="57"/>
  <c r="AQ55" i="57"/>
  <c r="AQ54" i="57"/>
  <c r="AQ53" i="57"/>
  <c r="AQ52" i="57"/>
  <c r="AQ50" i="57"/>
  <c r="AQ49" i="57"/>
  <c r="AQ48" i="57"/>
  <c r="AQ47" i="57"/>
  <c r="AQ46" i="57"/>
  <c r="AQ45" i="57"/>
  <c r="AQ43" i="57"/>
  <c r="AQ42" i="57"/>
  <c r="AQ41" i="57"/>
  <c r="AQ40" i="57"/>
  <c r="AQ39" i="57"/>
  <c r="AQ38" i="57"/>
  <c r="AQ37" i="57"/>
  <c r="AQ36" i="57"/>
  <c r="AQ35" i="57"/>
  <c r="AQ34" i="57"/>
  <c r="AQ33" i="57"/>
  <c r="AQ32" i="57"/>
  <c r="AQ31" i="57"/>
  <c r="AQ30" i="57"/>
  <c r="AQ24" i="57"/>
  <c r="AQ23" i="57"/>
  <c r="E23" i="57"/>
  <c r="D1442" i="50"/>
  <c r="D1414" i="50"/>
  <c r="D1386" i="50"/>
  <c r="D1358" i="50"/>
  <c r="D1330" i="50"/>
  <c r="D1302" i="50"/>
  <c r="D1274" i="50"/>
  <c r="D1246" i="50"/>
  <c r="D1218" i="50"/>
  <c r="D1190" i="50"/>
  <c r="D1162" i="50"/>
  <c r="D1134" i="50"/>
  <c r="D1106" i="50"/>
  <c r="D1078" i="50"/>
  <c r="D1050" i="50"/>
  <c r="D1022" i="50"/>
  <c r="D994" i="50"/>
  <c r="D966" i="50"/>
  <c r="D938" i="50"/>
  <c r="D910" i="50"/>
  <c r="D882" i="50"/>
  <c r="D854" i="50"/>
  <c r="D826" i="50"/>
  <c r="D798" i="50"/>
  <c r="D770" i="50"/>
  <c r="D742" i="50"/>
  <c r="D714" i="50"/>
  <c r="D686" i="50"/>
  <c r="D658" i="50"/>
  <c r="D630" i="50"/>
  <c r="D602" i="50"/>
  <c r="D574" i="50"/>
  <c r="D546" i="50"/>
  <c r="D518" i="50"/>
  <c r="D490" i="50"/>
  <c r="D462" i="50"/>
  <c r="D434" i="50"/>
  <c r="D406" i="50"/>
  <c r="D378" i="50"/>
  <c r="D350" i="50"/>
  <c r="D322" i="50"/>
  <c r="D294" i="50"/>
  <c r="D266" i="50"/>
  <c r="D238" i="50"/>
  <c r="D210" i="50"/>
  <c r="D182" i="50"/>
  <c r="D154" i="50"/>
  <c r="D126" i="50"/>
  <c r="D98" i="50"/>
  <c r="D70" i="50"/>
  <c r="AQ25" i="57" l="1"/>
  <c r="AQ26" i="57" s="1"/>
  <c r="F28" i="50"/>
  <c r="F20" i="50"/>
  <c r="F17" i="50"/>
  <c r="F16" i="50"/>
  <c r="E16" i="50"/>
  <c r="AQ27" i="57" l="1"/>
  <c r="AR23" i="57"/>
  <c r="AQ28" i="57" l="1"/>
  <c r="AR24" i="57" s="1"/>
  <c r="AQ29" i="57" l="1"/>
  <c r="AQ44" i="57" l="1"/>
  <c r="AR25" i="57"/>
  <c r="AQ51" i="57" l="1"/>
  <c r="E36" i="62" l="1"/>
  <c r="G36" i="62"/>
  <c r="H36" i="62"/>
  <c r="I36" i="62"/>
  <c r="J36" i="62"/>
  <c r="K36" i="62"/>
  <c r="L36" i="62"/>
  <c r="J37" i="62"/>
  <c r="K37" i="62"/>
  <c r="L37" i="62"/>
  <c r="E38" i="62"/>
  <c r="H38" i="62"/>
  <c r="J38" i="62"/>
  <c r="K38" i="62"/>
  <c r="F1457" i="50"/>
  <c r="CQ1455" i="50"/>
  <c r="CQ1457" i="50" s="1"/>
  <c r="M1455" i="50"/>
  <c r="H1455" i="50"/>
  <c r="D1455" i="50"/>
  <c r="D1453" i="50"/>
  <c r="G1450" i="50"/>
  <c r="Z1449" i="50"/>
  <c r="U1449" i="50"/>
  <c r="D1449" i="50"/>
  <c r="AV1447" i="50"/>
  <c r="CD1432" i="50" s="1"/>
  <c r="AV1446" i="50"/>
  <c r="AV1445" i="50"/>
  <c r="CB1432" i="50" s="1"/>
  <c r="AV1444" i="50"/>
  <c r="CA1432" i="50" s="1"/>
  <c r="AA1443" i="50"/>
  <c r="Z1443" i="50"/>
  <c r="D1443" i="50"/>
  <c r="AA1442" i="50"/>
  <c r="Z1442" i="50"/>
  <c r="Z1441" i="50"/>
  <c r="D1441" i="50"/>
  <c r="AK1440" i="50"/>
  <c r="Z1440" i="50"/>
  <c r="D1440" i="50"/>
  <c r="H1439" i="50"/>
  <c r="AK1438" i="50"/>
  <c r="AC1438" i="50"/>
  <c r="AW1438" i="50" s="1"/>
  <c r="AX1438" i="50" s="1"/>
  <c r="Z1438" i="50"/>
  <c r="V1438" i="50"/>
  <c r="V1449" i="50" s="1"/>
  <c r="Q1438" i="50"/>
  <c r="D1438" i="50"/>
  <c r="Q1437" i="50"/>
  <c r="M1437" i="50"/>
  <c r="K1437" i="50"/>
  <c r="I1437" i="50"/>
  <c r="G1437" i="50"/>
  <c r="F1437" i="50"/>
  <c r="BM1435" i="50"/>
  <c r="BL1435" i="50"/>
  <c r="BK1435" i="50"/>
  <c r="Q1435" i="50"/>
  <c r="E1435" i="50"/>
  <c r="Y1433" i="50"/>
  <c r="Q1433" i="50"/>
  <c r="O1433" i="50"/>
  <c r="E1433" i="50"/>
  <c r="Y1449" i="50" s="1"/>
  <c r="BY1432" i="50"/>
  <c r="BW1432" i="50"/>
  <c r="BT1432" i="50"/>
  <c r="BQ1432" i="50"/>
  <c r="BO1432" i="50"/>
  <c r="BN1432" i="50"/>
  <c r="BJ1432" i="50"/>
  <c r="BI1432" i="50"/>
  <c r="Q1432" i="50"/>
  <c r="P1432" i="50"/>
  <c r="P1404" i="50" s="1"/>
  <c r="P1376" i="50" s="1"/>
  <c r="P1348" i="50" s="1"/>
  <c r="P1320" i="50" s="1"/>
  <c r="P1292" i="50" s="1"/>
  <c r="P1264" i="50" s="1"/>
  <c r="P1236" i="50" s="1"/>
  <c r="P1208" i="50" s="1"/>
  <c r="P1180" i="50" s="1"/>
  <c r="P1152" i="50" s="1"/>
  <c r="P1124" i="50" s="1"/>
  <c r="P1096" i="50" s="1"/>
  <c r="P1068" i="50" s="1"/>
  <c r="P1040" i="50" s="1"/>
  <c r="P1012" i="50" s="1"/>
  <c r="P984" i="50" s="1"/>
  <c r="P956" i="50" s="1"/>
  <c r="P928" i="50" s="1"/>
  <c r="P900" i="50" s="1"/>
  <c r="P872" i="50" s="1"/>
  <c r="P844" i="50" s="1"/>
  <c r="P816" i="50" s="1"/>
  <c r="P788" i="50" s="1"/>
  <c r="P760" i="50" s="1"/>
  <c r="P732" i="50" s="1"/>
  <c r="P704" i="50" s="1"/>
  <c r="P676" i="50" s="1"/>
  <c r="P648" i="50" s="1"/>
  <c r="P620" i="50" s="1"/>
  <c r="P592" i="50" s="1"/>
  <c r="P564" i="50" s="1"/>
  <c r="P536" i="50" s="1"/>
  <c r="P508" i="50" s="1"/>
  <c r="P480" i="50" s="1"/>
  <c r="P452" i="50" s="1"/>
  <c r="P424" i="50" s="1"/>
  <c r="P396" i="50" s="1"/>
  <c r="P368" i="50" s="1"/>
  <c r="P340" i="50" s="1"/>
  <c r="P312" i="50" s="1"/>
  <c r="P284" i="50" s="1"/>
  <c r="P256" i="50" s="1"/>
  <c r="P228" i="50" s="1"/>
  <c r="P200" i="50" s="1"/>
  <c r="P172" i="50" s="1"/>
  <c r="P144" i="50" s="1"/>
  <c r="P116" i="50" s="1"/>
  <c r="P88" i="50" s="1"/>
  <c r="O1432" i="50"/>
  <c r="U1431" i="50"/>
  <c r="T1431" i="50"/>
  <c r="F1429" i="50"/>
  <c r="CQ1427" i="50"/>
  <c r="CQ1429" i="50" s="1"/>
  <c r="M1427" i="50"/>
  <c r="H1427" i="50"/>
  <c r="D1427" i="50"/>
  <c r="D1425" i="50"/>
  <c r="G1422" i="50"/>
  <c r="Z1421" i="50"/>
  <c r="U1421" i="50"/>
  <c r="D1421" i="50"/>
  <c r="AV1419" i="50"/>
  <c r="CD1404" i="50" s="1"/>
  <c r="AV1418" i="50"/>
  <c r="CC1404" i="50" s="1"/>
  <c r="AV1417" i="50"/>
  <c r="CB1404" i="50" s="1"/>
  <c r="AV1416" i="50"/>
  <c r="CA1404" i="50" s="1"/>
  <c r="AA1415" i="50"/>
  <c r="Z1415" i="50"/>
  <c r="D1415" i="50"/>
  <c r="AA1414" i="50"/>
  <c r="Z1414" i="50"/>
  <c r="Z1413" i="50"/>
  <c r="D1413" i="50"/>
  <c r="AK1412" i="50"/>
  <c r="Z1412" i="50"/>
  <c r="D1412" i="50"/>
  <c r="H1411" i="50"/>
  <c r="AK1410" i="50"/>
  <c r="AC1410" i="50"/>
  <c r="AW1410" i="50" s="1"/>
  <c r="Z1410" i="50"/>
  <c r="V1410" i="50"/>
  <c r="V1421" i="50" s="1"/>
  <c r="Q1410" i="50"/>
  <c r="D1410" i="50"/>
  <c r="Q1409" i="50"/>
  <c r="M1409" i="50"/>
  <c r="K1409" i="50"/>
  <c r="I1409" i="50"/>
  <c r="G1409" i="50"/>
  <c r="F1409" i="50"/>
  <c r="BM1407" i="50"/>
  <c r="BL1407" i="50"/>
  <c r="BK1407" i="50"/>
  <c r="Q1407" i="50"/>
  <c r="E1407" i="50"/>
  <c r="Y1405" i="50"/>
  <c r="Q1405" i="50"/>
  <c r="O1405" i="50"/>
  <c r="E1405" i="50"/>
  <c r="Y1421" i="50" s="1"/>
  <c r="BY1404" i="50"/>
  <c r="BW1404" i="50"/>
  <c r="BT1404" i="50"/>
  <c r="BQ1404" i="50"/>
  <c r="BO1404" i="50"/>
  <c r="BN1404" i="50"/>
  <c r="BJ1404" i="50"/>
  <c r="BI1404" i="50"/>
  <c r="Q1404" i="50"/>
  <c r="O1404" i="50"/>
  <c r="U1403" i="50"/>
  <c r="T1403" i="50"/>
  <c r="F1401" i="50"/>
  <c r="CQ1399" i="50"/>
  <c r="CQ1401" i="50" s="1"/>
  <c r="M1399" i="50"/>
  <c r="H1399" i="50"/>
  <c r="D1399" i="50"/>
  <c r="D1397" i="50"/>
  <c r="G1394" i="50"/>
  <c r="Z1393" i="50"/>
  <c r="U1393" i="50"/>
  <c r="D1393" i="50"/>
  <c r="AV1391" i="50"/>
  <c r="CD1376" i="50" s="1"/>
  <c r="AV1390" i="50"/>
  <c r="CC1376" i="50" s="1"/>
  <c r="AV1389" i="50"/>
  <c r="CB1376" i="50" s="1"/>
  <c r="AV1388" i="50"/>
  <c r="CA1376" i="50" s="1"/>
  <c r="AA1387" i="50"/>
  <c r="Z1387" i="50"/>
  <c r="D1387" i="50"/>
  <c r="AA1386" i="50"/>
  <c r="Z1386" i="50"/>
  <c r="Z1385" i="50"/>
  <c r="D1385" i="50"/>
  <c r="AK1384" i="50"/>
  <c r="Z1384" i="50"/>
  <c r="D1384" i="50"/>
  <c r="H1383" i="50"/>
  <c r="AK1382" i="50"/>
  <c r="AC1382" i="50"/>
  <c r="AW1382" i="50" s="1"/>
  <c r="Z1382" i="50"/>
  <c r="V1382" i="50"/>
  <c r="Q1382" i="50"/>
  <c r="D1382" i="50"/>
  <c r="Q1381" i="50"/>
  <c r="M1381" i="50"/>
  <c r="K1381" i="50"/>
  <c r="I1381" i="50"/>
  <c r="G1381" i="50"/>
  <c r="F1381" i="50"/>
  <c r="BM1379" i="50"/>
  <c r="BL1379" i="50"/>
  <c r="BK1379" i="50"/>
  <c r="Q1379" i="50"/>
  <c r="E1379" i="50"/>
  <c r="Y1377" i="50"/>
  <c r="Q1377" i="50"/>
  <c r="O1377" i="50"/>
  <c r="E1377" i="50"/>
  <c r="Y1389" i="50" s="1"/>
  <c r="BY1376" i="50"/>
  <c r="BW1376" i="50"/>
  <c r="BT1376" i="50"/>
  <c r="BQ1376" i="50"/>
  <c r="BO1376" i="50"/>
  <c r="BN1376" i="50"/>
  <c r="BJ1376" i="50"/>
  <c r="BI1376" i="50"/>
  <c r="Q1376" i="50"/>
  <c r="O1376" i="50"/>
  <c r="U1375" i="50"/>
  <c r="T1375" i="50"/>
  <c r="F1373" i="50"/>
  <c r="CQ1371" i="50"/>
  <c r="CQ1373" i="50" s="1"/>
  <c r="M1371" i="50"/>
  <c r="H1371" i="50"/>
  <c r="D1371" i="50"/>
  <c r="D1369" i="50"/>
  <c r="G1366" i="50"/>
  <c r="Z1365" i="50"/>
  <c r="U1365" i="50"/>
  <c r="D1365" i="50"/>
  <c r="AV1363" i="50"/>
  <c r="CD1348" i="50" s="1"/>
  <c r="AV1362" i="50"/>
  <c r="CC1348" i="50" s="1"/>
  <c r="AV1361" i="50"/>
  <c r="CB1348" i="50" s="1"/>
  <c r="AV1360" i="50"/>
  <c r="CA1348" i="50" s="1"/>
  <c r="AA1359" i="50"/>
  <c r="Z1359" i="50"/>
  <c r="D1359" i="50"/>
  <c r="AA1358" i="50"/>
  <c r="Z1358" i="50"/>
  <c r="Z1357" i="50"/>
  <c r="D1357" i="50"/>
  <c r="AK1356" i="50"/>
  <c r="Z1356" i="50"/>
  <c r="D1356" i="50"/>
  <c r="H1355" i="50"/>
  <c r="AK1354" i="50"/>
  <c r="AC1354" i="50"/>
  <c r="AG1354" i="50" s="1"/>
  <c r="Z1354" i="50"/>
  <c r="V1354" i="50"/>
  <c r="V1365" i="50" s="1"/>
  <c r="Q1354" i="50"/>
  <c r="D1354" i="50"/>
  <c r="Q1353" i="50"/>
  <c r="M1353" i="50"/>
  <c r="K1353" i="50"/>
  <c r="I1353" i="50"/>
  <c r="G1353" i="50"/>
  <c r="F1353" i="50"/>
  <c r="BM1351" i="50"/>
  <c r="BL1351" i="50"/>
  <c r="BK1351" i="50"/>
  <c r="Q1351" i="50"/>
  <c r="E1351" i="50"/>
  <c r="Y1349" i="50"/>
  <c r="Q1349" i="50"/>
  <c r="O1349" i="50"/>
  <c r="E1349" i="50"/>
  <c r="BY1348" i="50"/>
  <c r="BW1348" i="50"/>
  <c r="BT1348" i="50"/>
  <c r="BQ1348" i="50"/>
  <c r="BO1348" i="50"/>
  <c r="BN1348" i="50"/>
  <c r="BJ1348" i="50"/>
  <c r="BI1348" i="50"/>
  <c r="Q1348" i="50"/>
  <c r="O1348" i="50"/>
  <c r="U1347" i="50"/>
  <c r="T1347" i="50"/>
  <c r="F1345" i="50"/>
  <c r="CQ1343" i="50"/>
  <c r="CQ1345" i="50" s="1"/>
  <c r="M1343" i="50"/>
  <c r="H1343" i="50"/>
  <c r="D1343" i="50"/>
  <c r="D1341" i="50"/>
  <c r="G1338" i="50"/>
  <c r="Z1337" i="50"/>
  <c r="U1337" i="50"/>
  <c r="D1337" i="50"/>
  <c r="AV1335" i="50"/>
  <c r="CD1320" i="50" s="1"/>
  <c r="AV1334" i="50"/>
  <c r="CC1320" i="50" s="1"/>
  <c r="AV1333" i="50"/>
  <c r="CB1320" i="50" s="1"/>
  <c r="AV1332" i="50"/>
  <c r="CA1320" i="50" s="1"/>
  <c r="AA1331" i="50"/>
  <c r="Z1331" i="50"/>
  <c r="D1331" i="50"/>
  <c r="AA1330" i="50"/>
  <c r="Z1330" i="50"/>
  <c r="Z1329" i="50"/>
  <c r="D1329" i="50"/>
  <c r="AK1328" i="50"/>
  <c r="Z1328" i="50"/>
  <c r="D1328" i="50"/>
  <c r="H1327" i="50"/>
  <c r="AK1326" i="50"/>
  <c r="AC1326" i="50"/>
  <c r="Z1326" i="50"/>
  <c r="V1326" i="50"/>
  <c r="Q1326" i="50"/>
  <c r="D1326" i="50"/>
  <c r="Q1325" i="50"/>
  <c r="M1325" i="50"/>
  <c r="K1325" i="50"/>
  <c r="I1325" i="50"/>
  <c r="G1325" i="50"/>
  <c r="F1325" i="50"/>
  <c r="BM1323" i="50"/>
  <c r="BL1323" i="50"/>
  <c r="BK1323" i="50"/>
  <c r="Q1323" i="50"/>
  <c r="E1323" i="50"/>
  <c r="Y1321" i="50"/>
  <c r="Q1321" i="50"/>
  <c r="O1321" i="50"/>
  <c r="E1321" i="50"/>
  <c r="BY1320" i="50"/>
  <c r="BW1320" i="50"/>
  <c r="BT1320" i="50"/>
  <c r="BQ1320" i="50"/>
  <c r="BO1320" i="50"/>
  <c r="BN1320" i="50"/>
  <c r="BJ1320" i="50"/>
  <c r="BI1320" i="50"/>
  <c r="Q1320" i="50"/>
  <c r="O1320" i="50"/>
  <c r="U1319" i="50"/>
  <c r="T1319" i="50"/>
  <c r="F1317" i="50"/>
  <c r="CQ1315" i="50"/>
  <c r="CQ1317" i="50" s="1"/>
  <c r="M1315" i="50"/>
  <c r="H1315" i="50"/>
  <c r="D1315" i="50"/>
  <c r="D1313" i="50"/>
  <c r="G1310" i="50"/>
  <c r="Z1309" i="50"/>
  <c r="U1309" i="50"/>
  <c r="D1309" i="50"/>
  <c r="AV1307" i="50"/>
  <c r="CD1292" i="50" s="1"/>
  <c r="AV1306" i="50"/>
  <c r="CC1292" i="50" s="1"/>
  <c r="AV1305" i="50"/>
  <c r="CB1292" i="50" s="1"/>
  <c r="AV1304" i="50"/>
  <c r="CA1292" i="50" s="1"/>
  <c r="AA1303" i="50"/>
  <c r="Z1303" i="50"/>
  <c r="D1303" i="50"/>
  <c r="AA1302" i="50"/>
  <c r="Z1302" i="50"/>
  <c r="Z1301" i="50"/>
  <c r="D1301" i="50"/>
  <c r="AK1300" i="50"/>
  <c r="Z1300" i="50"/>
  <c r="D1300" i="50"/>
  <c r="H1299" i="50"/>
  <c r="AK1298" i="50"/>
  <c r="AC1298" i="50"/>
  <c r="AW1298" i="50" s="1"/>
  <c r="AX1298" i="50" s="1"/>
  <c r="Z1298" i="50"/>
  <c r="V1298" i="50"/>
  <c r="V1309" i="50" s="1"/>
  <c r="Q1298" i="50"/>
  <c r="D1298" i="50"/>
  <c r="Q1297" i="50"/>
  <c r="M1297" i="50"/>
  <c r="K1297" i="50"/>
  <c r="I1297" i="50"/>
  <c r="G1297" i="50"/>
  <c r="F1297" i="50"/>
  <c r="BM1295" i="50"/>
  <c r="BL1295" i="50"/>
  <c r="BK1295" i="50"/>
  <c r="Q1295" i="50"/>
  <c r="E1295" i="50"/>
  <c r="Y1293" i="50"/>
  <c r="Q1293" i="50"/>
  <c r="O1293" i="50"/>
  <c r="E1293" i="50"/>
  <c r="N1292" i="50" s="1"/>
  <c r="BY1292" i="50"/>
  <c r="BW1292" i="50"/>
  <c r="BT1292" i="50"/>
  <c r="BQ1292" i="50"/>
  <c r="BO1292" i="50"/>
  <c r="BN1292" i="50"/>
  <c r="BJ1292" i="50"/>
  <c r="BI1292" i="50"/>
  <c r="Q1292" i="50"/>
  <c r="O1292" i="50"/>
  <c r="U1291" i="50"/>
  <c r="T1291" i="50"/>
  <c r="F1289" i="50"/>
  <c r="CQ1287" i="50"/>
  <c r="CQ1289" i="50" s="1"/>
  <c r="M1287" i="50"/>
  <c r="H1287" i="50"/>
  <c r="D1287" i="50"/>
  <c r="D1285" i="50"/>
  <c r="G1282" i="50"/>
  <c r="Z1281" i="50"/>
  <c r="U1281" i="50"/>
  <c r="D1281" i="50"/>
  <c r="AV1279" i="50"/>
  <c r="CD1264" i="50" s="1"/>
  <c r="AV1278" i="50"/>
  <c r="CC1264" i="50" s="1"/>
  <c r="AV1277" i="50"/>
  <c r="CB1264" i="50" s="1"/>
  <c r="AV1276" i="50"/>
  <c r="CA1264" i="50" s="1"/>
  <c r="AA1275" i="50"/>
  <c r="Z1275" i="50"/>
  <c r="D1275" i="50"/>
  <c r="AA1274" i="50"/>
  <c r="Z1274" i="50"/>
  <c r="Z1273" i="50"/>
  <c r="D1273" i="50"/>
  <c r="AK1272" i="50"/>
  <c r="Z1272" i="50"/>
  <c r="D1272" i="50"/>
  <c r="H1271" i="50"/>
  <c r="AK1270" i="50"/>
  <c r="AC1270" i="50"/>
  <c r="AW1270" i="50" s="1"/>
  <c r="Z1270" i="50"/>
  <c r="V1270" i="50"/>
  <c r="V1281" i="50" s="1"/>
  <c r="Q1270" i="50"/>
  <c r="D1270" i="50"/>
  <c r="Q1269" i="50"/>
  <c r="M1269" i="50"/>
  <c r="K1269" i="50"/>
  <c r="I1269" i="50"/>
  <c r="G1269" i="50"/>
  <c r="F1269" i="50"/>
  <c r="BM1267" i="50"/>
  <c r="BL1267" i="50"/>
  <c r="BK1267" i="50"/>
  <c r="Q1267" i="50"/>
  <c r="E1267" i="50"/>
  <c r="Y1265" i="50"/>
  <c r="Q1265" i="50"/>
  <c r="O1265" i="50"/>
  <c r="E1265" i="50"/>
  <c r="Y1281" i="50" s="1"/>
  <c r="BY1264" i="50"/>
  <c r="BW1264" i="50"/>
  <c r="BT1264" i="50"/>
  <c r="BQ1264" i="50"/>
  <c r="BO1264" i="50"/>
  <c r="BN1264" i="50"/>
  <c r="BJ1264" i="50"/>
  <c r="BI1264" i="50"/>
  <c r="Q1264" i="50"/>
  <c r="O1264" i="50"/>
  <c r="U1263" i="50"/>
  <c r="T1263" i="50"/>
  <c r="F1261" i="50"/>
  <c r="CQ1259" i="50"/>
  <c r="CQ1261" i="50" s="1"/>
  <c r="M1259" i="50"/>
  <c r="H1259" i="50"/>
  <c r="D1259" i="50"/>
  <c r="D1257" i="50"/>
  <c r="G1254" i="50"/>
  <c r="Z1253" i="50"/>
  <c r="U1253" i="50"/>
  <c r="D1253" i="50"/>
  <c r="AV1251" i="50"/>
  <c r="CD1236" i="50" s="1"/>
  <c r="AV1250" i="50"/>
  <c r="CC1236" i="50" s="1"/>
  <c r="AV1249" i="50"/>
  <c r="CB1236" i="50" s="1"/>
  <c r="AV1248" i="50"/>
  <c r="CA1236" i="50" s="1"/>
  <c r="AA1247" i="50"/>
  <c r="Z1247" i="50"/>
  <c r="D1247" i="50"/>
  <c r="AA1246" i="50"/>
  <c r="Z1246" i="50"/>
  <c r="Z1245" i="50"/>
  <c r="D1245" i="50"/>
  <c r="AK1244" i="50"/>
  <c r="Z1244" i="50"/>
  <c r="D1244" i="50"/>
  <c r="H1243" i="50"/>
  <c r="AK1242" i="50"/>
  <c r="AC1242" i="50"/>
  <c r="AW1242" i="50" s="1"/>
  <c r="Z1242" i="50"/>
  <c r="V1242" i="50"/>
  <c r="Q1242" i="50"/>
  <c r="D1242" i="50"/>
  <c r="Q1241" i="50"/>
  <c r="M1241" i="50"/>
  <c r="K1241" i="50"/>
  <c r="I1241" i="50"/>
  <c r="G1241" i="50"/>
  <c r="F1241" i="50"/>
  <c r="BM1239" i="50"/>
  <c r="BL1239" i="50"/>
  <c r="BK1239" i="50"/>
  <c r="Q1239" i="50"/>
  <c r="E1239" i="50"/>
  <c r="Y1237" i="50"/>
  <c r="Q1237" i="50"/>
  <c r="O1237" i="50"/>
  <c r="E1237" i="50"/>
  <c r="BY1236" i="50"/>
  <c r="BW1236" i="50"/>
  <c r="BT1236" i="50"/>
  <c r="BQ1236" i="50"/>
  <c r="BO1236" i="50"/>
  <c r="BN1236" i="50"/>
  <c r="BJ1236" i="50"/>
  <c r="BI1236" i="50"/>
  <c r="Q1236" i="50"/>
  <c r="O1236" i="50"/>
  <c r="U1235" i="50"/>
  <c r="T1235" i="50"/>
  <c r="F1233" i="50"/>
  <c r="CQ1231" i="50"/>
  <c r="CQ1233" i="50" s="1"/>
  <c r="M1231" i="50"/>
  <c r="H1231" i="50"/>
  <c r="D1231" i="50"/>
  <c r="D1229" i="50"/>
  <c r="G1226" i="50"/>
  <c r="Z1225" i="50"/>
  <c r="U1225" i="50"/>
  <c r="D1225" i="50"/>
  <c r="AV1223" i="50"/>
  <c r="CD1208" i="50" s="1"/>
  <c r="AV1222" i="50"/>
  <c r="CC1208" i="50" s="1"/>
  <c r="AV1221" i="50"/>
  <c r="CB1208" i="50" s="1"/>
  <c r="AV1220" i="50"/>
  <c r="CA1208" i="50" s="1"/>
  <c r="AA1219" i="50"/>
  <c r="Z1219" i="50"/>
  <c r="D1219" i="50"/>
  <c r="AA1218" i="50"/>
  <c r="Z1218" i="50"/>
  <c r="Z1217" i="50"/>
  <c r="D1217" i="50"/>
  <c r="AK1216" i="50"/>
  <c r="Z1216" i="50"/>
  <c r="D1216" i="50"/>
  <c r="H1215" i="50"/>
  <c r="AK1214" i="50"/>
  <c r="AC1214" i="50"/>
  <c r="AF1214" i="50" s="1"/>
  <c r="Z1214" i="50"/>
  <c r="V1214" i="50"/>
  <c r="V1217" i="50" s="1"/>
  <c r="V1216" i="50" s="1"/>
  <c r="V1218" i="50" s="1"/>
  <c r="Q1214" i="50"/>
  <c r="D1214" i="50"/>
  <c r="Q1213" i="50"/>
  <c r="M1213" i="50"/>
  <c r="K1213" i="50"/>
  <c r="I1213" i="50"/>
  <c r="G1213" i="50"/>
  <c r="F1213" i="50"/>
  <c r="BM1211" i="50"/>
  <c r="BL1211" i="50"/>
  <c r="BK1211" i="50"/>
  <c r="Q1211" i="50"/>
  <c r="E1211" i="50"/>
  <c r="Y1209" i="50"/>
  <c r="Q1209" i="50"/>
  <c r="O1209" i="50"/>
  <c r="E1209" i="50"/>
  <c r="Y1221" i="50" s="1"/>
  <c r="BY1208" i="50"/>
  <c r="BW1208" i="50"/>
  <c r="BT1208" i="50"/>
  <c r="BQ1208" i="50"/>
  <c r="BO1208" i="50"/>
  <c r="BN1208" i="50"/>
  <c r="BJ1208" i="50"/>
  <c r="BI1208" i="50"/>
  <c r="Q1208" i="50"/>
  <c r="O1208" i="50"/>
  <c r="U1207" i="50"/>
  <c r="T1207" i="50"/>
  <c r="F1205" i="50"/>
  <c r="CQ1203" i="50"/>
  <c r="CQ1205" i="50" s="1"/>
  <c r="M1203" i="50"/>
  <c r="H1203" i="50"/>
  <c r="D1203" i="50"/>
  <c r="D1201" i="50"/>
  <c r="G1198" i="50"/>
  <c r="Z1197" i="50"/>
  <c r="U1197" i="50"/>
  <c r="D1197" i="50"/>
  <c r="AV1195" i="50"/>
  <c r="CD1180" i="50" s="1"/>
  <c r="AV1194" i="50"/>
  <c r="CC1180" i="50" s="1"/>
  <c r="AV1193" i="50"/>
  <c r="CB1180" i="50" s="1"/>
  <c r="AV1192" i="50"/>
  <c r="CA1180" i="50" s="1"/>
  <c r="AA1191" i="50"/>
  <c r="Z1191" i="50"/>
  <c r="D1191" i="50"/>
  <c r="AA1190" i="50"/>
  <c r="Z1190" i="50"/>
  <c r="Z1189" i="50"/>
  <c r="D1189" i="50"/>
  <c r="AK1188" i="50"/>
  <c r="Z1188" i="50"/>
  <c r="D1188" i="50"/>
  <c r="H1187" i="50"/>
  <c r="AK1186" i="50"/>
  <c r="AC1186" i="50"/>
  <c r="Z1186" i="50"/>
  <c r="V1186" i="50"/>
  <c r="V1197" i="50" s="1"/>
  <c r="Q1186" i="50"/>
  <c r="D1186" i="50"/>
  <c r="Q1185" i="50"/>
  <c r="M1185" i="50"/>
  <c r="K1185" i="50"/>
  <c r="I1185" i="50"/>
  <c r="G1185" i="50"/>
  <c r="F1185" i="50"/>
  <c r="BM1183" i="50"/>
  <c r="BL1183" i="50"/>
  <c r="BK1183" i="50"/>
  <c r="Q1183" i="50"/>
  <c r="E1183" i="50"/>
  <c r="Y1181" i="50"/>
  <c r="Q1181" i="50"/>
  <c r="O1181" i="50"/>
  <c r="E1181" i="50"/>
  <c r="R1183" i="50" s="1"/>
  <c r="BY1180" i="50"/>
  <c r="BW1180" i="50"/>
  <c r="BT1180" i="50"/>
  <c r="BQ1180" i="50"/>
  <c r="BO1180" i="50"/>
  <c r="BN1180" i="50"/>
  <c r="BJ1180" i="50"/>
  <c r="BI1180" i="50"/>
  <c r="Q1180" i="50"/>
  <c r="O1180" i="50"/>
  <c r="U1179" i="50"/>
  <c r="T1179" i="50"/>
  <c r="F1177" i="50"/>
  <c r="CQ1175" i="50"/>
  <c r="CQ1177" i="50" s="1"/>
  <c r="M1175" i="50"/>
  <c r="H1175" i="50"/>
  <c r="D1175" i="50"/>
  <c r="D1173" i="50"/>
  <c r="G1170" i="50"/>
  <c r="Z1169" i="50"/>
  <c r="U1169" i="50"/>
  <c r="D1169" i="50"/>
  <c r="AV1167" i="50"/>
  <c r="CD1152" i="50" s="1"/>
  <c r="AV1166" i="50"/>
  <c r="CC1152" i="50" s="1"/>
  <c r="AV1165" i="50"/>
  <c r="CB1152" i="50" s="1"/>
  <c r="AV1164" i="50"/>
  <c r="CA1152" i="50" s="1"/>
  <c r="AA1163" i="50"/>
  <c r="Z1163" i="50"/>
  <c r="D1163" i="50"/>
  <c r="AA1162" i="50"/>
  <c r="Z1162" i="50"/>
  <c r="Z1161" i="50"/>
  <c r="D1161" i="50"/>
  <c r="AK1160" i="50"/>
  <c r="Z1160" i="50"/>
  <c r="D1160" i="50"/>
  <c r="H1159" i="50"/>
  <c r="AK1158" i="50"/>
  <c r="AC1158" i="50"/>
  <c r="AW1158" i="50" s="1"/>
  <c r="Z1158" i="50"/>
  <c r="V1158" i="50"/>
  <c r="V1169" i="50" s="1"/>
  <c r="Q1158" i="50"/>
  <c r="D1158" i="50"/>
  <c r="Q1157" i="50"/>
  <c r="M1157" i="50"/>
  <c r="K1157" i="50"/>
  <c r="I1157" i="50"/>
  <c r="G1157" i="50"/>
  <c r="F1157" i="50"/>
  <c r="BM1155" i="50"/>
  <c r="BL1155" i="50"/>
  <c r="BK1155" i="50"/>
  <c r="Q1155" i="50"/>
  <c r="E1155" i="50"/>
  <c r="Y1153" i="50"/>
  <c r="Q1153" i="50"/>
  <c r="O1153" i="50"/>
  <c r="E1153" i="50"/>
  <c r="T1169" i="50" s="1"/>
  <c r="BY1152" i="50"/>
  <c r="BW1152" i="50"/>
  <c r="BT1152" i="50"/>
  <c r="BQ1152" i="50"/>
  <c r="BO1152" i="50"/>
  <c r="BN1152" i="50"/>
  <c r="BJ1152" i="50"/>
  <c r="BI1152" i="50"/>
  <c r="Q1152" i="50"/>
  <c r="O1152" i="50"/>
  <c r="U1151" i="50"/>
  <c r="T1151" i="50"/>
  <c r="F1149" i="50"/>
  <c r="CQ1147" i="50"/>
  <c r="CQ1149" i="50" s="1"/>
  <c r="M1147" i="50"/>
  <c r="H1147" i="50"/>
  <c r="D1147" i="50"/>
  <c r="D1145" i="50"/>
  <c r="G1142" i="50"/>
  <c r="Z1141" i="50"/>
  <c r="U1141" i="50"/>
  <c r="D1141" i="50"/>
  <c r="AV1139" i="50"/>
  <c r="CD1124" i="50" s="1"/>
  <c r="AV1138" i="50"/>
  <c r="CC1124" i="50" s="1"/>
  <c r="AV1137" i="50"/>
  <c r="CB1124" i="50" s="1"/>
  <c r="AV1136" i="50"/>
  <c r="CA1124" i="50" s="1"/>
  <c r="AA1135" i="50"/>
  <c r="Z1135" i="50"/>
  <c r="D1135" i="50"/>
  <c r="AA1134" i="50"/>
  <c r="Z1134" i="50"/>
  <c r="Z1133" i="50"/>
  <c r="D1133" i="50"/>
  <c r="AK1132" i="50"/>
  <c r="Z1132" i="50"/>
  <c r="D1132" i="50"/>
  <c r="H1131" i="50"/>
  <c r="AK1130" i="50"/>
  <c r="AC1130" i="50"/>
  <c r="Z1130" i="50"/>
  <c r="V1130" i="50"/>
  <c r="V1133" i="50" s="1"/>
  <c r="V1132" i="50" s="1"/>
  <c r="V1134" i="50" s="1"/>
  <c r="Q1130" i="50"/>
  <c r="D1130" i="50"/>
  <c r="Q1129" i="50"/>
  <c r="M1129" i="50"/>
  <c r="K1129" i="50"/>
  <c r="I1129" i="50"/>
  <c r="G1129" i="50"/>
  <c r="F1129" i="50"/>
  <c r="BM1127" i="50"/>
  <c r="BL1127" i="50"/>
  <c r="BK1127" i="50"/>
  <c r="Q1127" i="50"/>
  <c r="E1127" i="50"/>
  <c r="Y1125" i="50"/>
  <c r="Q1125" i="50"/>
  <c r="O1125" i="50"/>
  <c r="E1125" i="50"/>
  <c r="T1139" i="50" s="1"/>
  <c r="BY1124" i="50"/>
  <c r="BW1124" i="50"/>
  <c r="BT1124" i="50"/>
  <c r="BQ1124" i="50"/>
  <c r="BO1124" i="50"/>
  <c r="BN1124" i="50"/>
  <c r="BJ1124" i="50"/>
  <c r="BI1124" i="50"/>
  <c r="Q1124" i="50"/>
  <c r="O1124" i="50"/>
  <c r="U1123" i="50"/>
  <c r="T1123" i="50"/>
  <c r="F1121" i="50"/>
  <c r="CQ1119" i="50"/>
  <c r="CQ1121" i="50" s="1"/>
  <c r="M1119" i="50"/>
  <c r="H1119" i="50"/>
  <c r="D1119" i="50"/>
  <c r="D1117" i="50"/>
  <c r="G1114" i="50"/>
  <c r="Z1113" i="50"/>
  <c r="U1113" i="50"/>
  <c r="D1113" i="50"/>
  <c r="AV1111" i="50"/>
  <c r="CD1096" i="50" s="1"/>
  <c r="AV1110" i="50"/>
  <c r="CC1096" i="50" s="1"/>
  <c r="AV1109" i="50"/>
  <c r="CB1096" i="50" s="1"/>
  <c r="AV1108" i="50"/>
  <c r="CA1096" i="50" s="1"/>
  <c r="AA1107" i="50"/>
  <c r="Z1107" i="50"/>
  <c r="D1107" i="50"/>
  <c r="AA1106" i="50"/>
  <c r="Z1106" i="50"/>
  <c r="Z1105" i="50"/>
  <c r="D1105" i="50"/>
  <c r="AK1104" i="50"/>
  <c r="Z1104" i="50"/>
  <c r="D1104" i="50"/>
  <c r="H1103" i="50"/>
  <c r="AK1102" i="50"/>
  <c r="AC1102" i="50"/>
  <c r="AF1102" i="50" s="1"/>
  <c r="Z1102" i="50"/>
  <c r="V1102" i="50"/>
  <c r="V1113" i="50" s="1"/>
  <c r="Q1102" i="50"/>
  <c r="D1102" i="50"/>
  <c r="Q1101" i="50"/>
  <c r="M1101" i="50"/>
  <c r="K1101" i="50"/>
  <c r="I1101" i="50"/>
  <c r="G1101" i="50"/>
  <c r="F1101" i="50"/>
  <c r="BM1099" i="50"/>
  <c r="BL1099" i="50"/>
  <c r="BK1099" i="50"/>
  <c r="Q1099" i="50"/>
  <c r="E1099" i="50"/>
  <c r="Y1097" i="50"/>
  <c r="Q1097" i="50"/>
  <c r="O1097" i="50"/>
  <c r="E1097" i="50"/>
  <c r="T1110" i="50" s="1"/>
  <c r="BY1096" i="50"/>
  <c r="BW1096" i="50"/>
  <c r="BT1096" i="50"/>
  <c r="BQ1096" i="50"/>
  <c r="BO1096" i="50"/>
  <c r="BN1096" i="50"/>
  <c r="BJ1096" i="50"/>
  <c r="BI1096" i="50"/>
  <c r="Q1096" i="50"/>
  <c r="O1096" i="50"/>
  <c r="U1095" i="50"/>
  <c r="T1095" i="50"/>
  <c r="F1093" i="50"/>
  <c r="CQ1091" i="50"/>
  <c r="CQ1093" i="50" s="1"/>
  <c r="M1091" i="50"/>
  <c r="H1091" i="50"/>
  <c r="D1091" i="50"/>
  <c r="D1089" i="50"/>
  <c r="G1086" i="50"/>
  <c r="Z1085" i="50"/>
  <c r="U1085" i="50"/>
  <c r="D1085" i="50"/>
  <c r="AV1083" i="50"/>
  <c r="CD1068" i="50" s="1"/>
  <c r="AV1082" i="50"/>
  <c r="CC1068" i="50" s="1"/>
  <c r="AV1081" i="50"/>
  <c r="CB1068" i="50" s="1"/>
  <c r="AV1080" i="50"/>
  <c r="CA1068" i="50" s="1"/>
  <c r="AA1079" i="50"/>
  <c r="Z1079" i="50"/>
  <c r="D1079" i="50"/>
  <c r="AA1078" i="50"/>
  <c r="Z1078" i="50"/>
  <c r="Z1077" i="50"/>
  <c r="D1077" i="50"/>
  <c r="AK1076" i="50"/>
  <c r="Z1076" i="50"/>
  <c r="D1076" i="50"/>
  <c r="H1075" i="50"/>
  <c r="AK1074" i="50"/>
  <c r="AC1074" i="50"/>
  <c r="AG1074" i="50" s="1"/>
  <c r="Z1074" i="50"/>
  <c r="V1074" i="50"/>
  <c r="V1085" i="50" s="1"/>
  <c r="Q1074" i="50"/>
  <c r="D1074" i="50"/>
  <c r="Q1073" i="50"/>
  <c r="M1073" i="50"/>
  <c r="K1073" i="50"/>
  <c r="I1073" i="50"/>
  <c r="G1073" i="50"/>
  <c r="F1073" i="50"/>
  <c r="BM1071" i="50"/>
  <c r="BL1071" i="50"/>
  <c r="BK1071" i="50"/>
  <c r="Q1071" i="50"/>
  <c r="E1071" i="50"/>
  <c r="Y1069" i="50"/>
  <c r="Q1069" i="50"/>
  <c r="O1069" i="50"/>
  <c r="E1069" i="50"/>
  <c r="T1077" i="50" s="1"/>
  <c r="BY1068" i="50"/>
  <c r="BW1068" i="50"/>
  <c r="BT1068" i="50"/>
  <c r="BQ1068" i="50"/>
  <c r="BO1068" i="50"/>
  <c r="BN1068" i="50"/>
  <c r="BJ1068" i="50"/>
  <c r="BI1068" i="50"/>
  <c r="Q1068" i="50"/>
  <c r="O1068" i="50"/>
  <c r="U1067" i="50"/>
  <c r="T1067" i="50"/>
  <c r="F1065" i="50"/>
  <c r="CQ1063" i="50"/>
  <c r="CQ1065" i="50" s="1"/>
  <c r="M1063" i="50"/>
  <c r="H1063" i="50"/>
  <c r="D1063" i="50"/>
  <c r="D1061" i="50"/>
  <c r="G1058" i="50"/>
  <c r="Z1057" i="50"/>
  <c r="U1057" i="50"/>
  <c r="D1057" i="50"/>
  <c r="AV1055" i="50"/>
  <c r="CD1040" i="50" s="1"/>
  <c r="AV1054" i="50"/>
  <c r="CC1040" i="50" s="1"/>
  <c r="AV1053" i="50"/>
  <c r="CB1040" i="50" s="1"/>
  <c r="AV1052" i="50"/>
  <c r="CA1040" i="50" s="1"/>
  <c r="AA1051" i="50"/>
  <c r="Z1051" i="50"/>
  <c r="D1051" i="50"/>
  <c r="AA1050" i="50"/>
  <c r="Z1050" i="50"/>
  <c r="Z1049" i="50"/>
  <c r="D1049" i="50"/>
  <c r="AK1048" i="50"/>
  <c r="Z1048" i="50"/>
  <c r="D1048" i="50"/>
  <c r="H1047" i="50"/>
  <c r="AK1046" i="50"/>
  <c r="AC1046" i="50"/>
  <c r="AW1046" i="50" s="1"/>
  <c r="Z1046" i="50"/>
  <c r="V1046" i="50"/>
  <c r="V1049" i="50" s="1"/>
  <c r="V1048" i="50" s="1"/>
  <c r="V1050" i="50" s="1"/>
  <c r="Q1046" i="50"/>
  <c r="D1046" i="50"/>
  <c r="Q1045" i="50"/>
  <c r="M1045" i="50"/>
  <c r="K1045" i="50"/>
  <c r="I1045" i="50"/>
  <c r="G1045" i="50"/>
  <c r="F1045" i="50"/>
  <c r="BM1043" i="50"/>
  <c r="BL1043" i="50"/>
  <c r="BK1043" i="50"/>
  <c r="Q1043" i="50"/>
  <c r="E1043" i="50"/>
  <c r="Y1041" i="50"/>
  <c r="Q1041" i="50"/>
  <c r="O1041" i="50"/>
  <c r="E1041" i="50"/>
  <c r="T1049" i="50" s="1"/>
  <c r="BY1040" i="50"/>
  <c r="BW1040" i="50"/>
  <c r="BT1040" i="50"/>
  <c r="BQ1040" i="50"/>
  <c r="BO1040" i="50"/>
  <c r="BN1040" i="50"/>
  <c r="BJ1040" i="50"/>
  <c r="BI1040" i="50"/>
  <c r="Q1040" i="50"/>
  <c r="O1040" i="50"/>
  <c r="U1039" i="50"/>
  <c r="T1039" i="50"/>
  <c r="F1037" i="50"/>
  <c r="CQ1035" i="50"/>
  <c r="CQ1037" i="50" s="1"/>
  <c r="M1035" i="50"/>
  <c r="H1035" i="50"/>
  <c r="D1035" i="50"/>
  <c r="D1033" i="50"/>
  <c r="G1030" i="50"/>
  <c r="Z1029" i="50"/>
  <c r="U1029" i="50"/>
  <c r="D1029" i="50"/>
  <c r="AV1027" i="50"/>
  <c r="CD1012" i="50" s="1"/>
  <c r="AV1026" i="50"/>
  <c r="CC1012" i="50" s="1"/>
  <c r="AV1025" i="50"/>
  <c r="CB1012" i="50" s="1"/>
  <c r="AV1024" i="50"/>
  <c r="CA1012" i="50" s="1"/>
  <c r="AA1023" i="50"/>
  <c r="Z1023" i="50"/>
  <c r="D1023" i="50"/>
  <c r="AA1022" i="50"/>
  <c r="Z1022" i="50"/>
  <c r="Z1021" i="50"/>
  <c r="D1021" i="50"/>
  <c r="AK1020" i="50"/>
  <c r="Z1020" i="50"/>
  <c r="D1020" i="50"/>
  <c r="H1019" i="50"/>
  <c r="AK1018" i="50"/>
  <c r="AC1018" i="50"/>
  <c r="Z1018" i="50"/>
  <c r="V1018" i="50"/>
  <c r="V1021" i="50" s="1"/>
  <c r="V1020" i="50" s="1"/>
  <c r="V1022" i="50" s="1"/>
  <c r="Q1018" i="50"/>
  <c r="D1018" i="50"/>
  <c r="Q1017" i="50"/>
  <c r="M1017" i="50"/>
  <c r="K1017" i="50"/>
  <c r="I1017" i="50"/>
  <c r="G1017" i="50"/>
  <c r="F1017" i="50"/>
  <c r="BM1015" i="50"/>
  <c r="BL1015" i="50"/>
  <c r="BK1015" i="50"/>
  <c r="Q1015" i="50"/>
  <c r="E1015" i="50"/>
  <c r="Y1013" i="50"/>
  <c r="Q1013" i="50"/>
  <c r="O1013" i="50"/>
  <c r="E1013" i="50"/>
  <c r="BY1012" i="50"/>
  <c r="BW1012" i="50"/>
  <c r="BT1012" i="50"/>
  <c r="BQ1012" i="50"/>
  <c r="BO1012" i="50"/>
  <c r="BN1012" i="50"/>
  <c r="BJ1012" i="50"/>
  <c r="BI1012" i="50"/>
  <c r="Q1012" i="50"/>
  <c r="O1012" i="50"/>
  <c r="U1011" i="50"/>
  <c r="T1011" i="50"/>
  <c r="F1009" i="50"/>
  <c r="CQ1007" i="50"/>
  <c r="CQ1009" i="50" s="1"/>
  <c r="M1007" i="50"/>
  <c r="H1007" i="50"/>
  <c r="D1007" i="50"/>
  <c r="D1005" i="50"/>
  <c r="G1002" i="50"/>
  <c r="Z1001" i="50"/>
  <c r="U1001" i="50"/>
  <c r="D1001" i="50"/>
  <c r="AV999" i="50"/>
  <c r="CD984" i="50" s="1"/>
  <c r="AV998" i="50"/>
  <c r="CC984" i="50" s="1"/>
  <c r="AV997" i="50"/>
  <c r="CB984" i="50" s="1"/>
  <c r="AV996" i="50"/>
  <c r="CA984" i="50" s="1"/>
  <c r="AA995" i="50"/>
  <c r="Z995" i="50"/>
  <c r="D995" i="50"/>
  <c r="AA994" i="50"/>
  <c r="Z994" i="50"/>
  <c r="Z993" i="50"/>
  <c r="D993" i="50"/>
  <c r="AK992" i="50"/>
  <c r="Z992" i="50"/>
  <c r="D992" i="50"/>
  <c r="H991" i="50"/>
  <c r="AK990" i="50"/>
  <c r="AC990" i="50"/>
  <c r="Z990" i="50"/>
  <c r="V990" i="50"/>
  <c r="V1001" i="50" s="1"/>
  <c r="Q990" i="50"/>
  <c r="D990" i="50"/>
  <c r="Q989" i="50"/>
  <c r="M989" i="50"/>
  <c r="K989" i="50"/>
  <c r="I989" i="50"/>
  <c r="G989" i="50"/>
  <c r="F989" i="50"/>
  <c r="BM987" i="50"/>
  <c r="BL987" i="50"/>
  <c r="BK987" i="50"/>
  <c r="Q987" i="50"/>
  <c r="E987" i="50"/>
  <c r="Y985" i="50"/>
  <c r="Q985" i="50"/>
  <c r="O985" i="50"/>
  <c r="E985" i="50"/>
  <c r="AK993" i="50" s="1"/>
  <c r="BY984" i="50"/>
  <c r="BW984" i="50"/>
  <c r="BT984" i="50"/>
  <c r="BQ984" i="50"/>
  <c r="BO984" i="50"/>
  <c r="BN984" i="50"/>
  <c r="BJ984" i="50"/>
  <c r="BI984" i="50"/>
  <c r="Q984" i="50"/>
  <c r="O984" i="50"/>
  <c r="U983" i="50"/>
  <c r="T983" i="50"/>
  <c r="F981" i="50"/>
  <c r="CQ979" i="50"/>
  <c r="CQ981" i="50" s="1"/>
  <c r="M979" i="50"/>
  <c r="H979" i="50"/>
  <c r="D979" i="50"/>
  <c r="D977" i="50"/>
  <c r="G974" i="50"/>
  <c r="Z973" i="50"/>
  <c r="U973" i="50"/>
  <c r="D973" i="50"/>
  <c r="AV971" i="50"/>
  <c r="CD956" i="50" s="1"/>
  <c r="AV970" i="50"/>
  <c r="CC956" i="50" s="1"/>
  <c r="AV969" i="50"/>
  <c r="CB956" i="50" s="1"/>
  <c r="AV968" i="50"/>
  <c r="CA956" i="50" s="1"/>
  <c r="AA967" i="50"/>
  <c r="Z967" i="50"/>
  <c r="D967" i="50"/>
  <c r="AA966" i="50"/>
  <c r="Z966" i="50"/>
  <c r="Z965" i="50"/>
  <c r="D965" i="50"/>
  <c r="AK964" i="50"/>
  <c r="Z964" i="50"/>
  <c r="D964" i="50"/>
  <c r="H963" i="50"/>
  <c r="AK962" i="50"/>
  <c r="AC962" i="50"/>
  <c r="AW962" i="50" s="1"/>
  <c r="Z962" i="50"/>
  <c r="V962" i="50"/>
  <c r="V973" i="50" s="1"/>
  <c r="Q962" i="50"/>
  <c r="D962" i="50"/>
  <c r="Q961" i="50"/>
  <c r="M961" i="50"/>
  <c r="K961" i="50"/>
  <c r="I961" i="50"/>
  <c r="G961" i="50"/>
  <c r="F961" i="50"/>
  <c r="BM959" i="50"/>
  <c r="BL959" i="50"/>
  <c r="BK959" i="50"/>
  <c r="Q959" i="50"/>
  <c r="E959" i="50"/>
  <c r="Y957" i="50"/>
  <c r="Q957" i="50"/>
  <c r="O957" i="50"/>
  <c r="E957" i="50"/>
  <c r="BY956" i="50"/>
  <c r="BW956" i="50"/>
  <c r="BT956" i="50"/>
  <c r="BQ956" i="50"/>
  <c r="BO956" i="50"/>
  <c r="BN956" i="50"/>
  <c r="BJ956" i="50"/>
  <c r="BI956" i="50"/>
  <c r="Q956" i="50"/>
  <c r="O956" i="50"/>
  <c r="U955" i="50"/>
  <c r="T955" i="50"/>
  <c r="F953" i="50"/>
  <c r="CQ951" i="50"/>
  <c r="CQ953" i="50" s="1"/>
  <c r="M951" i="50"/>
  <c r="H951" i="50"/>
  <c r="D951" i="50"/>
  <c r="D949" i="50"/>
  <c r="G946" i="50"/>
  <c r="Z945" i="50"/>
  <c r="U945" i="50"/>
  <c r="D945" i="50"/>
  <c r="AV943" i="50"/>
  <c r="CD928" i="50" s="1"/>
  <c r="AV942" i="50"/>
  <c r="CC928" i="50" s="1"/>
  <c r="AV941" i="50"/>
  <c r="CB928" i="50" s="1"/>
  <c r="AV940" i="50"/>
  <c r="CA928" i="50" s="1"/>
  <c r="AA939" i="50"/>
  <c r="Z939" i="50"/>
  <c r="D939" i="50"/>
  <c r="AA938" i="50"/>
  <c r="Z938" i="50"/>
  <c r="Z937" i="50"/>
  <c r="D937" i="50"/>
  <c r="AK936" i="50"/>
  <c r="Z936" i="50"/>
  <c r="D936" i="50"/>
  <c r="H935" i="50"/>
  <c r="AK934" i="50"/>
  <c r="AC934" i="50"/>
  <c r="AW934" i="50" s="1"/>
  <c r="AX934" i="50" s="1"/>
  <c r="Z934" i="50"/>
  <c r="V934" i="50"/>
  <c r="V937" i="50" s="1"/>
  <c r="V936" i="50" s="1"/>
  <c r="V938" i="50" s="1"/>
  <c r="Q934" i="50"/>
  <c r="D934" i="50"/>
  <c r="Q933" i="50"/>
  <c r="M933" i="50"/>
  <c r="K933" i="50"/>
  <c r="I933" i="50"/>
  <c r="G933" i="50"/>
  <c r="F933" i="50"/>
  <c r="BM931" i="50"/>
  <c r="BL931" i="50"/>
  <c r="BK931" i="50"/>
  <c r="Q931" i="50"/>
  <c r="E931" i="50"/>
  <c r="Y929" i="50"/>
  <c r="Q929" i="50"/>
  <c r="O929" i="50"/>
  <c r="E929" i="50"/>
  <c r="Y937" i="50" s="1"/>
  <c r="BY928" i="50"/>
  <c r="BW928" i="50"/>
  <c r="BT928" i="50"/>
  <c r="BQ928" i="50"/>
  <c r="BO928" i="50"/>
  <c r="BN928" i="50"/>
  <c r="BJ928" i="50"/>
  <c r="BI928" i="50"/>
  <c r="Q928" i="50"/>
  <c r="O928" i="50"/>
  <c r="U927" i="50"/>
  <c r="T927" i="50"/>
  <c r="F925" i="50"/>
  <c r="CQ923" i="50"/>
  <c r="CQ925" i="50" s="1"/>
  <c r="M923" i="50"/>
  <c r="H923" i="50"/>
  <c r="D923" i="50"/>
  <c r="D921" i="50"/>
  <c r="G918" i="50"/>
  <c r="Z917" i="50"/>
  <c r="U917" i="50"/>
  <c r="D917" i="50"/>
  <c r="AV915" i="50"/>
  <c r="CD900" i="50" s="1"/>
  <c r="AV914" i="50"/>
  <c r="CC900" i="50" s="1"/>
  <c r="AV913" i="50"/>
  <c r="CB900" i="50" s="1"/>
  <c r="AV912" i="50"/>
  <c r="CA900" i="50" s="1"/>
  <c r="AA911" i="50"/>
  <c r="Z911" i="50"/>
  <c r="D911" i="50"/>
  <c r="AA910" i="50"/>
  <c r="Z910" i="50"/>
  <c r="Z909" i="50"/>
  <c r="D909" i="50"/>
  <c r="AK908" i="50"/>
  <c r="Z908" i="50"/>
  <c r="D908" i="50"/>
  <c r="H907" i="50"/>
  <c r="AK906" i="50"/>
  <c r="AC906" i="50"/>
  <c r="AF906" i="50" s="1"/>
  <c r="Z906" i="50"/>
  <c r="V906" i="50"/>
  <c r="V917" i="50" s="1"/>
  <c r="Q906" i="50"/>
  <c r="D906" i="50"/>
  <c r="Q905" i="50"/>
  <c r="M905" i="50"/>
  <c r="K905" i="50"/>
  <c r="I905" i="50"/>
  <c r="G905" i="50"/>
  <c r="F905" i="50"/>
  <c r="BM903" i="50"/>
  <c r="BL903" i="50"/>
  <c r="BK903" i="50"/>
  <c r="Q903" i="50"/>
  <c r="E903" i="50"/>
  <c r="Y901" i="50"/>
  <c r="Q901" i="50"/>
  <c r="O901" i="50"/>
  <c r="E901" i="50"/>
  <c r="BY900" i="50"/>
  <c r="BW900" i="50"/>
  <c r="BT900" i="50"/>
  <c r="BQ900" i="50"/>
  <c r="BO900" i="50"/>
  <c r="BN900" i="50"/>
  <c r="BJ900" i="50"/>
  <c r="BI900" i="50"/>
  <c r="Q900" i="50"/>
  <c r="O900" i="50"/>
  <c r="U899" i="50"/>
  <c r="T899" i="50"/>
  <c r="F897" i="50"/>
  <c r="CQ895" i="50"/>
  <c r="CQ897" i="50" s="1"/>
  <c r="M895" i="50"/>
  <c r="H895" i="50"/>
  <c r="D895" i="50"/>
  <c r="D893" i="50"/>
  <c r="G890" i="50"/>
  <c r="Z889" i="50"/>
  <c r="U889" i="50"/>
  <c r="D889" i="50"/>
  <c r="AV887" i="50"/>
  <c r="CD872" i="50" s="1"/>
  <c r="AV886" i="50"/>
  <c r="CC872" i="50" s="1"/>
  <c r="AV885" i="50"/>
  <c r="CB872" i="50" s="1"/>
  <c r="AV884" i="50"/>
  <c r="CA872" i="50" s="1"/>
  <c r="AA883" i="50"/>
  <c r="Z883" i="50"/>
  <c r="D883" i="50"/>
  <c r="AA882" i="50"/>
  <c r="Z882" i="50"/>
  <c r="Z881" i="50"/>
  <c r="D881" i="50"/>
  <c r="AK880" i="50"/>
  <c r="Z880" i="50"/>
  <c r="D880" i="50"/>
  <c r="H879" i="50"/>
  <c r="AK878" i="50"/>
  <c r="AC878" i="50"/>
  <c r="AI878" i="50" s="1"/>
  <c r="AJ878" i="50" s="1"/>
  <c r="BM872" i="50" s="1"/>
  <c r="Z878" i="50"/>
  <c r="V878" i="50"/>
  <c r="Q878" i="50"/>
  <c r="D878" i="50"/>
  <c r="Q877" i="50"/>
  <c r="M877" i="50"/>
  <c r="K877" i="50"/>
  <c r="I877" i="50"/>
  <c r="G877" i="50"/>
  <c r="F877" i="50"/>
  <c r="BM875" i="50"/>
  <c r="BL875" i="50"/>
  <c r="BK875" i="50"/>
  <c r="Q875" i="50"/>
  <c r="E875" i="50"/>
  <c r="Y873" i="50"/>
  <c r="Q873" i="50"/>
  <c r="O873" i="50"/>
  <c r="E873" i="50"/>
  <c r="T878" i="50" s="1"/>
  <c r="BY872" i="50"/>
  <c r="BW872" i="50"/>
  <c r="BT872" i="50"/>
  <c r="BQ872" i="50"/>
  <c r="BO872" i="50"/>
  <c r="BN872" i="50"/>
  <c r="BJ872" i="50"/>
  <c r="BI872" i="50"/>
  <c r="Q872" i="50"/>
  <c r="O872" i="50"/>
  <c r="U871" i="50"/>
  <c r="T871" i="50"/>
  <c r="F869" i="50"/>
  <c r="CQ867" i="50"/>
  <c r="CQ869" i="50" s="1"/>
  <c r="M867" i="50"/>
  <c r="H867" i="50"/>
  <c r="D867" i="50"/>
  <c r="D865" i="50"/>
  <c r="G862" i="50"/>
  <c r="Z861" i="50"/>
  <c r="U861" i="50"/>
  <c r="D861" i="50"/>
  <c r="AV859" i="50"/>
  <c r="CD844" i="50" s="1"/>
  <c r="AV858" i="50"/>
  <c r="CC844" i="50" s="1"/>
  <c r="AV857" i="50"/>
  <c r="CB844" i="50" s="1"/>
  <c r="AV856" i="50"/>
  <c r="CA844" i="50" s="1"/>
  <c r="AA855" i="50"/>
  <c r="Z855" i="50"/>
  <c r="D855" i="50"/>
  <c r="AA854" i="50"/>
  <c r="Z854" i="50"/>
  <c r="Z853" i="50"/>
  <c r="D853" i="50"/>
  <c r="AK852" i="50"/>
  <c r="Z852" i="50"/>
  <c r="D852" i="50"/>
  <c r="H851" i="50"/>
  <c r="AK850" i="50"/>
  <c r="AC850" i="50"/>
  <c r="AW850" i="50" s="1"/>
  <c r="Z850" i="50"/>
  <c r="V850" i="50"/>
  <c r="V861" i="50" s="1"/>
  <c r="Q850" i="50"/>
  <c r="D850" i="50"/>
  <c r="Q849" i="50"/>
  <c r="M849" i="50"/>
  <c r="K849" i="50"/>
  <c r="I849" i="50"/>
  <c r="G849" i="50"/>
  <c r="F849" i="50"/>
  <c r="BM847" i="50"/>
  <c r="BL847" i="50"/>
  <c r="BK847" i="50"/>
  <c r="Q847" i="50"/>
  <c r="E847" i="50"/>
  <c r="Y845" i="50"/>
  <c r="Q845" i="50"/>
  <c r="O845" i="50"/>
  <c r="E845" i="50"/>
  <c r="T861" i="50" s="1"/>
  <c r="BY844" i="50"/>
  <c r="BW844" i="50"/>
  <c r="BT844" i="50"/>
  <c r="BQ844" i="50"/>
  <c r="BO844" i="50"/>
  <c r="BN844" i="50"/>
  <c r="BJ844" i="50"/>
  <c r="BI844" i="50"/>
  <c r="Q844" i="50"/>
  <c r="O844" i="50"/>
  <c r="U843" i="50"/>
  <c r="T843" i="50"/>
  <c r="F841" i="50"/>
  <c r="CQ839" i="50"/>
  <c r="CQ841" i="50" s="1"/>
  <c r="M839" i="50"/>
  <c r="H839" i="50"/>
  <c r="D839" i="50"/>
  <c r="D837" i="50"/>
  <c r="G834" i="50"/>
  <c r="Z833" i="50"/>
  <c r="U833" i="50"/>
  <c r="D833" i="50"/>
  <c r="AV831" i="50"/>
  <c r="CD816" i="50" s="1"/>
  <c r="AV830" i="50"/>
  <c r="CC816" i="50" s="1"/>
  <c r="AV829" i="50"/>
  <c r="CB816" i="50" s="1"/>
  <c r="AV828" i="50"/>
  <c r="CA816" i="50" s="1"/>
  <c r="AA827" i="50"/>
  <c r="Z827" i="50"/>
  <c r="D827" i="50"/>
  <c r="AA826" i="50"/>
  <c r="Z826" i="50"/>
  <c r="Z825" i="50"/>
  <c r="D825" i="50"/>
  <c r="AK824" i="50"/>
  <c r="Z824" i="50"/>
  <c r="D824" i="50"/>
  <c r="H823" i="50"/>
  <c r="AK822" i="50"/>
  <c r="AC822" i="50"/>
  <c r="AF822" i="50" s="1"/>
  <c r="Z822" i="50"/>
  <c r="V822" i="50"/>
  <c r="Q822" i="50"/>
  <c r="D822" i="50"/>
  <c r="Q821" i="50"/>
  <c r="M821" i="50"/>
  <c r="K821" i="50"/>
  <c r="I821" i="50"/>
  <c r="G821" i="50"/>
  <c r="F821" i="50"/>
  <c r="BM819" i="50"/>
  <c r="BL819" i="50"/>
  <c r="BK819" i="50"/>
  <c r="Q819" i="50"/>
  <c r="E819" i="50"/>
  <c r="Y817" i="50"/>
  <c r="Q817" i="50"/>
  <c r="O817" i="50"/>
  <c r="E817" i="50"/>
  <c r="T829" i="50" s="1"/>
  <c r="BY816" i="50"/>
  <c r="BW816" i="50"/>
  <c r="BT816" i="50"/>
  <c r="BQ816" i="50"/>
  <c r="BO816" i="50"/>
  <c r="BN816" i="50"/>
  <c r="BJ816" i="50"/>
  <c r="BI816" i="50"/>
  <c r="Q816" i="50"/>
  <c r="O816" i="50"/>
  <c r="U815" i="50"/>
  <c r="T815" i="50"/>
  <c r="F813" i="50"/>
  <c r="CQ811" i="50"/>
  <c r="CQ813" i="50" s="1"/>
  <c r="M811" i="50"/>
  <c r="H811" i="50"/>
  <c r="D811" i="50"/>
  <c r="D809" i="50"/>
  <c r="G806" i="50"/>
  <c r="Z805" i="50"/>
  <c r="U805" i="50"/>
  <c r="D805" i="50"/>
  <c r="AV803" i="50"/>
  <c r="CD788" i="50" s="1"/>
  <c r="AV802" i="50"/>
  <c r="CC788" i="50" s="1"/>
  <c r="AV801" i="50"/>
  <c r="CB788" i="50" s="1"/>
  <c r="AV800" i="50"/>
  <c r="CA788" i="50" s="1"/>
  <c r="AA799" i="50"/>
  <c r="Z799" i="50"/>
  <c r="D799" i="50"/>
  <c r="AA798" i="50"/>
  <c r="Z798" i="50"/>
  <c r="Z797" i="50"/>
  <c r="D797" i="50"/>
  <c r="AK796" i="50"/>
  <c r="Z796" i="50"/>
  <c r="D796" i="50"/>
  <c r="H795" i="50"/>
  <c r="AK794" i="50"/>
  <c r="AC794" i="50"/>
  <c r="AW794" i="50" s="1"/>
  <c r="Z794" i="50"/>
  <c r="V794" i="50"/>
  <c r="Q794" i="50"/>
  <c r="D794" i="50"/>
  <c r="Q793" i="50"/>
  <c r="M793" i="50"/>
  <c r="K793" i="50"/>
  <c r="I793" i="50"/>
  <c r="G793" i="50"/>
  <c r="F793" i="50"/>
  <c r="BM791" i="50"/>
  <c r="BL791" i="50"/>
  <c r="BK791" i="50"/>
  <c r="Q791" i="50"/>
  <c r="E791" i="50"/>
  <c r="Y789" i="50"/>
  <c r="Q789" i="50"/>
  <c r="O789" i="50"/>
  <c r="E789" i="50"/>
  <c r="R793" i="50" s="1"/>
  <c r="BY788" i="50"/>
  <c r="BW788" i="50"/>
  <c r="BT788" i="50"/>
  <c r="BQ788" i="50"/>
  <c r="BO788" i="50"/>
  <c r="BN788" i="50"/>
  <c r="BJ788" i="50"/>
  <c r="BI788" i="50"/>
  <c r="Q788" i="50"/>
  <c r="O788" i="50"/>
  <c r="U787" i="50"/>
  <c r="T787" i="50"/>
  <c r="F785" i="50"/>
  <c r="CQ783" i="50"/>
  <c r="CQ785" i="50" s="1"/>
  <c r="M783" i="50"/>
  <c r="H783" i="50"/>
  <c r="D783" i="50"/>
  <c r="D781" i="50"/>
  <c r="G778" i="50"/>
  <c r="Z777" i="50"/>
  <c r="U777" i="50"/>
  <c r="D777" i="50"/>
  <c r="AV775" i="50"/>
  <c r="CD760" i="50" s="1"/>
  <c r="AV774" i="50"/>
  <c r="CC760" i="50" s="1"/>
  <c r="AV773" i="50"/>
  <c r="CB760" i="50" s="1"/>
  <c r="AV772" i="50"/>
  <c r="CA760" i="50" s="1"/>
  <c r="AA771" i="50"/>
  <c r="Z771" i="50"/>
  <c r="D771" i="50"/>
  <c r="AA770" i="50"/>
  <c r="Z770" i="50"/>
  <c r="Z769" i="50"/>
  <c r="D769" i="50"/>
  <c r="AK768" i="50"/>
  <c r="Z768" i="50"/>
  <c r="D768" i="50"/>
  <c r="H767" i="50"/>
  <c r="AK766" i="50"/>
  <c r="AC766" i="50"/>
  <c r="AF766" i="50" s="1"/>
  <c r="Z766" i="50"/>
  <c r="V766" i="50"/>
  <c r="V777" i="50" s="1"/>
  <c r="Q766" i="50"/>
  <c r="D766" i="50"/>
  <c r="Q765" i="50"/>
  <c r="M765" i="50"/>
  <c r="K765" i="50"/>
  <c r="I765" i="50"/>
  <c r="G765" i="50"/>
  <c r="F765" i="50"/>
  <c r="BM763" i="50"/>
  <c r="BL763" i="50"/>
  <c r="BK763" i="50"/>
  <c r="Q763" i="50"/>
  <c r="E763" i="50"/>
  <c r="Y761" i="50"/>
  <c r="Q761" i="50"/>
  <c r="O761" i="50"/>
  <c r="E761" i="50"/>
  <c r="BY760" i="50"/>
  <c r="BW760" i="50"/>
  <c r="BT760" i="50"/>
  <c r="BQ760" i="50"/>
  <c r="BO760" i="50"/>
  <c r="BN760" i="50"/>
  <c r="BJ760" i="50"/>
  <c r="BI760" i="50"/>
  <c r="Q760" i="50"/>
  <c r="O760" i="50"/>
  <c r="U759" i="50"/>
  <c r="T759" i="50"/>
  <c r="F757" i="50"/>
  <c r="CQ755" i="50"/>
  <c r="CQ757" i="50" s="1"/>
  <c r="M755" i="50"/>
  <c r="H755" i="50"/>
  <c r="D755" i="50"/>
  <c r="D753" i="50"/>
  <c r="G750" i="50"/>
  <c r="Z749" i="50"/>
  <c r="U749" i="50"/>
  <c r="D749" i="50"/>
  <c r="AV747" i="50"/>
  <c r="CD732" i="50" s="1"/>
  <c r="AV746" i="50"/>
  <c r="CC732" i="50" s="1"/>
  <c r="AV745" i="50"/>
  <c r="CB732" i="50" s="1"/>
  <c r="AV744" i="50"/>
  <c r="CA732" i="50" s="1"/>
  <c r="AA743" i="50"/>
  <c r="Z743" i="50"/>
  <c r="D743" i="50"/>
  <c r="AA742" i="50"/>
  <c r="Z742" i="50"/>
  <c r="Z741" i="50"/>
  <c r="D741" i="50"/>
  <c r="AK740" i="50"/>
  <c r="Z740" i="50"/>
  <c r="D740" i="50"/>
  <c r="H739" i="50"/>
  <c r="AK738" i="50"/>
  <c r="AC738" i="50"/>
  <c r="AG738" i="50" s="1"/>
  <c r="Z738" i="50"/>
  <c r="V738" i="50"/>
  <c r="V741" i="50" s="1"/>
  <c r="V740" i="50" s="1"/>
  <c r="V742" i="50" s="1"/>
  <c r="Q738" i="50"/>
  <c r="D738" i="50"/>
  <c r="Q737" i="50"/>
  <c r="M737" i="50"/>
  <c r="K737" i="50"/>
  <c r="I737" i="50"/>
  <c r="G737" i="50"/>
  <c r="F737" i="50"/>
  <c r="BM735" i="50"/>
  <c r="BL735" i="50"/>
  <c r="BK735" i="50"/>
  <c r="Q735" i="50"/>
  <c r="E735" i="50"/>
  <c r="Y733" i="50"/>
  <c r="Q733" i="50"/>
  <c r="O733" i="50"/>
  <c r="E733" i="50"/>
  <c r="T747" i="50" s="1"/>
  <c r="BY732" i="50"/>
  <c r="BW732" i="50"/>
  <c r="BT732" i="50"/>
  <c r="BQ732" i="50"/>
  <c r="BO732" i="50"/>
  <c r="BN732" i="50"/>
  <c r="BJ732" i="50"/>
  <c r="BI732" i="50"/>
  <c r="Q732" i="50"/>
  <c r="O732" i="50"/>
  <c r="U731" i="50"/>
  <c r="T731" i="50"/>
  <c r="F729" i="50"/>
  <c r="CQ727" i="50"/>
  <c r="CQ729" i="50" s="1"/>
  <c r="M727" i="50"/>
  <c r="H727" i="50"/>
  <c r="D727" i="50"/>
  <c r="D725" i="50"/>
  <c r="G722" i="50"/>
  <c r="Z721" i="50"/>
  <c r="U721" i="50"/>
  <c r="D721" i="50"/>
  <c r="AV719" i="50"/>
  <c r="CD704" i="50" s="1"/>
  <c r="AV718" i="50"/>
  <c r="CC704" i="50" s="1"/>
  <c r="AV717" i="50"/>
  <c r="CB704" i="50" s="1"/>
  <c r="AV716" i="50"/>
  <c r="CA704" i="50" s="1"/>
  <c r="AA715" i="50"/>
  <c r="Z715" i="50"/>
  <c r="D715" i="50"/>
  <c r="AA714" i="50"/>
  <c r="Z714" i="50"/>
  <c r="Z713" i="50"/>
  <c r="D713" i="50"/>
  <c r="AK712" i="50"/>
  <c r="Z712" i="50"/>
  <c r="D712" i="50"/>
  <c r="H711" i="50"/>
  <c r="AK710" i="50"/>
  <c r="AC710" i="50"/>
  <c r="AW710" i="50" s="1"/>
  <c r="AX710" i="50" s="1"/>
  <c r="Z710" i="50"/>
  <c r="V710" i="50"/>
  <c r="V721" i="50" s="1"/>
  <c r="Q710" i="50"/>
  <c r="D710" i="50"/>
  <c r="Q709" i="50"/>
  <c r="M709" i="50"/>
  <c r="K709" i="50"/>
  <c r="I709" i="50"/>
  <c r="G709" i="50"/>
  <c r="F709" i="50"/>
  <c r="BM707" i="50"/>
  <c r="BL707" i="50"/>
  <c r="BK707" i="50"/>
  <c r="Q707" i="50"/>
  <c r="E707" i="50"/>
  <c r="Y705" i="50"/>
  <c r="Q705" i="50"/>
  <c r="O705" i="50"/>
  <c r="E705" i="50"/>
  <c r="Y714" i="50" s="1"/>
  <c r="BY704" i="50"/>
  <c r="BW704" i="50"/>
  <c r="BT704" i="50"/>
  <c r="BQ704" i="50"/>
  <c r="BO704" i="50"/>
  <c r="BN704" i="50"/>
  <c r="BJ704" i="50"/>
  <c r="BI704" i="50"/>
  <c r="Q704" i="50"/>
  <c r="O704" i="50"/>
  <c r="U703" i="50"/>
  <c r="T703" i="50"/>
  <c r="F701" i="50"/>
  <c r="CQ699" i="50"/>
  <c r="CQ701" i="50" s="1"/>
  <c r="M699" i="50"/>
  <c r="H699" i="50"/>
  <c r="D699" i="50"/>
  <c r="D697" i="50"/>
  <c r="G694" i="50"/>
  <c r="Z693" i="50"/>
  <c r="U693" i="50"/>
  <c r="D693" i="50"/>
  <c r="AV691" i="50"/>
  <c r="CD676" i="50" s="1"/>
  <c r="AV690" i="50"/>
  <c r="CC676" i="50" s="1"/>
  <c r="AV689" i="50"/>
  <c r="CB676" i="50" s="1"/>
  <c r="AV688" i="50"/>
  <c r="CA676" i="50" s="1"/>
  <c r="AA687" i="50"/>
  <c r="Z687" i="50"/>
  <c r="D687" i="50"/>
  <c r="AA686" i="50"/>
  <c r="Z686" i="50"/>
  <c r="Z685" i="50"/>
  <c r="D685" i="50"/>
  <c r="AK684" i="50"/>
  <c r="Z684" i="50"/>
  <c r="D684" i="50"/>
  <c r="H683" i="50"/>
  <c r="AK682" i="50"/>
  <c r="AC682" i="50"/>
  <c r="Z682" i="50"/>
  <c r="V682" i="50"/>
  <c r="V693" i="50" s="1"/>
  <c r="Q682" i="50"/>
  <c r="D682" i="50"/>
  <c r="Q681" i="50"/>
  <c r="M681" i="50"/>
  <c r="K681" i="50"/>
  <c r="I681" i="50"/>
  <c r="G681" i="50"/>
  <c r="F681" i="50"/>
  <c r="BM679" i="50"/>
  <c r="BL679" i="50"/>
  <c r="BK679" i="50"/>
  <c r="Q679" i="50"/>
  <c r="E679" i="50"/>
  <c r="Y677" i="50"/>
  <c r="Q677" i="50"/>
  <c r="O677" i="50"/>
  <c r="E677" i="50"/>
  <c r="T682" i="50" s="1"/>
  <c r="BY676" i="50"/>
  <c r="BW676" i="50"/>
  <c r="BT676" i="50"/>
  <c r="BQ676" i="50"/>
  <c r="BO676" i="50"/>
  <c r="BN676" i="50"/>
  <c r="BJ676" i="50"/>
  <c r="BI676" i="50"/>
  <c r="Q676" i="50"/>
  <c r="O676" i="50"/>
  <c r="U675" i="50"/>
  <c r="T675" i="50"/>
  <c r="F673" i="50"/>
  <c r="CQ671" i="50"/>
  <c r="CQ673" i="50" s="1"/>
  <c r="M671" i="50"/>
  <c r="H671" i="50"/>
  <c r="D671" i="50"/>
  <c r="D669" i="50"/>
  <c r="G666" i="50"/>
  <c r="Z665" i="50"/>
  <c r="U665" i="50"/>
  <c r="D665" i="50"/>
  <c r="AV663" i="50"/>
  <c r="CD648" i="50" s="1"/>
  <c r="AV662" i="50"/>
  <c r="CC648" i="50" s="1"/>
  <c r="AV661" i="50"/>
  <c r="CB648" i="50" s="1"/>
  <c r="AV660" i="50"/>
  <c r="CA648" i="50" s="1"/>
  <c r="AA659" i="50"/>
  <c r="Z659" i="50"/>
  <c r="D659" i="50"/>
  <c r="AA658" i="50"/>
  <c r="Z658" i="50"/>
  <c r="Z657" i="50"/>
  <c r="D657" i="50"/>
  <c r="AK656" i="50"/>
  <c r="Z656" i="50"/>
  <c r="D656" i="50"/>
  <c r="H655" i="50"/>
  <c r="AK654" i="50"/>
  <c r="AC654" i="50"/>
  <c r="Z654" i="50"/>
  <c r="V654" i="50"/>
  <c r="Q654" i="50"/>
  <c r="D654" i="50"/>
  <c r="Q653" i="50"/>
  <c r="M653" i="50"/>
  <c r="K653" i="50"/>
  <c r="I653" i="50"/>
  <c r="G653" i="50"/>
  <c r="F653" i="50"/>
  <c r="BM651" i="50"/>
  <c r="BL651" i="50"/>
  <c r="BK651" i="50"/>
  <c r="Q651" i="50"/>
  <c r="E651" i="50"/>
  <c r="Y649" i="50"/>
  <c r="Q649" i="50"/>
  <c r="O649" i="50"/>
  <c r="E649" i="50"/>
  <c r="BY648" i="50"/>
  <c r="BW648" i="50"/>
  <c r="BT648" i="50"/>
  <c r="BQ648" i="50"/>
  <c r="BO648" i="50"/>
  <c r="BN648" i="50"/>
  <c r="BJ648" i="50"/>
  <c r="BI648" i="50"/>
  <c r="Q648" i="50"/>
  <c r="O648" i="50"/>
  <c r="U647" i="50"/>
  <c r="T647" i="50"/>
  <c r="F645" i="50"/>
  <c r="CQ643" i="50"/>
  <c r="CQ645" i="50" s="1"/>
  <c r="M643" i="50"/>
  <c r="H643" i="50"/>
  <c r="D643" i="50"/>
  <c r="D641" i="50"/>
  <c r="G638" i="50"/>
  <c r="Z637" i="50"/>
  <c r="U637" i="50"/>
  <c r="D637" i="50"/>
  <c r="AV635" i="50"/>
  <c r="CD620" i="50" s="1"/>
  <c r="AV634" i="50"/>
  <c r="CC620" i="50" s="1"/>
  <c r="AV633" i="50"/>
  <c r="CB620" i="50" s="1"/>
  <c r="AV632" i="50"/>
  <c r="CA620" i="50" s="1"/>
  <c r="AA631" i="50"/>
  <c r="Z631" i="50"/>
  <c r="D631" i="50"/>
  <c r="AA630" i="50"/>
  <c r="Z630" i="50"/>
  <c r="Z629" i="50"/>
  <c r="D629" i="50"/>
  <c r="AK628" i="50"/>
  <c r="Z628" i="50"/>
  <c r="D628" i="50"/>
  <c r="H627" i="50"/>
  <c r="AK626" i="50"/>
  <c r="AC626" i="50"/>
  <c r="Z626" i="50"/>
  <c r="V626" i="50"/>
  <c r="V637" i="50" s="1"/>
  <c r="Q626" i="50"/>
  <c r="D626" i="50"/>
  <c r="Q625" i="50"/>
  <c r="M625" i="50"/>
  <c r="K625" i="50"/>
  <c r="I625" i="50"/>
  <c r="G625" i="50"/>
  <c r="F625" i="50"/>
  <c r="BM623" i="50"/>
  <c r="BL623" i="50"/>
  <c r="BK623" i="50"/>
  <c r="Q623" i="50"/>
  <c r="E623" i="50"/>
  <c r="Y621" i="50"/>
  <c r="Q621" i="50"/>
  <c r="O621" i="50"/>
  <c r="E621" i="50"/>
  <c r="BY620" i="50"/>
  <c r="BW620" i="50"/>
  <c r="BT620" i="50"/>
  <c r="BQ620" i="50"/>
  <c r="BO620" i="50"/>
  <c r="BN620" i="50"/>
  <c r="BJ620" i="50"/>
  <c r="BI620" i="50"/>
  <c r="Q620" i="50"/>
  <c r="O620" i="50"/>
  <c r="U619" i="50"/>
  <c r="T619" i="50"/>
  <c r="F617" i="50"/>
  <c r="CQ615" i="50"/>
  <c r="CQ617" i="50" s="1"/>
  <c r="M615" i="50"/>
  <c r="H615" i="50"/>
  <c r="D615" i="50"/>
  <c r="D613" i="50"/>
  <c r="G610" i="50"/>
  <c r="Z609" i="50"/>
  <c r="U609" i="50"/>
  <c r="D609" i="50"/>
  <c r="AV607" i="50"/>
  <c r="CD592" i="50" s="1"/>
  <c r="AV606" i="50"/>
  <c r="CC592" i="50" s="1"/>
  <c r="AV605" i="50"/>
  <c r="CB592" i="50" s="1"/>
  <c r="AV604" i="50"/>
  <c r="CA592" i="50" s="1"/>
  <c r="AA603" i="50"/>
  <c r="Z603" i="50"/>
  <c r="D603" i="50"/>
  <c r="AA602" i="50"/>
  <c r="Z602" i="50"/>
  <c r="Z601" i="50"/>
  <c r="D601" i="50"/>
  <c r="AK600" i="50"/>
  <c r="Z600" i="50"/>
  <c r="D600" i="50"/>
  <c r="H599" i="50"/>
  <c r="AK598" i="50"/>
  <c r="AC598" i="50"/>
  <c r="AG598" i="50" s="1"/>
  <c r="Z598" i="50"/>
  <c r="V598" i="50"/>
  <c r="V601" i="50" s="1"/>
  <c r="V600" i="50" s="1"/>
  <c r="V602" i="50" s="1"/>
  <c r="Q598" i="50"/>
  <c r="D598" i="50"/>
  <c r="Q597" i="50"/>
  <c r="M597" i="50"/>
  <c r="K597" i="50"/>
  <c r="I597" i="50"/>
  <c r="G597" i="50"/>
  <c r="F597" i="50"/>
  <c r="BM595" i="50"/>
  <c r="BL595" i="50"/>
  <c r="BK595" i="50"/>
  <c r="Q595" i="50"/>
  <c r="E595" i="50"/>
  <c r="Y593" i="50"/>
  <c r="Q593" i="50"/>
  <c r="O593" i="50"/>
  <c r="E593" i="50"/>
  <c r="Y606" i="50" s="1"/>
  <c r="BY592" i="50"/>
  <c r="BW592" i="50"/>
  <c r="BT592" i="50"/>
  <c r="BQ592" i="50"/>
  <c r="BO592" i="50"/>
  <c r="BN592" i="50"/>
  <c r="BJ592" i="50"/>
  <c r="BI592" i="50"/>
  <c r="Q592" i="50"/>
  <c r="O592" i="50"/>
  <c r="U591" i="50"/>
  <c r="T591" i="50"/>
  <c r="F589" i="50"/>
  <c r="CQ587" i="50"/>
  <c r="CQ589" i="50" s="1"/>
  <c r="M587" i="50"/>
  <c r="H587" i="50"/>
  <c r="D587" i="50"/>
  <c r="D585" i="50"/>
  <c r="G582" i="50"/>
  <c r="Z581" i="50"/>
  <c r="U581" i="50"/>
  <c r="D581" i="50"/>
  <c r="AV579" i="50"/>
  <c r="CD564" i="50" s="1"/>
  <c r="AV578" i="50"/>
  <c r="CC564" i="50" s="1"/>
  <c r="AV577" i="50"/>
  <c r="CB564" i="50" s="1"/>
  <c r="AV576" i="50"/>
  <c r="CA564" i="50" s="1"/>
  <c r="AA575" i="50"/>
  <c r="Z575" i="50"/>
  <c r="D575" i="50"/>
  <c r="AA574" i="50"/>
  <c r="Z574" i="50"/>
  <c r="Z573" i="50"/>
  <c r="D573" i="50"/>
  <c r="AK572" i="50"/>
  <c r="Z572" i="50"/>
  <c r="D572" i="50"/>
  <c r="H571" i="50"/>
  <c r="AK570" i="50"/>
  <c r="AC570" i="50"/>
  <c r="AF570" i="50" s="1"/>
  <c r="Z570" i="50"/>
  <c r="V570" i="50"/>
  <c r="V573" i="50" s="1"/>
  <c r="V572" i="50" s="1"/>
  <c r="V574" i="50" s="1"/>
  <c r="Q570" i="50"/>
  <c r="D570" i="50"/>
  <c r="Q569" i="50"/>
  <c r="M569" i="50"/>
  <c r="K569" i="50"/>
  <c r="I569" i="50"/>
  <c r="G569" i="50"/>
  <c r="F569" i="50"/>
  <c r="BM567" i="50"/>
  <c r="BL567" i="50"/>
  <c r="BK567" i="50"/>
  <c r="Q567" i="50"/>
  <c r="E567" i="50"/>
  <c r="Y565" i="50"/>
  <c r="Q565" i="50"/>
  <c r="O565" i="50"/>
  <c r="E565" i="50"/>
  <c r="Y575" i="50" s="1"/>
  <c r="BY564" i="50"/>
  <c r="BW564" i="50"/>
  <c r="BT564" i="50"/>
  <c r="BQ564" i="50"/>
  <c r="BO564" i="50"/>
  <c r="BN564" i="50"/>
  <c r="BJ564" i="50"/>
  <c r="BI564" i="50"/>
  <c r="Q564" i="50"/>
  <c r="O564" i="50"/>
  <c r="U563" i="50"/>
  <c r="T563" i="50"/>
  <c r="F561" i="50"/>
  <c r="CQ559" i="50"/>
  <c r="CQ561" i="50" s="1"/>
  <c r="M559" i="50"/>
  <c r="H559" i="50"/>
  <c r="D559" i="50"/>
  <c r="D557" i="50"/>
  <c r="G554" i="50"/>
  <c r="Z553" i="50"/>
  <c r="U553" i="50"/>
  <c r="D553" i="50"/>
  <c r="AV551" i="50"/>
  <c r="CD536" i="50" s="1"/>
  <c r="AV550" i="50"/>
  <c r="CC536" i="50" s="1"/>
  <c r="AV549" i="50"/>
  <c r="CB536" i="50" s="1"/>
  <c r="AV548" i="50"/>
  <c r="CA536" i="50" s="1"/>
  <c r="AA547" i="50"/>
  <c r="Z547" i="50"/>
  <c r="D547" i="50"/>
  <c r="AA546" i="50"/>
  <c r="Z546" i="50"/>
  <c r="Z545" i="50"/>
  <c r="D545" i="50"/>
  <c r="AK544" i="50"/>
  <c r="Z544" i="50"/>
  <c r="D544" i="50"/>
  <c r="H543" i="50"/>
  <c r="AK542" i="50"/>
  <c r="AC542" i="50"/>
  <c r="Z542" i="50"/>
  <c r="V542" i="50"/>
  <c r="V553" i="50" s="1"/>
  <c r="Q542" i="50"/>
  <c r="D542" i="50"/>
  <c r="Q541" i="50"/>
  <c r="M541" i="50"/>
  <c r="K541" i="50"/>
  <c r="I541" i="50"/>
  <c r="G541" i="50"/>
  <c r="F541" i="50"/>
  <c r="BM539" i="50"/>
  <c r="BL539" i="50"/>
  <c r="BK539" i="50"/>
  <c r="Q539" i="50"/>
  <c r="E539" i="50"/>
  <c r="Y537" i="50"/>
  <c r="Q537" i="50"/>
  <c r="O537" i="50"/>
  <c r="E537" i="50"/>
  <c r="Y553" i="50" s="1"/>
  <c r="BY536" i="50"/>
  <c r="BW536" i="50"/>
  <c r="BT536" i="50"/>
  <c r="BQ536" i="50"/>
  <c r="BO536" i="50"/>
  <c r="BN536" i="50"/>
  <c r="BJ536" i="50"/>
  <c r="BI536" i="50"/>
  <c r="Q536" i="50"/>
  <c r="O536" i="50"/>
  <c r="U535" i="50"/>
  <c r="T535" i="50"/>
  <c r="F533" i="50"/>
  <c r="CQ531" i="50"/>
  <c r="CQ533" i="50" s="1"/>
  <c r="M531" i="50"/>
  <c r="H531" i="50"/>
  <c r="D531" i="50"/>
  <c r="D529" i="50"/>
  <c r="G526" i="50"/>
  <c r="Z525" i="50"/>
  <c r="U525" i="50"/>
  <c r="D525" i="50"/>
  <c r="AV523" i="50"/>
  <c r="CD508" i="50" s="1"/>
  <c r="AV522" i="50"/>
  <c r="CC508" i="50" s="1"/>
  <c r="AV521" i="50"/>
  <c r="CB508" i="50" s="1"/>
  <c r="AV520" i="50"/>
  <c r="CA508" i="50" s="1"/>
  <c r="AA519" i="50"/>
  <c r="Z519" i="50"/>
  <c r="D519" i="50"/>
  <c r="AA518" i="50"/>
  <c r="Z518" i="50"/>
  <c r="Z517" i="50"/>
  <c r="D517" i="50"/>
  <c r="AK516" i="50"/>
  <c r="Z516" i="50"/>
  <c r="D516" i="50"/>
  <c r="H515" i="50"/>
  <c r="AK514" i="50"/>
  <c r="AC514" i="50"/>
  <c r="Z514" i="50"/>
  <c r="V514" i="50"/>
  <c r="V525" i="50" s="1"/>
  <c r="Q514" i="50"/>
  <c r="D514" i="50"/>
  <c r="Q513" i="50"/>
  <c r="M513" i="50"/>
  <c r="K513" i="50"/>
  <c r="I513" i="50"/>
  <c r="G513" i="50"/>
  <c r="F513" i="50"/>
  <c r="BM511" i="50"/>
  <c r="BL511" i="50"/>
  <c r="BK511" i="50"/>
  <c r="Q511" i="50"/>
  <c r="E511" i="50"/>
  <c r="Y509" i="50"/>
  <c r="Q509" i="50"/>
  <c r="O509" i="50"/>
  <c r="E509" i="50"/>
  <c r="T525" i="50" s="1"/>
  <c r="BY508" i="50"/>
  <c r="BW508" i="50"/>
  <c r="BT508" i="50"/>
  <c r="BQ508" i="50"/>
  <c r="BO508" i="50"/>
  <c r="BN508" i="50"/>
  <c r="BJ508" i="50"/>
  <c r="BI508" i="50"/>
  <c r="Q508" i="50"/>
  <c r="O508" i="50"/>
  <c r="U507" i="50"/>
  <c r="T507" i="50"/>
  <c r="F505" i="50"/>
  <c r="CQ503" i="50"/>
  <c r="CQ505" i="50" s="1"/>
  <c r="M503" i="50"/>
  <c r="H503" i="50"/>
  <c r="D503" i="50"/>
  <c r="D501" i="50"/>
  <c r="G498" i="50"/>
  <c r="Z497" i="50"/>
  <c r="U497" i="50"/>
  <c r="D497" i="50"/>
  <c r="AV495" i="50"/>
  <c r="CD480" i="50" s="1"/>
  <c r="AV494" i="50"/>
  <c r="CC480" i="50" s="1"/>
  <c r="AV493" i="50"/>
  <c r="CB480" i="50" s="1"/>
  <c r="AV492" i="50"/>
  <c r="CA480" i="50" s="1"/>
  <c r="AA491" i="50"/>
  <c r="Z491" i="50"/>
  <c r="D491" i="50"/>
  <c r="AA490" i="50"/>
  <c r="Z490" i="50"/>
  <c r="Z489" i="50"/>
  <c r="D489" i="50"/>
  <c r="AK488" i="50"/>
  <c r="Z488" i="50"/>
  <c r="D488" i="50"/>
  <c r="H487" i="50"/>
  <c r="AK486" i="50"/>
  <c r="AC486" i="50"/>
  <c r="Z486" i="50"/>
  <c r="V486" i="50"/>
  <c r="V497" i="50" s="1"/>
  <c r="Q486" i="50"/>
  <c r="D486" i="50"/>
  <c r="Q485" i="50"/>
  <c r="M485" i="50"/>
  <c r="K485" i="50"/>
  <c r="I485" i="50"/>
  <c r="G485" i="50"/>
  <c r="F485" i="50"/>
  <c r="BM483" i="50"/>
  <c r="BL483" i="50"/>
  <c r="BK483" i="50"/>
  <c r="Q483" i="50"/>
  <c r="E483" i="50"/>
  <c r="Y481" i="50"/>
  <c r="Q481" i="50"/>
  <c r="O481" i="50"/>
  <c r="E481" i="50"/>
  <c r="Y497" i="50" s="1"/>
  <c r="BY480" i="50"/>
  <c r="BW480" i="50"/>
  <c r="BT480" i="50"/>
  <c r="BQ480" i="50"/>
  <c r="BO480" i="50"/>
  <c r="BN480" i="50"/>
  <c r="BJ480" i="50"/>
  <c r="BI480" i="50"/>
  <c r="Q480" i="50"/>
  <c r="O480" i="50"/>
  <c r="U479" i="50"/>
  <c r="T479" i="50"/>
  <c r="F477" i="50"/>
  <c r="CQ475" i="50"/>
  <c r="CQ477" i="50" s="1"/>
  <c r="M475" i="50"/>
  <c r="H475" i="50"/>
  <c r="D475" i="50"/>
  <c r="D473" i="50"/>
  <c r="G470" i="50"/>
  <c r="Z469" i="50"/>
  <c r="U469" i="50"/>
  <c r="D469" i="50"/>
  <c r="AV467" i="50"/>
  <c r="CD452" i="50" s="1"/>
  <c r="AV466" i="50"/>
  <c r="CC452" i="50" s="1"/>
  <c r="AV465" i="50"/>
  <c r="CB452" i="50" s="1"/>
  <c r="AV464" i="50"/>
  <c r="CA452" i="50" s="1"/>
  <c r="AA463" i="50"/>
  <c r="Z463" i="50"/>
  <c r="D463" i="50"/>
  <c r="AA462" i="50"/>
  <c r="Z462" i="50"/>
  <c r="Z461" i="50"/>
  <c r="D461" i="50"/>
  <c r="AK460" i="50"/>
  <c r="Z460" i="50"/>
  <c r="D460" i="50"/>
  <c r="H459" i="50"/>
  <c r="AK458" i="50"/>
  <c r="AC458" i="50"/>
  <c r="AI458" i="50" s="1"/>
  <c r="Z458" i="50"/>
  <c r="V458" i="50"/>
  <c r="V469" i="50" s="1"/>
  <c r="Q458" i="50"/>
  <c r="D458" i="50"/>
  <c r="Q457" i="50"/>
  <c r="M457" i="50"/>
  <c r="K457" i="50"/>
  <c r="I457" i="50"/>
  <c r="G457" i="50"/>
  <c r="F457" i="50"/>
  <c r="BM455" i="50"/>
  <c r="BL455" i="50"/>
  <c r="BK455" i="50"/>
  <c r="Q455" i="50"/>
  <c r="E455" i="50"/>
  <c r="Y453" i="50"/>
  <c r="Q453" i="50"/>
  <c r="O453" i="50"/>
  <c r="E453" i="50"/>
  <c r="T465" i="50" s="1"/>
  <c r="BY452" i="50"/>
  <c r="BW452" i="50"/>
  <c r="BT452" i="50"/>
  <c r="BQ452" i="50"/>
  <c r="BO452" i="50"/>
  <c r="BN452" i="50"/>
  <c r="BJ452" i="50"/>
  <c r="BI452" i="50"/>
  <c r="Q452" i="50"/>
  <c r="O452" i="50"/>
  <c r="U451" i="50"/>
  <c r="T451" i="50"/>
  <c r="F449" i="50"/>
  <c r="CQ447" i="50"/>
  <c r="CQ449" i="50" s="1"/>
  <c r="M447" i="50"/>
  <c r="H447" i="50"/>
  <c r="D447" i="50"/>
  <c r="D445" i="50"/>
  <c r="G442" i="50"/>
  <c r="Z441" i="50"/>
  <c r="U441" i="50"/>
  <c r="D441" i="50"/>
  <c r="AV439" i="50"/>
  <c r="CD424" i="50" s="1"/>
  <c r="AV438" i="50"/>
  <c r="CC424" i="50" s="1"/>
  <c r="AV437" i="50"/>
  <c r="CB424" i="50" s="1"/>
  <c r="AV436" i="50"/>
  <c r="CA424" i="50" s="1"/>
  <c r="AA435" i="50"/>
  <c r="Z435" i="50"/>
  <c r="D435" i="50"/>
  <c r="AA434" i="50"/>
  <c r="Z434" i="50"/>
  <c r="Z433" i="50"/>
  <c r="D433" i="50"/>
  <c r="AK432" i="50"/>
  <c r="Z432" i="50"/>
  <c r="D432" i="50"/>
  <c r="H431" i="50"/>
  <c r="AK430" i="50"/>
  <c r="AC430" i="50"/>
  <c r="AW430" i="50" s="1"/>
  <c r="AX430" i="50" s="1"/>
  <c r="Z430" i="50"/>
  <c r="V430" i="50"/>
  <c r="V433" i="50" s="1"/>
  <c r="V432" i="50" s="1"/>
  <c r="V434" i="50" s="1"/>
  <c r="Q430" i="50"/>
  <c r="D430" i="50"/>
  <c r="Q429" i="50"/>
  <c r="M429" i="50"/>
  <c r="K429" i="50"/>
  <c r="I429" i="50"/>
  <c r="G429" i="50"/>
  <c r="F429" i="50"/>
  <c r="BM427" i="50"/>
  <c r="BL427" i="50"/>
  <c r="BK427" i="50"/>
  <c r="Q427" i="50"/>
  <c r="E427" i="50"/>
  <c r="Y425" i="50"/>
  <c r="Q425" i="50"/>
  <c r="O425" i="50"/>
  <c r="E425" i="50"/>
  <c r="T432" i="50" s="1"/>
  <c r="BY424" i="50"/>
  <c r="BW424" i="50"/>
  <c r="BT424" i="50"/>
  <c r="BQ424" i="50"/>
  <c r="BO424" i="50"/>
  <c r="BN424" i="50"/>
  <c r="BJ424" i="50"/>
  <c r="BI424" i="50"/>
  <c r="Q424" i="50"/>
  <c r="O424" i="50"/>
  <c r="U423" i="50"/>
  <c r="T423" i="50"/>
  <c r="F421" i="50"/>
  <c r="CQ419" i="50"/>
  <c r="CQ421" i="50" s="1"/>
  <c r="M419" i="50"/>
  <c r="H419" i="50"/>
  <c r="D419" i="50"/>
  <c r="D417" i="50"/>
  <c r="G414" i="50"/>
  <c r="Z413" i="50"/>
  <c r="U413" i="50"/>
  <c r="D413" i="50"/>
  <c r="AV411" i="50"/>
  <c r="CD396" i="50" s="1"/>
  <c r="AV410" i="50"/>
  <c r="CC396" i="50" s="1"/>
  <c r="AV409" i="50"/>
  <c r="CB396" i="50" s="1"/>
  <c r="AV408" i="50"/>
  <c r="CA396" i="50" s="1"/>
  <c r="AA407" i="50"/>
  <c r="Z407" i="50"/>
  <c r="D407" i="50"/>
  <c r="AA406" i="50"/>
  <c r="Z406" i="50"/>
  <c r="Z405" i="50"/>
  <c r="D405" i="50"/>
  <c r="AK404" i="50"/>
  <c r="Z404" i="50"/>
  <c r="D404" i="50"/>
  <c r="H403" i="50"/>
  <c r="AK402" i="50"/>
  <c r="AC402" i="50"/>
  <c r="AW402" i="50" s="1"/>
  <c r="Z402" i="50"/>
  <c r="V402" i="50"/>
  <c r="V405" i="50" s="1"/>
  <c r="V404" i="50" s="1"/>
  <c r="V406" i="50" s="1"/>
  <c r="Q402" i="50"/>
  <c r="D402" i="50"/>
  <c r="Q401" i="50"/>
  <c r="M401" i="50"/>
  <c r="K401" i="50"/>
  <c r="I401" i="50"/>
  <c r="G401" i="50"/>
  <c r="F401" i="50"/>
  <c r="BM399" i="50"/>
  <c r="BL399" i="50"/>
  <c r="BK399" i="50"/>
  <c r="Q399" i="50"/>
  <c r="E399" i="50"/>
  <c r="Y397" i="50"/>
  <c r="Q397" i="50"/>
  <c r="O397" i="50"/>
  <c r="E397" i="50"/>
  <c r="T407" i="50" s="1"/>
  <c r="BY396" i="50"/>
  <c r="BW396" i="50"/>
  <c r="BT396" i="50"/>
  <c r="BQ396" i="50"/>
  <c r="BO396" i="50"/>
  <c r="BN396" i="50"/>
  <c r="BJ396" i="50"/>
  <c r="BI396" i="50"/>
  <c r="Q396" i="50"/>
  <c r="O396" i="50"/>
  <c r="U395" i="50"/>
  <c r="T395" i="50"/>
  <c r="F393" i="50"/>
  <c r="CQ391" i="50"/>
  <c r="CQ393" i="50" s="1"/>
  <c r="M391" i="50"/>
  <c r="H391" i="50"/>
  <c r="D391" i="50"/>
  <c r="D389" i="50"/>
  <c r="G386" i="50"/>
  <c r="Z385" i="50"/>
  <c r="U385" i="50"/>
  <c r="D385" i="50"/>
  <c r="AV383" i="50"/>
  <c r="CD368" i="50" s="1"/>
  <c r="AV382" i="50"/>
  <c r="CC368" i="50" s="1"/>
  <c r="AV381" i="50"/>
  <c r="CB368" i="50" s="1"/>
  <c r="AV380" i="50"/>
  <c r="CA368" i="50" s="1"/>
  <c r="AA379" i="50"/>
  <c r="Z379" i="50"/>
  <c r="D379" i="50"/>
  <c r="AA378" i="50"/>
  <c r="Z378" i="50"/>
  <c r="Z377" i="50"/>
  <c r="D377" i="50"/>
  <c r="AK376" i="50"/>
  <c r="Z376" i="50"/>
  <c r="D376" i="50"/>
  <c r="H375" i="50"/>
  <c r="AK374" i="50"/>
  <c r="AC374" i="50"/>
  <c r="AI374" i="50" s="1"/>
  <c r="Z374" i="50"/>
  <c r="V374" i="50"/>
  <c r="Q374" i="50"/>
  <c r="D374" i="50"/>
  <c r="Q373" i="50"/>
  <c r="M373" i="50"/>
  <c r="K373" i="50"/>
  <c r="I373" i="50"/>
  <c r="G373" i="50"/>
  <c r="F373" i="50"/>
  <c r="BM371" i="50"/>
  <c r="BL371" i="50"/>
  <c r="BK371" i="50"/>
  <c r="Q371" i="50"/>
  <c r="E371" i="50"/>
  <c r="Y369" i="50"/>
  <c r="Q369" i="50"/>
  <c r="O369" i="50"/>
  <c r="E369" i="50"/>
  <c r="R371" i="50" s="1"/>
  <c r="BY368" i="50"/>
  <c r="BW368" i="50"/>
  <c r="BT368" i="50"/>
  <c r="BQ368" i="50"/>
  <c r="BO368" i="50"/>
  <c r="BN368" i="50"/>
  <c r="BJ368" i="50"/>
  <c r="BI368" i="50"/>
  <c r="Q368" i="50"/>
  <c r="O368" i="50"/>
  <c r="U367" i="50"/>
  <c r="T367" i="50"/>
  <c r="F365" i="50"/>
  <c r="CQ363" i="50"/>
  <c r="CQ365" i="50" s="1"/>
  <c r="M363" i="50"/>
  <c r="H363" i="50"/>
  <c r="D363" i="50"/>
  <c r="D361" i="50"/>
  <c r="G358" i="50"/>
  <c r="Z357" i="50"/>
  <c r="U357" i="50"/>
  <c r="D357" i="50"/>
  <c r="AV355" i="50"/>
  <c r="CD340" i="50" s="1"/>
  <c r="AV354" i="50"/>
  <c r="CC340" i="50" s="1"/>
  <c r="AV353" i="50"/>
  <c r="CB340" i="50" s="1"/>
  <c r="AV352" i="50"/>
  <c r="CA340" i="50" s="1"/>
  <c r="AA351" i="50"/>
  <c r="Z351" i="50"/>
  <c r="D351" i="50"/>
  <c r="AA350" i="50"/>
  <c r="Z350" i="50"/>
  <c r="Z349" i="50"/>
  <c r="D349" i="50"/>
  <c r="AK348" i="50"/>
  <c r="Z348" i="50"/>
  <c r="D348" i="50"/>
  <c r="H347" i="50"/>
  <c r="AK346" i="50"/>
  <c r="AC346" i="50"/>
  <c r="AG346" i="50" s="1"/>
  <c r="Z346" i="50"/>
  <c r="V346" i="50"/>
  <c r="V357" i="50" s="1"/>
  <c r="Q346" i="50"/>
  <c r="D346" i="50"/>
  <c r="Q345" i="50"/>
  <c r="M345" i="50"/>
  <c r="K345" i="50"/>
  <c r="I345" i="50"/>
  <c r="G345" i="50"/>
  <c r="F345" i="50"/>
  <c r="BM343" i="50"/>
  <c r="BL343" i="50"/>
  <c r="BK343" i="50"/>
  <c r="Q343" i="50"/>
  <c r="E343" i="50"/>
  <c r="Y341" i="50"/>
  <c r="Q341" i="50"/>
  <c r="O341" i="50"/>
  <c r="E341" i="50"/>
  <c r="Y346" i="50" s="1"/>
  <c r="BY340" i="50"/>
  <c r="BW340" i="50"/>
  <c r="BT340" i="50"/>
  <c r="BQ340" i="50"/>
  <c r="BO340" i="50"/>
  <c r="BN340" i="50"/>
  <c r="BJ340" i="50"/>
  <c r="BI340" i="50"/>
  <c r="Q340" i="50"/>
  <c r="O340" i="50"/>
  <c r="U339" i="50"/>
  <c r="T339" i="50"/>
  <c r="F337" i="50"/>
  <c r="CQ335" i="50"/>
  <c r="CQ337" i="50" s="1"/>
  <c r="M335" i="50"/>
  <c r="H335" i="50"/>
  <c r="D335" i="50"/>
  <c r="D333" i="50"/>
  <c r="G330" i="50"/>
  <c r="Z329" i="50"/>
  <c r="U329" i="50"/>
  <c r="D329" i="50"/>
  <c r="AV327" i="50"/>
  <c r="CD312" i="50" s="1"/>
  <c r="AV326" i="50"/>
  <c r="CC312" i="50" s="1"/>
  <c r="AV325" i="50"/>
  <c r="CB312" i="50" s="1"/>
  <c r="AV324" i="50"/>
  <c r="CA312" i="50" s="1"/>
  <c r="AA323" i="50"/>
  <c r="Z323" i="50"/>
  <c r="D323" i="50"/>
  <c r="AA322" i="50"/>
  <c r="Z322" i="50"/>
  <c r="Z321" i="50"/>
  <c r="D321" i="50"/>
  <c r="AK320" i="50"/>
  <c r="Z320" i="50"/>
  <c r="D320" i="50"/>
  <c r="H319" i="50"/>
  <c r="AK318" i="50"/>
  <c r="AC318" i="50"/>
  <c r="AG318" i="50" s="1"/>
  <c r="Z318" i="50"/>
  <c r="V318" i="50"/>
  <c r="V329" i="50" s="1"/>
  <c r="Q318" i="50"/>
  <c r="D318" i="50"/>
  <c r="Q317" i="50"/>
  <c r="M317" i="50"/>
  <c r="K317" i="50"/>
  <c r="I317" i="50"/>
  <c r="G317" i="50"/>
  <c r="F317" i="50"/>
  <c r="BM315" i="50"/>
  <c r="BL315" i="50"/>
  <c r="BK315" i="50"/>
  <c r="Q315" i="50"/>
  <c r="E315" i="50"/>
  <c r="Y313" i="50"/>
  <c r="Q313" i="50"/>
  <c r="O313" i="50"/>
  <c r="E313" i="50"/>
  <c r="Y322" i="50" s="1"/>
  <c r="BY312" i="50"/>
  <c r="BW312" i="50"/>
  <c r="BT312" i="50"/>
  <c r="BQ312" i="50"/>
  <c r="BO312" i="50"/>
  <c r="BN312" i="50"/>
  <c r="BJ312" i="50"/>
  <c r="BI312" i="50"/>
  <c r="Q312" i="50"/>
  <c r="O312" i="50"/>
  <c r="U311" i="50"/>
  <c r="T311" i="50"/>
  <c r="F309" i="50"/>
  <c r="CQ307" i="50"/>
  <c r="CQ309" i="50" s="1"/>
  <c r="M307" i="50"/>
  <c r="H307" i="50"/>
  <c r="D307" i="50"/>
  <c r="D305" i="50"/>
  <c r="G302" i="50"/>
  <c r="Z301" i="50"/>
  <c r="U301" i="50"/>
  <c r="D301" i="50"/>
  <c r="AV299" i="50"/>
  <c r="CD284" i="50" s="1"/>
  <c r="AV298" i="50"/>
  <c r="CC284" i="50" s="1"/>
  <c r="AV297" i="50"/>
  <c r="CB284" i="50" s="1"/>
  <c r="AV296" i="50"/>
  <c r="CA284" i="50" s="1"/>
  <c r="AA295" i="50"/>
  <c r="Z295" i="50"/>
  <c r="D295" i="50"/>
  <c r="AA294" i="50"/>
  <c r="Z294" i="50"/>
  <c r="Z293" i="50"/>
  <c r="D293" i="50"/>
  <c r="AK292" i="50"/>
  <c r="Z292" i="50"/>
  <c r="D292" i="50"/>
  <c r="H291" i="50"/>
  <c r="AK290" i="50"/>
  <c r="AC290" i="50"/>
  <c r="AW290" i="50" s="1"/>
  <c r="Z290" i="50"/>
  <c r="V290" i="50"/>
  <c r="Q290" i="50"/>
  <c r="D290" i="50"/>
  <c r="Q289" i="50"/>
  <c r="M289" i="50"/>
  <c r="K289" i="50"/>
  <c r="I289" i="50"/>
  <c r="G289" i="50"/>
  <c r="F289" i="50"/>
  <c r="BM287" i="50"/>
  <c r="BL287" i="50"/>
  <c r="BK287" i="50"/>
  <c r="Q287" i="50"/>
  <c r="E287" i="50"/>
  <c r="Y285" i="50"/>
  <c r="Q285" i="50"/>
  <c r="O285" i="50"/>
  <c r="E285" i="50"/>
  <c r="Y297" i="50" s="1"/>
  <c r="BY284" i="50"/>
  <c r="BW284" i="50"/>
  <c r="BT284" i="50"/>
  <c r="BQ284" i="50"/>
  <c r="BO284" i="50"/>
  <c r="BN284" i="50"/>
  <c r="BJ284" i="50"/>
  <c r="BI284" i="50"/>
  <c r="Q284" i="50"/>
  <c r="O284" i="50"/>
  <c r="U283" i="50"/>
  <c r="T283" i="50"/>
  <c r="F281" i="50"/>
  <c r="CQ279" i="50"/>
  <c r="CQ281" i="50" s="1"/>
  <c r="M279" i="50"/>
  <c r="H279" i="50"/>
  <c r="D279" i="50"/>
  <c r="D277" i="50"/>
  <c r="G274" i="50"/>
  <c r="Z273" i="50"/>
  <c r="U273" i="50"/>
  <c r="D273" i="50"/>
  <c r="AV271" i="50"/>
  <c r="CD256" i="50" s="1"/>
  <c r="AV270" i="50"/>
  <c r="CC256" i="50" s="1"/>
  <c r="AV269" i="50"/>
  <c r="CB256" i="50" s="1"/>
  <c r="AV268" i="50"/>
  <c r="CA256" i="50" s="1"/>
  <c r="AA267" i="50"/>
  <c r="Z267" i="50"/>
  <c r="D267" i="50"/>
  <c r="AA266" i="50"/>
  <c r="Z266" i="50"/>
  <c r="Z265" i="50"/>
  <c r="D265" i="50"/>
  <c r="AK264" i="50"/>
  <c r="Z264" i="50"/>
  <c r="D264" i="50"/>
  <c r="H263" i="50"/>
  <c r="AK262" i="50"/>
  <c r="AC262" i="50"/>
  <c r="Z262" i="50"/>
  <c r="V262" i="50"/>
  <c r="V273" i="50" s="1"/>
  <c r="Q262" i="50"/>
  <c r="D262" i="50"/>
  <c r="Q261" i="50"/>
  <c r="M261" i="50"/>
  <c r="K261" i="50"/>
  <c r="I261" i="50"/>
  <c r="G261" i="50"/>
  <c r="F261" i="50"/>
  <c r="BM259" i="50"/>
  <c r="BL259" i="50"/>
  <c r="BK259" i="50"/>
  <c r="Q259" i="50"/>
  <c r="E259" i="50"/>
  <c r="Y257" i="50"/>
  <c r="Q257" i="50"/>
  <c r="O257" i="50"/>
  <c r="E257" i="50"/>
  <c r="Y270" i="50" s="1"/>
  <c r="BY256" i="50"/>
  <c r="BW256" i="50"/>
  <c r="BT256" i="50"/>
  <c r="BQ256" i="50"/>
  <c r="BO256" i="50"/>
  <c r="BN256" i="50"/>
  <c r="BJ256" i="50"/>
  <c r="BI256" i="50"/>
  <c r="Q256" i="50"/>
  <c r="O256" i="50"/>
  <c r="U255" i="50"/>
  <c r="T255" i="50"/>
  <c r="F253" i="50"/>
  <c r="CQ251" i="50"/>
  <c r="CQ253" i="50" s="1"/>
  <c r="M251" i="50"/>
  <c r="H251" i="50"/>
  <c r="D251" i="50"/>
  <c r="D249" i="50"/>
  <c r="G246" i="50"/>
  <c r="Z245" i="50"/>
  <c r="U245" i="50"/>
  <c r="D245" i="50"/>
  <c r="AV243" i="50"/>
  <c r="CD228" i="50" s="1"/>
  <c r="AV242" i="50"/>
  <c r="CC228" i="50" s="1"/>
  <c r="AV241" i="50"/>
  <c r="CB228" i="50" s="1"/>
  <c r="AV240" i="50"/>
  <c r="CA228" i="50" s="1"/>
  <c r="AA239" i="50"/>
  <c r="Z239" i="50"/>
  <c r="D239" i="50"/>
  <c r="AA238" i="50"/>
  <c r="Z238" i="50"/>
  <c r="Z237" i="50"/>
  <c r="D237" i="50"/>
  <c r="AK236" i="50"/>
  <c r="Z236" i="50"/>
  <c r="D236" i="50"/>
  <c r="H235" i="50"/>
  <c r="AK234" i="50"/>
  <c r="AC234" i="50"/>
  <c r="Z234" i="50"/>
  <c r="V234" i="50"/>
  <c r="V245" i="50" s="1"/>
  <c r="Q234" i="50"/>
  <c r="D234" i="50"/>
  <c r="Q233" i="50"/>
  <c r="M233" i="50"/>
  <c r="K233" i="50"/>
  <c r="I233" i="50"/>
  <c r="G233" i="50"/>
  <c r="F233" i="50"/>
  <c r="BM231" i="50"/>
  <c r="BL231" i="50"/>
  <c r="BK231" i="50"/>
  <c r="Q231" i="50"/>
  <c r="E231" i="50"/>
  <c r="Y229" i="50"/>
  <c r="Q229" i="50"/>
  <c r="O229" i="50"/>
  <c r="E229" i="50"/>
  <c r="T245" i="50" s="1"/>
  <c r="BY228" i="50"/>
  <c r="BW228" i="50"/>
  <c r="BT228" i="50"/>
  <c r="BQ228" i="50"/>
  <c r="BO228" i="50"/>
  <c r="BN228" i="50"/>
  <c r="BJ228" i="50"/>
  <c r="BI228" i="50"/>
  <c r="Q228" i="50"/>
  <c r="O228" i="50"/>
  <c r="U227" i="50"/>
  <c r="T227" i="50"/>
  <c r="F225" i="50"/>
  <c r="CQ223" i="50"/>
  <c r="CQ225" i="50" s="1"/>
  <c r="M223" i="50"/>
  <c r="H223" i="50"/>
  <c r="D223" i="50"/>
  <c r="D221" i="50"/>
  <c r="G218" i="50"/>
  <c r="Z217" i="50"/>
  <c r="U217" i="50"/>
  <c r="D217" i="50"/>
  <c r="AV215" i="50"/>
  <c r="CD200" i="50" s="1"/>
  <c r="AV214" i="50"/>
  <c r="CC200" i="50" s="1"/>
  <c r="AV213" i="50"/>
  <c r="CB200" i="50" s="1"/>
  <c r="AV212" i="50"/>
  <c r="CA200" i="50" s="1"/>
  <c r="AA211" i="50"/>
  <c r="Z211" i="50"/>
  <c r="D211" i="50"/>
  <c r="AA210" i="50"/>
  <c r="Z210" i="50"/>
  <c r="Z209" i="50"/>
  <c r="D209" i="50"/>
  <c r="AK208" i="50"/>
  <c r="Z208" i="50"/>
  <c r="D208" i="50"/>
  <c r="H207" i="50"/>
  <c r="AK206" i="50"/>
  <c r="AC206" i="50"/>
  <c r="AF206" i="50" s="1"/>
  <c r="Z206" i="50"/>
  <c r="V206" i="50"/>
  <c r="V217" i="50" s="1"/>
  <c r="Q206" i="50"/>
  <c r="D206" i="50"/>
  <c r="Q205" i="50"/>
  <c r="M205" i="50"/>
  <c r="K205" i="50"/>
  <c r="I205" i="50"/>
  <c r="G205" i="50"/>
  <c r="F205" i="50"/>
  <c r="BM203" i="50"/>
  <c r="BL203" i="50"/>
  <c r="BK203" i="50"/>
  <c r="Q203" i="50"/>
  <c r="E203" i="50"/>
  <c r="Y201" i="50"/>
  <c r="Q201" i="50"/>
  <c r="O201" i="50"/>
  <c r="E201" i="50"/>
  <c r="Y209" i="50" s="1"/>
  <c r="BY200" i="50"/>
  <c r="BW200" i="50"/>
  <c r="BT200" i="50"/>
  <c r="BQ200" i="50"/>
  <c r="BO200" i="50"/>
  <c r="BN200" i="50"/>
  <c r="BJ200" i="50"/>
  <c r="BI200" i="50"/>
  <c r="Q200" i="50"/>
  <c r="O200" i="50"/>
  <c r="U199" i="50"/>
  <c r="T199" i="50"/>
  <c r="F197" i="50"/>
  <c r="CQ195" i="50"/>
  <c r="CQ197" i="50" s="1"/>
  <c r="M195" i="50"/>
  <c r="H195" i="50"/>
  <c r="D195" i="50"/>
  <c r="D193" i="50"/>
  <c r="G190" i="50"/>
  <c r="Z189" i="50"/>
  <c r="U189" i="50"/>
  <c r="D189" i="50"/>
  <c r="AV187" i="50"/>
  <c r="CD172" i="50" s="1"/>
  <c r="AV186" i="50"/>
  <c r="CC172" i="50" s="1"/>
  <c r="AV185" i="50"/>
  <c r="CB172" i="50" s="1"/>
  <c r="AV184" i="50"/>
  <c r="CA172" i="50" s="1"/>
  <c r="AA183" i="50"/>
  <c r="Z183" i="50"/>
  <c r="D183" i="50"/>
  <c r="AA182" i="50"/>
  <c r="Z182" i="50"/>
  <c r="Z181" i="50"/>
  <c r="D181" i="50"/>
  <c r="AK180" i="50"/>
  <c r="Z180" i="50"/>
  <c r="D180" i="50"/>
  <c r="H179" i="50"/>
  <c r="AK178" i="50"/>
  <c r="AC178" i="50"/>
  <c r="AF178" i="50" s="1"/>
  <c r="Z178" i="50"/>
  <c r="V178" i="50"/>
  <c r="V189" i="50" s="1"/>
  <c r="Q178" i="50"/>
  <c r="D178" i="50"/>
  <c r="Q177" i="50"/>
  <c r="M177" i="50"/>
  <c r="K177" i="50"/>
  <c r="I177" i="50"/>
  <c r="G177" i="50"/>
  <c r="F177" i="50"/>
  <c r="BM175" i="50"/>
  <c r="BL175" i="50"/>
  <c r="BK175" i="50"/>
  <c r="Q175" i="50"/>
  <c r="E175" i="50"/>
  <c r="Y173" i="50"/>
  <c r="Q173" i="50"/>
  <c r="O173" i="50"/>
  <c r="E173" i="50"/>
  <c r="Y182" i="50" s="1"/>
  <c r="BY172" i="50"/>
  <c r="BW172" i="50"/>
  <c r="BT172" i="50"/>
  <c r="BQ172" i="50"/>
  <c r="BO172" i="50"/>
  <c r="BN172" i="50"/>
  <c r="BJ172" i="50"/>
  <c r="BI172" i="50"/>
  <c r="Q172" i="50"/>
  <c r="O172" i="50"/>
  <c r="U171" i="50"/>
  <c r="T171" i="50"/>
  <c r="F169" i="50"/>
  <c r="CQ167" i="50"/>
  <c r="CQ169" i="50" s="1"/>
  <c r="M167" i="50"/>
  <c r="H167" i="50"/>
  <c r="D167" i="50"/>
  <c r="D165" i="50"/>
  <c r="G162" i="50"/>
  <c r="Z161" i="50"/>
  <c r="U161" i="50"/>
  <c r="D161" i="50"/>
  <c r="AV159" i="50"/>
  <c r="CD144" i="50" s="1"/>
  <c r="AV158" i="50"/>
  <c r="CC144" i="50" s="1"/>
  <c r="AV157" i="50"/>
  <c r="CB144" i="50" s="1"/>
  <c r="AV156" i="50"/>
  <c r="CA144" i="50" s="1"/>
  <c r="AA155" i="50"/>
  <c r="Z155" i="50"/>
  <c r="D155" i="50"/>
  <c r="AA154" i="50"/>
  <c r="Z154" i="50"/>
  <c r="Z153" i="50"/>
  <c r="D153" i="50"/>
  <c r="AK152" i="50"/>
  <c r="Z152" i="50"/>
  <c r="D152" i="50"/>
  <c r="H151" i="50"/>
  <c r="AK150" i="50"/>
  <c r="AC150" i="50"/>
  <c r="Z150" i="50"/>
  <c r="V150" i="50"/>
  <c r="V161" i="50" s="1"/>
  <c r="Q150" i="50"/>
  <c r="D150" i="50"/>
  <c r="Q149" i="50"/>
  <c r="M149" i="50"/>
  <c r="K149" i="50"/>
  <c r="I149" i="50"/>
  <c r="G149" i="50"/>
  <c r="F149" i="50"/>
  <c r="BM147" i="50"/>
  <c r="BL147" i="50"/>
  <c r="BK147" i="50"/>
  <c r="Q147" i="50"/>
  <c r="E147" i="50"/>
  <c r="Y145" i="50"/>
  <c r="Q145" i="50"/>
  <c r="O145" i="50"/>
  <c r="E145" i="50"/>
  <c r="N144" i="50" s="1"/>
  <c r="BY144" i="50"/>
  <c r="BW144" i="50"/>
  <c r="BT144" i="50"/>
  <c r="BQ144" i="50"/>
  <c r="BO144" i="50"/>
  <c r="BN144" i="50"/>
  <c r="BJ144" i="50"/>
  <c r="BI144" i="50"/>
  <c r="Q144" i="50"/>
  <c r="O144" i="50"/>
  <c r="U143" i="50"/>
  <c r="T143" i="50"/>
  <c r="F141" i="50"/>
  <c r="CQ139" i="50"/>
  <c r="CQ141" i="50" s="1"/>
  <c r="M139" i="50"/>
  <c r="H139" i="50"/>
  <c r="D139" i="50"/>
  <c r="D137" i="50"/>
  <c r="G134" i="50"/>
  <c r="Z133" i="50"/>
  <c r="U133" i="50"/>
  <c r="D133" i="50"/>
  <c r="AV131" i="50"/>
  <c r="CD116" i="50" s="1"/>
  <c r="AV130" i="50"/>
  <c r="CC116" i="50" s="1"/>
  <c r="AV129" i="50"/>
  <c r="CB116" i="50" s="1"/>
  <c r="AV128" i="50"/>
  <c r="CA116" i="50" s="1"/>
  <c r="AA127" i="50"/>
  <c r="Z127" i="50"/>
  <c r="D127" i="50"/>
  <c r="AA126" i="50"/>
  <c r="Z126" i="50"/>
  <c r="Z125" i="50"/>
  <c r="D125" i="50"/>
  <c r="AK124" i="50"/>
  <c r="Z124" i="50"/>
  <c r="D124" i="50"/>
  <c r="H123" i="50"/>
  <c r="AK122" i="50"/>
  <c r="AC122" i="50"/>
  <c r="Z122" i="50"/>
  <c r="V122" i="50"/>
  <c r="V133" i="50" s="1"/>
  <c r="Q122" i="50"/>
  <c r="D122" i="50"/>
  <c r="Q121" i="50"/>
  <c r="M121" i="50"/>
  <c r="K121" i="50"/>
  <c r="I121" i="50"/>
  <c r="G121" i="50"/>
  <c r="F121" i="50"/>
  <c r="BM119" i="50"/>
  <c r="BL119" i="50"/>
  <c r="BK119" i="50"/>
  <c r="Q119" i="50"/>
  <c r="E119" i="50"/>
  <c r="Y117" i="50"/>
  <c r="Q117" i="50"/>
  <c r="O117" i="50"/>
  <c r="E117" i="50"/>
  <c r="N116" i="50" s="1"/>
  <c r="BY116" i="50"/>
  <c r="BW116" i="50"/>
  <c r="BT116" i="50"/>
  <c r="BQ116" i="50"/>
  <c r="BO116" i="50"/>
  <c r="BN116" i="50"/>
  <c r="BJ116" i="50"/>
  <c r="BI116" i="50"/>
  <c r="Q116" i="50"/>
  <c r="O116" i="50"/>
  <c r="U115" i="50"/>
  <c r="T115" i="50"/>
  <c r="C88" i="50"/>
  <c r="C116" i="50" s="1"/>
  <c r="A116" i="50" s="1"/>
  <c r="F113" i="50"/>
  <c r="CQ111" i="50"/>
  <c r="CQ113" i="50" s="1"/>
  <c r="M111" i="50"/>
  <c r="H111" i="50"/>
  <c r="D111" i="50"/>
  <c r="D109" i="50"/>
  <c r="G106" i="50"/>
  <c r="D105" i="50"/>
  <c r="AV103" i="50"/>
  <c r="CD88" i="50" s="1"/>
  <c r="AV102" i="50"/>
  <c r="CC88" i="50" s="1"/>
  <c r="AV101" i="50"/>
  <c r="CB88" i="50" s="1"/>
  <c r="AV100" i="50"/>
  <c r="CA88" i="50" s="1"/>
  <c r="AA99" i="50"/>
  <c r="Z99" i="50"/>
  <c r="D99" i="50"/>
  <c r="AA98" i="50"/>
  <c r="D97" i="50"/>
  <c r="AK96" i="50"/>
  <c r="D96" i="50"/>
  <c r="H95" i="50"/>
  <c r="AK94" i="50"/>
  <c r="AC94" i="50"/>
  <c r="AW94" i="50" s="1"/>
  <c r="AX94" i="50" s="1"/>
  <c r="Q94" i="50"/>
  <c r="D94" i="50"/>
  <c r="Q93" i="50"/>
  <c r="M93" i="50"/>
  <c r="K93" i="50"/>
  <c r="I93" i="50"/>
  <c r="G93" i="50"/>
  <c r="F93" i="50"/>
  <c r="BM91" i="50"/>
  <c r="BL91" i="50"/>
  <c r="BK91" i="50"/>
  <c r="Q91" i="50"/>
  <c r="E91" i="50"/>
  <c r="Y89" i="50"/>
  <c r="Q89" i="50"/>
  <c r="O89" i="50"/>
  <c r="E89" i="50"/>
  <c r="BY88" i="50"/>
  <c r="BW88" i="50"/>
  <c r="BT88" i="50"/>
  <c r="BQ88" i="50"/>
  <c r="BO88" i="50"/>
  <c r="BN88" i="50"/>
  <c r="BJ88" i="50"/>
  <c r="BI88" i="50"/>
  <c r="Q88" i="50"/>
  <c r="O88" i="50"/>
  <c r="U87" i="50"/>
  <c r="T87" i="50"/>
  <c r="BD1446" i="50" l="1"/>
  <c r="CC1432" i="50"/>
  <c r="N1432" i="50"/>
  <c r="BD1416" i="50"/>
  <c r="BD1360" i="50"/>
  <c r="AF1354" i="50"/>
  <c r="AG1102" i="50"/>
  <c r="BD1192" i="50"/>
  <c r="AG1410" i="50"/>
  <c r="BD745" i="50"/>
  <c r="BD1080" i="50"/>
  <c r="BD1108" i="50"/>
  <c r="N1376" i="50"/>
  <c r="BD943" i="50"/>
  <c r="BD971" i="50"/>
  <c r="BD1334" i="50"/>
  <c r="BD774" i="50"/>
  <c r="T1389" i="50"/>
  <c r="N1404" i="50"/>
  <c r="BD268" i="50"/>
  <c r="BD439" i="50"/>
  <c r="BD1026" i="50"/>
  <c r="BD1139" i="50"/>
  <c r="Y1386" i="50"/>
  <c r="AF1438" i="50"/>
  <c r="BD549" i="50"/>
  <c r="BD772" i="50"/>
  <c r="BD831" i="50"/>
  <c r="BD1055" i="50"/>
  <c r="AI1438" i="50"/>
  <c r="I1438" i="50" s="1"/>
  <c r="BD1447" i="50"/>
  <c r="T775" i="50"/>
  <c r="Y777" i="50"/>
  <c r="T774" i="50"/>
  <c r="N761" i="50"/>
  <c r="Y637" i="50"/>
  <c r="T626" i="50"/>
  <c r="T738" i="50"/>
  <c r="T741" i="50"/>
  <c r="Y964" i="50"/>
  <c r="T962" i="50"/>
  <c r="Y1024" i="50"/>
  <c r="N1012" i="50"/>
  <c r="T1137" i="50"/>
  <c r="T1391" i="50"/>
  <c r="N1124" i="50"/>
  <c r="N1405" i="50"/>
  <c r="R1437" i="50"/>
  <c r="Y1440" i="50"/>
  <c r="T1441" i="50"/>
  <c r="AK1441" i="50"/>
  <c r="Y1442" i="50"/>
  <c r="Y1443" i="50"/>
  <c r="Y1445" i="50"/>
  <c r="Y1274" i="50"/>
  <c r="BD1223" i="50"/>
  <c r="T1279" i="50"/>
  <c r="T1384" i="50"/>
  <c r="Y1385" i="50"/>
  <c r="Y1393" i="50"/>
  <c r="Y1410" i="50"/>
  <c r="AF1410" i="50"/>
  <c r="N1433" i="50"/>
  <c r="T1438" i="50"/>
  <c r="Y1441" i="50"/>
  <c r="Y1444" i="50"/>
  <c r="T1447" i="50"/>
  <c r="R430" i="50"/>
  <c r="BD605" i="50"/>
  <c r="BD857" i="50"/>
  <c r="Y1141" i="50"/>
  <c r="BD1222" i="50"/>
  <c r="BD1251" i="50"/>
  <c r="R1267" i="50"/>
  <c r="R1297" i="50"/>
  <c r="AG1298" i="50"/>
  <c r="Y1382" i="50"/>
  <c r="AF1382" i="50"/>
  <c r="Y1387" i="50"/>
  <c r="Y1388" i="50"/>
  <c r="T1390" i="50"/>
  <c r="T1414" i="50"/>
  <c r="BD1417" i="50"/>
  <c r="T1446" i="50"/>
  <c r="BD719" i="50"/>
  <c r="BD1052" i="50"/>
  <c r="Y1278" i="50"/>
  <c r="N1377" i="50"/>
  <c r="AG1382" i="50"/>
  <c r="R1409" i="50"/>
  <c r="AI1410" i="50"/>
  <c r="AX1410" i="50"/>
  <c r="T1412" i="50"/>
  <c r="Y1413" i="50"/>
  <c r="T1416" i="50"/>
  <c r="Y1438" i="50"/>
  <c r="T1440" i="50"/>
  <c r="T1443" i="50"/>
  <c r="T1445" i="50"/>
  <c r="AK601" i="50"/>
  <c r="T602" i="50"/>
  <c r="T607" i="50"/>
  <c r="BD688" i="50"/>
  <c r="N816" i="50"/>
  <c r="AW878" i="50"/>
  <c r="AX878" i="50" s="1"/>
  <c r="N928" i="50"/>
  <c r="BD970" i="50"/>
  <c r="N1040" i="50"/>
  <c r="N1041" i="50"/>
  <c r="T1052" i="50"/>
  <c r="BD1054" i="50"/>
  <c r="BD1081" i="50"/>
  <c r="N1152" i="50"/>
  <c r="N1153" i="50"/>
  <c r="T1164" i="50"/>
  <c r="AI1186" i="50"/>
  <c r="AG1186" i="50"/>
  <c r="N1208" i="50"/>
  <c r="N1209" i="50"/>
  <c r="N284" i="50"/>
  <c r="AF430" i="50"/>
  <c r="AG822" i="50"/>
  <c r="AG906" i="50"/>
  <c r="AK965" i="50"/>
  <c r="Y1130" i="50"/>
  <c r="T1135" i="50"/>
  <c r="Y1136" i="50"/>
  <c r="BD1138" i="50"/>
  <c r="Y1301" i="50"/>
  <c r="T1328" i="50"/>
  <c r="T1334" i="50"/>
  <c r="Y1329" i="50"/>
  <c r="T1360" i="50"/>
  <c r="R1354" i="50"/>
  <c r="R1351" i="50"/>
  <c r="T1223" i="50"/>
  <c r="T1222" i="50"/>
  <c r="Y1216" i="50"/>
  <c r="Y1217" i="50"/>
  <c r="Y1214" i="50"/>
  <c r="Y266" i="50"/>
  <c r="AI290" i="50"/>
  <c r="I290" i="50" s="1"/>
  <c r="R315" i="50"/>
  <c r="R595" i="50"/>
  <c r="T850" i="50"/>
  <c r="Y934" i="50"/>
  <c r="AF934" i="50"/>
  <c r="BD942" i="50"/>
  <c r="T969" i="50"/>
  <c r="BD1027" i="50"/>
  <c r="T1046" i="50"/>
  <c r="N1125" i="50"/>
  <c r="T1132" i="50"/>
  <c r="Y1133" i="50"/>
  <c r="T1158" i="50"/>
  <c r="T1161" i="50"/>
  <c r="T1214" i="50"/>
  <c r="T1245" i="50"/>
  <c r="N1236" i="50"/>
  <c r="BD1250" i="50"/>
  <c r="Y1307" i="50"/>
  <c r="N1320" i="50"/>
  <c r="T1335" i="50"/>
  <c r="BD1390" i="50"/>
  <c r="V1413" i="50"/>
  <c r="V1412" i="50" s="1"/>
  <c r="V1414" i="50" s="1"/>
  <c r="V1441" i="50"/>
  <c r="V1440" i="50" s="1"/>
  <c r="V1442" i="50" s="1"/>
  <c r="BD1361" i="50"/>
  <c r="AI1382" i="50"/>
  <c r="AX1382" i="50"/>
  <c r="BD1391" i="50"/>
  <c r="T1417" i="50"/>
  <c r="Y1416" i="50"/>
  <c r="Y1415" i="50"/>
  <c r="R1407" i="50"/>
  <c r="R1410" i="50"/>
  <c r="T1415" i="50"/>
  <c r="Y1417" i="50"/>
  <c r="T1418" i="50"/>
  <c r="BD1419" i="50"/>
  <c r="BD1418" i="50"/>
  <c r="T1419" i="50"/>
  <c r="BD1445" i="50"/>
  <c r="BD1444" i="50"/>
  <c r="Y1272" i="50"/>
  <c r="BD1276" i="50"/>
  <c r="BD1305" i="50"/>
  <c r="BD1335" i="50"/>
  <c r="R1381" i="50"/>
  <c r="T1387" i="50"/>
  <c r="T1410" i="50"/>
  <c r="Y1412" i="50"/>
  <c r="T1413" i="50"/>
  <c r="AK1413" i="50"/>
  <c r="Y1414" i="50"/>
  <c r="Y1418" i="50"/>
  <c r="Y1419" i="50"/>
  <c r="T1421" i="50"/>
  <c r="R1435" i="50"/>
  <c r="R1438" i="50"/>
  <c r="AG1438" i="50"/>
  <c r="T1442" i="50"/>
  <c r="Y1446" i="50"/>
  <c r="Y1447" i="50"/>
  <c r="T1449" i="50"/>
  <c r="T1444" i="50"/>
  <c r="AG374" i="50"/>
  <c r="R455" i="50"/>
  <c r="Y463" i="50"/>
  <c r="Y464" i="50"/>
  <c r="T598" i="50"/>
  <c r="N704" i="50"/>
  <c r="T771" i="50"/>
  <c r="AI794" i="50"/>
  <c r="I794" i="50" s="1"/>
  <c r="T853" i="50"/>
  <c r="AG934" i="50"/>
  <c r="V945" i="50"/>
  <c r="T965" i="50"/>
  <c r="Y967" i="50"/>
  <c r="Y968" i="50"/>
  <c r="Y1023" i="50"/>
  <c r="T1057" i="50"/>
  <c r="Y1052" i="50"/>
  <c r="Y1051" i="50"/>
  <c r="T1053" i="50"/>
  <c r="AK1049" i="50"/>
  <c r="Y1048" i="50"/>
  <c r="R1045" i="50"/>
  <c r="V1057" i="50"/>
  <c r="Y1109" i="50"/>
  <c r="T1111" i="50"/>
  <c r="Y1113" i="50"/>
  <c r="Y1195" i="50"/>
  <c r="T1191" i="50"/>
  <c r="Y1194" i="50"/>
  <c r="T1190" i="50"/>
  <c r="Y1186" i="50"/>
  <c r="R1241" i="50"/>
  <c r="AI1242" i="50"/>
  <c r="T1309" i="50"/>
  <c r="Y1306" i="50"/>
  <c r="T1304" i="50"/>
  <c r="Y1302" i="50"/>
  <c r="T1300" i="50"/>
  <c r="Y1298" i="50"/>
  <c r="N1293" i="50"/>
  <c r="AW1326" i="50"/>
  <c r="AX1326" i="50" s="1"/>
  <c r="AF1326" i="50"/>
  <c r="AI1326" i="50"/>
  <c r="T995" i="50"/>
  <c r="AW1130" i="50"/>
  <c r="AX1130" i="50" s="1"/>
  <c r="AI1130" i="50"/>
  <c r="T461" i="50"/>
  <c r="BD464" i="50"/>
  <c r="BD607" i="50"/>
  <c r="BD662" i="50"/>
  <c r="AK741" i="50"/>
  <c r="T744" i="50"/>
  <c r="BD746" i="50"/>
  <c r="Y766" i="50"/>
  <c r="Y769" i="50"/>
  <c r="BD830" i="50"/>
  <c r="Y852" i="50"/>
  <c r="BD859" i="50"/>
  <c r="BD884" i="50"/>
  <c r="T990" i="50"/>
  <c r="Y1076" i="50"/>
  <c r="R1071" i="50"/>
  <c r="T1085" i="50"/>
  <c r="T1080" i="50"/>
  <c r="R1102" i="50"/>
  <c r="AF1130" i="50"/>
  <c r="Y1189" i="50"/>
  <c r="T1197" i="50"/>
  <c r="T1253" i="50"/>
  <c r="Y1248" i="50"/>
  <c r="AK1245" i="50"/>
  <c r="Y1244" i="50"/>
  <c r="T1242" i="50"/>
  <c r="N1237" i="50"/>
  <c r="T1249" i="50"/>
  <c r="Y1247" i="50"/>
  <c r="T1248" i="50"/>
  <c r="BD1277" i="50"/>
  <c r="BD352" i="50"/>
  <c r="BD551" i="50"/>
  <c r="BD579" i="50"/>
  <c r="V581" i="50"/>
  <c r="BD660" i="50"/>
  <c r="BD744" i="50"/>
  <c r="V749" i="50"/>
  <c r="R877" i="50"/>
  <c r="BD940" i="50"/>
  <c r="T999" i="50"/>
  <c r="BD1165" i="50"/>
  <c r="BD1164" i="50"/>
  <c r="AW1214" i="50"/>
  <c r="AX1214" i="50" s="1"/>
  <c r="AI1214" i="50"/>
  <c r="AI1046" i="50"/>
  <c r="BD1109" i="50"/>
  <c r="R1129" i="50"/>
  <c r="Y1134" i="50"/>
  <c r="Y1135" i="50"/>
  <c r="Y1137" i="50"/>
  <c r="AI1158" i="50"/>
  <c r="Y1160" i="50"/>
  <c r="V1161" i="50"/>
  <c r="V1160" i="50" s="1"/>
  <c r="V1162" i="50" s="1"/>
  <c r="AK1161" i="50"/>
  <c r="AF1186" i="50"/>
  <c r="R1213" i="50"/>
  <c r="T1216" i="50"/>
  <c r="Y1219" i="50"/>
  <c r="T1275" i="50"/>
  <c r="AF1298" i="50"/>
  <c r="BD1304" i="50"/>
  <c r="T1361" i="50"/>
  <c r="Y1360" i="50"/>
  <c r="Y1359" i="50"/>
  <c r="T1365" i="50"/>
  <c r="Y1363" i="50"/>
  <c r="Y1362" i="50"/>
  <c r="R1353" i="50"/>
  <c r="N1349" i="50"/>
  <c r="N1348" i="50"/>
  <c r="T1363" i="50"/>
  <c r="T1362" i="50"/>
  <c r="Y1361" i="50"/>
  <c r="T1359" i="50"/>
  <c r="AK1357" i="50"/>
  <c r="T1357" i="50"/>
  <c r="Y1356" i="50"/>
  <c r="T1354" i="50"/>
  <c r="Y1357" i="50"/>
  <c r="Y1365" i="50"/>
  <c r="V1385" i="50"/>
  <c r="V1384" i="50" s="1"/>
  <c r="V1386" i="50" s="1"/>
  <c r="V1393" i="50"/>
  <c r="Y1354" i="50"/>
  <c r="T1358" i="50"/>
  <c r="T1138" i="50"/>
  <c r="R1157" i="50"/>
  <c r="Y1163" i="50"/>
  <c r="Y1164" i="50"/>
  <c r="BD1193" i="50"/>
  <c r="Y1218" i="50"/>
  <c r="Y1270" i="50"/>
  <c r="AF1270" i="50"/>
  <c r="T1273" i="50"/>
  <c r="Y1277" i="50"/>
  <c r="AI1298" i="50"/>
  <c r="I1298" i="50" s="1"/>
  <c r="T1356" i="50"/>
  <c r="Y1358" i="50"/>
  <c r="R1325" i="50"/>
  <c r="T1331" i="50"/>
  <c r="T1333" i="50"/>
  <c r="Y1337" i="50"/>
  <c r="AW1354" i="50"/>
  <c r="AX1354" i="50" s="1"/>
  <c r="BD1363" i="50"/>
  <c r="BD1362" i="50"/>
  <c r="BD1389" i="50"/>
  <c r="BD1388" i="50"/>
  <c r="N1321" i="50"/>
  <c r="Y1326" i="50"/>
  <c r="Y1330" i="50"/>
  <c r="Y1331" i="50"/>
  <c r="Y1332" i="50"/>
  <c r="Y1333" i="50"/>
  <c r="AI1354" i="50"/>
  <c r="V1357" i="50"/>
  <c r="V1356" i="50" s="1"/>
  <c r="V1358" i="50" s="1"/>
  <c r="R1379" i="50"/>
  <c r="R1382" i="50"/>
  <c r="T1386" i="50"/>
  <c r="Y1390" i="50"/>
  <c r="Y1391" i="50"/>
  <c r="T1393" i="50"/>
  <c r="T1382" i="50"/>
  <c r="Y1384" i="50"/>
  <c r="T1385" i="50"/>
  <c r="AK1385" i="50"/>
  <c r="T1388" i="50"/>
  <c r="AI654" i="50"/>
  <c r="AJ654" i="50" s="1"/>
  <c r="AN654" i="50" s="1"/>
  <c r="AW654" i="50"/>
  <c r="AX654" i="50" s="1"/>
  <c r="BD887" i="50"/>
  <c r="BD886" i="50"/>
  <c r="BD913" i="50"/>
  <c r="BD912" i="50"/>
  <c r="AW1018" i="50"/>
  <c r="AX1018" i="50" s="1"/>
  <c r="AI1018" i="50"/>
  <c r="I1018" i="50" s="1"/>
  <c r="AF1018" i="50"/>
  <c r="BD1167" i="50"/>
  <c r="BD1166" i="50"/>
  <c r="BD1221" i="50"/>
  <c r="BD1220" i="50"/>
  <c r="AW122" i="50"/>
  <c r="AX122" i="50" s="1"/>
  <c r="AG122" i="50"/>
  <c r="AF122" i="50"/>
  <c r="T889" i="50"/>
  <c r="N872" i="50"/>
  <c r="Y880" i="50"/>
  <c r="N873" i="50"/>
  <c r="AK881" i="50"/>
  <c r="T884" i="50"/>
  <c r="BD996" i="50"/>
  <c r="BD997" i="50"/>
  <c r="V1135" i="50"/>
  <c r="Y355" i="50"/>
  <c r="AW514" i="50"/>
  <c r="AX514" i="50" s="1"/>
  <c r="AI514" i="50"/>
  <c r="I514" i="50" s="1"/>
  <c r="AF514" i="50"/>
  <c r="BD523" i="50"/>
  <c r="BD522" i="50"/>
  <c r="V805" i="50"/>
  <c r="V797" i="50"/>
  <c r="V796" i="50" s="1"/>
  <c r="V798" i="50" s="1"/>
  <c r="BD803" i="50"/>
  <c r="BD802" i="50"/>
  <c r="T881" i="50"/>
  <c r="Y495" i="50"/>
  <c r="Y494" i="50"/>
  <c r="T490" i="50"/>
  <c r="R483" i="50"/>
  <c r="Y493" i="50"/>
  <c r="T910" i="50"/>
  <c r="R903" i="50"/>
  <c r="V1051" i="50"/>
  <c r="BD1248" i="50"/>
  <c r="BD1249" i="50"/>
  <c r="BD436" i="50"/>
  <c r="T486" i="50"/>
  <c r="AW570" i="50"/>
  <c r="AX570" i="50" s="1"/>
  <c r="BD635" i="50"/>
  <c r="BD634" i="50"/>
  <c r="T665" i="50"/>
  <c r="Y659" i="50"/>
  <c r="T661" i="50"/>
  <c r="N648" i="50"/>
  <c r="N649" i="50"/>
  <c r="Y656" i="50"/>
  <c r="T654" i="50"/>
  <c r="R653" i="50"/>
  <c r="T719" i="50"/>
  <c r="Y716" i="50"/>
  <c r="Y715" i="50"/>
  <c r="Y717" i="50"/>
  <c r="T715" i="50"/>
  <c r="Y713" i="50"/>
  <c r="T717" i="50"/>
  <c r="N705" i="50"/>
  <c r="Y805" i="50"/>
  <c r="T802" i="50"/>
  <c r="Y800" i="50"/>
  <c r="Y801" i="50"/>
  <c r="Y799" i="50"/>
  <c r="N788" i="50"/>
  <c r="N789" i="50"/>
  <c r="BD550" i="50"/>
  <c r="R569" i="50"/>
  <c r="BD775" i="50"/>
  <c r="R821" i="50"/>
  <c r="Y853" i="50"/>
  <c r="BD1053" i="50"/>
  <c r="T1109" i="50"/>
  <c r="Y1108" i="50"/>
  <c r="Y1107" i="50"/>
  <c r="R1101" i="50"/>
  <c r="N1097" i="50"/>
  <c r="N1096" i="50"/>
  <c r="T1108" i="50"/>
  <c r="AK1105" i="50"/>
  <c r="T1105" i="50"/>
  <c r="Y1104" i="50"/>
  <c r="T1102" i="50"/>
  <c r="Y1105" i="50"/>
  <c r="N564" i="50"/>
  <c r="T573" i="50"/>
  <c r="BD604" i="50"/>
  <c r="N620" i="50"/>
  <c r="N621" i="50"/>
  <c r="Y628" i="50"/>
  <c r="T629" i="50"/>
  <c r="T635" i="50"/>
  <c r="N676" i="50"/>
  <c r="AK685" i="50"/>
  <c r="T686" i="50"/>
  <c r="T749" i="50"/>
  <c r="T766" i="50"/>
  <c r="T768" i="50"/>
  <c r="Y773" i="50"/>
  <c r="N817" i="50"/>
  <c r="Y850" i="50"/>
  <c r="AI934" i="50"/>
  <c r="T936" i="50"/>
  <c r="R1017" i="50"/>
  <c r="T1025" i="50"/>
  <c r="R1074" i="50"/>
  <c r="AF1074" i="50"/>
  <c r="AI1074" i="50"/>
  <c r="AW1074" i="50"/>
  <c r="AX1074" i="50" s="1"/>
  <c r="Y1102" i="50"/>
  <c r="T1106" i="50"/>
  <c r="T1107" i="50"/>
  <c r="T1113" i="50"/>
  <c r="BD1137" i="50"/>
  <c r="BD1136" i="50"/>
  <c r="V1141" i="50"/>
  <c r="V1253" i="50"/>
  <c r="V1245" i="50"/>
  <c r="V1244" i="50" s="1"/>
  <c r="V1246" i="50" s="1"/>
  <c r="T570" i="50"/>
  <c r="Y576" i="50"/>
  <c r="Y630" i="50"/>
  <c r="BD718" i="50"/>
  <c r="AK853" i="50"/>
  <c r="T856" i="50"/>
  <c r="Y1085" i="50"/>
  <c r="T1083" i="50"/>
  <c r="T1082" i="50"/>
  <c r="Y1081" i="50"/>
  <c r="T1079" i="50"/>
  <c r="Y1078" i="50"/>
  <c r="Y1077" i="50"/>
  <c r="T1076" i="50"/>
  <c r="Y1074" i="50"/>
  <c r="T1081" i="50"/>
  <c r="Y1080" i="50"/>
  <c r="Y1079" i="50"/>
  <c r="R1073" i="50"/>
  <c r="N1069" i="50"/>
  <c r="N1068" i="50"/>
  <c r="BD1083" i="50"/>
  <c r="BD1082" i="50"/>
  <c r="Y1110" i="50"/>
  <c r="Y1111" i="50"/>
  <c r="BD240" i="50"/>
  <c r="T320" i="50"/>
  <c r="BD324" i="50"/>
  <c r="BD380" i="50"/>
  <c r="AX402" i="50"/>
  <c r="Y434" i="50"/>
  <c r="BD438" i="50"/>
  <c r="N452" i="50"/>
  <c r="BD663" i="50"/>
  <c r="T691" i="50"/>
  <c r="Y693" i="50"/>
  <c r="Y740" i="50"/>
  <c r="BD747" i="50"/>
  <c r="N760" i="50"/>
  <c r="Y768" i="50"/>
  <c r="Y770" i="50"/>
  <c r="BD773" i="50"/>
  <c r="AX794" i="50"/>
  <c r="AK825" i="50"/>
  <c r="T852" i="50"/>
  <c r="BD856" i="50"/>
  <c r="AN878" i="50"/>
  <c r="BD885" i="50"/>
  <c r="BD968" i="50"/>
  <c r="Y992" i="50"/>
  <c r="T993" i="50"/>
  <c r="BD999" i="50"/>
  <c r="N1013" i="50"/>
  <c r="AG1046" i="50"/>
  <c r="AF1046" i="50"/>
  <c r="AX1046" i="50"/>
  <c r="T1074" i="50"/>
  <c r="AK1077" i="50"/>
  <c r="T1078" i="50"/>
  <c r="Y1082" i="50"/>
  <c r="Y1083" i="50"/>
  <c r="R1099" i="50"/>
  <c r="T1104" i="50"/>
  <c r="Y1106" i="50"/>
  <c r="BD1111" i="50"/>
  <c r="BD1110" i="50"/>
  <c r="AG1158" i="50"/>
  <c r="AF1158" i="50"/>
  <c r="AX1158" i="50"/>
  <c r="Y1046" i="50"/>
  <c r="T1048" i="50"/>
  <c r="Y1049" i="50"/>
  <c r="Y1050" i="50"/>
  <c r="T1051" i="50"/>
  <c r="Y1053" i="50"/>
  <c r="T1054" i="50"/>
  <c r="T1055" i="50"/>
  <c r="Y1057" i="50"/>
  <c r="V1077" i="50"/>
  <c r="V1076" i="50" s="1"/>
  <c r="V1078" i="50" s="1"/>
  <c r="AW1102" i="50"/>
  <c r="AX1102" i="50" s="1"/>
  <c r="R1127" i="50"/>
  <c r="R1130" i="50"/>
  <c r="AG1130" i="50"/>
  <c r="T1134" i="50"/>
  <c r="Y1138" i="50"/>
  <c r="Y1139" i="50"/>
  <c r="T1141" i="50"/>
  <c r="Y1158" i="50"/>
  <c r="T1160" i="50"/>
  <c r="Y1161" i="50"/>
  <c r="Y1162" i="50"/>
  <c r="T1163" i="50"/>
  <c r="Y1166" i="50"/>
  <c r="Y1167" i="50"/>
  <c r="T1193" i="50"/>
  <c r="Y1192" i="50"/>
  <c r="Y1191" i="50"/>
  <c r="R1185" i="50"/>
  <c r="N1181" i="50"/>
  <c r="N1180" i="50"/>
  <c r="T1192" i="50"/>
  <c r="AK1189" i="50"/>
  <c r="T1189" i="50"/>
  <c r="Y1188" i="50"/>
  <c r="T1186" i="50"/>
  <c r="R1186" i="50"/>
  <c r="T1188" i="50"/>
  <c r="Y1190" i="50"/>
  <c r="BD1195" i="50"/>
  <c r="BD1194" i="50"/>
  <c r="V1219" i="50"/>
  <c r="BD1279" i="50"/>
  <c r="BD1278" i="50"/>
  <c r="R1043" i="50"/>
  <c r="R1046" i="50"/>
  <c r="T1050" i="50"/>
  <c r="Y1054" i="50"/>
  <c r="Y1055" i="50"/>
  <c r="AI1102" i="50"/>
  <c r="V1105" i="50"/>
  <c r="V1104" i="50" s="1"/>
  <c r="V1106" i="50" s="1"/>
  <c r="T1130" i="50"/>
  <c r="Y1132" i="50"/>
  <c r="T1133" i="50"/>
  <c r="AK1133" i="50"/>
  <c r="T1136" i="50"/>
  <c r="Y1169" i="50"/>
  <c r="T1167" i="50"/>
  <c r="T1166" i="50"/>
  <c r="Y1165" i="50"/>
  <c r="T1165" i="50"/>
  <c r="R1155" i="50"/>
  <c r="R1158" i="50"/>
  <c r="T1162" i="50"/>
  <c r="Y1193" i="50"/>
  <c r="T1194" i="50"/>
  <c r="T1195" i="50"/>
  <c r="Y1197" i="50"/>
  <c r="V1225" i="50"/>
  <c r="AW1186" i="50"/>
  <c r="AX1186" i="50" s="1"/>
  <c r="T1220" i="50"/>
  <c r="AK1217" i="50"/>
  <c r="T1217" i="50"/>
  <c r="T1225" i="50"/>
  <c r="Y1223" i="50"/>
  <c r="Y1222" i="50"/>
  <c r="T1218" i="50"/>
  <c r="R1211" i="50"/>
  <c r="R1214" i="50"/>
  <c r="AG1214" i="50"/>
  <c r="Y1225" i="50"/>
  <c r="AG1242" i="50"/>
  <c r="AF1242" i="50"/>
  <c r="AX1242" i="50"/>
  <c r="V1189" i="50"/>
  <c r="V1188" i="50" s="1"/>
  <c r="V1190" i="50" s="1"/>
  <c r="T1219" i="50"/>
  <c r="Y1220" i="50"/>
  <c r="T1221" i="50"/>
  <c r="T1277" i="50"/>
  <c r="Y1276" i="50"/>
  <c r="Y1275" i="50"/>
  <c r="R1269" i="50"/>
  <c r="N1265" i="50"/>
  <c r="T1281" i="50"/>
  <c r="T1274" i="50"/>
  <c r="T1270" i="50"/>
  <c r="Y1279" i="50"/>
  <c r="T1276" i="50"/>
  <c r="AK1273" i="50"/>
  <c r="Y1273" i="50"/>
  <c r="T1272" i="50"/>
  <c r="R1270" i="50"/>
  <c r="N1264" i="50"/>
  <c r="T1278" i="50"/>
  <c r="Y1242" i="50"/>
  <c r="T1244" i="50"/>
  <c r="Y1245" i="50"/>
  <c r="Y1246" i="50"/>
  <c r="T1247" i="50"/>
  <c r="Y1249" i="50"/>
  <c r="T1250" i="50"/>
  <c r="T1251" i="50"/>
  <c r="Y1253" i="50"/>
  <c r="AG1270" i="50"/>
  <c r="V1301" i="50"/>
  <c r="V1300" i="50" s="1"/>
  <c r="V1302" i="50" s="1"/>
  <c r="R1239" i="50"/>
  <c r="R1242" i="50"/>
  <c r="T1246" i="50"/>
  <c r="Y1250" i="50"/>
  <c r="Y1251" i="50"/>
  <c r="AX1270" i="50"/>
  <c r="AI1270" i="50"/>
  <c r="V1329" i="50"/>
  <c r="V1328" i="50" s="1"/>
  <c r="V1330" i="50" s="1"/>
  <c r="V1337" i="50"/>
  <c r="T1305" i="50"/>
  <c r="Y1304" i="50"/>
  <c r="Y1303" i="50"/>
  <c r="R1295" i="50"/>
  <c r="R1298" i="50"/>
  <c r="T1302" i="50"/>
  <c r="Y1309" i="50"/>
  <c r="BD1333" i="50"/>
  <c r="BD1332" i="50"/>
  <c r="V1273" i="50"/>
  <c r="V1272" i="50" s="1"/>
  <c r="V1274" i="50" s="1"/>
  <c r="T1298" i="50"/>
  <c r="Y1300" i="50"/>
  <c r="T1301" i="50"/>
  <c r="AK1301" i="50"/>
  <c r="T1303" i="50"/>
  <c r="Y1305" i="50"/>
  <c r="T1306" i="50"/>
  <c r="BD1307" i="50"/>
  <c r="BD1306" i="50"/>
  <c r="T1307" i="50"/>
  <c r="R1323" i="50"/>
  <c r="R1326" i="50"/>
  <c r="AG1326" i="50"/>
  <c r="T1330" i="50"/>
  <c r="Y1334" i="50"/>
  <c r="Y1335" i="50"/>
  <c r="T1337" i="50"/>
  <c r="T1326" i="50"/>
  <c r="Y1328" i="50"/>
  <c r="T1329" i="50"/>
  <c r="AK1329" i="50"/>
  <c r="T1332" i="50"/>
  <c r="AJ458" i="50"/>
  <c r="I458" i="50"/>
  <c r="V743" i="50"/>
  <c r="N172" i="50"/>
  <c r="Y183" i="50"/>
  <c r="AF318" i="50"/>
  <c r="R343" i="50"/>
  <c r="N368" i="50"/>
  <c r="N396" i="50"/>
  <c r="N397" i="50"/>
  <c r="Y402" i="50"/>
  <c r="AF402" i="50"/>
  <c r="BD410" i="50"/>
  <c r="Y413" i="50"/>
  <c r="AG430" i="50"/>
  <c r="T458" i="50"/>
  <c r="AW458" i="50"/>
  <c r="AX458" i="50" s="1"/>
  <c r="V461" i="50"/>
  <c r="V460" i="50" s="1"/>
  <c r="V462" i="50" s="1"/>
  <c r="V463" i="50" s="1"/>
  <c r="T462" i="50"/>
  <c r="T488" i="50"/>
  <c r="T491" i="50"/>
  <c r="BD493" i="50"/>
  <c r="T495" i="50"/>
  <c r="T497" i="50"/>
  <c r="N508" i="50"/>
  <c r="N509" i="50"/>
  <c r="T514" i="50"/>
  <c r="Y516" i="50"/>
  <c r="T517" i="50"/>
  <c r="AK517" i="50"/>
  <c r="T519" i="50"/>
  <c r="T523" i="50"/>
  <c r="N536" i="50"/>
  <c r="R541" i="50"/>
  <c r="T542" i="50"/>
  <c r="Y549" i="50"/>
  <c r="N565" i="50"/>
  <c r="AG570" i="50"/>
  <c r="AK573" i="50"/>
  <c r="BD576" i="50"/>
  <c r="BD578" i="50"/>
  <c r="R598" i="50"/>
  <c r="V609" i="50"/>
  <c r="V629" i="50"/>
  <c r="V628" i="50" s="1"/>
  <c r="V630" i="50" s="1"/>
  <c r="T634" i="50"/>
  <c r="T660" i="50"/>
  <c r="T684" i="50"/>
  <c r="Y685" i="50"/>
  <c r="Y689" i="50"/>
  <c r="R709" i="50"/>
  <c r="R710" i="50"/>
  <c r="V713" i="50"/>
  <c r="V712" i="50" s="1"/>
  <c r="V714" i="50" s="1"/>
  <c r="V715" i="50" s="1"/>
  <c r="T718" i="50"/>
  <c r="N732" i="50"/>
  <c r="N733" i="50"/>
  <c r="R737" i="50"/>
  <c r="AI738" i="50"/>
  <c r="Y743" i="50"/>
  <c r="Y744" i="50"/>
  <c r="T745" i="50"/>
  <c r="BD801" i="50"/>
  <c r="BD800" i="50"/>
  <c r="R401" i="50"/>
  <c r="Y406" i="50"/>
  <c r="T410" i="50"/>
  <c r="R513" i="50"/>
  <c r="T516" i="50"/>
  <c r="Y520" i="50"/>
  <c r="Y521" i="50"/>
  <c r="T549" i="50"/>
  <c r="T550" i="50"/>
  <c r="AI710" i="50"/>
  <c r="I710" i="50" s="1"/>
  <c r="AW738" i="50"/>
  <c r="AX738" i="50" s="1"/>
  <c r="V833" i="50"/>
  <c r="V825" i="50"/>
  <c r="V824" i="50" s="1"/>
  <c r="V826" i="50" s="1"/>
  <c r="R175" i="50"/>
  <c r="BD325" i="50"/>
  <c r="Y407" i="50"/>
  <c r="AI430" i="50"/>
  <c r="R486" i="50"/>
  <c r="Y488" i="50"/>
  <c r="Y489" i="50"/>
  <c r="AK489" i="50"/>
  <c r="BD492" i="50"/>
  <c r="T494" i="50"/>
  <c r="Y517" i="50"/>
  <c r="Y518" i="50"/>
  <c r="Y519" i="50"/>
  <c r="T522" i="50"/>
  <c r="N537" i="50"/>
  <c r="V545" i="50"/>
  <c r="V544" i="50" s="1"/>
  <c r="V546" i="50" s="1"/>
  <c r="Y547" i="50"/>
  <c r="Y548" i="50"/>
  <c r="T577" i="50"/>
  <c r="BD606" i="50"/>
  <c r="Y626" i="50"/>
  <c r="Y629" i="50"/>
  <c r="T631" i="50"/>
  <c r="T633" i="50"/>
  <c r="T657" i="50"/>
  <c r="AK657" i="50"/>
  <c r="Y660" i="50"/>
  <c r="R682" i="50"/>
  <c r="T687" i="50"/>
  <c r="BD689" i="50"/>
  <c r="AF710" i="50"/>
  <c r="Y738" i="50"/>
  <c r="AF738" i="50"/>
  <c r="T740" i="50"/>
  <c r="Y741" i="50"/>
  <c r="Y742" i="50"/>
  <c r="T743" i="50"/>
  <c r="Y745" i="50"/>
  <c r="T746" i="50"/>
  <c r="V153" i="50"/>
  <c r="V152" i="50" s="1"/>
  <c r="V154" i="50" s="1"/>
  <c r="V155" i="50" s="1"/>
  <c r="BD187" i="50"/>
  <c r="BD327" i="50"/>
  <c r="T406" i="50"/>
  <c r="BD465" i="50"/>
  <c r="Y514" i="50"/>
  <c r="T520" i="50"/>
  <c r="T521" i="50"/>
  <c r="Y525" i="50"/>
  <c r="Y544" i="50"/>
  <c r="Y545" i="50"/>
  <c r="AK545" i="50"/>
  <c r="R625" i="50"/>
  <c r="T628" i="50"/>
  <c r="AK629" i="50"/>
  <c r="Y631" i="50"/>
  <c r="Y632" i="50"/>
  <c r="Y633" i="50"/>
  <c r="AG710" i="50"/>
  <c r="Y749" i="50"/>
  <c r="R735" i="50"/>
  <c r="R738" i="50"/>
  <c r="T742" i="50"/>
  <c r="Y746" i="50"/>
  <c r="Y747" i="50"/>
  <c r="R763" i="50"/>
  <c r="R766" i="50"/>
  <c r="AG766" i="50"/>
  <c r="T770" i="50"/>
  <c r="Y774" i="50"/>
  <c r="Y775" i="50"/>
  <c r="T777" i="50"/>
  <c r="Y794" i="50"/>
  <c r="AF794" i="50"/>
  <c r="T796" i="50"/>
  <c r="Y797" i="50"/>
  <c r="Y798" i="50"/>
  <c r="T799" i="50"/>
  <c r="T803" i="50"/>
  <c r="Y824" i="50"/>
  <c r="BD829" i="50"/>
  <c r="BD828" i="50"/>
  <c r="AW766" i="50"/>
  <c r="AX766" i="50" s="1"/>
  <c r="T769" i="50"/>
  <c r="AK769" i="50"/>
  <c r="T772" i="50"/>
  <c r="T805" i="50"/>
  <c r="Y803" i="50"/>
  <c r="Y802" i="50"/>
  <c r="R791" i="50"/>
  <c r="R794" i="50"/>
  <c r="AG794" i="50"/>
  <c r="T798" i="50"/>
  <c r="T833" i="50"/>
  <c r="Y831" i="50"/>
  <c r="Y830" i="50"/>
  <c r="Y833" i="50"/>
  <c r="T831" i="50"/>
  <c r="T830" i="50"/>
  <c r="Y829" i="50"/>
  <c r="T827" i="50"/>
  <c r="Y826" i="50"/>
  <c r="Y825" i="50"/>
  <c r="T824" i="50"/>
  <c r="Y822" i="50"/>
  <c r="R819" i="50"/>
  <c r="R822" i="50"/>
  <c r="AI822" i="50"/>
  <c r="T825" i="50"/>
  <c r="T826" i="50"/>
  <c r="T828" i="50"/>
  <c r="R765" i="50"/>
  <c r="AI766" i="50"/>
  <c r="V769" i="50"/>
  <c r="V768" i="50" s="1"/>
  <c r="V770" i="50" s="1"/>
  <c r="Y771" i="50"/>
  <c r="Y772" i="50"/>
  <c r="T773" i="50"/>
  <c r="T794" i="50"/>
  <c r="Y796" i="50"/>
  <c r="T797" i="50"/>
  <c r="AK797" i="50"/>
  <c r="T800" i="50"/>
  <c r="T801" i="50"/>
  <c r="T822" i="50"/>
  <c r="AW822" i="50"/>
  <c r="AX822" i="50" s="1"/>
  <c r="Y827" i="50"/>
  <c r="Y828" i="50"/>
  <c r="AG850" i="50"/>
  <c r="AF850" i="50"/>
  <c r="AX850" i="50"/>
  <c r="AI850" i="50"/>
  <c r="V939" i="50"/>
  <c r="N844" i="50"/>
  <c r="N845" i="50"/>
  <c r="R849" i="50"/>
  <c r="V853" i="50"/>
  <c r="V852" i="50" s="1"/>
  <c r="V854" i="50" s="1"/>
  <c r="Y855" i="50"/>
  <c r="Y856" i="50"/>
  <c r="T857" i="50"/>
  <c r="BD858" i="50"/>
  <c r="I878" i="50"/>
  <c r="V889" i="50"/>
  <c r="V881" i="50"/>
  <c r="V880" i="50" s="1"/>
  <c r="V882" i="50" s="1"/>
  <c r="Y917" i="50"/>
  <c r="T915" i="50"/>
  <c r="T914" i="50"/>
  <c r="Y913" i="50"/>
  <c r="T911" i="50"/>
  <c r="Y910" i="50"/>
  <c r="Y909" i="50"/>
  <c r="T908" i="50"/>
  <c r="Y906" i="50"/>
  <c r="T913" i="50"/>
  <c r="Y912" i="50"/>
  <c r="Y911" i="50"/>
  <c r="R905" i="50"/>
  <c r="N901" i="50"/>
  <c r="N900" i="50"/>
  <c r="T912" i="50"/>
  <c r="AK909" i="50"/>
  <c r="T909" i="50"/>
  <c r="Y908" i="50"/>
  <c r="T906" i="50"/>
  <c r="R906" i="50"/>
  <c r="Y854" i="50"/>
  <c r="T855" i="50"/>
  <c r="Y857" i="50"/>
  <c r="T858" i="50"/>
  <c r="T859" i="50"/>
  <c r="Y861" i="50"/>
  <c r="Y914" i="50"/>
  <c r="Y915" i="50"/>
  <c r="R847" i="50"/>
  <c r="R850" i="50"/>
  <c r="T854" i="50"/>
  <c r="Y858" i="50"/>
  <c r="Y859" i="50"/>
  <c r="AG878" i="50"/>
  <c r="AF878" i="50"/>
  <c r="BD915" i="50"/>
  <c r="BD914" i="50"/>
  <c r="T917" i="50"/>
  <c r="Y883" i="50"/>
  <c r="Y884" i="50"/>
  <c r="T885" i="50"/>
  <c r="AW906" i="50"/>
  <c r="AX906" i="50" s="1"/>
  <c r="T945" i="50"/>
  <c r="Y943" i="50"/>
  <c r="Y942" i="50"/>
  <c r="Y945" i="50"/>
  <c r="T943" i="50"/>
  <c r="T942" i="50"/>
  <c r="Y941" i="50"/>
  <c r="T939" i="50"/>
  <c r="Y938" i="50"/>
  <c r="R931" i="50"/>
  <c r="R934" i="50"/>
  <c r="AK937" i="50"/>
  <c r="BD941" i="50"/>
  <c r="V1023" i="50"/>
  <c r="Y878" i="50"/>
  <c r="T880" i="50"/>
  <c r="Y881" i="50"/>
  <c r="Y882" i="50"/>
  <c r="T883" i="50"/>
  <c r="Y885" i="50"/>
  <c r="T886" i="50"/>
  <c r="T887" i="50"/>
  <c r="Y889" i="50"/>
  <c r="AI906" i="50"/>
  <c r="V909" i="50"/>
  <c r="V908" i="50" s="1"/>
  <c r="V910" i="50" s="1"/>
  <c r="T934" i="50"/>
  <c r="Y936" i="50"/>
  <c r="T937" i="50"/>
  <c r="T940" i="50"/>
  <c r="AG990" i="50"/>
  <c r="AF990" i="50"/>
  <c r="AI990" i="50"/>
  <c r="AW990" i="50"/>
  <c r="AX990" i="50" s="1"/>
  <c r="BD1025" i="50"/>
  <c r="BD1024" i="50"/>
  <c r="R875" i="50"/>
  <c r="R878" i="50"/>
  <c r="T882" i="50"/>
  <c r="Y886" i="50"/>
  <c r="Y887" i="50"/>
  <c r="N929" i="50"/>
  <c r="R933" i="50"/>
  <c r="T938" i="50"/>
  <c r="Y939" i="50"/>
  <c r="Y940" i="50"/>
  <c r="T941" i="50"/>
  <c r="AG962" i="50"/>
  <c r="AF962" i="50"/>
  <c r="AX962" i="50"/>
  <c r="AI962" i="50"/>
  <c r="N956" i="50"/>
  <c r="N957" i="50"/>
  <c r="R961" i="50"/>
  <c r="V965" i="50"/>
  <c r="V964" i="50" s="1"/>
  <c r="V966" i="50" s="1"/>
  <c r="BD969" i="50"/>
  <c r="Y962" i="50"/>
  <c r="T964" i="50"/>
  <c r="Y965" i="50"/>
  <c r="Y966" i="50"/>
  <c r="T973" i="50"/>
  <c r="Y971" i="50"/>
  <c r="Y970" i="50"/>
  <c r="Y973" i="50"/>
  <c r="T971" i="50"/>
  <c r="T970" i="50"/>
  <c r="Y969" i="50"/>
  <c r="T967" i="50"/>
  <c r="R959" i="50"/>
  <c r="R962" i="50"/>
  <c r="T966" i="50"/>
  <c r="T968" i="50"/>
  <c r="N984" i="50"/>
  <c r="N985" i="50"/>
  <c r="R989" i="50"/>
  <c r="V993" i="50"/>
  <c r="V992" i="50" s="1"/>
  <c r="V994" i="50" s="1"/>
  <c r="T996" i="50"/>
  <c r="V1029" i="50"/>
  <c r="Y990" i="50"/>
  <c r="T992" i="50"/>
  <c r="Y993" i="50"/>
  <c r="Y994" i="50"/>
  <c r="T997" i="50"/>
  <c r="Y996" i="50"/>
  <c r="Y995" i="50"/>
  <c r="T1001" i="50"/>
  <c r="Y999" i="50"/>
  <c r="Y998" i="50"/>
  <c r="R987" i="50"/>
  <c r="R990" i="50"/>
  <c r="T994" i="50"/>
  <c r="Y997" i="50"/>
  <c r="T998" i="50"/>
  <c r="Y1001" i="50"/>
  <c r="Y1018" i="50"/>
  <c r="T1020" i="50"/>
  <c r="Y1021" i="50"/>
  <c r="Y1022" i="50"/>
  <c r="T1023" i="50"/>
  <c r="Y1025" i="50"/>
  <c r="T1026" i="50"/>
  <c r="T1027" i="50"/>
  <c r="Y1029" i="50"/>
  <c r="R1015" i="50"/>
  <c r="R1018" i="50"/>
  <c r="AG1018" i="50"/>
  <c r="T1022" i="50"/>
  <c r="Y1026" i="50"/>
  <c r="Y1027" i="50"/>
  <c r="T1029" i="50"/>
  <c r="BD998" i="50"/>
  <c r="T1018" i="50"/>
  <c r="Y1020" i="50"/>
  <c r="T1021" i="50"/>
  <c r="AK1021" i="50"/>
  <c r="T1024" i="50"/>
  <c r="V435" i="50"/>
  <c r="Y236" i="50"/>
  <c r="T242" i="50"/>
  <c r="C144" i="50"/>
  <c r="A144" i="50" s="1"/>
  <c r="BD213" i="50"/>
  <c r="T441" i="50"/>
  <c r="Y439" i="50"/>
  <c r="Y438" i="50"/>
  <c r="Y441" i="50"/>
  <c r="T439" i="50"/>
  <c r="T435" i="50"/>
  <c r="R429" i="50"/>
  <c r="N425" i="50"/>
  <c r="N424" i="50"/>
  <c r="T438" i="50"/>
  <c r="Y437" i="50"/>
  <c r="AK433" i="50"/>
  <c r="T433" i="50"/>
  <c r="Y432" i="50"/>
  <c r="T430" i="50"/>
  <c r="BD437" i="50"/>
  <c r="R231" i="50"/>
  <c r="Y241" i="50"/>
  <c r="T354" i="50"/>
  <c r="T385" i="50"/>
  <c r="Y382" i="50"/>
  <c r="T380" i="50"/>
  <c r="Y377" i="50"/>
  <c r="T378" i="50"/>
  <c r="R374" i="50"/>
  <c r="I374" i="50"/>
  <c r="AJ374" i="50"/>
  <c r="AN374" i="50" s="1"/>
  <c r="V413" i="50"/>
  <c r="Y430" i="50"/>
  <c r="Y433" i="50"/>
  <c r="T436" i="50"/>
  <c r="Y469" i="50"/>
  <c r="T467" i="50"/>
  <c r="T466" i="50"/>
  <c r="Y465" i="50"/>
  <c r="T463" i="50"/>
  <c r="Y462" i="50"/>
  <c r="Y461" i="50"/>
  <c r="T460" i="50"/>
  <c r="Y458" i="50"/>
  <c r="T464" i="50"/>
  <c r="Y460" i="50"/>
  <c r="T469" i="50"/>
  <c r="Y467" i="50"/>
  <c r="Y466" i="50"/>
  <c r="AK461" i="50"/>
  <c r="R457" i="50"/>
  <c r="N453" i="50"/>
  <c r="T210" i="50"/>
  <c r="R203" i="50"/>
  <c r="BD633" i="50"/>
  <c r="BD632" i="50"/>
  <c r="T239" i="50"/>
  <c r="T297" i="50"/>
  <c r="Y435" i="50"/>
  <c r="T437" i="50"/>
  <c r="BD467" i="50"/>
  <c r="BD466" i="50"/>
  <c r="AI486" i="50"/>
  <c r="AW486" i="50"/>
  <c r="AX486" i="50" s="1"/>
  <c r="AG486" i="50"/>
  <c r="AF486" i="50"/>
  <c r="A88" i="50"/>
  <c r="T208" i="50"/>
  <c r="AF290" i="50"/>
  <c r="AX290" i="50"/>
  <c r="Y294" i="50"/>
  <c r="BD299" i="50"/>
  <c r="BD326" i="50"/>
  <c r="AW346" i="50"/>
  <c r="AX346" i="50" s="1"/>
  <c r="AF346" i="50"/>
  <c r="BD353" i="50"/>
  <c r="AW374" i="50"/>
  <c r="AX374" i="50" s="1"/>
  <c r="AF374" i="50"/>
  <c r="BD411" i="50"/>
  <c r="R427" i="50"/>
  <c r="T434" i="50"/>
  <c r="Y436" i="50"/>
  <c r="R458" i="50"/>
  <c r="AF458" i="50"/>
  <c r="AG458" i="50"/>
  <c r="AG542" i="50"/>
  <c r="AF542" i="50"/>
  <c r="AW542" i="50"/>
  <c r="AX542" i="50" s="1"/>
  <c r="AI542" i="50"/>
  <c r="V603" i="50"/>
  <c r="V517" i="50"/>
  <c r="V516" i="50" s="1"/>
  <c r="V518" i="50" s="1"/>
  <c r="V575" i="50"/>
  <c r="BD215" i="50"/>
  <c r="BD381" i="50"/>
  <c r="R399" i="50"/>
  <c r="AG402" i="50"/>
  <c r="Y409" i="50"/>
  <c r="Y411" i="50"/>
  <c r="V441" i="50"/>
  <c r="T493" i="50"/>
  <c r="Y492" i="50"/>
  <c r="Y491" i="50"/>
  <c r="R485" i="50"/>
  <c r="N481" i="50"/>
  <c r="N480" i="50"/>
  <c r="T492" i="50"/>
  <c r="Y486" i="50"/>
  <c r="T489" i="50"/>
  <c r="Y490" i="50"/>
  <c r="BD495" i="50"/>
  <c r="BD494" i="50"/>
  <c r="AG626" i="50"/>
  <c r="AW626" i="50"/>
  <c r="AX626" i="50" s="1"/>
  <c r="AF626" i="50"/>
  <c r="AI626" i="50"/>
  <c r="V665" i="50"/>
  <c r="V657" i="50"/>
  <c r="V656" i="50" s="1"/>
  <c r="V658" i="50" s="1"/>
  <c r="AI402" i="50"/>
  <c r="BD521" i="50"/>
  <c r="BD520" i="50"/>
  <c r="R511" i="50"/>
  <c r="R514" i="50"/>
  <c r="AG514" i="50"/>
  <c r="T518" i="50"/>
  <c r="Y522" i="50"/>
  <c r="Y523" i="50"/>
  <c r="Y542" i="50"/>
  <c r="T544" i="50"/>
  <c r="T547" i="50"/>
  <c r="T551" i="50"/>
  <c r="Y572" i="50"/>
  <c r="BD577" i="50"/>
  <c r="T609" i="50"/>
  <c r="T606" i="50"/>
  <c r="Y605" i="50"/>
  <c r="T603" i="50"/>
  <c r="Y602" i="50"/>
  <c r="Y601" i="50"/>
  <c r="T600" i="50"/>
  <c r="Y598" i="50"/>
  <c r="Y609" i="50"/>
  <c r="Y607" i="50"/>
  <c r="T605" i="50"/>
  <c r="Y604" i="50"/>
  <c r="Y603" i="50"/>
  <c r="R597" i="50"/>
  <c r="N593" i="50"/>
  <c r="N592" i="50"/>
  <c r="T601" i="50"/>
  <c r="T604" i="50"/>
  <c r="BD661" i="50"/>
  <c r="AI682" i="50"/>
  <c r="AF682" i="50"/>
  <c r="AW682" i="50"/>
  <c r="AX682" i="50" s="1"/>
  <c r="AG682" i="50"/>
  <c r="V489" i="50"/>
  <c r="V488" i="50" s="1"/>
  <c r="V490" i="50" s="1"/>
  <c r="T553" i="50"/>
  <c r="Y551" i="50"/>
  <c r="Y550" i="50"/>
  <c r="T546" i="50"/>
  <c r="R539" i="50"/>
  <c r="R542" i="50"/>
  <c r="T545" i="50"/>
  <c r="Y546" i="50"/>
  <c r="T548" i="50"/>
  <c r="BD548" i="50"/>
  <c r="T581" i="50"/>
  <c r="Y579" i="50"/>
  <c r="Y578" i="50"/>
  <c r="T574" i="50"/>
  <c r="Y581" i="50"/>
  <c r="T579" i="50"/>
  <c r="T578" i="50"/>
  <c r="Y577" i="50"/>
  <c r="T575" i="50"/>
  <c r="Y574" i="50"/>
  <c r="Y573" i="50"/>
  <c r="T572" i="50"/>
  <c r="Y570" i="50"/>
  <c r="R567" i="50"/>
  <c r="R570" i="50"/>
  <c r="AI570" i="50"/>
  <c r="T576" i="50"/>
  <c r="AF598" i="50"/>
  <c r="AI598" i="50"/>
  <c r="AW598" i="50"/>
  <c r="AX598" i="50" s="1"/>
  <c r="Y600" i="50"/>
  <c r="BD691" i="50"/>
  <c r="BD690" i="50"/>
  <c r="AG654" i="50"/>
  <c r="AF654" i="50"/>
  <c r="R623" i="50"/>
  <c r="R626" i="50"/>
  <c r="T630" i="50"/>
  <c r="Y634" i="50"/>
  <c r="Y635" i="50"/>
  <c r="T637" i="50"/>
  <c r="Y654" i="50"/>
  <c r="T656" i="50"/>
  <c r="Y657" i="50"/>
  <c r="Y658" i="50"/>
  <c r="T659" i="50"/>
  <c r="Y661" i="50"/>
  <c r="T662" i="50"/>
  <c r="T663" i="50"/>
  <c r="Y665" i="50"/>
  <c r="R679" i="50"/>
  <c r="Y684" i="50"/>
  <c r="T688" i="50"/>
  <c r="T690" i="50"/>
  <c r="T632" i="50"/>
  <c r="R651" i="50"/>
  <c r="R654" i="50"/>
  <c r="T658" i="50"/>
  <c r="Y662" i="50"/>
  <c r="Y663" i="50"/>
  <c r="T689" i="50"/>
  <c r="Y688" i="50"/>
  <c r="Y687" i="50"/>
  <c r="T693" i="50"/>
  <c r="Y691" i="50"/>
  <c r="Y690" i="50"/>
  <c r="R681" i="50"/>
  <c r="N677" i="50"/>
  <c r="Y682" i="50"/>
  <c r="T685" i="50"/>
  <c r="Y686" i="50"/>
  <c r="V685" i="50"/>
  <c r="V684" i="50" s="1"/>
  <c r="V686" i="50" s="1"/>
  <c r="R707" i="50"/>
  <c r="BD717" i="50"/>
  <c r="BD716" i="50"/>
  <c r="T716" i="50"/>
  <c r="AK713" i="50"/>
  <c r="T713" i="50"/>
  <c r="Y712" i="50"/>
  <c r="T710" i="50"/>
  <c r="T721" i="50"/>
  <c r="Y719" i="50"/>
  <c r="Y718" i="50"/>
  <c r="T714" i="50"/>
  <c r="Y710" i="50"/>
  <c r="T712" i="50"/>
  <c r="Y721" i="50"/>
  <c r="V407" i="50"/>
  <c r="BD241" i="50"/>
  <c r="AW262" i="50"/>
  <c r="AX262" i="50" s="1"/>
  <c r="AF262" i="50"/>
  <c r="Y271" i="50"/>
  <c r="Y265" i="50"/>
  <c r="T264" i="50"/>
  <c r="Y262" i="50"/>
  <c r="R261" i="50"/>
  <c r="T268" i="50"/>
  <c r="BD298" i="50"/>
  <c r="Y329" i="50"/>
  <c r="T327" i="50"/>
  <c r="T326" i="50"/>
  <c r="Y325" i="50"/>
  <c r="T325" i="50"/>
  <c r="Y324" i="50"/>
  <c r="Y323" i="50"/>
  <c r="R317" i="50"/>
  <c r="N313" i="50"/>
  <c r="N312" i="50"/>
  <c r="T324" i="50"/>
  <c r="AK321" i="50"/>
  <c r="T321" i="50"/>
  <c r="Y320" i="50"/>
  <c r="T318" i="50"/>
  <c r="R318" i="50"/>
  <c r="Y326" i="50"/>
  <c r="V385" i="50"/>
  <c r="V377" i="50"/>
  <c r="V376" i="50" s="1"/>
  <c r="V378" i="50" s="1"/>
  <c r="BD409" i="50"/>
  <c r="BD408" i="50"/>
  <c r="AW178" i="50"/>
  <c r="AX178" i="50" s="1"/>
  <c r="AG178" i="50"/>
  <c r="BD186" i="50"/>
  <c r="AG206" i="50"/>
  <c r="N256" i="50"/>
  <c r="N257" i="50"/>
  <c r="AG262" i="50"/>
  <c r="T273" i="50"/>
  <c r="T299" i="50"/>
  <c r="Y296" i="50"/>
  <c r="Y295" i="50"/>
  <c r="R289" i="50"/>
  <c r="Y301" i="50"/>
  <c r="Y321" i="50"/>
  <c r="T329" i="50"/>
  <c r="T353" i="50"/>
  <c r="Y352" i="50"/>
  <c r="Y351" i="50"/>
  <c r="R345" i="50"/>
  <c r="N341" i="50"/>
  <c r="N340" i="50"/>
  <c r="Y357" i="50"/>
  <c r="T350" i="50"/>
  <c r="T346" i="50"/>
  <c r="T352" i="50"/>
  <c r="AK349" i="50"/>
  <c r="Y349" i="50"/>
  <c r="T348" i="50"/>
  <c r="R346" i="50"/>
  <c r="Y348" i="50"/>
  <c r="T349" i="50"/>
  <c r="Y350" i="50"/>
  <c r="T351" i="50"/>
  <c r="Y353" i="50"/>
  <c r="Y354" i="50"/>
  <c r="Y122" i="50"/>
  <c r="BD131" i="50"/>
  <c r="Y215" i="50"/>
  <c r="T211" i="50"/>
  <c r="Y206" i="50"/>
  <c r="Y210" i="50"/>
  <c r="BD214" i="50"/>
  <c r="T217" i="50"/>
  <c r="AW234" i="50"/>
  <c r="AX234" i="50" s="1"/>
  <c r="AF234" i="50"/>
  <c r="AI262" i="50"/>
  <c r="I262" i="50" s="1"/>
  <c r="V265" i="50"/>
  <c r="V264" i="50" s="1"/>
  <c r="V266" i="50" s="1"/>
  <c r="V267" i="50" s="1"/>
  <c r="BD269" i="50"/>
  <c r="N285" i="50"/>
  <c r="Y290" i="50"/>
  <c r="T292" i="50"/>
  <c r="Y293" i="50"/>
  <c r="T295" i="50"/>
  <c r="T298" i="50"/>
  <c r="Y318" i="50"/>
  <c r="T322" i="50"/>
  <c r="T323" i="50"/>
  <c r="Y327" i="50"/>
  <c r="BD355" i="50"/>
  <c r="BD354" i="50"/>
  <c r="T355" i="50"/>
  <c r="T357" i="50"/>
  <c r="AW318" i="50"/>
  <c r="AX318" i="50" s="1"/>
  <c r="T381" i="50"/>
  <c r="Y380" i="50"/>
  <c r="Y379" i="50"/>
  <c r="T383" i="50"/>
  <c r="T382" i="50"/>
  <c r="Y381" i="50"/>
  <c r="T379" i="50"/>
  <c r="AK377" i="50"/>
  <c r="T377" i="50"/>
  <c r="Y376" i="50"/>
  <c r="T374" i="50"/>
  <c r="Y374" i="50"/>
  <c r="T376" i="50"/>
  <c r="BD212" i="50"/>
  <c r="T243" i="50"/>
  <c r="Y245" i="50"/>
  <c r="AI318" i="50"/>
  <c r="V321" i="50"/>
  <c r="V320" i="50" s="1"/>
  <c r="V322" i="50" s="1"/>
  <c r="AI346" i="50"/>
  <c r="N369" i="50"/>
  <c r="R373" i="50"/>
  <c r="Y378" i="50"/>
  <c r="Y383" i="50"/>
  <c r="Y385" i="50"/>
  <c r="T408" i="50"/>
  <c r="AK405" i="50"/>
  <c r="T405" i="50"/>
  <c r="Y404" i="50"/>
  <c r="T402" i="50"/>
  <c r="T409" i="50"/>
  <c r="Y408" i="50"/>
  <c r="Y405" i="50"/>
  <c r="R402" i="50"/>
  <c r="T404" i="50"/>
  <c r="Y410" i="50"/>
  <c r="T411" i="50"/>
  <c r="T413" i="50"/>
  <c r="V349" i="50"/>
  <c r="V348" i="50" s="1"/>
  <c r="V350" i="50" s="1"/>
  <c r="BD383" i="50"/>
  <c r="BD382" i="50"/>
  <c r="Y217" i="50"/>
  <c r="T215" i="50"/>
  <c r="T214" i="50"/>
  <c r="Y213" i="50"/>
  <c r="T213" i="50"/>
  <c r="Y212" i="50"/>
  <c r="Y211" i="50"/>
  <c r="R205" i="50"/>
  <c r="N201" i="50"/>
  <c r="N200" i="50"/>
  <c r="T212" i="50"/>
  <c r="AK209" i="50"/>
  <c r="T209" i="50"/>
  <c r="Y208" i="50"/>
  <c r="T206" i="50"/>
  <c r="R206" i="50"/>
  <c r="Y214" i="50"/>
  <c r="Y128" i="50"/>
  <c r="Y127" i="50"/>
  <c r="Y126" i="50"/>
  <c r="T124" i="50"/>
  <c r="T127" i="50"/>
  <c r="AW150" i="50"/>
  <c r="AX150" i="50" s="1"/>
  <c r="AF150" i="50"/>
  <c r="AG150" i="50"/>
  <c r="Y234" i="50"/>
  <c r="Y238" i="50"/>
  <c r="T185" i="50"/>
  <c r="AW206" i="50"/>
  <c r="AX206" i="50" s="1"/>
  <c r="R234" i="50"/>
  <c r="AG234" i="50"/>
  <c r="T236" i="50"/>
  <c r="Y237" i="50"/>
  <c r="AK237" i="50"/>
  <c r="T240" i="50"/>
  <c r="V293" i="50"/>
  <c r="V292" i="50" s="1"/>
  <c r="V294" i="50" s="1"/>
  <c r="V301" i="50"/>
  <c r="T241" i="50"/>
  <c r="Y240" i="50"/>
  <c r="Y239" i="50"/>
  <c r="R233" i="50"/>
  <c r="N229" i="50"/>
  <c r="N228" i="50"/>
  <c r="T237" i="50"/>
  <c r="Y242" i="50"/>
  <c r="Y243" i="50"/>
  <c r="BD159" i="50"/>
  <c r="AI178" i="50"/>
  <c r="T182" i="50"/>
  <c r="AI206" i="50"/>
  <c r="V209" i="50"/>
  <c r="V208" i="50" s="1"/>
  <c r="V210" i="50" s="1"/>
  <c r="T234" i="50"/>
  <c r="AI234" i="50"/>
  <c r="T238" i="50"/>
  <c r="BD243" i="50"/>
  <c r="BD242" i="50"/>
  <c r="T269" i="50"/>
  <c r="Y268" i="50"/>
  <c r="Y267" i="50"/>
  <c r="R259" i="50"/>
  <c r="R262" i="50"/>
  <c r="T266" i="50"/>
  <c r="Y273" i="50"/>
  <c r="BD297" i="50"/>
  <c r="BD296" i="50"/>
  <c r="V237" i="50"/>
  <c r="V236" i="50" s="1"/>
  <c r="V238" i="50" s="1"/>
  <c r="T262" i="50"/>
  <c r="Y264" i="50"/>
  <c r="T265" i="50"/>
  <c r="AK265" i="50"/>
  <c r="T267" i="50"/>
  <c r="Y269" i="50"/>
  <c r="T270" i="50"/>
  <c r="BD271" i="50"/>
  <c r="BD270" i="50"/>
  <c r="T271" i="50"/>
  <c r="R287" i="50"/>
  <c r="R290" i="50"/>
  <c r="AG290" i="50"/>
  <c r="T294" i="50"/>
  <c r="Y298" i="50"/>
  <c r="Y299" i="50"/>
  <c r="T301" i="50"/>
  <c r="T290" i="50"/>
  <c r="Y292" i="50"/>
  <c r="T293" i="50"/>
  <c r="AK293" i="50"/>
  <c r="T296" i="50"/>
  <c r="Y161" i="50"/>
  <c r="Y157" i="50"/>
  <c r="T155" i="50"/>
  <c r="Y154" i="50"/>
  <c r="N145" i="50"/>
  <c r="Y150" i="50"/>
  <c r="Y156" i="50"/>
  <c r="Y178" i="50"/>
  <c r="BD130" i="50"/>
  <c r="Y155" i="50"/>
  <c r="T158" i="50"/>
  <c r="T184" i="50"/>
  <c r="AK181" i="50"/>
  <c r="T181" i="50"/>
  <c r="Y180" i="50"/>
  <c r="T178" i="50"/>
  <c r="T189" i="50"/>
  <c r="Y187" i="50"/>
  <c r="Y186" i="50"/>
  <c r="T180" i="50"/>
  <c r="Y185" i="50"/>
  <c r="T186" i="50"/>
  <c r="BD101" i="50"/>
  <c r="T152" i="50"/>
  <c r="Y153" i="50"/>
  <c r="BD158" i="50"/>
  <c r="N173" i="50"/>
  <c r="R177" i="50"/>
  <c r="V181" i="50"/>
  <c r="V180" i="50" s="1"/>
  <c r="V182" i="50" s="1"/>
  <c r="T183" i="50"/>
  <c r="BD185" i="50"/>
  <c r="BD184" i="50"/>
  <c r="T187" i="50"/>
  <c r="T131" i="50"/>
  <c r="Y129" i="50"/>
  <c r="Y125" i="50"/>
  <c r="R149" i="50"/>
  <c r="AI150" i="50"/>
  <c r="I150" i="50" s="1"/>
  <c r="T157" i="50"/>
  <c r="T159" i="50"/>
  <c r="R178" i="50"/>
  <c r="Y181" i="50"/>
  <c r="Y184" i="50"/>
  <c r="Y189" i="50"/>
  <c r="BD157" i="50"/>
  <c r="BD156" i="50"/>
  <c r="R121" i="50"/>
  <c r="AI122" i="50"/>
  <c r="AJ122" i="50" s="1"/>
  <c r="R147" i="50"/>
  <c r="R150" i="50"/>
  <c r="T154" i="50"/>
  <c r="Y158" i="50"/>
  <c r="Y159" i="50"/>
  <c r="T161" i="50"/>
  <c r="T130" i="50"/>
  <c r="N117" i="50"/>
  <c r="V125" i="50"/>
  <c r="V124" i="50" s="1"/>
  <c r="V126" i="50" s="1"/>
  <c r="T129" i="50"/>
  <c r="Y133" i="50"/>
  <c r="T150" i="50"/>
  <c r="Y152" i="50"/>
  <c r="T153" i="50"/>
  <c r="AK153" i="50"/>
  <c r="T156" i="50"/>
  <c r="BD129" i="50"/>
  <c r="BD128" i="50"/>
  <c r="R119" i="50"/>
  <c r="R122" i="50"/>
  <c r="T126" i="50"/>
  <c r="Y130" i="50"/>
  <c r="Y131" i="50"/>
  <c r="T133" i="50"/>
  <c r="BD100" i="50"/>
  <c r="T122" i="50"/>
  <c r="Y124" i="50"/>
  <c r="T125" i="50"/>
  <c r="AK125" i="50"/>
  <c r="T128" i="50"/>
  <c r="T101" i="50"/>
  <c r="Y97" i="50"/>
  <c r="T94" i="50"/>
  <c r="Z94" i="50" s="1"/>
  <c r="T105" i="50"/>
  <c r="Z105" i="50" s="1"/>
  <c r="T100" i="50"/>
  <c r="Y100" i="50" s="1"/>
  <c r="T102" i="50"/>
  <c r="T103" i="50"/>
  <c r="Y105" i="50"/>
  <c r="T96" i="50"/>
  <c r="Z96" i="50" s="1"/>
  <c r="Y94" i="50"/>
  <c r="Y101" i="50"/>
  <c r="T97" i="50"/>
  <c r="Z97" i="50" s="1"/>
  <c r="Y102" i="50"/>
  <c r="Y103" i="50"/>
  <c r="Y96" i="50"/>
  <c r="T99" i="50"/>
  <c r="V94" i="50"/>
  <c r="AK97" i="50"/>
  <c r="T98" i="50"/>
  <c r="Z98" i="50" s="1"/>
  <c r="BD103" i="50"/>
  <c r="BD102" i="50"/>
  <c r="AV75" i="50"/>
  <c r="CD60" i="50" s="1"/>
  <c r="AV74" i="50"/>
  <c r="CC60" i="50" s="1"/>
  <c r="AV73" i="50"/>
  <c r="CB60" i="50" s="1"/>
  <c r="AV72" i="50"/>
  <c r="CA60" i="50" s="1"/>
  <c r="AJ290" i="50" l="1"/>
  <c r="AN290" i="50" s="1"/>
  <c r="AJ1018" i="50"/>
  <c r="AJ1438" i="50"/>
  <c r="AJ794" i="50"/>
  <c r="BM788" i="50" s="1"/>
  <c r="V631" i="50"/>
  <c r="AJ710" i="50"/>
  <c r="AN710" i="50" s="1"/>
  <c r="I1410" i="50"/>
  <c r="AJ1410" i="50"/>
  <c r="AJ1186" i="50"/>
  <c r="I1186" i="50"/>
  <c r="I1382" i="50"/>
  <c r="AJ1382" i="50"/>
  <c r="V1443" i="50"/>
  <c r="V1415" i="50"/>
  <c r="V1359" i="50"/>
  <c r="V547" i="50"/>
  <c r="AJ1242" i="50"/>
  <c r="I1242" i="50"/>
  <c r="I1354" i="50"/>
  <c r="AJ1354" i="50"/>
  <c r="I1214" i="50"/>
  <c r="AJ1214" i="50"/>
  <c r="I1130" i="50"/>
  <c r="AJ1130" i="50"/>
  <c r="BM648" i="50"/>
  <c r="AJ1298" i="50"/>
  <c r="V1387" i="50"/>
  <c r="AJ1158" i="50"/>
  <c r="I1158" i="50"/>
  <c r="V1163" i="50"/>
  <c r="AJ1046" i="50"/>
  <c r="I1046" i="50"/>
  <c r="I1326" i="50"/>
  <c r="AJ1326" i="50"/>
  <c r="BM368" i="50"/>
  <c r="I654" i="50"/>
  <c r="AJ514" i="50"/>
  <c r="AJ1074" i="50"/>
  <c r="I1074" i="50"/>
  <c r="I934" i="50"/>
  <c r="AJ934" i="50"/>
  <c r="V799" i="50"/>
  <c r="V1275" i="50"/>
  <c r="V1331" i="50"/>
  <c r="BM284" i="50"/>
  <c r="AJ1270" i="50"/>
  <c r="I1270" i="50"/>
  <c r="V1191" i="50"/>
  <c r="I1102" i="50"/>
  <c r="AJ1102" i="50"/>
  <c r="V1303" i="50"/>
  <c r="V1247" i="50"/>
  <c r="V1107" i="50"/>
  <c r="BM1292" i="50"/>
  <c r="V1079" i="50"/>
  <c r="V127" i="50"/>
  <c r="AJ906" i="50"/>
  <c r="I906" i="50"/>
  <c r="V827" i="50"/>
  <c r="AJ738" i="50"/>
  <c r="I738" i="50"/>
  <c r="V855" i="50"/>
  <c r="V771" i="50"/>
  <c r="AN794" i="50"/>
  <c r="AN1018" i="50"/>
  <c r="BM1012" i="50"/>
  <c r="AJ962" i="50"/>
  <c r="I962" i="50"/>
  <c r="AJ990" i="50"/>
  <c r="I990" i="50"/>
  <c r="I766" i="50"/>
  <c r="AJ766" i="50"/>
  <c r="AJ822" i="50"/>
  <c r="I822" i="50"/>
  <c r="AN458" i="50"/>
  <c r="BM452" i="50"/>
  <c r="AJ850" i="50"/>
  <c r="I850" i="50"/>
  <c r="AJ262" i="50"/>
  <c r="BM256" i="50" s="1"/>
  <c r="V995" i="50"/>
  <c r="V967" i="50"/>
  <c r="V911" i="50"/>
  <c r="V883" i="50"/>
  <c r="I430" i="50"/>
  <c r="AJ430" i="50"/>
  <c r="AJ682" i="50"/>
  <c r="I682" i="50"/>
  <c r="AJ150" i="50"/>
  <c r="AN150" i="50" s="1"/>
  <c r="C172" i="50"/>
  <c r="A172" i="50" s="1"/>
  <c r="AJ598" i="50"/>
  <c r="I598" i="50"/>
  <c r="I402" i="50"/>
  <c r="AJ402" i="50"/>
  <c r="AJ542" i="50"/>
  <c r="I542" i="50"/>
  <c r="V687" i="50"/>
  <c r="AJ570" i="50"/>
  <c r="I570" i="50"/>
  <c r="V491" i="50"/>
  <c r="V659" i="50"/>
  <c r="I626" i="50"/>
  <c r="AJ626" i="50"/>
  <c r="V519" i="50"/>
  <c r="I486" i="50"/>
  <c r="AJ486" i="50"/>
  <c r="I318" i="50"/>
  <c r="AJ318" i="50"/>
  <c r="AJ346" i="50"/>
  <c r="I346" i="50"/>
  <c r="V379" i="50"/>
  <c r="V351" i="50"/>
  <c r="V323" i="50"/>
  <c r="I122" i="50"/>
  <c r="I234" i="50"/>
  <c r="AJ234" i="50"/>
  <c r="I206" i="50"/>
  <c r="AJ206" i="50"/>
  <c r="V295" i="50"/>
  <c r="V211" i="50"/>
  <c r="I178" i="50"/>
  <c r="AJ178" i="50"/>
  <c r="V239" i="50"/>
  <c r="AN262" i="50"/>
  <c r="V183" i="50"/>
  <c r="AN122" i="50"/>
  <c r="BM116" i="50"/>
  <c r="V105" i="50"/>
  <c r="V97" i="50"/>
  <c r="V96" i="50" s="1"/>
  <c r="V98" i="50" s="1"/>
  <c r="AF94" i="50"/>
  <c r="AG94" i="50"/>
  <c r="D74" i="66"/>
  <c r="E43" i="66" s="1"/>
  <c r="V39" i="66"/>
  <c r="A39" i="66"/>
  <c r="L762" i="66"/>
  <c r="K762" i="66"/>
  <c r="Q757" i="66" s="1"/>
  <c r="J762" i="66"/>
  <c r="H762" i="66" s="1"/>
  <c r="Q754" i="66" s="1"/>
  <c r="F762" i="66"/>
  <c r="G762" i="66" s="1"/>
  <c r="Q753" i="66" s="1"/>
  <c r="AL761" i="66"/>
  <c r="L761" i="66"/>
  <c r="K761" i="66"/>
  <c r="J761" i="66"/>
  <c r="AL760" i="66"/>
  <c r="L760" i="66"/>
  <c r="K760" i="66"/>
  <c r="J760" i="66"/>
  <c r="AL759" i="66"/>
  <c r="L759" i="66"/>
  <c r="K759" i="66"/>
  <c r="J759" i="66"/>
  <c r="AL758" i="66"/>
  <c r="L758" i="66"/>
  <c r="K758" i="66"/>
  <c r="J758" i="66"/>
  <c r="AL757" i="66"/>
  <c r="W757" i="66"/>
  <c r="S757" i="66"/>
  <c r="L757" i="66"/>
  <c r="K757" i="66"/>
  <c r="J757" i="66"/>
  <c r="AL756" i="66"/>
  <c r="AB756" i="66"/>
  <c r="AA756" i="66"/>
  <c r="Z756" i="66"/>
  <c r="Y756" i="66"/>
  <c r="X756" i="66"/>
  <c r="W756" i="66"/>
  <c r="L756" i="66"/>
  <c r="K756" i="66"/>
  <c r="J756" i="66"/>
  <c r="H756" i="66"/>
  <c r="G756" i="66"/>
  <c r="AL755" i="66"/>
  <c r="AB755" i="66"/>
  <c r="AA755" i="66"/>
  <c r="Z755" i="66"/>
  <c r="Y755" i="66"/>
  <c r="X755" i="66"/>
  <c r="W755" i="66"/>
  <c r="S755" i="66"/>
  <c r="L755" i="66"/>
  <c r="K755" i="66"/>
  <c r="J755" i="66"/>
  <c r="H755" i="66"/>
  <c r="G755" i="66"/>
  <c r="AL754" i="66"/>
  <c r="AB754" i="66"/>
  <c r="AA754" i="66"/>
  <c r="Z754" i="66"/>
  <c r="Y754" i="66"/>
  <c r="X754" i="66"/>
  <c r="W754" i="66"/>
  <c r="S754" i="66"/>
  <c r="L754" i="66"/>
  <c r="K754" i="66"/>
  <c r="J754" i="66"/>
  <c r="H754" i="66"/>
  <c r="G754" i="66"/>
  <c r="AL753" i="66"/>
  <c r="AB753" i="66"/>
  <c r="AA753" i="66"/>
  <c r="Z753" i="66"/>
  <c r="Y753" i="66"/>
  <c r="X753" i="66"/>
  <c r="W753" i="66"/>
  <c r="S753" i="66"/>
  <c r="L753" i="66"/>
  <c r="K753" i="66"/>
  <c r="J753" i="66"/>
  <c r="H753" i="66"/>
  <c r="G753" i="66"/>
  <c r="AL752" i="66"/>
  <c r="AB752" i="66"/>
  <c r="AA752" i="66"/>
  <c r="Z752" i="66"/>
  <c r="Y752" i="66"/>
  <c r="X752" i="66"/>
  <c r="W752" i="66"/>
  <c r="L752" i="66"/>
  <c r="K752" i="66"/>
  <c r="J752" i="66"/>
  <c r="H752" i="66"/>
  <c r="G752" i="66"/>
  <c r="AL751" i="66"/>
  <c r="AB751" i="66"/>
  <c r="AA751" i="66"/>
  <c r="Z751" i="66"/>
  <c r="Y751" i="66"/>
  <c r="X751" i="66"/>
  <c r="W751" i="66"/>
  <c r="S751" i="66"/>
  <c r="L751" i="66"/>
  <c r="K751" i="66"/>
  <c r="J751" i="66"/>
  <c r="H751" i="66"/>
  <c r="G751" i="66"/>
  <c r="AL750" i="66"/>
  <c r="AB750" i="66"/>
  <c r="AA750" i="66"/>
  <c r="Z750" i="66"/>
  <c r="Y750" i="66"/>
  <c r="X750" i="66"/>
  <c r="W750" i="66"/>
  <c r="L750" i="66"/>
  <c r="K750" i="66"/>
  <c r="J750" i="66"/>
  <c r="H750" i="66"/>
  <c r="G750" i="66"/>
  <c r="AL749" i="66"/>
  <c r="AB749" i="66"/>
  <c r="AA749" i="66"/>
  <c r="Z749" i="66"/>
  <c r="Y749" i="66"/>
  <c r="X749" i="66"/>
  <c r="W749" i="66"/>
  <c r="L749" i="66"/>
  <c r="K749" i="66"/>
  <c r="J749" i="66"/>
  <c r="H749" i="66"/>
  <c r="G749" i="66"/>
  <c r="AL748" i="66"/>
  <c r="AB748" i="66"/>
  <c r="AA748" i="66"/>
  <c r="Z748" i="66"/>
  <c r="Y748" i="66"/>
  <c r="X748" i="66"/>
  <c r="W748" i="66"/>
  <c r="L748" i="66"/>
  <c r="K748" i="66"/>
  <c r="J748" i="66"/>
  <c r="H748" i="66"/>
  <c r="G748" i="66"/>
  <c r="AL747" i="66"/>
  <c r="AB747" i="66"/>
  <c r="AA747" i="66"/>
  <c r="Z747" i="66"/>
  <c r="Y747" i="66"/>
  <c r="X747" i="66"/>
  <c r="W747" i="66"/>
  <c r="L747" i="66"/>
  <c r="K747" i="66"/>
  <c r="J747" i="66"/>
  <c r="H747" i="66"/>
  <c r="G747" i="66"/>
  <c r="H746" i="66"/>
  <c r="N754" i="66" s="1"/>
  <c r="G746" i="66"/>
  <c r="N753" i="66" s="1"/>
  <c r="F746" i="66"/>
  <c r="N751" i="66" s="1"/>
  <c r="L739" i="66"/>
  <c r="K739" i="66"/>
  <c r="J739" i="66"/>
  <c r="H739" i="66" s="1"/>
  <c r="Q731" i="66" s="1"/>
  <c r="F739" i="66"/>
  <c r="G739" i="66" s="1"/>
  <c r="Q730" i="66" s="1"/>
  <c r="AL738" i="66"/>
  <c r="L738" i="66"/>
  <c r="K738" i="66"/>
  <c r="J738" i="66"/>
  <c r="AL737" i="66"/>
  <c r="L737" i="66"/>
  <c r="K737" i="66"/>
  <c r="J737" i="66"/>
  <c r="AL736" i="66"/>
  <c r="L736" i="66"/>
  <c r="K736" i="66"/>
  <c r="J736" i="66"/>
  <c r="AL735" i="66"/>
  <c r="L735" i="66"/>
  <c r="K735" i="66"/>
  <c r="J735" i="66"/>
  <c r="AL734" i="66"/>
  <c r="W734" i="66"/>
  <c r="S734" i="66"/>
  <c r="L734" i="66"/>
  <c r="K734" i="66"/>
  <c r="J734" i="66"/>
  <c r="AL733" i="66"/>
  <c r="AB733" i="66"/>
  <c r="AA733" i="66"/>
  <c r="Z733" i="66"/>
  <c r="Y733" i="66"/>
  <c r="X733" i="66"/>
  <c r="W733" i="66"/>
  <c r="L733" i="66"/>
  <c r="K733" i="66"/>
  <c r="J733" i="66"/>
  <c r="H733" i="66"/>
  <c r="G733" i="66"/>
  <c r="AL732" i="66"/>
  <c r="AB732" i="66"/>
  <c r="AA732" i="66"/>
  <c r="Z732" i="66"/>
  <c r="Y732" i="66"/>
  <c r="X732" i="66"/>
  <c r="W732" i="66"/>
  <c r="S732" i="66"/>
  <c r="L732" i="66"/>
  <c r="K732" i="66"/>
  <c r="J732" i="66"/>
  <c r="H732" i="66"/>
  <c r="G732" i="66"/>
  <c r="AL731" i="66"/>
  <c r="AB731" i="66"/>
  <c r="AA731" i="66"/>
  <c r="Z731" i="66"/>
  <c r="Y731" i="66"/>
  <c r="X731" i="66"/>
  <c r="W731" i="66"/>
  <c r="S731" i="66"/>
  <c r="L731" i="66"/>
  <c r="K731" i="66"/>
  <c r="J731" i="66"/>
  <c r="H731" i="66"/>
  <c r="G731" i="66"/>
  <c r="AL730" i="66"/>
  <c r="AB730" i="66"/>
  <c r="AA730" i="66"/>
  <c r="Z730" i="66"/>
  <c r="Y730" i="66"/>
  <c r="X730" i="66"/>
  <c r="W730" i="66"/>
  <c r="S730" i="66"/>
  <c r="L730" i="66"/>
  <c r="K730" i="66"/>
  <c r="J730" i="66"/>
  <c r="H730" i="66"/>
  <c r="G730" i="66"/>
  <c r="AL729" i="66"/>
  <c r="AB729" i="66"/>
  <c r="AA729" i="66"/>
  <c r="Z729" i="66"/>
  <c r="Y729" i="66"/>
  <c r="X729" i="66"/>
  <c r="W729" i="66"/>
  <c r="L729" i="66"/>
  <c r="K729" i="66"/>
  <c r="J729" i="66"/>
  <c r="H729" i="66"/>
  <c r="G729" i="66"/>
  <c r="AL728" i="66"/>
  <c r="AB728" i="66"/>
  <c r="AA728" i="66"/>
  <c r="Z728" i="66"/>
  <c r="Y728" i="66"/>
  <c r="X728" i="66"/>
  <c r="W728" i="66"/>
  <c r="S728" i="66"/>
  <c r="L728" i="66"/>
  <c r="K728" i="66"/>
  <c r="J728" i="66"/>
  <c r="H728" i="66"/>
  <c r="G728" i="66"/>
  <c r="AL727" i="66"/>
  <c r="AB727" i="66"/>
  <c r="AA727" i="66"/>
  <c r="Z727" i="66"/>
  <c r="Y727" i="66"/>
  <c r="X727" i="66"/>
  <c r="W727" i="66"/>
  <c r="L727" i="66"/>
  <c r="K727" i="66"/>
  <c r="J727" i="66"/>
  <c r="H727" i="66"/>
  <c r="G727" i="66"/>
  <c r="AL726" i="66"/>
  <c r="AB726" i="66"/>
  <c r="AA726" i="66"/>
  <c r="Z726" i="66"/>
  <c r="Y726" i="66"/>
  <c r="X726" i="66"/>
  <c r="W726" i="66"/>
  <c r="L726" i="66"/>
  <c r="K726" i="66"/>
  <c r="J726" i="66"/>
  <c r="H726" i="66"/>
  <c r="G726" i="66"/>
  <c r="AL725" i="66"/>
  <c r="AB725" i="66"/>
  <c r="AA725" i="66"/>
  <c r="Z725" i="66"/>
  <c r="Y725" i="66"/>
  <c r="X725" i="66"/>
  <c r="W725" i="66"/>
  <c r="L725" i="66"/>
  <c r="K725" i="66"/>
  <c r="J725" i="66"/>
  <c r="H725" i="66"/>
  <c r="G725" i="66"/>
  <c r="AL724" i="66"/>
  <c r="AB724" i="66"/>
  <c r="AA724" i="66"/>
  <c r="Z724" i="66"/>
  <c r="Y724" i="66"/>
  <c r="X724" i="66"/>
  <c r="W724" i="66"/>
  <c r="AD724" i="66" s="1"/>
  <c r="L724" i="66"/>
  <c r="K724" i="66"/>
  <c r="J724" i="66"/>
  <c r="H724" i="66"/>
  <c r="G724" i="66"/>
  <c r="H723" i="66"/>
  <c r="N731" i="66" s="1"/>
  <c r="G723" i="66"/>
  <c r="N730" i="66" s="1"/>
  <c r="F723" i="66"/>
  <c r="N728" i="66" s="1"/>
  <c r="L716" i="66"/>
  <c r="K716" i="66"/>
  <c r="Q711" i="66" s="1"/>
  <c r="J716" i="66"/>
  <c r="H716" i="66" s="1"/>
  <c r="Q708" i="66" s="1"/>
  <c r="F716" i="66"/>
  <c r="G716" i="66" s="1"/>
  <c r="AL715" i="66"/>
  <c r="L715" i="66"/>
  <c r="K715" i="66"/>
  <c r="J715" i="66"/>
  <c r="AL714" i="66"/>
  <c r="L714" i="66"/>
  <c r="K714" i="66"/>
  <c r="J714" i="66"/>
  <c r="AL713" i="66"/>
  <c r="L713" i="66"/>
  <c r="K713" i="66"/>
  <c r="J713" i="66"/>
  <c r="AL712" i="66"/>
  <c r="L712" i="66"/>
  <c r="K712" i="66"/>
  <c r="J712" i="66"/>
  <c r="AL711" i="66"/>
  <c r="W711" i="66"/>
  <c r="S711" i="66"/>
  <c r="L711" i="66"/>
  <c r="K711" i="66"/>
  <c r="J711" i="66"/>
  <c r="AL710" i="66"/>
  <c r="AB710" i="66"/>
  <c r="AA710" i="66"/>
  <c r="Z710" i="66"/>
  <c r="Y710" i="66"/>
  <c r="X710" i="66"/>
  <c r="W710" i="66"/>
  <c r="L710" i="66"/>
  <c r="K710" i="66"/>
  <c r="J710" i="66"/>
  <c r="H710" i="66"/>
  <c r="G710" i="66"/>
  <c r="AL709" i="66"/>
  <c r="AB709" i="66"/>
  <c r="AA709" i="66"/>
  <c r="Z709" i="66"/>
  <c r="Y709" i="66"/>
  <c r="X709" i="66"/>
  <c r="W709" i="66"/>
  <c r="S709" i="66"/>
  <c r="L709" i="66"/>
  <c r="K709" i="66"/>
  <c r="J709" i="66"/>
  <c r="H709" i="66"/>
  <c r="G709" i="66"/>
  <c r="AL708" i="66"/>
  <c r="AB708" i="66"/>
  <c r="AA708" i="66"/>
  <c r="Z708" i="66"/>
  <c r="Y708" i="66"/>
  <c r="X708" i="66"/>
  <c r="W708" i="66"/>
  <c r="S708" i="66"/>
  <c r="L708" i="66"/>
  <c r="K708" i="66"/>
  <c r="J708" i="66"/>
  <c r="H708" i="66"/>
  <c r="G708" i="66"/>
  <c r="AL707" i="66"/>
  <c r="AB707" i="66"/>
  <c r="AA707" i="66"/>
  <c r="Z707" i="66"/>
  <c r="Y707" i="66"/>
  <c r="X707" i="66"/>
  <c r="W707" i="66"/>
  <c r="S707" i="66"/>
  <c r="L707" i="66"/>
  <c r="K707" i="66"/>
  <c r="J707" i="66"/>
  <c r="H707" i="66"/>
  <c r="G707" i="66"/>
  <c r="AL706" i="66"/>
  <c r="AB706" i="66"/>
  <c r="AA706" i="66"/>
  <c r="Z706" i="66"/>
  <c r="Y706" i="66"/>
  <c r="X706" i="66"/>
  <c r="W706" i="66"/>
  <c r="L706" i="66"/>
  <c r="K706" i="66"/>
  <c r="J706" i="66"/>
  <c r="H706" i="66"/>
  <c r="G706" i="66"/>
  <c r="AL705" i="66"/>
  <c r="AB705" i="66"/>
  <c r="AA705" i="66"/>
  <c r="Z705" i="66"/>
  <c r="Y705" i="66"/>
  <c r="X705" i="66"/>
  <c r="W705" i="66"/>
  <c r="S705" i="66"/>
  <c r="L705" i="66"/>
  <c r="K705" i="66"/>
  <c r="J705" i="66"/>
  <c r="H705" i="66"/>
  <c r="G705" i="66"/>
  <c r="AL704" i="66"/>
  <c r="AB704" i="66"/>
  <c r="AA704" i="66"/>
  <c r="Z704" i="66"/>
  <c r="Y704" i="66"/>
  <c r="X704" i="66"/>
  <c r="W704" i="66"/>
  <c r="L704" i="66"/>
  <c r="K704" i="66"/>
  <c r="J704" i="66"/>
  <c r="H704" i="66"/>
  <c r="G704" i="66"/>
  <c r="AL703" i="66"/>
  <c r="AB703" i="66"/>
  <c r="AA703" i="66"/>
  <c r="Z703" i="66"/>
  <c r="Y703" i="66"/>
  <c r="X703" i="66"/>
  <c r="W703" i="66"/>
  <c r="L703" i="66"/>
  <c r="K703" i="66"/>
  <c r="J703" i="66"/>
  <c r="H703" i="66"/>
  <c r="G703" i="66"/>
  <c r="AL702" i="66"/>
  <c r="AB702" i="66"/>
  <c r="AA702" i="66"/>
  <c r="Z702" i="66"/>
  <c r="Y702" i="66"/>
  <c r="X702" i="66"/>
  <c r="W702" i="66"/>
  <c r="L702" i="66"/>
  <c r="K702" i="66"/>
  <c r="J702" i="66"/>
  <c r="H702" i="66"/>
  <c r="G702" i="66"/>
  <c r="AL701" i="66"/>
  <c r="AB701" i="66"/>
  <c r="AA701" i="66"/>
  <c r="Z701" i="66"/>
  <c r="Y701" i="66"/>
  <c r="X701" i="66"/>
  <c r="W701" i="66"/>
  <c r="L701" i="66"/>
  <c r="K701" i="66"/>
  <c r="J701" i="66"/>
  <c r="H701" i="66"/>
  <c r="G701" i="66"/>
  <c r="H700" i="66"/>
  <c r="N708" i="66" s="1"/>
  <c r="G700" i="66"/>
  <c r="N707" i="66" s="1"/>
  <c r="F700" i="66"/>
  <c r="N705" i="66" s="1"/>
  <c r="L693" i="66"/>
  <c r="K693" i="66"/>
  <c r="J693" i="66"/>
  <c r="H693" i="66" s="1"/>
  <c r="Q685" i="66" s="1"/>
  <c r="F693" i="66"/>
  <c r="G693" i="66" s="1"/>
  <c r="Q684" i="66" s="1"/>
  <c r="AL692" i="66"/>
  <c r="L692" i="66"/>
  <c r="K692" i="66"/>
  <c r="J692" i="66"/>
  <c r="AL691" i="66"/>
  <c r="L691" i="66"/>
  <c r="K691" i="66"/>
  <c r="J691" i="66"/>
  <c r="AL690" i="66"/>
  <c r="L690" i="66"/>
  <c r="K690" i="66"/>
  <c r="J690" i="66"/>
  <c r="AL689" i="66"/>
  <c r="L689" i="66"/>
  <c r="K689" i="66"/>
  <c r="J689" i="66"/>
  <c r="AL688" i="66"/>
  <c r="W688" i="66"/>
  <c r="S688" i="66"/>
  <c r="L688" i="66"/>
  <c r="K688" i="66"/>
  <c r="J688" i="66"/>
  <c r="AL687" i="66"/>
  <c r="AB687" i="66"/>
  <c r="AA687" i="66"/>
  <c r="Z687" i="66"/>
  <c r="Y687" i="66"/>
  <c r="X687" i="66"/>
  <c r="W687" i="66"/>
  <c r="L687" i="66"/>
  <c r="K687" i="66"/>
  <c r="J687" i="66"/>
  <c r="H687" i="66"/>
  <c r="G687" i="66"/>
  <c r="AL686" i="66"/>
  <c r="AB686" i="66"/>
  <c r="AA686" i="66"/>
  <c r="Z686" i="66"/>
  <c r="Y686" i="66"/>
  <c r="X686" i="66"/>
  <c r="W686" i="66"/>
  <c r="S686" i="66"/>
  <c r="L686" i="66"/>
  <c r="K686" i="66"/>
  <c r="J686" i="66"/>
  <c r="H686" i="66"/>
  <c r="G686" i="66"/>
  <c r="AL685" i="66"/>
  <c r="AB685" i="66"/>
  <c r="AA685" i="66"/>
  <c r="Z685" i="66"/>
  <c r="Y685" i="66"/>
  <c r="X685" i="66"/>
  <c r="W685" i="66"/>
  <c r="S685" i="66"/>
  <c r="L685" i="66"/>
  <c r="K685" i="66"/>
  <c r="J685" i="66"/>
  <c r="H685" i="66"/>
  <c r="G685" i="66"/>
  <c r="AL684" i="66"/>
  <c r="AB684" i="66"/>
  <c r="AA684" i="66"/>
  <c r="Z684" i="66"/>
  <c r="Y684" i="66"/>
  <c r="X684" i="66"/>
  <c r="W684" i="66"/>
  <c r="S684" i="66"/>
  <c r="L684" i="66"/>
  <c r="K684" i="66"/>
  <c r="J684" i="66"/>
  <c r="H684" i="66"/>
  <c r="G684" i="66"/>
  <c r="AL683" i="66"/>
  <c r="AB683" i="66"/>
  <c r="AA683" i="66"/>
  <c r="Z683" i="66"/>
  <c r="Y683" i="66"/>
  <c r="X683" i="66"/>
  <c r="W683" i="66"/>
  <c r="L683" i="66"/>
  <c r="K683" i="66"/>
  <c r="J683" i="66"/>
  <c r="H683" i="66"/>
  <c r="G683" i="66"/>
  <c r="AL682" i="66"/>
  <c r="AB682" i="66"/>
  <c r="AA682" i="66"/>
  <c r="Z682" i="66"/>
  <c r="Y682" i="66"/>
  <c r="X682" i="66"/>
  <c r="W682" i="66"/>
  <c r="S682" i="66"/>
  <c r="L682" i="66"/>
  <c r="K682" i="66"/>
  <c r="J682" i="66"/>
  <c r="H682" i="66"/>
  <c r="G682" i="66"/>
  <c r="AL681" i="66"/>
  <c r="AB681" i="66"/>
  <c r="AA681" i="66"/>
  <c r="Z681" i="66"/>
  <c r="Y681" i="66"/>
  <c r="X681" i="66"/>
  <c r="W681" i="66"/>
  <c r="L681" i="66"/>
  <c r="K681" i="66"/>
  <c r="J681" i="66"/>
  <c r="H681" i="66"/>
  <c r="G681" i="66"/>
  <c r="AL680" i="66"/>
  <c r="AB680" i="66"/>
  <c r="AA680" i="66"/>
  <c r="Z680" i="66"/>
  <c r="Y680" i="66"/>
  <c r="X680" i="66"/>
  <c r="W680" i="66"/>
  <c r="L680" i="66"/>
  <c r="K680" i="66"/>
  <c r="J680" i="66"/>
  <c r="H680" i="66"/>
  <c r="G680" i="66"/>
  <c r="AL679" i="66"/>
  <c r="AB679" i="66"/>
  <c r="AA679" i="66"/>
  <c r="Z679" i="66"/>
  <c r="Y679" i="66"/>
  <c r="X679" i="66"/>
  <c r="W679" i="66"/>
  <c r="L679" i="66"/>
  <c r="K679" i="66"/>
  <c r="J679" i="66"/>
  <c r="H679" i="66"/>
  <c r="G679" i="66"/>
  <c r="AL678" i="66"/>
  <c r="AB678" i="66"/>
  <c r="AA678" i="66"/>
  <c r="Z678" i="66"/>
  <c r="Y678" i="66"/>
  <c r="X678" i="66"/>
  <c r="W678" i="66"/>
  <c r="L678" i="66"/>
  <c r="K678" i="66"/>
  <c r="J678" i="66"/>
  <c r="H678" i="66"/>
  <c r="G678" i="66"/>
  <c r="H677" i="66"/>
  <c r="N685" i="66" s="1"/>
  <c r="G677" i="66"/>
  <c r="N684" i="66" s="1"/>
  <c r="F677" i="66"/>
  <c r="N682" i="66" s="1"/>
  <c r="L670" i="66"/>
  <c r="K670" i="66"/>
  <c r="J670" i="66"/>
  <c r="H670" i="66" s="1"/>
  <c r="Q662" i="66" s="1"/>
  <c r="F670" i="66"/>
  <c r="AL669" i="66"/>
  <c r="L669" i="66"/>
  <c r="K669" i="66"/>
  <c r="J669" i="66"/>
  <c r="AL668" i="66"/>
  <c r="L668" i="66"/>
  <c r="K668" i="66"/>
  <c r="J668" i="66"/>
  <c r="AL667" i="66"/>
  <c r="L667" i="66"/>
  <c r="K667" i="66"/>
  <c r="J667" i="66"/>
  <c r="AL666" i="66"/>
  <c r="L666" i="66"/>
  <c r="K666" i="66"/>
  <c r="J666" i="66"/>
  <c r="AL665" i="66"/>
  <c r="W665" i="66"/>
  <c r="S665" i="66"/>
  <c r="L665" i="66"/>
  <c r="K665" i="66"/>
  <c r="J665" i="66"/>
  <c r="AL664" i="66"/>
  <c r="AB664" i="66"/>
  <c r="AA664" i="66"/>
  <c r="Z664" i="66"/>
  <c r="Y664" i="66"/>
  <c r="X664" i="66"/>
  <c r="W664" i="66"/>
  <c r="L664" i="66"/>
  <c r="K664" i="66"/>
  <c r="J664" i="66"/>
  <c r="H664" i="66"/>
  <c r="G664" i="66"/>
  <c r="AL663" i="66"/>
  <c r="AB663" i="66"/>
  <c r="AA663" i="66"/>
  <c r="Z663" i="66"/>
  <c r="Y663" i="66"/>
  <c r="X663" i="66"/>
  <c r="W663" i="66"/>
  <c r="S663" i="66"/>
  <c r="L663" i="66"/>
  <c r="K663" i="66"/>
  <c r="J663" i="66"/>
  <c r="H663" i="66"/>
  <c r="G663" i="66"/>
  <c r="AL662" i="66"/>
  <c r="AB662" i="66"/>
  <c r="AA662" i="66"/>
  <c r="Z662" i="66"/>
  <c r="Y662" i="66"/>
  <c r="X662" i="66"/>
  <c r="W662" i="66"/>
  <c r="S662" i="66"/>
  <c r="L662" i="66"/>
  <c r="K662" i="66"/>
  <c r="J662" i="66"/>
  <c r="H662" i="66"/>
  <c r="G662" i="66"/>
  <c r="AL661" i="66"/>
  <c r="AB661" i="66"/>
  <c r="AA661" i="66"/>
  <c r="Z661" i="66"/>
  <c r="Y661" i="66"/>
  <c r="X661" i="66"/>
  <c r="W661" i="66"/>
  <c r="S661" i="66"/>
  <c r="L661" i="66"/>
  <c r="K661" i="66"/>
  <c r="J661" i="66"/>
  <c r="H661" i="66"/>
  <c r="G661" i="66"/>
  <c r="AL660" i="66"/>
  <c r="AB660" i="66"/>
  <c r="AA660" i="66"/>
  <c r="Z660" i="66"/>
  <c r="Y660" i="66"/>
  <c r="X660" i="66"/>
  <c r="W660" i="66"/>
  <c r="L660" i="66"/>
  <c r="K660" i="66"/>
  <c r="J660" i="66"/>
  <c r="H660" i="66"/>
  <c r="G660" i="66"/>
  <c r="AL659" i="66"/>
  <c r="AB659" i="66"/>
  <c r="AA659" i="66"/>
  <c r="Z659" i="66"/>
  <c r="Y659" i="66"/>
  <c r="X659" i="66"/>
  <c r="W659" i="66"/>
  <c r="S659" i="66"/>
  <c r="L659" i="66"/>
  <c r="K659" i="66"/>
  <c r="J659" i="66"/>
  <c r="H659" i="66"/>
  <c r="G659" i="66"/>
  <c r="AL658" i="66"/>
  <c r="AB658" i="66"/>
  <c r="AA658" i="66"/>
  <c r="Z658" i="66"/>
  <c r="Y658" i="66"/>
  <c r="X658" i="66"/>
  <c r="W658" i="66"/>
  <c r="L658" i="66"/>
  <c r="K658" i="66"/>
  <c r="J658" i="66"/>
  <c r="H658" i="66"/>
  <c r="G658" i="66"/>
  <c r="AL657" i="66"/>
  <c r="AB657" i="66"/>
  <c r="AA657" i="66"/>
  <c r="Z657" i="66"/>
  <c r="Y657" i="66"/>
  <c r="X657" i="66"/>
  <c r="W657" i="66"/>
  <c r="L657" i="66"/>
  <c r="K657" i="66"/>
  <c r="J657" i="66"/>
  <c r="H657" i="66"/>
  <c r="G657" i="66"/>
  <c r="AL656" i="66"/>
  <c r="AB656" i="66"/>
  <c r="AA656" i="66"/>
  <c r="Z656" i="66"/>
  <c r="Y656" i="66"/>
  <c r="X656" i="66"/>
  <c r="W656" i="66"/>
  <c r="L656" i="66"/>
  <c r="K656" i="66"/>
  <c r="J656" i="66"/>
  <c r="H656" i="66"/>
  <c r="G656" i="66"/>
  <c r="AL655" i="66"/>
  <c r="AB655" i="66"/>
  <c r="AA655" i="66"/>
  <c r="Z655" i="66"/>
  <c r="Y655" i="66"/>
  <c r="X655" i="66"/>
  <c r="W655" i="66"/>
  <c r="AD655" i="66" s="1"/>
  <c r="L655" i="66"/>
  <c r="K655" i="66"/>
  <c r="J655" i="66"/>
  <c r="H655" i="66"/>
  <c r="G655" i="66"/>
  <c r="H654" i="66"/>
  <c r="N662" i="66" s="1"/>
  <c r="G654" i="66"/>
  <c r="N661" i="66" s="1"/>
  <c r="F654" i="66"/>
  <c r="N659" i="66" s="1"/>
  <c r="L647" i="66"/>
  <c r="K647" i="66"/>
  <c r="J647" i="66"/>
  <c r="H647" i="66" s="1"/>
  <c r="Q639" i="66" s="1"/>
  <c r="F647" i="66"/>
  <c r="G647" i="66" s="1"/>
  <c r="Q638" i="66" s="1"/>
  <c r="AL646" i="66"/>
  <c r="L646" i="66"/>
  <c r="K646" i="66"/>
  <c r="J646" i="66"/>
  <c r="AL645" i="66"/>
  <c r="L645" i="66"/>
  <c r="K645" i="66"/>
  <c r="J645" i="66"/>
  <c r="AL644" i="66"/>
  <c r="L644" i="66"/>
  <c r="K644" i="66"/>
  <c r="J644" i="66"/>
  <c r="AL643" i="66"/>
  <c r="L643" i="66"/>
  <c r="K643" i="66"/>
  <c r="J643" i="66"/>
  <c r="AL642" i="66"/>
  <c r="W642" i="66"/>
  <c r="S642" i="66"/>
  <c r="L642" i="66"/>
  <c r="K642" i="66"/>
  <c r="J642" i="66"/>
  <c r="AL641" i="66"/>
  <c r="AB641" i="66"/>
  <c r="AA641" i="66"/>
  <c r="Z641" i="66"/>
  <c r="Y641" i="66"/>
  <c r="X641" i="66"/>
  <c r="W641" i="66"/>
  <c r="L641" i="66"/>
  <c r="K641" i="66"/>
  <c r="J641" i="66"/>
  <c r="H641" i="66"/>
  <c r="G641" i="66"/>
  <c r="AL640" i="66"/>
  <c r="AB640" i="66"/>
  <c r="AA640" i="66"/>
  <c r="Z640" i="66"/>
  <c r="Y640" i="66"/>
  <c r="X640" i="66"/>
  <c r="W640" i="66"/>
  <c r="S640" i="66"/>
  <c r="L640" i="66"/>
  <c r="K640" i="66"/>
  <c r="J640" i="66"/>
  <c r="H640" i="66"/>
  <c r="G640" i="66"/>
  <c r="AL639" i="66"/>
  <c r="AB639" i="66"/>
  <c r="AA639" i="66"/>
  <c r="Z639" i="66"/>
  <c r="Y639" i="66"/>
  <c r="X639" i="66"/>
  <c r="W639" i="66"/>
  <c r="S639" i="66"/>
  <c r="L639" i="66"/>
  <c r="K639" i="66"/>
  <c r="J639" i="66"/>
  <c r="H639" i="66"/>
  <c r="G639" i="66"/>
  <c r="AL638" i="66"/>
  <c r="AB638" i="66"/>
  <c r="AA638" i="66"/>
  <c r="Z638" i="66"/>
  <c r="Y638" i="66"/>
  <c r="X638" i="66"/>
  <c r="W638" i="66"/>
  <c r="S638" i="66"/>
  <c r="L638" i="66"/>
  <c r="K638" i="66"/>
  <c r="J638" i="66"/>
  <c r="H638" i="66"/>
  <c r="G638" i="66"/>
  <c r="AL637" i="66"/>
  <c r="AB637" i="66"/>
  <c r="AA637" i="66"/>
  <c r="Z637" i="66"/>
  <c r="Y637" i="66"/>
  <c r="X637" i="66"/>
  <c r="W637" i="66"/>
  <c r="L637" i="66"/>
  <c r="K637" i="66"/>
  <c r="J637" i="66"/>
  <c r="H637" i="66"/>
  <c r="G637" i="66"/>
  <c r="AL636" i="66"/>
  <c r="AB636" i="66"/>
  <c r="AA636" i="66"/>
  <c r="Z636" i="66"/>
  <c r="Y636" i="66"/>
  <c r="X636" i="66"/>
  <c r="W636" i="66"/>
  <c r="S636" i="66"/>
  <c r="L636" i="66"/>
  <c r="K636" i="66"/>
  <c r="J636" i="66"/>
  <c r="H636" i="66"/>
  <c r="G636" i="66"/>
  <c r="AL635" i="66"/>
  <c r="AB635" i="66"/>
  <c r="AA635" i="66"/>
  <c r="Z635" i="66"/>
  <c r="Y635" i="66"/>
  <c r="X635" i="66"/>
  <c r="W635" i="66"/>
  <c r="L635" i="66"/>
  <c r="K635" i="66"/>
  <c r="J635" i="66"/>
  <c r="H635" i="66"/>
  <c r="G635" i="66"/>
  <c r="AL634" i="66"/>
  <c r="AB634" i="66"/>
  <c r="AA634" i="66"/>
  <c r="Z634" i="66"/>
  <c r="Y634" i="66"/>
  <c r="X634" i="66"/>
  <c r="W634" i="66"/>
  <c r="L634" i="66"/>
  <c r="K634" i="66"/>
  <c r="J634" i="66"/>
  <c r="H634" i="66"/>
  <c r="G634" i="66"/>
  <c r="AL633" i="66"/>
  <c r="AB633" i="66"/>
  <c r="AA633" i="66"/>
  <c r="Z633" i="66"/>
  <c r="Y633" i="66"/>
  <c r="X633" i="66"/>
  <c r="W633" i="66"/>
  <c r="L633" i="66"/>
  <c r="K633" i="66"/>
  <c r="J633" i="66"/>
  <c r="H633" i="66"/>
  <c r="G633" i="66"/>
  <c r="AL632" i="66"/>
  <c r="AB632" i="66"/>
  <c r="AA632" i="66"/>
  <c r="Z632" i="66"/>
  <c r="Y632" i="66"/>
  <c r="X632" i="66"/>
  <c r="W632" i="66"/>
  <c r="L632" i="66"/>
  <c r="K632" i="66"/>
  <c r="J632" i="66"/>
  <c r="H632" i="66"/>
  <c r="G632" i="66"/>
  <c r="H631" i="66"/>
  <c r="N639" i="66" s="1"/>
  <c r="G631" i="66"/>
  <c r="N638" i="66" s="1"/>
  <c r="F631" i="66"/>
  <c r="N636" i="66" s="1"/>
  <c r="L624" i="66"/>
  <c r="K624" i="66"/>
  <c r="J624" i="66"/>
  <c r="H624" i="66" s="1"/>
  <c r="Q616" i="66" s="1"/>
  <c r="F624" i="66"/>
  <c r="G624" i="66" s="1"/>
  <c r="AL623" i="66"/>
  <c r="L623" i="66"/>
  <c r="K623" i="66"/>
  <c r="J623" i="66"/>
  <c r="AL622" i="66"/>
  <c r="L622" i="66"/>
  <c r="K622" i="66"/>
  <c r="J622" i="66"/>
  <c r="AL621" i="66"/>
  <c r="L621" i="66"/>
  <c r="K621" i="66"/>
  <c r="J621" i="66"/>
  <c r="AL620" i="66"/>
  <c r="L620" i="66"/>
  <c r="K620" i="66"/>
  <c r="J620" i="66"/>
  <c r="AL619" i="66"/>
  <c r="W619" i="66"/>
  <c r="S619" i="66"/>
  <c r="L619" i="66"/>
  <c r="K619" i="66"/>
  <c r="J619" i="66"/>
  <c r="AL618" i="66"/>
  <c r="AB618" i="66"/>
  <c r="AA618" i="66"/>
  <c r="Z618" i="66"/>
  <c r="Y618" i="66"/>
  <c r="X618" i="66"/>
  <c r="W618" i="66"/>
  <c r="L618" i="66"/>
  <c r="K618" i="66"/>
  <c r="J618" i="66"/>
  <c r="H618" i="66"/>
  <c r="G618" i="66"/>
  <c r="AL617" i="66"/>
  <c r="AB617" i="66"/>
  <c r="AA617" i="66"/>
  <c r="Z617" i="66"/>
  <c r="Y617" i="66"/>
  <c r="X617" i="66"/>
  <c r="W617" i="66"/>
  <c r="S617" i="66"/>
  <c r="L617" i="66"/>
  <c r="K617" i="66"/>
  <c r="J617" i="66"/>
  <c r="H617" i="66"/>
  <c r="G617" i="66"/>
  <c r="AL616" i="66"/>
  <c r="AB616" i="66"/>
  <c r="AA616" i="66"/>
  <c r="Z616" i="66"/>
  <c r="Y616" i="66"/>
  <c r="X616" i="66"/>
  <c r="W616" i="66"/>
  <c r="S616" i="66"/>
  <c r="L616" i="66"/>
  <c r="K616" i="66"/>
  <c r="J616" i="66"/>
  <c r="H616" i="66"/>
  <c r="G616" i="66"/>
  <c r="AL615" i="66"/>
  <c r="AB615" i="66"/>
  <c r="AA615" i="66"/>
  <c r="Z615" i="66"/>
  <c r="Y615" i="66"/>
  <c r="X615" i="66"/>
  <c r="W615" i="66"/>
  <c r="S615" i="66"/>
  <c r="L615" i="66"/>
  <c r="K615" i="66"/>
  <c r="J615" i="66"/>
  <c r="H615" i="66"/>
  <c r="G615" i="66"/>
  <c r="AL614" i="66"/>
  <c r="AB614" i="66"/>
  <c r="AA614" i="66"/>
  <c r="Z614" i="66"/>
  <c r="Y614" i="66"/>
  <c r="X614" i="66"/>
  <c r="W614" i="66"/>
  <c r="L614" i="66"/>
  <c r="K614" i="66"/>
  <c r="J614" i="66"/>
  <c r="H614" i="66"/>
  <c r="G614" i="66"/>
  <c r="AL613" i="66"/>
  <c r="AB613" i="66"/>
  <c r="AA613" i="66"/>
  <c r="Z613" i="66"/>
  <c r="Y613" i="66"/>
  <c r="X613" i="66"/>
  <c r="W613" i="66"/>
  <c r="S613" i="66"/>
  <c r="L613" i="66"/>
  <c r="K613" i="66"/>
  <c r="J613" i="66"/>
  <c r="H613" i="66"/>
  <c r="G613" i="66"/>
  <c r="AL612" i="66"/>
  <c r="AB612" i="66"/>
  <c r="AA612" i="66"/>
  <c r="Z612" i="66"/>
  <c r="Y612" i="66"/>
  <c r="X612" i="66"/>
  <c r="W612" i="66"/>
  <c r="L612" i="66"/>
  <c r="K612" i="66"/>
  <c r="J612" i="66"/>
  <c r="H612" i="66"/>
  <c r="G612" i="66"/>
  <c r="AL611" i="66"/>
  <c r="AB611" i="66"/>
  <c r="AA611" i="66"/>
  <c r="Z611" i="66"/>
  <c r="Y611" i="66"/>
  <c r="X611" i="66"/>
  <c r="W611" i="66"/>
  <c r="L611" i="66"/>
  <c r="K611" i="66"/>
  <c r="J611" i="66"/>
  <c r="H611" i="66"/>
  <c r="G611" i="66"/>
  <c r="AL610" i="66"/>
  <c r="AB610" i="66"/>
  <c r="AA610" i="66"/>
  <c r="Z610" i="66"/>
  <c r="Y610" i="66"/>
  <c r="X610" i="66"/>
  <c r="W610" i="66"/>
  <c r="L610" i="66"/>
  <c r="K610" i="66"/>
  <c r="J610" i="66"/>
  <c r="H610" i="66"/>
  <c r="G610" i="66"/>
  <c r="AL609" i="66"/>
  <c r="AB609" i="66"/>
  <c r="AA609" i="66"/>
  <c r="Z609" i="66"/>
  <c r="Y609" i="66"/>
  <c r="X609" i="66"/>
  <c r="W609" i="66"/>
  <c r="L609" i="66"/>
  <c r="K609" i="66"/>
  <c r="J609" i="66"/>
  <c r="H609" i="66"/>
  <c r="G609" i="66"/>
  <c r="H608" i="66"/>
  <c r="N616" i="66" s="1"/>
  <c r="G608" i="66"/>
  <c r="N615" i="66" s="1"/>
  <c r="F608" i="66"/>
  <c r="N613" i="66" s="1"/>
  <c r="L601" i="66"/>
  <c r="K601" i="66"/>
  <c r="J601" i="66"/>
  <c r="H601" i="66" s="1"/>
  <c r="Q593" i="66" s="1"/>
  <c r="F601" i="66"/>
  <c r="AL600" i="66"/>
  <c r="L600" i="66"/>
  <c r="K600" i="66"/>
  <c r="J600" i="66"/>
  <c r="AL599" i="66"/>
  <c r="L599" i="66"/>
  <c r="K599" i="66"/>
  <c r="J599" i="66"/>
  <c r="AL598" i="66"/>
  <c r="L598" i="66"/>
  <c r="K598" i="66"/>
  <c r="J598" i="66"/>
  <c r="AL597" i="66"/>
  <c r="L597" i="66"/>
  <c r="K597" i="66"/>
  <c r="J597" i="66"/>
  <c r="AL596" i="66"/>
  <c r="W596" i="66"/>
  <c r="S596" i="66"/>
  <c r="L596" i="66"/>
  <c r="K596" i="66"/>
  <c r="J596" i="66"/>
  <c r="AL595" i="66"/>
  <c r="AB595" i="66"/>
  <c r="AA595" i="66"/>
  <c r="Z595" i="66"/>
  <c r="Y595" i="66"/>
  <c r="X595" i="66"/>
  <c r="W595" i="66"/>
  <c r="L595" i="66"/>
  <c r="K595" i="66"/>
  <c r="J595" i="66"/>
  <c r="H595" i="66"/>
  <c r="G595" i="66"/>
  <c r="AL594" i="66"/>
  <c r="AB594" i="66"/>
  <c r="AA594" i="66"/>
  <c r="Z594" i="66"/>
  <c r="Y594" i="66"/>
  <c r="X594" i="66"/>
  <c r="W594" i="66"/>
  <c r="S594" i="66"/>
  <c r="L594" i="66"/>
  <c r="K594" i="66"/>
  <c r="J594" i="66"/>
  <c r="H594" i="66"/>
  <c r="G594" i="66"/>
  <c r="AL593" i="66"/>
  <c r="AB593" i="66"/>
  <c r="AA593" i="66"/>
  <c r="Z593" i="66"/>
  <c r="Y593" i="66"/>
  <c r="X593" i="66"/>
  <c r="W593" i="66"/>
  <c r="S593" i="66"/>
  <c r="L593" i="66"/>
  <c r="K593" i="66"/>
  <c r="J593" i="66"/>
  <c r="H593" i="66"/>
  <c r="G593" i="66"/>
  <c r="AL592" i="66"/>
  <c r="AB592" i="66"/>
  <c r="AA592" i="66"/>
  <c r="Z592" i="66"/>
  <c r="Y592" i="66"/>
  <c r="X592" i="66"/>
  <c r="W592" i="66"/>
  <c r="S592" i="66"/>
  <c r="L592" i="66"/>
  <c r="K592" i="66"/>
  <c r="J592" i="66"/>
  <c r="H592" i="66"/>
  <c r="G592" i="66"/>
  <c r="AL591" i="66"/>
  <c r="AB591" i="66"/>
  <c r="AA591" i="66"/>
  <c r="Z591" i="66"/>
  <c r="Y591" i="66"/>
  <c r="X591" i="66"/>
  <c r="W591" i="66"/>
  <c r="L591" i="66"/>
  <c r="K591" i="66"/>
  <c r="J591" i="66"/>
  <c r="H591" i="66"/>
  <c r="G591" i="66"/>
  <c r="AL590" i="66"/>
  <c r="AB590" i="66"/>
  <c r="AA590" i="66"/>
  <c r="Z590" i="66"/>
  <c r="Y590" i="66"/>
  <c r="X590" i="66"/>
  <c r="W590" i="66"/>
  <c r="S590" i="66"/>
  <c r="L590" i="66"/>
  <c r="K590" i="66"/>
  <c r="J590" i="66"/>
  <c r="H590" i="66"/>
  <c r="G590" i="66"/>
  <c r="AL589" i="66"/>
  <c r="AB589" i="66"/>
  <c r="AA589" i="66"/>
  <c r="Z589" i="66"/>
  <c r="Y589" i="66"/>
  <c r="X589" i="66"/>
  <c r="W589" i="66"/>
  <c r="L589" i="66"/>
  <c r="K589" i="66"/>
  <c r="J589" i="66"/>
  <c r="H589" i="66"/>
  <c r="G589" i="66"/>
  <c r="AL588" i="66"/>
  <c r="AB588" i="66"/>
  <c r="AA588" i="66"/>
  <c r="Z588" i="66"/>
  <c r="Y588" i="66"/>
  <c r="X588" i="66"/>
  <c r="W588" i="66"/>
  <c r="L588" i="66"/>
  <c r="K588" i="66"/>
  <c r="J588" i="66"/>
  <c r="H588" i="66"/>
  <c r="G588" i="66"/>
  <c r="AL587" i="66"/>
  <c r="AB587" i="66"/>
  <c r="AA587" i="66"/>
  <c r="Z587" i="66"/>
  <c r="Y587" i="66"/>
  <c r="X587" i="66"/>
  <c r="W587" i="66"/>
  <c r="L587" i="66"/>
  <c r="K587" i="66"/>
  <c r="J587" i="66"/>
  <c r="H587" i="66"/>
  <c r="G587" i="66"/>
  <c r="AL586" i="66"/>
  <c r="AB586" i="66"/>
  <c r="AA586" i="66"/>
  <c r="Z586" i="66"/>
  <c r="Y586" i="66"/>
  <c r="X586" i="66"/>
  <c r="W586" i="66"/>
  <c r="AD586" i="66" s="1"/>
  <c r="L586" i="66"/>
  <c r="K586" i="66"/>
  <c r="J586" i="66"/>
  <c r="H586" i="66"/>
  <c r="G586" i="66"/>
  <c r="H585" i="66"/>
  <c r="N593" i="66" s="1"/>
  <c r="G585" i="66"/>
  <c r="N592" i="66" s="1"/>
  <c r="F585" i="66"/>
  <c r="N590" i="66" s="1"/>
  <c r="L578" i="66"/>
  <c r="K578" i="66"/>
  <c r="Q573" i="66" s="1"/>
  <c r="J578" i="66"/>
  <c r="H578" i="66" s="1"/>
  <c r="Q570" i="66" s="1"/>
  <c r="F578" i="66"/>
  <c r="G578" i="66" s="1"/>
  <c r="AL577" i="66"/>
  <c r="L577" i="66"/>
  <c r="K577" i="66"/>
  <c r="J577" i="66"/>
  <c r="AL576" i="66"/>
  <c r="L576" i="66"/>
  <c r="K576" i="66"/>
  <c r="J576" i="66"/>
  <c r="AL575" i="66"/>
  <c r="L575" i="66"/>
  <c r="K575" i="66"/>
  <c r="J575" i="66"/>
  <c r="AL574" i="66"/>
  <c r="L574" i="66"/>
  <c r="K574" i="66"/>
  <c r="J574" i="66"/>
  <c r="AL573" i="66"/>
  <c r="W573" i="66"/>
  <c r="S573" i="66"/>
  <c r="L573" i="66"/>
  <c r="K573" i="66"/>
  <c r="J573" i="66"/>
  <c r="AL572" i="66"/>
  <c r="AB572" i="66"/>
  <c r="AA572" i="66"/>
  <c r="Z572" i="66"/>
  <c r="Y572" i="66"/>
  <c r="X572" i="66"/>
  <c r="W572" i="66"/>
  <c r="L572" i="66"/>
  <c r="K572" i="66"/>
  <c r="J572" i="66"/>
  <c r="H572" i="66"/>
  <c r="G572" i="66"/>
  <c r="AL571" i="66"/>
  <c r="AB571" i="66"/>
  <c r="AA571" i="66"/>
  <c r="Z571" i="66"/>
  <c r="Y571" i="66"/>
  <c r="X571" i="66"/>
  <c r="W571" i="66"/>
  <c r="S571" i="66"/>
  <c r="L571" i="66"/>
  <c r="K571" i="66"/>
  <c r="J571" i="66"/>
  <c r="H571" i="66"/>
  <c r="G571" i="66"/>
  <c r="AL570" i="66"/>
  <c r="AB570" i="66"/>
  <c r="AA570" i="66"/>
  <c r="Z570" i="66"/>
  <c r="Y570" i="66"/>
  <c r="X570" i="66"/>
  <c r="W570" i="66"/>
  <c r="S570" i="66"/>
  <c r="L570" i="66"/>
  <c r="K570" i="66"/>
  <c r="J570" i="66"/>
  <c r="H570" i="66"/>
  <c r="G570" i="66"/>
  <c r="AL569" i="66"/>
  <c r="AB569" i="66"/>
  <c r="AA569" i="66"/>
  <c r="Z569" i="66"/>
  <c r="Y569" i="66"/>
  <c r="X569" i="66"/>
  <c r="W569" i="66"/>
  <c r="S569" i="66"/>
  <c r="L569" i="66"/>
  <c r="K569" i="66"/>
  <c r="J569" i="66"/>
  <c r="H569" i="66"/>
  <c r="G569" i="66"/>
  <c r="AL568" i="66"/>
  <c r="AB568" i="66"/>
  <c r="AA568" i="66"/>
  <c r="Z568" i="66"/>
  <c r="Y568" i="66"/>
  <c r="X568" i="66"/>
  <c r="W568" i="66"/>
  <c r="L568" i="66"/>
  <c r="K568" i="66"/>
  <c r="J568" i="66"/>
  <c r="H568" i="66"/>
  <c r="G568" i="66"/>
  <c r="AL567" i="66"/>
  <c r="AB567" i="66"/>
  <c r="AA567" i="66"/>
  <c r="Z567" i="66"/>
  <c r="Y567" i="66"/>
  <c r="X567" i="66"/>
  <c r="W567" i="66"/>
  <c r="S567" i="66"/>
  <c r="L567" i="66"/>
  <c r="K567" i="66"/>
  <c r="J567" i="66"/>
  <c r="H567" i="66"/>
  <c r="G567" i="66"/>
  <c r="AL566" i="66"/>
  <c r="AB566" i="66"/>
  <c r="AA566" i="66"/>
  <c r="Z566" i="66"/>
  <c r="Y566" i="66"/>
  <c r="X566" i="66"/>
  <c r="W566" i="66"/>
  <c r="L566" i="66"/>
  <c r="K566" i="66"/>
  <c r="J566" i="66"/>
  <c r="H566" i="66"/>
  <c r="G566" i="66"/>
  <c r="AL565" i="66"/>
  <c r="AB565" i="66"/>
  <c r="AA565" i="66"/>
  <c r="Z565" i="66"/>
  <c r="Y565" i="66"/>
  <c r="X565" i="66"/>
  <c r="W565" i="66"/>
  <c r="L565" i="66"/>
  <c r="K565" i="66"/>
  <c r="J565" i="66"/>
  <c r="H565" i="66"/>
  <c r="G565" i="66"/>
  <c r="AL564" i="66"/>
  <c r="AB564" i="66"/>
  <c r="AA564" i="66"/>
  <c r="Z564" i="66"/>
  <c r="Y564" i="66"/>
  <c r="X564" i="66"/>
  <c r="W564" i="66"/>
  <c r="L564" i="66"/>
  <c r="K564" i="66"/>
  <c r="J564" i="66"/>
  <c r="H564" i="66"/>
  <c r="G564" i="66"/>
  <c r="AL563" i="66"/>
  <c r="AB563" i="66"/>
  <c r="AA563" i="66"/>
  <c r="Z563" i="66"/>
  <c r="Y563" i="66"/>
  <c r="X563" i="66"/>
  <c r="W563" i="66"/>
  <c r="L563" i="66"/>
  <c r="K563" i="66"/>
  <c r="J563" i="66"/>
  <c r="H563" i="66"/>
  <c r="G563" i="66"/>
  <c r="H562" i="66"/>
  <c r="N570" i="66" s="1"/>
  <c r="G562" i="66"/>
  <c r="N569" i="66" s="1"/>
  <c r="F562" i="66"/>
  <c r="N567" i="66" s="1"/>
  <c r="L555" i="66"/>
  <c r="K555" i="66"/>
  <c r="J555" i="66"/>
  <c r="H555" i="66" s="1"/>
  <c r="Q547" i="66" s="1"/>
  <c r="F555" i="66"/>
  <c r="P544" i="66" s="1"/>
  <c r="AL554" i="66"/>
  <c r="L554" i="66"/>
  <c r="K554" i="66"/>
  <c r="J554" i="66"/>
  <c r="AL553" i="66"/>
  <c r="L553" i="66"/>
  <c r="K553" i="66"/>
  <c r="J553" i="66"/>
  <c r="AL552" i="66"/>
  <c r="L552" i="66"/>
  <c r="K552" i="66"/>
  <c r="J552" i="66"/>
  <c r="AL551" i="66"/>
  <c r="L551" i="66"/>
  <c r="K551" i="66"/>
  <c r="J551" i="66"/>
  <c r="AL550" i="66"/>
  <c r="W550" i="66"/>
  <c r="S550" i="66"/>
  <c r="L550" i="66"/>
  <c r="K550" i="66"/>
  <c r="J550" i="66"/>
  <c r="AL549" i="66"/>
  <c r="AB549" i="66"/>
  <c r="AA549" i="66"/>
  <c r="Z549" i="66"/>
  <c r="Y549" i="66"/>
  <c r="X549" i="66"/>
  <c r="W549" i="66"/>
  <c r="L549" i="66"/>
  <c r="K549" i="66"/>
  <c r="J549" i="66"/>
  <c r="H549" i="66"/>
  <c r="G549" i="66"/>
  <c r="AL548" i="66"/>
  <c r="AB548" i="66"/>
  <c r="AA548" i="66"/>
  <c r="Z548" i="66"/>
  <c r="Y548" i="66"/>
  <c r="X548" i="66"/>
  <c r="W548" i="66"/>
  <c r="S548" i="66"/>
  <c r="L548" i="66"/>
  <c r="K548" i="66"/>
  <c r="J548" i="66"/>
  <c r="H548" i="66"/>
  <c r="G548" i="66"/>
  <c r="AL547" i="66"/>
  <c r="AB547" i="66"/>
  <c r="AA547" i="66"/>
  <c r="Z547" i="66"/>
  <c r="Y547" i="66"/>
  <c r="X547" i="66"/>
  <c r="W547" i="66"/>
  <c r="S547" i="66"/>
  <c r="L547" i="66"/>
  <c r="K547" i="66"/>
  <c r="J547" i="66"/>
  <c r="H547" i="66"/>
  <c r="G547" i="66"/>
  <c r="AL546" i="66"/>
  <c r="AB546" i="66"/>
  <c r="AA546" i="66"/>
  <c r="Z546" i="66"/>
  <c r="Y546" i="66"/>
  <c r="X546" i="66"/>
  <c r="W546" i="66"/>
  <c r="S546" i="66"/>
  <c r="L546" i="66"/>
  <c r="K546" i="66"/>
  <c r="J546" i="66"/>
  <c r="H546" i="66"/>
  <c r="G546" i="66"/>
  <c r="AL545" i="66"/>
  <c r="AB545" i="66"/>
  <c r="AA545" i="66"/>
  <c r="Z545" i="66"/>
  <c r="Y545" i="66"/>
  <c r="X545" i="66"/>
  <c r="W545" i="66"/>
  <c r="L545" i="66"/>
  <c r="K545" i="66"/>
  <c r="J545" i="66"/>
  <c r="H545" i="66"/>
  <c r="G545" i="66"/>
  <c r="AL544" i="66"/>
  <c r="AB544" i="66"/>
  <c r="AA544" i="66"/>
  <c r="Z544" i="66"/>
  <c r="Y544" i="66"/>
  <c r="X544" i="66"/>
  <c r="W544" i="66"/>
  <c r="S544" i="66"/>
  <c r="L544" i="66"/>
  <c r="K544" i="66"/>
  <c r="J544" i="66"/>
  <c r="H544" i="66"/>
  <c r="G544" i="66"/>
  <c r="AL543" i="66"/>
  <c r="AB543" i="66"/>
  <c r="AA543" i="66"/>
  <c r="Z543" i="66"/>
  <c r="Y543" i="66"/>
  <c r="X543" i="66"/>
  <c r="W543" i="66"/>
  <c r="L543" i="66"/>
  <c r="K543" i="66"/>
  <c r="J543" i="66"/>
  <c r="H543" i="66"/>
  <c r="G543" i="66"/>
  <c r="AL542" i="66"/>
  <c r="AB542" i="66"/>
  <c r="AA542" i="66"/>
  <c r="Z542" i="66"/>
  <c r="Y542" i="66"/>
  <c r="X542" i="66"/>
  <c r="W542" i="66"/>
  <c r="L542" i="66"/>
  <c r="K542" i="66"/>
  <c r="J542" i="66"/>
  <c r="H542" i="66"/>
  <c r="G542" i="66"/>
  <c r="AL541" i="66"/>
  <c r="AB541" i="66"/>
  <c r="AA541" i="66"/>
  <c r="Z541" i="66"/>
  <c r="Y541" i="66"/>
  <c r="X541" i="66"/>
  <c r="W541" i="66"/>
  <c r="L541" i="66"/>
  <c r="K541" i="66"/>
  <c r="J541" i="66"/>
  <c r="H541" i="66"/>
  <c r="G541" i="66"/>
  <c r="AL540" i="66"/>
  <c r="AB540" i="66"/>
  <c r="AA540" i="66"/>
  <c r="Z540" i="66"/>
  <c r="Y540" i="66"/>
  <c r="X540" i="66"/>
  <c r="W540" i="66"/>
  <c r="AD540" i="66" s="1"/>
  <c r="L540" i="66"/>
  <c r="K540" i="66"/>
  <c r="J540" i="66"/>
  <c r="H540" i="66"/>
  <c r="G540" i="66"/>
  <c r="H539" i="66"/>
  <c r="N547" i="66" s="1"/>
  <c r="G539" i="66"/>
  <c r="N546" i="66" s="1"/>
  <c r="F539" i="66"/>
  <c r="N544" i="66" s="1"/>
  <c r="L532" i="66"/>
  <c r="K532" i="66"/>
  <c r="Q527" i="66" s="1"/>
  <c r="J532" i="66"/>
  <c r="H532" i="66" s="1"/>
  <c r="Q524" i="66" s="1"/>
  <c r="F532" i="66"/>
  <c r="G532" i="66" s="1"/>
  <c r="Q523" i="66" s="1"/>
  <c r="AL531" i="66"/>
  <c r="L531" i="66"/>
  <c r="K531" i="66"/>
  <c r="J531" i="66"/>
  <c r="AL530" i="66"/>
  <c r="L530" i="66"/>
  <c r="K530" i="66"/>
  <c r="J530" i="66"/>
  <c r="AL529" i="66"/>
  <c r="L529" i="66"/>
  <c r="K529" i="66"/>
  <c r="J529" i="66"/>
  <c r="AL528" i="66"/>
  <c r="L528" i="66"/>
  <c r="K528" i="66"/>
  <c r="J528" i="66"/>
  <c r="AL527" i="66"/>
  <c r="W527" i="66"/>
  <c r="S527" i="66"/>
  <c r="L527" i="66"/>
  <c r="K527" i="66"/>
  <c r="J527" i="66"/>
  <c r="AL526" i="66"/>
  <c r="AB526" i="66"/>
  <c r="AA526" i="66"/>
  <c r="Z526" i="66"/>
  <c r="Y526" i="66"/>
  <c r="X526" i="66"/>
  <c r="W526" i="66"/>
  <c r="L526" i="66"/>
  <c r="K526" i="66"/>
  <c r="J526" i="66"/>
  <c r="H526" i="66"/>
  <c r="G526" i="66"/>
  <c r="AL525" i="66"/>
  <c r="AB525" i="66"/>
  <c r="AA525" i="66"/>
  <c r="Z525" i="66"/>
  <c r="Y525" i="66"/>
  <c r="X525" i="66"/>
  <c r="W525" i="66"/>
  <c r="S525" i="66"/>
  <c r="L525" i="66"/>
  <c r="K525" i="66"/>
  <c r="J525" i="66"/>
  <c r="H525" i="66"/>
  <c r="G525" i="66"/>
  <c r="AL524" i="66"/>
  <c r="AB524" i="66"/>
  <c r="AA524" i="66"/>
  <c r="Z524" i="66"/>
  <c r="Y524" i="66"/>
  <c r="X524" i="66"/>
  <c r="W524" i="66"/>
  <c r="S524" i="66"/>
  <c r="L524" i="66"/>
  <c r="K524" i="66"/>
  <c r="J524" i="66"/>
  <c r="H524" i="66"/>
  <c r="G524" i="66"/>
  <c r="AL523" i="66"/>
  <c r="AB523" i="66"/>
  <c r="AA523" i="66"/>
  <c r="Z523" i="66"/>
  <c r="Y523" i="66"/>
  <c r="X523" i="66"/>
  <c r="W523" i="66"/>
  <c r="S523" i="66"/>
  <c r="L523" i="66"/>
  <c r="K523" i="66"/>
  <c r="J523" i="66"/>
  <c r="H523" i="66"/>
  <c r="G523" i="66"/>
  <c r="AL522" i="66"/>
  <c r="AB522" i="66"/>
  <c r="AA522" i="66"/>
  <c r="Z522" i="66"/>
  <c r="Y522" i="66"/>
  <c r="X522" i="66"/>
  <c r="W522" i="66"/>
  <c r="L522" i="66"/>
  <c r="K522" i="66"/>
  <c r="J522" i="66"/>
  <c r="H522" i="66"/>
  <c r="G522" i="66"/>
  <c r="AL521" i="66"/>
  <c r="AB521" i="66"/>
  <c r="AA521" i="66"/>
  <c r="Z521" i="66"/>
  <c r="Y521" i="66"/>
  <c r="X521" i="66"/>
  <c r="W521" i="66"/>
  <c r="S521" i="66"/>
  <c r="L521" i="66"/>
  <c r="K521" i="66"/>
  <c r="J521" i="66"/>
  <c r="H521" i="66"/>
  <c r="G521" i="66"/>
  <c r="AL520" i="66"/>
  <c r="AB520" i="66"/>
  <c r="AA520" i="66"/>
  <c r="Z520" i="66"/>
  <c r="Y520" i="66"/>
  <c r="X520" i="66"/>
  <c r="W520" i="66"/>
  <c r="L520" i="66"/>
  <c r="K520" i="66"/>
  <c r="J520" i="66"/>
  <c r="H520" i="66"/>
  <c r="G520" i="66"/>
  <c r="AL519" i="66"/>
  <c r="AB519" i="66"/>
  <c r="AA519" i="66"/>
  <c r="Z519" i="66"/>
  <c r="Y519" i="66"/>
  <c r="X519" i="66"/>
  <c r="W519" i="66"/>
  <c r="L519" i="66"/>
  <c r="K519" i="66"/>
  <c r="J519" i="66"/>
  <c r="H519" i="66"/>
  <c r="G519" i="66"/>
  <c r="AL518" i="66"/>
  <c r="AB518" i="66"/>
  <c r="AA518" i="66"/>
  <c r="Z518" i="66"/>
  <c r="Y518" i="66"/>
  <c r="X518" i="66"/>
  <c r="W518" i="66"/>
  <c r="L518" i="66"/>
  <c r="K518" i="66"/>
  <c r="J518" i="66"/>
  <c r="H518" i="66"/>
  <c r="G518" i="66"/>
  <c r="AL517" i="66"/>
  <c r="AB517" i="66"/>
  <c r="AA517" i="66"/>
  <c r="Z517" i="66"/>
  <c r="Y517" i="66"/>
  <c r="X517" i="66"/>
  <c r="W517" i="66"/>
  <c r="AD517" i="66" s="1"/>
  <c r="L517" i="66"/>
  <c r="K517" i="66"/>
  <c r="J517" i="66"/>
  <c r="H517" i="66"/>
  <c r="G517" i="66"/>
  <c r="H516" i="66"/>
  <c r="N524" i="66" s="1"/>
  <c r="G516" i="66"/>
  <c r="N523" i="66" s="1"/>
  <c r="F516" i="66"/>
  <c r="N521" i="66" s="1"/>
  <c r="L509" i="66"/>
  <c r="K509" i="66"/>
  <c r="J509" i="66"/>
  <c r="H509" i="66" s="1"/>
  <c r="Q501" i="66" s="1"/>
  <c r="F509" i="66"/>
  <c r="G509" i="66" s="1"/>
  <c r="Q500" i="66" s="1"/>
  <c r="AL508" i="66"/>
  <c r="L508" i="66"/>
  <c r="K508" i="66"/>
  <c r="J508" i="66"/>
  <c r="AL507" i="66"/>
  <c r="L507" i="66"/>
  <c r="K507" i="66"/>
  <c r="J507" i="66"/>
  <c r="AL506" i="66"/>
  <c r="L506" i="66"/>
  <c r="K506" i="66"/>
  <c r="J506" i="66"/>
  <c r="AL505" i="66"/>
  <c r="L505" i="66"/>
  <c r="K505" i="66"/>
  <c r="J505" i="66"/>
  <c r="AL504" i="66"/>
  <c r="W504" i="66"/>
  <c r="S504" i="66"/>
  <c r="L504" i="66"/>
  <c r="K504" i="66"/>
  <c r="J504" i="66"/>
  <c r="AL503" i="66"/>
  <c r="AB503" i="66"/>
  <c r="AA503" i="66"/>
  <c r="Z503" i="66"/>
  <c r="Y503" i="66"/>
  <c r="X503" i="66"/>
  <c r="W503" i="66"/>
  <c r="L503" i="66"/>
  <c r="K503" i="66"/>
  <c r="J503" i="66"/>
  <c r="H503" i="66"/>
  <c r="G503" i="66"/>
  <c r="AL502" i="66"/>
  <c r="AB502" i="66"/>
  <c r="AA502" i="66"/>
  <c r="Z502" i="66"/>
  <c r="Y502" i="66"/>
  <c r="X502" i="66"/>
  <c r="W502" i="66"/>
  <c r="S502" i="66"/>
  <c r="L502" i="66"/>
  <c r="K502" i="66"/>
  <c r="J502" i="66"/>
  <c r="H502" i="66"/>
  <c r="G502" i="66"/>
  <c r="AL501" i="66"/>
  <c r="AB501" i="66"/>
  <c r="AA501" i="66"/>
  <c r="Z501" i="66"/>
  <c r="Y501" i="66"/>
  <c r="X501" i="66"/>
  <c r="W501" i="66"/>
  <c r="S501" i="66"/>
  <c r="L501" i="66"/>
  <c r="K501" i="66"/>
  <c r="J501" i="66"/>
  <c r="H501" i="66"/>
  <c r="G501" i="66"/>
  <c r="AL500" i="66"/>
  <c r="AB500" i="66"/>
  <c r="AA500" i="66"/>
  <c r="Z500" i="66"/>
  <c r="Y500" i="66"/>
  <c r="X500" i="66"/>
  <c r="W500" i="66"/>
  <c r="S500" i="66"/>
  <c r="L500" i="66"/>
  <c r="K500" i="66"/>
  <c r="J500" i="66"/>
  <c r="H500" i="66"/>
  <c r="G500" i="66"/>
  <c r="AL499" i="66"/>
  <c r="AB499" i="66"/>
  <c r="AA499" i="66"/>
  <c r="Z499" i="66"/>
  <c r="Y499" i="66"/>
  <c r="X499" i="66"/>
  <c r="W499" i="66"/>
  <c r="L499" i="66"/>
  <c r="K499" i="66"/>
  <c r="J499" i="66"/>
  <c r="H499" i="66"/>
  <c r="G499" i="66"/>
  <c r="AL498" i="66"/>
  <c r="AB498" i="66"/>
  <c r="AA498" i="66"/>
  <c r="Z498" i="66"/>
  <c r="Y498" i="66"/>
  <c r="X498" i="66"/>
  <c r="W498" i="66"/>
  <c r="S498" i="66"/>
  <c r="L498" i="66"/>
  <c r="K498" i="66"/>
  <c r="J498" i="66"/>
  <c r="H498" i="66"/>
  <c r="G498" i="66"/>
  <c r="AL497" i="66"/>
  <c r="AB497" i="66"/>
  <c r="AA497" i="66"/>
  <c r="Z497" i="66"/>
  <c r="Y497" i="66"/>
  <c r="X497" i="66"/>
  <c r="W497" i="66"/>
  <c r="L497" i="66"/>
  <c r="K497" i="66"/>
  <c r="J497" i="66"/>
  <c r="H497" i="66"/>
  <c r="G497" i="66"/>
  <c r="AL496" i="66"/>
  <c r="AB496" i="66"/>
  <c r="AA496" i="66"/>
  <c r="Z496" i="66"/>
  <c r="Y496" i="66"/>
  <c r="X496" i="66"/>
  <c r="W496" i="66"/>
  <c r="L496" i="66"/>
  <c r="K496" i="66"/>
  <c r="J496" i="66"/>
  <c r="H496" i="66"/>
  <c r="G496" i="66"/>
  <c r="AL495" i="66"/>
  <c r="AB495" i="66"/>
  <c r="AA495" i="66"/>
  <c r="Z495" i="66"/>
  <c r="Y495" i="66"/>
  <c r="X495" i="66"/>
  <c r="W495" i="66"/>
  <c r="L495" i="66"/>
  <c r="K495" i="66"/>
  <c r="J495" i="66"/>
  <c r="H495" i="66"/>
  <c r="G495" i="66"/>
  <c r="AL494" i="66"/>
  <c r="AB494" i="66"/>
  <c r="AA494" i="66"/>
  <c r="Z494" i="66"/>
  <c r="Y494" i="66"/>
  <c r="X494" i="66"/>
  <c r="W494" i="66"/>
  <c r="L494" i="66"/>
  <c r="K494" i="66"/>
  <c r="J494" i="66"/>
  <c r="H494" i="66"/>
  <c r="G494" i="66"/>
  <c r="H493" i="66"/>
  <c r="N501" i="66" s="1"/>
  <c r="G493" i="66"/>
  <c r="N500" i="66" s="1"/>
  <c r="F493" i="66"/>
  <c r="N498" i="66" s="1"/>
  <c r="L486" i="66"/>
  <c r="K486" i="66"/>
  <c r="J486" i="66"/>
  <c r="H486" i="66" s="1"/>
  <c r="Q478" i="66" s="1"/>
  <c r="F486" i="66"/>
  <c r="P475" i="66" s="1"/>
  <c r="AL485" i="66"/>
  <c r="L485" i="66"/>
  <c r="K485" i="66"/>
  <c r="J485" i="66"/>
  <c r="AL484" i="66"/>
  <c r="L484" i="66"/>
  <c r="K484" i="66"/>
  <c r="J484" i="66"/>
  <c r="AL483" i="66"/>
  <c r="L483" i="66"/>
  <c r="K483" i="66"/>
  <c r="J483" i="66"/>
  <c r="AL482" i="66"/>
  <c r="L482" i="66"/>
  <c r="K482" i="66"/>
  <c r="J482" i="66"/>
  <c r="AL481" i="66"/>
  <c r="W481" i="66"/>
  <c r="S481" i="66"/>
  <c r="L481" i="66"/>
  <c r="K481" i="66"/>
  <c r="J481" i="66"/>
  <c r="AL480" i="66"/>
  <c r="AB480" i="66"/>
  <c r="AA480" i="66"/>
  <c r="Z480" i="66"/>
  <c r="Y480" i="66"/>
  <c r="X480" i="66"/>
  <c r="W480" i="66"/>
  <c r="L480" i="66"/>
  <c r="K480" i="66"/>
  <c r="J480" i="66"/>
  <c r="H480" i="66"/>
  <c r="G480" i="66"/>
  <c r="AL479" i="66"/>
  <c r="AB479" i="66"/>
  <c r="AA479" i="66"/>
  <c r="Z479" i="66"/>
  <c r="Y479" i="66"/>
  <c r="X479" i="66"/>
  <c r="W479" i="66"/>
  <c r="S479" i="66"/>
  <c r="L479" i="66"/>
  <c r="K479" i="66"/>
  <c r="J479" i="66"/>
  <c r="H479" i="66"/>
  <c r="G479" i="66"/>
  <c r="AL478" i="66"/>
  <c r="AB478" i="66"/>
  <c r="AA478" i="66"/>
  <c r="Z478" i="66"/>
  <c r="Y478" i="66"/>
  <c r="X478" i="66"/>
  <c r="W478" i="66"/>
  <c r="S478" i="66"/>
  <c r="L478" i="66"/>
  <c r="K478" i="66"/>
  <c r="J478" i="66"/>
  <c r="H478" i="66"/>
  <c r="G478" i="66"/>
  <c r="AL477" i="66"/>
  <c r="AB477" i="66"/>
  <c r="AA477" i="66"/>
  <c r="Z477" i="66"/>
  <c r="Y477" i="66"/>
  <c r="X477" i="66"/>
  <c r="W477" i="66"/>
  <c r="S477" i="66"/>
  <c r="L477" i="66"/>
  <c r="K477" i="66"/>
  <c r="J477" i="66"/>
  <c r="H477" i="66"/>
  <c r="G477" i="66"/>
  <c r="AL476" i="66"/>
  <c r="AB476" i="66"/>
  <c r="AA476" i="66"/>
  <c r="Z476" i="66"/>
  <c r="Y476" i="66"/>
  <c r="X476" i="66"/>
  <c r="W476" i="66"/>
  <c r="L476" i="66"/>
  <c r="K476" i="66"/>
  <c r="J476" i="66"/>
  <c r="H476" i="66"/>
  <c r="G476" i="66"/>
  <c r="AL475" i="66"/>
  <c r="AB475" i="66"/>
  <c r="AA475" i="66"/>
  <c r="Z475" i="66"/>
  <c r="Y475" i="66"/>
  <c r="X475" i="66"/>
  <c r="W475" i="66"/>
  <c r="S475" i="66"/>
  <c r="L475" i="66"/>
  <c r="K475" i="66"/>
  <c r="J475" i="66"/>
  <c r="H475" i="66"/>
  <c r="G475" i="66"/>
  <c r="AL474" i="66"/>
  <c r="AB474" i="66"/>
  <c r="AA474" i="66"/>
  <c r="Z474" i="66"/>
  <c r="Y474" i="66"/>
  <c r="X474" i="66"/>
  <c r="W474" i="66"/>
  <c r="L474" i="66"/>
  <c r="K474" i="66"/>
  <c r="J474" i="66"/>
  <c r="H474" i="66"/>
  <c r="G474" i="66"/>
  <c r="AL473" i="66"/>
  <c r="AB473" i="66"/>
  <c r="AA473" i="66"/>
  <c r="Z473" i="66"/>
  <c r="Y473" i="66"/>
  <c r="X473" i="66"/>
  <c r="W473" i="66"/>
  <c r="L473" i="66"/>
  <c r="K473" i="66"/>
  <c r="J473" i="66"/>
  <c r="H473" i="66"/>
  <c r="G473" i="66"/>
  <c r="AL472" i="66"/>
  <c r="AB472" i="66"/>
  <c r="AA472" i="66"/>
  <c r="Z472" i="66"/>
  <c r="Y472" i="66"/>
  <c r="X472" i="66"/>
  <c r="W472" i="66"/>
  <c r="L472" i="66"/>
  <c r="K472" i="66"/>
  <c r="J472" i="66"/>
  <c r="H472" i="66"/>
  <c r="G472" i="66"/>
  <c r="AL471" i="66"/>
  <c r="AB471" i="66"/>
  <c r="AA471" i="66"/>
  <c r="Z471" i="66"/>
  <c r="Y471" i="66"/>
  <c r="X471" i="66"/>
  <c r="W471" i="66"/>
  <c r="AD471" i="66" s="1"/>
  <c r="L471" i="66"/>
  <c r="K471" i="66"/>
  <c r="J471" i="66"/>
  <c r="H471" i="66"/>
  <c r="G471" i="66"/>
  <c r="H470" i="66"/>
  <c r="N478" i="66" s="1"/>
  <c r="G470" i="66"/>
  <c r="N477" i="66" s="1"/>
  <c r="F470" i="66"/>
  <c r="N475" i="66" s="1"/>
  <c r="L463" i="66"/>
  <c r="K463" i="66"/>
  <c r="J463" i="66"/>
  <c r="H463" i="66" s="1"/>
  <c r="Q455" i="66" s="1"/>
  <c r="F463" i="66"/>
  <c r="G463" i="66" s="1"/>
  <c r="Q454" i="66" s="1"/>
  <c r="AL462" i="66"/>
  <c r="L462" i="66"/>
  <c r="K462" i="66"/>
  <c r="J462" i="66"/>
  <c r="AL461" i="66"/>
  <c r="L461" i="66"/>
  <c r="K461" i="66"/>
  <c r="J461" i="66"/>
  <c r="AL460" i="66"/>
  <c r="L460" i="66"/>
  <c r="K460" i="66"/>
  <c r="J460" i="66"/>
  <c r="AL459" i="66"/>
  <c r="L459" i="66"/>
  <c r="K459" i="66"/>
  <c r="J459" i="66"/>
  <c r="AL458" i="66"/>
  <c r="W458" i="66"/>
  <c r="S458" i="66"/>
  <c r="L458" i="66"/>
  <c r="K458" i="66"/>
  <c r="J458" i="66"/>
  <c r="AL457" i="66"/>
  <c r="AB457" i="66"/>
  <c r="AA457" i="66"/>
  <c r="Z457" i="66"/>
  <c r="Y457" i="66"/>
  <c r="X457" i="66"/>
  <c r="W457" i="66"/>
  <c r="L457" i="66"/>
  <c r="K457" i="66"/>
  <c r="J457" i="66"/>
  <c r="H457" i="66"/>
  <c r="G457" i="66"/>
  <c r="AL456" i="66"/>
  <c r="AB456" i="66"/>
  <c r="AA456" i="66"/>
  <c r="Z456" i="66"/>
  <c r="Y456" i="66"/>
  <c r="X456" i="66"/>
  <c r="W456" i="66"/>
  <c r="S456" i="66"/>
  <c r="L456" i="66"/>
  <c r="K456" i="66"/>
  <c r="J456" i="66"/>
  <c r="H456" i="66"/>
  <c r="G456" i="66"/>
  <c r="AL455" i="66"/>
  <c r="AB455" i="66"/>
  <c r="AA455" i="66"/>
  <c r="Z455" i="66"/>
  <c r="Y455" i="66"/>
  <c r="X455" i="66"/>
  <c r="W455" i="66"/>
  <c r="S455" i="66"/>
  <c r="L455" i="66"/>
  <c r="K455" i="66"/>
  <c r="J455" i="66"/>
  <c r="H455" i="66"/>
  <c r="G455" i="66"/>
  <c r="AL454" i="66"/>
  <c r="AB454" i="66"/>
  <c r="AA454" i="66"/>
  <c r="Z454" i="66"/>
  <c r="Y454" i="66"/>
  <c r="X454" i="66"/>
  <c r="W454" i="66"/>
  <c r="S454" i="66"/>
  <c r="L454" i="66"/>
  <c r="K454" i="66"/>
  <c r="J454" i="66"/>
  <c r="H454" i="66"/>
  <c r="G454" i="66"/>
  <c r="AL453" i="66"/>
  <c r="AB453" i="66"/>
  <c r="AA453" i="66"/>
  <c r="Z453" i="66"/>
  <c r="Y453" i="66"/>
  <c r="X453" i="66"/>
  <c r="W453" i="66"/>
  <c r="L453" i="66"/>
  <c r="K453" i="66"/>
  <c r="J453" i="66"/>
  <c r="H453" i="66"/>
  <c r="G453" i="66"/>
  <c r="AL452" i="66"/>
  <c r="AB452" i="66"/>
  <c r="AA452" i="66"/>
  <c r="Z452" i="66"/>
  <c r="Y452" i="66"/>
  <c r="X452" i="66"/>
  <c r="W452" i="66"/>
  <c r="S452" i="66"/>
  <c r="L452" i="66"/>
  <c r="K452" i="66"/>
  <c r="J452" i="66"/>
  <c r="H452" i="66"/>
  <c r="G452" i="66"/>
  <c r="AL451" i="66"/>
  <c r="AB451" i="66"/>
  <c r="AA451" i="66"/>
  <c r="Z451" i="66"/>
  <c r="Y451" i="66"/>
  <c r="X451" i="66"/>
  <c r="W451" i="66"/>
  <c r="L451" i="66"/>
  <c r="K451" i="66"/>
  <c r="J451" i="66"/>
  <c r="H451" i="66"/>
  <c r="G451" i="66"/>
  <c r="AL450" i="66"/>
  <c r="AB450" i="66"/>
  <c r="AA450" i="66"/>
  <c r="Z450" i="66"/>
  <c r="Y450" i="66"/>
  <c r="X450" i="66"/>
  <c r="W450" i="66"/>
  <c r="L450" i="66"/>
  <c r="K450" i="66"/>
  <c r="J450" i="66"/>
  <c r="H450" i="66"/>
  <c r="G450" i="66"/>
  <c r="AL449" i="66"/>
  <c r="AB449" i="66"/>
  <c r="AA449" i="66"/>
  <c r="Z449" i="66"/>
  <c r="Y449" i="66"/>
  <c r="X449" i="66"/>
  <c r="W449" i="66"/>
  <c r="L449" i="66"/>
  <c r="K449" i="66"/>
  <c r="J449" i="66"/>
  <c r="H449" i="66"/>
  <c r="G449" i="66"/>
  <c r="AL448" i="66"/>
  <c r="AB448" i="66"/>
  <c r="AA448" i="66"/>
  <c r="Z448" i="66"/>
  <c r="Y448" i="66"/>
  <c r="X448" i="66"/>
  <c r="W448" i="66"/>
  <c r="L448" i="66"/>
  <c r="K448" i="66"/>
  <c r="J448" i="66"/>
  <c r="H448" i="66"/>
  <c r="G448" i="66"/>
  <c r="H447" i="66"/>
  <c r="N455" i="66" s="1"/>
  <c r="G447" i="66"/>
  <c r="N454" i="66" s="1"/>
  <c r="F447" i="66"/>
  <c r="N452" i="66" s="1"/>
  <c r="L440" i="66"/>
  <c r="K440" i="66"/>
  <c r="J440" i="66"/>
  <c r="H440" i="66" s="1"/>
  <c r="Q432" i="66" s="1"/>
  <c r="F440" i="66"/>
  <c r="G440" i="66" s="1"/>
  <c r="AL439" i="66"/>
  <c r="L439" i="66"/>
  <c r="K439" i="66"/>
  <c r="J439" i="66"/>
  <c r="AL438" i="66"/>
  <c r="L438" i="66"/>
  <c r="K438" i="66"/>
  <c r="J438" i="66"/>
  <c r="AL437" i="66"/>
  <c r="L437" i="66"/>
  <c r="K437" i="66"/>
  <c r="J437" i="66"/>
  <c r="AL436" i="66"/>
  <c r="L436" i="66"/>
  <c r="K436" i="66"/>
  <c r="J436" i="66"/>
  <c r="AL435" i="66"/>
  <c r="W435" i="66"/>
  <c r="S435" i="66"/>
  <c r="L435" i="66"/>
  <c r="K435" i="66"/>
  <c r="J435" i="66"/>
  <c r="AL434" i="66"/>
  <c r="AB434" i="66"/>
  <c r="AA434" i="66"/>
  <c r="Z434" i="66"/>
  <c r="Y434" i="66"/>
  <c r="X434" i="66"/>
  <c r="W434" i="66"/>
  <c r="L434" i="66"/>
  <c r="K434" i="66"/>
  <c r="J434" i="66"/>
  <c r="H434" i="66"/>
  <c r="G434" i="66"/>
  <c r="AL433" i="66"/>
  <c r="AB433" i="66"/>
  <c r="AA433" i="66"/>
  <c r="Z433" i="66"/>
  <c r="Y433" i="66"/>
  <c r="X433" i="66"/>
  <c r="W433" i="66"/>
  <c r="S433" i="66"/>
  <c r="L433" i="66"/>
  <c r="K433" i="66"/>
  <c r="J433" i="66"/>
  <c r="H433" i="66"/>
  <c r="G433" i="66"/>
  <c r="AL432" i="66"/>
  <c r="AB432" i="66"/>
  <c r="AA432" i="66"/>
  <c r="Z432" i="66"/>
  <c r="Y432" i="66"/>
  <c r="X432" i="66"/>
  <c r="W432" i="66"/>
  <c r="S432" i="66"/>
  <c r="L432" i="66"/>
  <c r="K432" i="66"/>
  <c r="J432" i="66"/>
  <c r="H432" i="66"/>
  <c r="G432" i="66"/>
  <c r="AL431" i="66"/>
  <c r="AB431" i="66"/>
  <c r="AA431" i="66"/>
  <c r="Z431" i="66"/>
  <c r="Y431" i="66"/>
  <c r="X431" i="66"/>
  <c r="W431" i="66"/>
  <c r="S431" i="66"/>
  <c r="L431" i="66"/>
  <c r="K431" i="66"/>
  <c r="J431" i="66"/>
  <c r="H431" i="66"/>
  <c r="G431" i="66"/>
  <c r="AL430" i="66"/>
  <c r="AB430" i="66"/>
  <c r="AA430" i="66"/>
  <c r="Z430" i="66"/>
  <c r="Y430" i="66"/>
  <c r="X430" i="66"/>
  <c r="W430" i="66"/>
  <c r="L430" i="66"/>
  <c r="K430" i="66"/>
  <c r="J430" i="66"/>
  <c r="H430" i="66"/>
  <c r="G430" i="66"/>
  <c r="AL429" i="66"/>
  <c r="AB429" i="66"/>
  <c r="AA429" i="66"/>
  <c r="Z429" i="66"/>
  <c r="Y429" i="66"/>
  <c r="X429" i="66"/>
  <c r="W429" i="66"/>
  <c r="S429" i="66"/>
  <c r="L429" i="66"/>
  <c r="K429" i="66"/>
  <c r="J429" i="66"/>
  <c r="H429" i="66"/>
  <c r="G429" i="66"/>
  <c r="AL428" i="66"/>
  <c r="AB428" i="66"/>
  <c r="AA428" i="66"/>
  <c r="Z428" i="66"/>
  <c r="Y428" i="66"/>
  <c r="X428" i="66"/>
  <c r="W428" i="66"/>
  <c r="L428" i="66"/>
  <c r="K428" i="66"/>
  <c r="J428" i="66"/>
  <c r="H428" i="66"/>
  <c r="G428" i="66"/>
  <c r="AL427" i="66"/>
  <c r="AB427" i="66"/>
  <c r="AA427" i="66"/>
  <c r="Z427" i="66"/>
  <c r="Y427" i="66"/>
  <c r="X427" i="66"/>
  <c r="W427" i="66"/>
  <c r="L427" i="66"/>
  <c r="K427" i="66"/>
  <c r="J427" i="66"/>
  <c r="H427" i="66"/>
  <c r="G427" i="66"/>
  <c r="AL426" i="66"/>
  <c r="AB426" i="66"/>
  <c r="AA426" i="66"/>
  <c r="Z426" i="66"/>
  <c r="Y426" i="66"/>
  <c r="X426" i="66"/>
  <c r="W426" i="66"/>
  <c r="L426" i="66"/>
  <c r="K426" i="66"/>
  <c r="J426" i="66"/>
  <c r="H426" i="66"/>
  <c r="G426" i="66"/>
  <c r="AL425" i="66"/>
  <c r="AB425" i="66"/>
  <c r="AA425" i="66"/>
  <c r="Z425" i="66"/>
  <c r="Y425" i="66"/>
  <c r="X425" i="66"/>
  <c r="W425" i="66"/>
  <c r="AD425" i="66" s="1"/>
  <c r="L425" i="66"/>
  <c r="K425" i="66"/>
  <c r="J425" i="66"/>
  <c r="H425" i="66"/>
  <c r="G425" i="66"/>
  <c r="H424" i="66"/>
  <c r="N432" i="66" s="1"/>
  <c r="G424" i="66"/>
  <c r="N431" i="66" s="1"/>
  <c r="F424" i="66"/>
  <c r="N429" i="66" s="1"/>
  <c r="L417" i="66"/>
  <c r="K417" i="66"/>
  <c r="J417" i="66"/>
  <c r="H417" i="66" s="1"/>
  <c r="Q409" i="66" s="1"/>
  <c r="F417" i="66"/>
  <c r="G417" i="66" s="1"/>
  <c r="Q408" i="66" s="1"/>
  <c r="AL416" i="66"/>
  <c r="L416" i="66"/>
  <c r="K416" i="66"/>
  <c r="J416" i="66"/>
  <c r="AL415" i="66"/>
  <c r="L415" i="66"/>
  <c r="K415" i="66"/>
  <c r="J415" i="66"/>
  <c r="AL414" i="66"/>
  <c r="L414" i="66"/>
  <c r="K414" i="66"/>
  <c r="J414" i="66"/>
  <c r="AL413" i="66"/>
  <c r="L413" i="66"/>
  <c r="K413" i="66"/>
  <c r="J413" i="66"/>
  <c r="AL412" i="66"/>
  <c r="W412" i="66"/>
  <c r="S412" i="66"/>
  <c r="L412" i="66"/>
  <c r="K412" i="66"/>
  <c r="J412" i="66"/>
  <c r="AL411" i="66"/>
  <c r="AB411" i="66"/>
  <c r="AA411" i="66"/>
  <c r="Z411" i="66"/>
  <c r="Y411" i="66"/>
  <c r="X411" i="66"/>
  <c r="W411" i="66"/>
  <c r="L411" i="66"/>
  <c r="K411" i="66"/>
  <c r="J411" i="66"/>
  <c r="H411" i="66"/>
  <c r="G411" i="66"/>
  <c r="AL410" i="66"/>
  <c r="AB410" i="66"/>
  <c r="AA410" i="66"/>
  <c r="Z410" i="66"/>
  <c r="Y410" i="66"/>
  <c r="X410" i="66"/>
  <c r="W410" i="66"/>
  <c r="S410" i="66"/>
  <c r="L410" i="66"/>
  <c r="K410" i="66"/>
  <c r="J410" i="66"/>
  <c r="H410" i="66"/>
  <c r="G410" i="66"/>
  <c r="AL409" i="66"/>
  <c r="AB409" i="66"/>
  <c r="AA409" i="66"/>
  <c r="Z409" i="66"/>
  <c r="Y409" i="66"/>
  <c r="X409" i="66"/>
  <c r="W409" i="66"/>
  <c r="S409" i="66"/>
  <c r="L409" i="66"/>
  <c r="K409" i="66"/>
  <c r="J409" i="66"/>
  <c r="H409" i="66"/>
  <c r="G409" i="66"/>
  <c r="AL408" i="66"/>
  <c r="AB408" i="66"/>
  <c r="AA408" i="66"/>
  <c r="Z408" i="66"/>
  <c r="Y408" i="66"/>
  <c r="X408" i="66"/>
  <c r="W408" i="66"/>
  <c r="S408" i="66"/>
  <c r="L408" i="66"/>
  <c r="K408" i="66"/>
  <c r="J408" i="66"/>
  <c r="H408" i="66"/>
  <c r="G408" i="66"/>
  <c r="AL407" i="66"/>
  <c r="AB407" i="66"/>
  <c r="AA407" i="66"/>
  <c r="Z407" i="66"/>
  <c r="Y407" i="66"/>
  <c r="X407" i="66"/>
  <c r="W407" i="66"/>
  <c r="L407" i="66"/>
  <c r="K407" i="66"/>
  <c r="J407" i="66"/>
  <c r="H407" i="66"/>
  <c r="G407" i="66"/>
  <c r="AL406" i="66"/>
  <c r="AB406" i="66"/>
  <c r="AA406" i="66"/>
  <c r="Z406" i="66"/>
  <c r="Y406" i="66"/>
  <c r="X406" i="66"/>
  <c r="W406" i="66"/>
  <c r="S406" i="66"/>
  <c r="L406" i="66"/>
  <c r="K406" i="66"/>
  <c r="J406" i="66"/>
  <c r="H406" i="66"/>
  <c r="G406" i="66"/>
  <c r="AL405" i="66"/>
  <c r="AB405" i="66"/>
  <c r="AA405" i="66"/>
  <c r="Z405" i="66"/>
  <c r="Y405" i="66"/>
  <c r="X405" i="66"/>
  <c r="W405" i="66"/>
  <c r="L405" i="66"/>
  <c r="K405" i="66"/>
  <c r="J405" i="66"/>
  <c r="H405" i="66"/>
  <c r="G405" i="66"/>
  <c r="AL404" i="66"/>
  <c r="AB404" i="66"/>
  <c r="AA404" i="66"/>
  <c r="Z404" i="66"/>
  <c r="Y404" i="66"/>
  <c r="X404" i="66"/>
  <c r="W404" i="66"/>
  <c r="L404" i="66"/>
  <c r="K404" i="66"/>
  <c r="J404" i="66"/>
  <c r="H404" i="66"/>
  <c r="G404" i="66"/>
  <c r="AL403" i="66"/>
  <c r="AB403" i="66"/>
  <c r="AA403" i="66"/>
  <c r="Z403" i="66"/>
  <c r="Y403" i="66"/>
  <c r="X403" i="66"/>
  <c r="W403" i="66"/>
  <c r="L403" i="66"/>
  <c r="K403" i="66"/>
  <c r="J403" i="66"/>
  <c r="H403" i="66"/>
  <c r="G403" i="66"/>
  <c r="AL402" i="66"/>
  <c r="AB402" i="66"/>
  <c r="AA402" i="66"/>
  <c r="Z402" i="66"/>
  <c r="Y402" i="66"/>
  <c r="X402" i="66"/>
  <c r="W402" i="66"/>
  <c r="L402" i="66"/>
  <c r="K402" i="66"/>
  <c r="J402" i="66"/>
  <c r="H402" i="66"/>
  <c r="G402" i="66"/>
  <c r="H401" i="66"/>
  <c r="N409" i="66" s="1"/>
  <c r="G401" i="66"/>
  <c r="N408" i="66" s="1"/>
  <c r="F401" i="66"/>
  <c r="N406" i="66" s="1"/>
  <c r="L394" i="66"/>
  <c r="K394" i="66"/>
  <c r="Q389" i="66" s="1"/>
  <c r="J394" i="66"/>
  <c r="H394" i="66" s="1"/>
  <c r="Q386" i="66" s="1"/>
  <c r="F394" i="66"/>
  <c r="G394" i="66" s="1"/>
  <c r="Q385" i="66" s="1"/>
  <c r="AL393" i="66"/>
  <c r="L393" i="66"/>
  <c r="K393" i="66"/>
  <c r="J393" i="66"/>
  <c r="AL392" i="66"/>
  <c r="L392" i="66"/>
  <c r="K392" i="66"/>
  <c r="J392" i="66"/>
  <c r="AL391" i="66"/>
  <c r="L391" i="66"/>
  <c r="K391" i="66"/>
  <c r="J391" i="66"/>
  <c r="AL390" i="66"/>
  <c r="L390" i="66"/>
  <c r="K390" i="66"/>
  <c r="J390" i="66"/>
  <c r="AL389" i="66"/>
  <c r="W389" i="66"/>
  <c r="S389" i="66"/>
  <c r="L389" i="66"/>
  <c r="K389" i="66"/>
  <c r="J389" i="66"/>
  <c r="AL388" i="66"/>
  <c r="AB388" i="66"/>
  <c r="AA388" i="66"/>
  <c r="Z388" i="66"/>
  <c r="Y388" i="66"/>
  <c r="X388" i="66"/>
  <c r="W388" i="66"/>
  <c r="L388" i="66"/>
  <c r="K388" i="66"/>
  <c r="J388" i="66"/>
  <c r="H388" i="66"/>
  <c r="G388" i="66"/>
  <c r="AL387" i="66"/>
  <c r="AB387" i="66"/>
  <c r="AA387" i="66"/>
  <c r="Z387" i="66"/>
  <c r="Y387" i="66"/>
  <c r="X387" i="66"/>
  <c r="W387" i="66"/>
  <c r="S387" i="66"/>
  <c r="L387" i="66"/>
  <c r="K387" i="66"/>
  <c r="J387" i="66"/>
  <c r="H387" i="66"/>
  <c r="G387" i="66"/>
  <c r="AL386" i="66"/>
  <c r="AB386" i="66"/>
  <c r="AA386" i="66"/>
  <c r="Z386" i="66"/>
  <c r="Y386" i="66"/>
  <c r="X386" i="66"/>
  <c r="W386" i="66"/>
  <c r="S386" i="66"/>
  <c r="L386" i="66"/>
  <c r="K386" i="66"/>
  <c r="J386" i="66"/>
  <c r="H386" i="66"/>
  <c r="G386" i="66"/>
  <c r="AL385" i="66"/>
  <c r="AB385" i="66"/>
  <c r="AA385" i="66"/>
  <c r="Z385" i="66"/>
  <c r="Y385" i="66"/>
  <c r="X385" i="66"/>
  <c r="W385" i="66"/>
  <c r="S385" i="66"/>
  <c r="L385" i="66"/>
  <c r="K385" i="66"/>
  <c r="J385" i="66"/>
  <c r="H385" i="66"/>
  <c r="G385" i="66"/>
  <c r="AL384" i="66"/>
  <c r="AB384" i="66"/>
  <c r="AA384" i="66"/>
  <c r="Z384" i="66"/>
  <c r="Y384" i="66"/>
  <c r="X384" i="66"/>
  <c r="W384" i="66"/>
  <c r="L384" i="66"/>
  <c r="K384" i="66"/>
  <c r="J384" i="66"/>
  <c r="H384" i="66"/>
  <c r="G384" i="66"/>
  <c r="AL383" i="66"/>
  <c r="AB383" i="66"/>
  <c r="AA383" i="66"/>
  <c r="Z383" i="66"/>
  <c r="Y383" i="66"/>
  <c r="X383" i="66"/>
  <c r="W383" i="66"/>
  <c r="S383" i="66"/>
  <c r="L383" i="66"/>
  <c r="K383" i="66"/>
  <c r="J383" i="66"/>
  <c r="H383" i="66"/>
  <c r="G383" i="66"/>
  <c r="AL382" i="66"/>
  <c r="AB382" i="66"/>
  <c r="AA382" i="66"/>
  <c r="Z382" i="66"/>
  <c r="Y382" i="66"/>
  <c r="X382" i="66"/>
  <c r="W382" i="66"/>
  <c r="L382" i="66"/>
  <c r="K382" i="66"/>
  <c r="J382" i="66"/>
  <c r="H382" i="66"/>
  <c r="G382" i="66"/>
  <c r="AL381" i="66"/>
  <c r="AB381" i="66"/>
  <c r="AA381" i="66"/>
  <c r="Z381" i="66"/>
  <c r="Y381" i="66"/>
  <c r="X381" i="66"/>
  <c r="W381" i="66"/>
  <c r="L381" i="66"/>
  <c r="K381" i="66"/>
  <c r="J381" i="66"/>
  <c r="H381" i="66"/>
  <c r="G381" i="66"/>
  <c r="AL380" i="66"/>
  <c r="AB380" i="66"/>
  <c r="AA380" i="66"/>
  <c r="Z380" i="66"/>
  <c r="Y380" i="66"/>
  <c r="X380" i="66"/>
  <c r="W380" i="66"/>
  <c r="L380" i="66"/>
  <c r="K380" i="66"/>
  <c r="J380" i="66"/>
  <c r="H380" i="66"/>
  <c r="G380" i="66"/>
  <c r="AL379" i="66"/>
  <c r="AB379" i="66"/>
  <c r="AA379" i="66"/>
  <c r="Z379" i="66"/>
  <c r="Y379" i="66"/>
  <c r="X379" i="66"/>
  <c r="W379" i="66"/>
  <c r="AD379" i="66" s="1"/>
  <c r="L379" i="66"/>
  <c r="K379" i="66"/>
  <c r="J379" i="66"/>
  <c r="H379" i="66"/>
  <c r="G379" i="66"/>
  <c r="H378" i="66"/>
  <c r="N386" i="66" s="1"/>
  <c r="G378" i="66"/>
  <c r="N385" i="66" s="1"/>
  <c r="F378" i="66"/>
  <c r="N383" i="66" s="1"/>
  <c r="L371" i="66"/>
  <c r="K371" i="66"/>
  <c r="J371" i="66"/>
  <c r="H371" i="66" s="1"/>
  <c r="Q363" i="66" s="1"/>
  <c r="F371" i="66"/>
  <c r="P360" i="66" s="1"/>
  <c r="AL370" i="66"/>
  <c r="L370" i="66"/>
  <c r="K370" i="66"/>
  <c r="J370" i="66"/>
  <c r="AL369" i="66"/>
  <c r="L369" i="66"/>
  <c r="K369" i="66"/>
  <c r="J369" i="66"/>
  <c r="AL368" i="66"/>
  <c r="L368" i="66"/>
  <c r="K368" i="66"/>
  <c r="J368" i="66"/>
  <c r="AL367" i="66"/>
  <c r="L367" i="66"/>
  <c r="K367" i="66"/>
  <c r="J367" i="66"/>
  <c r="AL366" i="66"/>
  <c r="W366" i="66"/>
  <c r="S366" i="66"/>
  <c r="L366" i="66"/>
  <c r="K366" i="66"/>
  <c r="J366" i="66"/>
  <c r="AL365" i="66"/>
  <c r="AB365" i="66"/>
  <c r="AA365" i="66"/>
  <c r="Z365" i="66"/>
  <c r="Y365" i="66"/>
  <c r="X365" i="66"/>
  <c r="W365" i="66"/>
  <c r="L365" i="66"/>
  <c r="K365" i="66"/>
  <c r="J365" i="66"/>
  <c r="H365" i="66"/>
  <c r="G365" i="66"/>
  <c r="AL364" i="66"/>
  <c r="AB364" i="66"/>
  <c r="AA364" i="66"/>
  <c r="Z364" i="66"/>
  <c r="Y364" i="66"/>
  <c r="X364" i="66"/>
  <c r="W364" i="66"/>
  <c r="S364" i="66"/>
  <c r="L364" i="66"/>
  <c r="K364" i="66"/>
  <c r="J364" i="66"/>
  <c r="H364" i="66"/>
  <c r="G364" i="66"/>
  <c r="AL363" i="66"/>
  <c r="AB363" i="66"/>
  <c r="AA363" i="66"/>
  <c r="Z363" i="66"/>
  <c r="Y363" i="66"/>
  <c r="X363" i="66"/>
  <c r="W363" i="66"/>
  <c r="S363" i="66"/>
  <c r="L363" i="66"/>
  <c r="K363" i="66"/>
  <c r="J363" i="66"/>
  <c r="H363" i="66"/>
  <c r="G363" i="66"/>
  <c r="AL362" i="66"/>
  <c r="AB362" i="66"/>
  <c r="AA362" i="66"/>
  <c r="Z362" i="66"/>
  <c r="Y362" i="66"/>
  <c r="X362" i="66"/>
  <c r="W362" i="66"/>
  <c r="S362" i="66"/>
  <c r="L362" i="66"/>
  <c r="K362" i="66"/>
  <c r="J362" i="66"/>
  <c r="H362" i="66"/>
  <c r="G362" i="66"/>
  <c r="AL361" i="66"/>
  <c r="AB361" i="66"/>
  <c r="AA361" i="66"/>
  <c r="Z361" i="66"/>
  <c r="Y361" i="66"/>
  <c r="X361" i="66"/>
  <c r="W361" i="66"/>
  <c r="L361" i="66"/>
  <c r="K361" i="66"/>
  <c r="J361" i="66"/>
  <c r="H361" i="66"/>
  <c r="G361" i="66"/>
  <c r="AL360" i="66"/>
  <c r="AB360" i="66"/>
  <c r="AA360" i="66"/>
  <c r="Z360" i="66"/>
  <c r="Y360" i="66"/>
  <c r="X360" i="66"/>
  <c r="W360" i="66"/>
  <c r="S360" i="66"/>
  <c r="L360" i="66"/>
  <c r="K360" i="66"/>
  <c r="J360" i="66"/>
  <c r="H360" i="66"/>
  <c r="G360" i="66"/>
  <c r="AL359" i="66"/>
  <c r="AB359" i="66"/>
  <c r="AA359" i="66"/>
  <c r="Z359" i="66"/>
  <c r="Y359" i="66"/>
  <c r="X359" i="66"/>
  <c r="W359" i="66"/>
  <c r="L359" i="66"/>
  <c r="K359" i="66"/>
  <c r="J359" i="66"/>
  <c r="H359" i="66"/>
  <c r="G359" i="66"/>
  <c r="AL358" i="66"/>
  <c r="AB358" i="66"/>
  <c r="AA358" i="66"/>
  <c r="Z358" i="66"/>
  <c r="Y358" i="66"/>
  <c r="X358" i="66"/>
  <c r="W358" i="66"/>
  <c r="L358" i="66"/>
  <c r="K358" i="66"/>
  <c r="J358" i="66"/>
  <c r="H358" i="66"/>
  <c r="G358" i="66"/>
  <c r="AL357" i="66"/>
  <c r="AB357" i="66"/>
  <c r="AA357" i="66"/>
  <c r="Z357" i="66"/>
  <c r="Y357" i="66"/>
  <c r="X357" i="66"/>
  <c r="W357" i="66"/>
  <c r="L357" i="66"/>
  <c r="K357" i="66"/>
  <c r="J357" i="66"/>
  <c r="H357" i="66"/>
  <c r="G357" i="66"/>
  <c r="AL356" i="66"/>
  <c r="AB356" i="66"/>
  <c r="AA356" i="66"/>
  <c r="Z356" i="66"/>
  <c r="Y356" i="66"/>
  <c r="X356" i="66"/>
  <c r="W356" i="66"/>
  <c r="AD356" i="66" s="1"/>
  <c r="L356" i="66"/>
  <c r="K356" i="66"/>
  <c r="J356" i="66"/>
  <c r="H356" i="66"/>
  <c r="G356" i="66"/>
  <c r="H355" i="66"/>
  <c r="N363" i="66" s="1"/>
  <c r="G355" i="66"/>
  <c r="N362" i="66" s="1"/>
  <c r="F355" i="66"/>
  <c r="N360" i="66" s="1"/>
  <c r="L348" i="66"/>
  <c r="K348" i="66"/>
  <c r="J348" i="66"/>
  <c r="H348" i="66" s="1"/>
  <c r="Q340" i="66" s="1"/>
  <c r="F348" i="66"/>
  <c r="G348" i="66" s="1"/>
  <c r="AL347" i="66"/>
  <c r="L347" i="66"/>
  <c r="K347" i="66"/>
  <c r="J347" i="66"/>
  <c r="AL346" i="66"/>
  <c r="L346" i="66"/>
  <c r="K346" i="66"/>
  <c r="J346" i="66"/>
  <c r="AL345" i="66"/>
  <c r="L345" i="66"/>
  <c r="K345" i="66"/>
  <c r="J345" i="66"/>
  <c r="AL344" i="66"/>
  <c r="L344" i="66"/>
  <c r="K344" i="66"/>
  <c r="J344" i="66"/>
  <c r="AL343" i="66"/>
  <c r="W343" i="66"/>
  <c r="S343" i="66"/>
  <c r="L343" i="66"/>
  <c r="K343" i="66"/>
  <c r="J343" i="66"/>
  <c r="AL342" i="66"/>
  <c r="AB342" i="66"/>
  <c r="AA342" i="66"/>
  <c r="Z342" i="66"/>
  <c r="Y342" i="66"/>
  <c r="X342" i="66"/>
  <c r="W342" i="66"/>
  <c r="L342" i="66"/>
  <c r="K342" i="66"/>
  <c r="J342" i="66"/>
  <c r="H342" i="66"/>
  <c r="G342" i="66"/>
  <c r="AL341" i="66"/>
  <c r="AB341" i="66"/>
  <c r="AA341" i="66"/>
  <c r="Z341" i="66"/>
  <c r="Y341" i="66"/>
  <c r="X341" i="66"/>
  <c r="W341" i="66"/>
  <c r="S341" i="66"/>
  <c r="L341" i="66"/>
  <c r="K341" i="66"/>
  <c r="J341" i="66"/>
  <c r="H341" i="66"/>
  <c r="G341" i="66"/>
  <c r="AL340" i="66"/>
  <c r="AB340" i="66"/>
  <c r="AA340" i="66"/>
  <c r="Z340" i="66"/>
  <c r="Y340" i="66"/>
  <c r="X340" i="66"/>
  <c r="W340" i="66"/>
  <c r="S340" i="66"/>
  <c r="L340" i="66"/>
  <c r="K340" i="66"/>
  <c r="J340" i="66"/>
  <c r="H340" i="66"/>
  <c r="G340" i="66"/>
  <c r="AL339" i="66"/>
  <c r="AB339" i="66"/>
  <c r="AA339" i="66"/>
  <c r="Z339" i="66"/>
  <c r="Y339" i="66"/>
  <c r="X339" i="66"/>
  <c r="W339" i="66"/>
  <c r="S339" i="66"/>
  <c r="L339" i="66"/>
  <c r="K339" i="66"/>
  <c r="J339" i="66"/>
  <c r="H339" i="66"/>
  <c r="G339" i="66"/>
  <c r="AL338" i="66"/>
  <c r="AB338" i="66"/>
  <c r="AA338" i="66"/>
  <c r="Z338" i="66"/>
  <c r="Y338" i="66"/>
  <c r="X338" i="66"/>
  <c r="W338" i="66"/>
  <c r="L338" i="66"/>
  <c r="K338" i="66"/>
  <c r="J338" i="66"/>
  <c r="H338" i="66"/>
  <c r="G338" i="66"/>
  <c r="AL337" i="66"/>
  <c r="AB337" i="66"/>
  <c r="AA337" i="66"/>
  <c r="Z337" i="66"/>
  <c r="Y337" i="66"/>
  <c r="X337" i="66"/>
  <c r="W337" i="66"/>
  <c r="S337" i="66"/>
  <c r="L337" i="66"/>
  <c r="K337" i="66"/>
  <c r="J337" i="66"/>
  <c r="H337" i="66"/>
  <c r="G337" i="66"/>
  <c r="AL336" i="66"/>
  <c r="AB336" i="66"/>
  <c r="AA336" i="66"/>
  <c r="Z336" i="66"/>
  <c r="Y336" i="66"/>
  <c r="X336" i="66"/>
  <c r="W336" i="66"/>
  <c r="L336" i="66"/>
  <c r="K336" i="66"/>
  <c r="J336" i="66"/>
  <c r="H336" i="66"/>
  <c r="G336" i="66"/>
  <c r="AL335" i="66"/>
  <c r="AB335" i="66"/>
  <c r="AA335" i="66"/>
  <c r="Z335" i="66"/>
  <c r="Y335" i="66"/>
  <c r="X335" i="66"/>
  <c r="W335" i="66"/>
  <c r="L335" i="66"/>
  <c r="K335" i="66"/>
  <c r="J335" i="66"/>
  <c r="H335" i="66"/>
  <c r="G335" i="66"/>
  <c r="AL334" i="66"/>
  <c r="AB334" i="66"/>
  <c r="AA334" i="66"/>
  <c r="Z334" i="66"/>
  <c r="Y334" i="66"/>
  <c r="X334" i="66"/>
  <c r="W334" i="66"/>
  <c r="L334" i="66"/>
  <c r="K334" i="66"/>
  <c r="J334" i="66"/>
  <c r="H334" i="66"/>
  <c r="G334" i="66"/>
  <c r="AL333" i="66"/>
  <c r="AB333" i="66"/>
  <c r="AA333" i="66"/>
  <c r="Z333" i="66"/>
  <c r="Y333" i="66"/>
  <c r="X333" i="66"/>
  <c r="W333" i="66"/>
  <c r="L333" i="66"/>
  <c r="K333" i="66"/>
  <c r="J333" i="66"/>
  <c r="H333" i="66"/>
  <c r="G333" i="66"/>
  <c r="H332" i="66"/>
  <c r="N340" i="66" s="1"/>
  <c r="G332" i="66"/>
  <c r="N339" i="66" s="1"/>
  <c r="F332" i="66"/>
  <c r="N337" i="66" s="1"/>
  <c r="L325" i="66"/>
  <c r="K325" i="66"/>
  <c r="J325" i="66"/>
  <c r="H325" i="66" s="1"/>
  <c r="Q317" i="66" s="1"/>
  <c r="F325" i="66"/>
  <c r="G325" i="66" s="1"/>
  <c r="Q316" i="66" s="1"/>
  <c r="AL324" i="66"/>
  <c r="L324" i="66"/>
  <c r="K324" i="66"/>
  <c r="J324" i="66"/>
  <c r="AL323" i="66"/>
  <c r="L323" i="66"/>
  <c r="K323" i="66"/>
  <c r="J323" i="66"/>
  <c r="AL322" i="66"/>
  <c r="L322" i="66"/>
  <c r="K322" i="66"/>
  <c r="J322" i="66"/>
  <c r="AL321" i="66"/>
  <c r="L321" i="66"/>
  <c r="K321" i="66"/>
  <c r="J321" i="66"/>
  <c r="AL320" i="66"/>
  <c r="W320" i="66"/>
  <c r="S320" i="66"/>
  <c r="L320" i="66"/>
  <c r="K320" i="66"/>
  <c r="J320" i="66"/>
  <c r="AL319" i="66"/>
  <c r="AB319" i="66"/>
  <c r="AA319" i="66"/>
  <c r="Z319" i="66"/>
  <c r="Y319" i="66"/>
  <c r="X319" i="66"/>
  <c r="W319" i="66"/>
  <c r="L319" i="66"/>
  <c r="K319" i="66"/>
  <c r="J319" i="66"/>
  <c r="H319" i="66"/>
  <c r="G319" i="66"/>
  <c r="AL318" i="66"/>
  <c r="AB318" i="66"/>
  <c r="AA318" i="66"/>
  <c r="Z318" i="66"/>
  <c r="Y318" i="66"/>
  <c r="X318" i="66"/>
  <c r="W318" i="66"/>
  <c r="S318" i="66"/>
  <c r="L318" i="66"/>
  <c r="K318" i="66"/>
  <c r="J318" i="66"/>
  <c r="H318" i="66"/>
  <c r="G318" i="66"/>
  <c r="AL317" i="66"/>
  <c r="AB317" i="66"/>
  <c r="AA317" i="66"/>
  <c r="Z317" i="66"/>
  <c r="Y317" i="66"/>
  <c r="X317" i="66"/>
  <c r="W317" i="66"/>
  <c r="S317" i="66"/>
  <c r="L317" i="66"/>
  <c r="K317" i="66"/>
  <c r="J317" i="66"/>
  <c r="H317" i="66"/>
  <c r="G317" i="66"/>
  <c r="AL316" i="66"/>
  <c r="AB316" i="66"/>
  <c r="AA316" i="66"/>
  <c r="Z316" i="66"/>
  <c r="Y316" i="66"/>
  <c r="X316" i="66"/>
  <c r="W316" i="66"/>
  <c r="S316" i="66"/>
  <c r="L316" i="66"/>
  <c r="K316" i="66"/>
  <c r="J316" i="66"/>
  <c r="H316" i="66"/>
  <c r="G316" i="66"/>
  <c r="AL315" i="66"/>
  <c r="AB315" i="66"/>
  <c r="AA315" i="66"/>
  <c r="Z315" i="66"/>
  <c r="Y315" i="66"/>
  <c r="X315" i="66"/>
  <c r="W315" i="66"/>
  <c r="L315" i="66"/>
  <c r="K315" i="66"/>
  <c r="J315" i="66"/>
  <c r="H315" i="66"/>
  <c r="G315" i="66"/>
  <c r="AL314" i="66"/>
  <c r="AB314" i="66"/>
  <c r="AA314" i="66"/>
  <c r="Z314" i="66"/>
  <c r="Y314" i="66"/>
  <c r="X314" i="66"/>
  <c r="W314" i="66"/>
  <c r="S314" i="66"/>
  <c r="L314" i="66"/>
  <c r="K314" i="66"/>
  <c r="J314" i="66"/>
  <c r="H314" i="66"/>
  <c r="G314" i="66"/>
  <c r="AL313" i="66"/>
  <c r="AB313" i="66"/>
  <c r="AA313" i="66"/>
  <c r="Z313" i="66"/>
  <c r="Y313" i="66"/>
  <c r="X313" i="66"/>
  <c r="W313" i="66"/>
  <c r="L313" i="66"/>
  <c r="K313" i="66"/>
  <c r="J313" i="66"/>
  <c r="H313" i="66"/>
  <c r="G313" i="66"/>
  <c r="AL312" i="66"/>
  <c r="AB312" i="66"/>
  <c r="AA312" i="66"/>
  <c r="Z312" i="66"/>
  <c r="Y312" i="66"/>
  <c r="X312" i="66"/>
  <c r="W312" i="66"/>
  <c r="L312" i="66"/>
  <c r="K312" i="66"/>
  <c r="J312" i="66"/>
  <c r="H312" i="66"/>
  <c r="G312" i="66"/>
  <c r="AL311" i="66"/>
  <c r="AB311" i="66"/>
  <c r="AA311" i="66"/>
  <c r="Z311" i="66"/>
  <c r="Y311" i="66"/>
  <c r="X311" i="66"/>
  <c r="W311" i="66"/>
  <c r="L311" i="66"/>
  <c r="K311" i="66"/>
  <c r="J311" i="66"/>
  <c r="H311" i="66"/>
  <c r="G311" i="66"/>
  <c r="AL310" i="66"/>
  <c r="AB310" i="66"/>
  <c r="AA310" i="66"/>
  <c r="Z310" i="66"/>
  <c r="Y310" i="66"/>
  <c r="X310" i="66"/>
  <c r="W310" i="66"/>
  <c r="AD310" i="66" s="1"/>
  <c r="L310" i="66"/>
  <c r="K310" i="66"/>
  <c r="J310" i="66"/>
  <c r="H310" i="66"/>
  <c r="G310" i="66"/>
  <c r="H309" i="66"/>
  <c r="N317" i="66" s="1"/>
  <c r="G309" i="66"/>
  <c r="N316" i="66" s="1"/>
  <c r="F309" i="66"/>
  <c r="N314" i="66" s="1"/>
  <c r="G191" i="52"/>
  <c r="G190" i="52"/>
  <c r="G189" i="52"/>
  <c r="G188" i="52"/>
  <c r="H197" i="52"/>
  <c r="H196" i="52"/>
  <c r="H195" i="52"/>
  <c r="H194" i="52"/>
  <c r="P197" i="52"/>
  <c r="D197" i="52"/>
  <c r="Q197" i="52" s="1"/>
  <c r="S197" i="52" s="1"/>
  <c r="P196" i="52"/>
  <c r="P195" i="52"/>
  <c r="P194" i="52"/>
  <c r="AR193" i="52"/>
  <c r="AQ193" i="52"/>
  <c r="AO193" i="52"/>
  <c r="Z193" i="52"/>
  <c r="P193" i="52"/>
  <c r="N193" i="52"/>
  <c r="M193" i="52"/>
  <c r="K193" i="52"/>
  <c r="G193" i="52"/>
  <c r="E193" i="52"/>
  <c r="D193" i="52"/>
  <c r="C193" i="52"/>
  <c r="P314" i="66" l="1"/>
  <c r="BM704" i="50"/>
  <c r="AN1438" i="50"/>
  <c r="BM1432" i="50"/>
  <c r="AN1410" i="50"/>
  <c r="BM1404" i="50"/>
  <c r="AN1298" i="50"/>
  <c r="BM1376" i="50"/>
  <c r="AN1382" i="50"/>
  <c r="AN1186" i="50"/>
  <c r="BM1180" i="50"/>
  <c r="AN1158" i="50"/>
  <c r="BM1152" i="50"/>
  <c r="AN1242" i="50"/>
  <c r="BM1236" i="50"/>
  <c r="AN1046" i="50"/>
  <c r="BM1040" i="50"/>
  <c r="BM1208" i="50"/>
  <c r="AN1214" i="50"/>
  <c r="BM508" i="50"/>
  <c r="AN514" i="50"/>
  <c r="AN1326" i="50"/>
  <c r="BM1320" i="50"/>
  <c r="BM1124" i="50"/>
  <c r="AN1130" i="50"/>
  <c r="BM1348" i="50"/>
  <c r="AN1354" i="50"/>
  <c r="BM1096" i="50"/>
  <c r="AN1102" i="50"/>
  <c r="AN1270" i="50"/>
  <c r="BM1264" i="50"/>
  <c r="BM1068" i="50"/>
  <c r="AN1074" i="50"/>
  <c r="BM928" i="50"/>
  <c r="AN934" i="50"/>
  <c r="BM900" i="50"/>
  <c r="AN906" i="50"/>
  <c r="BM844" i="50"/>
  <c r="AN850" i="50"/>
  <c r="BM984" i="50"/>
  <c r="AN990" i="50"/>
  <c r="BM816" i="50"/>
  <c r="AN822" i="50"/>
  <c r="AN430" i="50"/>
  <c r="BM424" i="50"/>
  <c r="BM760" i="50"/>
  <c r="AN766" i="50"/>
  <c r="BM956" i="50"/>
  <c r="AN962" i="50"/>
  <c r="AN738" i="50"/>
  <c r="BM732" i="50"/>
  <c r="AN626" i="50"/>
  <c r="BM620" i="50"/>
  <c r="BM144" i="50"/>
  <c r="C200" i="50"/>
  <c r="C228" i="50" s="1"/>
  <c r="BM536" i="50"/>
  <c r="AN542" i="50"/>
  <c r="BM396" i="50"/>
  <c r="AN402" i="50"/>
  <c r="BM676" i="50"/>
  <c r="AN682" i="50"/>
  <c r="BM480" i="50"/>
  <c r="AN486" i="50"/>
  <c r="BM564" i="50"/>
  <c r="AN570" i="50"/>
  <c r="BM592" i="50"/>
  <c r="AN598" i="50"/>
  <c r="BM340" i="50"/>
  <c r="AN346" i="50"/>
  <c r="BM312" i="50"/>
  <c r="AN318" i="50"/>
  <c r="BM228" i="50"/>
  <c r="AN234" i="50"/>
  <c r="AN178" i="50"/>
  <c r="BM172" i="50"/>
  <c r="BM200" i="50"/>
  <c r="AN206" i="50"/>
  <c r="V99" i="50"/>
  <c r="AI94" i="50"/>
  <c r="Q366" i="66"/>
  <c r="Q569" i="66"/>
  <c r="Q596" i="66"/>
  <c r="Q615" i="66"/>
  <c r="Q339" i="66"/>
  <c r="Q412" i="66"/>
  <c r="Q431" i="66"/>
  <c r="Q707" i="66"/>
  <c r="G555" i="66"/>
  <c r="I601" i="66"/>
  <c r="P636" i="66"/>
  <c r="W720" i="66" a="1"/>
  <c r="W720" i="66" s="1"/>
  <c r="I348" i="66"/>
  <c r="I716" i="66"/>
  <c r="Z698" i="66" a="1"/>
  <c r="Z698" i="66" s="1"/>
  <c r="P751" i="66"/>
  <c r="I762" i="66"/>
  <c r="P705" i="66"/>
  <c r="P406" i="66"/>
  <c r="W514" i="66" a="1"/>
  <c r="W514" i="66" s="1"/>
  <c r="Z744" i="66" a="1"/>
  <c r="Z744" i="66" s="1"/>
  <c r="X743" i="66" a="1"/>
  <c r="X743" i="66" s="1"/>
  <c r="G486" i="66"/>
  <c r="Z536" i="66" a="1"/>
  <c r="Z536" i="66" s="1"/>
  <c r="Z559" i="66" a="1"/>
  <c r="Z559" i="66" s="1"/>
  <c r="Z583" i="66" a="1"/>
  <c r="Z583" i="66" s="1"/>
  <c r="W721" i="66" a="1"/>
  <c r="W721" i="66" s="1"/>
  <c r="W560" i="66" a="1"/>
  <c r="W560" i="66" s="1"/>
  <c r="I578" i="66"/>
  <c r="I647" i="66"/>
  <c r="X675" i="66" a="1"/>
  <c r="X675" i="66" s="1"/>
  <c r="P728" i="66"/>
  <c r="X720" i="66" a="1"/>
  <c r="X720" i="66" s="1"/>
  <c r="Z514" i="66" a="1"/>
  <c r="Z514" i="66" s="1"/>
  <c r="P567" i="66"/>
  <c r="Z605" i="66" a="1"/>
  <c r="Z605" i="66" s="1"/>
  <c r="X721" i="66" a="1"/>
  <c r="X721" i="66" s="1"/>
  <c r="P383" i="66"/>
  <c r="I509" i="66"/>
  <c r="P521" i="66"/>
  <c r="X536" i="66" a="1"/>
  <c r="X536" i="66" s="1"/>
  <c r="P613" i="66"/>
  <c r="Q642" i="66"/>
  <c r="X674" i="66" a="1"/>
  <c r="X674" i="66" s="1"/>
  <c r="Z721" i="66" a="1"/>
  <c r="Z721" i="66" s="1"/>
  <c r="W422" i="66" a="1"/>
  <c r="W422" i="66" s="1"/>
  <c r="P682" i="66"/>
  <c r="X329" i="66" a="1"/>
  <c r="X329" i="66" s="1"/>
  <c r="Z743" i="66" a="1"/>
  <c r="Z743" i="66" s="1"/>
  <c r="AD747" i="66"/>
  <c r="W743" i="66" a="1"/>
  <c r="W743" i="66" s="1"/>
  <c r="W375" i="66" a="1"/>
  <c r="W375" i="66" s="1"/>
  <c r="I670" i="66"/>
  <c r="Q665" i="66"/>
  <c r="Q734" i="66"/>
  <c r="I739" i="66"/>
  <c r="W744" i="66" a="1"/>
  <c r="W744" i="66" s="1"/>
  <c r="I532" i="66"/>
  <c r="W330" i="66" a="1"/>
  <c r="W330" i="66" s="1"/>
  <c r="G371" i="66"/>
  <c r="P429" i="66"/>
  <c r="W491" i="66" a="1"/>
  <c r="W491" i="66" s="1"/>
  <c r="Q504" i="66"/>
  <c r="W536" i="66" a="1"/>
  <c r="W536" i="66" s="1"/>
  <c r="X537" i="66" a="1"/>
  <c r="X537" i="66" s="1"/>
  <c r="I555" i="66"/>
  <c r="Z582" i="66" a="1"/>
  <c r="Z582" i="66" s="1"/>
  <c r="AD609" i="66"/>
  <c r="W605" i="66" a="1"/>
  <c r="W605" i="66" s="1"/>
  <c r="Z629" i="66" a="1"/>
  <c r="Z629" i="66" s="1"/>
  <c r="Z330" i="66" a="1"/>
  <c r="Z330" i="66" s="1"/>
  <c r="Z306" i="66" a="1"/>
  <c r="Z306" i="66" s="1"/>
  <c r="I371" i="66"/>
  <c r="I417" i="66"/>
  <c r="W421" i="66" a="1"/>
  <c r="W421" i="66" s="1"/>
  <c r="X513" i="66" a="1"/>
  <c r="X513" i="66" s="1"/>
  <c r="Z513" i="66" a="1"/>
  <c r="Z513" i="66" s="1"/>
  <c r="W537" i="66" a="1"/>
  <c r="W537" i="66" s="1"/>
  <c r="Z720" i="66" a="1"/>
  <c r="Z720" i="66" s="1"/>
  <c r="AD725" i="66"/>
  <c r="AD726" i="66" s="1"/>
  <c r="AD727" i="66" s="1"/>
  <c r="AD728" i="66" s="1"/>
  <c r="AD729" i="66" s="1"/>
  <c r="AD730" i="66" s="1"/>
  <c r="AD731" i="66" s="1"/>
  <c r="AD732" i="66" s="1"/>
  <c r="AD733" i="66" s="1"/>
  <c r="AD734" i="66" s="1"/>
  <c r="AD735" i="66" s="1"/>
  <c r="AD736" i="66" s="1"/>
  <c r="AD737" i="66" s="1"/>
  <c r="AD738" i="66" s="1"/>
  <c r="X560" i="66" a="1"/>
  <c r="X560" i="66" s="1"/>
  <c r="W652" i="66" a="1"/>
  <c r="W652" i="66" s="1"/>
  <c r="W583" i="66" a="1"/>
  <c r="W583" i="66" s="1"/>
  <c r="Z697" i="66" a="1"/>
  <c r="Z697" i="66" s="1"/>
  <c r="X744" i="66" a="1"/>
  <c r="X744" i="66" s="1"/>
  <c r="Z674" i="66" a="1"/>
  <c r="Z674" i="66" s="1"/>
  <c r="AD518" i="66"/>
  <c r="AD519" i="66" s="1"/>
  <c r="AD520" i="66" s="1"/>
  <c r="AD521" i="66" s="1"/>
  <c r="AD522" i="66" s="1"/>
  <c r="AD523" i="66" s="1"/>
  <c r="AD524" i="66" s="1"/>
  <c r="AD525" i="66" s="1"/>
  <c r="AD526" i="66" s="1"/>
  <c r="AD527" i="66" s="1"/>
  <c r="AD528" i="66" s="1"/>
  <c r="AD529" i="66" s="1"/>
  <c r="AD530" i="66" s="1"/>
  <c r="AD531" i="66" s="1"/>
  <c r="AD472" i="66"/>
  <c r="AD473" i="66" s="1"/>
  <c r="AD474" i="66" s="1"/>
  <c r="AD475" i="66" s="1"/>
  <c r="AD476" i="66" s="1"/>
  <c r="AD477" i="66" s="1"/>
  <c r="AD478" i="66" s="1"/>
  <c r="AD479" i="66" s="1"/>
  <c r="AD480" i="66" s="1"/>
  <c r="AD481" i="66" s="1"/>
  <c r="AD482" i="66" s="1"/>
  <c r="AD483" i="66" s="1"/>
  <c r="AD484" i="66" s="1"/>
  <c r="AD485" i="66" s="1"/>
  <c r="AD563" i="66"/>
  <c r="W559" i="66" a="1"/>
  <c r="W559" i="66" s="1"/>
  <c r="Q343" i="66"/>
  <c r="W353" i="66" a="1"/>
  <c r="W353" i="66" s="1"/>
  <c r="W376" i="66" a="1"/>
  <c r="W376" i="66" s="1"/>
  <c r="W399" i="66" a="1"/>
  <c r="W399" i="66" s="1"/>
  <c r="P452" i="66"/>
  <c r="X582" i="66" a="1"/>
  <c r="X582" i="66" s="1"/>
  <c r="G601" i="66"/>
  <c r="P590" i="66"/>
  <c r="X307" i="66" a="1"/>
  <c r="X307" i="66" s="1"/>
  <c r="I394" i="66"/>
  <c r="X399" i="66" a="1"/>
  <c r="X399" i="66" s="1"/>
  <c r="Z422" i="66" a="1"/>
  <c r="Z422" i="66" s="1"/>
  <c r="W467" i="66" a="1"/>
  <c r="W467" i="66" s="1"/>
  <c r="W468" i="66" a="1"/>
  <c r="W468" i="66" s="1"/>
  <c r="P498" i="66"/>
  <c r="W513" i="66" a="1"/>
  <c r="W513" i="66" s="1"/>
  <c r="X514" i="66" a="1"/>
  <c r="X514" i="66" s="1"/>
  <c r="Z537" i="66" a="1"/>
  <c r="Z537" i="66" s="1"/>
  <c r="Q550" i="66"/>
  <c r="X559" i="66" a="1"/>
  <c r="X559" i="66" s="1"/>
  <c r="Z560" i="66" a="1"/>
  <c r="Z560" i="66" s="1"/>
  <c r="AD587" i="66"/>
  <c r="AD588" i="66" s="1"/>
  <c r="AD589" i="66" s="1"/>
  <c r="AD590" i="66" s="1"/>
  <c r="AD591" i="66" s="1"/>
  <c r="AD592" i="66" s="1"/>
  <c r="AD593" i="66" s="1"/>
  <c r="AD594" i="66" s="1"/>
  <c r="AD595" i="66" s="1"/>
  <c r="AD596" i="66" s="1"/>
  <c r="AD597" i="66" s="1"/>
  <c r="AD598" i="66" s="1"/>
  <c r="AD599" i="66" s="1"/>
  <c r="AD600" i="66" s="1"/>
  <c r="W651" i="66" a="1"/>
  <c r="W651" i="66" s="1"/>
  <c r="G670" i="66"/>
  <c r="P659" i="66"/>
  <c r="X697" i="66" a="1"/>
  <c r="X697" i="66" s="1"/>
  <c r="X398" i="66" a="1"/>
  <c r="X398" i="66" s="1"/>
  <c r="X651" i="66" a="1"/>
  <c r="X651" i="66" s="1"/>
  <c r="X652" i="66" a="1"/>
  <c r="X652" i="66" s="1"/>
  <c r="X352" i="66" a="1"/>
  <c r="X352" i="66" s="1"/>
  <c r="Z307" i="66" a="1"/>
  <c r="Z307" i="66" s="1"/>
  <c r="W306" i="66" a="1"/>
  <c r="W306" i="66" s="1"/>
  <c r="Z329" i="66" a="1"/>
  <c r="Z329" i="66" s="1"/>
  <c r="Z352" i="66" a="1"/>
  <c r="Z352" i="66" s="1"/>
  <c r="Z445" i="66" a="1"/>
  <c r="Z445" i="66" s="1"/>
  <c r="AD541" i="66"/>
  <c r="AD542" i="66" s="1"/>
  <c r="AD543" i="66" s="1"/>
  <c r="AD544" i="66" s="1"/>
  <c r="AD545" i="66" s="1"/>
  <c r="AD546" i="66" s="1"/>
  <c r="AD547" i="66" s="1"/>
  <c r="AD548" i="66" s="1"/>
  <c r="AD549" i="66" s="1"/>
  <c r="AD550" i="66" s="1"/>
  <c r="AD551" i="66" s="1"/>
  <c r="AD552" i="66" s="1"/>
  <c r="AD553" i="66" s="1"/>
  <c r="AD554" i="66" s="1"/>
  <c r="W582" i="66" a="1"/>
  <c r="W582" i="66" s="1"/>
  <c r="X583" i="66" a="1"/>
  <c r="X583" i="66" s="1"/>
  <c r="X605" i="66" a="1"/>
  <c r="X605" i="66" s="1"/>
  <c r="X606" i="66" a="1"/>
  <c r="X606" i="66" s="1"/>
  <c r="AD632" i="66"/>
  <c r="W628" i="66" a="1"/>
  <c r="W628" i="66" s="1"/>
  <c r="W629" i="66" a="1"/>
  <c r="W629" i="66" s="1"/>
  <c r="W606" i="66" a="1"/>
  <c r="W606" i="66" s="1"/>
  <c r="AD656" i="66"/>
  <c r="AD657" i="66" s="1"/>
  <c r="AD658" i="66" s="1"/>
  <c r="AD659" i="66" s="1"/>
  <c r="AD660" i="66" s="1"/>
  <c r="AD661" i="66" s="1"/>
  <c r="AD662" i="66" s="1"/>
  <c r="AD663" i="66" s="1"/>
  <c r="AD664" i="66" s="1"/>
  <c r="AD665" i="66" s="1"/>
  <c r="AD666" i="66" s="1"/>
  <c r="AD667" i="66" s="1"/>
  <c r="AD668" i="66" s="1"/>
  <c r="AD669" i="66" s="1"/>
  <c r="W675" i="66" a="1"/>
  <c r="W675" i="66" s="1"/>
  <c r="AD701" i="66"/>
  <c r="W697" i="66" a="1"/>
  <c r="W697" i="66" s="1"/>
  <c r="W698" i="66" a="1"/>
  <c r="W698" i="66" s="1"/>
  <c r="Z606" i="66" a="1"/>
  <c r="Z606" i="66" s="1"/>
  <c r="I624" i="66"/>
  <c r="Q619" i="66"/>
  <c r="Z628" i="66" a="1"/>
  <c r="Z628" i="66" s="1"/>
  <c r="X629" i="66" a="1"/>
  <c r="X629" i="66" s="1"/>
  <c r="Z652" i="66" a="1"/>
  <c r="Z652" i="66" s="1"/>
  <c r="Z675" i="66" a="1"/>
  <c r="Z675" i="66" s="1"/>
  <c r="X698" i="66" a="1"/>
  <c r="X698" i="66" s="1"/>
  <c r="X628" i="66" a="1"/>
  <c r="X628" i="66" s="1"/>
  <c r="Z651" i="66" a="1"/>
  <c r="Z651" i="66" s="1"/>
  <c r="AD678" i="66"/>
  <c r="W674" i="66" a="1"/>
  <c r="W674" i="66" s="1"/>
  <c r="Q688" i="66"/>
  <c r="I693" i="66"/>
  <c r="Z399" i="66" a="1"/>
  <c r="Z399" i="66" s="1"/>
  <c r="Z398" i="66" a="1"/>
  <c r="Z398" i="66" s="1"/>
  <c r="AD448" i="66"/>
  <c r="W444" i="66" a="1"/>
  <c r="W444" i="66" s="1"/>
  <c r="W445" i="66" a="1"/>
  <c r="W445" i="66" s="1"/>
  <c r="X306" i="66" a="1"/>
  <c r="X306" i="66" s="1"/>
  <c r="Q320" i="66"/>
  <c r="I325" i="66"/>
  <c r="X376" i="66" a="1"/>
  <c r="X376" i="66" s="1"/>
  <c r="X468" i="66" a="1"/>
  <c r="X468" i="66" s="1"/>
  <c r="X467" i="66" a="1"/>
  <c r="X467" i="66" s="1"/>
  <c r="AD357" i="66"/>
  <c r="AD358" i="66" s="1"/>
  <c r="AD359" i="66" s="1"/>
  <c r="AD360" i="66" s="1"/>
  <c r="AD361" i="66" s="1"/>
  <c r="AD362" i="66" s="1"/>
  <c r="AD363" i="66" s="1"/>
  <c r="AD364" i="66" s="1"/>
  <c r="AD365" i="66" s="1"/>
  <c r="AD366" i="66" s="1"/>
  <c r="AD367" i="66" s="1"/>
  <c r="AD368" i="66" s="1"/>
  <c r="AD369" i="66" s="1"/>
  <c r="AD370" i="66" s="1"/>
  <c r="Z376" i="66" a="1"/>
  <c r="Z376" i="66" s="1"/>
  <c r="Z375" i="66" a="1"/>
  <c r="Z375" i="66" s="1"/>
  <c r="Z353" i="66" a="1"/>
  <c r="Z353" i="66" s="1"/>
  <c r="X422" i="66" a="1"/>
  <c r="X422" i="66" s="1"/>
  <c r="X421" i="66" a="1"/>
  <c r="X421" i="66" s="1"/>
  <c r="AD333" i="66"/>
  <c r="W329" i="66" a="1"/>
  <c r="W329" i="66" s="1"/>
  <c r="AD311" i="66"/>
  <c r="AD312" i="66" s="1"/>
  <c r="AD313" i="66" s="1"/>
  <c r="AD314" i="66" s="1"/>
  <c r="AD315" i="66" s="1"/>
  <c r="AD316" i="66" s="1"/>
  <c r="AD317" i="66" s="1"/>
  <c r="AD318" i="66" s="1"/>
  <c r="AD319" i="66" s="1"/>
  <c r="AD320" i="66" s="1"/>
  <c r="AD321" i="66" s="1"/>
  <c r="AD322" i="66" s="1"/>
  <c r="AD323" i="66" s="1"/>
  <c r="AD324" i="66" s="1"/>
  <c r="W307" i="66" a="1"/>
  <c r="W307" i="66" s="1"/>
  <c r="X330" i="66" a="1"/>
  <c r="X330" i="66" s="1"/>
  <c r="P337" i="66"/>
  <c r="W352" i="66" a="1"/>
  <c r="W352" i="66" s="1"/>
  <c r="X353" i="66" a="1"/>
  <c r="X353" i="66" s="1"/>
  <c r="X375" i="66" a="1"/>
  <c r="X375" i="66" s="1"/>
  <c r="AD380" i="66"/>
  <c r="AD381" i="66" s="1"/>
  <c r="AD382" i="66" s="1"/>
  <c r="AD383" i="66" s="1"/>
  <c r="AD384" i="66" s="1"/>
  <c r="AD385" i="66" s="1"/>
  <c r="AD386" i="66" s="1"/>
  <c r="AD387" i="66" s="1"/>
  <c r="AD388" i="66" s="1"/>
  <c r="AD389" i="66" s="1"/>
  <c r="AD390" i="66" s="1"/>
  <c r="AD391" i="66" s="1"/>
  <c r="AD392" i="66" s="1"/>
  <c r="AD393" i="66" s="1"/>
  <c r="Z490" i="66" a="1"/>
  <c r="Z490" i="66" s="1"/>
  <c r="Z491" i="66" a="1"/>
  <c r="Z491" i="66" s="1"/>
  <c r="I440" i="66"/>
  <c r="Q435" i="66"/>
  <c r="AD402" i="66"/>
  <c r="W398" i="66" a="1"/>
  <c r="W398" i="66" s="1"/>
  <c r="AD426" i="66"/>
  <c r="AD427" i="66" s="1"/>
  <c r="AD428" i="66" s="1"/>
  <c r="AD429" i="66" s="1"/>
  <c r="AD430" i="66" s="1"/>
  <c r="AD431" i="66" s="1"/>
  <c r="AD432" i="66" s="1"/>
  <c r="AD433" i="66" s="1"/>
  <c r="AD434" i="66" s="1"/>
  <c r="AD435" i="66" s="1"/>
  <c r="AD436" i="66" s="1"/>
  <c r="AD437" i="66" s="1"/>
  <c r="AD438" i="66" s="1"/>
  <c r="AD439" i="66" s="1"/>
  <c r="Z444" i="66" a="1"/>
  <c r="Z444" i="66" s="1"/>
  <c r="AD494" i="66"/>
  <c r="W490" i="66" a="1"/>
  <c r="W490" i="66" s="1"/>
  <c r="X445" i="66" a="1"/>
  <c r="X445" i="66" s="1"/>
  <c r="X444" i="66" a="1"/>
  <c r="X444" i="66" s="1"/>
  <c r="Q458" i="66"/>
  <c r="I463" i="66"/>
  <c r="Z421" i="66" a="1"/>
  <c r="Z421" i="66" s="1"/>
  <c r="Z468" i="66" a="1"/>
  <c r="Z468" i="66" s="1"/>
  <c r="Z467" i="66" a="1"/>
  <c r="Z467" i="66" s="1"/>
  <c r="Q481" i="66"/>
  <c r="I486" i="66"/>
  <c r="X490" i="66" a="1"/>
  <c r="X490" i="66" s="1"/>
  <c r="X491" i="66" a="1"/>
  <c r="X491" i="66" s="1"/>
  <c r="A200" i="50" l="1"/>
  <c r="C256" i="50"/>
  <c r="A228" i="50"/>
  <c r="I94" i="50"/>
  <c r="AJ94" i="50"/>
  <c r="Q663" i="66"/>
  <c r="Q755" i="66"/>
  <c r="Q341" i="66"/>
  <c r="Q686" i="66"/>
  <c r="Q387" i="66"/>
  <c r="Q410" i="66"/>
  <c r="Q502" i="66"/>
  <c r="Q318" i="66"/>
  <c r="Q364" i="66"/>
  <c r="Q548" i="66"/>
  <c r="Q525" i="66"/>
  <c r="Q640" i="66"/>
  <c r="Q479" i="66"/>
  <c r="Q456" i="66"/>
  <c r="Q433" i="66"/>
  <c r="Q617" i="66"/>
  <c r="Q732" i="66"/>
  <c r="Q571" i="66"/>
  <c r="Q709" i="66"/>
  <c r="Q594" i="66"/>
  <c r="Q477" i="66"/>
  <c r="Q661" i="66"/>
  <c r="Q592" i="66"/>
  <c r="Q362" i="66"/>
  <c r="Q546" i="66"/>
  <c r="AD610" i="66"/>
  <c r="AD611" i="66" s="1"/>
  <c r="AD612" i="66" s="1"/>
  <c r="AD613" i="66" s="1"/>
  <c r="AD614" i="66" s="1"/>
  <c r="AD615" i="66" s="1"/>
  <c r="AD616" i="66" s="1"/>
  <c r="AD617" i="66" s="1"/>
  <c r="AD618" i="66" s="1"/>
  <c r="AD619" i="66" s="1"/>
  <c r="AD620" i="66" s="1"/>
  <c r="AD621" i="66" s="1"/>
  <c r="AD622" i="66" s="1"/>
  <c r="AD623" i="66" s="1"/>
  <c r="AD748" i="66"/>
  <c r="AD749" i="66" s="1"/>
  <c r="AD750" i="66" s="1"/>
  <c r="AD751" i="66" s="1"/>
  <c r="AD752" i="66" s="1"/>
  <c r="AD753" i="66" s="1"/>
  <c r="AD754" i="66" s="1"/>
  <c r="AD755" i="66" s="1"/>
  <c r="AD756" i="66" s="1"/>
  <c r="AD757" i="66" s="1"/>
  <c r="AD758" i="66" s="1"/>
  <c r="AD759" i="66" s="1"/>
  <c r="AD760" i="66" s="1"/>
  <c r="AD761" i="66" s="1"/>
  <c r="AD702" i="66"/>
  <c r="AD703" i="66" s="1"/>
  <c r="AD704" i="66" s="1"/>
  <c r="AD705" i="66" s="1"/>
  <c r="AD706" i="66" s="1"/>
  <c r="AD707" i="66" s="1"/>
  <c r="AD708" i="66" s="1"/>
  <c r="AD709" i="66" s="1"/>
  <c r="AD710" i="66" s="1"/>
  <c r="AD711" i="66" s="1"/>
  <c r="AD712" i="66" s="1"/>
  <c r="AD713" i="66" s="1"/>
  <c r="AD714" i="66" s="1"/>
  <c r="AD715" i="66" s="1"/>
  <c r="AD679" i="66"/>
  <c r="AD680" i="66" s="1"/>
  <c r="AD681" i="66" s="1"/>
  <c r="AD682" i="66" s="1"/>
  <c r="AD683" i="66" s="1"/>
  <c r="AD684" i="66" s="1"/>
  <c r="AD685" i="66" s="1"/>
  <c r="AD686" i="66" s="1"/>
  <c r="AD687" i="66" s="1"/>
  <c r="AD688" i="66" s="1"/>
  <c r="AD689" i="66" s="1"/>
  <c r="AD690" i="66" s="1"/>
  <c r="AD691" i="66" s="1"/>
  <c r="AD692" i="66" s="1"/>
  <c r="AD633" i="66"/>
  <c r="AD634" i="66" s="1"/>
  <c r="AD635" i="66" s="1"/>
  <c r="AD636" i="66" s="1"/>
  <c r="AD637" i="66" s="1"/>
  <c r="AD638" i="66" s="1"/>
  <c r="AD639" i="66" s="1"/>
  <c r="AD640" i="66" s="1"/>
  <c r="AD641" i="66" s="1"/>
  <c r="AD642" i="66" s="1"/>
  <c r="AD643" i="66" s="1"/>
  <c r="AD644" i="66" s="1"/>
  <c r="AD645" i="66" s="1"/>
  <c r="AD646" i="66" s="1"/>
  <c r="AD564" i="66"/>
  <c r="AD565" i="66" s="1"/>
  <c r="AD566" i="66" s="1"/>
  <c r="AD567" i="66" s="1"/>
  <c r="AD568" i="66" s="1"/>
  <c r="AD569" i="66" s="1"/>
  <c r="AD570" i="66" s="1"/>
  <c r="AD571" i="66" s="1"/>
  <c r="AD572" i="66" s="1"/>
  <c r="AD573" i="66" s="1"/>
  <c r="AD574" i="66" s="1"/>
  <c r="AD575" i="66" s="1"/>
  <c r="AD576" i="66" s="1"/>
  <c r="AD577" i="66" s="1"/>
  <c r="AD495" i="66"/>
  <c r="AD496" i="66" s="1"/>
  <c r="AD497" i="66" s="1"/>
  <c r="AD498" i="66" s="1"/>
  <c r="AD499" i="66" s="1"/>
  <c r="AD500" i="66" s="1"/>
  <c r="AD501" i="66" s="1"/>
  <c r="AD502" i="66" s="1"/>
  <c r="AD503" i="66" s="1"/>
  <c r="AD504" i="66" s="1"/>
  <c r="AD505" i="66" s="1"/>
  <c r="AD506" i="66" s="1"/>
  <c r="AD507" i="66" s="1"/>
  <c r="AD508" i="66" s="1"/>
  <c r="AD403" i="66"/>
  <c r="AD404" i="66" s="1"/>
  <c r="AD405" i="66" s="1"/>
  <c r="AD406" i="66" s="1"/>
  <c r="AD407" i="66" s="1"/>
  <c r="AD408" i="66" s="1"/>
  <c r="AD409" i="66" s="1"/>
  <c r="AD410" i="66" s="1"/>
  <c r="AD411" i="66" s="1"/>
  <c r="AD412" i="66" s="1"/>
  <c r="AD413" i="66" s="1"/>
  <c r="AD414" i="66" s="1"/>
  <c r="AD415" i="66" s="1"/>
  <c r="AD416" i="66" s="1"/>
  <c r="AD334" i="66"/>
  <c r="AD335" i="66" s="1"/>
  <c r="AD336" i="66" s="1"/>
  <c r="AD337" i="66" s="1"/>
  <c r="AD338" i="66" s="1"/>
  <c r="AD339" i="66" s="1"/>
  <c r="AD340" i="66" s="1"/>
  <c r="AD341" i="66" s="1"/>
  <c r="AD342" i="66" s="1"/>
  <c r="AD343" i="66" s="1"/>
  <c r="AD344" i="66" s="1"/>
  <c r="AD345" i="66" s="1"/>
  <c r="AD346" i="66" s="1"/>
  <c r="AD347" i="66" s="1"/>
  <c r="AD449" i="66"/>
  <c r="AD450" i="66" s="1"/>
  <c r="AD451" i="66" s="1"/>
  <c r="AD452" i="66" s="1"/>
  <c r="AD453" i="66" s="1"/>
  <c r="AD454" i="66" s="1"/>
  <c r="AD455" i="66" s="1"/>
  <c r="AD456" i="66" s="1"/>
  <c r="AD457" i="66" s="1"/>
  <c r="AD458" i="66" s="1"/>
  <c r="AD459" i="66" s="1"/>
  <c r="AD460" i="66" s="1"/>
  <c r="AD461" i="66" s="1"/>
  <c r="AD462" i="66" s="1"/>
  <c r="C284" i="50" l="1"/>
  <c r="A256" i="50"/>
  <c r="AN94" i="50"/>
  <c r="BM88" i="50"/>
  <c r="A284" i="50" l="1"/>
  <c r="C312" i="50"/>
  <c r="C340" i="50" l="1"/>
  <c r="A312" i="50"/>
  <c r="R94" i="50"/>
  <c r="A340" i="50" l="1"/>
  <c r="C368" i="50"/>
  <c r="R93" i="50"/>
  <c r="C396" i="50" l="1"/>
  <c r="A368" i="50"/>
  <c r="A396" i="50" l="1"/>
  <c r="C424" i="50"/>
  <c r="C452" i="50" l="1"/>
  <c r="A424" i="50"/>
  <c r="N89" i="50"/>
  <c r="R91" i="50"/>
  <c r="A452" i="50" l="1"/>
  <c r="C480" i="50"/>
  <c r="C508" i="50" l="1"/>
  <c r="A480" i="50"/>
  <c r="N88" i="50"/>
  <c r="C536" i="50" l="1"/>
  <c r="A508" i="50"/>
  <c r="A536" i="50" l="1"/>
  <c r="C564" i="50"/>
  <c r="A564" i="50" l="1"/>
  <c r="C592" i="50"/>
  <c r="C620" i="50" l="1"/>
  <c r="A592" i="50"/>
  <c r="C648" i="50" l="1"/>
  <c r="A620" i="50"/>
  <c r="A648" i="50" l="1"/>
  <c r="C676" i="50"/>
  <c r="C704" i="50" l="1"/>
  <c r="A676" i="50"/>
  <c r="A704" i="50" l="1"/>
  <c r="C732" i="50"/>
  <c r="C760" i="50" l="1"/>
  <c r="A732" i="50"/>
  <c r="C788" i="50" l="1"/>
  <c r="A760" i="50"/>
  <c r="A788" i="50" l="1"/>
  <c r="C816" i="50"/>
  <c r="C844" i="50" l="1"/>
  <c r="A816" i="50"/>
  <c r="A844" i="50" l="1"/>
  <c r="C872" i="50"/>
  <c r="A872" i="50" l="1"/>
  <c r="C900" i="50"/>
  <c r="A900" i="50" l="1"/>
  <c r="C928" i="50"/>
  <c r="C956" i="50" l="1"/>
  <c r="A928" i="50"/>
  <c r="C984" i="50" l="1"/>
  <c r="A956" i="50"/>
  <c r="C1012" i="50" l="1"/>
  <c r="A984" i="50"/>
  <c r="A1012" i="50" l="1"/>
  <c r="C1040" i="50"/>
  <c r="A1040" i="50" l="1"/>
  <c r="C1068" i="50"/>
  <c r="A1068" i="50" l="1"/>
  <c r="C1096" i="50"/>
  <c r="C1124" i="50" l="1"/>
  <c r="A1096" i="50"/>
  <c r="C1152" i="50" l="1"/>
  <c r="A1124" i="50"/>
  <c r="C1180" i="50" l="1"/>
  <c r="A1152" i="50"/>
  <c r="C1208" i="50" l="1"/>
  <c r="A1180" i="50"/>
  <c r="C1236" i="50" l="1"/>
  <c r="A1208" i="50"/>
  <c r="A1236" i="50" l="1"/>
  <c r="C1264" i="50"/>
  <c r="C1292" i="50" l="1"/>
  <c r="A1264" i="50"/>
  <c r="C1320" i="50" l="1"/>
  <c r="A1292" i="50"/>
  <c r="A1320" i="50" l="1"/>
  <c r="C1348" i="50"/>
  <c r="C1376" i="50" l="1"/>
  <c r="A1348" i="50"/>
  <c r="A1376" i="50" l="1"/>
  <c r="C1404" i="50"/>
  <c r="C1432" i="50" l="1"/>
  <c r="A1432" i="50" s="1"/>
  <c r="A1404" i="50"/>
  <c r="F17" i="43" l="1"/>
  <c r="S536" i="43"/>
  <c r="S535" i="43"/>
  <c r="S534" i="43"/>
  <c r="S533" i="43"/>
  <c r="S532" i="43"/>
  <c r="S531" i="43"/>
  <c r="S530" i="43"/>
  <c r="S529" i="43"/>
  <c r="S528" i="43"/>
  <c r="S527" i="43"/>
  <c r="S526" i="43"/>
  <c r="S525" i="43"/>
  <c r="S524" i="43"/>
  <c r="S523" i="43"/>
  <c r="S522" i="43"/>
  <c r="S521" i="43"/>
  <c r="S520" i="43"/>
  <c r="S519" i="43"/>
  <c r="S518" i="43"/>
  <c r="S516" i="43"/>
  <c r="S515" i="43"/>
  <c r="S514" i="43"/>
  <c r="S513" i="43"/>
  <c r="S512" i="43"/>
  <c r="S511" i="43"/>
  <c r="S510" i="43"/>
  <c r="S509" i="43"/>
  <c r="S508" i="43"/>
  <c r="S507" i="43"/>
  <c r="S506" i="43"/>
  <c r="S505" i="43"/>
  <c r="S504" i="43"/>
  <c r="S503" i="43"/>
  <c r="S502" i="43"/>
  <c r="S501" i="43"/>
  <c r="S500" i="43"/>
  <c r="S499" i="43"/>
  <c r="S498" i="43"/>
  <c r="S497" i="43"/>
  <c r="S496" i="43"/>
  <c r="S495" i="43"/>
  <c r="S494" i="43"/>
  <c r="S493" i="43"/>
  <c r="S492" i="43"/>
  <c r="S491" i="43"/>
  <c r="S490" i="43"/>
  <c r="S489" i="43"/>
  <c r="S488" i="43"/>
  <c r="S487" i="43"/>
  <c r="S486" i="43"/>
  <c r="S485" i="43"/>
  <c r="S484" i="43"/>
  <c r="S483" i="43"/>
  <c r="S482" i="43"/>
  <c r="S481" i="43"/>
  <c r="S480" i="43"/>
  <c r="S479" i="43"/>
  <c r="S478" i="43"/>
  <c r="S477" i="43"/>
  <c r="S476" i="43"/>
  <c r="S475" i="43"/>
  <c r="S474" i="43"/>
  <c r="S473" i="43"/>
  <c r="S472" i="43"/>
  <c r="S471" i="43"/>
  <c r="S470" i="43"/>
  <c r="S469" i="43"/>
  <c r="S468" i="43"/>
  <c r="S467" i="43"/>
  <c r="S466" i="43"/>
  <c r="S465" i="43"/>
  <c r="S464" i="43"/>
  <c r="S463" i="43"/>
  <c r="S462" i="43"/>
  <c r="S461" i="43"/>
  <c r="S460" i="43"/>
  <c r="S459" i="43"/>
  <c r="S458" i="43"/>
  <c r="S457" i="43"/>
  <c r="S456" i="43"/>
  <c r="S455" i="43"/>
  <c r="S454" i="43"/>
  <c r="S453" i="43"/>
  <c r="S452" i="43"/>
  <c r="S451" i="43"/>
  <c r="S450" i="43"/>
  <c r="S449" i="43"/>
  <c r="S448" i="43"/>
  <c r="S447" i="43"/>
  <c r="S446" i="43"/>
  <c r="S445" i="43"/>
  <c r="S444" i="43"/>
  <c r="S443" i="43"/>
  <c r="S442" i="43"/>
  <c r="S441" i="43"/>
  <c r="S440" i="43"/>
  <c r="S439" i="43"/>
  <c r="S438" i="43"/>
  <c r="S437" i="43"/>
  <c r="S436" i="43"/>
  <c r="S435" i="43"/>
  <c r="S434" i="43"/>
  <c r="S433" i="43"/>
  <c r="S432" i="43"/>
  <c r="S431" i="43"/>
  <c r="S430" i="43"/>
  <c r="S429" i="43"/>
  <c r="S428" i="43"/>
  <c r="S427" i="43"/>
  <c r="S426" i="43"/>
  <c r="S425" i="43"/>
  <c r="S424" i="43"/>
  <c r="S423" i="43"/>
  <c r="S422" i="43"/>
  <c r="S421" i="43"/>
  <c r="S420" i="43"/>
  <c r="S419" i="43"/>
  <c r="S418" i="43"/>
  <c r="S417" i="43"/>
  <c r="S416" i="43"/>
  <c r="S415" i="43"/>
  <c r="S414" i="43"/>
  <c r="S413" i="43"/>
  <c r="S412" i="43"/>
  <c r="S411" i="43"/>
  <c r="S410" i="43"/>
  <c r="S409" i="43"/>
  <c r="S408" i="43"/>
  <c r="S407" i="43"/>
  <c r="S406" i="43"/>
  <c r="S405" i="43"/>
  <c r="S404" i="43"/>
  <c r="S403" i="43"/>
  <c r="S402" i="43"/>
  <c r="S401" i="43"/>
  <c r="S400" i="43"/>
  <c r="S399" i="43"/>
  <c r="S398" i="43"/>
  <c r="S397" i="43"/>
  <c r="S396" i="43"/>
  <c r="S395" i="43"/>
  <c r="S394" i="43"/>
  <c r="S393" i="43"/>
  <c r="S392" i="43"/>
  <c r="S391" i="43"/>
  <c r="S390" i="43"/>
  <c r="S389" i="43"/>
  <c r="S388" i="43"/>
  <c r="S387" i="43"/>
  <c r="S386" i="43"/>
  <c r="S385" i="43"/>
  <c r="S384" i="43"/>
  <c r="S383" i="43"/>
  <c r="S382" i="43"/>
  <c r="S381" i="43"/>
  <c r="S380" i="43"/>
  <c r="S379" i="43"/>
  <c r="S378" i="43"/>
  <c r="S377" i="43"/>
  <c r="S376" i="43"/>
  <c r="S375" i="43"/>
  <c r="S374" i="43"/>
  <c r="S373" i="43"/>
  <c r="S372" i="43"/>
  <c r="S371" i="43"/>
  <c r="S370" i="43"/>
  <c r="S369" i="43"/>
  <c r="S368" i="43"/>
  <c r="S367" i="43"/>
  <c r="S366" i="43"/>
  <c r="S365" i="43"/>
  <c r="S364" i="43"/>
  <c r="S363" i="43"/>
  <c r="S362" i="43"/>
  <c r="S361" i="43"/>
  <c r="S360" i="43"/>
  <c r="S359" i="43"/>
  <c r="S358" i="43"/>
  <c r="S357" i="43"/>
  <c r="S356" i="43"/>
  <c r="S355" i="43"/>
  <c r="S354" i="43"/>
  <c r="S353" i="43"/>
  <c r="S352" i="43"/>
  <c r="S351" i="43"/>
  <c r="S350" i="43"/>
  <c r="S349" i="43"/>
  <c r="S348" i="43"/>
  <c r="S347" i="43"/>
  <c r="S346" i="43"/>
  <c r="S345" i="43"/>
  <c r="S344" i="43"/>
  <c r="S343" i="43"/>
  <c r="S342" i="43"/>
  <c r="S341" i="43"/>
  <c r="S340" i="43"/>
  <c r="S339" i="43"/>
  <c r="S338" i="43"/>
  <c r="S337" i="43"/>
  <c r="S336" i="43"/>
  <c r="S335" i="43"/>
  <c r="S334" i="43"/>
  <c r="S333" i="43"/>
  <c r="S332" i="43"/>
  <c r="S331" i="43"/>
  <c r="S330" i="43"/>
  <c r="S329" i="43"/>
  <c r="S328" i="43"/>
  <c r="S327" i="43"/>
  <c r="S326" i="43"/>
  <c r="S325" i="43"/>
  <c r="S324" i="43"/>
  <c r="S323" i="43"/>
  <c r="S322" i="43"/>
  <c r="S321" i="43"/>
  <c r="S320" i="43"/>
  <c r="S319" i="43"/>
  <c r="S318" i="43"/>
  <c r="S317" i="43"/>
  <c r="S316" i="43"/>
  <c r="S315" i="43"/>
  <c r="S314" i="43"/>
  <c r="S313" i="43"/>
  <c r="S312" i="43"/>
  <c r="S311" i="43"/>
  <c r="S310" i="43"/>
  <c r="S309" i="43"/>
  <c r="S308" i="43"/>
  <c r="S307" i="43"/>
  <c r="S306" i="43"/>
  <c r="S305" i="43"/>
  <c r="S304" i="43"/>
  <c r="S303" i="43"/>
  <c r="S302" i="43"/>
  <c r="S301" i="43"/>
  <c r="S300" i="43"/>
  <c r="S299" i="43"/>
  <c r="S298" i="43"/>
  <c r="S297" i="43"/>
  <c r="S296" i="43"/>
  <c r="S295" i="43"/>
  <c r="S294" i="43"/>
  <c r="S293" i="43"/>
  <c r="S292" i="43"/>
  <c r="S291" i="43"/>
  <c r="S290" i="43"/>
  <c r="S289" i="43"/>
  <c r="S288" i="43"/>
  <c r="S287" i="43"/>
  <c r="S517" i="43"/>
  <c r="F797" i="43"/>
  <c r="F798" i="43" s="1"/>
  <c r="F799" i="43" s="1"/>
  <c r="F800" i="43" s="1"/>
  <c r="F801" i="43" s="1"/>
  <c r="F802" i="43" s="1"/>
  <c r="F803" i="43" s="1"/>
  <c r="F804" i="43" s="1"/>
  <c r="F805" i="43" s="1"/>
  <c r="F806" i="43" s="1"/>
  <c r="F807" i="43" s="1"/>
  <c r="F808" i="43" s="1"/>
  <c r="F809" i="43" s="1"/>
  <c r="F810" i="43" s="1"/>
  <c r="F811" i="43" s="1"/>
  <c r="F812" i="43" s="1"/>
  <c r="F813" i="43" s="1"/>
  <c r="F814" i="43" s="1"/>
  <c r="F815" i="43" s="1"/>
  <c r="K286" i="62"/>
  <c r="J286" i="62"/>
  <c r="H286" i="62"/>
  <c r="E286" i="62"/>
  <c r="K285" i="62"/>
  <c r="J285" i="62"/>
  <c r="H285" i="62"/>
  <c r="E285" i="62"/>
  <c r="K284" i="62"/>
  <c r="J284" i="62"/>
  <c r="H284" i="62"/>
  <c r="E284" i="62"/>
  <c r="K283" i="62"/>
  <c r="J283" i="62"/>
  <c r="H283" i="62"/>
  <c r="E283" i="62"/>
  <c r="K282" i="62"/>
  <c r="J282" i="62"/>
  <c r="H282" i="62"/>
  <c r="E282" i="62"/>
  <c r="K281" i="62"/>
  <c r="J281" i="62"/>
  <c r="H281" i="62"/>
  <c r="E281" i="62"/>
  <c r="K280" i="62"/>
  <c r="J280" i="62"/>
  <c r="H280" i="62"/>
  <c r="E280" i="62"/>
  <c r="K279" i="62"/>
  <c r="J279" i="62"/>
  <c r="H279" i="62"/>
  <c r="E279" i="62"/>
  <c r="K278" i="62"/>
  <c r="J278" i="62"/>
  <c r="H278" i="62"/>
  <c r="E278" i="62"/>
  <c r="K277" i="62"/>
  <c r="J277" i="62"/>
  <c r="H277" i="62"/>
  <c r="E277" i="62"/>
  <c r="K276" i="62"/>
  <c r="J276" i="62"/>
  <c r="H276" i="62"/>
  <c r="E276" i="62"/>
  <c r="K275" i="62"/>
  <c r="J275" i="62"/>
  <c r="H275" i="62"/>
  <c r="E275" i="62"/>
  <c r="K274" i="62"/>
  <c r="J274" i="62"/>
  <c r="H274" i="62"/>
  <c r="E274" i="62"/>
  <c r="K273" i="62"/>
  <c r="J273" i="62"/>
  <c r="H273" i="62"/>
  <c r="E273" i="62"/>
  <c r="K272" i="62"/>
  <c r="J272" i="62"/>
  <c r="H272" i="62"/>
  <c r="E272" i="62"/>
  <c r="K271" i="62"/>
  <c r="J271" i="62"/>
  <c r="H271" i="62"/>
  <c r="E271" i="62"/>
  <c r="K270" i="62"/>
  <c r="J270" i="62"/>
  <c r="H270" i="62"/>
  <c r="E270" i="62"/>
  <c r="K269" i="62"/>
  <c r="J269" i="62"/>
  <c r="H269" i="62"/>
  <c r="E269" i="62"/>
  <c r="K268" i="62"/>
  <c r="J268" i="62"/>
  <c r="H268" i="62"/>
  <c r="E268" i="62"/>
  <c r="K267" i="62"/>
  <c r="J267" i="62"/>
  <c r="H267" i="62"/>
  <c r="E267" i="62"/>
  <c r="K266" i="62"/>
  <c r="J266" i="62"/>
  <c r="H266" i="62"/>
  <c r="E266" i="62"/>
  <c r="K265" i="62"/>
  <c r="J265" i="62"/>
  <c r="H265" i="62"/>
  <c r="E265" i="62"/>
  <c r="K264" i="62"/>
  <c r="J264" i="62"/>
  <c r="H264" i="62"/>
  <c r="E264" i="62"/>
  <c r="K263" i="62"/>
  <c r="J263" i="62"/>
  <c r="H263" i="62"/>
  <c r="E263" i="62"/>
  <c r="K262" i="62"/>
  <c r="J262" i="62"/>
  <c r="H262" i="62"/>
  <c r="E262" i="62"/>
  <c r="K261" i="62"/>
  <c r="J261" i="62"/>
  <c r="H261" i="62"/>
  <c r="E261" i="62"/>
  <c r="K260" i="62"/>
  <c r="J260" i="62"/>
  <c r="H260" i="62"/>
  <c r="E260" i="62"/>
  <c r="K259" i="62"/>
  <c r="J259" i="62"/>
  <c r="H259" i="62"/>
  <c r="E259" i="62"/>
  <c r="K258" i="62"/>
  <c r="J258" i="62"/>
  <c r="H258" i="62"/>
  <c r="E258" i="62"/>
  <c r="K257" i="62"/>
  <c r="J257" i="62"/>
  <c r="H257" i="62"/>
  <c r="E257" i="62"/>
  <c r="K256" i="62"/>
  <c r="J256" i="62"/>
  <c r="H256" i="62"/>
  <c r="E256" i="62"/>
  <c r="K255" i="62"/>
  <c r="J255" i="62"/>
  <c r="H255" i="62"/>
  <c r="E255" i="62"/>
  <c r="K254" i="62"/>
  <c r="J254" i="62"/>
  <c r="H254" i="62"/>
  <c r="E254" i="62"/>
  <c r="K253" i="62"/>
  <c r="J253" i="62"/>
  <c r="H253" i="62"/>
  <c r="E253" i="62"/>
  <c r="K252" i="62"/>
  <c r="J252" i="62"/>
  <c r="H252" i="62"/>
  <c r="E252" i="62"/>
  <c r="K251" i="62"/>
  <c r="J251" i="62"/>
  <c r="H251" i="62"/>
  <c r="E251" i="62"/>
  <c r="K250" i="62"/>
  <c r="J250" i="62"/>
  <c r="H250" i="62"/>
  <c r="E250" i="62"/>
  <c r="K249" i="62"/>
  <c r="J249" i="62"/>
  <c r="H249" i="62"/>
  <c r="E249" i="62"/>
  <c r="K248" i="62"/>
  <c r="J248" i="62"/>
  <c r="H248" i="62"/>
  <c r="E248" i="62"/>
  <c r="K247" i="62"/>
  <c r="J247" i="62"/>
  <c r="H247" i="62"/>
  <c r="E247" i="62"/>
  <c r="K246" i="62"/>
  <c r="J246" i="62"/>
  <c r="H246" i="62"/>
  <c r="E246" i="62"/>
  <c r="K245" i="62"/>
  <c r="J245" i="62"/>
  <c r="H245" i="62"/>
  <c r="E245" i="62"/>
  <c r="K244" i="62"/>
  <c r="J244" i="62"/>
  <c r="H244" i="62"/>
  <c r="E244" i="62"/>
  <c r="K243" i="62"/>
  <c r="J243" i="62"/>
  <c r="H243" i="62"/>
  <c r="E243" i="62"/>
  <c r="K242" i="62"/>
  <c r="J242" i="62"/>
  <c r="H242" i="62"/>
  <c r="E242" i="62"/>
  <c r="K241" i="62"/>
  <c r="J241" i="62"/>
  <c r="H241" i="62"/>
  <c r="E241" i="62"/>
  <c r="K240" i="62"/>
  <c r="J240" i="62"/>
  <c r="H240" i="62"/>
  <c r="E240" i="62"/>
  <c r="K239" i="62"/>
  <c r="J239" i="62"/>
  <c r="H239" i="62"/>
  <c r="E239" i="62"/>
  <c r="K238" i="62"/>
  <c r="J238" i="62"/>
  <c r="H238" i="62"/>
  <c r="E238" i="62"/>
  <c r="K237" i="62"/>
  <c r="J237" i="62"/>
  <c r="H237" i="62"/>
  <c r="E237" i="62"/>
  <c r="K236" i="62"/>
  <c r="J236" i="62"/>
  <c r="H236" i="62"/>
  <c r="E236" i="62"/>
  <c r="K235" i="62"/>
  <c r="J235" i="62"/>
  <c r="H235" i="62"/>
  <c r="E235" i="62"/>
  <c r="K234" i="62"/>
  <c r="J234" i="62"/>
  <c r="H234" i="62"/>
  <c r="E234" i="62"/>
  <c r="K233" i="62"/>
  <c r="J233" i="62"/>
  <c r="H233" i="62"/>
  <c r="E233" i="62"/>
  <c r="K232" i="62"/>
  <c r="J232" i="62"/>
  <c r="H232" i="62"/>
  <c r="E232" i="62"/>
  <c r="K231" i="62"/>
  <c r="J231" i="62"/>
  <c r="H231" i="62"/>
  <c r="E231" i="62"/>
  <c r="K230" i="62"/>
  <c r="J230" i="62"/>
  <c r="H230" i="62"/>
  <c r="E230" i="62"/>
  <c r="K229" i="62"/>
  <c r="J229" i="62"/>
  <c r="H229" i="62"/>
  <c r="E229" i="62"/>
  <c r="K228" i="62"/>
  <c r="J228" i="62"/>
  <c r="H228" i="62"/>
  <c r="E228" i="62"/>
  <c r="K227" i="62"/>
  <c r="J227" i="62"/>
  <c r="H227" i="62"/>
  <c r="E227" i="62"/>
  <c r="K226" i="62"/>
  <c r="J226" i="62"/>
  <c r="H226" i="62"/>
  <c r="E226" i="62"/>
  <c r="K225" i="62"/>
  <c r="J225" i="62"/>
  <c r="H225" i="62"/>
  <c r="E225" i="62"/>
  <c r="K224" i="62"/>
  <c r="J224" i="62"/>
  <c r="H224" i="62"/>
  <c r="E224" i="62"/>
  <c r="K223" i="62"/>
  <c r="J223" i="62"/>
  <c r="H223" i="62"/>
  <c r="E223" i="62"/>
  <c r="K222" i="62"/>
  <c r="J222" i="62"/>
  <c r="H222" i="62"/>
  <c r="E222" i="62"/>
  <c r="K221" i="62"/>
  <c r="J221" i="62"/>
  <c r="H221" i="62"/>
  <c r="E221" i="62"/>
  <c r="K220" i="62"/>
  <c r="J220" i="62"/>
  <c r="H220" i="62"/>
  <c r="E220" i="62"/>
  <c r="K219" i="62"/>
  <c r="J219" i="62"/>
  <c r="H219" i="62"/>
  <c r="E219" i="62"/>
  <c r="K218" i="62"/>
  <c r="J218" i="62"/>
  <c r="H218" i="62"/>
  <c r="E218" i="62"/>
  <c r="K217" i="62"/>
  <c r="J217" i="62"/>
  <c r="H217" i="62"/>
  <c r="E217" i="62"/>
  <c r="K216" i="62"/>
  <c r="J216" i="62"/>
  <c r="H216" i="62"/>
  <c r="E216" i="62"/>
  <c r="K215" i="62"/>
  <c r="J215" i="62"/>
  <c r="H215" i="62"/>
  <c r="E215" i="62"/>
  <c r="K214" i="62"/>
  <c r="J214" i="62"/>
  <c r="H214" i="62"/>
  <c r="E214" i="62"/>
  <c r="K213" i="62"/>
  <c r="J213" i="62"/>
  <c r="H213" i="62"/>
  <c r="E213" i="62"/>
  <c r="K212" i="62"/>
  <c r="J212" i="62"/>
  <c r="H212" i="62"/>
  <c r="E212" i="62"/>
  <c r="K211" i="62"/>
  <c r="J211" i="62"/>
  <c r="H211" i="62"/>
  <c r="E211" i="62"/>
  <c r="K210" i="62"/>
  <c r="J210" i="62"/>
  <c r="H210" i="62"/>
  <c r="E210" i="62"/>
  <c r="K209" i="62"/>
  <c r="J209" i="62"/>
  <c r="H209" i="62"/>
  <c r="E209" i="62"/>
  <c r="K208" i="62"/>
  <c r="J208" i="62"/>
  <c r="H208" i="62"/>
  <c r="E208" i="62"/>
  <c r="K207" i="62"/>
  <c r="J207" i="62"/>
  <c r="H207" i="62"/>
  <c r="E207" i="62"/>
  <c r="K206" i="62"/>
  <c r="J206" i="62"/>
  <c r="H206" i="62"/>
  <c r="E206" i="62"/>
  <c r="K205" i="62"/>
  <c r="J205" i="62"/>
  <c r="H205" i="62"/>
  <c r="E205" i="62"/>
  <c r="K204" i="62"/>
  <c r="J204" i="62"/>
  <c r="H204" i="62"/>
  <c r="E204" i="62"/>
  <c r="K203" i="62"/>
  <c r="J203" i="62"/>
  <c r="H203" i="62"/>
  <c r="E203" i="62"/>
  <c r="K202" i="62"/>
  <c r="J202" i="62"/>
  <c r="H202" i="62"/>
  <c r="E202" i="62"/>
  <c r="K201" i="62"/>
  <c r="J201" i="62"/>
  <c r="H201" i="62"/>
  <c r="E201" i="62"/>
  <c r="K200" i="62"/>
  <c r="J200" i="62"/>
  <c r="H200" i="62"/>
  <c r="E200" i="62"/>
  <c r="K199" i="62"/>
  <c r="J199" i="62"/>
  <c r="H199" i="62"/>
  <c r="E199" i="62"/>
  <c r="K198" i="62"/>
  <c r="J198" i="62"/>
  <c r="H198" i="62"/>
  <c r="E198" i="62"/>
  <c r="K197" i="62"/>
  <c r="J197" i="62"/>
  <c r="H197" i="62"/>
  <c r="E197" i="62"/>
  <c r="K196" i="62"/>
  <c r="J196" i="62"/>
  <c r="H196" i="62"/>
  <c r="E196" i="62"/>
  <c r="K195" i="62"/>
  <c r="J195" i="62"/>
  <c r="H195" i="62"/>
  <c r="E195" i="62"/>
  <c r="K194" i="62"/>
  <c r="J194" i="62"/>
  <c r="H194" i="62"/>
  <c r="E194" i="62"/>
  <c r="K193" i="62"/>
  <c r="J193" i="62"/>
  <c r="H193" i="62"/>
  <c r="E193" i="62"/>
  <c r="K192" i="62"/>
  <c r="J192" i="62"/>
  <c r="H192" i="62"/>
  <c r="E192" i="62"/>
  <c r="K191" i="62"/>
  <c r="J191" i="62"/>
  <c r="H191" i="62"/>
  <c r="E191" i="62"/>
  <c r="K190" i="62"/>
  <c r="J190" i="62"/>
  <c r="H190" i="62"/>
  <c r="E190" i="62"/>
  <c r="K189" i="62"/>
  <c r="J189" i="62"/>
  <c r="H189" i="62"/>
  <c r="E189" i="62"/>
  <c r="K188" i="62"/>
  <c r="J188" i="62"/>
  <c r="H188" i="62"/>
  <c r="E188" i="62"/>
  <c r="K187" i="62"/>
  <c r="J187" i="62"/>
  <c r="H187" i="62"/>
  <c r="E187" i="62"/>
  <c r="K186" i="62"/>
  <c r="J186" i="62"/>
  <c r="H186" i="62"/>
  <c r="E186" i="62"/>
  <c r="K185" i="62"/>
  <c r="J185" i="62"/>
  <c r="H185" i="62"/>
  <c r="E185" i="62"/>
  <c r="K184" i="62"/>
  <c r="J184" i="62"/>
  <c r="H184" i="62"/>
  <c r="E184" i="62"/>
  <c r="K183" i="62"/>
  <c r="J183" i="62"/>
  <c r="H183" i="62"/>
  <c r="E183" i="62"/>
  <c r="K182" i="62"/>
  <c r="J182" i="62"/>
  <c r="H182" i="62"/>
  <c r="E182" i="62"/>
  <c r="K181" i="62"/>
  <c r="J181" i="62"/>
  <c r="H181" i="62"/>
  <c r="E181" i="62"/>
  <c r="K180" i="62"/>
  <c r="J180" i="62"/>
  <c r="H180" i="62"/>
  <c r="E180" i="62"/>
  <c r="K179" i="62"/>
  <c r="J179" i="62"/>
  <c r="H179" i="62"/>
  <c r="E179" i="62"/>
  <c r="K178" i="62"/>
  <c r="J178" i="62"/>
  <c r="H178" i="62"/>
  <c r="E178" i="62"/>
  <c r="K177" i="62"/>
  <c r="J177" i="62"/>
  <c r="H177" i="62"/>
  <c r="E177" i="62"/>
  <c r="K176" i="62"/>
  <c r="J176" i="62"/>
  <c r="H176" i="62"/>
  <c r="E176" i="62"/>
  <c r="K175" i="62"/>
  <c r="J175" i="62"/>
  <c r="H175" i="62"/>
  <c r="E175" i="62"/>
  <c r="K174" i="62"/>
  <c r="J174" i="62"/>
  <c r="H174" i="62"/>
  <c r="E174" i="62"/>
  <c r="K173" i="62"/>
  <c r="J173" i="62"/>
  <c r="H173" i="62"/>
  <c r="E173" i="62"/>
  <c r="K172" i="62"/>
  <c r="J172" i="62"/>
  <c r="H172" i="62"/>
  <c r="E172" i="62"/>
  <c r="K171" i="62"/>
  <c r="J171" i="62"/>
  <c r="H171" i="62"/>
  <c r="E171" i="62"/>
  <c r="K170" i="62"/>
  <c r="J170" i="62"/>
  <c r="H170" i="62"/>
  <c r="E170" i="62"/>
  <c r="K169" i="62"/>
  <c r="J169" i="62"/>
  <c r="H169" i="62"/>
  <c r="E169" i="62"/>
  <c r="K168" i="62"/>
  <c r="J168" i="62"/>
  <c r="H168" i="62"/>
  <c r="E168" i="62"/>
  <c r="K167" i="62"/>
  <c r="J167" i="62"/>
  <c r="H167" i="62"/>
  <c r="E167" i="62"/>
  <c r="K166" i="62"/>
  <c r="J166" i="62"/>
  <c r="H166" i="62"/>
  <c r="E166" i="62"/>
  <c r="K165" i="62"/>
  <c r="J165" i="62"/>
  <c r="H165" i="62"/>
  <c r="E165" i="62"/>
  <c r="K164" i="62"/>
  <c r="J164" i="62"/>
  <c r="H164" i="62"/>
  <c r="E164" i="62"/>
  <c r="K163" i="62"/>
  <c r="J163" i="62"/>
  <c r="H163" i="62"/>
  <c r="E163" i="62"/>
  <c r="K162" i="62"/>
  <c r="J162" i="62"/>
  <c r="H162" i="62"/>
  <c r="E162" i="62"/>
  <c r="K161" i="62"/>
  <c r="J161" i="62"/>
  <c r="H161" i="62"/>
  <c r="E161" i="62"/>
  <c r="K160" i="62"/>
  <c r="J160" i="62"/>
  <c r="H160" i="62"/>
  <c r="E160" i="62"/>
  <c r="K159" i="62"/>
  <c r="J159" i="62"/>
  <c r="H159" i="62"/>
  <c r="E159" i="62"/>
  <c r="K158" i="62"/>
  <c r="J158" i="62"/>
  <c r="H158" i="62"/>
  <c r="E158" i="62"/>
  <c r="K157" i="62"/>
  <c r="J157" i="62"/>
  <c r="H157" i="62"/>
  <c r="E157" i="62"/>
  <c r="K156" i="62"/>
  <c r="J156" i="62"/>
  <c r="H156" i="62"/>
  <c r="E156" i="62"/>
  <c r="K155" i="62"/>
  <c r="J155" i="62"/>
  <c r="H155" i="62"/>
  <c r="E155" i="62"/>
  <c r="K154" i="62"/>
  <c r="J154" i="62"/>
  <c r="H154" i="62"/>
  <c r="E154" i="62"/>
  <c r="K153" i="62"/>
  <c r="J153" i="62"/>
  <c r="H153" i="62"/>
  <c r="E153" i="62"/>
  <c r="K152" i="62"/>
  <c r="J152" i="62"/>
  <c r="H152" i="62"/>
  <c r="E152" i="62"/>
  <c r="K151" i="62"/>
  <c r="J151" i="62"/>
  <c r="H151" i="62"/>
  <c r="E151" i="62"/>
  <c r="K150" i="62"/>
  <c r="J150" i="62"/>
  <c r="H150" i="62"/>
  <c r="E150" i="62"/>
  <c r="K149" i="62"/>
  <c r="J149" i="62"/>
  <c r="H149" i="62"/>
  <c r="E149" i="62"/>
  <c r="K148" i="62"/>
  <c r="J148" i="62"/>
  <c r="H148" i="62"/>
  <c r="E148" i="62"/>
  <c r="K147" i="62"/>
  <c r="J147" i="62"/>
  <c r="H147" i="62"/>
  <c r="E147" i="62"/>
  <c r="K146" i="62"/>
  <c r="J146" i="62"/>
  <c r="H146" i="62"/>
  <c r="E146" i="62"/>
  <c r="K145" i="62"/>
  <c r="J145" i="62"/>
  <c r="H145" i="62"/>
  <c r="E145" i="62"/>
  <c r="K144" i="62"/>
  <c r="J144" i="62"/>
  <c r="H144" i="62"/>
  <c r="E144" i="62"/>
  <c r="K143" i="62"/>
  <c r="J143" i="62"/>
  <c r="H143" i="62"/>
  <c r="E143" i="62"/>
  <c r="K142" i="62"/>
  <c r="J142" i="62"/>
  <c r="H142" i="62"/>
  <c r="E142" i="62"/>
  <c r="K141" i="62"/>
  <c r="J141" i="62"/>
  <c r="H141" i="62"/>
  <c r="E141" i="62"/>
  <c r="K140" i="62"/>
  <c r="J140" i="62"/>
  <c r="H140" i="62"/>
  <c r="E140" i="62"/>
  <c r="K139" i="62"/>
  <c r="J139" i="62"/>
  <c r="H139" i="62"/>
  <c r="E139" i="62"/>
  <c r="K138" i="62"/>
  <c r="J138" i="62"/>
  <c r="H138" i="62"/>
  <c r="E138" i="62"/>
  <c r="K137" i="62"/>
  <c r="J137" i="62"/>
  <c r="H137" i="62"/>
  <c r="E137" i="62"/>
  <c r="K136" i="62"/>
  <c r="J136" i="62"/>
  <c r="H136" i="62"/>
  <c r="E136" i="62"/>
  <c r="K135" i="62"/>
  <c r="J135" i="62"/>
  <c r="H135" i="62"/>
  <c r="E135" i="62"/>
  <c r="K134" i="62"/>
  <c r="J134" i="62"/>
  <c r="H134" i="62"/>
  <c r="E134" i="62"/>
  <c r="K133" i="62"/>
  <c r="J133" i="62"/>
  <c r="H133" i="62"/>
  <c r="E133" i="62"/>
  <c r="K132" i="62"/>
  <c r="J132" i="62"/>
  <c r="H132" i="62"/>
  <c r="E132" i="62"/>
  <c r="K131" i="62"/>
  <c r="J131" i="62"/>
  <c r="H131" i="62"/>
  <c r="E131" i="62"/>
  <c r="K130" i="62"/>
  <c r="J130" i="62"/>
  <c r="H130" i="62"/>
  <c r="E130" i="62"/>
  <c r="K129" i="62"/>
  <c r="J129" i="62"/>
  <c r="H129" i="62"/>
  <c r="E129" i="62"/>
  <c r="K128" i="62"/>
  <c r="J128" i="62"/>
  <c r="H128" i="62"/>
  <c r="E128" i="62"/>
  <c r="K127" i="62"/>
  <c r="J127" i="62"/>
  <c r="H127" i="62"/>
  <c r="E127" i="62"/>
  <c r="K126" i="62"/>
  <c r="J126" i="62"/>
  <c r="H126" i="62"/>
  <c r="E126" i="62"/>
  <c r="K125" i="62"/>
  <c r="J125" i="62"/>
  <c r="H125" i="62"/>
  <c r="E125" i="62"/>
  <c r="K124" i="62"/>
  <c r="J124" i="62"/>
  <c r="H124" i="62"/>
  <c r="E124" i="62"/>
  <c r="K123" i="62"/>
  <c r="J123" i="62"/>
  <c r="H123" i="62"/>
  <c r="E123" i="62"/>
  <c r="K122" i="62"/>
  <c r="J122" i="62"/>
  <c r="H122" i="62"/>
  <c r="E122" i="62"/>
  <c r="K121" i="62"/>
  <c r="J121" i="62"/>
  <c r="H121" i="62"/>
  <c r="E121" i="62"/>
  <c r="K120" i="62"/>
  <c r="J120" i="62"/>
  <c r="H120" i="62"/>
  <c r="E120" i="62"/>
  <c r="K119" i="62"/>
  <c r="J119" i="62"/>
  <c r="H119" i="62"/>
  <c r="E119" i="62"/>
  <c r="K118" i="62"/>
  <c r="J118" i="62"/>
  <c r="H118" i="62"/>
  <c r="E118" i="62"/>
  <c r="K117" i="62"/>
  <c r="J117" i="62"/>
  <c r="H117" i="62"/>
  <c r="E117" i="62"/>
  <c r="K116" i="62"/>
  <c r="J116" i="62"/>
  <c r="H116" i="62"/>
  <c r="E116" i="62"/>
  <c r="K115" i="62"/>
  <c r="J115" i="62"/>
  <c r="H115" i="62"/>
  <c r="E115" i="62"/>
  <c r="K114" i="62"/>
  <c r="J114" i="62"/>
  <c r="H114" i="62"/>
  <c r="E114" i="62"/>
  <c r="K113" i="62"/>
  <c r="J113" i="62"/>
  <c r="H113" i="62"/>
  <c r="E113" i="62"/>
  <c r="K112" i="62"/>
  <c r="J112" i="62"/>
  <c r="H112" i="62"/>
  <c r="E112" i="62"/>
  <c r="K111" i="62"/>
  <c r="J111" i="62"/>
  <c r="H111" i="62"/>
  <c r="E111" i="62"/>
  <c r="K110" i="62"/>
  <c r="J110" i="62"/>
  <c r="H110" i="62"/>
  <c r="E110" i="62"/>
  <c r="K109" i="62"/>
  <c r="J109" i="62"/>
  <c r="H109" i="62"/>
  <c r="E109" i="62"/>
  <c r="K108" i="62"/>
  <c r="J108" i="62"/>
  <c r="H108" i="62"/>
  <c r="E108" i="62"/>
  <c r="K107" i="62"/>
  <c r="J107" i="62"/>
  <c r="H107" i="62"/>
  <c r="E107" i="62"/>
  <c r="K106" i="62"/>
  <c r="J106" i="62"/>
  <c r="H106" i="62"/>
  <c r="E106" i="62"/>
  <c r="K105" i="62"/>
  <c r="J105" i="62"/>
  <c r="H105" i="62"/>
  <c r="E105" i="62"/>
  <c r="K104" i="62"/>
  <c r="J104" i="62"/>
  <c r="H104" i="62"/>
  <c r="E104" i="62"/>
  <c r="K103" i="62"/>
  <c r="J103" i="62"/>
  <c r="H103" i="62"/>
  <c r="E103" i="62"/>
  <c r="K102" i="62"/>
  <c r="J102" i="62"/>
  <c r="H102" i="62"/>
  <c r="E102" i="62"/>
  <c r="K101" i="62"/>
  <c r="J101" i="62"/>
  <c r="H101" i="62"/>
  <c r="E101" i="62"/>
  <c r="K100" i="62"/>
  <c r="J100" i="62"/>
  <c r="H100" i="62"/>
  <c r="E100" i="62"/>
  <c r="K99" i="62"/>
  <c r="J99" i="62"/>
  <c r="H99" i="62"/>
  <c r="E99" i="62"/>
  <c r="K98" i="62"/>
  <c r="J98" i="62"/>
  <c r="H98" i="62"/>
  <c r="E98" i="62"/>
  <c r="K97" i="62"/>
  <c r="J97" i="62"/>
  <c r="H97" i="62"/>
  <c r="E97" i="62"/>
  <c r="K96" i="62"/>
  <c r="J96" i="62"/>
  <c r="H96" i="62"/>
  <c r="E96" i="62"/>
  <c r="K95" i="62"/>
  <c r="J95" i="62"/>
  <c r="H95" i="62"/>
  <c r="E95" i="62"/>
  <c r="K94" i="62"/>
  <c r="J94" i="62"/>
  <c r="H94" i="62"/>
  <c r="E94" i="62"/>
  <c r="K93" i="62"/>
  <c r="J93" i="62"/>
  <c r="H93" i="62"/>
  <c r="E93" i="62"/>
  <c r="K92" i="62"/>
  <c r="J92" i="62"/>
  <c r="H92" i="62"/>
  <c r="E92" i="62"/>
  <c r="K91" i="62"/>
  <c r="J91" i="62"/>
  <c r="H91" i="62"/>
  <c r="E91" i="62"/>
  <c r="K90" i="62"/>
  <c r="J90" i="62"/>
  <c r="H90" i="62"/>
  <c r="E90" i="62"/>
  <c r="K89" i="62"/>
  <c r="J89" i="62"/>
  <c r="H89" i="62"/>
  <c r="E89" i="62"/>
  <c r="K88" i="62"/>
  <c r="J88" i="62"/>
  <c r="H88" i="62"/>
  <c r="E88" i="62"/>
  <c r="K87" i="62"/>
  <c r="J87" i="62"/>
  <c r="H87" i="62"/>
  <c r="E87" i="62"/>
  <c r="K86" i="62"/>
  <c r="J86" i="62"/>
  <c r="H86" i="62"/>
  <c r="E86" i="62"/>
  <c r="K85" i="62"/>
  <c r="J85" i="62"/>
  <c r="H85" i="62"/>
  <c r="E85" i="62"/>
  <c r="K84" i="62"/>
  <c r="J84" i="62"/>
  <c r="H84" i="62"/>
  <c r="E84" i="62"/>
  <c r="K83" i="62"/>
  <c r="J83" i="62"/>
  <c r="H83" i="62"/>
  <c r="E83" i="62"/>
  <c r="K82" i="62"/>
  <c r="J82" i="62"/>
  <c r="H82" i="62"/>
  <c r="E82" i="62"/>
  <c r="K81" i="62"/>
  <c r="J81" i="62"/>
  <c r="H81" i="62"/>
  <c r="E81" i="62"/>
  <c r="K80" i="62"/>
  <c r="J80" i="62"/>
  <c r="H80" i="62"/>
  <c r="E80" i="62"/>
  <c r="K79" i="62"/>
  <c r="J79" i="62"/>
  <c r="H79" i="62"/>
  <c r="E79" i="62"/>
  <c r="K78" i="62"/>
  <c r="J78" i="62"/>
  <c r="H78" i="62"/>
  <c r="E78" i="62"/>
  <c r="K77" i="62"/>
  <c r="J77" i="62"/>
  <c r="H77" i="62"/>
  <c r="E77" i="62"/>
  <c r="K76" i="62"/>
  <c r="J76" i="62"/>
  <c r="H76" i="62"/>
  <c r="E76" i="62"/>
  <c r="K75" i="62"/>
  <c r="J75" i="62"/>
  <c r="H75" i="62"/>
  <c r="E75" i="62"/>
  <c r="K74" i="62"/>
  <c r="J74" i="62"/>
  <c r="H74" i="62"/>
  <c r="E74" i="62"/>
  <c r="K73" i="62"/>
  <c r="J73" i="62"/>
  <c r="H73" i="62"/>
  <c r="E73" i="62"/>
  <c r="K72" i="62"/>
  <c r="J72" i="62"/>
  <c r="H72" i="62"/>
  <c r="E72" i="62"/>
  <c r="K71" i="62"/>
  <c r="J71" i="62"/>
  <c r="H71" i="62"/>
  <c r="E71" i="62"/>
  <c r="K70" i="62"/>
  <c r="J70" i="62"/>
  <c r="H70" i="62"/>
  <c r="E70" i="62"/>
  <c r="K69" i="62"/>
  <c r="J69" i="62"/>
  <c r="H69" i="62"/>
  <c r="E69" i="62"/>
  <c r="K68" i="62"/>
  <c r="J68" i="62"/>
  <c r="H68" i="62"/>
  <c r="E68" i="62"/>
  <c r="K67" i="62"/>
  <c r="J67" i="62"/>
  <c r="H67" i="62"/>
  <c r="E67" i="62"/>
  <c r="K66" i="62"/>
  <c r="J66" i="62"/>
  <c r="H66" i="62"/>
  <c r="E66" i="62"/>
  <c r="K65" i="62"/>
  <c r="J65" i="62"/>
  <c r="H65" i="62"/>
  <c r="E65" i="62"/>
  <c r="K64" i="62"/>
  <c r="J64" i="62"/>
  <c r="H64" i="62"/>
  <c r="E64" i="62"/>
  <c r="K63" i="62"/>
  <c r="J63" i="62"/>
  <c r="H63" i="62"/>
  <c r="E63" i="62"/>
  <c r="K62" i="62"/>
  <c r="J62" i="62"/>
  <c r="H62" i="62"/>
  <c r="E62" i="62"/>
  <c r="K61" i="62"/>
  <c r="J61" i="62"/>
  <c r="H61" i="62"/>
  <c r="E61" i="62"/>
  <c r="K60" i="62"/>
  <c r="J60" i="62"/>
  <c r="H60" i="62"/>
  <c r="E60" i="62"/>
  <c r="K59" i="62"/>
  <c r="J59" i="62"/>
  <c r="H59" i="62"/>
  <c r="E59" i="62"/>
  <c r="K58" i="62"/>
  <c r="J58" i="62"/>
  <c r="H58" i="62"/>
  <c r="E58" i="62"/>
  <c r="K57" i="62"/>
  <c r="J57" i="62"/>
  <c r="H57" i="62"/>
  <c r="E57" i="62"/>
  <c r="L538" i="62"/>
  <c r="K538" i="62"/>
  <c r="J538" i="62"/>
  <c r="I538" i="62"/>
  <c r="H538" i="62"/>
  <c r="G538" i="62"/>
  <c r="F538" i="62"/>
  <c r="L537" i="62"/>
  <c r="K537" i="62"/>
  <c r="J537" i="62"/>
  <c r="I537" i="62"/>
  <c r="H537" i="62"/>
  <c r="G537" i="62"/>
  <c r="F537" i="62"/>
  <c r="L536" i="62"/>
  <c r="K536" i="62"/>
  <c r="J536" i="62"/>
  <c r="I536" i="62"/>
  <c r="H536" i="62"/>
  <c r="G536" i="62"/>
  <c r="F536" i="62"/>
  <c r="L535" i="62"/>
  <c r="K535" i="62"/>
  <c r="J535" i="62"/>
  <c r="I535" i="62"/>
  <c r="H535" i="62"/>
  <c r="G535" i="62"/>
  <c r="F535" i="62"/>
  <c r="L534" i="62"/>
  <c r="K534" i="62"/>
  <c r="J534" i="62"/>
  <c r="I534" i="62"/>
  <c r="H534" i="62"/>
  <c r="G534" i="62"/>
  <c r="F534" i="62"/>
  <c r="L533" i="62"/>
  <c r="K533" i="62"/>
  <c r="J533" i="62"/>
  <c r="I533" i="62"/>
  <c r="H533" i="62"/>
  <c r="G533" i="62"/>
  <c r="F533" i="62"/>
  <c r="L532" i="62"/>
  <c r="K532" i="62"/>
  <c r="J532" i="62"/>
  <c r="I532" i="62"/>
  <c r="H532" i="62"/>
  <c r="G532" i="62"/>
  <c r="F532" i="62"/>
  <c r="L531" i="62"/>
  <c r="K531" i="62"/>
  <c r="J531" i="62"/>
  <c r="I531" i="62"/>
  <c r="H531" i="62"/>
  <c r="G531" i="62"/>
  <c r="F531" i="62"/>
  <c r="L530" i="62"/>
  <c r="K530" i="62"/>
  <c r="J530" i="62"/>
  <c r="I530" i="62"/>
  <c r="H530" i="62"/>
  <c r="G530" i="62"/>
  <c r="F530" i="62"/>
  <c r="L529" i="62"/>
  <c r="K529" i="62"/>
  <c r="J529" i="62"/>
  <c r="I529" i="62"/>
  <c r="H529" i="62"/>
  <c r="G529" i="62"/>
  <c r="F529" i="62"/>
  <c r="L528" i="62"/>
  <c r="K528" i="62"/>
  <c r="J528" i="62"/>
  <c r="I528" i="62"/>
  <c r="H528" i="62"/>
  <c r="G528" i="62"/>
  <c r="F528" i="62"/>
  <c r="L527" i="62"/>
  <c r="K527" i="62"/>
  <c r="J527" i="62"/>
  <c r="I527" i="62"/>
  <c r="H527" i="62"/>
  <c r="G527" i="62"/>
  <c r="F527" i="62"/>
  <c r="L526" i="62"/>
  <c r="K526" i="62"/>
  <c r="J526" i="62"/>
  <c r="I526" i="62"/>
  <c r="H526" i="62"/>
  <c r="G526" i="62"/>
  <c r="F526" i="62"/>
  <c r="L525" i="62"/>
  <c r="K525" i="62"/>
  <c r="J525" i="62"/>
  <c r="I525" i="62"/>
  <c r="H525" i="62"/>
  <c r="G525" i="62"/>
  <c r="F525" i="62"/>
  <c r="L524" i="62"/>
  <c r="K524" i="62"/>
  <c r="J524" i="62"/>
  <c r="I524" i="62"/>
  <c r="H524" i="62"/>
  <c r="G524" i="62"/>
  <c r="F524" i="62"/>
  <c r="L523" i="62"/>
  <c r="K523" i="62"/>
  <c r="J523" i="62"/>
  <c r="I523" i="62"/>
  <c r="H523" i="62"/>
  <c r="G523" i="62"/>
  <c r="F523" i="62"/>
  <c r="L522" i="62"/>
  <c r="K522" i="62"/>
  <c r="J522" i="62"/>
  <c r="I522" i="62"/>
  <c r="H522" i="62"/>
  <c r="G522" i="62"/>
  <c r="F522" i="62"/>
  <c r="L521" i="62"/>
  <c r="K521" i="62"/>
  <c r="J521" i="62"/>
  <c r="I521" i="62"/>
  <c r="H521" i="62"/>
  <c r="G521" i="62"/>
  <c r="F521" i="62"/>
  <c r="L520" i="62"/>
  <c r="K520" i="62"/>
  <c r="J520" i="62"/>
  <c r="I520" i="62"/>
  <c r="H520" i="62"/>
  <c r="G520" i="62"/>
  <c r="F520" i="62"/>
  <c r="L519" i="62"/>
  <c r="K519" i="62"/>
  <c r="J519" i="62"/>
  <c r="I519" i="62"/>
  <c r="H519" i="62"/>
  <c r="G519" i="62"/>
  <c r="F519" i="62"/>
  <c r="L518" i="62"/>
  <c r="K518" i="62"/>
  <c r="J518" i="62"/>
  <c r="I518" i="62"/>
  <c r="H518" i="62"/>
  <c r="G518" i="62"/>
  <c r="F518" i="62"/>
  <c r="L517" i="62"/>
  <c r="K517" i="62"/>
  <c r="J517" i="62"/>
  <c r="I517" i="62"/>
  <c r="H517" i="62"/>
  <c r="G517" i="62"/>
  <c r="F517" i="62"/>
  <c r="L516" i="62"/>
  <c r="K516" i="62"/>
  <c r="J516" i="62"/>
  <c r="I516" i="62"/>
  <c r="H516" i="62"/>
  <c r="G516" i="62"/>
  <c r="F516" i="62"/>
  <c r="L515" i="62"/>
  <c r="K515" i="62"/>
  <c r="J515" i="62"/>
  <c r="I515" i="62"/>
  <c r="H515" i="62"/>
  <c r="G515" i="62"/>
  <c r="F515" i="62"/>
  <c r="L514" i="62"/>
  <c r="K514" i="62"/>
  <c r="J514" i="62"/>
  <c r="I514" i="62"/>
  <c r="H514" i="62"/>
  <c r="G514" i="62"/>
  <c r="F514" i="62"/>
  <c r="L513" i="62"/>
  <c r="K513" i="62"/>
  <c r="J513" i="62"/>
  <c r="I513" i="62"/>
  <c r="H513" i="62"/>
  <c r="G513" i="62"/>
  <c r="F513" i="62"/>
  <c r="L512" i="62"/>
  <c r="K512" i="62"/>
  <c r="J512" i="62"/>
  <c r="I512" i="62"/>
  <c r="H512" i="62"/>
  <c r="G512" i="62"/>
  <c r="F512" i="62"/>
  <c r="L511" i="62"/>
  <c r="K511" i="62"/>
  <c r="J511" i="62"/>
  <c r="I511" i="62"/>
  <c r="H511" i="62"/>
  <c r="G511" i="62"/>
  <c r="F511" i="62"/>
  <c r="L510" i="62"/>
  <c r="K510" i="62"/>
  <c r="J510" i="62"/>
  <c r="I510" i="62"/>
  <c r="H510" i="62"/>
  <c r="G510" i="62"/>
  <c r="F510" i="62"/>
  <c r="L509" i="62"/>
  <c r="K509" i="62"/>
  <c r="J509" i="62"/>
  <c r="I509" i="62"/>
  <c r="H509" i="62"/>
  <c r="G509" i="62"/>
  <c r="F509" i="62"/>
  <c r="L508" i="62"/>
  <c r="K508" i="62"/>
  <c r="J508" i="62"/>
  <c r="I508" i="62"/>
  <c r="H508" i="62"/>
  <c r="G508" i="62"/>
  <c r="F508" i="62"/>
  <c r="L507" i="62"/>
  <c r="K507" i="62"/>
  <c r="J507" i="62"/>
  <c r="I507" i="62"/>
  <c r="H507" i="62"/>
  <c r="G507" i="62"/>
  <c r="F507" i="62"/>
  <c r="L506" i="62"/>
  <c r="K506" i="62"/>
  <c r="J506" i="62"/>
  <c r="I506" i="62"/>
  <c r="H506" i="62"/>
  <c r="G506" i="62"/>
  <c r="F506" i="62"/>
  <c r="L505" i="62"/>
  <c r="K505" i="62"/>
  <c r="J505" i="62"/>
  <c r="I505" i="62"/>
  <c r="H505" i="62"/>
  <c r="G505" i="62"/>
  <c r="F505" i="62"/>
  <c r="L504" i="62"/>
  <c r="K504" i="62"/>
  <c r="J504" i="62"/>
  <c r="I504" i="62"/>
  <c r="H504" i="62"/>
  <c r="G504" i="62"/>
  <c r="F504" i="62"/>
  <c r="L503" i="62"/>
  <c r="K503" i="62"/>
  <c r="J503" i="62"/>
  <c r="I503" i="62"/>
  <c r="H503" i="62"/>
  <c r="G503" i="62"/>
  <c r="F503" i="62"/>
  <c r="L502" i="62"/>
  <c r="K502" i="62"/>
  <c r="J502" i="62"/>
  <c r="I502" i="62"/>
  <c r="H502" i="62"/>
  <c r="G502" i="62"/>
  <c r="F502" i="62"/>
  <c r="L501" i="62"/>
  <c r="K501" i="62"/>
  <c r="J501" i="62"/>
  <c r="I501" i="62"/>
  <c r="H501" i="62"/>
  <c r="G501" i="62"/>
  <c r="F501" i="62"/>
  <c r="L500" i="62"/>
  <c r="K500" i="62"/>
  <c r="J500" i="62"/>
  <c r="I500" i="62"/>
  <c r="H500" i="62"/>
  <c r="G500" i="62"/>
  <c r="F500" i="62"/>
  <c r="L499" i="62"/>
  <c r="K499" i="62"/>
  <c r="J499" i="62"/>
  <c r="I499" i="62"/>
  <c r="H499" i="62"/>
  <c r="G499" i="62"/>
  <c r="F499" i="62"/>
  <c r="L498" i="62"/>
  <c r="K498" i="62"/>
  <c r="J498" i="62"/>
  <c r="I498" i="62"/>
  <c r="H498" i="62"/>
  <c r="G498" i="62"/>
  <c r="F498" i="62"/>
  <c r="L497" i="62"/>
  <c r="K497" i="62"/>
  <c r="J497" i="62"/>
  <c r="I497" i="62"/>
  <c r="H497" i="62"/>
  <c r="G497" i="62"/>
  <c r="F497" i="62"/>
  <c r="L496" i="62"/>
  <c r="K496" i="62"/>
  <c r="J496" i="62"/>
  <c r="I496" i="62"/>
  <c r="H496" i="62"/>
  <c r="G496" i="62"/>
  <c r="F496" i="62"/>
  <c r="L495" i="62"/>
  <c r="K495" i="62"/>
  <c r="J495" i="62"/>
  <c r="I495" i="62"/>
  <c r="H495" i="62"/>
  <c r="G495" i="62"/>
  <c r="F495" i="62"/>
  <c r="L494" i="62"/>
  <c r="K494" i="62"/>
  <c r="J494" i="62"/>
  <c r="I494" i="62"/>
  <c r="H494" i="62"/>
  <c r="G494" i="62"/>
  <c r="F494" i="62"/>
  <c r="L493" i="62"/>
  <c r="K493" i="62"/>
  <c r="J493" i="62"/>
  <c r="I493" i="62"/>
  <c r="H493" i="62"/>
  <c r="G493" i="62"/>
  <c r="F493" i="62"/>
  <c r="L492" i="62"/>
  <c r="K492" i="62"/>
  <c r="J492" i="62"/>
  <c r="I492" i="62"/>
  <c r="H492" i="62"/>
  <c r="G492" i="62"/>
  <c r="F492" i="62"/>
  <c r="L491" i="62"/>
  <c r="K491" i="62"/>
  <c r="J491" i="62"/>
  <c r="I491" i="62"/>
  <c r="H491" i="62"/>
  <c r="G491" i="62"/>
  <c r="F491" i="62"/>
  <c r="L490" i="62"/>
  <c r="K490" i="62"/>
  <c r="J490" i="62"/>
  <c r="I490" i="62"/>
  <c r="H490" i="62"/>
  <c r="G490" i="62"/>
  <c r="F490" i="62"/>
  <c r="L489" i="62"/>
  <c r="K489" i="62"/>
  <c r="J489" i="62"/>
  <c r="I489" i="62"/>
  <c r="H489" i="62"/>
  <c r="G489" i="62"/>
  <c r="F489" i="62"/>
  <c r="L488" i="62"/>
  <c r="K488" i="62"/>
  <c r="J488" i="62"/>
  <c r="I488" i="62"/>
  <c r="H488" i="62"/>
  <c r="G488" i="62"/>
  <c r="F488" i="62"/>
  <c r="L487" i="62"/>
  <c r="K487" i="62"/>
  <c r="J487" i="62"/>
  <c r="I487" i="62"/>
  <c r="H487" i="62"/>
  <c r="G487" i="62"/>
  <c r="F487" i="62"/>
  <c r="L486" i="62"/>
  <c r="K486" i="62"/>
  <c r="J486" i="62"/>
  <c r="I486" i="62"/>
  <c r="H486" i="62"/>
  <c r="G486" i="62"/>
  <c r="F486" i="62"/>
  <c r="L485" i="62"/>
  <c r="K485" i="62"/>
  <c r="J485" i="62"/>
  <c r="I485" i="62"/>
  <c r="H485" i="62"/>
  <c r="G485" i="62"/>
  <c r="F485" i="62"/>
  <c r="L484" i="62"/>
  <c r="K484" i="62"/>
  <c r="J484" i="62"/>
  <c r="I484" i="62"/>
  <c r="H484" i="62"/>
  <c r="G484" i="62"/>
  <c r="F484" i="62"/>
  <c r="L483" i="62"/>
  <c r="K483" i="62"/>
  <c r="J483" i="62"/>
  <c r="I483" i="62"/>
  <c r="H483" i="62"/>
  <c r="G483" i="62"/>
  <c r="F483" i="62"/>
  <c r="L482" i="62"/>
  <c r="K482" i="62"/>
  <c r="J482" i="62"/>
  <c r="I482" i="62"/>
  <c r="H482" i="62"/>
  <c r="G482" i="62"/>
  <c r="F482" i="62"/>
  <c r="L481" i="62"/>
  <c r="K481" i="62"/>
  <c r="J481" i="62"/>
  <c r="I481" i="62"/>
  <c r="H481" i="62"/>
  <c r="G481" i="62"/>
  <c r="F481" i="62"/>
  <c r="L480" i="62"/>
  <c r="K480" i="62"/>
  <c r="J480" i="62"/>
  <c r="I480" i="62"/>
  <c r="H480" i="62"/>
  <c r="G480" i="62"/>
  <c r="F480" i="62"/>
  <c r="L479" i="62"/>
  <c r="K479" i="62"/>
  <c r="J479" i="62"/>
  <c r="I479" i="62"/>
  <c r="H479" i="62"/>
  <c r="G479" i="62"/>
  <c r="F479" i="62"/>
  <c r="L478" i="62"/>
  <c r="K478" i="62"/>
  <c r="J478" i="62"/>
  <c r="I478" i="62"/>
  <c r="H478" i="62"/>
  <c r="G478" i="62"/>
  <c r="F478" i="62"/>
  <c r="L477" i="62"/>
  <c r="K477" i="62"/>
  <c r="J477" i="62"/>
  <c r="I477" i="62"/>
  <c r="H477" i="62"/>
  <c r="G477" i="62"/>
  <c r="F477" i="62"/>
  <c r="L476" i="62"/>
  <c r="K476" i="62"/>
  <c r="J476" i="62"/>
  <c r="I476" i="62"/>
  <c r="H476" i="62"/>
  <c r="G476" i="62"/>
  <c r="F476" i="62"/>
  <c r="L475" i="62"/>
  <c r="K475" i="62"/>
  <c r="J475" i="62"/>
  <c r="I475" i="62"/>
  <c r="H475" i="62"/>
  <c r="G475" i="62"/>
  <c r="F475" i="62"/>
  <c r="L474" i="62"/>
  <c r="K474" i="62"/>
  <c r="J474" i="62"/>
  <c r="I474" i="62"/>
  <c r="H474" i="62"/>
  <c r="G474" i="62"/>
  <c r="F474" i="62"/>
  <c r="L473" i="62"/>
  <c r="K473" i="62"/>
  <c r="J473" i="62"/>
  <c r="I473" i="62"/>
  <c r="H473" i="62"/>
  <c r="G473" i="62"/>
  <c r="F473" i="62"/>
  <c r="L472" i="62"/>
  <c r="K472" i="62"/>
  <c r="J472" i="62"/>
  <c r="I472" i="62"/>
  <c r="H472" i="62"/>
  <c r="G472" i="62"/>
  <c r="F472" i="62"/>
  <c r="L471" i="62"/>
  <c r="K471" i="62"/>
  <c r="J471" i="62"/>
  <c r="I471" i="62"/>
  <c r="H471" i="62"/>
  <c r="G471" i="62"/>
  <c r="F471" i="62"/>
  <c r="L470" i="62"/>
  <c r="K470" i="62"/>
  <c r="J470" i="62"/>
  <c r="I470" i="62"/>
  <c r="H470" i="62"/>
  <c r="G470" i="62"/>
  <c r="F470" i="62"/>
  <c r="L469" i="62"/>
  <c r="K469" i="62"/>
  <c r="J469" i="62"/>
  <c r="I469" i="62"/>
  <c r="H469" i="62"/>
  <c r="G469" i="62"/>
  <c r="F469" i="62"/>
  <c r="L468" i="62"/>
  <c r="K468" i="62"/>
  <c r="J468" i="62"/>
  <c r="I468" i="62"/>
  <c r="H468" i="62"/>
  <c r="G468" i="62"/>
  <c r="F468" i="62"/>
  <c r="L467" i="62"/>
  <c r="K467" i="62"/>
  <c r="J467" i="62"/>
  <c r="I467" i="62"/>
  <c r="H467" i="62"/>
  <c r="G467" i="62"/>
  <c r="F467" i="62"/>
  <c r="L466" i="62"/>
  <c r="K466" i="62"/>
  <c r="J466" i="62"/>
  <c r="I466" i="62"/>
  <c r="H466" i="62"/>
  <c r="G466" i="62"/>
  <c r="F466" i="62"/>
  <c r="L465" i="62"/>
  <c r="K465" i="62"/>
  <c r="J465" i="62"/>
  <c r="I465" i="62"/>
  <c r="H465" i="62"/>
  <c r="G465" i="62"/>
  <c r="F465" i="62"/>
  <c r="L464" i="62"/>
  <c r="K464" i="62"/>
  <c r="J464" i="62"/>
  <c r="I464" i="62"/>
  <c r="H464" i="62"/>
  <c r="G464" i="62"/>
  <c r="F464" i="62"/>
  <c r="L463" i="62"/>
  <c r="K463" i="62"/>
  <c r="J463" i="62"/>
  <c r="I463" i="62"/>
  <c r="H463" i="62"/>
  <c r="G463" i="62"/>
  <c r="F463" i="62"/>
  <c r="L462" i="62"/>
  <c r="K462" i="62"/>
  <c r="J462" i="62"/>
  <c r="I462" i="62"/>
  <c r="H462" i="62"/>
  <c r="G462" i="62"/>
  <c r="F462" i="62"/>
  <c r="L461" i="62"/>
  <c r="K461" i="62"/>
  <c r="J461" i="62"/>
  <c r="I461" i="62"/>
  <c r="H461" i="62"/>
  <c r="G461" i="62"/>
  <c r="F461" i="62"/>
  <c r="L460" i="62"/>
  <c r="K460" i="62"/>
  <c r="J460" i="62"/>
  <c r="I460" i="62"/>
  <c r="H460" i="62"/>
  <c r="G460" i="62"/>
  <c r="F460" i="62"/>
  <c r="L459" i="62"/>
  <c r="K459" i="62"/>
  <c r="J459" i="62"/>
  <c r="I459" i="62"/>
  <c r="H459" i="62"/>
  <c r="G459" i="62"/>
  <c r="F459" i="62"/>
  <c r="L458" i="62"/>
  <c r="K458" i="62"/>
  <c r="J458" i="62"/>
  <c r="I458" i="62"/>
  <c r="H458" i="62"/>
  <c r="G458" i="62"/>
  <c r="F458" i="62"/>
  <c r="L457" i="62"/>
  <c r="K457" i="62"/>
  <c r="J457" i="62"/>
  <c r="I457" i="62"/>
  <c r="H457" i="62"/>
  <c r="G457" i="62"/>
  <c r="F457" i="62"/>
  <c r="L456" i="62"/>
  <c r="K456" i="62"/>
  <c r="J456" i="62"/>
  <c r="I456" i="62"/>
  <c r="H456" i="62"/>
  <c r="G456" i="62"/>
  <c r="F456" i="62"/>
  <c r="L455" i="62"/>
  <c r="K455" i="62"/>
  <c r="J455" i="62"/>
  <c r="I455" i="62"/>
  <c r="H455" i="62"/>
  <c r="G455" i="62"/>
  <c r="F455" i="62"/>
  <c r="L454" i="62"/>
  <c r="K454" i="62"/>
  <c r="J454" i="62"/>
  <c r="I454" i="62"/>
  <c r="H454" i="62"/>
  <c r="G454" i="62"/>
  <c r="F454" i="62"/>
  <c r="L453" i="62"/>
  <c r="K453" i="62"/>
  <c r="J453" i="62"/>
  <c r="I453" i="62"/>
  <c r="H453" i="62"/>
  <c r="G453" i="62"/>
  <c r="F453" i="62"/>
  <c r="L452" i="62"/>
  <c r="K452" i="62"/>
  <c r="J452" i="62"/>
  <c r="I452" i="62"/>
  <c r="H452" i="62"/>
  <c r="G452" i="62"/>
  <c r="F452" i="62"/>
  <c r="L451" i="62"/>
  <c r="K451" i="62"/>
  <c r="J451" i="62"/>
  <c r="I451" i="62"/>
  <c r="H451" i="62"/>
  <c r="G451" i="62"/>
  <c r="F451" i="62"/>
  <c r="L450" i="62"/>
  <c r="K450" i="62"/>
  <c r="J450" i="62"/>
  <c r="I450" i="62"/>
  <c r="H450" i="62"/>
  <c r="G450" i="62"/>
  <c r="F450" i="62"/>
  <c r="L449" i="62"/>
  <c r="K449" i="62"/>
  <c r="J449" i="62"/>
  <c r="I449" i="62"/>
  <c r="H449" i="62"/>
  <c r="G449" i="62"/>
  <c r="F449" i="62"/>
  <c r="L448" i="62"/>
  <c r="K448" i="62"/>
  <c r="J448" i="62"/>
  <c r="I448" i="62"/>
  <c r="H448" i="62"/>
  <c r="G448" i="62"/>
  <c r="F448" i="62"/>
  <c r="L447" i="62"/>
  <c r="K447" i="62"/>
  <c r="J447" i="62"/>
  <c r="I447" i="62"/>
  <c r="H447" i="62"/>
  <c r="G447" i="62"/>
  <c r="F447" i="62"/>
  <c r="L446" i="62"/>
  <c r="K446" i="62"/>
  <c r="J446" i="62"/>
  <c r="I446" i="62"/>
  <c r="H446" i="62"/>
  <c r="G446" i="62"/>
  <c r="F446" i="62"/>
  <c r="L445" i="62"/>
  <c r="K445" i="62"/>
  <c r="J445" i="62"/>
  <c r="I445" i="62"/>
  <c r="H445" i="62"/>
  <c r="G445" i="62"/>
  <c r="F445" i="62"/>
  <c r="L444" i="62"/>
  <c r="K444" i="62"/>
  <c r="J444" i="62"/>
  <c r="I444" i="62"/>
  <c r="H444" i="62"/>
  <c r="G444" i="62"/>
  <c r="F444" i="62"/>
  <c r="L443" i="62"/>
  <c r="K443" i="62"/>
  <c r="J443" i="62"/>
  <c r="I443" i="62"/>
  <c r="H443" i="62"/>
  <c r="G443" i="62"/>
  <c r="F443" i="62"/>
  <c r="L442" i="62"/>
  <c r="K442" i="62"/>
  <c r="J442" i="62"/>
  <c r="I442" i="62"/>
  <c r="H442" i="62"/>
  <c r="G442" i="62"/>
  <c r="F442" i="62"/>
  <c r="L441" i="62"/>
  <c r="K441" i="62"/>
  <c r="J441" i="62"/>
  <c r="I441" i="62"/>
  <c r="H441" i="62"/>
  <c r="G441" i="62"/>
  <c r="F441" i="62"/>
  <c r="L440" i="62"/>
  <c r="K440" i="62"/>
  <c r="J440" i="62"/>
  <c r="I440" i="62"/>
  <c r="H440" i="62"/>
  <c r="G440" i="62"/>
  <c r="F440" i="62"/>
  <c r="L439" i="62"/>
  <c r="K439" i="62"/>
  <c r="J439" i="62"/>
  <c r="I439" i="62"/>
  <c r="H439" i="62"/>
  <c r="G439" i="62"/>
  <c r="F439" i="62"/>
  <c r="L438" i="62"/>
  <c r="K438" i="62"/>
  <c r="J438" i="62"/>
  <c r="I438" i="62"/>
  <c r="H438" i="62"/>
  <c r="G438" i="62"/>
  <c r="F438" i="62"/>
  <c r="L437" i="62"/>
  <c r="K437" i="62"/>
  <c r="J437" i="62"/>
  <c r="I437" i="62"/>
  <c r="H437" i="62"/>
  <c r="G437" i="62"/>
  <c r="F437" i="62"/>
  <c r="L436" i="62"/>
  <c r="K436" i="62"/>
  <c r="J436" i="62"/>
  <c r="I436" i="62"/>
  <c r="H436" i="62"/>
  <c r="G436" i="62"/>
  <c r="F436" i="62"/>
  <c r="L435" i="62"/>
  <c r="K435" i="62"/>
  <c r="J435" i="62"/>
  <c r="I435" i="62"/>
  <c r="H435" i="62"/>
  <c r="G435" i="62"/>
  <c r="F435" i="62"/>
  <c r="L434" i="62"/>
  <c r="K434" i="62"/>
  <c r="J434" i="62"/>
  <c r="I434" i="62"/>
  <c r="H434" i="62"/>
  <c r="G434" i="62"/>
  <c r="F434" i="62"/>
  <c r="L433" i="62"/>
  <c r="K433" i="62"/>
  <c r="J433" i="62"/>
  <c r="I433" i="62"/>
  <c r="H433" i="62"/>
  <c r="G433" i="62"/>
  <c r="F433" i="62"/>
  <c r="L432" i="62"/>
  <c r="K432" i="62"/>
  <c r="J432" i="62"/>
  <c r="I432" i="62"/>
  <c r="H432" i="62"/>
  <c r="G432" i="62"/>
  <c r="F432" i="62"/>
  <c r="L431" i="62"/>
  <c r="K431" i="62"/>
  <c r="J431" i="62"/>
  <c r="I431" i="62"/>
  <c r="H431" i="62"/>
  <c r="G431" i="62"/>
  <c r="F431" i="62"/>
  <c r="L430" i="62"/>
  <c r="K430" i="62"/>
  <c r="J430" i="62"/>
  <c r="I430" i="62"/>
  <c r="H430" i="62"/>
  <c r="G430" i="62"/>
  <c r="F430" i="62"/>
  <c r="L429" i="62"/>
  <c r="K429" i="62"/>
  <c r="J429" i="62"/>
  <c r="I429" i="62"/>
  <c r="H429" i="62"/>
  <c r="G429" i="62"/>
  <c r="F429" i="62"/>
  <c r="L428" i="62"/>
  <c r="K428" i="62"/>
  <c r="J428" i="62"/>
  <c r="I428" i="62"/>
  <c r="H428" i="62"/>
  <c r="G428" i="62"/>
  <c r="F428" i="62"/>
  <c r="L427" i="62"/>
  <c r="K427" i="62"/>
  <c r="J427" i="62"/>
  <c r="I427" i="62"/>
  <c r="H427" i="62"/>
  <c r="G427" i="62"/>
  <c r="F427" i="62"/>
  <c r="L426" i="62"/>
  <c r="K426" i="62"/>
  <c r="J426" i="62"/>
  <c r="I426" i="62"/>
  <c r="H426" i="62"/>
  <c r="G426" i="62"/>
  <c r="F426" i="62"/>
  <c r="L425" i="62"/>
  <c r="K425" i="62"/>
  <c r="J425" i="62"/>
  <c r="I425" i="62"/>
  <c r="H425" i="62"/>
  <c r="G425" i="62"/>
  <c r="F425" i="62"/>
  <c r="L424" i="62"/>
  <c r="K424" i="62"/>
  <c r="J424" i="62"/>
  <c r="I424" i="62"/>
  <c r="H424" i="62"/>
  <c r="G424" i="62"/>
  <c r="F424" i="62"/>
  <c r="L423" i="62"/>
  <c r="K423" i="62"/>
  <c r="J423" i="62"/>
  <c r="I423" i="62"/>
  <c r="H423" i="62"/>
  <c r="G423" i="62"/>
  <c r="F423" i="62"/>
  <c r="L422" i="62"/>
  <c r="K422" i="62"/>
  <c r="J422" i="62"/>
  <c r="I422" i="62"/>
  <c r="H422" i="62"/>
  <c r="G422" i="62"/>
  <c r="F422" i="62"/>
  <c r="L421" i="62"/>
  <c r="K421" i="62"/>
  <c r="J421" i="62"/>
  <c r="I421" i="62"/>
  <c r="H421" i="62"/>
  <c r="G421" i="62"/>
  <c r="F421" i="62"/>
  <c r="L420" i="62"/>
  <c r="K420" i="62"/>
  <c r="J420" i="62"/>
  <c r="I420" i="62"/>
  <c r="H420" i="62"/>
  <c r="G420" i="62"/>
  <c r="F420" i="62"/>
  <c r="L419" i="62"/>
  <c r="K419" i="62"/>
  <c r="J419" i="62"/>
  <c r="I419" i="62"/>
  <c r="H419" i="62"/>
  <c r="G419" i="62"/>
  <c r="F419" i="62"/>
  <c r="L418" i="62"/>
  <c r="K418" i="62"/>
  <c r="J418" i="62"/>
  <c r="I418" i="62"/>
  <c r="H418" i="62"/>
  <c r="G418" i="62"/>
  <c r="F418" i="62"/>
  <c r="L417" i="62"/>
  <c r="K417" i="62"/>
  <c r="J417" i="62"/>
  <c r="I417" i="62"/>
  <c r="H417" i="62"/>
  <c r="G417" i="62"/>
  <c r="F417" i="62"/>
  <c r="L416" i="62"/>
  <c r="K416" i="62"/>
  <c r="J416" i="62"/>
  <c r="I416" i="62"/>
  <c r="H416" i="62"/>
  <c r="G416" i="62"/>
  <c r="F416" i="62"/>
  <c r="L415" i="62"/>
  <c r="K415" i="62"/>
  <c r="J415" i="62"/>
  <c r="I415" i="62"/>
  <c r="H415" i="62"/>
  <c r="G415" i="62"/>
  <c r="F415" i="62"/>
  <c r="L414" i="62"/>
  <c r="K414" i="62"/>
  <c r="J414" i="62"/>
  <c r="I414" i="62"/>
  <c r="H414" i="62"/>
  <c r="G414" i="62"/>
  <c r="F414" i="62"/>
  <c r="L413" i="62"/>
  <c r="K413" i="62"/>
  <c r="J413" i="62"/>
  <c r="I413" i="62"/>
  <c r="H413" i="62"/>
  <c r="G413" i="62"/>
  <c r="F413" i="62"/>
  <c r="L412" i="62"/>
  <c r="K412" i="62"/>
  <c r="J412" i="62"/>
  <c r="I412" i="62"/>
  <c r="H412" i="62"/>
  <c r="G412" i="62"/>
  <c r="F412" i="62"/>
  <c r="L411" i="62"/>
  <c r="K411" i="62"/>
  <c r="J411" i="62"/>
  <c r="I411" i="62"/>
  <c r="H411" i="62"/>
  <c r="G411" i="62"/>
  <c r="F411" i="62"/>
  <c r="L410" i="62"/>
  <c r="K410" i="62"/>
  <c r="J410" i="62"/>
  <c r="I410" i="62"/>
  <c r="H410" i="62"/>
  <c r="G410" i="62"/>
  <c r="F410" i="62"/>
  <c r="L409" i="62"/>
  <c r="K409" i="62"/>
  <c r="J409" i="62"/>
  <c r="I409" i="62"/>
  <c r="H409" i="62"/>
  <c r="G409" i="62"/>
  <c r="F409" i="62"/>
  <c r="L408" i="62"/>
  <c r="K408" i="62"/>
  <c r="J408" i="62"/>
  <c r="I408" i="62"/>
  <c r="H408" i="62"/>
  <c r="G408" i="62"/>
  <c r="F408" i="62"/>
  <c r="L407" i="62"/>
  <c r="K407" i="62"/>
  <c r="J407" i="62"/>
  <c r="I407" i="62"/>
  <c r="H407" i="62"/>
  <c r="G407" i="62"/>
  <c r="F407" i="62"/>
  <c r="L406" i="62"/>
  <c r="K406" i="62"/>
  <c r="J406" i="62"/>
  <c r="I406" i="62"/>
  <c r="H406" i="62"/>
  <c r="G406" i="62"/>
  <c r="F406" i="62"/>
  <c r="L405" i="62"/>
  <c r="K405" i="62"/>
  <c r="J405" i="62"/>
  <c r="I405" i="62"/>
  <c r="H405" i="62"/>
  <c r="G405" i="62"/>
  <c r="F405" i="62"/>
  <c r="L404" i="62"/>
  <c r="K404" i="62"/>
  <c r="J404" i="62"/>
  <c r="I404" i="62"/>
  <c r="H404" i="62"/>
  <c r="G404" i="62"/>
  <c r="F404" i="62"/>
  <c r="L403" i="62"/>
  <c r="K403" i="62"/>
  <c r="J403" i="62"/>
  <c r="I403" i="62"/>
  <c r="H403" i="62"/>
  <c r="G403" i="62"/>
  <c r="F403" i="62"/>
  <c r="L402" i="62"/>
  <c r="K402" i="62"/>
  <c r="J402" i="62"/>
  <c r="I402" i="62"/>
  <c r="H402" i="62"/>
  <c r="G402" i="62"/>
  <c r="F402" i="62"/>
  <c r="L401" i="62"/>
  <c r="K401" i="62"/>
  <c r="J401" i="62"/>
  <c r="I401" i="62"/>
  <c r="H401" i="62"/>
  <c r="G401" i="62"/>
  <c r="F401" i="62"/>
  <c r="L400" i="62"/>
  <c r="K400" i="62"/>
  <c r="J400" i="62"/>
  <c r="I400" i="62"/>
  <c r="H400" i="62"/>
  <c r="G400" i="62"/>
  <c r="F400" i="62"/>
  <c r="L399" i="62"/>
  <c r="K399" i="62"/>
  <c r="J399" i="62"/>
  <c r="I399" i="62"/>
  <c r="H399" i="62"/>
  <c r="G399" i="62"/>
  <c r="F399" i="62"/>
  <c r="L398" i="62"/>
  <c r="K398" i="62"/>
  <c r="J398" i="62"/>
  <c r="I398" i="62"/>
  <c r="H398" i="62"/>
  <c r="G398" i="62"/>
  <c r="F398" i="62"/>
  <c r="L397" i="62"/>
  <c r="K397" i="62"/>
  <c r="J397" i="62"/>
  <c r="I397" i="62"/>
  <c r="H397" i="62"/>
  <c r="G397" i="62"/>
  <c r="F397" i="62"/>
  <c r="L396" i="62"/>
  <c r="K396" i="62"/>
  <c r="J396" i="62"/>
  <c r="I396" i="62"/>
  <c r="H396" i="62"/>
  <c r="G396" i="62"/>
  <c r="F396" i="62"/>
  <c r="L395" i="62"/>
  <c r="K395" i="62"/>
  <c r="J395" i="62"/>
  <c r="I395" i="62"/>
  <c r="H395" i="62"/>
  <c r="G395" i="62"/>
  <c r="F395" i="62"/>
  <c r="L394" i="62"/>
  <c r="K394" i="62"/>
  <c r="J394" i="62"/>
  <c r="I394" i="62"/>
  <c r="H394" i="62"/>
  <c r="G394" i="62"/>
  <c r="F394" i="62"/>
  <c r="L393" i="62"/>
  <c r="K393" i="62"/>
  <c r="J393" i="62"/>
  <c r="I393" i="62"/>
  <c r="H393" i="62"/>
  <c r="G393" i="62"/>
  <c r="F393" i="62"/>
  <c r="L392" i="62"/>
  <c r="K392" i="62"/>
  <c r="J392" i="62"/>
  <c r="I392" i="62"/>
  <c r="H392" i="62"/>
  <c r="G392" i="62"/>
  <c r="F392" i="62"/>
  <c r="L391" i="62"/>
  <c r="K391" i="62"/>
  <c r="J391" i="62"/>
  <c r="I391" i="62"/>
  <c r="H391" i="62"/>
  <c r="G391" i="62"/>
  <c r="F391" i="62"/>
  <c r="L390" i="62"/>
  <c r="K390" i="62"/>
  <c r="J390" i="62"/>
  <c r="I390" i="62"/>
  <c r="H390" i="62"/>
  <c r="G390" i="62"/>
  <c r="F390" i="62"/>
  <c r="L389" i="62"/>
  <c r="K389" i="62"/>
  <c r="J389" i="62"/>
  <c r="I389" i="62"/>
  <c r="H389" i="62"/>
  <c r="G389" i="62"/>
  <c r="F389" i="62"/>
  <c r="L388" i="62"/>
  <c r="K388" i="62"/>
  <c r="J388" i="62"/>
  <c r="I388" i="62"/>
  <c r="H388" i="62"/>
  <c r="G388" i="62"/>
  <c r="F388" i="62"/>
  <c r="L387" i="62"/>
  <c r="K387" i="62"/>
  <c r="J387" i="62"/>
  <c r="I387" i="62"/>
  <c r="H387" i="62"/>
  <c r="G387" i="62"/>
  <c r="F387" i="62"/>
  <c r="L386" i="62"/>
  <c r="K386" i="62"/>
  <c r="J386" i="62"/>
  <c r="I386" i="62"/>
  <c r="H386" i="62"/>
  <c r="G386" i="62"/>
  <c r="F386" i="62"/>
  <c r="L385" i="62"/>
  <c r="K385" i="62"/>
  <c r="J385" i="62"/>
  <c r="I385" i="62"/>
  <c r="H385" i="62"/>
  <c r="G385" i="62"/>
  <c r="F385" i="62"/>
  <c r="L384" i="62"/>
  <c r="K384" i="62"/>
  <c r="J384" i="62"/>
  <c r="I384" i="62"/>
  <c r="H384" i="62"/>
  <c r="G384" i="62"/>
  <c r="F384" i="62"/>
  <c r="L383" i="62"/>
  <c r="K383" i="62"/>
  <c r="J383" i="62"/>
  <c r="I383" i="62"/>
  <c r="H383" i="62"/>
  <c r="G383" i="62"/>
  <c r="F383" i="62"/>
  <c r="L382" i="62"/>
  <c r="K382" i="62"/>
  <c r="J382" i="62"/>
  <c r="I382" i="62"/>
  <c r="H382" i="62"/>
  <c r="G382" i="62"/>
  <c r="F382" i="62"/>
  <c r="L381" i="62"/>
  <c r="K381" i="62"/>
  <c r="J381" i="62"/>
  <c r="I381" i="62"/>
  <c r="H381" i="62"/>
  <c r="G381" i="62"/>
  <c r="F381" i="62"/>
  <c r="L380" i="62"/>
  <c r="K380" i="62"/>
  <c r="J380" i="62"/>
  <c r="I380" i="62"/>
  <c r="H380" i="62"/>
  <c r="G380" i="62"/>
  <c r="F380" i="62"/>
  <c r="L379" i="62"/>
  <c r="K379" i="62"/>
  <c r="J379" i="62"/>
  <c r="I379" i="62"/>
  <c r="H379" i="62"/>
  <c r="G379" i="62"/>
  <c r="F379" i="62"/>
  <c r="L378" i="62"/>
  <c r="K378" i="62"/>
  <c r="J378" i="62"/>
  <c r="I378" i="62"/>
  <c r="H378" i="62"/>
  <c r="G378" i="62"/>
  <c r="F378" i="62"/>
  <c r="L377" i="62"/>
  <c r="K377" i="62"/>
  <c r="J377" i="62"/>
  <c r="I377" i="62"/>
  <c r="H377" i="62"/>
  <c r="G377" i="62"/>
  <c r="F377" i="62"/>
  <c r="L376" i="62"/>
  <c r="K376" i="62"/>
  <c r="J376" i="62"/>
  <c r="I376" i="62"/>
  <c r="H376" i="62"/>
  <c r="G376" i="62"/>
  <c r="F376" i="62"/>
  <c r="L375" i="62"/>
  <c r="K375" i="62"/>
  <c r="J375" i="62"/>
  <c r="I375" i="62"/>
  <c r="H375" i="62"/>
  <c r="G375" i="62"/>
  <c r="F375" i="62"/>
  <c r="L374" i="62"/>
  <c r="K374" i="62"/>
  <c r="J374" i="62"/>
  <c r="I374" i="62"/>
  <c r="H374" i="62"/>
  <c r="G374" i="62"/>
  <c r="F374" i="62"/>
  <c r="L373" i="62"/>
  <c r="K373" i="62"/>
  <c r="J373" i="62"/>
  <c r="I373" i="62"/>
  <c r="H373" i="62"/>
  <c r="G373" i="62"/>
  <c r="F373" i="62"/>
  <c r="L372" i="62"/>
  <c r="K372" i="62"/>
  <c r="J372" i="62"/>
  <c r="I372" i="62"/>
  <c r="H372" i="62"/>
  <c r="G372" i="62"/>
  <c r="F372" i="62"/>
  <c r="L371" i="62"/>
  <c r="K371" i="62"/>
  <c r="J371" i="62"/>
  <c r="I371" i="62"/>
  <c r="H371" i="62"/>
  <c r="G371" i="62"/>
  <c r="F371" i="62"/>
  <c r="L370" i="62"/>
  <c r="K370" i="62"/>
  <c r="J370" i="62"/>
  <c r="I370" i="62"/>
  <c r="H370" i="62"/>
  <c r="G370" i="62"/>
  <c r="F370" i="62"/>
  <c r="L369" i="62"/>
  <c r="K369" i="62"/>
  <c r="J369" i="62"/>
  <c r="I369" i="62"/>
  <c r="H369" i="62"/>
  <c r="G369" i="62"/>
  <c r="F369" i="62"/>
  <c r="L368" i="62"/>
  <c r="K368" i="62"/>
  <c r="J368" i="62"/>
  <c r="I368" i="62"/>
  <c r="H368" i="62"/>
  <c r="G368" i="62"/>
  <c r="F368" i="62"/>
  <c r="L367" i="62"/>
  <c r="K367" i="62"/>
  <c r="J367" i="62"/>
  <c r="I367" i="62"/>
  <c r="H367" i="62"/>
  <c r="G367" i="62"/>
  <c r="F367" i="62"/>
  <c r="L366" i="62"/>
  <c r="K366" i="62"/>
  <c r="J366" i="62"/>
  <c r="I366" i="62"/>
  <c r="H366" i="62"/>
  <c r="G366" i="62"/>
  <c r="F366" i="62"/>
  <c r="L365" i="62"/>
  <c r="K365" i="62"/>
  <c r="J365" i="62"/>
  <c r="I365" i="62"/>
  <c r="H365" i="62"/>
  <c r="G365" i="62"/>
  <c r="F365" i="62"/>
  <c r="L364" i="62"/>
  <c r="K364" i="62"/>
  <c r="J364" i="62"/>
  <c r="I364" i="62"/>
  <c r="H364" i="62"/>
  <c r="G364" i="62"/>
  <c r="F364" i="62"/>
  <c r="L363" i="62"/>
  <c r="K363" i="62"/>
  <c r="J363" i="62"/>
  <c r="I363" i="62"/>
  <c r="H363" i="62"/>
  <c r="G363" i="62"/>
  <c r="F363" i="62"/>
  <c r="L362" i="62"/>
  <c r="K362" i="62"/>
  <c r="J362" i="62"/>
  <c r="I362" i="62"/>
  <c r="H362" i="62"/>
  <c r="G362" i="62"/>
  <c r="F362" i="62"/>
  <c r="L361" i="62"/>
  <c r="K361" i="62"/>
  <c r="J361" i="62"/>
  <c r="I361" i="62"/>
  <c r="H361" i="62"/>
  <c r="G361" i="62"/>
  <c r="F361" i="62"/>
  <c r="L360" i="62"/>
  <c r="K360" i="62"/>
  <c r="J360" i="62"/>
  <c r="I360" i="62"/>
  <c r="H360" i="62"/>
  <c r="G360" i="62"/>
  <c r="F360" i="62"/>
  <c r="L359" i="62"/>
  <c r="K359" i="62"/>
  <c r="J359" i="62"/>
  <c r="I359" i="62"/>
  <c r="H359" i="62"/>
  <c r="G359" i="62"/>
  <c r="F359" i="62"/>
  <c r="L358" i="62"/>
  <c r="K358" i="62"/>
  <c r="J358" i="62"/>
  <c r="I358" i="62"/>
  <c r="H358" i="62"/>
  <c r="G358" i="62"/>
  <c r="F358" i="62"/>
  <c r="L357" i="62"/>
  <c r="K357" i="62"/>
  <c r="J357" i="62"/>
  <c r="I357" i="62"/>
  <c r="H357" i="62"/>
  <c r="G357" i="62"/>
  <c r="F357" i="62"/>
  <c r="L356" i="62"/>
  <c r="K356" i="62"/>
  <c r="J356" i="62"/>
  <c r="I356" i="62"/>
  <c r="H356" i="62"/>
  <c r="G356" i="62"/>
  <c r="F356" i="62"/>
  <c r="L355" i="62"/>
  <c r="K355" i="62"/>
  <c r="J355" i="62"/>
  <c r="I355" i="62"/>
  <c r="H355" i="62"/>
  <c r="G355" i="62"/>
  <c r="F355" i="62"/>
  <c r="L354" i="62"/>
  <c r="K354" i="62"/>
  <c r="J354" i="62"/>
  <c r="I354" i="62"/>
  <c r="H354" i="62"/>
  <c r="G354" i="62"/>
  <c r="F354" i="62"/>
  <c r="L353" i="62"/>
  <c r="K353" i="62"/>
  <c r="J353" i="62"/>
  <c r="I353" i="62"/>
  <c r="H353" i="62"/>
  <c r="G353" i="62"/>
  <c r="F353" i="62"/>
  <c r="L352" i="62"/>
  <c r="K352" i="62"/>
  <c r="J352" i="62"/>
  <c r="I352" i="62"/>
  <c r="H352" i="62"/>
  <c r="G352" i="62"/>
  <c r="F352" i="62"/>
  <c r="L351" i="62"/>
  <c r="K351" i="62"/>
  <c r="J351" i="62"/>
  <c r="I351" i="62"/>
  <c r="H351" i="62"/>
  <c r="G351" i="62"/>
  <c r="F351" i="62"/>
  <c r="L350" i="62"/>
  <c r="K350" i="62"/>
  <c r="J350" i="62"/>
  <c r="I350" i="62"/>
  <c r="H350" i="62"/>
  <c r="G350" i="62"/>
  <c r="F350" i="62"/>
  <c r="L349" i="62"/>
  <c r="K349" i="62"/>
  <c r="J349" i="62"/>
  <c r="I349" i="62"/>
  <c r="H349" i="62"/>
  <c r="G349" i="62"/>
  <c r="F349" i="62"/>
  <c r="L348" i="62"/>
  <c r="K348" i="62"/>
  <c r="J348" i="62"/>
  <c r="I348" i="62"/>
  <c r="H348" i="62"/>
  <c r="G348" i="62"/>
  <c r="F348" i="62"/>
  <c r="L347" i="62"/>
  <c r="K347" i="62"/>
  <c r="J347" i="62"/>
  <c r="I347" i="62"/>
  <c r="H347" i="62"/>
  <c r="G347" i="62"/>
  <c r="F347" i="62"/>
  <c r="L346" i="62"/>
  <c r="K346" i="62"/>
  <c r="J346" i="62"/>
  <c r="I346" i="62"/>
  <c r="H346" i="62"/>
  <c r="G346" i="62"/>
  <c r="F346" i="62"/>
  <c r="L345" i="62"/>
  <c r="K345" i="62"/>
  <c r="J345" i="62"/>
  <c r="I345" i="62"/>
  <c r="H345" i="62"/>
  <c r="G345" i="62"/>
  <c r="F345" i="62"/>
  <c r="L344" i="62"/>
  <c r="K344" i="62"/>
  <c r="J344" i="62"/>
  <c r="I344" i="62"/>
  <c r="H344" i="62"/>
  <c r="G344" i="62"/>
  <c r="F344" i="62"/>
  <c r="L343" i="62"/>
  <c r="K343" i="62"/>
  <c r="J343" i="62"/>
  <c r="I343" i="62"/>
  <c r="H343" i="62"/>
  <c r="G343" i="62"/>
  <c r="F343" i="62"/>
  <c r="L342" i="62"/>
  <c r="K342" i="62"/>
  <c r="J342" i="62"/>
  <c r="I342" i="62"/>
  <c r="H342" i="62"/>
  <c r="G342" i="62"/>
  <c r="F342" i="62"/>
  <c r="L341" i="62"/>
  <c r="K341" i="62"/>
  <c r="J341" i="62"/>
  <c r="I341" i="62"/>
  <c r="H341" i="62"/>
  <c r="G341" i="62"/>
  <c r="F341" i="62"/>
  <c r="L340" i="62"/>
  <c r="K340" i="62"/>
  <c r="J340" i="62"/>
  <c r="I340" i="62"/>
  <c r="H340" i="62"/>
  <c r="G340" i="62"/>
  <c r="F340" i="62"/>
  <c r="L339" i="62"/>
  <c r="K339" i="62"/>
  <c r="J339" i="62"/>
  <c r="I339" i="62"/>
  <c r="H339" i="62"/>
  <c r="G339" i="62"/>
  <c r="F339" i="62"/>
  <c r="L338" i="62"/>
  <c r="K338" i="62"/>
  <c r="J338" i="62"/>
  <c r="I338" i="62"/>
  <c r="H338" i="62"/>
  <c r="G338" i="62"/>
  <c r="F338" i="62"/>
  <c r="L337" i="62"/>
  <c r="K337" i="62"/>
  <c r="J337" i="62"/>
  <c r="I337" i="62"/>
  <c r="H337" i="62"/>
  <c r="G337" i="62"/>
  <c r="F337" i="62"/>
  <c r="L336" i="62"/>
  <c r="K336" i="62"/>
  <c r="J336" i="62"/>
  <c r="I336" i="62"/>
  <c r="H336" i="62"/>
  <c r="G336" i="62"/>
  <c r="F336" i="62"/>
  <c r="L335" i="62"/>
  <c r="K335" i="62"/>
  <c r="J335" i="62"/>
  <c r="I335" i="62"/>
  <c r="H335" i="62"/>
  <c r="G335" i="62"/>
  <c r="F335" i="62"/>
  <c r="L334" i="62"/>
  <c r="K334" i="62"/>
  <c r="J334" i="62"/>
  <c r="I334" i="62"/>
  <c r="H334" i="62"/>
  <c r="G334" i="62"/>
  <c r="F334" i="62"/>
  <c r="L333" i="62"/>
  <c r="K333" i="62"/>
  <c r="J333" i="62"/>
  <c r="I333" i="62"/>
  <c r="H333" i="62"/>
  <c r="G333" i="62"/>
  <c r="F333" i="62"/>
  <c r="L332" i="62"/>
  <c r="K332" i="62"/>
  <c r="J332" i="62"/>
  <c r="I332" i="62"/>
  <c r="H332" i="62"/>
  <c r="G332" i="62"/>
  <c r="F332" i="62"/>
  <c r="L331" i="62"/>
  <c r="K331" i="62"/>
  <c r="J331" i="62"/>
  <c r="I331" i="62"/>
  <c r="H331" i="62"/>
  <c r="G331" i="62"/>
  <c r="F331" i="62"/>
  <c r="L330" i="62"/>
  <c r="K330" i="62"/>
  <c r="J330" i="62"/>
  <c r="I330" i="62"/>
  <c r="H330" i="62"/>
  <c r="G330" i="62"/>
  <c r="F330" i="62"/>
  <c r="L329" i="62"/>
  <c r="K329" i="62"/>
  <c r="J329" i="62"/>
  <c r="I329" i="62"/>
  <c r="H329" i="62"/>
  <c r="G329" i="62"/>
  <c r="F329" i="62"/>
  <c r="L328" i="62"/>
  <c r="K328" i="62"/>
  <c r="J328" i="62"/>
  <c r="I328" i="62"/>
  <c r="H328" i="62"/>
  <c r="G328" i="62"/>
  <c r="F328" i="62"/>
  <c r="L327" i="62"/>
  <c r="K327" i="62"/>
  <c r="J327" i="62"/>
  <c r="I327" i="62"/>
  <c r="H327" i="62"/>
  <c r="G327" i="62"/>
  <c r="F327" i="62"/>
  <c r="L326" i="62"/>
  <c r="K326" i="62"/>
  <c r="J326" i="62"/>
  <c r="I326" i="62"/>
  <c r="H326" i="62"/>
  <c r="G326" i="62"/>
  <c r="F326" i="62"/>
  <c r="L325" i="62"/>
  <c r="K325" i="62"/>
  <c r="J325" i="62"/>
  <c r="I325" i="62"/>
  <c r="H325" i="62"/>
  <c r="G325" i="62"/>
  <c r="F325" i="62"/>
  <c r="L324" i="62"/>
  <c r="K324" i="62"/>
  <c r="J324" i="62"/>
  <c r="I324" i="62"/>
  <c r="H324" i="62"/>
  <c r="G324" i="62"/>
  <c r="F324" i="62"/>
  <c r="L323" i="62"/>
  <c r="K323" i="62"/>
  <c r="J323" i="62"/>
  <c r="I323" i="62"/>
  <c r="H323" i="62"/>
  <c r="G323" i="62"/>
  <c r="F323" i="62"/>
  <c r="L322" i="62"/>
  <c r="K322" i="62"/>
  <c r="J322" i="62"/>
  <c r="I322" i="62"/>
  <c r="H322" i="62"/>
  <c r="G322" i="62"/>
  <c r="F322" i="62"/>
  <c r="L321" i="62"/>
  <c r="K321" i="62"/>
  <c r="J321" i="62"/>
  <c r="I321" i="62"/>
  <c r="H321" i="62"/>
  <c r="G321" i="62"/>
  <c r="F321" i="62"/>
  <c r="L320" i="62"/>
  <c r="K320" i="62"/>
  <c r="J320" i="62"/>
  <c r="I320" i="62"/>
  <c r="H320" i="62"/>
  <c r="G320" i="62"/>
  <c r="F320" i="62"/>
  <c r="L319" i="62"/>
  <c r="K319" i="62"/>
  <c r="J319" i="62"/>
  <c r="I319" i="62"/>
  <c r="H319" i="62"/>
  <c r="G319" i="62"/>
  <c r="F319" i="62"/>
  <c r="L318" i="62"/>
  <c r="K318" i="62"/>
  <c r="J318" i="62"/>
  <c r="I318" i="62"/>
  <c r="H318" i="62"/>
  <c r="G318" i="62"/>
  <c r="F318" i="62"/>
  <c r="L317" i="62"/>
  <c r="K317" i="62"/>
  <c r="J317" i="62"/>
  <c r="I317" i="62"/>
  <c r="H317" i="62"/>
  <c r="G317" i="62"/>
  <c r="F317" i="62"/>
  <c r="L316" i="62"/>
  <c r="K316" i="62"/>
  <c r="J316" i="62"/>
  <c r="I316" i="62"/>
  <c r="H316" i="62"/>
  <c r="G316" i="62"/>
  <c r="F316" i="62"/>
  <c r="L315" i="62"/>
  <c r="K315" i="62"/>
  <c r="J315" i="62"/>
  <c r="I315" i="62"/>
  <c r="H315" i="62"/>
  <c r="G315" i="62"/>
  <c r="F315" i="62"/>
  <c r="L314" i="62"/>
  <c r="K314" i="62"/>
  <c r="J314" i="62"/>
  <c r="I314" i="62"/>
  <c r="H314" i="62"/>
  <c r="G314" i="62"/>
  <c r="F314" i="62"/>
  <c r="L313" i="62"/>
  <c r="K313" i="62"/>
  <c r="J313" i="62"/>
  <c r="I313" i="62"/>
  <c r="H313" i="62"/>
  <c r="G313" i="62"/>
  <c r="F313" i="62"/>
  <c r="L312" i="62"/>
  <c r="K312" i="62"/>
  <c r="J312" i="62"/>
  <c r="I312" i="62"/>
  <c r="H312" i="62"/>
  <c r="G312" i="62"/>
  <c r="F312" i="62"/>
  <c r="L311" i="62"/>
  <c r="K311" i="62"/>
  <c r="J311" i="62"/>
  <c r="I311" i="62"/>
  <c r="H311" i="62"/>
  <c r="G311" i="62"/>
  <c r="F311" i="62"/>
  <c r="L310" i="62"/>
  <c r="K310" i="62"/>
  <c r="J310" i="62"/>
  <c r="I310" i="62"/>
  <c r="H310" i="62"/>
  <c r="G310" i="62"/>
  <c r="F310" i="62"/>
  <c r="L309" i="62"/>
  <c r="K309" i="62"/>
  <c r="J309" i="62"/>
  <c r="I309" i="62"/>
  <c r="H309" i="62"/>
  <c r="G309" i="62"/>
  <c r="F309" i="62"/>
  <c r="L308" i="62"/>
  <c r="K308" i="62"/>
  <c r="J308" i="62"/>
  <c r="I308" i="62"/>
  <c r="H308" i="62"/>
  <c r="G308" i="62"/>
  <c r="F308" i="62"/>
  <c r="L307" i="62"/>
  <c r="K307" i="62"/>
  <c r="J307" i="62"/>
  <c r="I307" i="62"/>
  <c r="H307" i="62"/>
  <c r="G307" i="62"/>
  <c r="F307" i="62"/>
  <c r="L306" i="62"/>
  <c r="K306" i="62"/>
  <c r="J306" i="62"/>
  <c r="I306" i="62"/>
  <c r="H306" i="62"/>
  <c r="G306" i="62"/>
  <c r="F306" i="62"/>
  <c r="L305" i="62"/>
  <c r="K305" i="62"/>
  <c r="J305" i="62"/>
  <c r="I305" i="62"/>
  <c r="H305" i="62"/>
  <c r="G305" i="62"/>
  <c r="F305" i="62"/>
  <c r="F789" i="43"/>
  <c r="E538" i="62" s="1"/>
  <c r="E789" i="43"/>
  <c r="X789" i="43" s="1"/>
  <c r="F788" i="43"/>
  <c r="E537" i="62" s="1"/>
  <c r="E788" i="43"/>
  <c r="X788" i="43" s="1"/>
  <c r="F787" i="43"/>
  <c r="E536" i="62" s="1"/>
  <c r="E787" i="43"/>
  <c r="X787" i="43" s="1"/>
  <c r="F786" i="43"/>
  <c r="E535" i="62" s="1"/>
  <c r="E786" i="43"/>
  <c r="X786" i="43" s="1"/>
  <c r="F785" i="43"/>
  <c r="E534" i="62" s="1"/>
  <c r="E785" i="43"/>
  <c r="X785" i="43" s="1"/>
  <c r="F784" i="43"/>
  <c r="E533" i="62" s="1"/>
  <c r="E784" i="43"/>
  <c r="X784" i="43" s="1"/>
  <c r="F783" i="43"/>
  <c r="E532" i="62" s="1"/>
  <c r="E783" i="43"/>
  <c r="X783" i="43" s="1"/>
  <c r="F782" i="43"/>
  <c r="E531" i="62" s="1"/>
  <c r="E782" i="43"/>
  <c r="X782" i="43" s="1"/>
  <c r="F781" i="43"/>
  <c r="E530" i="62" s="1"/>
  <c r="E781" i="43"/>
  <c r="X781" i="43" s="1"/>
  <c r="F780" i="43"/>
  <c r="E529" i="62" s="1"/>
  <c r="E780" i="43"/>
  <c r="X780" i="43" s="1"/>
  <c r="F779" i="43"/>
  <c r="E528" i="62" s="1"/>
  <c r="E779" i="43"/>
  <c r="X779" i="43" s="1"/>
  <c r="F778" i="43"/>
  <c r="E527" i="62" s="1"/>
  <c r="E778" i="43"/>
  <c r="X778" i="43" s="1"/>
  <c r="F777" i="43"/>
  <c r="E526" i="62" s="1"/>
  <c r="E777" i="43"/>
  <c r="X777" i="43" s="1"/>
  <c r="F776" i="43"/>
  <c r="E525" i="62" s="1"/>
  <c r="E776" i="43"/>
  <c r="X776" i="43" s="1"/>
  <c r="F775" i="43"/>
  <c r="E524" i="62" s="1"/>
  <c r="E775" i="43"/>
  <c r="X775" i="43" s="1"/>
  <c r="F774" i="43"/>
  <c r="E523" i="62" s="1"/>
  <c r="E774" i="43"/>
  <c r="X774" i="43" s="1"/>
  <c r="F773" i="43"/>
  <c r="E522" i="62" s="1"/>
  <c r="E773" i="43"/>
  <c r="X773" i="43" s="1"/>
  <c r="F772" i="43"/>
  <c r="E521" i="62" s="1"/>
  <c r="E772" i="43"/>
  <c r="X772" i="43" s="1"/>
  <c r="F771" i="43"/>
  <c r="E520" i="62" s="1"/>
  <c r="E771" i="43"/>
  <c r="X771" i="43" s="1"/>
  <c r="F770" i="43"/>
  <c r="E519" i="62" s="1"/>
  <c r="E770" i="43"/>
  <c r="X770" i="43" s="1"/>
  <c r="F769" i="43"/>
  <c r="E518" i="62" s="1"/>
  <c r="E769" i="43"/>
  <c r="X769" i="43" s="1"/>
  <c r="F768" i="43"/>
  <c r="E517" i="62" s="1"/>
  <c r="E768" i="43"/>
  <c r="X768" i="43" s="1"/>
  <c r="F767" i="43"/>
  <c r="E516" i="62" s="1"/>
  <c r="E767" i="43"/>
  <c r="X767" i="43" s="1"/>
  <c r="F766" i="43"/>
  <c r="E515" i="62" s="1"/>
  <c r="E766" i="43"/>
  <c r="X766" i="43" s="1"/>
  <c r="F765" i="43"/>
  <c r="E514" i="62" s="1"/>
  <c r="E765" i="43"/>
  <c r="X765" i="43" s="1"/>
  <c r="F764" i="43"/>
  <c r="E513" i="62" s="1"/>
  <c r="E764" i="43"/>
  <c r="X764" i="43" s="1"/>
  <c r="F763" i="43"/>
  <c r="E512" i="62" s="1"/>
  <c r="E763" i="43"/>
  <c r="X763" i="43" s="1"/>
  <c r="F762" i="43"/>
  <c r="E511" i="62" s="1"/>
  <c r="E762" i="43"/>
  <c r="X762" i="43" s="1"/>
  <c r="F761" i="43"/>
  <c r="E510" i="62" s="1"/>
  <c r="E761" i="43"/>
  <c r="X761" i="43" s="1"/>
  <c r="F760" i="43"/>
  <c r="E509" i="62" s="1"/>
  <c r="E760" i="43"/>
  <c r="X760" i="43" s="1"/>
  <c r="F759" i="43"/>
  <c r="E508" i="62" s="1"/>
  <c r="E759" i="43"/>
  <c r="X759" i="43" s="1"/>
  <c r="F758" i="43"/>
  <c r="E507" i="62" s="1"/>
  <c r="E758" i="43"/>
  <c r="X758" i="43" s="1"/>
  <c r="F757" i="43"/>
  <c r="E506" i="62" s="1"/>
  <c r="E757" i="43"/>
  <c r="X757" i="43" s="1"/>
  <c r="F756" i="43"/>
  <c r="E505" i="62" s="1"/>
  <c r="E756" i="43"/>
  <c r="X756" i="43" s="1"/>
  <c r="F755" i="43"/>
  <c r="E504" i="62" s="1"/>
  <c r="E755" i="43"/>
  <c r="X755" i="43" s="1"/>
  <c r="F754" i="43"/>
  <c r="E503" i="62" s="1"/>
  <c r="E754" i="43"/>
  <c r="X754" i="43" s="1"/>
  <c r="F753" i="43"/>
  <c r="E502" i="62" s="1"/>
  <c r="E753" i="43"/>
  <c r="X753" i="43" s="1"/>
  <c r="F752" i="43"/>
  <c r="E501" i="62" s="1"/>
  <c r="E752" i="43"/>
  <c r="X752" i="43" s="1"/>
  <c r="F751" i="43"/>
  <c r="E500" i="62" s="1"/>
  <c r="E751" i="43"/>
  <c r="X751" i="43" s="1"/>
  <c r="F750" i="43"/>
  <c r="E499" i="62" s="1"/>
  <c r="E750" i="43"/>
  <c r="X750" i="43" s="1"/>
  <c r="F749" i="43"/>
  <c r="E498" i="62" s="1"/>
  <c r="E749" i="43"/>
  <c r="X749" i="43" s="1"/>
  <c r="F748" i="43"/>
  <c r="E497" i="62" s="1"/>
  <c r="E748" i="43"/>
  <c r="X748" i="43" s="1"/>
  <c r="F747" i="43"/>
  <c r="E496" i="62" s="1"/>
  <c r="E747" i="43"/>
  <c r="X747" i="43" s="1"/>
  <c r="F746" i="43"/>
  <c r="E495" i="62" s="1"/>
  <c r="E746" i="43"/>
  <c r="X746" i="43" s="1"/>
  <c r="F745" i="43"/>
  <c r="E494" i="62" s="1"/>
  <c r="E745" i="43"/>
  <c r="X745" i="43" s="1"/>
  <c r="F744" i="43"/>
  <c r="E493" i="62" s="1"/>
  <c r="E744" i="43"/>
  <c r="X744" i="43" s="1"/>
  <c r="F743" i="43"/>
  <c r="E492" i="62" s="1"/>
  <c r="E743" i="43"/>
  <c r="X743" i="43" s="1"/>
  <c r="F742" i="43"/>
  <c r="E491" i="62" s="1"/>
  <c r="E742" i="43"/>
  <c r="X742" i="43" s="1"/>
  <c r="F741" i="43"/>
  <c r="E490" i="62" s="1"/>
  <c r="E741" i="43"/>
  <c r="X741" i="43" s="1"/>
  <c r="F740" i="43"/>
  <c r="E489" i="62" s="1"/>
  <c r="E740" i="43"/>
  <c r="X740" i="43" s="1"/>
  <c r="F739" i="43"/>
  <c r="E488" i="62" s="1"/>
  <c r="E739" i="43"/>
  <c r="X739" i="43" s="1"/>
  <c r="F738" i="43"/>
  <c r="E487" i="62" s="1"/>
  <c r="E738" i="43"/>
  <c r="X738" i="43" s="1"/>
  <c r="F737" i="43"/>
  <c r="E486" i="62" s="1"/>
  <c r="E737" i="43"/>
  <c r="X737" i="43" s="1"/>
  <c r="F736" i="43"/>
  <c r="E485" i="62" s="1"/>
  <c r="E736" i="43"/>
  <c r="X736" i="43" s="1"/>
  <c r="F735" i="43"/>
  <c r="E484" i="62" s="1"/>
  <c r="E735" i="43"/>
  <c r="X735" i="43" s="1"/>
  <c r="F734" i="43"/>
  <c r="E483" i="62" s="1"/>
  <c r="E734" i="43"/>
  <c r="X734" i="43" s="1"/>
  <c r="F733" i="43"/>
  <c r="E482" i="62" s="1"/>
  <c r="E733" i="43"/>
  <c r="X733" i="43" s="1"/>
  <c r="F732" i="43"/>
  <c r="E481" i="62" s="1"/>
  <c r="E732" i="43"/>
  <c r="X732" i="43" s="1"/>
  <c r="F731" i="43"/>
  <c r="E480" i="62" s="1"/>
  <c r="E731" i="43"/>
  <c r="X731" i="43" s="1"/>
  <c r="F730" i="43"/>
  <c r="E479" i="62" s="1"/>
  <c r="E730" i="43"/>
  <c r="X730" i="43" s="1"/>
  <c r="F729" i="43"/>
  <c r="E478" i="62" s="1"/>
  <c r="E729" i="43"/>
  <c r="X729" i="43" s="1"/>
  <c r="F728" i="43"/>
  <c r="E477" i="62" s="1"/>
  <c r="E728" i="43"/>
  <c r="X728" i="43" s="1"/>
  <c r="F727" i="43"/>
  <c r="E476" i="62" s="1"/>
  <c r="E727" i="43"/>
  <c r="X727" i="43" s="1"/>
  <c r="F726" i="43"/>
  <c r="E475" i="62" s="1"/>
  <c r="E726" i="43"/>
  <c r="X726" i="43" s="1"/>
  <c r="F725" i="43"/>
  <c r="E474" i="62" s="1"/>
  <c r="E725" i="43"/>
  <c r="X725" i="43" s="1"/>
  <c r="F724" i="43"/>
  <c r="E473" i="62" s="1"/>
  <c r="E724" i="43"/>
  <c r="X724" i="43" s="1"/>
  <c r="F723" i="43"/>
  <c r="E472" i="62" s="1"/>
  <c r="E723" i="43"/>
  <c r="X723" i="43" s="1"/>
  <c r="F722" i="43"/>
  <c r="E471" i="62" s="1"/>
  <c r="E722" i="43"/>
  <c r="X722" i="43" s="1"/>
  <c r="F721" i="43"/>
  <c r="E470" i="62" s="1"/>
  <c r="E721" i="43"/>
  <c r="X721" i="43" s="1"/>
  <c r="F720" i="43"/>
  <c r="E469" i="62" s="1"/>
  <c r="E720" i="43"/>
  <c r="X720" i="43" s="1"/>
  <c r="F719" i="43"/>
  <c r="E468" i="62" s="1"/>
  <c r="E719" i="43"/>
  <c r="X719" i="43" s="1"/>
  <c r="F718" i="43"/>
  <c r="E467" i="62" s="1"/>
  <c r="E718" i="43"/>
  <c r="X718" i="43" s="1"/>
  <c r="F717" i="43"/>
  <c r="E466" i="62" s="1"/>
  <c r="E717" i="43"/>
  <c r="X717" i="43" s="1"/>
  <c r="F716" i="43"/>
  <c r="E465" i="62" s="1"/>
  <c r="E716" i="43"/>
  <c r="X716" i="43" s="1"/>
  <c r="F715" i="43"/>
  <c r="E464" i="62" s="1"/>
  <c r="E715" i="43"/>
  <c r="X715" i="43" s="1"/>
  <c r="F714" i="43"/>
  <c r="E463" i="62" s="1"/>
  <c r="E714" i="43"/>
  <c r="X714" i="43" s="1"/>
  <c r="F713" i="43"/>
  <c r="E462" i="62" s="1"/>
  <c r="E713" i="43"/>
  <c r="X713" i="43" s="1"/>
  <c r="F712" i="43"/>
  <c r="E461" i="62" s="1"/>
  <c r="E712" i="43"/>
  <c r="X712" i="43" s="1"/>
  <c r="F711" i="43"/>
  <c r="E460" i="62" s="1"/>
  <c r="E711" i="43"/>
  <c r="X711" i="43" s="1"/>
  <c r="F710" i="43"/>
  <c r="E459" i="62" s="1"/>
  <c r="E710" i="43"/>
  <c r="X710" i="43" s="1"/>
  <c r="F709" i="43"/>
  <c r="E458" i="62" s="1"/>
  <c r="E709" i="43"/>
  <c r="X709" i="43" s="1"/>
  <c r="F708" i="43"/>
  <c r="E457" i="62" s="1"/>
  <c r="E708" i="43"/>
  <c r="X708" i="43" s="1"/>
  <c r="F707" i="43"/>
  <c r="E456" i="62" s="1"/>
  <c r="E707" i="43"/>
  <c r="X707" i="43" s="1"/>
  <c r="F706" i="43"/>
  <c r="E455" i="62" s="1"/>
  <c r="E706" i="43"/>
  <c r="X706" i="43" s="1"/>
  <c r="F705" i="43"/>
  <c r="E454" i="62" s="1"/>
  <c r="E705" i="43"/>
  <c r="X705" i="43" s="1"/>
  <c r="F704" i="43"/>
  <c r="E453" i="62" s="1"/>
  <c r="E704" i="43"/>
  <c r="X704" i="43" s="1"/>
  <c r="F703" i="43"/>
  <c r="E452" i="62" s="1"/>
  <c r="E703" i="43"/>
  <c r="X703" i="43" s="1"/>
  <c r="F702" i="43"/>
  <c r="E451" i="62" s="1"/>
  <c r="E702" i="43"/>
  <c r="X702" i="43" s="1"/>
  <c r="F701" i="43"/>
  <c r="E450" i="62" s="1"/>
  <c r="E701" i="43"/>
  <c r="X701" i="43" s="1"/>
  <c r="F700" i="43"/>
  <c r="E449" i="62" s="1"/>
  <c r="E700" i="43"/>
  <c r="X700" i="43" s="1"/>
  <c r="F699" i="43"/>
  <c r="E448" i="62" s="1"/>
  <c r="E699" i="43"/>
  <c r="X699" i="43" s="1"/>
  <c r="F698" i="43"/>
  <c r="E447" i="62" s="1"/>
  <c r="E698" i="43"/>
  <c r="X698" i="43" s="1"/>
  <c r="F697" i="43"/>
  <c r="E446" i="62" s="1"/>
  <c r="E697" i="43"/>
  <c r="X697" i="43" s="1"/>
  <c r="F696" i="43"/>
  <c r="E445" i="62" s="1"/>
  <c r="E696" i="43"/>
  <c r="X696" i="43" s="1"/>
  <c r="F695" i="43"/>
  <c r="E444" i="62" s="1"/>
  <c r="E695" i="43"/>
  <c r="X695" i="43" s="1"/>
  <c r="F694" i="43"/>
  <c r="E443" i="62" s="1"/>
  <c r="E694" i="43"/>
  <c r="X694" i="43" s="1"/>
  <c r="F693" i="43"/>
  <c r="E442" i="62" s="1"/>
  <c r="E693" i="43"/>
  <c r="X693" i="43" s="1"/>
  <c r="F692" i="43"/>
  <c r="E441" i="62" s="1"/>
  <c r="E692" i="43"/>
  <c r="X692" i="43" s="1"/>
  <c r="F691" i="43"/>
  <c r="E440" i="62" s="1"/>
  <c r="E691" i="43"/>
  <c r="X691" i="43" s="1"/>
  <c r="F690" i="43"/>
  <c r="E439" i="62" s="1"/>
  <c r="E690" i="43"/>
  <c r="X690" i="43" s="1"/>
  <c r="F689" i="43"/>
  <c r="E438" i="62" s="1"/>
  <c r="E689" i="43"/>
  <c r="X689" i="43" s="1"/>
  <c r="F688" i="43"/>
  <c r="E437" i="62" s="1"/>
  <c r="E688" i="43"/>
  <c r="X688" i="43" s="1"/>
  <c r="F687" i="43"/>
  <c r="E436" i="62" s="1"/>
  <c r="E687" i="43"/>
  <c r="X687" i="43" s="1"/>
  <c r="F686" i="43"/>
  <c r="E435" i="62" s="1"/>
  <c r="E686" i="43"/>
  <c r="X686" i="43" s="1"/>
  <c r="F685" i="43"/>
  <c r="E434" i="62" s="1"/>
  <c r="E685" i="43"/>
  <c r="X685" i="43" s="1"/>
  <c r="F684" i="43"/>
  <c r="E433" i="62" s="1"/>
  <c r="E684" i="43"/>
  <c r="X684" i="43" s="1"/>
  <c r="F683" i="43"/>
  <c r="E432" i="62" s="1"/>
  <c r="E683" i="43"/>
  <c r="X683" i="43" s="1"/>
  <c r="F682" i="43"/>
  <c r="E431" i="62" s="1"/>
  <c r="E682" i="43"/>
  <c r="X682" i="43" s="1"/>
  <c r="F681" i="43"/>
  <c r="E430" i="62" s="1"/>
  <c r="E681" i="43"/>
  <c r="X681" i="43" s="1"/>
  <c r="F680" i="43"/>
  <c r="E429" i="62" s="1"/>
  <c r="E680" i="43"/>
  <c r="X680" i="43" s="1"/>
  <c r="F679" i="43"/>
  <c r="E428" i="62" s="1"/>
  <c r="E679" i="43"/>
  <c r="X679" i="43" s="1"/>
  <c r="F678" i="43"/>
  <c r="E427" i="62" s="1"/>
  <c r="E678" i="43"/>
  <c r="X678" i="43" s="1"/>
  <c r="F677" i="43"/>
  <c r="E426" i="62" s="1"/>
  <c r="E677" i="43"/>
  <c r="X677" i="43" s="1"/>
  <c r="F676" i="43"/>
  <c r="E425" i="62" s="1"/>
  <c r="E676" i="43"/>
  <c r="X676" i="43" s="1"/>
  <c r="F675" i="43"/>
  <c r="E424" i="62" s="1"/>
  <c r="E675" i="43"/>
  <c r="X675" i="43" s="1"/>
  <c r="F674" i="43"/>
  <c r="E423" i="62" s="1"/>
  <c r="E674" i="43"/>
  <c r="X674" i="43" s="1"/>
  <c r="F673" i="43"/>
  <c r="E422" i="62" s="1"/>
  <c r="E673" i="43"/>
  <c r="X673" i="43" s="1"/>
  <c r="F672" i="43"/>
  <c r="E421" i="62" s="1"/>
  <c r="E672" i="43"/>
  <c r="X672" i="43" s="1"/>
  <c r="F671" i="43"/>
  <c r="E420" i="62" s="1"/>
  <c r="E671" i="43"/>
  <c r="X671" i="43" s="1"/>
  <c r="F670" i="43"/>
  <c r="E419" i="62" s="1"/>
  <c r="E670" i="43"/>
  <c r="X670" i="43" s="1"/>
  <c r="F669" i="43"/>
  <c r="E418" i="62" s="1"/>
  <c r="E669" i="43"/>
  <c r="X669" i="43" s="1"/>
  <c r="F668" i="43"/>
  <c r="E417" i="62" s="1"/>
  <c r="E668" i="43"/>
  <c r="X668" i="43" s="1"/>
  <c r="F667" i="43"/>
  <c r="E416" i="62" s="1"/>
  <c r="E667" i="43"/>
  <c r="X667" i="43" s="1"/>
  <c r="F666" i="43"/>
  <c r="E415" i="62" s="1"/>
  <c r="E666" i="43"/>
  <c r="X666" i="43" s="1"/>
  <c r="F665" i="43"/>
  <c r="E414" i="62" s="1"/>
  <c r="E665" i="43"/>
  <c r="X665" i="43" s="1"/>
  <c r="F664" i="43"/>
  <c r="E413" i="62" s="1"/>
  <c r="E664" i="43"/>
  <c r="X664" i="43" s="1"/>
  <c r="F663" i="43"/>
  <c r="E412" i="62" s="1"/>
  <c r="E663" i="43"/>
  <c r="X663" i="43" s="1"/>
  <c r="F662" i="43"/>
  <c r="E411" i="62" s="1"/>
  <c r="E662" i="43"/>
  <c r="X662" i="43" s="1"/>
  <c r="F661" i="43"/>
  <c r="E410" i="62" s="1"/>
  <c r="E661" i="43"/>
  <c r="X661" i="43" s="1"/>
  <c r="F660" i="43"/>
  <c r="E409" i="62" s="1"/>
  <c r="E660" i="43"/>
  <c r="X660" i="43" s="1"/>
  <c r="F659" i="43"/>
  <c r="E408" i="62" s="1"/>
  <c r="E659" i="43"/>
  <c r="X659" i="43" s="1"/>
  <c r="F658" i="43"/>
  <c r="E407" i="62" s="1"/>
  <c r="E658" i="43"/>
  <c r="X658" i="43" s="1"/>
  <c r="F657" i="43"/>
  <c r="E406" i="62" s="1"/>
  <c r="E657" i="43"/>
  <c r="X657" i="43" s="1"/>
  <c r="F656" i="43"/>
  <c r="E405" i="62" s="1"/>
  <c r="E656" i="43"/>
  <c r="X656" i="43" s="1"/>
  <c r="F655" i="43"/>
  <c r="E404" i="62" s="1"/>
  <c r="E655" i="43"/>
  <c r="X655" i="43" s="1"/>
  <c r="F654" i="43"/>
  <c r="E403" i="62" s="1"/>
  <c r="E654" i="43"/>
  <c r="X654" i="43" s="1"/>
  <c r="F653" i="43"/>
  <c r="E402" i="62" s="1"/>
  <c r="E653" i="43"/>
  <c r="X653" i="43" s="1"/>
  <c r="F652" i="43"/>
  <c r="E401" i="62" s="1"/>
  <c r="E652" i="43"/>
  <c r="X652" i="43" s="1"/>
  <c r="F651" i="43"/>
  <c r="E400" i="62" s="1"/>
  <c r="E651" i="43"/>
  <c r="X651" i="43" s="1"/>
  <c r="F650" i="43"/>
  <c r="E399" i="62" s="1"/>
  <c r="E650" i="43"/>
  <c r="X650" i="43" s="1"/>
  <c r="F649" i="43"/>
  <c r="E398" i="62" s="1"/>
  <c r="E649" i="43"/>
  <c r="X649" i="43" s="1"/>
  <c r="F648" i="43"/>
  <c r="E397" i="62" s="1"/>
  <c r="E648" i="43"/>
  <c r="X648" i="43" s="1"/>
  <c r="F647" i="43"/>
  <c r="E396" i="62" s="1"/>
  <c r="E647" i="43"/>
  <c r="X647" i="43" s="1"/>
  <c r="F646" i="43"/>
  <c r="E395" i="62" s="1"/>
  <c r="E646" i="43"/>
  <c r="X646" i="43" s="1"/>
  <c r="F645" i="43"/>
  <c r="E394" i="62" s="1"/>
  <c r="E645" i="43"/>
  <c r="X645" i="43" s="1"/>
  <c r="F644" i="43"/>
  <c r="E393" i="62" s="1"/>
  <c r="E644" i="43"/>
  <c r="X644" i="43" s="1"/>
  <c r="F643" i="43"/>
  <c r="E392" i="62" s="1"/>
  <c r="E643" i="43"/>
  <c r="X643" i="43" s="1"/>
  <c r="F642" i="43"/>
  <c r="E391" i="62" s="1"/>
  <c r="E642" i="43"/>
  <c r="X642" i="43" s="1"/>
  <c r="F641" i="43"/>
  <c r="E390" i="62" s="1"/>
  <c r="E641" i="43"/>
  <c r="X641" i="43" s="1"/>
  <c r="F640" i="43"/>
  <c r="E389" i="62" s="1"/>
  <c r="E640" i="43"/>
  <c r="X640" i="43" s="1"/>
  <c r="F639" i="43"/>
  <c r="E388" i="62" s="1"/>
  <c r="E639" i="43"/>
  <c r="X639" i="43" s="1"/>
  <c r="F638" i="43"/>
  <c r="E387" i="62" s="1"/>
  <c r="E638" i="43"/>
  <c r="X638" i="43" s="1"/>
  <c r="F637" i="43"/>
  <c r="E386" i="62" s="1"/>
  <c r="E637" i="43"/>
  <c r="X637" i="43" s="1"/>
  <c r="F636" i="43"/>
  <c r="E385" i="62" s="1"/>
  <c r="E636" i="43"/>
  <c r="X636" i="43" s="1"/>
  <c r="F635" i="43"/>
  <c r="E384" i="62" s="1"/>
  <c r="E635" i="43"/>
  <c r="X635" i="43" s="1"/>
  <c r="F634" i="43"/>
  <c r="E383" i="62" s="1"/>
  <c r="E634" i="43"/>
  <c r="X634" i="43" s="1"/>
  <c r="F633" i="43"/>
  <c r="E382" i="62" s="1"/>
  <c r="E633" i="43"/>
  <c r="X633" i="43" s="1"/>
  <c r="F632" i="43"/>
  <c r="E381" i="62" s="1"/>
  <c r="E632" i="43"/>
  <c r="X632" i="43" s="1"/>
  <c r="F631" i="43"/>
  <c r="E380" i="62" s="1"/>
  <c r="E631" i="43"/>
  <c r="X631" i="43" s="1"/>
  <c r="F630" i="43"/>
  <c r="E379" i="62" s="1"/>
  <c r="E630" i="43"/>
  <c r="X630" i="43" s="1"/>
  <c r="F629" i="43"/>
  <c r="E378" i="62" s="1"/>
  <c r="E629" i="43"/>
  <c r="X629" i="43" s="1"/>
  <c r="F628" i="43"/>
  <c r="E377" i="62" s="1"/>
  <c r="E628" i="43"/>
  <c r="X628" i="43" s="1"/>
  <c r="F627" i="43"/>
  <c r="E376" i="62" s="1"/>
  <c r="E627" i="43"/>
  <c r="X627" i="43" s="1"/>
  <c r="F626" i="43"/>
  <c r="E375" i="62" s="1"/>
  <c r="E626" i="43"/>
  <c r="X626" i="43" s="1"/>
  <c r="F625" i="43"/>
  <c r="E374" i="62" s="1"/>
  <c r="E625" i="43"/>
  <c r="X625" i="43" s="1"/>
  <c r="F624" i="43"/>
  <c r="E373" i="62" s="1"/>
  <c r="E624" i="43"/>
  <c r="X624" i="43" s="1"/>
  <c r="F623" i="43"/>
  <c r="E372" i="62" s="1"/>
  <c r="E623" i="43"/>
  <c r="X623" i="43" s="1"/>
  <c r="F622" i="43"/>
  <c r="E371" i="62" s="1"/>
  <c r="E622" i="43"/>
  <c r="X622" i="43" s="1"/>
  <c r="F621" i="43"/>
  <c r="E370" i="62" s="1"/>
  <c r="E621" i="43"/>
  <c r="X621" i="43" s="1"/>
  <c r="F620" i="43"/>
  <c r="E369" i="62" s="1"/>
  <c r="E620" i="43"/>
  <c r="X620" i="43" s="1"/>
  <c r="F619" i="43"/>
  <c r="E368" i="62" s="1"/>
  <c r="E619" i="43"/>
  <c r="X619" i="43" s="1"/>
  <c r="F618" i="43"/>
  <c r="E367" i="62" s="1"/>
  <c r="E618" i="43"/>
  <c r="X618" i="43" s="1"/>
  <c r="F617" i="43"/>
  <c r="E366" i="62" s="1"/>
  <c r="E617" i="43"/>
  <c r="X617" i="43" s="1"/>
  <c r="F616" i="43"/>
  <c r="E365" i="62" s="1"/>
  <c r="E616" i="43"/>
  <c r="X616" i="43" s="1"/>
  <c r="F615" i="43"/>
  <c r="E364" i="62" s="1"/>
  <c r="E615" i="43"/>
  <c r="X615" i="43" s="1"/>
  <c r="F614" i="43"/>
  <c r="E363" i="62" s="1"/>
  <c r="E614" i="43"/>
  <c r="X614" i="43" s="1"/>
  <c r="F613" i="43"/>
  <c r="E362" i="62" s="1"/>
  <c r="E613" i="43"/>
  <c r="X613" i="43" s="1"/>
  <c r="F612" i="43"/>
  <c r="E361" i="62" s="1"/>
  <c r="E612" i="43"/>
  <c r="X612" i="43" s="1"/>
  <c r="F611" i="43"/>
  <c r="E360" i="62" s="1"/>
  <c r="E611" i="43"/>
  <c r="X611" i="43" s="1"/>
  <c r="F610" i="43"/>
  <c r="E359" i="62" s="1"/>
  <c r="E610" i="43"/>
  <c r="X610" i="43" s="1"/>
  <c r="F609" i="43"/>
  <c r="E358" i="62" s="1"/>
  <c r="E609" i="43"/>
  <c r="X609" i="43" s="1"/>
  <c r="F608" i="43"/>
  <c r="E357" i="62" s="1"/>
  <c r="E608" i="43"/>
  <c r="X608" i="43" s="1"/>
  <c r="F607" i="43"/>
  <c r="E356" i="62" s="1"/>
  <c r="E607" i="43"/>
  <c r="X607" i="43" s="1"/>
  <c r="F606" i="43"/>
  <c r="E355" i="62" s="1"/>
  <c r="E606" i="43"/>
  <c r="X606" i="43" s="1"/>
  <c r="F605" i="43"/>
  <c r="E354" i="62" s="1"/>
  <c r="E605" i="43"/>
  <c r="X605" i="43" s="1"/>
  <c r="F604" i="43"/>
  <c r="E353" i="62" s="1"/>
  <c r="E604" i="43"/>
  <c r="X604" i="43" s="1"/>
  <c r="F603" i="43"/>
  <c r="E352" i="62" s="1"/>
  <c r="E603" i="43"/>
  <c r="X603" i="43" s="1"/>
  <c r="F602" i="43"/>
  <c r="E351" i="62" s="1"/>
  <c r="E602" i="43"/>
  <c r="X602" i="43" s="1"/>
  <c r="F601" i="43"/>
  <c r="E350" i="62" s="1"/>
  <c r="E601" i="43"/>
  <c r="X601" i="43" s="1"/>
  <c r="F600" i="43"/>
  <c r="E349" i="62" s="1"/>
  <c r="E600" i="43"/>
  <c r="X600" i="43" s="1"/>
  <c r="F599" i="43"/>
  <c r="E348" i="62" s="1"/>
  <c r="E599" i="43"/>
  <c r="X599" i="43" s="1"/>
  <c r="F598" i="43"/>
  <c r="E347" i="62" s="1"/>
  <c r="E598" i="43"/>
  <c r="X598" i="43" s="1"/>
  <c r="F597" i="43"/>
  <c r="E346" i="62" s="1"/>
  <c r="E597" i="43"/>
  <c r="X597" i="43" s="1"/>
  <c r="F596" i="43"/>
  <c r="E345" i="62" s="1"/>
  <c r="E596" i="43"/>
  <c r="X596" i="43" s="1"/>
  <c r="F595" i="43"/>
  <c r="E344" i="62" s="1"/>
  <c r="E595" i="43"/>
  <c r="X595" i="43" s="1"/>
  <c r="F594" i="43"/>
  <c r="E343" i="62" s="1"/>
  <c r="E594" i="43"/>
  <c r="X594" i="43" s="1"/>
  <c r="F593" i="43"/>
  <c r="E342" i="62" s="1"/>
  <c r="E593" i="43"/>
  <c r="X593" i="43" s="1"/>
  <c r="F592" i="43"/>
  <c r="E341" i="62" s="1"/>
  <c r="E592" i="43"/>
  <c r="X592" i="43" s="1"/>
  <c r="F591" i="43"/>
  <c r="E340" i="62" s="1"/>
  <c r="E591" i="43"/>
  <c r="X591" i="43" s="1"/>
  <c r="F590" i="43"/>
  <c r="E339" i="62" s="1"/>
  <c r="E590" i="43"/>
  <c r="X590" i="43" s="1"/>
  <c r="F589" i="43"/>
  <c r="E338" i="62" s="1"/>
  <c r="E589" i="43"/>
  <c r="X589" i="43" s="1"/>
  <c r="F588" i="43"/>
  <c r="E337" i="62" s="1"/>
  <c r="E588" i="43"/>
  <c r="X588" i="43" s="1"/>
  <c r="F587" i="43"/>
  <c r="E336" i="62" s="1"/>
  <c r="E587" i="43"/>
  <c r="X587" i="43" s="1"/>
  <c r="F586" i="43"/>
  <c r="E335" i="62" s="1"/>
  <c r="E586" i="43"/>
  <c r="X586" i="43" s="1"/>
  <c r="F585" i="43"/>
  <c r="E334" i="62" s="1"/>
  <c r="E585" i="43"/>
  <c r="X585" i="43" s="1"/>
  <c r="F584" i="43"/>
  <c r="E333" i="62" s="1"/>
  <c r="E584" i="43"/>
  <c r="X584" i="43" s="1"/>
  <c r="F583" i="43"/>
  <c r="E332" i="62" s="1"/>
  <c r="E583" i="43"/>
  <c r="X583" i="43" s="1"/>
  <c r="F582" i="43"/>
  <c r="E331" i="62" s="1"/>
  <c r="E582" i="43"/>
  <c r="X582" i="43" s="1"/>
  <c r="F581" i="43"/>
  <c r="E330" i="62" s="1"/>
  <c r="E581" i="43"/>
  <c r="X581" i="43" s="1"/>
  <c r="F580" i="43"/>
  <c r="E329" i="62" s="1"/>
  <c r="E580" i="43"/>
  <c r="X580" i="43" s="1"/>
  <c r="F579" i="43"/>
  <c r="E328" i="62" s="1"/>
  <c r="E579" i="43"/>
  <c r="X579" i="43" s="1"/>
  <c r="F578" i="43"/>
  <c r="E327" i="62" s="1"/>
  <c r="E578" i="43"/>
  <c r="X578" i="43" s="1"/>
  <c r="F577" i="43"/>
  <c r="E326" i="62" s="1"/>
  <c r="E577" i="43"/>
  <c r="X577" i="43" s="1"/>
  <c r="F576" i="43"/>
  <c r="E325" i="62" s="1"/>
  <c r="E576" i="43"/>
  <c r="X576" i="43" s="1"/>
  <c r="F575" i="43"/>
  <c r="E324" i="62" s="1"/>
  <c r="E575" i="43"/>
  <c r="X575" i="43" s="1"/>
  <c r="F574" i="43"/>
  <c r="E323" i="62" s="1"/>
  <c r="E574" i="43"/>
  <c r="X574" i="43" s="1"/>
  <c r="F573" i="43"/>
  <c r="E322" i="62" s="1"/>
  <c r="E573" i="43"/>
  <c r="X573" i="43" s="1"/>
  <c r="F572" i="43"/>
  <c r="E321" i="62" s="1"/>
  <c r="E572" i="43"/>
  <c r="X572" i="43" s="1"/>
  <c r="F571" i="43"/>
  <c r="E320" i="62" s="1"/>
  <c r="E571" i="43"/>
  <c r="X571" i="43" s="1"/>
  <c r="F570" i="43"/>
  <c r="E319" i="62" s="1"/>
  <c r="E570" i="43"/>
  <c r="X570" i="43" s="1"/>
  <c r="F569" i="43"/>
  <c r="E318" i="62" s="1"/>
  <c r="E569" i="43"/>
  <c r="X569" i="43" s="1"/>
  <c r="F568" i="43"/>
  <c r="E317" i="62" s="1"/>
  <c r="E568" i="43"/>
  <c r="X568" i="43" s="1"/>
  <c r="F567" i="43"/>
  <c r="E316" i="62" s="1"/>
  <c r="E567" i="43"/>
  <c r="X567" i="43" s="1"/>
  <c r="F566" i="43"/>
  <c r="E315" i="62" s="1"/>
  <c r="E566" i="43"/>
  <c r="X566" i="43" s="1"/>
  <c r="F565" i="43"/>
  <c r="E314" i="62" s="1"/>
  <c r="E565" i="43"/>
  <c r="X565" i="43" s="1"/>
  <c r="F564" i="43"/>
  <c r="E313" i="62" s="1"/>
  <c r="E564" i="43"/>
  <c r="X564" i="43" s="1"/>
  <c r="F563" i="43"/>
  <c r="E312" i="62" s="1"/>
  <c r="E563" i="43"/>
  <c r="X563" i="43" s="1"/>
  <c r="F562" i="43"/>
  <c r="E311" i="62" s="1"/>
  <c r="E562" i="43"/>
  <c r="X562" i="43" s="1"/>
  <c r="F561" i="43"/>
  <c r="E310" i="62" s="1"/>
  <c r="E561" i="43"/>
  <c r="X561" i="43" s="1"/>
  <c r="F560" i="43"/>
  <c r="E309" i="62" s="1"/>
  <c r="E560" i="43"/>
  <c r="X560" i="43" s="1"/>
  <c r="X535" i="43"/>
  <c r="T535" i="43"/>
  <c r="L286" i="62" s="1"/>
  <c r="R535" i="43"/>
  <c r="N535" i="43"/>
  <c r="K535" i="43"/>
  <c r="J535" i="43"/>
  <c r="I286" i="62" s="1"/>
  <c r="F535" i="43"/>
  <c r="G286" i="62" s="1"/>
  <c r="X534" i="43"/>
  <c r="T534" i="43"/>
  <c r="L285" i="62" s="1"/>
  <c r="R534" i="43"/>
  <c r="N534" i="43"/>
  <c r="K534" i="43"/>
  <c r="J534" i="43"/>
  <c r="I285" i="62" s="1"/>
  <c r="F534" i="43"/>
  <c r="G285" i="62" s="1"/>
  <c r="X533" i="43"/>
  <c r="T533" i="43"/>
  <c r="L284" i="62" s="1"/>
  <c r="R533" i="43"/>
  <c r="N533" i="43"/>
  <c r="K533" i="43"/>
  <c r="J533" i="43"/>
  <c r="I284" i="62" s="1"/>
  <c r="F533" i="43"/>
  <c r="G284" i="62" s="1"/>
  <c r="X532" i="43"/>
  <c r="T532" i="43"/>
  <c r="L283" i="62" s="1"/>
  <c r="R532" i="43"/>
  <c r="N532" i="43"/>
  <c r="K532" i="43"/>
  <c r="J532" i="43"/>
  <c r="I283" i="62" s="1"/>
  <c r="F532" i="43"/>
  <c r="G283" i="62" s="1"/>
  <c r="X531" i="43"/>
  <c r="T531" i="43"/>
  <c r="L282" i="62" s="1"/>
  <c r="R531" i="43"/>
  <c r="N531" i="43"/>
  <c r="K531" i="43"/>
  <c r="J531" i="43"/>
  <c r="I282" i="62" s="1"/>
  <c r="F531" i="43"/>
  <c r="G282" i="62" s="1"/>
  <c r="X530" i="43"/>
  <c r="T530" i="43"/>
  <c r="L281" i="62" s="1"/>
  <c r="R530" i="43"/>
  <c r="N530" i="43"/>
  <c r="K530" i="43"/>
  <c r="J530" i="43"/>
  <c r="I281" i="62" s="1"/>
  <c r="F530" i="43"/>
  <c r="G281" i="62" s="1"/>
  <c r="X529" i="43"/>
  <c r="T529" i="43"/>
  <c r="L280" i="62" s="1"/>
  <c r="R529" i="43"/>
  <c r="N529" i="43"/>
  <c r="K529" i="43"/>
  <c r="J529" i="43"/>
  <c r="I280" i="62" s="1"/>
  <c r="F529" i="43"/>
  <c r="G280" i="62" s="1"/>
  <c r="X528" i="43"/>
  <c r="T528" i="43"/>
  <c r="L279" i="62" s="1"/>
  <c r="R528" i="43"/>
  <c r="N528" i="43"/>
  <c r="K528" i="43"/>
  <c r="J528" i="43"/>
  <c r="I279" i="62" s="1"/>
  <c r="F528" i="43"/>
  <c r="G279" i="62" s="1"/>
  <c r="X527" i="43"/>
  <c r="T527" i="43"/>
  <c r="L278" i="62" s="1"/>
  <c r="R527" i="43"/>
  <c r="N527" i="43"/>
  <c r="K527" i="43"/>
  <c r="J527" i="43"/>
  <c r="I278" i="62" s="1"/>
  <c r="F527" i="43"/>
  <c r="G278" i="62" s="1"/>
  <c r="X526" i="43"/>
  <c r="T526" i="43"/>
  <c r="L277" i="62" s="1"/>
  <c r="R526" i="43"/>
  <c r="N526" i="43"/>
  <c r="K526" i="43"/>
  <c r="J526" i="43"/>
  <c r="I277" i="62" s="1"/>
  <c r="F526" i="43"/>
  <c r="G277" i="62" s="1"/>
  <c r="X525" i="43"/>
  <c r="T525" i="43"/>
  <c r="L276" i="62" s="1"/>
  <c r="R525" i="43"/>
  <c r="N525" i="43"/>
  <c r="K525" i="43"/>
  <c r="J525" i="43"/>
  <c r="I276" i="62" s="1"/>
  <c r="F525" i="43"/>
  <c r="G276" i="62" s="1"/>
  <c r="X524" i="43"/>
  <c r="T524" i="43"/>
  <c r="L275" i="62" s="1"/>
  <c r="R524" i="43"/>
  <c r="N524" i="43"/>
  <c r="K524" i="43"/>
  <c r="J524" i="43"/>
  <c r="I275" i="62" s="1"/>
  <c r="F524" i="43"/>
  <c r="G275" i="62" s="1"/>
  <c r="X523" i="43"/>
  <c r="T523" i="43"/>
  <c r="L274" i="62" s="1"/>
  <c r="R523" i="43"/>
  <c r="N523" i="43"/>
  <c r="K523" i="43"/>
  <c r="J523" i="43"/>
  <c r="I274" i="62" s="1"/>
  <c r="F523" i="43"/>
  <c r="G274" i="62" s="1"/>
  <c r="X522" i="43"/>
  <c r="T522" i="43"/>
  <c r="L273" i="62" s="1"/>
  <c r="R522" i="43"/>
  <c r="N522" i="43"/>
  <c r="K522" i="43"/>
  <c r="J522" i="43"/>
  <c r="I273" i="62" s="1"/>
  <c r="F522" i="43"/>
  <c r="G273" i="62" s="1"/>
  <c r="X521" i="43"/>
  <c r="T521" i="43"/>
  <c r="L272" i="62" s="1"/>
  <c r="R521" i="43"/>
  <c r="N521" i="43"/>
  <c r="K521" i="43"/>
  <c r="J521" i="43"/>
  <c r="I272" i="62" s="1"/>
  <c r="F521" i="43"/>
  <c r="G272" i="62" s="1"/>
  <c r="X520" i="43"/>
  <c r="T520" i="43"/>
  <c r="L271" i="62" s="1"/>
  <c r="R520" i="43"/>
  <c r="N520" i="43"/>
  <c r="K520" i="43"/>
  <c r="J520" i="43"/>
  <c r="I271" i="62" s="1"/>
  <c r="F520" i="43"/>
  <c r="G271" i="62" s="1"/>
  <c r="X519" i="43"/>
  <c r="T519" i="43"/>
  <c r="L270" i="62" s="1"/>
  <c r="R519" i="43"/>
  <c r="N519" i="43"/>
  <c r="K519" i="43"/>
  <c r="J519" i="43"/>
  <c r="I270" i="62" s="1"/>
  <c r="F519" i="43"/>
  <c r="G270" i="62" s="1"/>
  <c r="X518" i="43"/>
  <c r="T518" i="43"/>
  <c r="L269" i="62" s="1"/>
  <c r="R518" i="43"/>
  <c r="N518" i="43"/>
  <c r="K518" i="43"/>
  <c r="J518" i="43"/>
  <c r="I269" i="62" s="1"/>
  <c r="F518" i="43"/>
  <c r="G269" i="62" s="1"/>
  <c r="X517" i="43"/>
  <c r="R517" i="43"/>
  <c r="J517" i="43"/>
  <c r="I268" i="62" s="1"/>
  <c r="F517" i="43"/>
  <c r="G268" i="62" s="1"/>
  <c r="X516" i="43"/>
  <c r="T516" i="43"/>
  <c r="L267" i="62" s="1"/>
  <c r="R516" i="43"/>
  <c r="N516" i="43"/>
  <c r="K516" i="43"/>
  <c r="J516" i="43"/>
  <c r="I267" i="62" s="1"/>
  <c r="F516" i="43"/>
  <c r="G267" i="62" s="1"/>
  <c r="X515" i="43"/>
  <c r="T515" i="43"/>
  <c r="L266" i="62" s="1"/>
  <c r="R515" i="43"/>
  <c r="N515" i="43"/>
  <c r="K515" i="43"/>
  <c r="J515" i="43"/>
  <c r="I266" i="62" s="1"/>
  <c r="F515" i="43"/>
  <c r="G266" i="62" s="1"/>
  <c r="X514" i="43"/>
  <c r="T514" i="43"/>
  <c r="L265" i="62" s="1"/>
  <c r="R514" i="43"/>
  <c r="N514" i="43"/>
  <c r="K514" i="43"/>
  <c r="J514" i="43"/>
  <c r="I265" i="62" s="1"/>
  <c r="F514" i="43"/>
  <c r="G265" i="62" s="1"/>
  <c r="X513" i="43"/>
  <c r="T513" i="43"/>
  <c r="L264" i="62" s="1"/>
  <c r="R513" i="43"/>
  <c r="N513" i="43"/>
  <c r="K513" i="43"/>
  <c r="J513" i="43"/>
  <c r="I264" i="62" s="1"/>
  <c r="F513" i="43"/>
  <c r="G264" i="62" s="1"/>
  <c r="X512" i="43"/>
  <c r="T512" i="43"/>
  <c r="L263" i="62" s="1"/>
  <c r="R512" i="43"/>
  <c r="N512" i="43"/>
  <c r="K512" i="43"/>
  <c r="J512" i="43"/>
  <c r="I263" i="62" s="1"/>
  <c r="F512" i="43"/>
  <c r="G263" i="62" s="1"/>
  <c r="X511" i="43"/>
  <c r="T511" i="43"/>
  <c r="L262" i="62" s="1"/>
  <c r="R511" i="43"/>
  <c r="N511" i="43"/>
  <c r="K511" i="43"/>
  <c r="J511" i="43"/>
  <c r="I262" i="62" s="1"/>
  <c r="F511" i="43"/>
  <c r="G262" i="62" s="1"/>
  <c r="X510" i="43"/>
  <c r="T510" i="43"/>
  <c r="L261" i="62" s="1"/>
  <c r="R510" i="43"/>
  <c r="N510" i="43"/>
  <c r="K510" i="43"/>
  <c r="J510" i="43"/>
  <c r="I261" i="62" s="1"/>
  <c r="F510" i="43"/>
  <c r="G261" i="62" s="1"/>
  <c r="X509" i="43"/>
  <c r="T509" i="43"/>
  <c r="L260" i="62" s="1"/>
  <c r="R509" i="43"/>
  <c r="N509" i="43"/>
  <c r="K509" i="43"/>
  <c r="J509" i="43"/>
  <c r="I260" i="62" s="1"/>
  <c r="F509" i="43"/>
  <c r="G260" i="62" s="1"/>
  <c r="X508" i="43"/>
  <c r="T508" i="43"/>
  <c r="L259" i="62" s="1"/>
  <c r="R508" i="43"/>
  <c r="N508" i="43"/>
  <c r="K508" i="43"/>
  <c r="J508" i="43"/>
  <c r="I259" i="62" s="1"/>
  <c r="F508" i="43"/>
  <c r="G259" i="62" s="1"/>
  <c r="X507" i="43"/>
  <c r="T507" i="43"/>
  <c r="L258" i="62" s="1"/>
  <c r="R507" i="43"/>
  <c r="N507" i="43"/>
  <c r="K507" i="43"/>
  <c r="J507" i="43"/>
  <c r="I258" i="62" s="1"/>
  <c r="F507" i="43"/>
  <c r="G258" i="62" s="1"/>
  <c r="X506" i="43"/>
  <c r="T506" i="43"/>
  <c r="L257" i="62" s="1"/>
  <c r="R506" i="43"/>
  <c r="N506" i="43"/>
  <c r="K506" i="43"/>
  <c r="J506" i="43"/>
  <c r="I257" i="62" s="1"/>
  <c r="F506" i="43"/>
  <c r="G257" i="62" s="1"/>
  <c r="X505" i="43"/>
  <c r="T505" i="43"/>
  <c r="L256" i="62" s="1"/>
  <c r="R505" i="43"/>
  <c r="N505" i="43"/>
  <c r="K505" i="43"/>
  <c r="J505" i="43"/>
  <c r="I256" i="62" s="1"/>
  <c r="F505" i="43"/>
  <c r="G256" i="62" s="1"/>
  <c r="X504" i="43"/>
  <c r="T504" i="43"/>
  <c r="L255" i="62" s="1"/>
  <c r="R504" i="43"/>
  <c r="N504" i="43"/>
  <c r="K504" i="43"/>
  <c r="J504" i="43"/>
  <c r="I255" i="62" s="1"/>
  <c r="F504" i="43"/>
  <c r="G255" i="62" s="1"/>
  <c r="X503" i="43"/>
  <c r="T503" i="43"/>
  <c r="L254" i="62" s="1"/>
  <c r="R503" i="43"/>
  <c r="N503" i="43"/>
  <c r="K503" i="43"/>
  <c r="J503" i="43"/>
  <c r="I254" i="62" s="1"/>
  <c r="F503" i="43"/>
  <c r="G254" i="62" s="1"/>
  <c r="X502" i="43"/>
  <c r="T502" i="43"/>
  <c r="L253" i="62" s="1"/>
  <c r="R502" i="43"/>
  <c r="N502" i="43"/>
  <c r="K502" i="43"/>
  <c r="J502" i="43"/>
  <c r="I253" i="62" s="1"/>
  <c r="F502" i="43"/>
  <c r="G253" i="62" s="1"/>
  <c r="X501" i="43"/>
  <c r="T501" i="43"/>
  <c r="L252" i="62" s="1"/>
  <c r="R501" i="43"/>
  <c r="N501" i="43"/>
  <c r="K501" i="43"/>
  <c r="J501" i="43"/>
  <c r="I252" i="62" s="1"/>
  <c r="F501" i="43"/>
  <c r="G252" i="62" s="1"/>
  <c r="X500" i="43"/>
  <c r="T500" i="43"/>
  <c r="L251" i="62" s="1"/>
  <c r="R500" i="43"/>
  <c r="N500" i="43"/>
  <c r="K500" i="43"/>
  <c r="J500" i="43"/>
  <c r="I251" i="62" s="1"/>
  <c r="F500" i="43"/>
  <c r="G251" i="62" s="1"/>
  <c r="X499" i="43"/>
  <c r="T499" i="43"/>
  <c r="L250" i="62" s="1"/>
  <c r="R499" i="43"/>
  <c r="N499" i="43"/>
  <c r="K499" i="43"/>
  <c r="J499" i="43"/>
  <c r="I250" i="62" s="1"/>
  <c r="F499" i="43"/>
  <c r="G250" i="62" s="1"/>
  <c r="X498" i="43"/>
  <c r="T498" i="43"/>
  <c r="L249" i="62" s="1"/>
  <c r="R498" i="43"/>
  <c r="N498" i="43"/>
  <c r="K498" i="43"/>
  <c r="J498" i="43"/>
  <c r="I249" i="62" s="1"/>
  <c r="F498" i="43"/>
  <c r="G249" i="62" s="1"/>
  <c r="X497" i="43"/>
  <c r="T497" i="43"/>
  <c r="L248" i="62" s="1"/>
  <c r="R497" i="43"/>
  <c r="N497" i="43"/>
  <c r="K497" i="43"/>
  <c r="J497" i="43"/>
  <c r="I248" i="62" s="1"/>
  <c r="F497" i="43"/>
  <c r="G248" i="62" s="1"/>
  <c r="X496" i="43"/>
  <c r="T496" i="43"/>
  <c r="L247" i="62" s="1"/>
  <c r="R496" i="43"/>
  <c r="N496" i="43"/>
  <c r="K496" i="43"/>
  <c r="J496" i="43"/>
  <c r="I247" i="62" s="1"/>
  <c r="F496" i="43"/>
  <c r="G247" i="62" s="1"/>
  <c r="X495" i="43"/>
  <c r="T495" i="43"/>
  <c r="L246" i="62" s="1"/>
  <c r="R495" i="43"/>
  <c r="N495" i="43"/>
  <c r="K495" i="43"/>
  <c r="J495" i="43"/>
  <c r="I246" i="62" s="1"/>
  <c r="F495" i="43"/>
  <c r="G246" i="62" s="1"/>
  <c r="X494" i="43"/>
  <c r="T494" i="43"/>
  <c r="L245" i="62" s="1"/>
  <c r="R494" i="43"/>
  <c r="N494" i="43"/>
  <c r="K494" i="43"/>
  <c r="J494" i="43"/>
  <c r="I245" i="62" s="1"/>
  <c r="F494" i="43"/>
  <c r="G245" i="62" s="1"/>
  <c r="X493" i="43"/>
  <c r="T493" i="43"/>
  <c r="L244" i="62" s="1"/>
  <c r="R493" i="43"/>
  <c r="N493" i="43"/>
  <c r="K493" i="43"/>
  <c r="J493" i="43"/>
  <c r="I244" i="62" s="1"/>
  <c r="F493" i="43"/>
  <c r="G244" i="62" s="1"/>
  <c r="X492" i="43"/>
  <c r="T492" i="43"/>
  <c r="L243" i="62" s="1"/>
  <c r="R492" i="43"/>
  <c r="N492" i="43"/>
  <c r="K492" i="43"/>
  <c r="J492" i="43"/>
  <c r="I243" i="62" s="1"/>
  <c r="F492" i="43"/>
  <c r="G243" i="62" s="1"/>
  <c r="X491" i="43"/>
  <c r="T491" i="43"/>
  <c r="L242" i="62" s="1"/>
  <c r="R491" i="43"/>
  <c r="N491" i="43"/>
  <c r="K491" i="43"/>
  <c r="J491" i="43"/>
  <c r="I242" i="62" s="1"/>
  <c r="F491" i="43"/>
  <c r="G242" i="62" s="1"/>
  <c r="X490" i="43"/>
  <c r="T490" i="43"/>
  <c r="L241" i="62" s="1"/>
  <c r="R490" i="43"/>
  <c r="N490" i="43"/>
  <c r="K490" i="43"/>
  <c r="J490" i="43"/>
  <c r="I241" i="62" s="1"/>
  <c r="F490" i="43"/>
  <c r="G241" i="62" s="1"/>
  <c r="X489" i="43"/>
  <c r="T489" i="43"/>
  <c r="L240" i="62" s="1"/>
  <c r="R489" i="43"/>
  <c r="N489" i="43"/>
  <c r="K489" i="43"/>
  <c r="J489" i="43"/>
  <c r="I240" i="62" s="1"/>
  <c r="F489" i="43"/>
  <c r="G240" i="62" s="1"/>
  <c r="X488" i="43"/>
  <c r="T488" i="43"/>
  <c r="L239" i="62" s="1"/>
  <c r="R488" i="43"/>
  <c r="N488" i="43"/>
  <c r="K488" i="43"/>
  <c r="J488" i="43"/>
  <c r="I239" i="62" s="1"/>
  <c r="F488" i="43"/>
  <c r="G239" i="62" s="1"/>
  <c r="X487" i="43"/>
  <c r="T487" i="43"/>
  <c r="L238" i="62" s="1"/>
  <c r="R487" i="43"/>
  <c r="N487" i="43"/>
  <c r="K487" i="43"/>
  <c r="J487" i="43"/>
  <c r="I238" i="62" s="1"/>
  <c r="F487" i="43"/>
  <c r="G238" i="62" s="1"/>
  <c r="X486" i="43"/>
  <c r="T486" i="43"/>
  <c r="L237" i="62" s="1"/>
  <c r="R486" i="43"/>
  <c r="N486" i="43"/>
  <c r="K486" i="43"/>
  <c r="J486" i="43"/>
  <c r="I237" i="62" s="1"/>
  <c r="F486" i="43"/>
  <c r="G237" i="62" s="1"/>
  <c r="X485" i="43"/>
  <c r="T485" i="43"/>
  <c r="L236" i="62" s="1"/>
  <c r="R485" i="43"/>
  <c r="N485" i="43"/>
  <c r="K485" i="43"/>
  <c r="J485" i="43"/>
  <c r="I236" i="62" s="1"/>
  <c r="F485" i="43"/>
  <c r="G236" i="62" s="1"/>
  <c r="X484" i="43"/>
  <c r="T484" i="43"/>
  <c r="L235" i="62" s="1"/>
  <c r="R484" i="43"/>
  <c r="N484" i="43"/>
  <c r="K484" i="43"/>
  <c r="J484" i="43"/>
  <c r="I235" i="62" s="1"/>
  <c r="F484" i="43"/>
  <c r="G235" i="62" s="1"/>
  <c r="X483" i="43"/>
  <c r="T483" i="43"/>
  <c r="L234" i="62" s="1"/>
  <c r="R483" i="43"/>
  <c r="N483" i="43"/>
  <c r="K483" i="43"/>
  <c r="J483" i="43"/>
  <c r="I234" i="62" s="1"/>
  <c r="F483" i="43"/>
  <c r="G234" i="62" s="1"/>
  <c r="X482" i="43"/>
  <c r="T482" i="43"/>
  <c r="L233" i="62" s="1"/>
  <c r="R482" i="43"/>
  <c r="N482" i="43"/>
  <c r="K482" i="43"/>
  <c r="J482" i="43"/>
  <c r="I233" i="62" s="1"/>
  <c r="F482" i="43"/>
  <c r="G233" i="62" s="1"/>
  <c r="X481" i="43"/>
  <c r="T481" i="43"/>
  <c r="L232" i="62" s="1"/>
  <c r="R481" i="43"/>
  <c r="N481" i="43"/>
  <c r="K481" i="43"/>
  <c r="J481" i="43"/>
  <c r="I232" i="62" s="1"/>
  <c r="F481" i="43"/>
  <c r="G232" i="62" s="1"/>
  <c r="X480" i="43"/>
  <c r="T480" i="43"/>
  <c r="L231" i="62" s="1"/>
  <c r="R480" i="43"/>
  <c r="N480" i="43"/>
  <c r="K480" i="43"/>
  <c r="J480" i="43"/>
  <c r="I231" i="62" s="1"/>
  <c r="F480" i="43"/>
  <c r="G231" i="62" s="1"/>
  <c r="X479" i="43"/>
  <c r="T479" i="43"/>
  <c r="L230" i="62" s="1"/>
  <c r="R479" i="43"/>
  <c r="N479" i="43"/>
  <c r="K479" i="43"/>
  <c r="J479" i="43"/>
  <c r="I230" i="62" s="1"/>
  <c r="F479" i="43"/>
  <c r="G230" i="62" s="1"/>
  <c r="X478" i="43"/>
  <c r="T478" i="43"/>
  <c r="L229" i="62" s="1"/>
  <c r="R478" i="43"/>
  <c r="N478" i="43"/>
  <c r="K478" i="43"/>
  <c r="J478" i="43"/>
  <c r="I229" i="62" s="1"/>
  <c r="F478" i="43"/>
  <c r="G229" i="62" s="1"/>
  <c r="X477" i="43"/>
  <c r="T477" i="43"/>
  <c r="L228" i="62" s="1"/>
  <c r="R477" i="43"/>
  <c r="N477" i="43"/>
  <c r="K477" i="43"/>
  <c r="J477" i="43"/>
  <c r="I228" i="62" s="1"/>
  <c r="F477" i="43"/>
  <c r="G228" i="62" s="1"/>
  <c r="X476" i="43"/>
  <c r="T476" i="43"/>
  <c r="L227" i="62" s="1"/>
  <c r="R476" i="43"/>
  <c r="N476" i="43"/>
  <c r="K476" i="43"/>
  <c r="J476" i="43"/>
  <c r="I227" i="62" s="1"/>
  <c r="F476" i="43"/>
  <c r="G227" i="62" s="1"/>
  <c r="X475" i="43"/>
  <c r="T475" i="43"/>
  <c r="L226" i="62" s="1"/>
  <c r="R475" i="43"/>
  <c r="N475" i="43"/>
  <c r="K475" i="43"/>
  <c r="J475" i="43"/>
  <c r="I226" i="62" s="1"/>
  <c r="F475" i="43"/>
  <c r="G226" i="62" s="1"/>
  <c r="X474" i="43"/>
  <c r="T474" i="43"/>
  <c r="L225" i="62" s="1"/>
  <c r="R474" i="43"/>
  <c r="N474" i="43"/>
  <c r="K474" i="43"/>
  <c r="J474" i="43"/>
  <c r="I225" i="62" s="1"/>
  <c r="F474" i="43"/>
  <c r="G225" i="62" s="1"/>
  <c r="X473" i="43"/>
  <c r="T473" i="43"/>
  <c r="L224" i="62" s="1"/>
  <c r="R473" i="43"/>
  <c r="N473" i="43"/>
  <c r="K473" i="43"/>
  <c r="J473" i="43"/>
  <c r="I224" i="62" s="1"/>
  <c r="F473" i="43"/>
  <c r="G224" i="62" s="1"/>
  <c r="X472" i="43"/>
  <c r="T472" i="43"/>
  <c r="L223" i="62" s="1"/>
  <c r="R472" i="43"/>
  <c r="N472" i="43"/>
  <c r="K472" i="43"/>
  <c r="J472" i="43"/>
  <c r="I223" i="62" s="1"/>
  <c r="F472" i="43"/>
  <c r="G223" i="62" s="1"/>
  <c r="X471" i="43"/>
  <c r="T471" i="43"/>
  <c r="L222" i="62" s="1"/>
  <c r="R471" i="43"/>
  <c r="N471" i="43"/>
  <c r="K471" i="43"/>
  <c r="J471" i="43"/>
  <c r="I222" i="62" s="1"/>
  <c r="F471" i="43"/>
  <c r="G222" i="62" s="1"/>
  <c r="X470" i="43"/>
  <c r="T470" i="43"/>
  <c r="L221" i="62" s="1"/>
  <c r="R470" i="43"/>
  <c r="N470" i="43"/>
  <c r="K470" i="43"/>
  <c r="J470" i="43"/>
  <c r="I221" i="62" s="1"/>
  <c r="F470" i="43"/>
  <c r="G221" i="62" s="1"/>
  <c r="X469" i="43"/>
  <c r="T469" i="43"/>
  <c r="L220" i="62" s="1"/>
  <c r="R469" i="43"/>
  <c r="N469" i="43"/>
  <c r="K469" i="43"/>
  <c r="J469" i="43"/>
  <c r="I220" i="62" s="1"/>
  <c r="F469" i="43"/>
  <c r="G220" i="62" s="1"/>
  <c r="X468" i="43"/>
  <c r="T468" i="43"/>
  <c r="L219" i="62" s="1"/>
  <c r="R468" i="43"/>
  <c r="N468" i="43"/>
  <c r="K468" i="43"/>
  <c r="J468" i="43"/>
  <c r="I219" i="62" s="1"/>
  <c r="F468" i="43"/>
  <c r="G219" i="62" s="1"/>
  <c r="X467" i="43"/>
  <c r="T467" i="43"/>
  <c r="L218" i="62" s="1"/>
  <c r="R467" i="43"/>
  <c r="N467" i="43"/>
  <c r="K467" i="43"/>
  <c r="J467" i="43"/>
  <c r="I218" i="62" s="1"/>
  <c r="F467" i="43"/>
  <c r="G218" i="62" s="1"/>
  <c r="X466" i="43"/>
  <c r="T466" i="43"/>
  <c r="L217" i="62" s="1"/>
  <c r="R466" i="43"/>
  <c r="N466" i="43"/>
  <c r="K466" i="43"/>
  <c r="J466" i="43"/>
  <c r="I217" i="62" s="1"/>
  <c r="F466" i="43"/>
  <c r="G217" i="62" s="1"/>
  <c r="X465" i="43"/>
  <c r="T465" i="43"/>
  <c r="L216" i="62" s="1"/>
  <c r="R465" i="43"/>
  <c r="N465" i="43"/>
  <c r="K465" i="43"/>
  <c r="J465" i="43"/>
  <c r="I216" i="62" s="1"/>
  <c r="F465" i="43"/>
  <c r="G216" i="62" s="1"/>
  <c r="X464" i="43"/>
  <c r="T464" i="43"/>
  <c r="L215" i="62" s="1"/>
  <c r="R464" i="43"/>
  <c r="N464" i="43"/>
  <c r="K464" i="43"/>
  <c r="J464" i="43"/>
  <c r="I215" i="62" s="1"/>
  <c r="F464" i="43"/>
  <c r="G215" i="62" s="1"/>
  <c r="X463" i="43"/>
  <c r="T463" i="43"/>
  <c r="L214" i="62" s="1"/>
  <c r="R463" i="43"/>
  <c r="N463" i="43"/>
  <c r="K463" i="43"/>
  <c r="J463" i="43"/>
  <c r="I214" i="62" s="1"/>
  <c r="F463" i="43"/>
  <c r="G214" i="62" s="1"/>
  <c r="X462" i="43"/>
  <c r="T462" i="43"/>
  <c r="L213" i="62" s="1"/>
  <c r="R462" i="43"/>
  <c r="N462" i="43"/>
  <c r="K462" i="43"/>
  <c r="J462" i="43"/>
  <c r="I213" i="62" s="1"/>
  <c r="F462" i="43"/>
  <c r="G213" i="62" s="1"/>
  <c r="X461" i="43"/>
  <c r="T461" i="43"/>
  <c r="L212" i="62" s="1"/>
  <c r="R461" i="43"/>
  <c r="N461" i="43"/>
  <c r="K461" i="43"/>
  <c r="J461" i="43"/>
  <c r="I212" i="62" s="1"/>
  <c r="F461" i="43"/>
  <c r="G212" i="62" s="1"/>
  <c r="X460" i="43"/>
  <c r="T460" i="43"/>
  <c r="L211" i="62" s="1"/>
  <c r="R460" i="43"/>
  <c r="N460" i="43"/>
  <c r="K460" i="43"/>
  <c r="J460" i="43"/>
  <c r="I211" i="62" s="1"/>
  <c r="F460" i="43"/>
  <c r="G211" i="62" s="1"/>
  <c r="X459" i="43"/>
  <c r="T459" i="43"/>
  <c r="L210" i="62" s="1"/>
  <c r="R459" i="43"/>
  <c r="N459" i="43"/>
  <c r="K459" i="43"/>
  <c r="J459" i="43"/>
  <c r="I210" i="62" s="1"/>
  <c r="F459" i="43"/>
  <c r="G210" i="62" s="1"/>
  <c r="X458" i="43"/>
  <c r="T458" i="43"/>
  <c r="L209" i="62" s="1"/>
  <c r="R458" i="43"/>
  <c r="N458" i="43"/>
  <c r="K458" i="43"/>
  <c r="J458" i="43"/>
  <c r="I209" i="62" s="1"/>
  <c r="F458" i="43"/>
  <c r="G209" i="62" s="1"/>
  <c r="X457" i="43"/>
  <c r="T457" i="43"/>
  <c r="L208" i="62" s="1"/>
  <c r="R457" i="43"/>
  <c r="N457" i="43"/>
  <c r="K457" i="43"/>
  <c r="J457" i="43"/>
  <c r="I208" i="62" s="1"/>
  <c r="F457" i="43"/>
  <c r="G208" i="62" s="1"/>
  <c r="X456" i="43"/>
  <c r="T456" i="43"/>
  <c r="L207" i="62" s="1"/>
  <c r="R456" i="43"/>
  <c r="N456" i="43"/>
  <c r="K456" i="43"/>
  <c r="J456" i="43"/>
  <c r="I207" i="62" s="1"/>
  <c r="F456" i="43"/>
  <c r="G207" i="62" s="1"/>
  <c r="X455" i="43"/>
  <c r="T455" i="43"/>
  <c r="L206" i="62" s="1"/>
  <c r="R455" i="43"/>
  <c r="N455" i="43"/>
  <c r="K455" i="43"/>
  <c r="J455" i="43"/>
  <c r="I206" i="62" s="1"/>
  <c r="F455" i="43"/>
  <c r="G206" i="62" s="1"/>
  <c r="X454" i="43"/>
  <c r="T454" i="43"/>
  <c r="L205" i="62" s="1"/>
  <c r="R454" i="43"/>
  <c r="N454" i="43"/>
  <c r="K454" i="43"/>
  <c r="J454" i="43"/>
  <c r="I205" i="62" s="1"/>
  <c r="F454" i="43"/>
  <c r="G205" i="62" s="1"/>
  <c r="X453" i="43"/>
  <c r="T453" i="43"/>
  <c r="L204" i="62" s="1"/>
  <c r="R453" i="43"/>
  <c r="N453" i="43"/>
  <c r="K453" i="43"/>
  <c r="J453" i="43"/>
  <c r="I204" i="62" s="1"/>
  <c r="F453" i="43"/>
  <c r="G204" i="62" s="1"/>
  <c r="X452" i="43"/>
  <c r="T452" i="43"/>
  <c r="L203" i="62" s="1"/>
  <c r="R452" i="43"/>
  <c r="N452" i="43"/>
  <c r="K452" i="43"/>
  <c r="J452" i="43"/>
  <c r="I203" i="62" s="1"/>
  <c r="F452" i="43"/>
  <c r="G203" i="62" s="1"/>
  <c r="X451" i="43"/>
  <c r="T451" i="43"/>
  <c r="L202" i="62" s="1"/>
  <c r="R451" i="43"/>
  <c r="N451" i="43"/>
  <c r="K451" i="43"/>
  <c r="J451" i="43"/>
  <c r="I202" i="62" s="1"/>
  <c r="F451" i="43"/>
  <c r="G202" i="62" s="1"/>
  <c r="X450" i="43"/>
  <c r="T450" i="43"/>
  <c r="L201" i="62" s="1"/>
  <c r="R450" i="43"/>
  <c r="N450" i="43"/>
  <c r="K450" i="43"/>
  <c r="J450" i="43"/>
  <c r="I201" i="62" s="1"/>
  <c r="F450" i="43"/>
  <c r="G201" i="62" s="1"/>
  <c r="X449" i="43"/>
  <c r="T449" i="43"/>
  <c r="L200" i="62" s="1"/>
  <c r="R449" i="43"/>
  <c r="N449" i="43"/>
  <c r="K449" i="43"/>
  <c r="J449" i="43"/>
  <c r="I200" i="62" s="1"/>
  <c r="F449" i="43"/>
  <c r="G200" i="62" s="1"/>
  <c r="X448" i="43"/>
  <c r="T448" i="43"/>
  <c r="L199" i="62" s="1"/>
  <c r="R448" i="43"/>
  <c r="N448" i="43"/>
  <c r="K448" i="43"/>
  <c r="J448" i="43"/>
  <c r="I199" i="62" s="1"/>
  <c r="F448" i="43"/>
  <c r="G199" i="62" s="1"/>
  <c r="X447" i="43"/>
  <c r="T447" i="43"/>
  <c r="L198" i="62" s="1"/>
  <c r="R447" i="43"/>
  <c r="N447" i="43"/>
  <c r="K447" i="43"/>
  <c r="J447" i="43"/>
  <c r="I198" i="62" s="1"/>
  <c r="F447" i="43"/>
  <c r="G198" i="62" s="1"/>
  <c r="X446" i="43"/>
  <c r="T446" i="43"/>
  <c r="L197" i="62" s="1"/>
  <c r="R446" i="43"/>
  <c r="N446" i="43"/>
  <c r="K446" i="43"/>
  <c r="J446" i="43"/>
  <c r="I197" i="62" s="1"/>
  <c r="F446" i="43"/>
  <c r="G197" i="62" s="1"/>
  <c r="X445" i="43"/>
  <c r="T445" i="43"/>
  <c r="L196" i="62" s="1"/>
  <c r="R445" i="43"/>
  <c r="N445" i="43"/>
  <c r="K445" i="43"/>
  <c r="J445" i="43"/>
  <c r="I196" i="62" s="1"/>
  <c r="F445" i="43"/>
  <c r="G196" i="62" s="1"/>
  <c r="X444" i="43"/>
  <c r="T444" i="43"/>
  <c r="L195" i="62" s="1"/>
  <c r="R444" i="43"/>
  <c r="N444" i="43"/>
  <c r="K444" i="43"/>
  <c r="J444" i="43"/>
  <c r="I195" i="62" s="1"/>
  <c r="F444" i="43"/>
  <c r="G195" i="62" s="1"/>
  <c r="X443" i="43"/>
  <c r="T443" i="43"/>
  <c r="L194" i="62" s="1"/>
  <c r="R443" i="43"/>
  <c r="N443" i="43"/>
  <c r="K443" i="43"/>
  <c r="J443" i="43"/>
  <c r="I194" i="62" s="1"/>
  <c r="F443" i="43"/>
  <c r="G194" i="62" s="1"/>
  <c r="X442" i="43"/>
  <c r="T442" i="43"/>
  <c r="L193" i="62" s="1"/>
  <c r="R442" i="43"/>
  <c r="N442" i="43"/>
  <c r="K442" i="43"/>
  <c r="J442" i="43"/>
  <c r="I193" i="62" s="1"/>
  <c r="F442" i="43"/>
  <c r="G193" i="62" s="1"/>
  <c r="X441" i="43"/>
  <c r="T441" i="43"/>
  <c r="L192" i="62" s="1"/>
  <c r="R441" i="43"/>
  <c r="N441" i="43"/>
  <c r="K441" i="43"/>
  <c r="J441" i="43"/>
  <c r="I192" i="62" s="1"/>
  <c r="F441" i="43"/>
  <c r="G192" i="62" s="1"/>
  <c r="X440" i="43"/>
  <c r="T440" i="43"/>
  <c r="L191" i="62" s="1"/>
  <c r="R440" i="43"/>
  <c r="N440" i="43"/>
  <c r="K440" i="43"/>
  <c r="J440" i="43"/>
  <c r="I191" i="62" s="1"/>
  <c r="F440" i="43"/>
  <c r="G191" i="62" s="1"/>
  <c r="X439" i="43"/>
  <c r="T439" i="43"/>
  <c r="L190" i="62" s="1"/>
  <c r="R439" i="43"/>
  <c r="N439" i="43"/>
  <c r="K439" i="43"/>
  <c r="J439" i="43"/>
  <c r="I190" i="62" s="1"/>
  <c r="F439" i="43"/>
  <c r="G190" i="62" s="1"/>
  <c r="X438" i="43"/>
  <c r="T438" i="43"/>
  <c r="L189" i="62" s="1"/>
  <c r="R438" i="43"/>
  <c r="N438" i="43"/>
  <c r="K438" i="43"/>
  <c r="J438" i="43"/>
  <c r="I189" i="62" s="1"/>
  <c r="F438" i="43"/>
  <c r="G189" i="62" s="1"/>
  <c r="X437" i="43"/>
  <c r="T437" i="43"/>
  <c r="L188" i="62" s="1"/>
  <c r="R437" i="43"/>
  <c r="N437" i="43"/>
  <c r="K437" i="43"/>
  <c r="J437" i="43"/>
  <c r="I188" i="62" s="1"/>
  <c r="F437" i="43"/>
  <c r="G188" i="62" s="1"/>
  <c r="X436" i="43"/>
  <c r="T436" i="43"/>
  <c r="L187" i="62" s="1"/>
  <c r="R436" i="43"/>
  <c r="N436" i="43"/>
  <c r="K436" i="43"/>
  <c r="J436" i="43"/>
  <c r="I187" i="62" s="1"/>
  <c r="F436" i="43"/>
  <c r="G187" i="62" s="1"/>
  <c r="X435" i="43"/>
  <c r="T435" i="43"/>
  <c r="L186" i="62" s="1"/>
  <c r="R435" i="43"/>
  <c r="N435" i="43"/>
  <c r="K435" i="43"/>
  <c r="J435" i="43"/>
  <c r="I186" i="62" s="1"/>
  <c r="F435" i="43"/>
  <c r="G186" i="62" s="1"/>
  <c r="X434" i="43"/>
  <c r="T434" i="43"/>
  <c r="L185" i="62" s="1"/>
  <c r="R434" i="43"/>
  <c r="N434" i="43"/>
  <c r="K434" i="43"/>
  <c r="J434" i="43"/>
  <c r="I185" i="62" s="1"/>
  <c r="F434" i="43"/>
  <c r="G185" i="62" s="1"/>
  <c r="X433" i="43"/>
  <c r="T433" i="43"/>
  <c r="L184" i="62" s="1"/>
  <c r="R433" i="43"/>
  <c r="N433" i="43"/>
  <c r="K433" i="43"/>
  <c r="J433" i="43"/>
  <c r="I184" i="62" s="1"/>
  <c r="F433" i="43"/>
  <c r="G184" i="62" s="1"/>
  <c r="X432" i="43"/>
  <c r="T432" i="43"/>
  <c r="L183" i="62" s="1"/>
  <c r="R432" i="43"/>
  <c r="N432" i="43"/>
  <c r="K432" i="43"/>
  <c r="J432" i="43"/>
  <c r="I183" i="62" s="1"/>
  <c r="F432" i="43"/>
  <c r="G183" i="62" s="1"/>
  <c r="X431" i="43"/>
  <c r="T431" i="43"/>
  <c r="L182" i="62" s="1"/>
  <c r="R431" i="43"/>
  <c r="N431" i="43"/>
  <c r="K431" i="43"/>
  <c r="J431" i="43"/>
  <c r="I182" i="62" s="1"/>
  <c r="F431" i="43"/>
  <c r="G182" i="62" s="1"/>
  <c r="X430" i="43"/>
  <c r="T430" i="43"/>
  <c r="L181" i="62" s="1"/>
  <c r="R430" i="43"/>
  <c r="N430" i="43"/>
  <c r="K430" i="43"/>
  <c r="J430" i="43"/>
  <c r="I181" i="62" s="1"/>
  <c r="F430" i="43"/>
  <c r="G181" i="62" s="1"/>
  <c r="X429" i="43"/>
  <c r="T429" i="43"/>
  <c r="L180" i="62" s="1"/>
  <c r="R429" i="43"/>
  <c r="N429" i="43"/>
  <c r="K429" i="43"/>
  <c r="J429" i="43"/>
  <c r="I180" i="62" s="1"/>
  <c r="F429" i="43"/>
  <c r="G180" i="62" s="1"/>
  <c r="X428" i="43"/>
  <c r="T428" i="43"/>
  <c r="L179" i="62" s="1"/>
  <c r="R428" i="43"/>
  <c r="N428" i="43"/>
  <c r="K428" i="43"/>
  <c r="J428" i="43"/>
  <c r="I179" i="62" s="1"/>
  <c r="F428" i="43"/>
  <c r="G179" i="62" s="1"/>
  <c r="X427" i="43"/>
  <c r="T427" i="43"/>
  <c r="L178" i="62" s="1"/>
  <c r="R427" i="43"/>
  <c r="N427" i="43"/>
  <c r="K427" i="43"/>
  <c r="J427" i="43"/>
  <c r="I178" i="62" s="1"/>
  <c r="F427" i="43"/>
  <c r="G178" i="62" s="1"/>
  <c r="X426" i="43"/>
  <c r="T426" i="43"/>
  <c r="L177" i="62" s="1"/>
  <c r="R426" i="43"/>
  <c r="N426" i="43"/>
  <c r="K426" i="43"/>
  <c r="J426" i="43"/>
  <c r="I177" i="62" s="1"/>
  <c r="F426" i="43"/>
  <c r="G177" i="62" s="1"/>
  <c r="X425" i="43"/>
  <c r="T425" i="43"/>
  <c r="L176" i="62" s="1"/>
  <c r="R425" i="43"/>
  <c r="N425" i="43"/>
  <c r="K425" i="43"/>
  <c r="J425" i="43"/>
  <c r="I176" i="62" s="1"/>
  <c r="F425" i="43"/>
  <c r="G176" i="62" s="1"/>
  <c r="X424" i="43"/>
  <c r="T424" i="43"/>
  <c r="L175" i="62" s="1"/>
  <c r="R424" i="43"/>
  <c r="N424" i="43"/>
  <c r="K424" i="43"/>
  <c r="J424" i="43"/>
  <c r="I175" i="62" s="1"/>
  <c r="F424" i="43"/>
  <c r="G175" i="62" s="1"/>
  <c r="X423" i="43"/>
  <c r="T423" i="43"/>
  <c r="L174" i="62" s="1"/>
  <c r="R423" i="43"/>
  <c r="N423" i="43"/>
  <c r="K423" i="43"/>
  <c r="J423" i="43"/>
  <c r="I174" i="62" s="1"/>
  <c r="F423" i="43"/>
  <c r="G174" i="62" s="1"/>
  <c r="X422" i="43"/>
  <c r="T422" i="43"/>
  <c r="L173" i="62" s="1"/>
  <c r="R422" i="43"/>
  <c r="N422" i="43"/>
  <c r="K422" i="43"/>
  <c r="J422" i="43"/>
  <c r="I173" i="62" s="1"/>
  <c r="F422" i="43"/>
  <c r="G173" i="62" s="1"/>
  <c r="X421" i="43"/>
  <c r="T421" i="43"/>
  <c r="L172" i="62" s="1"/>
  <c r="R421" i="43"/>
  <c r="N421" i="43"/>
  <c r="K421" i="43"/>
  <c r="J421" i="43"/>
  <c r="I172" i="62" s="1"/>
  <c r="F421" i="43"/>
  <c r="G172" i="62" s="1"/>
  <c r="X420" i="43"/>
  <c r="T420" i="43"/>
  <c r="L171" i="62" s="1"/>
  <c r="R420" i="43"/>
  <c r="N420" i="43"/>
  <c r="K420" i="43"/>
  <c r="J420" i="43"/>
  <c r="I171" i="62" s="1"/>
  <c r="F420" i="43"/>
  <c r="G171" i="62" s="1"/>
  <c r="X419" i="43"/>
  <c r="T419" i="43"/>
  <c r="L170" i="62" s="1"/>
  <c r="R419" i="43"/>
  <c r="N419" i="43"/>
  <c r="K419" i="43"/>
  <c r="J419" i="43"/>
  <c r="I170" i="62" s="1"/>
  <c r="F419" i="43"/>
  <c r="G170" i="62" s="1"/>
  <c r="X418" i="43"/>
  <c r="T418" i="43"/>
  <c r="L169" i="62" s="1"/>
  <c r="R418" i="43"/>
  <c r="N418" i="43"/>
  <c r="K418" i="43"/>
  <c r="J418" i="43"/>
  <c r="I169" i="62" s="1"/>
  <c r="F418" i="43"/>
  <c r="G169" i="62" s="1"/>
  <c r="X417" i="43"/>
  <c r="T417" i="43"/>
  <c r="L168" i="62" s="1"/>
  <c r="R417" i="43"/>
  <c r="N417" i="43"/>
  <c r="K417" i="43"/>
  <c r="J417" i="43"/>
  <c r="I168" i="62" s="1"/>
  <c r="F417" i="43"/>
  <c r="G168" i="62" s="1"/>
  <c r="X416" i="43"/>
  <c r="T416" i="43"/>
  <c r="L167" i="62" s="1"/>
  <c r="R416" i="43"/>
  <c r="N416" i="43"/>
  <c r="K416" i="43"/>
  <c r="J416" i="43"/>
  <c r="I167" i="62" s="1"/>
  <c r="F416" i="43"/>
  <c r="G167" i="62" s="1"/>
  <c r="X415" i="43"/>
  <c r="T415" i="43"/>
  <c r="L166" i="62" s="1"/>
  <c r="R415" i="43"/>
  <c r="N415" i="43"/>
  <c r="K415" i="43"/>
  <c r="J415" i="43"/>
  <c r="I166" i="62" s="1"/>
  <c r="F415" i="43"/>
  <c r="G166" i="62" s="1"/>
  <c r="X414" i="43"/>
  <c r="T414" i="43"/>
  <c r="L165" i="62" s="1"/>
  <c r="R414" i="43"/>
  <c r="N414" i="43"/>
  <c r="K414" i="43"/>
  <c r="J414" i="43"/>
  <c r="I165" i="62" s="1"/>
  <c r="F414" i="43"/>
  <c r="G165" i="62" s="1"/>
  <c r="X413" i="43"/>
  <c r="T413" i="43"/>
  <c r="L164" i="62" s="1"/>
  <c r="R413" i="43"/>
  <c r="N413" i="43"/>
  <c r="K413" i="43"/>
  <c r="J413" i="43"/>
  <c r="I164" i="62" s="1"/>
  <c r="F413" i="43"/>
  <c r="G164" i="62" s="1"/>
  <c r="X412" i="43"/>
  <c r="T412" i="43"/>
  <c r="L163" i="62" s="1"/>
  <c r="R412" i="43"/>
  <c r="N412" i="43"/>
  <c r="K412" i="43"/>
  <c r="J412" i="43"/>
  <c r="I163" i="62" s="1"/>
  <c r="F412" i="43"/>
  <c r="G163" i="62" s="1"/>
  <c r="X411" i="43"/>
  <c r="T411" i="43"/>
  <c r="L162" i="62" s="1"/>
  <c r="R411" i="43"/>
  <c r="N411" i="43"/>
  <c r="K411" i="43"/>
  <c r="J411" i="43"/>
  <c r="I162" i="62" s="1"/>
  <c r="F411" i="43"/>
  <c r="G162" i="62" s="1"/>
  <c r="X410" i="43"/>
  <c r="T410" i="43"/>
  <c r="L161" i="62" s="1"/>
  <c r="R410" i="43"/>
  <c r="N410" i="43"/>
  <c r="K410" i="43"/>
  <c r="J410" i="43"/>
  <c r="I161" i="62" s="1"/>
  <c r="F410" i="43"/>
  <c r="G161" i="62" s="1"/>
  <c r="X409" i="43"/>
  <c r="T409" i="43"/>
  <c r="L160" i="62" s="1"/>
  <c r="R409" i="43"/>
  <c r="N409" i="43"/>
  <c r="K409" i="43"/>
  <c r="J409" i="43"/>
  <c r="I160" i="62" s="1"/>
  <c r="F409" i="43"/>
  <c r="G160" i="62" s="1"/>
  <c r="X408" i="43"/>
  <c r="T408" i="43"/>
  <c r="L159" i="62" s="1"/>
  <c r="R408" i="43"/>
  <c r="N408" i="43"/>
  <c r="K408" i="43"/>
  <c r="J408" i="43"/>
  <c r="I159" i="62" s="1"/>
  <c r="F408" i="43"/>
  <c r="G159" i="62" s="1"/>
  <c r="X407" i="43"/>
  <c r="T407" i="43"/>
  <c r="L158" i="62" s="1"/>
  <c r="R407" i="43"/>
  <c r="N407" i="43"/>
  <c r="K407" i="43"/>
  <c r="J407" i="43"/>
  <c r="I158" i="62" s="1"/>
  <c r="F407" i="43"/>
  <c r="G158" i="62" s="1"/>
  <c r="X406" i="43"/>
  <c r="T406" i="43"/>
  <c r="L157" i="62" s="1"/>
  <c r="R406" i="43"/>
  <c r="N406" i="43"/>
  <c r="K406" i="43"/>
  <c r="J406" i="43"/>
  <c r="I157" i="62" s="1"/>
  <c r="F406" i="43"/>
  <c r="G157" i="62" s="1"/>
  <c r="X405" i="43"/>
  <c r="T405" i="43"/>
  <c r="L156" i="62" s="1"/>
  <c r="R405" i="43"/>
  <c r="N405" i="43"/>
  <c r="K405" i="43"/>
  <c r="J405" i="43"/>
  <c r="I156" i="62" s="1"/>
  <c r="F405" i="43"/>
  <c r="G156" i="62" s="1"/>
  <c r="X404" i="43"/>
  <c r="T404" i="43"/>
  <c r="L155" i="62" s="1"/>
  <c r="R404" i="43"/>
  <c r="N404" i="43"/>
  <c r="K404" i="43"/>
  <c r="J404" i="43"/>
  <c r="I155" i="62" s="1"/>
  <c r="F404" i="43"/>
  <c r="G155" i="62" s="1"/>
  <c r="X403" i="43"/>
  <c r="T403" i="43"/>
  <c r="L154" i="62" s="1"/>
  <c r="R403" i="43"/>
  <c r="N403" i="43"/>
  <c r="K403" i="43"/>
  <c r="J403" i="43"/>
  <c r="I154" i="62" s="1"/>
  <c r="F403" i="43"/>
  <c r="G154" i="62" s="1"/>
  <c r="X402" i="43"/>
  <c r="T402" i="43"/>
  <c r="L153" i="62" s="1"/>
  <c r="R402" i="43"/>
  <c r="N402" i="43"/>
  <c r="K402" i="43"/>
  <c r="J402" i="43"/>
  <c r="I153" i="62" s="1"/>
  <c r="F402" i="43"/>
  <c r="G153" i="62" s="1"/>
  <c r="X401" i="43"/>
  <c r="T401" i="43"/>
  <c r="L152" i="62" s="1"/>
  <c r="R401" i="43"/>
  <c r="N401" i="43"/>
  <c r="K401" i="43"/>
  <c r="J401" i="43"/>
  <c r="I152" i="62" s="1"/>
  <c r="F401" i="43"/>
  <c r="G152" i="62" s="1"/>
  <c r="X400" i="43"/>
  <c r="T400" i="43"/>
  <c r="L151" i="62" s="1"/>
  <c r="R400" i="43"/>
  <c r="N400" i="43"/>
  <c r="K400" i="43"/>
  <c r="J400" i="43"/>
  <c r="I151" i="62" s="1"/>
  <c r="F400" i="43"/>
  <c r="G151" i="62" s="1"/>
  <c r="X399" i="43"/>
  <c r="T399" i="43"/>
  <c r="L150" i="62" s="1"/>
  <c r="R399" i="43"/>
  <c r="N399" i="43"/>
  <c r="K399" i="43"/>
  <c r="J399" i="43"/>
  <c r="I150" i="62" s="1"/>
  <c r="F399" i="43"/>
  <c r="G150" i="62" s="1"/>
  <c r="X398" i="43"/>
  <c r="T398" i="43"/>
  <c r="L149" i="62" s="1"/>
  <c r="R398" i="43"/>
  <c r="N398" i="43"/>
  <c r="K398" i="43"/>
  <c r="J398" i="43"/>
  <c r="I149" i="62" s="1"/>
  <c r="F398" i="43"/>
  <c r="G149" i="62" s="1"/>
  <c r="X397" i="43"/>
  <c r="T397" i="43"/>
  <c r="L148" i="62" s="1"/>
  <c r="R397" i="43"/>
  <c r="N397" i="43"/>
  <c r="K397" i="43"/>
  <c r="J397" i="43"/>
  <c r="I148" i="62" s="1"/>
  <c r="F397" i="43"/>
  <c r="G148" i="62" s="1"/>
  <c r="X396" i="43"/>
  <c r="T396" i="43"/>
  <c r="L147" i="62" s="1"/>
  <c r="R396" i="43"/>
  <c r="N396" i="43"/>
  <c r="K396" i="43"/>
  <c r="J396" i="43"/>
  <c r="I147" i="62" s="1"/>
  <c r="F396" i="43"/>
  <c r="G147" i="62" s="1"/>
  <c r="X395" i="43"/>
  <c r="T395" i="43"/>
  <c r="L146" i="62" s="1"/>
  <c r="R395" i="43"/>
  <c r="N395" i="43"/>
  <c r="K395" i="43"/>
  <c r="J395" i="43"/>
  <c r="I146" i="62" s="1"/>
  <c r="F395" i="43"/>
  <c r="G146" i="62" s="1"/>
  <c r="X394" i="43"/>
  <c r="T394" i="43"/>
  <c r="L145" i="62" s="1"/>
  <c r="R394" i="43"/>
  <c r="N394" i="43"/>
  <c r="K394" i="43"/>
  <c r="J394" i="43"/>
  <c r="I145" i="62" s="1"/>
  <c r="F394" i="43"/>
  <c r="G145" i="62" s="1"/>
  <c r="X393" i="43"/>
  <c r="T393" i="43"/>
  <c r="L144" i="62" s="1"/>
  <c r="R393" i="43"/>
  <c r="N393" i="43"/>
  <c r="K393" i="43"/>
  <c r="J393" i="43"/>
  <c r="I144" i="62" s="1"/>
  <c r="F393" i="43"/>
  <c r="G144" i="62" s="1"/>
  <c r="X392" i="43"/>
  <c r="T392" i="43"/>
  <c r="L143" i="62" s="1"/>
  <c r="R392" i="43"/>
  <c r="N392" i="43"/>
  <c r="K392" i="43"/>
  <c r="J392" i="43"/>
  <c r="I143" i="62" s="1"/>
  <c r="F392" i="43"/>
  <c r="G143" i="62" s="1"/>
  <c r="X391" i="43"/>
  <c r="T391" i="43"/>
  <c r="L142" i="62" s="1"/>
  <c r="R391" i="43"/>
  <c r="N391" i="43"/>
  <c r="K391" i="43"/>
  <c r="J391" i="43"/>
  <c r="I142" i="62" s="1"/>
  <c r="F391" i="43"/>
  <c r="G142" i="62" s="1"/>
  <c r="X390" i="43"/>
  <c r="T390" i="43"/>
  <c r="L141" i="62" s="1"/>
  <c r="R390" i="43"/>
  <c r="N390" i="43"/>
  <c r="K390" i="43"/>
  <c r="J390" i="43"/>
  <c r="I141" i="62" s="1"/>
  <c r="F390" i="43"/>
  <c r="G141" i="62" s="1"/>
  <c r="X389" i="43"/>
  <c r="T389" i="43"/>
  <c r="L140" i="62" s="1"/>
  <c r="R389" i="43"/>
  <c r="N389" i="43"/>
  <c r="K389" i="43"/>
  <c r="J389" i="43"/>
  <c r="I140" i="62" s="1"/>
  <c r="F389" i="43"/>
  <c r="G140" i="62" s="1"/>
  <c r="X388" i="43"/>
  <c r="T388" i="43"/>
  <c r="L139" i="62" s="1"/>
  <c r="R388" i="43"/>
  <c r="N388" i="43"/>
  <c r="K388" i="43"/>
  <c r="J388" i="43"/>
  <c r="I139" i="62" s="1"/>
  <c r="F388" i="43"/>
  <c r="G139" i="62" s="1"/>
  <c r="X387" i="43"/>
  <c r="T387" i="43"/>
  <c r="L138" i="62" s="1"/>
  <c r="R387" i="43"/>
  <c r="N387" i="43"/>
  <c r="K387" i="43"/>
  <c r="J387" i="43"/>
  <c r="I138" i="62" s="1"/>
  <c r="F387" i="43"/>
  <c r="G138" i="62" s="1"/>
  <c r="X386" i="43"/>
  <c r="T386" i="43"/>
  <c r="L137" i="62" s="1"/>
  <c r="R386" i="43"/>
  <c r="N386" i="43"/>
  <c r="K386" i="43"/>
  <c r="J386" i="43"/>
  <c r="I137" i="62" s="1"/>
  <c r="F386" i="43"/>
  <c r="G137" i="62" s="1"/>
  <c r="X385" i="43"/>
  <c r="T385" i="43"/>
  <c r="L136" i="62" s="1"/>
  <c r="R385" i="43"/>
  <c r="N385" i="43"/>
  <c r="K385" i="43"/>
  <c r="J385" i="43"/>
  <c r="I136" i="62" s="1"/>
  <c r="F385" i="43"/>
  <c r="G136" i="62" s="1"/>
  <c r="X384" i="43"/>
  <c r="T384" i="43"/>
  <c r="L135" i="62" s="1"/>
  <c r="R384" i="43"/>
  <c r="N384" i="43"/>
  <c r="K384" i="43"/>
  <c r="J384" i="43"/>
  <c r="I135" i="62" s="1"/>
  <c r="F384" i="43"/>
  <c r="G135" i="62" s="1"/>
  <c r="X383" i="43"/>
  <c r="T383" i="43"/>
  <c r="L134" i="62" s="1"/>
  <c r="R383" i="43"/>
  <c r="N383" i="43"/>
  <c r="K383" i="43"/>
  <c r="J383" i="43"/>
  <c r="I134" i="62" s="1"/>
  <c r="F383" i="43"/>
  <c r="G134" i="62" s="1"/>
  <c r="X382" i="43"/>
  <c r="T382" i="43"/>
  <c r="L133" i="62" s="1"/>
  <c r="R382" i="43"/>
  <c r="N382" i="43"/>
  <c r="K382" i="43"/>
  <c r="J382" i="43"/>
  <c r="I133" i="62" s="1"/>
  <c r="F382" i="43"/>
  <c r="G133" i="62" s="1"/>
  <c r="X381" i="43"/>
  <c r="T381" i="43"/>
  <c r="L132" i="62" s="1"/>
  <c r="R381" i="43"/>
  <c r="N381" i="43"/>
  <c r="K381" i="43"/>
  <c r="J381" i="43"/>
  <c r="I132" i="62" s="1"/>
  <c r="F381" i="43"/>
  <c r="G132" i="62" s="1"/>
  <c r="X380" i="43"/>
  <c r="T380" i="43"/>
  <c r="L131" i="62" s="1"/>
  <c r="R380" i="43"/>
  <c r="N380" i="43"/>
  <c r="K380" i="43"/>
  <c r="J380" i="43"/>
  <c r="I131" i="62" s="1"/>
  <c r="F380" i="43"/>
  <c r="G131" i="62" s="1"/>
  <c r="X379" i="43"/>
  <c r="T379" i="43"/>
  <c r="L130" i="62" s="1"/>
  <c r="R379" i="43"/>
  <c r="N379" i="43"/>
  <c r="K379" i="43"/>
  <c r="J379" i="43"/>
  <c r="I130" i="62" s="1"/>
  <c r="F379" i="43"/>
  <c r="G130" i="62" s="1"/>
  <c r="X378" i="43"/>
  <c r="T378" i="43"/>
  <c r="L129" i="62" s="1"/>
  <c r="R378" i="43"/>
  <c r="N378" i="43"/>
  <c r="K378" i="43"/>
  <c r="J378" i="43"/>
  <c r="I129" i="62" s="1"/>
  <c r="F378" i="43"/>
  <c r="G129" i="62" s="1"/>
  <c r="X377" i="43"/>
  <c r="T377" i="43"/>
  <c r="L128" i="62" s="1"/>
  <c r="R377" i="43"/>
  <c r="N377" i="43"/>
  <c r="K377" i="43"/>
  <c r="J377" i="43"/>
  <c r="I128" i="62" s="1"/>
  <c r="F377" i="43"/>
  <c r="G128" i="62" s="1"/>
  <c r="X376" i="43"/>
  <c r="T376" i="43"/>
  <c r="L127" i="62" s="1"/>
  <c r="R376" i="43"/>
  <c r="N376" i="43"/>
  <c r="K376" i="43"/>
  <c r="J376" i="43"/>
  <c r="I127" i="62" s="1"/>
  <c r="F376" i="43"/>
  <c r="G127" i="62" s="1"/>
  <c r="X375" i="43"/>
  <c r="T375" i="43"/>
  <c r="L126" i="62" s="1"/>
  <c r="R375" i="43"/>
  <c r="N375" i="43"/>
  <c r="K375" i="43"/>
  <c r="J375" i="43"/>
  <c r="I126" i="62" s="1"/>
  <c r="F375" i="43"/>
  <c r="G126" i="62" s="1"/>
  <c r="X374" i="43"/>
  <c r="T374" i="43"/>
  <c r="L125" i="62" s="1"/>
  <c r="R374" i="43"/>
  <c r="N374" i="43"/>
  <c r="K374" i="43"/>
  <c r="J374" i="43"/>
  <c r="I125" i="62" s="1"/>
  <c r="F374" i="43"/>
  <c r="G125" i="62" s="1"/>
  <c r="X373" i="43"/>
  <c r="T373" i="43"/>
  <c r="L124" i="62" s="1"/>
  <c r="R373" i="43"/>
  <c r="N373" i="43"/>
  <c r="K373" i="43"/>
  <c r="J373" i="43"/>
  <c r="I124" i="62" s="1"/>
  <c r="F373" i="43"/>
  <c r="G124" i="62" s="1"/>
  <c r="X372" i="43"/>
  <c r="T372" i="43"/>
  <c r="L123" i="62" s="1"/>
  <c r="R372" i="43"/>
  <c r="N372" i="43"/>
  <c r="K372" i="43"/>
  <c r="J372" i="43"/>
  <c r="I123" i="62" s="1"/>
  <c r="F372" i="43"/>
  <c r="G123" i="62" s="1"/>
  <c r="X371" i="43"/>
  <c r="T371" i="43"/>
  <c r="L122" i="62" s="1"/>
  <c r="R371" i="43"/>
  <c r="N371" i="43"/>
  <c r="K371" i="43"/>
  <c r="J371" i="43"/>
  <c r="I122" i="62" s="1"/>
  <c r="F371" i="43"/>
  <c r="G122" i="62" s="1"/>
  <c r="X370" i="43"/>
  <c r="T370" i="43"/>
  <c r="L121" i="62" s="1"/>
  <c r="R370" i="43"/>
  <c r="N370" i="43"/>
  <c r="K370" i="43"/>
  <c r="J370" i="43"/>
  <c r="I121" i="62" s="1"/>
  <c r="F370" i="43"/>
  <c r="G121" i="62" s="1"/>
  <c r="X369" i="43"/>
  <c r="T369" i="43"/>
  <c r="L120" i="62" s="1"/>
  <c r="R369" i="43"/>
  <c r="N369" i="43"/>
  <c r="K369" i="43"/>
  <c r="J369" i="43"/>
  <c r="I120" i="62" s="1"/>
  <c r="F369" i="43"/>
  <c r="G120" i="62" s="1"/>
  <c r="X368" i="43"/>
  <c r="T368" i="43"/>
  <c r="L119" i="62" s="1"/>
  <c r="R368" i="43"/>
  <c r="N368" i="43"/>
  <c r="K368" i="43"/>
  <c r="J368" i="43"/>
  <c r="I119" i="62" s="1"/>
  <c r="F368" i="43"/>
  <c r="G119" i="62" s="1"/>
  <c r="X367" i="43"/>
  <c r="T367" i="43"/>
  <c r="L118" i="62" s="1"/>
  <c r="R367" i="43"/>
  <c r="N367" i="43"/>
  <c r="K367" i="43"/>
  <c r="J367" i="43"/>
  <c r="I118" i="62" s="1"/>
  <c r="F367" i="43"/>
  <c r="G118" i="62" s="1"/>
  <c r="X366" i="43"/>
  <c r="T366" i="43"/>
  <c r="L117" i="62" s="1"/>
  <c r="R366" i="43"/>
  <c r="N366" i="43"/>
  <c r="K366" i="43"/>
  <c r="J366" i="43"/>
  <c r="I117" i="62" s="1"/>
  <c r="F366" i="43"/>
  <c r="G117" i="62" s="1"/>
  <c r="X365" i="43"/>
  <c r="T365" i="43"/>
  <c r="L116" i="62" s="1"/>
  <c r="R365" i="43"/>
  <c r="N365" i="43"/>
  <c r="K365" i="43"/>
  <c r="J365" i="43"/>
  <c r="I116" i="62" s="1"/>
  <c r="F365" i="43"/>
  <c r="G116" i="62" s="1"/>
  <c r="X364" i="43"/>
  <c r="T364" i="43"/>
  <c r="L115" i="62" s="1"/>
  <c r="R364" i="43"/>
  <c r="N364" i="43"/>
  <c r="K364" i="43"/>
  <c r="J364" i="43"/>
  <c r="I115" i="62" s="1"/>
  <c r="F364" i="43"/>
  <c r="G115" i="62" s="1"/>
  <c r="X363" i="43"/>
  <c r="T363" i="43"/>
  <c r="L114" i="62" s="1"/>
  <c r="R363" i="43"/>
  <c r="N363" i="43"/>
  <c r="K363" i="43"/>
  <c r="J363" i="43"/>
  <c r="I114" i="62" s="1"/>
  <c r="F363" i="43"/>
  <c r="G114" i="62" s="1"/>
  <c r="X362" i="43"/>
  <c r="T362" i="43"/>
  <c r="L113" i="62" s="1"/>
  <c r="R362" i="43"/>
  <c r="N362" i="43"/>
  <c r="K362" i="43"/>
  <c r="J362" i="43"/>
  <c r="I113" i="62" s="1"/>
  <c r="F362" i="43"/>
  <c r="G113" i="62" s="1"/>
  <c r="X361" i="43"/>
  <c r="T361" i="43"/>
  <c r="L112" i="62" s="1"/>
  <c r="R361" i="43"/>
  <c r="N361" i="43"/>
  <c r="K361" i="43"/>
  <c r="J361" i="43"/>
  <c r="I112" i="62" s="1"/>
  <c r="F361" i="43"/>
  <c r="G112" i="62" s="1"/>
  <c r="X360" i="43"/>
  <c r="T360" i="43"/>
  <c r="L111" i="62" s="1"/>
  <c r="R360" i="43"/>
  <c r="N360" i="43"/>
  <c r="K360" i="43"/>
  <c r="J360" i="43"/>
  <c r="I111" i="62" s="1"/>
  <c r="F360" i="43"/>
  <c r="G111" i="62" s="1"/>
  <c r="X359" i="43"/>
  <c r="T359" i="43"/>
  <c r="L110" i="62" s="1"/>
  <c r="R359" i="43"/>
  <c r="N359" i="43"/>
  <c r="K359" i="43"/>
  <c r="J359" i="43"/>
  <c r="I110" i="62" s="1"/>
  <c r="F359" i="43"/>
  <c r="G110" i="62" s="1"/>
  <c r="X358" i="43"/>
  <c r="T358" i="43"/>
  <c r="L109" i="62" s="1"/>
  <c r="R358" i="43"/>
  <c r="N358" i="43"/>
  <c r="K358" i="43"/>
  <c r="J358" i="43"/>
  <c r="I109" i="62" s="1"/>
  <c r="F358" i="43"/>
  <c r="G109" i="62" s="1"/>
  <c r="X357" i="43"/>
  <c r="T357" i="43"/>
  <c r="L108" i="62" s="1"/>
  <c r="R357" i="43"/>
  <c r="N357" i="43"/>
  <c r="K357" i="43"/>
  <c r="J357" i="43"/>
  <c r="I108" i="62" s="1"/>
  <c r="F357" i="43"/>
  <c r="G108" i="62" s="1"/>
  <c r="X356" i="43"/>
  <c r="T356" i="43"/>
  <c r="L107" i="62" s="1"/>
  <c r="R356" i="43"/>
  <c r="N356" i="43"/>
  <c r="K356" i="43"/>
  <c r="J356" i="43"/>
  <c r="I107" i="62" s="1"/>
  <c r="F356" i="43"/>
  <c r="G107" i="62" s="1"/>
  <c r="X355" i="43"/>
  <c r="T355" i="43"/>
  <c r="L106" i="62" s="1"/>
  <c r="R355" i="43"/>
  <c r="N355" i="43"/>
  <c r="K355" i="43"/>
  <c r="J355" i="43"/>
  <c r="I106" i="62" s="1"/>
  <c r="F355" i="43"/>
  <c r="G106" i="62" s="1"/>
  <c r="X354" i="43"/>
  <c r="T354" i="43"/>
  <c r="L105" i="62" s="1"/>
  <c r="R354" i="43"/>
  <c r="N354" i="43"/>
  <c r="K354" i="43"/>
  <c r="J354" i="43"/>
  <c r="I105" i="62" s="1"/>
  <c r="F354" i="43"/>
  <c r="G105" i="62" s="1"/>
  <c r="X353" i="43"/>
  <c r="T353" i="43"/>
  <c r="L104" i="62" s="1"/>
  <c r="R353" i="43"/>
  <c r="N353" i="43"/>
  <c r="K353" i="43"/>
  <c r="J353" i="43"/>
  <c r="I104" i="62" s="1"/>
  <c r="F353" i="43"/>
  <c r="G104" i="62" s="1"/>
  <c r="X352" i="43"/>
  <c r="T352" i="43"/>
  <c r="L103" i="62" s="1"/>
  <c r="R352" i="43"/>
  <c r="N352" i="43"/>
  <c r="K352" i="43"/>
  <c r="J352" i="43"/>
  <c r="I103" i="62" s="1"/>
  <c r="F352" i="43"/>
  <c r="G103" i="62" s="1"/>
  <c r="X351" i="43"/>
  <c r="T351" i="43"/>
  <c r="L102" i="62" s="1"/>
  <c r="R351" i="43"/>
  <c r="N351" i="43"/>
  <c r="K351" i="43"/>
  <c r="J351" i="43"/>
  <c r="I102" i="62" s="1"/>
  <c r="F351" i="43"/>
  <c r="G102" i="62" s="1"/>
  <c r="X350" i="43"/>
  <c r="T350" i="43"/>
  <c r="L101" i="62" s="1"/>
  <c r="R350" i="43"/>
  <c r="N350" i="43"/>
  <c r="K350" i="43"/>
  <c r="J350" i="43"/>
  <c r="I101" i="62" s="1"/>
  <c r="F350" i="43"/>
  <c r="G101" i="62" s="1"/>
  <c r="X349" i="43"/>
  <c r="T349" i="43"/>
  <c r="L100" i="62" s="1"/>
  <c r="R349" i="43"/>
  <c r="N349" i="43"/>
  <c r="K349" i="43"/>
  <c r="J349" i="43"/>
  <c r="I100" i="62" s="1"/>
  <c r="F349" i="43"/>
  <c r="G100" i="62" s="1"/>
  <c r="X348" i="43"/>
  <c r="T348" i="43"/>
  <c r="L99" i="62" s="1"/>
  <c r="R348" i="43"/>
  <c r="N348" i="43"/>
  <c r="K348" i="43"/>
  <c r="J348" i="43"/>
  <c r="I99" i="62" s="1"/>
  <c r="F348" i="43"/>
  <c r="G99" i="62" s="1"/>
  <c r="X347" i="43"/>
  <c r="T347" i="43"/>
  <c r="L98" i="62" s="1"/>
  <c r="R347" i="43"/>
  <c r="N347" i="43"/>
  <c r="K347" i="43"/>
  <c r="J347" i="43"/>
  <c r="I98" i="62" s="1"/>
  <c r="F347" i="43"/>
  <c r="G98" i="62" s="1"/>
  <c r="X346" i="43"/>
  <c r="T346" i="43"/>
  <c r="L97" i="62" s="1"/>
  <c r="R346" i="43"/>
  <c r="N346" i="43"/>
  <c r="K346" i="43"/>
  <c r="J346" i="43"/>
  <c r="I97" i="62" s="1"/>
  <c r="F346" i="43"/>
  <c r="G97" i="62" s="1"/>
  <c r="X345" i="43"/>
  <c r="T345" i="43"/>
  <c r="L96" i="62" s="1"/>
  <c r="R345" i="43"/>
  <c r="N345" i="43"/>
  <c r="K345" i="43"/>
  <c r="J345" i="43"/>
  <c r="I96" i="62" s="1"/>
  <c r="F345" i="43"/>
  <c r="G96" i="62" s="1"/>
  <c r="X344" i="43"/>
  <c r="T344" i="43"/>
  <c r="L95" i="62" s="1"/>
  <c r="R344" i="43"/>
  <c r="N344" i="43"/>
  <c r="K344" i="43"/>
  <c r="J344" i="43"/>
  <c r="I95" i="62" s="1"/>
  <c r="F344" i="43"/>
  <c r="G95" i="62" s="1"/>
  <c r="X343" i="43"/>
  <c r="T343" i="43"/>
  <c r="L94" i="62" s="1"/>
  <c r="R343" i="43"/>
  <c r="N343" i="43"/>
  <c r="K343" i="43"/>
  <c r="J343" i="43"/>
  <c r="I94" i="62" s="1"/>
  <c r="F343" i="43"/>
  <c r="G94" i="62" s="1"/>
  <c r="X342" i="43"/>
  <c r="T342" i="43"/>
  <c r="L93" i="62" s="1"/>
  <c r="R342" i="43"/>
  <c r="N342" i="43"/>
  <c r="K342" i="43"/>
  <c r="J342" i="43"/>
  <c r="I93" i="62" s="1"/>
  <c r="F342" i="43"/>
  <c r="G93" i="62" s="1"/>
  <c r="X341" i="43"/>
  <c r="T341" i="43"/>
  <c r="L92" i="62" s="1"/>
  <c r="R341" i="43"/>
  <c r="N341" i="43"/>
  <c r="K341" i="43"/>
  <c r="J341" i="43"/>
  <c r="I92" i="62" s="1"/>
  <c r="F341" i="43"/>
  <c r="G92" i="62" s="1"/>
  <c r="X340" i="43"/>
  <c r="T340" i="43"/>
  <c r="L91" i="62" s="1"/>
  <c r="R340" i="43"/>
  <c r="N340" i="43"/>
  <c r="K340" i="43"/>
  <c r="J340" i="43"/>
  <c r="I91" i="62" s="1"/>
  <c r="F340" i="43"/>
  <c r="G91" i="62" s="1"/>
  <c r="X339" i="43"/>
  <c r="T339" i="43"/>
  <c r="L90" i="62" s="1"/>
  <c r="R339" i="43"/>
  <c r="N339" i="43"/>
  <c r="K339" i="43"/>
  <c r="J339" i="43"/>
  <c r="I90" i="62" s="1"/>
  <c r="F339" i="43"/>
  <c r="G90" i="62" s="1"/>
  <c r="X338" i="43"/>
  <c r="T338" i="43"/>
  <c r="L89" i="62" s="1"/>
  <c r="R338" i="43"/>
  <c r="N338" i="43"/>
  <c r="K338" i="43"/>
  <c r="J338" i="43"/>
  <c r="I89" i="62" s="1"/>
  <c r="F338" i="43"/>
  <c r="G89" i="62" s="1"/>
  <c r="X337" i="43"/>
  <c r="T337" i="43"/>
  <c r="L88" i="62" s="1"/>
  <c r="R337" i="43"/>
  <c r="N337" i="43"/>
  <c r="K337" i="43"/>
  <c r="J337" i="43"/>
  <c r="I88" i="62" s="1"/>
  <c r="F337" i="43"/>
  <c r="G88" i="62" s="1"/>
  <c r="X336" i="43"/>
  <c r="T336" i="43"/>
  <c r="L87" i="62" s="1"/>
  <c r="R336" i="43"/>
  <c r="N336" i="43"/>
  <c r="K336" i="43"/>
  <c r="J336" i="43"/>
  <c r="I87" i="62" s="1"/>
  <c r="F336" i="43"/>
  <c r="G87" i="62" s="1"/>
  <c r="X335" i="43"/>
  <c r="T335" i="43"/>
  <c r="L86" i="62" s="1"/>
  <c r="R335" i="43"/>
  <c r="N335" i="43"/>
  <c r="K335" i="43"/>
  <c r="J335" i="43"/>
  <c r="I86" i="62" s="1"/>
  <c r="F335" i="43"/>
  <c r="G86" i="62" s="1"/>
  <c r="X334" i="43"/>
  <c r="T334" i="43"/>
  <c r="L85" i="62" s="1"/>
  <c r="R334" i="43"/>
  <c r="N334" i="43"/>
  <c r="K334" i="43"/>
  <c r="J334" i="43"/>
  <c r="I85" i="62" s="1"/>
  <c r="F334" i="43"/>
  <c r="G85" i="62" s="1"/>
  <c r="X333" i="43"/>
  <c r="T333" i="43"/>
  <c r="L84" i="62" s="1"/>
  <c r="R333" i="43"/>
  <c r="N333" i="43"/>
  <c r="K333" i="43"/>
  <c r="J333" i="43"/>
  <c r="I84" i="62" s="1"/>
  <c r="F333" i="43"/>
  <c r="G84" i="62" s="1"/>
  <c r="X332" i="43"/>
  <c r="T332" i="43"/>
  <c r="L83" i="62" s="1"/>
  <c r="R332" i="43"/>
  <c r="N332" i="43"/>
  <c r="K332" i="43"/>
  <c r="J332" i="43"/>
  <c r="I83" i="62" s="1"/>
  <c r="F332" i="43"/>
  <c r="G83" i="62" s="1"/>
  <c r="X331" i="43"/>
  <c r="T331" i="43"/>
  <c r="L82" i="62" s="1"/>
  <c r="R331" i="43"/>
  <c r="N331" i="43"/>
  <c r="K331" i="43"/>
  <c r="J331" i="43"/>
  <c r="I82" i="62" s="1"/>
  <c r="F331" i="43"/>
  <c r="G82" i="62" s="1"/>
  <c r="X330" i="43"/>
  <c r="T330" i="43"/>
  <c r="L81" i="62" s="1"/>
  <c r="R330" i="43"/>
  <c r="N330" i="43"/>
  <c r="K330" i="43"/>
  <c r="J330" i="43"/>
  <c r="I81" i="62" s="1"/>
  <c r="F330" i="43"/>
  <c r="G81" i="62" s="1"/>
  <c r="X329" i="43"/>
  <c r="T329" i="43"/>
  <c r="L80" i="62" s="1"/>
  <c r="R329" i="43"/>
  <c r="N329" i="43"/>
  <c r="K329" i="43"/>
  <c r="J329" i="43"/>
  <c r="I80" i="62" s="1"/>
  <c r="F329" i="43"/>
  <c r="G80" i="62" s="1"/>
  <c r="X328" i="43"/>
  <c r="T328" i="43"/>
  <c r="L79" i="62" s="1"/>
  <c r="R328" i="43"/>
  <c r="N328" i="43"/>
  <c r="K328" i="43"/>
  <c r="J328" i="43"/>
  <c r="I79" i="62" s="1"/>
  <c r="F328" i="43"/>
  <c r="G79" i="62" s="1"/>
  <c r="X327" i="43"/>
  <c r="T327" i="43"/>
  <c r="L78" i="62" s="1"/>
  <c r="R327" i="43"/>
  <c r="N327" i="43"/>
  <c r="K327" i="43"/>
  <c r="J327" i="43"/>
  <c r="I78" i="62" s="1"/>
  <c r="F327" i="43"/>
  <c r="G78" i="62" s="1"/>
  <c r="X326" i="43"/>
  <c r="T326" i="43"/>
  <c r="L77" i="62" s="1"/>
  <c r="R326" i="43"/>
  <c r="N326" i="43"/>
  <c r="K326" i="43"/>
  <c r="J326" i="43"/>
  <c r="I77" i="62" s="1"/>
  <c r="F326" i="43"/>
  <c r="G77" i="62" s="1"/>
  <c r="X325" i="43"/>
  <c r="T325" i="43"/>
  <c r="L76" i="62" s="1"/>
  <c r="R325" i="43"/>
  <c r="N325" i="43"/>
  <c r="K325" i="43"/>
  <c r="J325" i="43"/>
  <c r="I76" i="62" s="1"/>
  <c r="F325" i="43"/>
  <c r="G76" i="62" s="1"/>
  <c r="X324" i="43"/>
  <c r="T324" i="43"/>
  <c r="L75" i="62" s="1"/>
  <c r="R324" i="43"/>
  <c r="N324" i="43"/>
  <c r="K324" i="43"/>
  <c r="J324" i="43"/>
  <c r="I75" i="62" s="1"/>
  <c r="F324" i="43"/>
  <c r="G75" i="62" s="1"/>
  <c r="X323" i="43"/>
  <c r="T323" i="43"/>
  <c r="L74" i="62" s="1"/>
  <c r="R323" i="43"/>
  <c r="N323" i="43"/>
  <c r="K323" i="43"/>
  <c r="J323" i="43"/>
  <c r="I74" i="62" s="1"/>
  <c r="F323" i="43"/>
  <c r="G74" i="62" s="1"/>
  <c r="X322" i="43"/>
  <c r="T322" i="43"/>
  <c r="L73" i="62" s="1"/>
  <c r="R322" i="43"/>
  <c r="N322" i="43"/>
  <c r="K322" i="43"/>
  <c r="J322" i="43"/>
  <c r="I73" i="62" s="1"/>
  <c r="F322" i="43"/>
  <c r="G73" i="62" s="1"/>
  <c r="X321" i="43"/>
  <c r="T321" i="43"/>
  <c r="L72" i="62" s="1"/>
  <c r="R321" i="43"/>
  <c r="N321" i="43"/>
  <c r="K321" i="43"/>
  <c r="J321" i="43"/>
  <c r="I72" i="62" s="1"/>
  <c r="F321" i="43"/>
  <c r="G72" i="62" s="1"/>
  <c r="X320" i="43"/>
  <c r="T320" i="43"/>
  <c r="L71" i="62" s="1"/>
  <c r="R320" i="43"/>
  <c r="N320" i="43"/>
  <c r="K320" i="43"/>
  <c r="J320" i="43"/>
  <c r="I71" i="62" s="1"/>
  <c r="F320" i="43"/>
  <c r="G71" i="62" s="1"/>
  <c r="X319" i="43"/>
  <c r="T319" i="43"/>
  <c r="L70" i="62" s="1"/>
  <c r="R319" i="43"/>
  <c r="N319" i="43"/>
  <c r="K319" i="43"/>
  <c r="J319" i="43"/>
  <c r="I70" i="62" s="1"/>
  <c r="F319" i="43"/>
  <c r="G70" i="62" s="1"/>
  <c r="X318" i="43"/>
  <c r="T318" i="43"/>
  <c r="L69" i="62" s="1"/>
  <c r="R318" i="43"/>
  <c r="N318" i="43"/>
  <c r="K318" i="43"/>
  <c r="J318" i="43"/>
  <c r="I69" i="62" s="1"/>
  <c r="F318" i="43"/>
  <c r="G69" i="62" s="1"/>
  <c r="X317" i="43"/>
  <c r="T317" i="43"/>
  <c r="L68" i="62" s="1"/>
  <c r="R317" i="43"/>
  <c r="N317" i="43"/>
  <c r="K317" i="43"/>
  <c r="J317" i="43"/>
  <c r="I68" i="62" s="1"/>
  <c r="F317" i="43"/>
  <c r="G68" i="62" s="1"/>
  <c r="X316" i="43"/>
  <c r="T316" i="43"/>
  <c r="L67" i="62" s="1"/>
  <c r="R316" i="43"/>
  <c r="N316" i="43"/>
  <c r="K316" i="43"/>
  <c r="J316" i="43"/>
  <c r="I67" i="62" s="1"/>
  <c r="F316" i="43"/>
  <c r="G67" i="62" s="1"/>
  <c r="X315" i="43"/>
  <c r="T315" i="43"/>
  <c r="L66" i="62" s="1"/>
  <c r="R315" i="43"/>
  <c r="N315" i="43"/>
  <c r="K315" i="43"/>
  <c r="J315" i="43"/>
  <c r="I66" i="62" s="1"/>
  <c r="F315" i="43"/>
  <c r="G66" i="62" s="1"/>
  <c r="X314" i="43"/>
  <c r="T314" i="43"/>
  <c r="L65" i="62" s="1"/>
  <c r="R314" i="43"/>
  <c r="N314" i="43"/>
  <c r="K314" i="43"/>
  <c r="J314" i="43"/>
  <c r="I65" i="62" s="1"/>
  <c r="F314" i="43"/>
  <c r="G65" i="62" s="1"/>
  <c r="X313" i="43"/>
  <c r="T313" i="43"/>
  <c r="L64" i="62" s="1"/>
  <c r="R313" i="43"/>
  <c r="N313" i="43"/>
  <c r="K313" i="43"/>
  <c r="J313" i="43"/>
  <c r="I64" i="62" s="1"/>
  <c r="F313" i="43"/>
  <c r="G64" i="62" s="1"/>
  <c r="X312" i="43"/>
  <c r="T312" i="43"/>
  <c r="L63" i="62" s="1"/>
  <c r="R312" i="43"/>
  <c r="N312" i="43"/>
  <c r="K312" i="43"/>
  <c r="J312" i="43"/>
  <c r="I63" i="62" s="1"/>
  <c r="F312" i="43"/>
  <c r="G63" i="62" s="1"/>
  <c r="X311" i="43"/>
  <c r="T311" i="43"/>
  <c r="L62" i="62" s="1"/>
  <c r="R311" i="43"/>
  <c r="N311" i="43"/>
  <c r="K311" i="43"/>
  <c r="J311" i="43"/>
  <c r="I62" i="62" s="1"/>
  <c r="F311" i="43"/>
  <c r="G62" i="62" s="1"/>
  <c r="X310" i="43"/>
  <c r="T310" i="43"/>
  <c r="L61" i="62" s="1"/>
  <c r="R310" i="43"/>
  <c r="N310" i="43"/>
  <c r="K310" i="43"/>
  <c r="J310" i="43"/>
  <c r="I61" i="62" s="1"/>
  <c r="F310" i="43"/>
  <c r="G61" i="62" s="1"/>
  <c r="X309" i="43"/>
  <c r="T309" i="43"/>
  <c r="L60" i="62" s="1"/>
  <c r="R309" i="43"/>
  <c r="N309" i="43"/>
  <c r="K309" i="43"/>
  <c r="J309" i="43"/>
  <c r="I60" i="62" s="1"/>
  <c r="F309" i="43"/>
  <c r="G60" i="62" s="1"/>
  <c r="X308" i="43"/>
  <c r="T308" i="43"/>
  <c r="L59" i="62" s="1"/>
  <c r="R308" i="43"/>
  <c r="N308" i="43"/>
  <c r="K308" i="43"/>
  <c r="J308" i="43"/>
  <c r="I59" i="62" s="1"/>
  <c r="F308" i="43"/>
  <c r="G59" i="62" s="1"/>
  <c r="X307" i="43"/>
  <c r="T307" i="43"/>
  <c r="L58" i="62" s="1"/>
  <c r="R307" i="43"/>
  <c r="N307" i="43"/>
  <c r="K307" i="43"/>
  <c r="J307" i="43"/>
  <c r="I58" i="62" s="1"/>
  <c r="F307" i="43"/>
  <c r="G58" i="62" s="1"/>
  <c r="X306" i="43"/>
  <c r="T306" i="43"/>
  <c r="L57" i="62" s="1"/>
  <c r="R306" i="43"/>
  <c r="N306" i="43"/>
  <c r="K306" i="43"/>
  <c r="J306" i="43"/>
  <c r="I57" i="62" s="1"/>
  <c r="F306" i="43"/>
  <c r="G57" i="62" s="1"/>
  <c r="F816" i="43" l="1"/>
  <c r="F95" i="66"/>
  <c r="F43" i="66" s="1" a="1"/>
  <c r="F43" i="66" s="1"/>
  <c r="M43" i="66" s="1" a="1"/>
  <c r="M43" i="66" s="1"/>
  <c r="L94" i="66"/>
  <c r="K94" i="66"/>
  <c r="J94" i="66"/>
  <c r="L93" i="66"/>
  <c r="K93" i="66"/>
  <c r="J93" i="66"/>
  <c r="L92" i="66"/>
  <c r="K92" i="66"/>
  <c r="J92" i="66"/>
  <c r="L91" i="66"/>
  <c r="K91" i="66"/>
  <c r="J91" i="66"/>
  <c r="L89" i="66"/>
  <c r="K89" i="66"/>
  <c r="J89" i="66"/>
  <c r="H89" i="66"/>
  <c r="G89" i="66"/>
  <c r="L88" i="66"/>
  <c r="K88" i="66"/>
  <c r="J88" i="66"/>
  <c r="H88" i="66"/>
  <c r="G88" i="66"/>
  <c r="L87" i="66"/>
  <c r="K87" i="66"/>
  <c r="J87" i="66"/>
  <c r="H87" i="66"/>
  <c r="G87" i="66"/>
  <c r="L86" i="66"/>
  <c r="K86" i="66"/>
  <c r="J86" i="66"/>
  <c r="H86" i="66"/>
  <c r="G86" i="66"/>
  <c r="L85" i="66"/>
  <c r="K85" i="66"/>
  <c r="J85" i="66"/>
  <c r="H85" i="66"/>
  <c r="G85" i="66"/>
  <c r="L84" i="66"/>
  <c r="K84" i="66"/>
  <c r="J84" i="66"/>
  <c r="H84" i="66"/>
  <c r="G84" i="66"/>
  <c r="L83" i="66"/>
  <c r="K83" i="66"/>
  <c r="J83" i="66"/>
  <c r="H83" i="66"/>
  <c r="G83" i="66"/>
  <c r="L118" i="66"/>
  <c r="K118" i="66"/>
  <c r="J118" i="66"/>
  <c r="F118" i="66"/>
  <c r="G118" i="66" s="1"/>
  <c r="L117" i="66"/>
  <c r="K117" i="66"/>
  <c r="J117" i="66"/>
  <c r="L116" i="66"/>
  <c r="K116" i="66"/>
  <c r="J116" i="66"/>
  <c r="L115" i="66"/>
  <c r="K115" i="66"/>
  <c r="J115" i="66"/>
  <c r="L114" i="66"/>
  <c r="K114" i="66"/>
  <c r="J114" i="66"/>
  <c r="L113" i="66"/>
  <c r="K113" i="66"/>
  <c r="J113" i="66"/>
  <c r="L112" i="66"/>
  <c r="K112" i="66"/>
  <c r="J112" i="66"/>
  <c r="H112" i="66"/>
  <c r="G112" i="66"/>
  <c r="L111" i="66"/>
  <c r="K111" i="66"/>
  <c r="J111" i="66"/>
  <c r="H111" i="66"/>
  <c r="G111" i="66"/>
  <c r="L110" i="66"/>
  <c r="K110" i="66"/>
  <c r="J110" i="66"/>
  <c r="H110" i="66"/>
  <c r="G110" i="66"/>
  <c r="L109" i="66"/>
  <c r="K109" i="66"/>
  <c r="J109" i="66"/>
  <c r="H109" i="66"/>
  <c r="G109" i="66"/>
  <c r="L108" i="66"/>
  <c r="K108" i="66"/>
  <c r="J108" i="66"/>
  <c r="H108" i="66"/>
  <c r="G108" i="66"/>
  <c r="L107" i="66"/>
  <c r="K107" i="66"/>
  <c r="J107" i="66"/>
  <c r="H107" i="66"/>
  <c r="G107" i="66"/>
  <c r="L106" i="66"/>
  <c r="K106" i="66"/>
  <c r="J106" i="66"/>
  <c r="H106" i="66"/>
  <c r="G106" i="66"/>
  <c r="L105" i="66"/>
  <c r="K105" i="66"/>
  <c r="J105" i="66"/>
  <c r="H105" i="66"/>
  <c r="G105" i="66"/>
  <c r="L104" i="66"/>
  <c r="K104" i="66"/>
  <c r="J104" i="66"/>
  <c r="H104" i="66"/>
  <c r="G104" i="66"/>
  <c r="L103" i="66"/>
  <c r="K103" i="66"/>
  <c r="J103" i="66"/>
  <c r="H103" i="66"/>
  <c r="G103" i="66"/>
  <c r="F141" i="66"/>
  <c r="P130" i="66" s="1"/>
  <c r="L140" i="66"/>
  <c r="K140" i="66"/>
  <c r="J140" i="66"/>
  <c r="L139" i="66"/>
  <c r="K139" i="66"/>
  <c r="J139" i="66"/>
  <c r="L138" i="66"/>
  <c r="K138" i="66"/>
  <c r="J138" i="66"/>
  <c r="L137" i="66"/>
  <c r="K137" i="66"/>
  <c r="J137" i="66"/>
  <c r="L136" i="66"/>
  <c r="K136" i="66"/>
  <c r="J136" i="66"/>
  <c r="L135" i="66"/>
  <c r="K135" i="66"/>
  <c r="J135" i="66"/>
  <c r="H135" i="66"/>
  <c r="G135" i="66"/>
  <c r="L134" i="66"/>
  <c r="K134" i="66"/>
  <c r="J134" i="66"/>
  <c r="H134" i="66"/>
  <c r="G134" i="66"/>
  <c r="L133" i="66"/>
  <c r="K133" i="66"/>
  <c r="J133" i="66"/>
  <c r="H133" i="66"/>
  <c r="G133" i="66"/>
  <c r="L132" i="66"/>
  <c r="K132" i="66"/>
  <c r="J132" i="66"/>
  <c r="H132" i="66"/>
  <c r="G132" i="66"/>
  <c r="L131" i="66"/>
  <c r="K131" i="66"/>
  <c r="J131" i="66"/>
  <c r="H131" i="66"/>
  <c r="G131" i="66"/>
  <c r="L130" i="66"/>
  <c r="K130" i="66"/>
  <c r="J130" i="66"/>
  <c r="H130" i="66"/>
  <c r="G130" i="66"/>
  <c r="L129" i="66"/>
  <c r="K129" i="66"/>
  <c r="J129" i="66"/>
  <c r="H129" i="66"/>
  <c r="G129" i="66"/>
  <c r="H128" i="66"/>
  <c r="L164" i="66"/>
  <c r="K164" i="66"/>
  <c r="J164" i="66"/>
  <c r="F164" i="66"/>
  <c r="G164" i="66" s="1"/>
  <c r="L163" i="66"/>
  <c r="K163" i="66"/>
  <c r="J163" i="66"/>
  <c r="L162" i="66"/>
  <c r="K162" i="66"/>
  <c r="J162" i="66"/>
  <c r="L161" i="66"/>
  <c r="K161" i="66"/>
  <c r="J161" i="66"/>
  <c r="L160" i="66"/>
  <c r="K160" i="66"/>
  <c r="J160" i="66"/>
  <c r="L159" i="66"/>
  <c r="K159" i="66"/>
  <c r="J159" i="66"/>
  <c r="L158" i="66"/>
  <c r="K158" i="66"/>
  <c r="J158" i="66"/>
  <c r="H158" i="66"/>
  <c r="G158" i="66"/>
  <c r="L157" i="66"/>
  <c r="K157" i="66"/>
  <c r="J157" i="66"/>
  <c r="H157" i="66"/>
  <c r="G157" i="66"/>
  <c r="L156" i="66"/>
  <c r="K156" i="66"/>
  <c r="J156" i="66"/>
  <c r="H156" i="66"/>
  <c r="G156" i="66"/>
  <c r="L155" i="66"/>
  <c r="K155" i="66"/>
  <c r="J155" i="66"/>
  <c r="H155" i="66"/>
  <c r="G155" i="66"/>
  <c r="L154" i="66"/>
  <c r="K154" i="66"/>
  <c r="J154" i="66"/>
  <c r="H154" i="66"/>
  <c r="G154" i="66"/>
  <c r="L153" i="66"/>
  <c r="K153" i="66"/>
  <c r="J153" i="66"/>
  <c r="H153" i="66"/>
  <c r="G153" i="66"/>
  <c r="L152" i="66"/>
  <c r="K152" i="66"/>
  <c r="J152" i="66"/>
  <c r="H152" i="66"/>
  <c r="G152" i="66"/>
  <c r="L151" i="66"/>
  <c r="K151" i="66"/>
  <c r="J151" i="66"/>
  <c r="H151" i="66"/>
  <c r="G151" i="66"/>
  <c r="L150" i="66"/>
  <c r="K150" i="66"/>
  <c r="J150" i="66"/>
  <c r="H150" i="66"/>
  <c r="G150" i="66"/>
  <c r="L149" i="66"/>
  <c r="K149" i="66"/>
  <c r="J149" i="66"/>
  <c r="H149" i="66"/>
  <c r="G149" i="66"/>
  <c r="L187" i="66"/>
  <c r="K187" i="66"/>
  <c r="J187" i="66"/>
  <c r="F187" i="66"/>
  <c r="P176" i="66" s="1"/>
  <c r="L186" i="66"/>
  <c r="K186" i="66"/>
  <c r="J186" i="66"/>
  <c r="L185" i="66"/>
  <c r="K185" i="66"/>
  <c r="J185" i="66"/>
  <c r="L184" i="66"/>
  <c r="K184" i="66"/>
  <c r="J184" i="66"/>
  <c r="L183" i="66"/>
  <c r="K183" i="66"/>
  <c r="J183" i="66"/>
  <c r="L182" i="66"/>
  <c r="K182" i="66"/>
  <c r="J182" i="66"/>
  <c r="L181" i="66"/>
  <c r="K181" i="66"/>
  <c r="J181" i="66"/>
  <c r="H181" i="66"/>
  <c r="G181" i="66"/>
  <c r="L180" i="66"/>
  <c r="K180" i="66"/>
  <c r="J180" i="66"/>
  <c r="H180" i="66"/>
  <c r="G180" i="66"/>
  <c r="L179" i="66"/>
  <c r="K179" i="66"/>
  <c r="J179" i="66"/>
  <c r="H179" i="66"/>
  <c r="G179" i="66"/>
  <c r="L178" i="66"/>
  <c r="K178" i="66"/>
  <c r="J178" i="66"/>
  <c r="H178" i="66"/>
  <c r="G178" i="66"/>
  <c r="L177" i="66"/>
  <c r="K177" i="66"/>
  <c r="J177" i="66"/>
  <c r="H177" i="66"/>
  <c r="G177" i="66"/>
  <c r="L176" i="66"/>
  <c r="K176" i="66"/>
  <c r="J176" i="66"/>
  <c r="H176" i="66"/>
  <c r="G176" i="66"/>
  <c r="L175" i="66"/>
  <c r="K175" i="66"/>
  <c r="J175" i="66"/>
  <c r="H175" i="66"/>
  <c r="G175" i="66"/>
  <c r="L174" i="66"/>
  <c r="K174" i="66"/>
  <c r="J174" i="66"/>
  <c r="H174" i="66"/>
  <c r="G174" i="66"/>
  <c r="L173" i="66"/>
  <c r="K173" i="66"/>
  <c r="J173" i="66"/>
  <c r="H173" i="66"/>
  <c r="G173" i="66"/>
  <c r="L172" i="66"/>
  <c r="K172" i="66"/>
  <c r="J172" i="66"/>
  <c r="H172" i="66"/>
  <c r="G172" i="66"/>
  <c r="L210" i="66"/>
  <c r="K210" i="66"/>
  <c r="J210" i="66"/>
  <c r="F210" i="66"/>
  <c r="P199" i="66" s="1"/>
  <c r="L209" i="66"/>
  <c r="K209" i="66"/>
  <c r="J209" i="66"/>
  <c r="L208" i="66"/>
  <c r="K208" i="66"/>
  <c r="J208" i="66"/>
  <c r="L207" i="66"/>
  <c r="K207" i="66"/>
  <c r="J207" i="66"/>
  <c r="L206" i="66"/>
  <c r="K206" i="66"/>
  <c r="J206" i="66"/>
  <c r="L205" i="66"/>
  <c r="K205" i="66"/>
  <c r="J205" i="66"/>
  <c r="L204" i="66"/>
  <c r="K204" i="66"/>
  <c r="J204" i="66"/>
  <c r="H204" i="66"/>
  <c r="G204" i="66"/>
  <c r="L203" i="66"/>
  <c r="K203" i="66"/>
  <c r="J203" i="66"/>
  <c r="H203" i="66"/>
  <c r="G203" i="66"/>
  <c r="L202" i="66"/>
  <c r="K202" i="66"/>
  <c r="J202" i="66"/>
  <c r="H202" i="66"/>
  <c r="G202" i="66"/>
  <c r="L201" i="66"/>
  <c r="K201" i="66"/>
  <c r="J201" i="66"/>
  <c r="H201" i="66"/>
  <c r="G201" i="66"/>
  <c r="L200" i="66"/>
  <c r="K200" i="66"/>
  <c r="J200" i="66"/>
  <c r="H200" i="66"/>
  <c r="G200" i="66"/>
  <c r="L199" i="66"/>
  <c r="K199" i="66"/>
  <c r="J199" i="66"/>
  <c r="H199" i="66"/>
  <c r="G199" i="66"/>
  <c r="L198" i="66"/>
  <c r="K198" i="66"/>
  <c r="J198" i="66"/>
  <c r="H198" i="66"/>
  <c r="G198" i="66"/>
  <c r="L197" i="66"/>
  <c r="K197" i="66"/>
  <c r="J197" i="66"/>
  <c r="H197" i="66"/>
  <c r="G197" i="66"/>
  <c r="L196" i="66"/>
  <c r="K196" i="66"/>
  <c r="J196" i="66"/>
  <c r="H196" i="66"/>
  <c r="G196" i="66"/>
  <c r="L195" i="66"/>
  <c r="K195" i="66"/>
  <c r="J195" i="66"/>
  <c r="H195" i="66"/>
  <c r="G195" i="66"/>
  <c r="L233" i="66"/>
  <c r="K233" i="66"/>
  <c r="J233" i="66"/>
  <c r="F233" i="66"/>
  <c r="G233" i="66" s="1"/>
  <c r="L232" i="66"/>
  <c r="K232" i="66"/>
  <c r="J232" i="66"/>
  <c r="L231" i="66"/>
  <c r="K231" i="66"/>
  <c r="J231" i="66"/>
  <c r="L230" i="66"/>
  <c r="K230" i="66"/>
  <c r="J230" i="66"/>
  <c r="L229" i="66"/>
  <c r="K229" i="66"/>
  <c r="J229" i="66"/>
  <c r="L228" i="66"/>
  <c r="K228" i="66"/>
  <c r="J228" i="66"/>
  <c r="L227" i="66"/>
  <c r="K227" i="66"/>
  <c r="J227" i="66"/>
  <c r="H227" i="66"/>
  <c r="G227" i="66"/>
  <c r="L226" i="66"/>
  <c r="K226" i="66"/>
  <c r="J226" i="66"/>
  <c r="H226" i="66"/>
  <c r="G226" i="66"/>
  <c r="L225" i="66"/>
  <c r="K225" i="66"/>
  <c r="J225" i="66"/>
  <c r="H225" i="66"/>
  <c r="G225" i="66"/>
  <c r="L224" i="66"/>
  <c r="K224" i="66"/>
  <c r="J224" i="66"/>
  <c r="H224" i="66"/>
  <c r="G224" i="66"/>
  <c r="L223" i="66"/>
  <c r="K223" i="66"/>
  <c r="J223" i="66"/>
  <c r="H223" i="66"/>
  <c r="G223" i="66"/>
  <c r="L222" i="66"/>
  <c r="K222" i="66"/>
  <c r="J222" i="66"/>
  <c r="H222" i="66"/>
  <c r="G222" i="66"/>
  <c r="L221" i="66"/>
  <c r="K221" i="66"/>
  <c r="J221" i="66"/>
  <c r="H221" i="66"/>
  <c r="G221" i="66"/>
  <c r="L220" i="66"/>
  <c r="K220" i="66"/>
  <c r="J220" i="66"/>
  <c r="H220" i="66"/>
  <c r="G220" i="66"/>
  <c r="L219" i="66"/>
  <c r="K219" i="66"/>
  <c r="J219" i="66"/>
  <c r="H219" i="66"/>
  <c r="G219" i="66"/>
  <c r="L218" i="66"/>
  <c r="K218" i="66"/>
  <c r="J218" i="66"/>
  <c r="H218" i="66"/>
  <c r="G218" i="66"/>
  <c r="L256" i="66"/>
  <c r="K256" i="66"/>
  <c r="J256" i="66"/>
  <c r="F256" i="66"/>
  <c r="G256" i="66" s="1"/>
  <c r="L255" i="66"/>
  <c r="K255" i="66"/>
  <c r="J255" i="66"/>
  <c r="L254" i="66"/>
  <c r="K254" i="66"/>
  <c r="J254" i="66"/>
  <c r="L253" i="66"/>
  <c r="K253" i="66"/>
  <c r="J253" i="66"/>
  <c r="L252" i="66"/>
  <c r="K252" i="66"/>
  <c r="J252" i="66"/>
  <c r="L251" i="66"/>
  <c r="K251" i="66"/>
  <c r="J251" i="66"/>
  <c r="L250" i="66"/>
  <c r="K250" i="66"/>
  <c r="J250" i="66"/>
  <c r="H250" i="66"/>
  <c r="G250" i="66"/>
  <c r="L249" i="66"/>
  <c r="K249" i="66"/>
  <c r="J249" i="66"/>
  <c r="H249" i="66"/>
  <c r="G249" i="66"/>
  <c r="L248" i="66"/>
  <c r="K248" i="66"/>
  <c r="J248" i="66"/>
  <c r="H248" i="66"/>
  <c r="G248" i="66"/>
  <c r="L247" i="66"/>
  <c r="K247" i="66"/>
  <c r="J247" i="66"/>
  <c r="H247" i="66"/>
  <c r="G247" i="66"/>
  <c r="L246" i="66"/>
  <c r="K246" i="66"/>
  <c r="J246" i="66"/>
  <c r="H246" i="66"/>
  <c r="G246" i="66"/>
  <c r="L245" i="66"/>
  <c r="K245" i="66"/>
  <c r="J245" i="66"/>
  <c r="H245" i="66"/>
  <c r="G245" i="66"/>
  <c r="L244" i="66"/>
  <c r="K244" i="66"/>
  <c r="J244" i="66"/>
  <c r="H244" i="66"/>
  <c r="G244" i="66"/>
  <c r="L243" i="66"/>
  <c r="K243" i="66"/>
  <c r="J243" i="66"/>
  <c r="H243" i="66"/>
  <c r="G243" i="66"/>
  <c r="L242" i="66"/>
  <c r="K242" i="66"/>
  <c r="J242" i="66"/>
  <c r="H242" i="66"/>
  <c r="G242" i="66"/>
  <c r="L241" i="66"/>
  <c r="K241" i="66"/>
  <c r="J241" i="66"/>
  <c r="H241" i="66"/>
  <c r="G241" i="66"/>
  <c r="L279" i="66"/>
  <c r="K279" i="66"/>
  <c r="J279" i="66"/>
  <c r="F279" i="66"/>
  <c r="G279" i="66" s="1"/>
  <c r="L278" i="66"/>
  <c r="K278" i="66"/>
  <c r="J278" i="66"/>
  <c r="L277" i="66"/>
  <c r="K277" i="66"/>
  <c r="J277" i="66"/>
  <c r="L276" i="66"/>
  <c r="K276" i="66"/>
  <c r="J276" i="66"/>
  <c r="L275" i="66"/>
  <c r="K275" i="66"/>
  <c r="J275" i="66"/>
  <c r="L274" i="66"/>
  <c r="K274" i="66"/>
  <c r="J274" i="66"/>
  <c r="L273" i="66"/>
  <c r="K273" i="66"/>
  <c r="J273" i="66"/>
  <c r="H273" i="66"/>
  <c r="G273" i="66"/>
  <c r="L272" i="66"/>
  <c r="K272" i="66"/>
  <c r="J272" i="66"/>
  <c r="H272" i="66"/>
  <c r="G272" i="66"/>
  <c r="L271" i="66"/>
  <c r="K271" i="66"/>
  <c r="J271" i="66"/>
  <c r="H271" i="66"/>
  <c r="G271" i="66"/>
  <c r="L270" i="66"/>
  <c r="K270" i="66"/>
  <c r="J270" i="66"/>
  <c r="H270" i="66"/>
  <c r="G270" i="66"/>
  <c r="L269" i="66"/>
  <c r="K269" i="66"/>
  <c r="J269" i="66"/>
  <c r="H269" i="66"/>
  <c r="G269" i="66"/>
  <c r="L268" i="66"/>
  <c r="K268" i="66"/>
  <c r="J268" i="66"/>
  <c r="H268" i="66"/>
  <c r="G268" i="66"/>
  <c r="L267" i="66"/>
  <c r="K267" i="66"/>
  <c r="J267" i="66"/>
  <c r="H267" i="66"/>
  <c r="G267" i="66"/>
  <c r="L266" i="66"/>
  <c r="K266" i="66"/>
  <c r="J266" i="66"/>
  <c r="H266" i="66"/>
  <c r="G266" i="66"/>
  <c r="L265" i="66"/>
  <c r="K265" i="66"/>
  <c r="J265" i="66"/>
  <c r="H265" i="66"/>
  <c r="G265" i="66"/>
  <c r="L264" i="66"/>
  <c r="K264" i="66"/>
  <c r="J264" i="66"/>
  <c r="H264" i="66"/>
  <c r="G264" i="66"/>
  <c r="F36" i="66"/>
  <c r="L302" i="66"/>
  <c r="K302" i="66"/>
  <c r="J302" i="66"/>
  <c r="F302" i="66"/>
  <c r="G302" i="66" s="1"/>
  <c r="AL301" i="66"/>
  <c r="L301" i="66"/>
  <c r="K301" i="66"/>
  <c r="J301" i="66"/>
  <c r="AL300" i="66"/>
  <c r="L300" i="66"/>
  <c r="K300" i="66"/>
  <c r="J300" i="66"/>
  <c r="AL299" i="66"/>
  <c r="L299" i="66"/>
  <c r="K299" i="66"/>
  <c r="J299" i="66"/>
  <c r="AL298" i="66"/>
  <c r="L298" i="66"/>
  <c r="K298" i="66"/>
  <c r="J298" i="66"/>
  <c r="AL297" i="66"/>
  <c r="W297" i="66"/>
  <c r="S297" i="66"/>
  <c r="L297" i="66"/>
  <c r="K297" i="66"/>
  <c r="J297" i="66"/>
  <c r="AL296" i="66"/>
  <c r="AB296" i="66"/>
  <c r="AA296" i="66"/>
  <c r="Z296" i="66"/>
  <c r="Y296" i="66"/>
  <c r="X296" i="66"/>
  <c r="W296" i="66"/>
  <c r="L296" i="66"/>
  <c r="K296" i="66"/>
  <c r="J296" i="66"/>
  <c r="H296" i="66"/>
  <c r="G296" i="66"/>
  <c r="AL295" i="66"/>
  <c r="AB295" i="66"/>
  <c r="AA295" i="66"/>
  <c r="Z295" i="66"/>
  <c r="Y295" i="66"/>
  <c r="X295" i="66"/>
  <c r="W295" i="66"/>
  <c r="S295" i="66"/>
  <c r="L295" i="66"/>
  <c r="K295" i="66"/>
  <c r="J295" i="66"/>
  <c r="H295" i="66"/>
  <c r="G295" i="66"/>
  <c r="AL294" i="66"/>
  <c r="AB294" i="66"/>
  <c r="AA294" i="66"/>
  <c r="Z294" i="66"/>
  <c r="Y294" i="66"/>
  <c r="X294" i="66"/>
  <c r="W294" i="66"/>
  <c r="S294" i="66"/>
  <c r="L294" i="66"/>
  <c r="K294" i="66"/>
  <c r="J294" i="66"/>
  <c r="H294" i="66"/>
  <c r="G294" i="66"/>
  <c r="AL293" i="66"/>
  <c r="AB293" i="66"/>
  <c r="AA293" i="66"/>
  <c r="Z293" i="66"/>
  <c r="Y293" i="66"/>
  <c r="X293" i="66"/>
  <c r="W293" i="66"/>
  <c r="S293" i="66"/>
  <c r="L293" i="66"/>
  <c r="K293" i="66"/>
  <c r="J293" i="66"/>
  <c r="H293" i="66"/>
  <c r="G293" i="66"/>
  <c r="AL292" i="66"/>
  <c r="AB292" i="66"/>
  <c r="AA292" i="66"/>
  <c r="Z292" i="66"/>
  <c r="Y292" i="66"/>
  <c r="X292" i="66"/>
  <c r="W292" i="66"/>
  <c r="L292" i="66"/>
  <c r="K292" i="66"/>
  <c r="J292" i="66"/>
  <c r="H292" i="66"/>
  <c r="G292" i="66"/>
  <c r="AL291" i="66"/>
  <c r="AB291" i="66"/>
  <c r="AA291" i="66"/>
  <c r="Z291" i="66"/>
  <c r="Y291" i="66"/>
  <c r="X291" i="66"/>
  <c r="W291" i="66"/>
  <c r="S291" i="66"/>
  <c r="L291" i="66"/>
  <c r="K291" i="66"/>
  <c r="J291" i="66"/>
  <c r="H291" i="66"/>
  <c r="G291" i="66"/>
  <c r="AL290" i="66"/>
  <c r="AB290" i="66"/>
  <c r="AA290" i="66"/>
  <c r="Z290" i="66"/>
  <c r="Y290" i="66"/>
  <c r="X290" i="66"/>
  <c r="W290" i="66"/>
  <c r="L290" i="66"/>
  <c r="K290" i="66"/>
  <c r="J290" i="66"/>
  <c r="H290" i="66"/>
  <c r="G290" i="66"/>
  <c r="AL289" i="66"/>
  <c r="AB289" i="66"/>
  <c r="AA289" i="66"/>
  <c r="Z289" i="66"/>
  <c r="Y289" i="66"/>
  <c r="X289" i="66"/>
  <c r="W289" i="66"/>
  <c r="L289" i="66"/>
  <c r="K289" i="66"/>
  <c r="J289" i="66"/>
  <c r="H289" i="66"/>
  <c r="G289" i="66"/>
  <c r="AL288" i="66"/>
  <c r="AB288" i="66"/>
  <c r="AA288" i="66"/>
  <c r="Z288" i="66"/>
  <c r="Y288" i="66"/>
  <c r="X288" i="66"/>
  <c r="W288" i="66"/>
  <c r="L288" i="66"/>
  <c r="K288" i="66"/>
  <c r="J288" i="66"/>
  <c r="H288" i="66"/>
  <c r="G288" i="66"/>
  <c r="AL287" i="66"/>
  <c r="AB287" i="66"/>
  <c r="AA287" i="66"/>
  <c r="Z287" i="66"/>
  <c r="Y287" i="66"/>
  <c r="X287" i="66"/>
  <c r="W287" i="66"/>
  <c r="AD287" i="66" s="1"/>
  <c r="L287" i="66"/>
  <c r="K287" i="66"/>
  <c r="J287" i="66"/>
  <c r="H287" i="66"/>
  <c r="G287" i="66"/>
  <c r="H286" i="66"/>
  <c r="N294" i="66" s="1"/>
  <c r="G286" i="66"/>
  <c r="N293" i="66" s="1"/>
  <c r="F286" i="66"/>
  <c r="N291" i="66" s="1"/>
  <c r="AL278" i="66"/>
  <c r="AL277" i="66"/>
  <c r="AL276" i="66"/>
  <c r="AL275" i="66"/>
  <c r="AL274" i="66"/>
  <c r="W274" i="66"/>
  <c r="S274" i="66"/>
  <c r="AL273" i="66"/>
  <c r="AB273" i="66"/>
  <c r="AA273" i="66"/>
  <c r="Z273" i="66"/>
  <c r="Y273" i="66"/>
  <c r="X273" i="66"/>
  <c r="W273" i="66"/>
  <c r="AL272" i="66"/>
  <c r="AB272" i="66"/>
  <c r="AA272" i="66"/>
  <c r="Z272" i="66"/>
  <c r="Y272" i="66"/>
  <c r="X272" i="66"/>
  <c r="W272" i="66"/>
  <c r="S272" i="66"/>
  <c r="AL271" i="66"/>
  <c r="AB271" i="66"/>
  <c r="AA271" i="66"/>
  <c r="Z271" i="66"/>
  <c r="Y271" i="66"/>
  <c r="X271" i="66"/>
  <c r="W271" i="66"/>
  <c r="S271" i="66"/>
  <c r="AL270" i="66"/>
  <c r="AB270" i="66"/>
  <c r="AA270" i="66"/>
  <c r="Z270" i="66"/>
  <c r="Y270" i="66"/>
  <c r="X270" i="66"/>
  <c r="W270" i="66"/>
  <c r="S270" i="66"/>
  <c r="AL269" i="66"/>
  <c r="AB269" i="66"/>
  <c r="AA269" i="66"/>
  <c r="Z269" i="66"/>
  <c r="Y269" i="66"/>
  <c r="X269" i="66"/>
  <c r="W269" i="66"/>
  <c r="AL268" i="66"/>
  <c r="AB268" i="66"/>
  <c r="AA268" i="66"/>
  <c r="Z268" i="66"/>
  <c r="Y268" i="66"/>
  <c r="X268" i="66"/>
  <c r="W268" i="66"/>
  <c r="S268" i="66"/>
  <c r="AL267" i="66"/>
  <c r="AB267" i="66"/>
  <c r="AA267" i="66"/>
  <c r="Z267" i="66"/>
  <c r="Y267" i="66"/>
  <c r="X267" i="66"/>
  <c r="W267" i="66"/>
  <c r="AL266" i="66"/>
  <c r="AB266" i="66"/>
  <c r="AA266" i="66"/>
  <c r="Z266" i="66"/>
  <c r="Y266" i="66"/>
  <c r="X266" i="66"/>
  <c r="W266" i="66"/>
  <c r="AL265" i="66"/>
  <c r="AB265" i="66"/>
  <c r="AA265" i="66"/>
  <c r="Z265" i="66"/>
  <c r="Y265" i="66"/>
  <c r="X265" i="66"/>
  <c r="W265" i="66"/>
  <c r="AL264" i="66"/>
  <c r="AB264" i="66"/>
  <c r="AA264" i="66"/>
  <c r="Z264" i="66"/>
  <c r="Y264" i="66"/>
  <c r="X264" i="66"/>
  <c r="W264" i="66"/>
  <c r="AD264" i="66" s="1"/>
  <c r="H263" i="66"/>
  <c r="N271" i="66" s="1"/>
  <c r="G263" i="66"/>
  <c r="N270" i="66" s="1"/>
  <c r="F263" i="66"/>
  <c r="N268" i="66" s="1"/>
  <c r="AL255" i="66"/>
  <c r="AL254" i="66"/>
  <c r="AL253" i="66"/>
  <c r="AL252" i="66"/>
  <c r="AL251" i="66"/>
  <c r="W251" i="66"/>
  <c r="S251" i="66"/>
  <c r="AL250" i="66"/>
  <c r="AB250" i="66"/>
  <c r="AA250" i="66"/>
  <c r="Z250" i="66"/>
  <c r="Y250" i="66"/>
  <c r="X250" i="66"/>
  <c r="W250" i="66"/>
  <c r="AL249" i="66"/>
  <c r="AB249" i="66"/>
  <c r="AA249" i="66"/>
  <c r="Z249" i="66"/>
  <c r="Y249" i="66"/>
  <c r="X249" i="66"/>
  <c r="W249" i="66"/>
  <c r="S249" i="66"/>
  <c r="AL248" i="66"/>
  <c r="AB248" i="66"/>
  <c r="AA248" i="66"/>
  <c r="Z248" i="66"/>
  <c r="Y248" i="66"/>
  <c r="X248" i="66"/>
  <c r="W248" i="66"/>
  <c r="S248" i="66"/>
  <c r="AL247" i="66"/>
  <c r="AB247" i="66"/>
  <c r="AA247" i="66"/>
  <c r="Z247" i="66"/>
  <c r="Y247" i="66"/>
  <c r="X247" i="66"/>
  <c r="W247" i="66"/>
  <c r="S247" i="66"/>
  <c r="AL246" i="66"/>
  <c r="AB246" i="66"/>
  <c r="AA246" i="66"/>
  <c r="Z246" i="66"/>
  <c r="Y246" i="66"/>
  <c r="X246" i="66"/>
  <c r="W246" i="66"/>
  <c r="AL245" i="66"/>
  <c r="AB245" i="66"/>
  <c r="AA245" i="66"/>
  <c r="Z245" i="66"/>
  <c r="Y245" i="66"/>
  <c r="X245" i="66"/>
  <c r="W245" i="66"/>
  <c r="S245" i="66"/>
  <c r="P245" i="66"/>
  <c r="AL244" i="66"/>
  <c r="AB244" i="66"/>
  <c r="AA244" i="66"/>
  <c r="Z244" i="66"/>
  <c r="Y244" i="66"/>
  <c r="X244" i="66"/>
  <c r="W244" i="66"/>
  <c r="AL243" i="66"/>
  <c r="AB243" i="66"/>
  <c r="AA243" i="66"/>
  <c r="Z243" i="66"/>
  <c r="Y243" i="66"/>
  <c r="X243" i="66"/>
  <c r="W243" i="66"/>
  <c r="AL242" i="66"/>
  <c r="AB242" i="66"/>
  <c r="AA242" i="66"/>
  <c r="Z242" i="66"/>
  <c r="Y242" i="66"/>
  <c r="X242" i="66"/>
  <c r="W242" i="66"/>
  <c r="AL241" i="66"/>
  <c r="AB241" i="66"/>
  <c r="AA241" i="66"/>
  <c r="Z241" i="66"/>
  <c r="Y241" i="66"/>
  <c r="X241" i="66"/>
  <c r="W241" i="66"/>
  <c r="AD241" i="66" s="1"/>
  <c r="H240" i="66"/>
  <c r="N248" i="66" s="1"/>
  <c r="G240" i="66"/>
  <c r="N247" i="66" s="1"/>
  <c r="F240" i="66"/>
  <c r="N245" i="66" s="1"/>
  <c r="AL232" i="66"/>
  <c r="AL231" i="66"/>
  <c r="AL230" i="66"/>
  <c r="AL229" i="66"/>
  <c r="AL228" i="66"/>
  <c r="W228" i="66"/>
  <c r="S228" i="66"/>
  <c r="AL227" i="66"/>
  <c r="AB227" i="66"/>
  <c r="AA227" i="66"/>
  <c r="Z227" i="66"/>
  <c r="Y227" i="66"/>
  <c r="X227" i="66"/>
  <c r="W227" i="66"/>
  <c r="AL226" i="66"/>
  <c r="AB226" i="66"/>
  <c r="AA226" i="66"/>
  <c r="Z226" i="66"/>
  <c r="Y226" i="66"/>
  <c r="X226" i="66"/>
  <c r="W226" i="66"/>
  <c r="S226" i="66"/>
  <c r="AL225" i="66"/>
  <c r="AB225" i="66"/>
  <c r="AA225" i="66"/>
  <c r="Z225" i="66"/>
  <c r="Y225" i="66"/>
  <c r="X225" i="66"/>
  <c r="W225" i="66"/>
  <c r="S225" i="66"/>
  <c r="AL224" i="66"/>
  <c r="AB224" i="66"/>
  <c r="AA224" i="66"/>
  <c r="Z224" i="66"/>
  <c r="Y224" i="66"/>
  <c r="X224" i="66"/>
  <c r="W224" i="66"/>
  <c r="S224" i="66"/>
  <c r="AL223" i="66"/>
  <c r="AB223" i="66"/>
  <c r="AA223" i="66"/>
  <c r="Z223" i="66"/>
  <c r="Y223" i="66"/>
  <c r="X223" i="66"/>
  <c r="W223" i="66"/>
  <c r="AL222" i="66"/>
  <c r="AB222" i="66"/>
  <c r="AA222" i="66"/>
  <c r="Z222" i="66"/>
  <c r="Y222" i="66"/>
  <c r="X222" i="66"/>
  <c r="W222" i="66"/>
  <c r="S222" i="66"/>
  <c r="P222" i="66"/>
  <c r="AL221" i="66"/>
  <c r="AB221" i="66"/>
  <c r="AA221" i="66"/>
  <c r="Z221" i="66"/>
  <c r="Y221" i="66"/>
  <c r="X221" i="66"/>
  <c r="W221" i="66"/>
  <c r="AL220" i="66"/>
  <c r="AB220" i="66"/>
  <c r="AA220" i="66"/>
  <c r="Z220" i="66"/>
  <c r="Y220" i="66"/>
  <c r="X220" i="66"/>
  <c r="W220" i="66"/>
  <c r="AL219" i="66"/>
  <c r="AB219" i="66"/>
  <c r="AA219" i="66"/>
  <c r="Z219" i="66"/>
  <c r="Y219" i="66"/>
  <c r="X219" i="66"/>
  <c r="W219" i="66"/>
  <c r="AL218" i="66"/>
  <c r="AB218" i="66"/>
  <c r="AA218" i="66"/>
  <c r="Z218" i="66"/>
  <c r="Y218" i="66"/>
  <c r="X218" i="66"/>
  <c r="W218" i="66"/>
  <c r="AD218" i="66" s="1"/>
  <c r="AD219" i="66" s="1"/>
  <c r="AD220" i="66" s="1"/>
  <c r="AD221" i="66" s="1"/>
  <c r="AD222" i="66" s="1"/>
  <c r="AD223" i="66" s="1"/>
  <c r="AD224" i="66" s="1"/>
  <c r="AD225" i="66" s="1"/>
  <c r="AD226" i="66" s="1"/>
  <c r="AD227" i="66" s="1"/>
  <c r="AD228" i="66" s="1"/>
  <c r="AD229" i="66" s="1"/>
  <c r="AD230" i="66" s="1"/>
  <c r="AD231" i="66" s="1"/>
  <c r="AD232" i="66" s="1"/>
  <c r="H217" i="66"/>
  <c r="N225" i="66" s="1"/>
  <c r="G217" i="66"/>
  <c r="N224" i="66" s="1"/>
  <c r="F217" i="66"/>
  <c r="N222" i="66" s="1"/>
  <c r="AL209" i="66"/>
  <c r="AL208" i="66"/>
  <c r="AL207" i="66"/>
  <c r="AL206" i="66"/>
  <c r="AL205" i="66"/>
  <c r="W205" i="66"/>
  <c r="S205" i="66"/>
  <c r="AL204" i="66"/>
  <c r="AB204" i="66"/>
  <c r="AA204" i="66"/>
  <c r="Z204" i="66"/>
  <c r="Y204" i="66"/>
  <c r="X204" i="66"/>
  <c r="W204" i="66"/>
  <c r="AL203" i="66"/>
  <c r="AB203" i="66"/>
  <c r="AA203" i="66"/>
  <c r="Z203" i="66"/>
  <c r="Y203" i="66"/>
  <c r="X203" i="66"/>
  <c r="W203" i="66"/>
  <c r="S203" i="66"/>
  <c r="AL202" i="66"/>
  <c r="AB202" i="66"/>
  <c r="AA202" i="66"/>
  <c r="Z202" i="66"/>
  <c r="Y202" i="66"/>
  <c r="X202" i="66"/>
  <c r="W202" i="66"/>
  <c r="S202" i="66"/>
  <c r="AL201" i="66"/>
  <c r="AB201" i="66"/>
  <c r="AA201" i="66"/>
  <c r="Z201" i="66"/>
  <c r="Y201" i="66"/>
  <c r="X201" i="66"/>
  <c r="W201" i="66"/>
  <c r="S201" i="66"/>
  <c r="AL200" i="66"/>
  <c r="AB200" i="66"/>
  <c r="AA200" i="66"/>
  <c r="Z200" i="66"/>
  <c r="Y200" i="66"/>
  <c r="X200" i="66"/>
  <c r="W200" i="66"/>
  <c r="AL199" i="66"/>
  <c r="AB199" i="66"/>
  <c r="AA199" i="66"/>
  <c r="Z199" i="66"/>
  <c r="Y199" i="66"/>
  <c r="X199" i="66"/>
  <c r="W199" i="66"/>
  <c r="S199" i="66"/>
  <c r="AL198" i="66"/>
  <c r="AB198" i="66"/>
  <c r="AA198" i="66"/>
  <c r="Z198" i="66"/>
  <c r="Y198" i="66"/>
  <c r="X198" i="66"/>
  <c r="W198" i="66"/>
  <c r="AL197" i="66"/>
  <c r="AB197" i="66"/>
  <c r="AA197" i="66"/>
  <c r="Z197" i="66"/>
  <c r="Y197" i="66"/>
  <c r="X197" i="66"/>
  <c r="W197" i="66"/>
  <c r="AL196" i="66"/>
  <c r="AB196" i="66"/>
  <c r="AA196" i="66"/>
  <c r="Z196" i="66"/>
  <c r="Y196" i="66"/>
  <c r="X196" i="66"/>
  <c r="W196" i="66"/>
  <c r="AL195" i="66"/>
  <c r="AB195" i="66"/>
  <c r="AA195" i="66"/>
  <c r="Z195" i="66"/>
  <c r="Y195" i="66"/>
  <c r="X195" i="66"/>
  <c r="W195" i="66"/>
  <c r="AD195" i="66" s="1"/>
  <c r="H194" i="66"/>
  <c r="N202" i="66" s="1"/>
  <c r="G194" i="66"/>
  <c r="N201" i="66" s="1"/>
  <c r="F194" i="66"/>
  <c r="N199" i="66" s="1"/>
  <c r="AL186" i="66"/>
  <c r="AL185" i="66"/>
  <c r="AL184" i="66"/>
  <c r="AL183" i="66"/>
  <c r="AL182" i="66"/>
  <c r="W182" i="66"/>
  <c r="S182" i="66"/>
  <c r="AL181" i="66"/>
  <c r="AB181" i="66"/>
  <c r="AA181" i="66"/>
  <c r="Z181" i="66"/>
  <c r="Y181" i="66"/>
  <c r="X181" i="66"/>
  <c r="W181" i="66"/>
  <c r="AL180" i="66"/>
  <c r="AB180" i="66"/>
  <c r="AA180" i="66"/>
  <c r="Z180" i="66"/>
  <c r="Y180" i="66"/>
  <c r="X180" i="66"/>
  <c r="W180" i="66"/>
  <c r="S180" i="66"/>
  <c r="AL179" i="66"/>
  <c r="AB179" i="66"/>
  <c r="AA179" i="66"/>
  <c r="Z179" i="66"/>
  <c r="Y179" i="66"/>
  <c r="X179" i="66"/>
  <c r="W179" i="66"/>
  <c r="S179" i="66"/>
  <c r="AL178" i="66"/>
  <c r="AB178" i="66"/>
  <c r="AA178" i="66"/>
  <c r="Z178" i="66"/>
  <c r="Y178" i="66"/>
  <c r="X178" i="66"/>
  <c r="W178" i="66"/>
  <c r="S178" i="66"/>
  <c r="AL177" i="66"/>
  <c r="AB177" i="66"/>
  <c r="AA177" i="66"/>
  <c r="Z177" i="66"/>
  <c r="Y177" i="66"/>
  <c r="X177" i="66"/>
  <c r="W177" i="66"/>
  <c r="AL176" i="66"/>
  <c r="AB176" i="66"/>
  <c r="AA176" i="66"/>
  <c r="Z176" i="66"/>
  <c r="Y176" i="66"/>
  <c r="X176" i="66"/>
  <c r="W176" i="66"/>
  <c r="S176" i="66"/>
  <c r="AL175" i="66"/>
  <c r="AB175" i="66"/>
  <c r="AA175" i="66"/>
  <c r="Z175" i="66"/>
  <c r="Y175" i="66"/>
  <c r="X175" i="66"/>
  <c r="W175" i="66"/>
  <c r="AL174" i="66"/>
  <c r="AB174" i="66"/>
  <c r="AA174" i="66"/>
  <c r="Z174" i="66"/>
  <c r="Y174" i="66"/>
  <c r="X174" i="66"/>
  <c r="W174" i="66"/>
  <c r="AL173" i="66"/>
  <c r="AB173" i="66"/>
  <c r="AA173" i="66"/>
  <c r="Z173" i="66"/>
  <c r="Y173" i="66"/>
  <c r="X173" i="66"/>
  <c r="W173" i="66"/>
  <c r="AL172" i="66"/>
  <c r="AB172" i="66"/>
  <c r="AA172" i="66"/>
  <c r="Z172" i="66"/>
  <c r="Y172" i="66"/>
  <c r="X172" i="66"/>
  <c r="W172" i="66"/>
  <c r="AD172" i="66" s="1"/>
  <c r="H171" i="66"/>
  <c r="N179" i="66" s="1"/>
  <c r="G171" i="66"/>
  <c r="N178" i="66" s="1"/>
  <c r="F171" i="66"/>
  <c r="N176" i="66" s="1"/>
  <c r="AL163" i="66"/>
  <c r="AL162" i="66"/>
  <c r="AL161" i="66"/>
  <c r="AL160" i="66"/>
  <c r="AL159" i="66"/>
  <c r="W159" i="66"/>
  <c r="S159" i="66"/>
  <c r="AL158" i="66"/>
  <c r="AB158" i="66"/>
  <c r="AA158" i="66"/>
  <c r="Z158" i="66"/>
  <c r="Y158" i="66"/>
  <c r="X158" i="66"/>
  <c r="W158" i="66"/>
  <c r="AL157" i="66"/>
  <c r="AB157" i="66"/>
  <c r="AA157" i="66"/>
  <c r="Z157" i="66"/>
  <c r="Y157" i="66"/>
  <c r="X157" i="66"/>
  <c r="W157" i="66"/>
  <c r="S157" i="66"/>
  <c r="AL156" i="66"/>
  <c r="AB156" i="66"/>
  <c r="AA156" i="66"/>
  <c r="Z156" i="66"/>
  <c r="Y156" i="66"/>
  <c r="X156" i="66"/>
  <c r="W156" i="66"/>
  <c r="S156" i="66"/>
  <c r="AL155" i="66"/>
  <c r="AB155" i="66"/>
  <c r="AA155" i="66"/>
  <c r="Z155" i="66"/>
  <c r="Y155" i="66"/>
  <c r="X155" i="66"/>
  <c r="W155" i="66"/>
  <c r="S155" i="66"/>
  <c r="AL154" i="66"/>
  <c r="AB154" i="66"/>
  <c r="AA154" i="66"/>
  <c r="Z154" i="66"/>
  <c r="Y154" i="66"/>
  <c r="X154" i="66"/>
  <c r="W154" i="66"/>
  <c r="AL153" i="66"/>
  <c r="AB153" i="66"/>
  <c r="AA153" i="66"/>
  <c r="Z153" i="66"/>
  <c r="Y153" i="66"/>
  <c r="X153" i="66"/>
  <c r="W153" i="66"/>
  <c r="S153" i="66"/>
  <c r="P153" i="66"/>
  <c r="AL152" i="66"/>
  <c r="AB152" i="66"/>
  <c r="AA152" i="66"/>
  <c r="Z152" i="66"/>
  <c r="Y152" i="66"/>
  <c r="X152" i="66"/>
  <c r="W152" i="66"/>
  <c r="AL151" i="66"/>
  <c r="AB151" i="66"/>
  <c r="AA151" i="66"/>
  <c r="Z151" i="66"/>
  <c r="Y151" i="66"/>
  <c r="X151" i="66"/>
  <c r="W151" i="66"/>
  <c r="AL150" i="66"/>
  <c r="AB150" i="66"/>
  <c r="AA150" i="66"/>
  <c r="Z150" i="66"/>
  <c r="Y150" i="66"/>
  <c r="X150" i="66"/>
  <c r="W150" i="66"/>
  <c r="AL149" i="66"/>
  <c r="AB149" i="66"/>
  <c r="AA149" i="66"/>
  <c r="Z149" i="66"/>
  <c r="Y149" i="66"/>
  <c r="X149" i="66"/>
  <c r="W149" i="66"/>
  <c r="AD149" i="66" s="1"/>
  <c r="H148" i="66"/>
  <c r="N156" i="66" s="1"/>
  <c r="G148" i="66"/>
  <c r="N155" i="66" s="1"/>
  <c r="F148" i="66"/>
  <c r="N153" i="66" s="1"/>
  <c r="AL140" i="66"/>
  <c r="AL139" i="66"/>
  <c r="AL138" i="66"/>
  <c r="AL137" i="66"/>
  <c r="AL136" i="66"/>
  <c r="W136" i="66"/>
  <c r="S136" i="66"/>
  <c r="AL135" i="66"/>
  <c r="AB135" i="66"/>
  <c r="AA135" i="66"/>
  <c r="Z135" i="66"/>
  <c r="Y135" i="66"/>
  <c r="X135" i="66"/>
  <c r="W135" i="66"/>
  <c r="AL134" i="66"/>
  <c r="AB134" i="66"/>
  <c r="AA134" i="66"/>
  <c r="Z134" i="66"/>
  <c r="Y134" i="66"/>
  <c r="X134" i="66"/>
  <c r="W134" i="66"/>
  <c r="S134" i="66"/>
  <c r="AL133" i="66"/>
  <c r="AB133" i="66"/>
  <c r="AA133" i="66"/>
  <c r="Z133" i="66"/>
  <c r="Y133" i="66"/>
  <c r="X133" i="66"/>
  <c r="W133" i="66"/>
  <c r="S133" i="66"/>
  <c r="AL132" i="66"/>
  <c r="AB132" i="66"/>
  <c r="AA132" i="66"/>
  <c r="Z132" i="66"/>
  <c r="Y132" i="66"/>
  <c r="X132" i="66"/>
  <c r="W132" i="66"/>
  <c r="S132" i="66"/>
  <c r="AL131" i="66"/>
  <c r="AB131" i="66"/>
  <c r="AA131" i="66"/>
  <c r="Z131" i="66"/>
  <c r="Y131" i="66"/>
  <c r="X131" i="66"/>
  <c r="W131" i="66"/>
  <c r="AL130" i="66"/>
  <c r="AB130" i="66"/>
  <c r="AA130" i="66"/>
  <c r="Z130" i="66"/>
  <c r="Y130" i="66"/>
  <c r="X130" i="66"/>
  <c r="W130" i="66"/>
  <c r="S130" i="66"/>
  <c r="AL129" i="66"/>
  <c r="AB129" i="66"/>
  <c r="AA129" i="66"/>
  <c r="Z129" i="66"/>
  <c r="Y129" i="66"/>
  <c r="X129" i="66"/>
  <c r="W129" i="66"/>
  <c r="AA128" i="66"/>
  <c r="Z128" i="66"/>
  <c r="Y128" i="66"/>
  <c r="G128" i="66" s="1"/>
  <c r="AL128" i="66" s="1"/>
  <c r="J128" i="66" s="1"/>
  <c r="X128" i="66"/>
  <c r="W128" i="66"/>
  <c r="AA127" i="66"/>
  <c r="H127" i="66" s="1"/>
  <c r="Z127" i="66"/>
  <c r="Y127" i="66"/>
  <c r="G127" i="66" s="1"/>
  <c r="AL127" i="66" s="1"/>
  <c r="J127" i="66" s="1"/>
  <c r="X127" i="66"/>
  <c r="W127" i="66"/>
  <c r="AA126" i="66"/>
  <c r="H126" i="66" s="1"/>
  <c r="Z126" i="66"/>
  <c r="Y126" i="66"/>
  <c r="G126" i="66" s="1"/>
  <c r="AL126" i="66" s="1"/>
  <c r="J126" i="66" s="1"/>
  <c r="X126" i="66"/>
  <c r="W126" i="66"/>
  <c r="AD126" i="66" s="1"/>
  <c r="AL117" i="66"/>
  <c r="AL116" i="66"/>
  <c r="AL115" i="66"/>
  <c r="AL114" i="66"/>
  <c r="AL113" i="66"/>
  <c r="W113" i="66"/>
  <c r="S113" i="66" s="1"/>
  <c r="AL112" i="66"/>
  <c r="AB112" i="66"/>
  <c r="AA112" i="66"/>
  <c r="Z112" i="66"/>
  <c r="Y112" i="66"/>
  <c r="X112" i="66"/>
  <c r="W112" i="66"/>
  <c r="AL111" i="66"/>
  <c r="AB111" i="66"/>
  <c r="AA111" i="66"/>
  <c r="Z111" i="66"/>
  <c r="Y111" i="66"/>
  <c r="X111" i="66"/>
  <c r="W111" i="66"/>
  <c r="S111" i="66"/>
  <c r="AL110" i="66"/>
  <c r="AB110" i="66"/>
  <c r="AA110" i="66"/>
  <c r="Z110" i="66"/>
  <c r="Y110" i="66"/>
  <c r="X110" i="66"/>
  <c r="W110" i="66"/>
  <c r="S110" i="66"/>
  <c r="AL109" i="66"/>
  <c r="AB109" i="66"/>
  <c r="AA109" i="66"/>
  <c r="Z109" i="66"/>
  <c r="Y109" i="66"/>
  <c r="X109" i="66"/>
  <c r="W109" i="66"/>
  <c r="S109" i="66"/>
  <c r="AL108" i="66"/>
  <c r="AB108" i="66"/>
  <c r="AA108" i="66"/>
  <c r="Z108" i="66"/>
  <c r="Y108" i="66"/>
  <c r="X108" i="66"/>
  <c r="W108" i="66"/>
  <c r="AL107" i="66"/>
  <c r="AB107" i="66"/>
  <c r="AA107" i="66"/>
  <c r="Z107" i="66"/>
  <c r="Y107" i="66"/>
  <c r="X107" i="66"/>
  <c r="W107" i="66"/>
  <c r="S107" i="66"/>
  <c r="AL106" i="66"/>
  <c r="AB106" i="66"/>
  <c r="AA106" i="66"/>
  <c r="Z106" i="66"/>
  <c r="Y106" i="66"/>
  <c r="X106" i="66"/>
  <c r="W106" i="66"/>
  <c r="AA105" i="66"/>
  <c r="Z105" i="66"/>
  <c r="Y105" i="66"/>
  <c r="X105" i="66"/>
  <c r="W105" i="66"/>
  <c r="AL105" i="66" s="1"/>
  <c r="AA104" i="66"/>
  <c r="Z104" i="66"/>
  <c r="Y104" i="66"/>
  <c r="X104" i="66"/>
  <c r="W104" i="66"/>
  <c r="AA103" i="66"/>
  <c r="Z103" i="66"/>
  <c r="Y103" i="66"/>
  <c r="X103" i="66"/>
  <c r="W103" i="66"/>
  <c r="AL103" i="66" s="1"/>
  <c r="X174" i="38"/>
  <c r="U174" i="38"/>
  <c r="R174" i="38"/>
  <c r="D174" i="38"/>
  <c r="X173" i="38"/>
  <c r="U173" i="38"/>
  <c r="R173" i="38"/>
  <c r="D173" i="38"/>
  <c r="X172" i="38"/>
  <c r="U172" i="38"/>
  <c r="R172" i="38"/>
  <c r="D172" i="38"/>
  <c r="X171" i="38"/>
  <c r="U171" i="38"/>
  <c r="R171" i="38"/>
  <c r="D171" i="38"/>
  <c r="X170" i="38"/>
  <c r="U170" i="38"/>
  <c r="R170" i="38"/>
  <c r="D170" i="38"/>
  <c r="X169" i="38"/>
  <c r="U169" i="38"/>
  <c r="R169" i="38"/>
  <c r="D169" i="38"/>
  <c r="X168" i="38"/>
  <c r="U168" i="38"/>
  <c r="R168" i="38"/>
  <c r="D168" i="38"/>
  <c r="X167" i="38"/>
  <c r="U167" i="38"/>
  <c r="R167" i="38"/>
  <c r="D167" i="38"/>
  <c r="X166" i="38"/>
  <c r="U166" i="38"/>
  <c r="R166" i="38"/>
  <c r="D166" i="38"/>
  <c r="X165" i="38"/>
  <c r="U165" i="38"/>
  <c r="R165" i="38"/>
  <c r="D165" i="38"/>
  <c r="X164" i="38"/>
  <c r="U164" i="38"/>
  <c r="R164" i="38"/>
  <c r="D164" i="38"/>
  <c r="X163" i="38"/>
  <c r="U163" i="38"/>
  <c r="R163" i="38"/>
  <c r="D163" i="38"/>
  <c r="X162" i="38"/>
  <c r="U162" i="38"/>
  <c r="R162" i="38"/>
  <c r="D162" i="38"/>
  <c r="X161" i="38"/>
  <c r="U161" i="38"/>
  <c r="R161" i="38"/>
  <c r="D161" i="38"/>
  <c r="X160" i="38"/>
  <c r="U160" i="38"/>
  <c r="R160" i="38"/>
  <c r="D160" i="38"/>
  <c r="X159" i="38"/>
  <c r="U159" i="38"/>
  <c r="R159" i="38"/>
  <c r="D159" i="38"/>
  <c r="X158" i="38"/>
  <c r="U158" i="38"/>
  <c r="R158" i="38"/>
  <c r="D158" i="38"/>
  <c r="X157" i="38"/>
  <c r="U157" i="38"/>
  <c r="R157" i="38"/>
  <c r="D157" i="38"/>
  <c r="X156" i="38"/>
  <c r="U156" i="38"/>
  <c r="R156" i="38"/>
  <c r="D156" i="38"/>
  <c r="X155" i="38"/>
  <c r="U155" i="38"/>
  <c r="R155" i="38"/>
  <c r="D155" i="38"/>
  <c r="X154" i="38"/>
  <c r="U154" i="38"/>
  <c r="R154" i="38"/>
  <c r="D154" i="38"/>
  <c r="X153" i="38"/>
  <c r="U153" i="38"/>
  <c r="R153" i="38"/>
  <c r="D153" i="38"/>
  <c r="X152" i="38"/>
  <c r="U152" i="38"/>
  <c r="R152" i="38"/>
  <c r="D152" i="38"/>
  <c r="X151" i="38"/>
  <c r="U151" i="38"/>
  <c r="R151" i="38"/>
  <c r="D151" i="38"/>
  <c r="X150" i="38"/>
  <c r="U150" i="38"/>
  <c r="R150" i="38"/>
  <c r="D150" i="38"/>
  <c r="X149" i="38"/>
  <c r="U149" i="38"/>
  <c r="R149" i="38"/>
  <c r="D149" i="38"/>
  <c r="Z116" i="38"/>
  <c r="U116" i="38"/>
  <c r="T116" i="38"/>
  <c r="N116" i="38"/>
  <c r="Z115" i="38"/>
  <c r="U115" i="38"/>
  <c r="T115" i="38"/>
  <c r="N115" i="38"/>
  <c r="Z114" i="38"/>
  <c r="U114" i="38"/>
  <c r="T114" i="38"/>
  <c r="N114" i="38"/>
  <c r="Z113" i="38"/>
  <c r="U113" i="38"/>
  <c r="T113" i="38"/>
  <c r="N113" i="38"/>
  <c r="Z112" i="38"/>
  <c r="U112" i="38"/>
  <c r="T112" i="38"/>
  <c r="N112" i="38"/>
  <c r="Z111" i="38"/>
  <c r="U111" i="38"/>
  <c r="T111" i="38"/>
  <c r="N111" i="38"/>
  <c r="Z110" i="38"/>
  <c r="U110" i="38"/>
  <c r="T110" i="38"/>
  <c r="N110" i="38"/>
  <c r="Z109" i="38"/>
  <c r="U109" i="38"/>
  <c r="T109" i="38"/>
  <c r="N109" i="38"/>
  <c r="Z108" i="38"/>
  <c r="U108" i="38"/>
  <c r="T108" i="38"/>
  <c r="N108" i="38"/>
  <c r="Z107" i="38"/>
  <c r="U107" i="38"/>
  <c r="T107" i="38"/>
  <c r="N107" i="38"/>
  <c r="Z106" i="38"/>
  <c r="U106" i="38"/>
  <c r="T106" i="38"/>
  <c r="N106" i="38"/>
  <c r="Z105" i="38"/>
  <c r="U105" i="38"/>
  <c r="T105" i="38"/>
  <c r="N105" i="38"/>
  <c r="Z104" i="38"/>
  <c r="U104" i="38"/>
  <c r="T104" i="38"/>
  <c r="N104" i="38"/>
  <c r="Z103" i="38"/>
  <c r="U103" i="38"/>
  <c r="T103" i="38"/>
  <c r="N103" i="38"/>
  <c r="Z102" i="38"/>
  <c r="U102" i="38"/>
  <c r="T102" i="38"/>
  <c r="N102" i="38"/>
  <c r="Z101" i="38"/>
  <c r="U101" i="38"/>
  <c r="T101" i="38"/>
  <c r="N101" i="38"/>
  <c r="Z100" i="38"/>
  <c r="U100" i="38"/>
  <c r="T100" i="38"/>
  <c r="N100" i="38"/>
  <c r="Z99" i="38"/>
  <c r="U99" i="38"/>
  <c r="T99" i="38"/>
  <c r="N99" i="38"/>
  <c r="Z98" i="38"/>
  <c r="U98" i="38"/>
  <c r="T98" i="38"/>
  <c r="N98" i="38"/>
  <c r="Z97" i="38"/>
  <c r="U97" i="38"/>
  <c r="T97" i="38"/>
  <c r="N97" i="38"/>
  <c r="Z96" i="38"/>
  <c r="U96" i="38"/>
  <c r="T96" i="38"/>
  <c r="N96" i="38"/>
  <c r="Z95" i="38"/>
  <c r="U95" i="38"/>
  <c r="T95" i="38"/>
  <c r="N95" i="38"/>
  <c r="Z94" i="38"/>
  <c r="U94" i="38"/>
  <c r="T94" i="38"/>
  <c r="N94" i="38"/>
  <c r="Z93" i="38"/>
  <c r="U93" i="38"/>
  <c r="T93" i="38"/>
  <c r="N93" i="38"/>
  <c r="Z92" i="38"/>
  <c r="U92" i="38"/>
  <c r="T92" i="38"/>
  <c r="N92" i="38"/>
  <c r="Z91" i="38"/>
  <c r="U91" i="38"/>
  <c r="T91" i="38"/>
  <c r="N91" i="38"/>
  <c r="Q251" i="66" l="1"/>
  <c r="Q159" i="66"/>
  <c r="Q274" i="66"/>
  <c r="Q182" i="66"/>
  <c r="H302" i="66"/>
  <c r="H118" i="66"/>
  <c r="Q270" i="66"/>
  <c r="H210" i="66"/>
  <c r="H233" i="66"/>
  <c r="H279" i="66"/>
  <c r="Q247" i="66"/>
  <c r="H187" i="66"/>
  <c r="Q155" i="66"/>
  <c r="Q293" i="66"/>
  <c r="H256" i="66"/>
  <c r="Q224" i="66"/>
  <c r="H164" i="66"/>
  <c r="P291" i="66"/>
  <c r="P268" i="66"/>
  <c r="F817" i="43"/>
  <c r="P107" i="66"/>
  <c r="I164" i="66"/>
  <c r="X168" i="66" a="1"/>
  <c r="X168" i="66" s="1"/>
  <c r="I210" i="66"/>
  <c r="Z123" i="66" a="1"/>
  <c r="Z123" i="66" s="1"/>
  <c r="Z146" i="66" a="1"/>
  <c r="Z146" i="66" s="1"/>
  <c r="Z100" i="66" a="1"/>
  <c r="Z100" i="66" s="1"/>
  <c r="I256" i="66"/>
  <c r="I233" i="66"/>
  <c r="X214" i="66" a="1"/>
  <c r="X214" i="66" s="1"/>
  <c r="Z261" i="66" a="1"/>
  <c r="Z261" i="66" s="1"/>
  <c r="W100" i="66" a="1"/>
  <c r="W100" i="66" s="1"/>
  <c r="Z192" i="66" a="1"/>
  <c r="Z192" i="66" s="1"/>
  <c r="X260" i="66" a="1"/>
  <c r="X260" i="66" s="1"/>
  <c r="I118" i="66"/>
  <c r="I187" i="66"/>
  <c r="Z169" i="66" a="1"/>
  <c r="Z169" i="66" s="1"/>
  <c r="W169" i="66" a="1"/>
  <c r="W169" i="66" s="1"/>
  <c r="X237" i="66" a="1"/>
  <c r="X237" i="66" s="1"/>
  <c r="Z237" i="66" a="1"/>
  <c r="Z237" i="66" s="1"/>
  <c r="W284" i="66" a="1"/>
  <c r="W284" i="66" s="1"/>
  <c r="P25" i="66"/>
  <c r="X145" i="66" a="1"/>
  <c r="X145" i="66" s="1"/>
  <c r="W192" i="66" a="1"/>
  <c r="W192" i="66" s="1"/>
  <c r="X215" i="66" a="1"/>
  <c r="X215" i="66" s="1"/>
  <c r="Z215" i="66" a="1"/>
  <c r="Z215" i="66" s="1"/>
  <c r="X261" i="66" a="1"/>
  <c r="X261" i="66" s="1"/>
  <c r="Z284" i="66" a="1"/>
  <c r="Z284" i="66" s="1"/>
  <c r="I279" i="66"/>
  <c r="W146" i="66" a="1"/>
  <c r="W146" i="66" s="1"/>
  <c r="W214" i="66" a="1"/>
  <c r="W214" i="66" s="1"/>
  <c r="W238" i="66" a="1"/>
  <c r="W238" i="66" s="1"/>
  <c r="Z238" i="66" a="1"/>
  <c r="Z238" i="66" s="1"/>
  <c r="I302" i="66"/>
  <c r="Q228" i="66"/>
  <c r="J141" i="66"/>
  <c r="G187" i="66"/>
  <c r="G210" i="66"/>
  <c r="X191" i="66" a="1"/>
  <c r="X191" i="66" s="1"/>
  <c r="Z191" i="66" a="1"/>
  <c r="Z191" i="66" s="1"/>
  <c r="Q205" i="66"/>
  <c r="Z214" i="66" a="1"/>
  <c r="Z214" i="66" s="1"/>
  <c r="X283" i="66" a="1"/>
  <c r="X283" i="66" s="1"/>
  <c r="X284" i="66" a="1"/>
  <c r="X284" i="66" s="1"/>
  <c r="Z283" i="66" a="1"/>
  <c r="Z283" i="66" s="1"/>
  <c r="Q297" i="66"/>
  <c r="X123" i="66" a="1"/>
  <c r="X123" i="66" s="1"/>
  <c r="X122" i="66" s="1" a="1"/>
  <c r="X122" i="66" s="1"/>
  <c r="G125" i="66" s="1"/>
  <c r="N132" i="66" s="1"/>
  <c r="X169" i="66" a="1"/>
  <c r="X169" i="66" s="1"/>
  <c r="W215" i="66" a="1"/>
  <c r="W215" i="66" s="1"/>
  <c r="W123" i="66" a="1"/>
  <c r="W123" i="66" s="1"/>
  <c r="W122" i="66" s="1" a="1"/>
  <c r="W122" i="66" s="1"/>
  <c r="AB128" i="66" s="1"/>
  <c r="Z122" i="66" a="1"/>
  <c r="Z122" i="66" s="1"/>
  <c r="H125" i="66" s="1"/>
  <c r="N133" i="66" s="1"/>
  <c r="X146" i="66" a="1"/>
  <c r="X146" i="66" s="1"/>
  <c r="Z145" i="66" a="1"/>
  <c r="Z145" i="66" s="1"/>
  <c r="Z168" i="66" a="1"/>
  <c r="Z168" i="66" s="1"/>
  <c r="X238" i="66" a="1"/>
  <c r="X238" i="66" s="1"/>
  <c r="W261" i="66" a="1"/>
  <c r="W261" i="66" s="1"/>
  <c r="Z260" i="66" a="1"/>
  <c r="Z260" i="66" s="1"/>
  <c r="AD288" i="66"/>
  <c r="AD289" i="66" s="1"/>
  <c r="AD290" i="66" s="1"/>
  <c r="AD291" i="66" s="1"/>
  <c r="AD292" i="66" s="1"/>
  <c r="AD293" i="66" s="1"/>
  <c r="AD294" i="66" s="1"/>
  <c r="AD295" i="66" s="1"/>
  <c r="AD296" i="66" s="1"/>
  <c r="AD297" i="66" s="1"/>
  <c r="AD298" i="66" s="1"/>
  <c r="AD299" i="66" s="1"/>
  <c r="AD300" i="66" s="1"/>
  <c r="AD301" i="66" s="1"/>
  <c r="W283" i="66" a="1"/>
  <c r="W283" i="66" s="1"/>
  <c r="AD265" i="66"/>
  <c r="AD266" i="66" s="1"/>
  <c r="AD267" i="66" s="1"/>
  <c r="AD268" i="66" s="1"/>
  <c r="AD269" i="66" s="1"/>
  <c r="AD270" i="66" s="1"/>
  <c r="AD271" i="66" s="1"/>
  <c r="AD272" i="66" s="1"/>
  <c r="AD273" i="66" s="1"/>
  <c r="AD274" i="66" s="1"/>
  <c r="AD275" i="66" s="1"/>
  <c r="AD276" i="66" s="1"/>
  <c r="AD277" i="66" s="1"/>
  <c r="AD278" i="66" s="1"/>
  <c r="W260" i="66" a="1"/>
  <c r="W260" i="66" s="1"/>
  <c r="AD242" i="66"/>
  <c r="AD243" i="66" s="1"/>
  <c r="AD244" i="66" s="1"/>
  <c r="AD245" i="66" s="1"/>
  <c r="AD246" i="66" s="1"/>
  <c r="AD247" i="66" s="1"/>
  <c r="AD248" i="66" s="1"/>
  <c r="AD249" i="66" s="1"/>
  <c r="AD250" i="66" s="1"/>
  <c r="AD251" i="66" s="1"/>
  <c r="AD252" i="66" s="1"/>
  <c r="AD253" i="66" s="1"/>
  <c r="AD254" i="66" s="1"/>
  <c r="AD255" i="66" s="1"/>
  <c r="W237" i="66" a="1"/>
  <c r="W237" i="66" s="1"/>
  <c r="AD196" i="66"/>
  <c r="AD197" i="66" s="1"/>
  <c r="AD198" i="66" s="1"/>
  <c r="AD199" i="66" s="1"/>
  <c r="AD200" i="66" s="1"/>
  <c r="AD201" i="66" s="1"/>
  <c r="AD202" i="66" s="1"/>
  <c r="AD203" i="66" s="1"/>
  <c r="AD204" i="66" s="1"/>
  <c r="AD205" i="66" s="1"/>
  <c r="AD206" i="66" s="1"/>
  <c r="AD207" i="66" s="1"/>
  <c r="AD208" i="66" s="1"/>
  <c r="AD209" i="66" s="1"/>
  <c r="W191" i="66" a="1"/>
  <c r="W191" i="66" s="1"/>
  <c r="X192" i="66" a="1"/>
  <c r="X192" i="66" s="1"/>
  <c r="AD173" i="66"/>
  <c r="AD174" i="66" s="1"/>
  <c r="AD175" i="66" s="1"/>
  <c r="AD176" i="66" s="1"/>
  <c r="AD177" i="66" s="1"/>
  <c r="AD178" i="66" s="1"/>
  <c r="AD179" i="66" s="1"/>
  <c r="AD180" i="66" s="1"/>
  <c r="AD181" i="66" s="1"/>
  <c r="AD182" i="66" s="1"/>
  <c r="AD183" i="66" s="1"/>
  <c r="AD184" i="66" s="1"/>
  <c r="AD185" i="66" s="1"/>
  <c r="AD186" i="66" s="1"/>
  <c r="W168" i="66" a="1"/>
  <c r="W168" i="66" s="1"/>
  <c r="AD150" i="66"/>
  <c r="AD151" i="66" s="1"/>
  <c r="AD152" i="66" s="1"/>
  <c r="AD153" i="66" s="1"/>
  <c r="AD154" i="66" s="1"/>
  <c r="AD155" i="66" s="1"/>
  <c r="AD156" i="66" s="1"/>
  <c r="AD157" i="66" s="1"/>
  <c r="AD158" i="66" s="1"/>
  <c r="AD159" i="66" s="1"/>
  <c r="AD160" i="66" s="1"/>
  <c r="AD161" i="66" s="1"/>
  <c r="AD162" i="66" s="1"/>
  <c r="AD163" i="66" s="1"/>
  <c r="W145" i="66" a="1"/>
  <c r="W145" i="66" s="1"/>
  <c r="AD127" i="66"/>
  <c r="AD128" i="66" s="1"/>
  <c r="AD129" i="66" s="1"/>
  <c r="AD130" i="66" s="1"/>
  <c r="AD131" i="66" s="1"/>
  <c r="AD132" i="66" s="1"/>
  <c r="AD133" i="66" s="1"/>
  <c r="AD134" i="66" s="1"/>
  <c r="AD135" i="66" s="1"/>
  <c r="AD136" i="66" s="1"/>
  <c r="AD137" i="66" s="1"/>
  <c r="AD138" i="66" s="1"/>
  <c r="AD139" i="66" s="1"/>
  <c r="AD140" i="66" s="1"/>
  <c r="AL104" i="66"/>
  <c r="Z99" i="66" a="1"/>
  <c r="Z99" i="66" s="1"/>
  <c r="H102" i="66" s="1"/>
  <c r="N110" i="66" s="1"/>
  <c r="W99" i="66" a="1"/>
  <c r="W99" i="66" s="1"/>
  <c r="F102" i="66" s="1"/>
  <c r="N107" i="66" s="1"/>
  <c r="X100" i="66" a="1"/>
  <c r="X100" i="66" s="1"/>
  <c r="X99" i="66" s="1" a="1"/>
  <c r="X99" i="66" s="1"/>
  <c r="G102" i="66" s="1"/>
  <c r="N109" i="66" s="1"/>
  <c r="AD103" i="66"/>
  <c r="Q295" i="66" l="1"/>
  <c r="Q157" i="66"/>
  <c r="Q272" i="66"/>
  <c r="Q226" i="66"/>
  <c r="Q180" i="66"/>
  <c r="Q249" i="66"/>
  <c r="Q203" i="66"/>
  <c r="Q178" i="66"/>
  <c r="Q201" i="66"/>
  <c r="Q179" i="66"/>
  <c r="Q271" i="66"/>
  <c r="Q202" i="66"/>
  <c r="Q156" i="66"/>
  <c r="Q248" i="66"/>
  <c r="Q225" i="66"/>
  <c r="Q294" i="66"/>
  <c r="F818" i="43"/>
  <c r="G141" i="66"/>
  <c r="F125" i="66"/>
  <c r="N130" i="66" s="1"/>
  <c r="AB127" i="66"/>
  <c r="AB126" i="66"/>
  <c r="AD104" i="66"/>
  <c r="AD105" i="66" s="1"/>
  <c r="AD106" i="66" s="1"/>
  <c r="AD107" i="66" s="1"/>
  <c r="AD108" i="66" s="1"/>
  <c r="AD109" i="66" s="1"/>
  <c r="AD110" i="66" s="1"/>
  <c r="AD111" i="66" s="1"/>
  <c r="AD112" i="66" s="1"/>
  <c r="AD113" i="66" s="1"/>
  <c r="AD114" i="66" s="1"/>
  <c r="AD115" i="66" s="1"/>
  <c r="AD116" i="66" s="1"/>
  <c r="AD117" i="66" s="1"/>
  <c r="AB104" i="66"/>
  <c r="AB105" i="66"/>
  <c r="AB103" i="66"/>
  <c r="Q109" i="66"/>
  <c r="Q132" i="66" l="1"/>
  <c r="F819" i="43"/>
  <c r="F820" i="43" l="1"/>
  <c r="F821" i="43" l="1"/>
  <c r="F822" i="43" l="1"/>
  <c r="H141" i="66"/>
  <c r="Q133" i="66" l="1"/>
  <c r="F823" i="43"/>
  <c r="Q111" i="66"/>
  <c r="Q113" i="66"/>
  <c r="Q110" i="66"/>
  <c r="F824" i="43" l="1"/>
  <c r="F825" i="43" l="1"/>
  <c r="F826" i="43" l="1"/>
  <c r="AL94" i="66"/>
  <c r="AL93" i="66"/>
  <c r="AL92" i="66"/>
  <c r="AL91" i="66"/>
  <c r="AL89" i="66"/>
  <c r="AL88" i="66"/>
  <c r="AL87" i="66"/>
  <c r="AL86" i="66"/>
  <c r="AL85" i="66"/>
  <c r="AL84" i="66"/>
  <c r="AL83" i="66"/>
  <c r="L23" i="66"/>
  <c r="K23" i="66"/>
  <c r="L22" i="66"/>
  <c r="K22" i="66"/>
  <c r="L21" i="66"/>
  <c r="K21" i="66"/>
  <c r="J23" i="66"/>
  <c r="J22" i="66"/>
  <c r="J21" i="66"/>
  <c r="L36" i="66" l="1"/>
  <c r="K36" i="66"/>
  <c r="Q31" i="66" s="1"/>
  <c r="J36" i="66"/>
  <c r="G36" i="66" s="1"/>
  <c r="Q27" i="66" s="1"/>
  <c r="F827" i="43"/>
  <c r="Q28" i="66"/>
  <c r="I36" i="66" l="1"/>
  <c r="Q29" i="66" s="1"/>
  <c r="F828" i="43"/>
  <c r="F829" i="43" l="1"/>
  <c r="F830" i="43" l="1"/>
  <c r="F831" i="43" l="1"/>
  <c r="F832" i="43" l="1"/>
  <c r="F833" i="43" l="1"/>
  <c r="F834" i="43" l="1"/>
  <c r="F835" i="43" l="1"/>
  <c r="G20" i="66"/>
  <c r="N27" i="66" s="1"/>
  <c r="H20" i="66"/>
  <c r="N28" i="66" s="1"/>
  <c r="F20" i="66"/>
  <c r="N25" i="66" s="1"/>
  <c r="F21" i="50"/>
  <c r="F23" i="50"/>
  <c r="A95" i="52"/>
  <c r="D20" i="10"/>
  <c r="V4" i="66"/>
  <c r="X4" i="66" s="1"/>
  <c r="Z4" i="66" s="1"/>
  <c r="AB4" i="66" s="1"/>
  <c r="P84" i="66"/>
  <c r="C97" i="66"/>
  <c r="AB89" i="66"/>
  <c r="AA89" i="66"/>
  <c r="Z89" i="66"/>
  <c r="Y89" i="66"/>
  <c r="X89" i="66"/>
  <c r="W89" i="66"/>
  <c r="AB88" i="66"/>
  <c r="AA88" i="66"/>
  <c r="Z88" i="66"/>
  <c r="Y88" i="66"/>
  <c r="X88" i="66"/>
  <c r="W88" i="66"/>
  <c r="AB87" i="66"/>
  <c r="AA87" i="66"/>
  <c r="Z87" i="66"/>
  <c r="Y87" i="66"/>
  <c r="X87" i="66"/>
  <c r="W87" i="66"/>
  <c r="AB86" i="66"/>
  <c r="AA86" i="66"/>
  <c r="Z86" i="66"/>
  <c r="Y86" i="66"/>
  <c r="X86" i="66"/>
  <c r="W86" i="66"/>
  <c r="AB85" i="66"/>
  <c r="AA85" i="66"/>
  <c r="Z85" i="66"/>
  <c r="Y85" i="66"/>
  <c r="X85" i="66"/>
  <c r="W85" i="66"/>
  <c r="AB84" i="66"/>
  <c r="AA84" i="66"/>
  <c r="Z84" i="66"/>
  <c r="Y84" i="66"/>
  <c r="X84" i="66"/>
  <c r="W84" i="66"/>
  <c r="AB83" i="66"/>
  <c r="AA83" i="66"/>
  <c r="Z83" i="66"/>
  <c r="Y83" i="66"/>
  <c r="X83" i="66"/>
  <c r="W83" i="66"/>
  <c r="A74" i="66"/>
  <c r="AQ22" i="57"/>
  <c r="AQ21" i="57"/>
  <c r="AQ19" i="57"/>
  <c r="AQ20" i="57" s="1"/>
  <c r="E64" i="57"/>
  <c r="E63" i="57"/>
  <c r="E62" i="57"/>
  <c r="E61" i="57"/>
  <c r="E60" i="57"/>
  <c r="E59" i="57"/>
  <c r="E29" i="57"/>
  <c r="E28" i="57"/>
  <c r="E27" i="57"/>
  <c r="C64" i="57"/>
  <c r="C63" i="57"/>
  <c r="C62" i="57"/>
  <c r="C61" i="57"/>
  <c r="C60" i="57"/>
  <c r="C59" i="57"/>
  <c r="D97" i="66" l="1"/>
  <c r="E44" i="66" s="1"/>
  <c r="F44" i="66" a="1"/>
  <c r="F44" i="66" s="1"/>
  <c r="M44" i="66" s="1" a="1"/>
  <c r="M44" i="66" s="1"/>
  <c r="G44" i="66" a="1"/>
  <c r="G44" i="66" s="1"/>
  <c r="J44" i="66" a="1"/>
  <c r="J44" i="66" s="1"/>
  <c r="K44" i="66" a="1"/>
  <c r="K44" i="66" s="1"/>
  <c r="L44" i="66" a="1"/>
  <c r="L44" i="66" s="1"/>
  <c r="H44" i="66" a="1"/>
  <c r="H44" i="66" s="1"/>
  <c r="I44" i="66" a="1"/>
  <c r="I44" i="66" s="1"/>
  <c r="G45" i="66" a="1"/>
  <c r="G45" i="66" s="1"/>
  <c r="A97" i="66"/>
  <c r="V74" i="66"/>
  <c r="F836" i="43"/>
  <c r="AD4" i="66"/>
  <c r="C120" i="66"/>
  <c r="H45" i="66" s="1" a="1"/>
  <c r="H45" i="66" s="1"/>
  <c r="D8" i="66"/>
  <c r="M768" i="66"/>
  <c r="V97" i="66" l="1"/>
  <c r="F45" i="66" a="1"/>
  <c r="F45" i="66" s="1"/>
  <c r="M45" i="66" s="1" a="1"/>
  <c r="M45" i="66" s="1"/>
  <c r="C143" i="66"/>
  <c r="D120" i="66"/>
  <c r="E45" i="66" s="1"/>
  <c r="J45" i="66" a="1"/>
  <c r="J45" i="66" s="1"/>
  <c r="F46" i="66" a="1"/>
  <c r="F46" i="66" s="1"/>
  <c r="M46" i="66" s="1" a="1"/>
  <c r="M46" i="66" s="1"/>
  <c r="AR22" i="57"/>
  <c r="AR21" i="57"/>
  <c r="F837" i="43"/>
  <c r="AF4" i="66"/>
  <c r="A143" i="66"/>
  <c r="V120" i="66"/>
  <c r="A120" i="66"/>
  <c r="C166" i="66" l="1"/>
  <c r="J47" i="66" s="1" a="1"/>
  <c r="J47" i="66" s="1"/>
  <c r="D143" i="66"/>
  <c r="I47" i="66" a="1"/>
  <c r="I47" i="66" s="1"/>
  <c r="J46" i="66" a="1"/>
  <c r="J46" i="66" s="1"/>
  <c r="L46" i="66" a="1"/>
  <c r="L46" i="66" s="1"/>
  <c r="H46" i="66" a="1"/>
  <c r="H46" i="66" s="1"/>
  <c r="I46" i="66" a="1"/>
  <c r="I46" i="66" s="1"/>
  <c r="K46" i="66" a="1"/>
  <c r="K46" i="66" s="1"/>
  <c r="G46" i="66" a="1"/>
  <c r="G46" i="66" s="1"/>
  <c r="G47" i="66" a="1"/>
  <c r="G47" i="66" s="1"/>
  <c r="L47" i="66" a="1"/>
  <c r="L47" i="66" s="1"/>
  <c r="F838" i="43"/>
  <c r="H47" i="66" l="1" a="1"/>
  <c r="H47" i="66" s="1"/>
  <c r="E46" i="66"/>
  <c r="V143" i="66"/>
  <c r="C189" i="66"/>
  <c r="J48" i="66" s="1" a="1"/>
  <c r="J48" i="66" s="1"/>
  <c r="D166" i="66"/>
  <c r="V166" i="66" s="1"/>
  <c r="F47" i="66" a="1"/>
  <c r="F47" i="66" s="1"/>
  <c r="M47" i="66" s="1" a="1"/>
  <c r="M47" i="66" s="1"/>
  <c r="K47" i="66" a="1"/>
  <c r="K47" i="66" s="1"/>
  <c r="A166" i="66"/>
  <c r="F839" i="43"/>
  <c r="T2" i="65"/>
  <c r="I788" i="66"/>
  <c r="I787" i="66"/>
  <c r="I786" i="66"/>
  <c r="I785" i="66"/>
  <c r="I784" i="66"/>
  <c r="I783" i="66"/>
  <c r="I782" i="66"/>
  <c r="I781" i="66"/>
  <c r="I780" i="66"/>
  <c r="I779" i="66"/>
  <c r="I778" i="66"/>
  <c r="I777" i="66"/>
  <c r="I776" i="66"/>
  <c r="I775" i="66"/>
  <c r="I774" i="66"/>
  <c r="I773" i="66"/>
  <c r="I772" i="66"/>
  <c r="I771" i="66"/>
  <c r="I770" i="66"/>
  <c r="I769" i="66"/>
  <c r="I768" i="66"/>
  <c r="V8" i="66"/>
  <c r="A8" i="66"/>
  <c r="Y2" i="66"/>
  <c r="W2" i="66"/>
  <c r="G2" i="66"/>
  <c r="E2" i="66"/>
  <c r="S36" i="9" l="1"/>
  <c r="S40" i="9"/>
  <c r="S38" i="9"/>
  <c r="E47" i="66"/>
  <c r="C212" i="66"/>
  <c r="D189" i="66"/>
  <c r="A189" i="66"/>
  <c r="I49" i="66" a="1"/>
  <c r="I49" i="66" s="1"/>
  <c r="G48" i="66" a="1"/>
  <c r="G48" i="66" s="1"/>
  <c r="L48" i="66" a="1"/>
  <c r="L48" i="66" s="1"/>
  <c r="F48" i="66" a="1"/>
  <c r="F48" i="66" s="1"/>
  <c r="M48" i="66" s="1" a="1"/>
  <c r="M48" i="66" s="1"/>
  <c r="I48" i="66" a="1"/>
  <c r="I48" i="66" s="1"/>
  <c r="H49" i="66" a="1"/>
  <c r="H49" i="66" s="1"/>
  <c r="K48" i="66" a="1"/>
  <c r="K48" i="66" s="1"/>
  <c r="H48" i="66" a="1"/>
  <c r="H48" i="66" s="1"/>
  <c r="F840" i="43"/>
  <c r="O3" i="66"/>
  <c r="Q3" i="66"/>
  <c r="M3" i="66"/>
  <c r="K3" i="66"/>
  <c r="G4" i="66"/>
  <c r="G3" i="66"/>
  <c r="K49" i="57"/>
  <c r="K48" i="57"/>
  <c r="G49" i="57"/>
  <c r="G48" i="57"/>
  <c r="A19" i="57"/>
  <c r="A20" i="57"/>
  <c r="AR20" i="57" s="1"/>
  <c r="A21" i="57"/>
  <c r="A22" i="57"/>
  <c r="A24" i="57"/>
  <c r="A30" i="57"/>
  <c r="A31" i="57"/>
  <c r="A32" i="57"/>
  <c r="A33" i="57"/>
  <c r="A34" i="57"/>
  <c r="A35" i="57"/>
  <c r="A36" i="57"/>
  <c r="A37" i="57"/>
  <c r="A38" i="57"/>
  <c r="A39" i="57"/>
  <c r="A40" i="57"/>
  <c r="A41" i="57"/>
  <c r="A42" i="57"/>
  <c r="A43" i="57"/>
  <c r="A44" i="57"/>
  <c r="A45" i="57"/>
  <c r="A46" i="57"/>
  <c r="A47" i="57"/>
  <c r="A48" i="57"/>
  <c r="A49" i="57"/>
  <c r="A50" i="57"/>
  <c r="A51" i="57"/>
  <c r="A52" i="57"/>
  <c r="A53" i="57"/>
  <c r="A54" i="57"/>
  <c r="A55" i="57"/>
  <c r="A56" i="57"/>
  <c r="A57" i="57"/>
  <c r="A58" i="57"/>
  <c r="E19" i="57"/>
  <c r="G19" i="57"/>
  <c r="I19" i="57"/>
  <c r="K19" i="57"/>
  <c r="K47" i="57"/>
  <c r="I47" i="57"/>
  <c r="G47" i="57"/>
  <c r="E26" i="57"/>
  <c r="E25" i="57"/>
  <c r="E58" i="57"/>
  <c r="E57" i="57"/>
  <c r="E56" i="57"/>
  <c r="E55" i="57"/>
  <c r="E54" i="57"/>
  <c r="E53" i="57"/>
  <c r="E52" i="57"/>
  <c r="E51" i="57"/>
  <c r="E50" i="57"/>
  <c r="E49" i="57"/>
  <c r="E48" i="57"/>
  <c r="E47" i="57"/>
  <c r="E46" i="57"/>
  <c r="E45" i="57"/>
  <c r="E44" i="57"/>
  <c r="E43" i="57"/>
  <c r="E42" i="57"/>
  <c r="E41" i="57"/>
  <c r="E40" i="57"/>
  <c r="E39" i="57"/>
  <c r="E38" i="57"/>
  <c r="E37" i="57"/>
  <c r="E36" i="57"/>
  <c r="E35" i="57"/>
  <c r="E34" i="57"/>
  <c r="E33" i="57"/>
  <c r="E32" i="57"/>
  <c r="E31" i="57"/>
  <c r="E30" i="57"/>
  <c r="E24" i="57"/>
  <c r="E22" i="57"/>
  <c r="E21" i="57"/>
  <c r="E20" i="57"/>
  <c r="S49" i="57"/>
  <c r="S48" i="57"/>
  <c r="S47" i="57"/>
  <c r="R38" i="9"/>
  <c r="R40" i="9"/>
  <c r="J49" i="66" l="1" a="1"/>
  <c r="J49" i="66" s="1"/>
  <c r="V189" i="66"/>
  <c r="I4" i="66" s="1"/>
  <c r="E48" i="66"/>
  <c r="C235" i="66"/>
  <c r="G50" i="66" s="1" a="1"/>
  <c r="G50" i="66" s="1"/>
  <c r="D212" i="66"/>
  <c r="V212" i="66" s="1"/>
  <c r="A212" i="66"/>
  <c r="E49" i="66"/>
  <c r="G49" i="66" a="1"/>
  <c r="G49" i="66" s="1"/>
  <c r="K49" i="66" a="1"/>
  <c r="K49" i="66" s="1"/>
  <c r="F49" i="66" a="1"/>
  <c r="F49" i="66" s="1"/>
  <c r="M49" i="66" s="1" a="1"/>
  <c r="M49" i="66" s="1"/>
  <c r="L49" i="66" a="1"/>
  <c r="L49" i="66" s="1"/>
  <c r="W1162" i="50"/>
  <c r="W1218" i="50"/>
  <c r="W1022" i="50"/>
  <c r="W434" i="50"/>
  <c r="W602" i="50"/>
  <c r="W574" i="50"/>
  <c r="W1050" i="50"/>
  <c r="W462" i="50"/>
  <c r="W742" i="50"/>
  <c r="W938" i="50"/>
  <c r="W1134" i="50"/>
  <c r="W406" i="50"/>
  <c r="W155" i="50"/>
  <c r="W154" i="50"/>
  <c r="W715" i="50"/>
  <c r="W267" i="50"/>
  <c r="W435" i="50"/>
  <c r="W798" i="50"/>
  <c r="W603" i="50"/>
  <c r="W463" i="50"/>
  <c r="W1051" i="50"/>
  <c r="W1414" i="50"/>
  <c r="W1330" i="50"/>
  <c r="W630" i="50"/>
  <c r="W575" i="50"/>
  <c r="W939" i="50"/>
  <c r="W1135" i="50"/>
  <c r="W1358" i="50"/>
  <c r="W1386" i="50"/>
  <c r="W1274" i="50"/>
  <c r="W546" i="50"/>
  <c r="W266" i="50"/>
  <c r="W1023" i="50"/>
  <c r="W1219" i="50"/>
  <c r="W743" i="50"/>
  <c r="W826" i="50"/>
  <c r="W910" i="50"/>
  <c r="W490" i="50"/>
  <c r="W1442" i="50"/>
  <c r="W1415" i="50"/>
  <c r="W1190" i="50"/>
  <c r="W1106" i="50"/>
  <c r="W854" i="50"/>
  <c r="W518" i="50"/>
  <c r="W350" i="50"/>
  <c r="W322" i="50"/>
  <c r="W294" i="50"/>
  <c r="W210" i="50"/>
  <c r="W770" i="50"/>
  <c r="W994" i="50"/>
  <c r="W126" i="50"/>
  <c r="W407" i="50"/>
  <c r="W714" i="50"/>
  <c r="W882" i="50"/>
  <c r="W658" i="50"/>
  <c r="W1246" i="50"/>
  <c r="W966" i="50"/>
  <c r="W686" i="50"/>
  <c r="W238" i="50"/>
  <c r="W182" i="50"/>
  <c r="W1302" i="50"/>
  <c r="W378" i="50"/>
  <c r="W1078" i="50"/>
  <c r="W239" i="50"/>
  <c r="W351" i="50"/>
  <c r="W1191" i="50"/>
  <c r="W771" i="50"/>
  <c r="W295" i="50"/>
  <c r="W883" i="50"/>
  <c r="W1247" i="50"/>
  <c r="W855" i="50"/>
  <c r="W1163" i="50"/>
  <c r="W1303" i="50"/>
  <c r="W127" i="50"/>
  <c r="W379" i="50"/>
  <c r="W183" i="50"/>
  <c r="W827" i="50"/>
  <c r="W1079" i="50"/>
  <c r="W659" i="50"/>
  <c r="W911" i="50"/>
  <c r="W1331" i="50"/>
  <c r="W1275" i="50"/>
  <c r="W799" i="50"/>
  <c r="W1387" i="50"/>
  <c r="W995" i="50"/>
  <c r="W323" i="50"/>
  <c r="W1107" i="50"/>
  <c r="W491" i="50"/>
  <c r="W1359" i="50"/>
  <c r="W967" i="50"/>
  <c r="W211" i="50"/>
  <c r="W547" i="50"/>
  <c r="W519" i="50"/>
  <c r="W631" i="50"/>
  <c r="W98" i="50"/>
  <c r="Y98" i="50" s="1"/>
  <c r="W687" i="50"/>
  <c r="W1443" i="50"/>
  <c r="W99" i="50"/>
  <c r="Y99" i="50" s="1"/>
  <c r="X115" i="38"/>
  <c r="X111" i="38"/>
  <c r="X107" i="38"/>
  <c r="X103" i="38"/>
  <c r="X99" i="38"/>
  <c r="X95" i="38"/>
  <c r="X91" i="38"/>
  <c r="X106" i="38"/>
  <c r="X98" i="38"/>
  <c r="X105" i="38"/>
  <c r="X114" i="38"/>
  <c r="X97" i="38"/>
  <c r="X113" i="38"/>
  <c r="X101" i="38"/>
  <c r="X116" i="38"/>
  <c r="X112" i="38"/>
  <c r="X108" i="38"/>
  <c r="X104" i="38"/>
  <c r="X100" i="38"/>
  <c r="X96" i="38"/>
  <c r="X92" i="38"/>
  <c r="X110" i="38"/>
  <c r="X102" i="38"/>
  <c r="X94" i="38"/>
  <c r="X109" i="38"/>
  <c r="X93" i="38"/>
  <c r="AR19" i="57"/>
  <c r="F841" i="43"/>
  <c r="B218" i="52"/>
  <c r="AL12" i="60"/>
  <c r="K22" i="57"/>
  <c r="K21" i="57"/>
  <c r="I22" i="57"/>
  <c r="I21" i="57"/>
  <c r="G22" i="57"/>
  <c r="G21" i="57"/>
  <c r="X288" i="43"/>
  <c r="X289" i="43"/>
  <c r="X290" i="43"/>
  <c r="X291" i="43"/>
  <c r="X292" i="43"/>
  <c r="X293" i="43"/>
  <c r="X294" i="43"/>
  <c r="X295" i="43"/>
  <c r="X296" i="43"/>
  <c r="X297" i="43"/>
  <c r="X298" i="43"/>
  <c r="X299" i="43"/>
  <c r="X300" i="43"/>
  <c r="X301" i="43"/>
  <c r="X302" i="43"/>
  <c r="X303" i="43"/>
  <c r="X304" i="43"/>
  <c r="X305" i="43"/>
  <c r="X536" i="43"/>
  <c r="X287" i="43"/>
  <c r="G795" i="43"/>
  <c r="S17" i="57"/>
  <c r="R17" i="57"/>
  <c r="Q17" i="57"/>
  <c r="P17" i="57"/>
  <c r="O17" i="57"/>
  <c r="K17" i="57"/>
  <c r="J17" i="57"/>
  <c r="I17" i="57"/>
  <c r="H17" i="57"/>
  <c r="G17" i="57"/>
  <c r="R16" i="57"/>
  <c r="P16" i="57"/>
  <c r="O16" i="57"/>
  <c r="J16" i="57"/>
  <c r="H16" i="57"/>
  <c r="B220" i="52"/>
  <c r="B219" i="52"/>
  <c r="B217" i="52"/>
  <c r="B216" i="52"/>
  <c r="B215" i="52"/>
  <c r="B214" i="52"/>
  <c r="B213" i="52"/>
  <c r="B212" i="52"/>
  <c r="G56" i="52"/>
  <c r="B43" i="52"/>
  <c r="B42" i="52"/>
  <c r="B41" i="52"/>
  <c r="I75" i="65" s="1"/>
  <c r="B40" i="52"/>
  <c r="E35" i="65" s="1"/>
  <c r="C20" i="52"/>
  <c r="B20" i="52"/>
  <c r="C19" i="52"/>
  <c r="B19" i="52"/>
  <c r="B17" i="52"/>
  <c r="A154" i="52" s="1"/>
  <c r="A137" i="52"/>
  <c r="B11" i="52"/>
  <c r="B10" i="52"/>
  <c r="AQ12" i="60"/>
  <c r="AP12" i="60"/>
  <c r="AO12" i="60"/>
  <c r="AK12" i="60"/>
  <c r="AF12" i="60"/>
  <c r="AE12" i="60"/>
  <c r="AD12" i="60"/>
  <c r="Y12" i="60"/>
  <c r="X12" i="60"/>
  <c r="V12" i="60"/>
  <c r="U12" i="60"/>
  <c r="T12" i="60"/>
  <c r="S12" i="60"/>
  <c r="R12" i="60"/>
  <c r="Q12" i="60"/>
  <c r="P12" i="60"/>
  <c r="O12" i="60"/>
  <c r="N12" i="60"/>
  <c r="M12" i="60"/>
  <c r="L12" i="60"/>
  <c r="K12" i="60"/>
  <c r="J12" i="60"/>
  <c r="I12" i="60"/>
  <c r="H12" i="60"/>
  <c r="G12" i="60"/>
  <c r="E12" i="60"/>
  <c r="D12" i="60"/>
  <c r="X11" i="60"/>
  <c r="V11" i="60"/>
  <c r="S11" i="60"/>
  <c r="P11" i="60"/>
  <c r="M11" i="60"/>
  <c r="I11" i="60"/>
  <c r="T6" i="60"/>
  <c r="E6" i="60"/>
  <c r="C3" i="60"/>
  <c r="L289" i="62"/>
  <c r="K289" i="62"/>
  <c r="J289" i="62"/>
  <c r="I289" i="62"/>
  <c r="H289" i="62"/>
  <c r="G289" i="62"/>
  <c r="F289" i="62"/>
  <c r="E289" i="62"/>
  <c r="E27" i="62"/>
  <c r="E24" i="62"/>
  <c r="I22" i="62"/>
  <c r="H22" i="62"/>
  <c r="J21" i="62"/>
  <c r="L14" i="62"/>
  <c r="K14" i="62"/>
  <c r="J14" i="62"/>
  <c r="I14" i="62"/>
  <c r="H14" i="62"/>
  <c r="E14" i="62"/>
  <c r="E12" i="62"/>
  <c r="E11" i="62"/>
  <c r="E10" i="62"/>
  <c r="J8" i="62"/>
  <c r="C6" i="62"/>
  <c r="E2" i="62"/>
  <c r="B2" i="62"/>
  <c r="E28" i="26"/>
  <c r="C28" i="26"/>
  <c r="C26" i="26"/>
  <c r="C25" i="26"/>
  <c r="C23" i="26"/>
  <c r="E11" i="26"/>
  <c r="C11" i="26"/>
  <c r="C9" i="26"/>
  <c r="C7" i="26"/>
  <c r="B5" i="26"/>
  <c r="A1" i="26"/>
  <c r="M107" i="65"/>
  <c r="I107" i="65"/>
  <c r="M76" i="65"/>
  <c r="K76" i="65"/>
  <c r="I76" i="65"/>
  <c r="G76" i="65"/>
  <c r="M75" i="65"/>
  <c r="K75" i="65"/>
  <c r="E75" i="65"/>
  <c r="H73" i="65"/>
  <c r="D71" i="65"/>
  <c r="Q71" i="65" s="1"/>
  <c r="M47" i="65"/>
  <c r="K47" i="65"/>
  <c r="I47" i="65"/>
  <c r="G47" i="65"/>
  <c r="M46" i="65"/>
  <c r="E19" i="65" s="1"/>
  <c r="K46" i="65"/>
  <c r="E18" i="65" s="1"/>
  <c r="E46" i="65"/>
  <c r="H44" i="65"/>
  <c r="D42" i="65"/>
  <c r="Q42" i="65" s="1"/>
  <c r="F40" i="65"/>
  <c r="M34" i="65"/>
  <c r="K35" i="65" s="1"/>
  <c r="K34" i="65"/>
  <c r="I34" i="65"/>
  <c r="G34" i="65"/>
  <c r="M33" i="65"/>
  <c r="K33" i="65"/>
  <c r="F32" i="65"/>
  <c r="F31" i="65"/>
  <c r="F30" i="65"/>
  <c r="E28" i="65"/>
  <c r="E27" i="65"/>
  <c r="M26" i="65"/>
  <c r="K26" i="65"/>
  <c r="I26" i="65"/>
  <c r="G26" i="65"/>
  <c r="M25" i="65"/>
  <c r="K25" i="65"/>
  <c r="I25" i="65"/>
  <c r="G25" i="65"/>
  <c r="F24" i="65"/>
  <c r="F23" i="65"/>
  <c r="E22" i="65"/>
  <c r="E21" i="65"/>
  <c r="F19" i="65"/>
  <c r="F18" i="65"/>
  <c r="F17" i="65"/>
  <c r="F16" i="65"/>
  <c r="E15" i="65"/>
  <c r="E13" i="65"/>
  <c r="E12" i="65"/>
  <c r="E11" i="65"/>
  <c r="E10" i="65"/>
  <c r="D8" i="65"/>
  <c r="Q8" i="65" s="1"/>
  <c r="C6" i="65"/>
  <c r="B2" i="65"/>
  <c r="M47" i="63"/>
  <c r="N18" i="63"/>
  <c r="J18" i="63"/>
  <c r="I18" i="63"/>
  <c r="H18" i="63"/>
  <c r="D18" i="63"/>
  <c r="F16" i="63"/>
  <c r="F15" i="63"/>
  <c r="E15" i="63"/>
  <c r="F14" i="63"/>
  <c r="F13" i="63"/>
  <c r="E13" i="63"/>
  <c r="F12" i="63"/>
  <c r="E12" i="63"/>
  <c r="F11" i="63"/>
  <c r="E11" i="63"/>
  <c r="E10" i="63"/>
  <c r="D8" i="63"/>
  <c r="C6" i="63"/>
  <c r="E2" i="63"/>
  <c r="B2" i="63"/>
  <c r="M795" i="43"/>
  <c r="I795" i="43"/>
  <c r="N540" i="43"/>
  <c r="M540" i="43"/>
  <c r="L540" i="43"/>
  <c r="K540" i="43"/>
  <c r="J540" i="43"/>
  <c r="I540" i="43"/>
  <c r="H540" i="43"/>
  <c r="F540" i="43"/>
  <c r="E540" i="43"/>
  <c r="E538" i="43"/>
  <c r="H286" i="43"/>
  <c r="E286" i="43"/>
  <c r="D286" i="43"/>
  <c r="H285" i="43"/>
  <c r="E285" i="43"/>
  <c r="D285" i="43"/>
  <c r="S284" i="43"/>
  <c r="M284" i="43"/>
  <c r="L284" i="43"/>
  <c r="K284" i="43"/>
  <c r="H284" i="43"/>
  <c r="E284" i="43"/>
  <c r="E283" i="43"/>
  <c r="E282" i="43"/>
  <c r="E281" i="43"/>
  <c r="J29" i="43"/>
  <c r="G29" i="43"/>
  <c r="F286" i="43" s="1"/>
  <c r="D29" i="43"/>
  <c r="J28" i="43"/>
  <c r="G28" i="43"/>
  <c r="F285" i="43" s="1"/>
  <c r="D28" i="43"/>
  <c r="J27" i="43"/>
  <c r="G27" i="43"/>
  <c r="F27" i="43"/>
  <c r="E27" i="43"/>
  <c r="E26" i="43"/>
  <c r="E25" i="43"/>
  <c r="F23" i="43"/>
  <c r="E23" i="43"/>
  <c r="F22" i="43"/>
  <c r="E22" i="43"/>
  <c r="F21" i="43"/>
  <c r="E21" i="43"/>
  <c r="F20" i="43"/>
  <c r="E20" i="43"/>
  <c r="F19" i="43"/>
  <c r="E19" i="43"/>
  <c r="F18" i="43"/>
  <c r="E17" i="43"/>
  <c r="F16" i="43"/>
  <c r="E16" i="43"/>
  <c r="E15" i="43"/>
  <c r="F13" i="43"/>
  <c r="E13" i="43"/>
  <c r="F12" i="43"/>
  <c r="E12" i="43"/>
  <c r="F11" i="43"/>
  <c r="E11" i="43"/>
  <c r="E10" i="43"/>
  <c r="Q8" i="43"/>
  <c r="D8" i="43"/>
  <c r="C6" i="43"/>
  <c r="B2" i="43"/>
  <c r="M1464" i="50"/>
  <c r="I1464" i="50"/>
  <c r="F85" i="50"/>
  <c r="M83" i="50"/>
  <c r="H83" i="50"/>
  <c r="D83" i="50"/>
  <c r="D81" i="50"/>
  <c r="D77" i="50"/>
  <c r="D71" i="50"/>
  <c r="D69" i="50"/>
  <c r="D68" i="50"/>
  <c r="H67" i="50"/>
  <c r="D66" i="50"/>
  <c r="M65" i="50"/>
  <c r="K65" i="50"/>
  <c r="I65" i="50"/>
  <c r="G65" i="50"/>
  <c r="F65" i="50"/>
  <c r="Y61" i="50"/>
  <c r="F55" i="50"/>
  <c r="E55" i="50"/>
  <c r="G48" i="50"/>
  <c r="F24" i="50"/>
  <c r="F26" i="50"/>
  <c r="F25" i="50"/>
  <c r="E25" i="50"/>
  <c r="G19" i="50"/>
  <c r="G18" i="50"/>
  <c r="F15" i="50"/>
  <c r="E15" i="50"/>
  <c r="F14" i="50"/>
  <c r="E14" i="50"/>
  <c r="F13" i="50"/>
  <c r="E13" i="50"/>
  <c r="E12" i="50"/>
  <c r="D10" i="50"/>
  <c r="C8" i="50"/>
  <c r="B2" i="50"/>
  <c r="M124" i="38"/>
  <c r="E124" i="38"/>
  <c r="M123" i="38"/>
  <c r="E123" i="38"/>
  <c r="E120" i="38"/>
  <c r="E119" i="38"/>
  <c r="E118" i="38"/>
  <c r="L66" i="38"/>
  <c r="I66" i="38"/>
  <c r="D66" i="38"/>
  <c r="L65" i="38"/>
  <c r="I65" i="38"/>
  <c r="I64" i="38"/>
  <c r="N63" i="38"/>
  <c r="L63" i="38"/>
  <c r="I63" i="38"/>
  <c r="E61" i="38"/>
  <c r="F60" i="38"/>
  <c r="F59" i="38"/>
  <c r="F58" i="38"/>
  <c r="F57" i="38"/>
  <c r="F56" i="38"/>
  <c r="F55" i="38"/>
  <c r="F54" i="38"/>
  <c r="F53" i="38"/>
  <c r="E52" i="38"/>
  <c r="E51" i="38"/>
  <c r="E32" i="38"/>
  <c r="E31" i="38"/>
  <c r="E30" i="38"/>
  <c r="E13" i="38"/>
  <c r="E12" i="38"/>
  <c r="E11" i="38"/>
  <c r="C6" i="38"/>
  <c r="B2" i="38"/>
  <c r="E112" i="37"/>
  <c r="Z7" i="60" s="1"/>
  <c r="E111" i="37"/>
  <c r="Y7" i="60" s="1"/>
  <c r="E110" i="37"/>
  <c r="E109" i="37"/>
  <c r="E108" i="37"/>
  <c r="E107" i="37"/>
  <c r="E105" i="37"/>
  <c r="X7" i="60" s="1"/>
  <c r="E104" i="37"/>
  <c r="W7" i="60" s="1"/>
  <c r="E103" i="37"/>
  <c r="V7" i="60" s="1"/>
  <c r="E102" i="37"/>
  <c r="E101" i="37"/>
  <c r="E99" i="37"/>
  <c r="U7" i="60" s="1"/>
  <c r="E98" i="37"/>
  <c r="E97" i="37"/>
  <c r="E96" i="37"/>
  <c r="E95" i="37"/>
  <c r="T7" i="60" s="1"/>
  <c r="E94" i="37"/>
  <c r="D92" i="37"/>
  <c r="Q92" i="37" s="1"/>
  <c r="G4" i="37" s="1"/>
  <c r="E85" i="37"/>
  <c r="E84" i="37"/>
  <c r="E83" i="37"/>
  <c r="E81" i="37"/>
  <c r="S7" i="60" s="1"/>
  <c r="E80" i="37"/>
  <c r="E78" i="37"/>
  <c r="E76" i="37"/>
  <c r="R7" i="60" s="1"/>
  <c r="E74" i="37"/>
  <c r="Q7" i="60" s="1"/>
  <c r="E72" i="37"/>
  <c r="P7" i="60" s="1"/>
  <c r="E70" i="37"/>
  <c r="D68" i="37"/>
  <c r="Q68" i="37" s="1"/>
  <c r="M3" i="37" s="1"/>
  <c r="D14" i="37"/>
  <c r="D13" i="37"/>
  <c r="D12" i="37"/>
  <c r="D9" i="37"/>
  <c r="D7" i="60" s="1"/>
  <c r="C6" i="37"/>
  <c r="B2" i="37"/>
  <c r="D80" i="10"/>
  <c r="D77" i="10"/>
  <c r="G74" i="10"/>
  <c r="D65" i="10"/>
  <c r="D64" i="10"/>
  <c r="D48" i="10"/>
  <c r="D47" i="10"/>
  <c r="D36" i="10"/>
  <c r="D28" i="10"/>
  <c r="E24" i="10"/>
  <c r="E23" i="10"/>
  <c r="D22" i="10"/>
  <c r="D19" i="10"/>
  <c r="D18" i="10"/>
  <c r="D16" i="10"/>
  <c r="D15" i="10"/>
  <c r="D14" i="10"/>
  <c r="D8" i="10"/>
  <c r="C53" i="9"/>
  <c r="C51" i="9"/>
  <c r="C6" i="9"/>
  <c r="G30" i="57"/>
  <c r="I30" i="57"/>
  <c r="K30" i="57"/>
  <c r="S30" i="57"/>
  <c r="B2" i="9"/>
  <c r="N289" i="43"/>
  <c r="N290" i="43"/>
  <c r="N291" i="43"/>
  <c r="N292" i="43"/>
  <c r="N293" i="43"/>
  <c r="N294" i="43"/>
  <c r="N295" i="43"/>
  <c r="N296" i="43"/>
  <c r="N297" i="43"/>
  <c r="N298" i="43"/>
  <c r="N299" i="43"/>
  <c r="N300" i="43"/>
  <c r="N301" i="43"/>
  <c r="N302" i="43"/>
  <c r="N303" i="43"/>
  <c r="N304" i="43"/>
  <c r="N305" i="43"/>
  <c r="N536" i="43"/>
  <c r="M98" i="65"/>
  <c r="M96" i="65"/>
  <c r="M97" i="65" s="1"/>
  <c r="M94" i="65"/>
  <c r="M95" i="65" s="1"/>
  <c r="M92" i="65"/>
  <c r="M93" i="65" s="1"/>
  <c r="M90" i="65"/>
  <c r="M91" i="65" s="1"/>
  <c r="M88" i="65"/>
  <c r="M89" i="65" s="1"/>
  <c r="M86" i="65"/>
  <c r="M87" i="65" s="1"/>
  <c r="M84" i="65"/>
  <c r="M85" i="65" s="1"/>
  <c r="M78" i="65"/>
  <c r="M79" i="65" s="1"/>
  <c r="K97" i="65"/>
  <c r="K95" i="65"/>
  <c r="K93" i="65"/>
  <c r="K91" i="65"/>
  <c r="K89" i="65"/>
  <c r="K87" i="65"/>
  <c r="K85" i="65"/>
  <c r="D79" i="65"/>
  <c r="D81" i="65" s="1"/>
  <c r="R77" i="65"/>
  <c r="U77" i="65" s="1"/>
  <c r="K77" i="65"/>
  <c r="F75" i="65"/>
  <c r="A71" i="65"/>
  <c r="M38" i="65"/>
  <c r="D37" i="65"/>
  <c r="M36" i="65"/>
  <c r="K37" i="65" s="1"/>
  <c r="A42" i="65"/>
  <c r="K79" i="65"/>
  <c r="M80" i="65"/>
  <c r="M81" i="65" s="1"/>
  <c r="K68" i="65"/>
  <c r="K66" i="65"/>
  <c r="K64" i="65"/>
  <c r="K62" i="65"/>
  <c r="K60" i="65"/>
  <c r="K58" i="65"/>
  <c r="K56" i="65"/>
  <c r="K48" i="65"/>
  <c r="R48" i="65"/>
  <c r="R49" i="65" s="1"/>
  <c r="W48" i="65" s="1"/>
  <c r="M49" i="65"/>
  <c r="M50" i="65" s="1"/>
  <c r="K50" i="65"/>
  <c r="D50" i="65"/>
  <c r="D52" i="65" s="1"/>
  <c r="A8" i="65"/>
  <c r="R2" i="65"/>
  <c r="G2" i="65"/>
  <c r="E2" i="65"/>
  <c r="BM63" i="50"/>
  <c r="BK63" i="50"/>
  <c r="BL63" i="50"/>
  <c r="F54" i="50"/>
  <c r="E54" i="50"/>
  <c r="F291" i="62"/>
  <c r="G291" i="62"/>
  <c r="H291" i="62"/>
  <c r="I291" i="62"/>
  <c r="J291" i="62"/>
  <c r="K291" i="62"/>
  <c r="L291" i="62"/>
  <c r="F292" i="62"/>
  <c r="G292" i="62"/>
  <c r="H292" i="62"/>
  <c r="I292" i="62"/>
  <c r="J292" i="62"/>
  <c r="K292" i="62"/>
  <c r="L292" i="62"/>
  <c r="F293" i="62"/>
  <c r="G293" i="62"/>
  <c r="H293" i="62"/>
  <c r="I293" i="62"/>
  <c r="J293" i="62"/>
  <c r="K293" i="62"/>
  <c r="L293" i="62"/>
  <c r="F294" i="62"/>
  <c r="G294" i="62"/>
  <c r="H294" i="62"/>
  <c r="I294" i="62"/>
  <c r="J294" i="62"/>
  <c r="K294" i="62"/>
  <c r="L294" i="62"/>
  <c r="F295" i="62"/>
  <c r="G295" i="62"/>
  <c r="H295" i="62"/>
  <c r="I295" i="62"/>
  <c r="J295" i="62"/>
  <c r="K295" i="62"/>
  <c r="L295" i="62"/>
  <c r="F296" i="62"/>
  <c r="G296" i="62"/>
  <c r="H296" i="62"/>
  <c r="I296" i="62"/>
  <c r="J296" i="62"/>
  <c r="K296" i="62"/>
  <c r="L296" i="62"/>
  <c r="F297" i="62"/>
  <c r="G297" i="62"/>
  <c r="H297" i="62"/>
  <c r="I297" i="62"/>
  <c r="J297" i="62"/>
  <c r="K297" i="62"/>
  <c r="L297" i="62"/>
  <c r="F298" i="62"/>
  <c r="G298" i="62"/>
  <c r="H298" i="62"/>
  <c r="I298" i="62"/>
  <c r="J298" i="62"/>
  <c r="K298" i="62"/>
  <c r="L298" i="62"/>
  <c r="F299" i="62"/>
  <c r="G299" i="62"/>
  <c r="H299" i="62"/>
  <c r="I299" i="62"/>
  <c r="J299" i="62"/>
  <c r="K299" i="62"/>
  <c r="L299" i="62"/>
  <c r="F300" i="62"/>
  <c r="G300" i="62"/>
  <c r="H300" i="62"/>
  <c r="I300" i="62"/>
  <c r="J300" i="62"/>
  <c r="K300" i="62"/>
  <c r="L300" i="62"/>
  <c r="F301" i="62"/>
  <c r="G301" i="62"/>
  <c r="H301" i="62"/>
  <c r="I301" i="62"/>
  <c r="J301" i="62"/>
  <c r="K301" i="62"/>
  <c r="L301" i="62"/>
  <c r="F302" i="62"/>
  <c r="G302" i="62"/>
  <c r="H302" i="62"/>
  <c r="I302" i="62"/>
  <c r="J302" i="62"/>
  <c r="K302" i="62"/>
  <c r="L302" i="62"/>
  <c r="F303" i="62"/>
  <c r="G303" i="62"/>
  <c r="H303" i="62"/>
  <c r="I303" i="62"/>
  <c r="J303" i="62"/>
  <c r="K303" i="62"/>
  <c r="L303" i="62"/>
  <c r="F304" i="62"/>
  <c r="G304" i="62"/>
  <c r="H304" i="62"/>
  <c r="I304" i="62"/>
  <c r="J304" i="62"/>
  <c r="K304" i="62"/>
  <c r="L304" i="62"/>
  <c r="F539" i="62"/>
  <c r="G539" i="62"/>
  <c r="H539" i="62"/>
  <c r="I539" i="62"/>
  <c r="J539" i="62"/>
  <c r="K539" i="62"/>
  <c r="L539" i="62"/>
  <c r="G290" i="62"/>
  <c r="H290" i="62"/>
  <c r="I290" i="62"/>
  <c r="J290" i="62"/>
  <c r="K290" i="62"/>
  <c r="L290" i="62"/>
  <c r="F290" i="62"/>
  <c r="T291" i="43"/>
  <c r="L42" i="62" s="1"/>
  <c r="T292" i="43"/>
  <c r="L43" i="62" s="1"/>
  <c r="T293" i="43"/>
  <c r="L44" i="62" s="1"/>
  <c r="T294" i="43"/>
  <c r="L45" i="62" s="1"/>
  <c r="T295" i="43"/>
  <c r="L46" i="62" s="1"/>
  <c r="T296" i="43"/>
  <c r="L47" i="62" s="1"/>
  <c r="T297" i="43"/>
  <c r="L48" i="62" s="1"/>
  <c r="T298" i="43"/>
  <c r="L49" i="62" s="1"/>
  <c r="T299" i="43"/>
  <c r="L50" i="62" s="1"/>
  <c r="T300" i="43"/>
  <c r="L51" i="62" s="1"/>
  <c r="T301" i="43"/>
  <c r="L52" i="62" s="1"/>
  <c r="T302" i="43"/>
  <c r="L53" i="62" s="1"/>
  <c r="T303" i="43"/>
  <c r="L54" i="62" s="1"/>
  <c r="T304" i="43"/>
  <c r="L55" i="62" s="1"/>
  <c r="T305" i="43"/>
  <c r="L56" i="62" s="1"/>
  <c r="T536" i="43"/>
  <c r="L287" i="62" s="1"/>
  <c r="R291" i="43"/>
  <c r="R292" i="43"/>
  <c r="R293" i="43"/>
  <c r="R294" i="43"/>
  <c r="R295" i="43"/>
  <c r="R296" i="43"/>
  <c r="R297" i="43"/>
  <c r="R298" i="43"/>
  <c r="R299" i="43"/>
  <c r="R300" i="43"/>
  <c r="R301" i="43"/>
  <c r="R302" i="43"/>
  <c r="R303" i="43"/>
  <c r="R304" i="43"/>
  <c r="R305" i="43"/>
  <c r="R536" i="43"/>
  <c r="S3" i="50"/>
  <c r="U3" i="50" s="1"/>
  <c r="W3" i="50" s="1"/>
  <c r="Q4" i="50" s="1"/>
  <c r="S4" i="50" s="1"/>
  <c r="U4" i="50" s="1"/>
  <c r="W4" i="50" s="1"/>
  <c r="Q5" i="50" s="1"/>
  <c r="S5" i="50" s="1"/>
  <c r="U5" i="50" s="1"/>
  <c r="W5" i="50" s="1"/>
  <c r="Q6" i="50" s="1"/>
  <c r="S6" i="50" s="1"/>
  <c r="U6" i="50" s="1"/>
  <c r="W6" i="50" s="1"/>
  <c r="N90" i="38"/>
  <c r="N89" i="38"/>
  <c r="N88" i="38"/>
  <c r="N87" i="38"/>
  <c r="N86" i="38"/>
  <c r="N85" i="38"/>
  <c r="N84" i="38"/>
  <c r="N83" i="38"/>
  <c r="N82" i="38"/>
  <c r="N81" i="38"/>
  <c r="N80" i="38"/>
  <c r="N79" i="38"/>
  <c r="N78" i="38"/>
  <c r="N77" i="38"/>
  <c r="N76" i="38"/>
  <c r="N75" i="38"/>
  <c r="N74" i="38"/>
  <c r="N73" i="38"/>
  <c r="N72" i="38"/>
  <c r="T58" i="57"/>
  <c r="T54" i="57"/>
  <c r="T46" i="57"/>
  <c r="T45" i="57"/>
  <c r="T44" i="57"/>
  <c r="T42" i="57"/>
  <c r="T41" i="57"/>
  <c r="K58" i="57"/>
  <c r="I58" i="57"/>
  <c r="S58" i="57"/>
  <c r="S57" i="57"/>
  <c r="S56" i="57"/>
  <c r="S55" i="57"/>
  <c r="S54" i="57"/>
  <c r="S53" i="57"/>
  <c r="S52" i="57"/>
  <c r="S51" i="57"/>
  <c r="S50" i="57"/>
  <c r="S46" i="57"/>
  <c r="S45" i="57"/>
  <c r="S44" i="57"/>
  <c r="S43" i="57"/>
  <c r="S42" i="57"/>
  <c r="S41" i="57"/>
  <c r="S40" i="57"/>
  <c r="S39" i="57"/>
  <c r="S38" i="57"/>
  <c r="S37" i="57"/>
  <c r="S36" i="57"/>
  <c r="S35" i="57"/>
  <c r="S34" i="57"/>
  <c r="S33" i="57"/>
  <c r="S32" i="57"/>
  <c r="S31" i="57"/>
  <c r="G53" i="57"/>
  <c r="G52" i="57"/>
  <c r="G51" i="57"/>
  <c r="G50" i="57"/>
  <c r="G46" i="57"/>
  <c r="G45" i="57"/>
  <c r="G44" i="57"/>
  <c r="G43" i="57"/>
  <c r="G42" i="57"/>
  <c r="G41" i="57"/>
  <c r="G40" i="57"/>
  <c r="G39" i="57"/>
  <c r="G38" i="57"/>
  <c r="G37" i="57"/>
  <c r="G36" i="57"/>
  <c r="G35" i="57"/>
  <c r="G34" i="57"/>
  <c r="G33" i="57"/>
  <c r="G20" i="57"/>
  <c r="G32" i="57"/>
  <c r="G31" i="57"/>
  <c r="K57" i="57"/>
  <c r="K56" i="57"/>
  <c r="K55" i="57"/>
  <c r="K54" i="57"/>
  <c r="K53" i="57"/>
  <c r="K52" i="57"/>
  <c r="K51" i="57"/>
  <c r="K50" i="57"/>
  <c r="K46" i="57"/>
  <c r="K45" i="57"/>
  <c r="K44" i="57"/>
  <c r="K43" i="57"/>
  <c r="K42" i="57"/>
  <c r="K41" i="57"/>
  <c r="K40" i="57"/>
  <c r="K39" i="57"/>
  <c r="K38" i="57"/>
  <c r="K37" i="57"/>
  <c r="K36" i="57"/>
  <c r="K35" i="57"/>
  <c r="K34" i="57"/>
  <c r="K33" i="57"/>
  <c r="K20" i="57"/>
  <c r="K32" i="57"/>
  <c r="K31" i="57"/>
  <c r="I57" i="57"/>
  <c r="I56" i="57"/>
  <c r="I55" i="57"/>
  <c r="I54" i="57"/>
  <c r="I53" i="57"/>
  <c r="I52" i="57"/>
  <c r="I51" i="57"/>
  <c r="I50" i="57"/>
  <c r="I46" i="57"/>
  <c r="I45" i="57"/>
  <c r="I44" i="57"/>
  <c r="I43" i="57"/>
  <c r="I42" i="57"/>
  <c r="I41" i="57"/>
  <c r="I40" i="57"/>
  <c r="I39" i="57"/>
  <c r="I38" i="57"/>
  <c r="I37" i="57"/>
  <c r="I36" i="57"/>
  <c r="I35" i="57"/>
  <c r="I34" i="57"/>
  <c r="I33" i="57"/>
  <c r="I20" i="57"/>
  <c r="I32" i="57"/>
  <c r="I31" i="57"/>
  <c r="T40" i="57"/>
  <c r="F790" i="43"/>
  <c r="E539" i="62" s="1"/>
  <c r="E790" i="43"/>
  <c r="X790" i="43" s="1"/>
  <c r="F559" i="43"/>
  <c r="E308" i="62" s="1"/>
  <c r="E559" i="43"/>
  <c r="X559" i="43" s="1"/>
  <c r="F558" i="43"/>
  <c r="E307" i="62" s="1"/>
  <c r="E558" i="43"/>
  <c r="X558" i="43" s="1"/>
  <c r="F557" i="43"/>
  <c r="E306" i="62" s="1"/>
  <c r="E557" i="43"/>
  <c r="X557" i="43" s="1"/>
  <c r="F556" i="43"/>
  <c r="E305" i="62" s="1"/>
  <c r="E556" i="43"/>
  <c r="X556" i="43" s="1"/>
  <c r="F555" i="43"/>
  <c r="E304" i="62" s="1"/>
  <c r="E555" i="43"/>
  <c r="X555" i="43" s="1"/>
  <c r="F554" i="43"/>
  <c r="E303" i="62" s="1"/>
  <c r="E554" i="43"/>
  <c r="X554" i="43" s="1"/>
  <c r="F553" i="43"/>
  <c r="E302" i="62" s="1"/>
  <c r="E553" i="43"/>
  <c r="X553" i="43" s="1"/>
  <c r="F552" i="43"/>
  <c r="E301" i="62" s="1"/>
  <c r="E552" i="43"/>
  <c r="X552" i="43" s="1"/>
  <c r="F551" i="43"/>
  <c r="E300" i="62" s="1"/>
  <c r="E551" i="43"/>
  <c r="X551" i="43" s="1"/>
  <c r="F550" i="43"/>
  <c r="E299" i="62" s="1"/>
  <c r="E550" i="43"/>
  <c r="X550" i="43" s="1"/>
  <c r="F549" i="43"/>
  <c r="E298" i="62" s="1"/>
  <c r="E549" i="43"/>
  <c r="X549" i="43" s="1"/>
  <c r="F548" i="43"/>
  <c r="E297" i="62" s="1"/>
  <c r="E548" i="43"/>
  <c r="X548" i="43" s="1"/>
  <c r="F547" i="43"/>
  <c r="E296" i="62" s="1"/>
  <c r="E547" i="43"/>
  <c r="X547" i="43" s="1"/>
  <c r="F546" i="43"/>
  <c r="E295" i="62" s="1"/>
  <c r="E546" i="43"/>
  <c r="X546" i="43" s="1"/>
  <c r="F545" i="43"/>
  <c r="E294" i="62" s="1"/>
  <c r="E545" i="43"/>
  <c r="X545" i="43" s="1"/>
  <c r="F544" i="43"/>
  <c r="E293" i="62" s="1"/>
  <c r="E544" i="43"/>
  <c r="X544" i="43" s="1"/>
  <c r="F543" i="43"/>
  <c r="E292" i="62" s="1"/>
  <c r="E543" i="43"/>
  <c r="X543" i="43" s="1"/>
  <c r="F542" i="43"/>
  <c r="E291" i="62" s="1"/>
  <c r="E542" i="43"/>
  <c r="X542" i="43" s="1"/>
  <c r="F541" i="43"/>
  <c r="E290" i="62" s="1"/>
  <c r="E541" i="43"/>
  <c r="X541" i="43" s="1"/>
  <c r="E63" i="38"/>
  <c r="E65" i="38"/>
  <c r="J285" i="43"/>
  <c r="H287" i="62"/>
  <c r="H56" i="62"/>
  <c r="H55" i="62"/>
  <c r="H54" i="62"/>
  <c r="H53" i="62"/>
  <c r="H52" i="62"/>
  <c r="H51" i="62"/>
  <c r="H50" i="62"/>
  <c r="H49" i="62"/>
  <c r="H48" i="62"/>
  <c r="H47" i="62"/>
  <c r="H46" i="62"/>
  <c r="H45" i="62"/>
  <c r="H44" i="62"/>
  <c r="H43" i="62"/>
  <c r="H42" i="62"/>
  <c r="H41" i="62"/>
  <c r="H40" i="62"/>
  <c r="H39" i="62"/>
  <c r="BI60" i="50"/>
  <c r="T12" i="9"/>
  <c r="G2" i="62"/>
  <c r="F1" i="26"/>
  <c r="G2" i="63"/>
  <c r="G2" i="43"/>
  <c r="O2" i="26"/>
  <c r="S42" i="9" s="1"/>
  <c r="P8" i="60"/>
  <c r="Z8" i="60"/>
  <c r="Y8" i="60"/>
  <c r="X8" i="60"/>
  <c r="W8" i="60"/>
  <c r="V8" i="60"/>
  <c r="U8" i="60"/>
  <c r="T8" i="60"/>
  <c r="R8" i="60"/>
  <c r="Q8" i="60"/>
  <c r="O8" i="60"/>
  <c r="N8" i="60"/>
  <c r="M8" i="60"/>
  <c r="L8" i="60"/>
  <c r="K8" i="60"/>
  <c r="J8" i="60"/>
  <c r="I8" i="60"/>
  <c r="H8" i="60"/>
  <c r="G8" i="60"/>
  <c r="F8" i="60"/>
  <c r="E8" i="60"/>
  <c r="D8" i="60"/>
  <c r="T2" i="63"/>
  <c r="S34" i="9" s="1"/>
  <c r="R2" i="63"/>
  <c r="BO60" i="50"/>
  <c r="BN60" i="50"/>
  <c r="BY60" i="50"/>
  <c r="BW60" i="50"/>
  <c r="BT60" i="50"/>
  <c r="BQ60" i="50"/>
  <c r="BJ60" i="50"/>
  <c r="E39" i="62"/>
  <c r="J39" i="62"/>
  <c r="K39" i="62"/>
  <c r="E40" i="62"/>
  <c r="J40" i="62"/>
  <c r="K40" i="62"/>
  <c r="E41" i="62"/>
  <c r="J41" i="62"/>
  <c r="K41" i="62"/>
  <c r="E42" i="62"/>
  <c r="J42" i="62"/>
  <c r="K42" i="62"/>
  <c r="E43" i="62"/>
  <c r="J43" i="62"/>
  <c r="K43" i="62"/>
  <c r="E44" i="62"/>
  <c r="J44" i="62"/>
  <c r="K44" i="62"/>
  <c r="E45" i="62"/>
  <c r="J45" i="62"/>
  <c r="K45" i="62"/>
  <c r="E46" i="62"/>
  <c r="J46" i="62"/>
  <c r="K46" i="62"/>
  <c r="E47" i="62"/>
  <c r="J47" i="62"/>
  <c r="K47" i="62"/>
  <c r="E48" i="62"/>
  <c r="J48" i="62"/>
  <c r="K48" i="62"/>
  <c r="E49" i="62"/>
  <c r="J49" i="62"/>
  <c r="K49" i="62"/>
  <c r="E50" i="62"/>
  <c r="J50" i="62"/>
  <c r="K50" i="62"/>
  <c r="E51" i="62"/>
  <c r="J51" i="62"/>
  <c r="K51" i="62"/>
  <c r="E52" i="62"/>
  <c r="J52" i="62"/>
  <c r="K52" i="62"/>
  <c r="E53" i="62"/>
  <c r="J53" i="62"/>
  <c r="K53" i="62"/>
  <c r="E54" i="62"/>
  <c r="J54" i="62"/>
  <c r="K54" i="62"/>
  <c r="E55" i="62"/>
  <c r="J55" i="62"/>
  <c r="K55" i="62"/>
  <c r="E56" i="62"/>
  <c r="J56" i="62"/>
  <c r="K56" i="62"/>
  <c r="E287" i="62"/>
  <c r="J287" i="62"/>
  <c r="K287" i="62"/>
  <c r="R2" i="62"/>
  <c r="I11" i="62"/>
  <c r="I10" i="62"/>
  <c r="I23" i="62"/>
  <c r="K23" i="62"/>
  <c r="C14" i="60"/>
  <c r="C15" i="60" s="1"/>
  <c r="C16" i="60" s="1"/>
  <c r="C17" i="60" s="1"/>
  <c r="C18" i="60" s="1"/>
  <c r="C19" i="60" s="1"/>
  <c r="C20" i="60" s="1"/>
  <c r="C21" i="60" s="1"/>
  <c r="C22" i="60" s="1"/>
  <c r="C23" i="60" s="1"/>
  <c r="C24" i="60" s="1"/>
  <c r="C25" i="60" s="1"/>
  <c r="C26" i="60" s="1"/>
  <c r="C27" i="60" s="1"/>
  <c r="C28" i="60" s="1"/>
  <c r="C29" i="60" s="1"/>
  <c r="C30" i="60" s="1"/>
  <c r="C31" i="60" s="1"/>
  <c r="C32" i="60" s="1"/>
  <c r="C33" i="60" s="1"/>
  <c r="C34" i="60" s="1"/>
  <c r="C35" i="60" s="1"/>
  <c r="C36" i="60" s="1"/>
  <c r="C37" i="60" s="1"/>
  <c r="C38" i="60" s="1"/>
  <c r="C39" i="60" s="1"/>
  <c r="C40" i="60" s="1"/>
  <c r="C41" i="60" s="1"/>
  <c r="C42" i="60" s="1"/>
  <c r="C43" i="60" s="1"/>
  <c r="C44" i="60" s="1"/>
  <c r="C45" i="60" s="1"/>
  <c r="C46" i="60" s="1"/>
  <c r="C47" i="60" s="1"/>
  <c r="C48" i="60" s="1"/>
  <c r="C49" i="60" s="1"/>
  <c r="C50" i="60" s="1"/>
  <c r="C51" i="60" s="1"/>
  <c r="C52" i="60" s="1"/>
  <c r="C53" i="60" s="1"/>
  <c r="C54" i="60" s="1"/>
  <c r="C55" i="60" s="1"/>
  <c r="C56" i="60" s="1"/>
  <c r="C57" i="60" s="1"/>
  <c r="C58" i="60" s="1"/>
  <c r="C59" i="60" s="1"/>
  <c r="C60" i="60" s="1"/>
  <c r="C61" i="60" s="1"/>
  <c r="C62" i="60" s="1"/>
  <c r="A48" i="38"/>
  <c r="A8" i="38"/>
  <c r="I81" i="37"/>
  <c r="G51" i="9" s="1"/>
  <c r="K8" i="62"/>
  <c r="C3" i="52"/>
  <c r="D3" i="52" s="1"/>
  <c r="E3" i="52" s="1"/>
  <c r="F3" i="52" s="1"/>
  <c r="G3" i="52" s="1"/>
  <c r="H3" i="52" s="1"/>
  <c r="I3" i="52" s="1"/>
  <c r="J3" i="52" s="1"/>
  <c r="K3" i="52" s="1"/>
  <c r="L3" i="52" s="1"/>
  <c r="M3" i="52" s="1"/>
  <c r="N3" i="52" s="1"/>
  <c r="O3" i="52" s="1"/>
  <c r="P3" i="52" s="1"/>
  <c r="Q3" i="52" s="1"/>
  <c r="R3" i="52" s="1"/>
  <c r="K124" i="38"/>
  <c r="K123" i="38"/>
  <c r="M122" i="38"/>
  <c r="K122" i="38"/>
  <c r="Z68" i="38"/>
  <c r="Z69" i="38"/>
  <c r="Z70" i="38"/>
  <c r="Z71" i="38"/>
  <c r="Z72" i="38"/>
  <c r="Z73" i="38"/>
  <c r="Z74" i="38"/>
  <c r="Z75" i="38"/>
  <c r="Z76" i="38"/>
  <c r="Z77" i="38"/>
  <c r="Z78" i="38"/>
  <c r="Z79" i="38"/>
  <c r="Z80" i="38"/>
  <c r="Z81" i="38"/>
  <c r="Z82" i="38"/>
  <c r="Z83" i="38"/>
  <c r="Z84" i="38"/>
  <c r="Z85" i="38"/>
  <c r="Z86" i="38"/>
  <c r="Z87" i="38"/>
  <c r="Z88" i="38"/>
  <c r="Z89" i="38"/>
  <c r="Z90" i="38"/>
  <c r="Z67" i="38"/>
  <c r="X68" i="38"/>
  <c r="N68" i="38" s="1"/>
  <c r="X69" i="38"/>
  <c r="N69" i="38"/>
  <c r="X71" i="38"/>
  <c r="N71" i="38"/>
  <c r="X72" i="38"/>
  <c r="X74" i="38"/>
  <c r="X75" i="38"/>
  <c r="X76" i="38"/>
  <c r="X77" i="38"/>
  <c r="X78" i="38"/>
  <c r="X79" i="38"/>
  <c r="X80" i="38"/>
  <c r="X81" i="38"/>
  <c r="X82" i="38"/>
  <c r="X83" i="38"/>
  <c r="X84" i="38"/>
  <c r="X85" i="38"/>
  <c r="X86" i="38"/>
  <c r="X87" i="38"/>
  <c r="X88" i="38"/>
  <c r="X89" i="38"/>
  <c r="X90" i="38"/>
  <c r="AK66" i="50"/>
  <c r="L23" i="62"/>
  <c r="H23" i="62"/>
  <c r="J23" i="62"/>
  <c r="L27" i="62"/>
  <c r="T2" i="62"/>
  <c r="S44" i="9" s="1"/>
  <c r="Q66" i="50"/>
  <c r="Q65" i="50"/>
  <c r="Q63" i="50"/>
  <c r="Q61" i="50"/>
  <c r="Q60" i="50"/>
  <c r="K536" i="43"/>
  <c r="J536" i="43"/>
  <c r="I287" i="62" s="1"/>
  <c r="F536" i="43"/>
  <c r="G287" i="62" s="1"/>
  <c r="K305" i="43"/>
  <c r="J305" i="43"/>
  <c r="I56" i="62" s="1"/>
  <c r="F305" i="43"/>
  <c r="G56" i="62" s="1"/>
  <c r="K304" i="43"/>
  <c r="J304" i="43"/>
  <c r="I55" i="62" s="1"/>
  <c r="F304" i="43"/>
  <c r="G55" i="62" s="1"/>
  <c r="K303" i="43"/>
  <c r="J303" i="43"/>
  <c r="I54" i="62" s="1"/>
  <c r="F303" i="43"/>
  <c r="G54" i="62" s="1"/>
  <c r="K302" i="43"/>
  <c r="J302" i="43"/>
  <c r="I53" i="62" s="1"/>
  <c r="F302" i="43"/>
  <c r="G53" i="62" s="1"/>
  <c r="K301" i="43"/>
  <c r="J301" i="43"/>
  <c r="I52" i="62" s="1"/>
  <c r="F301" i="43"/>
  <c r="G52" i="62" s="1"/>
  <c r="K300" i="43"/>
  <c r="J300" i="43"/>
  <c r="I51" i="62" s="1"/>
  <c r="F300" i="43"/>
  <c r="G51" i="62" s="1"/>
  <c r="K299" i="43"/>
  <c r="J299" i="43"/>
  <c r="I50" i="62" s="1"/>
  <c r="F299" i="43"/>
  <c r="G50" i="62" s="1"/>
  <c r="K298" i="43"/>
  <c r="J298" i="43"/>
  <c r="I49" i="62" s="1"/>
  <c r="F298" i="43"/>
  <c r="G49" i="62" s="1"/>
  <c r="K297" i="43"/>
  <c r="J297" i="43"/>
  <c r="I48" i="62" s="1"/>
  <c r="F297" i="43"/>
  <c r="G48" i="62" s="1"/>
  <c r="K296" i="43"/>
  <c r="J296" i="43"/>
  <c r="I47" i="62" s="1"/>
  <c r="F296" i="43"/>
  <c r="G47" i="62" s="1"/>
  <c r="K295" i="43"/>
  <c r="J295" i="43"/>
  <c r="I46" i="62" s="1"/>
  <c r="F295" i="43"/>
  <c r="G46" i="62" s="1"/>
  <c r="K294" i="43"/>
  <c r="J294" i="43"/>
  <c r="I45" i="62" s="1"/>
  <c r="F294" i="43"/>
  <c r="G45" i="62" s="1"/>
  <c r="K293" i="43"/>
  <c r="J293" i="43"/>
  <c r="I44" i="62" s="1"/>
  <c r="F293" i="43"/>
  <c r="G44" i="62" s="1"/>
  <c r="K292" i="43"/>
  <c r="J292" i="43"/>
  <c r="I43" i="62" s="1"/>
  <c r="F292" i="43"/>
  <c r="G43" i="62" s="1"/>
  <c r="K291" i="43"/>
  <c r="J291" i="43"/>
  <c r="I42" i="62" s="1"/>
  <c r="F291" i="43"/>
  <c r="G42" i="62" s="1"/>
  <c r="CQ83" i="50"/>
  <c r="CQ85" i="50" s="1"/>
  <c r="AC66" i="50"/>
  <c r="AW66" i="50" s="1"/>
  <c r="AX66" i="50" s="1"/>
  <c r="G149" i="52"/>
  <c r="A152" i="52"/>
  <c r="A151" i="52"/>
  <c r="A150" i="52"/>
  <c r="M46" i="57"/>
  <c r="M45" i="57"/>
  <c r="X73" i="38"/>
  <c r="M54" i="57"/>
  <c r="G54" i="57"/>
  <c r="M42" i="57"/>
  <c r="X67" i="38"/>
  <c r="N67" i="38" s="1"/>
  <c r="M51" i="57"/>
  <c r="X70" i="38"/>
  <c r="N70" i="38"/>
  <c r="M55" i="57"/>
  <c r="G55" i="57"/>
  <c r="M56" i="57"/>
  <c r="G56" i="57"/>
  <c r="M53" i="57"/>
  <c r="M52" i="57"/>
  <c r="M57" i="57"/>
  <c r="G57" i="57"/>
  <c r="M33" i="57"/>
  <c r="M39" i="57"/>
  <c r="M38" i="57"/>
  <c r="M37" i="57"/>
  <c r="M36" i="57"/>
  <c r="M34" i="57"/>
  <c r="N6" i="57"/>
  <c r="O61" i="50"/>
  <c r="O60" i="50"/>
  <c r="AA71" i="50"/>
  <c r="AK68" i="50"/>
  <c r="G150" i="52"/>
  <c r="A144" i="52"/>
  <c r="D134" i="52" s="1"/>
  <c r="A143" i="52"/>
  <c r="C134" i="52" s="1"/>
  <c r="F137" i="52"/>
  <c r="E139" i="52"/>
  <c r="D136" i="52"/>
  <c r="C135" i="52"/>
  <c r="A138" i="52"/>
  <c r="E18" i="62" s="1"/>
  <c r="A136" i="52"/>
  <c r="E16" i="62" s="1"/>
  <c r="G137" i="52"/>
  <c r="A135" i="52"/>
  <c r="B4" i="52"/>
  <c r="AA70" i="50"/>
  <c r="A60" i="50"/>
  <c r="D207" i="52"/>
  <c r="D206" i="52"/>
  <c r="B200" i="52"/>
  <c r="N191" i="52"/>
  <c r="D191" i="52"/>
  <c r="Q191" i="52" s="1"/>
  <c r="S191" i="52" s="1"/>
  <c r="P190" i="52"/>
  <c r="N190" i="52"/>
  <c r="P189" i="52"/>
  <c r="N189" i="52"/>
  <c r="N188" i="52"/>
  <c r="AR187" i="52"/>
  <c r="AQ187" i="52"/>
  <c r="N187" i="52"/>
  <c r="M187" i="52"/>
  <c r="B187" i="52"/>
  <c r="D185" i="52"/>
  <c r="Q185" i="52" s="1"/>
  <c r="S185" i="52" s="1"/>
  <c r="AR181" i="52"/>
  <c r="AQ181" i="52"/>
  <c r="N181" i="52"/>
  <c r="M181" i="52"/>
  <c r="B181" i="52"/>
  <c r="D179" i="52"/>
  <c r="Q179" i="52" s="1"/>
  <c r="S179" i="52" s="1"/>
  <c r="AR175" i="52"/>
  <c r="AQ175" i="52"/>
  <c r="N175" i="52"/>
  <c r="M175" i="52"/>
  <c r="L173" i="52"/>
  <c r="I173" i="52"/>
  <c r="D173" i="52"/>
  <c r="Q173" i="52" s="1"/>
  <c r="S173" i="52" s="1"/>
  <c r="L172" i="52"/>
  <c r="I172" i="52"/>
  <c r="L171" i="52"/>
  <c r="I171" i="52"/>
  <c r="L170" i="52"/>
  <c r="I170" i="52"/>
  <c r="N169" i="52"/>
  <c r="M169" i="52"/>
  <c r="B169" i="52"/>
  <c r="E167" i="52"/>
  <c r="E173" i="52" s="1"/>
  <c r="E179" i="52" s="1"/>
  <c r="E185" i="52" s="1"/>
  <c r="E191" i="52" s="1"/>
  <c r="E197" i="52" s="1"/>
  <c r="D167" i="52"/>
  <c r="Q167" i="52" s="1"/>
  <c r="B73" i="57" s="1"/>
  <c r="E166" i="52"/>
  <c r="E172" i="52" s="1"/>
  <c r="E178" i="52" s="1"/>
  <c r="E184" i="52" s="1"/>
  <c r="E190" i="52" s="1"/>
  <c r="E196" i="52" s="1"/>
  <c r="E165" i="52"/>
  <c r="E171" i="52" s="1"/>
  <c r="E177" i="52" s="1"/>
  <c r="E183" i="52" s="1"/>
  <c r="E189" i="52" s="1"/>
  <c r="E195" i="52" s="1"/>
  <c r="E164" i="52"/>
  <c r="E170" i="52" s="1"/>
  <c r="E176" i="52" s="1"/>
  <c r="E182" i="52" s="1"/>
  <c r="E188" i="52" s="1"/>
  <c r="E194" i="52" s="1"/>
  <c r="N163" i="52"/>
  <c r="M163" i="52"/>
  <c r="A102" i="52"/>
  <c r="A101" i="52"/>
  <c r="B90" i="52"/>
  <c r="B89" i="52"/>
  <c r="B88" i="52"/>
  <c r="B87" i="52"/>
  <c r="B86" i="52"/>
  <c r="B85" i="52"/>
  <c r="B84" i="52"/>
  <c r="B83" i="52"/>
  <c r="B82" i="52"/>
  <c r="F79" i="52"/>
  <c r="A85" i="52" s="1"/>
  <c r="E79" i="52"/>
  <c r="A84" i="52" s="1"/>
  <c r="D79" i="52"/>
  <c r="A83" i="52" s="1"/>
  <c r="C79" i="52"/>
  <c r="A82" i="52" s="1"/>
  <c r="E78" i="52"/>
  <c r="A88" i="52" s="1"/>
  <c r="D78" i="52"/>
  <c r="A87" i="52" s="1"/>
  <c r="C78" i="52"/>
  <c r="A86" i="52" s="1"/>
  <c r="D77" i="52"/>
  <c r="A90" i="52" s="1"/>
  <c r="C77" i="52"/>
  <c r="A73" i="52"/>
  <c r="A72" i="52"/>
  <c r="A71" i="52"/>
  <c r="A68" i="52"/>
  <c r="A67" i="52"/>
  <c r="A66" i="52"/>
  <c r="A65" i="52"/>
  <c r="B54" i="52"/>
  <c r="B52" i="52"/>
  <c r="D34" i="52"/>
  <c r="C34" i="52"/>
  <c r="B34" i="52"/>
  <c r="B33" i="52"/>
  <c r="B32" i="52"/>
  <c r="D10" i="60"/>
  <c r="D5" i="60"/>
  <c r="D4" i="60"/>
  <c r="D1" i="26"/>
  <c r="E2" i="43"/>
  <c r="F53" i="50"/>
  <c r="E53" i="50"/>
  <c r="F52" i="50"/>
  <c r="G50" i="50"/>
  <c r="F46" i="50"/>
  <c r="F45" i="50"/>
  <c r="F44" i="50"/>
  <c r="F43" i="50"/>
  <c r="G42" i="50"/>
  <c r="E40" i="50"/>
  <c r="G2" i="50"/>
  <c r="E2" i="50"/>
  <c r="K178" i="38"/>
  <c r="I178" i="38"/>
  <c r="E122" i="38"/>
  <c r="E66" i="38"/>
  <c r="E64" i="38"/>
  <c r="E50" i="38"/>
  <c r="D48" i="38"/>
  <c r="Q48" i="38" s="1"/>
  <c r="H36" i="38"/>
  <c r="F36" i="38"/>
  <c r="H35" i="38"/>
  <c r="F35" i="38"/>
  <c r="H34" i="38"/>
  <c r="F34" i="38"/>
  <c r="E34" i="38"/>
  <c r="E29" i="38"/>
  <c r="H17" i="38"/>
  <c r="F17" i="38"/>
  <c r="H16" i="38"/>
  <c r="F16" i="38"/>
  <c r="H15" i="38"/>
  <c r="F15" i="38"/>
  <c r="E15" i="38"/>
  <c r="E10" i="38"/>
  <c r="Q8" i="38"/>
  <c r="D8" i="38"/>
  <c r="G2" i="38"/>
  <c r="E2" i="38"/>
  <c r="G66" i="37"/>
  <c r="G65" i="37"/>
  <c r="G63" i="37"/>
  <c r="G62" i="37"/>
  <c r="G61" i="37"/>
  <c r="G60" i="37"/>
  <c r="G59" i="37"/>
  <c r="E59" i="37"/>
  <c r="G57" i="37"/>
  <c r="O7" i="60" s="1"/>
  <c r="G56" i="37"/>
  <c r="N7" i="60" s="1"/>
  <c r="G54" i="37"/>
  <c r="M7" i="60" s="1"/>
  <c r="G53" i="37"/>
  <c r="L7" i="60" s="1"/>
  <c r="G52" i="37"/>
  <c r="K7" i="60" s="1"/>
  <c r="G51" i="37"/>
  <c r="J7" i="60" s="1"/>
  <c r="G50" i="37"/>
  <c r="I7" i="60" s="1"/>
  <c r="E50" i="37"/>
  <c r="E48" i="37"/>
  <c r="E47" i="37"/>
  <c r="D45" i="37"/>
  <c r="Q45" i="37" s="1"/>
  <c r="K3" i="37" s="1"/>
  <c r="E43" i="37"/>
  <c r="E42" i="37"/>
  <c r="E41" i="37"/>
  <c r="E40" i="37"/>
  <c r="E39" i="37"/>
  <c r="E38" i="37"/>
  <c r="E36" i="37"/>
  <c r="E34" i="37"/>
  <c r="E33" i="37"/>
  <c r="E31" i="37"/>
  <c r="E30" i="37"/>
  <c r="E29" i="37"/>
  <c r="E7" i="60" s="1"/>
  <c r="E28" i="37"/>
  <c r="G7" i="60" s="1"/>
  <c r="E26" i="37"/>
  <c r="D24" i="37"/>
  <c r="Q24" i="37" s="1"/>
  <c r="I3" i="37" s="1"/>
  <c r="I22" i="37"/>
  <c r="E22" i="37"/>
  <c r="F7" i="60" s="1"/>
  <c r="E20" i="37"/>
  <c r="E18" i="37"/>
  <c r="D16" i="37"/>
  <c r="Q16" i="37" s="1"/>
  <c r="G3" i="37" s="1"/>
  <c r="G2" i="37"/>
  <c r="E2" i="37"/>
  <c r="D84" i="10"/>
  <c r="D82" i="10"/>
  <c r="D79" i="10"/>
  <c r="D78" i="10"/>
  <c r="G75" i="10"/>
  <c r="G73" i="10"/>
  <c r="G72" i="10"/>
  <c r="G71" i="10"/>
  <c r="G70" i="10"/>
  <c r="G69" i="10"/>
  <c r="E69" i="10"/>
  <c r="G68" i="10"/>
  <c r="E68" i="10"/>
  <c r="D67" i="10"/>
  <c r="D66" i="10"/>
  <c r="D63" i="10"/>
  <c r="D60" i="10"/>
  <c r="D59" i="10"/>
  <c r="D57" i="10"/>
  <c r="D56" i="10"/>
  <c r="F55" i="10"/>
  <c r="D54" i="10"/>
  <c r="F53" i="10"/>
  <c r="D53" i="10"/>
  <c r="F52" i="10"/>
  <c r="D52" i="10"/>
  <c r="D51" i="10"/>
  <c r="D50" i="10"/>
  <c r="G38" i="10"/>
  <c r="E34" i="10"/>
  <c r="E33" i="10"/>
  <c r="E32" i="10"/>
  <c r="E31" i="10"/>
  <c r="D30" i="10"/>
  <c r="D27" i="10"/>
  <c r="D26" i="10"/>
  <c r="D17" i="10"/>
  <c r="D12" i="10"/>
  <c r="D9" i="10"/>
  <c r="D6" i="10"/>
  <c r="G2" i="10"/>
  <c r="E2" i="10"/>
  <c r="B2" i="10"/>
  <c r="M3" i="10" s="1"/>
  <c r="C69" i="9"/>
  <c r="C68" i="9"/>
  <c r="C67" i="9"/>
  <c r="C66" i="9"/>
  <c r="C65" i="9"/>
  <c r="G61" i="9"/>
  <c r="C61" i="9"/>
  <c r="C50" i="9"/>
  <c r="C49" i="9"/>
  <c r="C48" i="9"/>
  <c r="C8" i="9"/>
  <c r="G2" i="9"/>
  <c r="E2" i="9"/>
  <c r="AU2" i="60"/>
  <c r="S46" i="9" s="1"/>
  <c r="T2" i="43"/>
  <c r="S32" i="9" s="1"/>
  <c r="T2" i="50"/>
  <c r="S25" i="9" s="1"/>
  <c r="S26" i="9" s="1"/>
  <c r="S27" i="9" s="1"/>
  <c r="S28" i="9" s="1"/>
  <c r="S29" i="9" s="1"/>
  <c r="S30" i="9" s="1"/>
  <c r="T2" i="38"/>
  <c r="S21" i="9" s="1"/>
  <c r="S22" i="9" s="1"/>
  <c r="S23" i="9" s="1"/>
  <c r="T2" i="37"/>
  <c r="S14" i="9" s="1"/>
  <c r="S15" i="9" s="1"/>
  <c r="S16" i="9" s="1"/>
  <c r="T2" i="10"/>
  <c r="S12" i="9" s="1"/>
  <c r="T2" i="9"/>
  <c r="S10" i="9" s="1"/>
  <c r="B50" i="52"/>
  <c r="B49" i="52"/>
  <c r="X148" i="38"/>
  <c r="U148" i="38"/>
  <c r="R148" i="38"/>
  <c r="D148" i="38"/>
  <c r="X147" i="38"/>
  <c r="U147" i="38"/>
  <c r="R147" i="38"/>
  <c r="D147" i="38"/>
  <c r="X146" i="38"/>
  <c r="U146" i="38"/>
  <c r="R146" i="38"/>
  <c r="D146" i="38"/>
  <c r="X145" i="38"/>
  <c r="U145" i="38"/>
  <c r="R145" i="38"/>
  <c r="D145" i="38"/>
  <c r="X144" i="38"/>
  <c r="U144" i="38"/>
  <c r="R144" i="38"/>
  <c r="D144" i="38"/>
  <c r="X143" i="38"/>
  <c r="U143" i="38"/>
  <c r="R143" i="38"/>
  <c r="D143" i="38"/>
  <c r="X142" i="38"/>
  <c r="U142" i="38"/>
  <c r="R142" i="38"/>
  <c r="D142" i="38"/>
  <c r="X141" i="38"/>
  <c r="U141" i="38"/>
  <c r="R141" i="38"/>
  <c r="D141" i="38"/>
  <c r="X140" i="38"/>
  <c r="U140" i="38"/>
  <c r="R140" i="38"/>
  <c r="D140" i="38"/>
  <c r="X139" i="38"/>
  <c r="U139" i="38"/>
  <c r="R139" i="38"/>
  <c r="D139" i="38"/>
  <c r="X138" i="38"/>
  <c r="U138" i="38"/>
  <c r="R138" i="38"/>
  <c r="D138" i="38"/>
  <c r="X137" i="38"/>
  <c r="U137" i="38"/>
  <c r="R137" i="38"/>
  <c r="D137" i="38"/>
  <c r="X136" i="38"/>
  <c r="U136" i="38"/>
  <c r="R136" i="38"/>
  <c r="D136" i="38"/>
  <c r="X135" i="38"/>
  <c r="U135" i="38"/>
  <c r="R135" i="38"/>
  <c r="D135" i="38"/>
  <c r="X134" i="38"/>
  <c r="U134" i="38"/>
  <c r="R134" i="38"/>
  <c r="D134" i="38"/>
  <c r="X133" i="38"/>
  <c r="U133" i="38"/>
  <c r="R133" i="38"/>
  <c r="D133" i="38"/>
  <c r="X132" i="38"/>
  <c r="U132" i="38"/>
  <c r="R132" i="38"/>
  <c r="D132" i="38"/>
  <c r="X131" i="38"/>
  <c r="U131" i="38"/>
  <c r="R131" i="38"/>
  <c r="D131" i="38"/>
  <c r="X130" i="38"/>
  <c r="U130" i="38"/>
  <c r="R130" i="38"/>
  <c r="D130" i="38"/>
  <c r="X129" i="38"/>
  <c r="U129" i="38"/>
  <c r="R129" i="38"/>
  <c r="D129" i="38"/>
  <c r="X128" i="38"/>
  <c r="U128" i="38"/>
  <c r="R128" i="38"/>
  <c r="D128" i="38"/>
  <c r="X127" i="38"/>
  <c r="U127" i="38"/>
  <c r="R127" i="38"/>
  <c r="D127" i="38"/>
  <c r="U90" i="38"/>
  <c r="T90" i="38"/>
  <c r="U89" i="38"/>
  <c r="T89" i="38"/>
  <c r="U88" i="38"/>
  <c r="T88" i="38"/>
  <c r="U87" i="38"/>
  <c r="T87" i="38"/>
  <c r="U86" i="38"/>
  <c r="T86" i="38"/>
  <c r="U85" i="38"/>
  <c r="T85" i="38"/>
  <c r="U84" i="38"/>
  <c r="T84" i="38"/>
  <c r="U83" i="38"/>
  <c r="T83" i="38"/>
  <c r="U82" i="38"/>
  <c r="T82" i="38"/>
  <c r="U81" i="38"/>
  <c r="T81" i="38"/>
  <c r="U80" i="38"/>
  <c r="T80" i="38"/>
  <c r="U79" i="38"/>
  <c r="T79" i="38"/>
  <c r="U78" i="38"/>
  <c r="T78" i="38"/>
  <c r="U77" i="38"/>
  <c r="T77" i="38"/>
  <c r="U76" i="38"/>
  <c r="T76" i="38"/>
  <c r="U75" i="38"/>
  <c r="T75" i="38"/>
  <c r="U74" i="38"/>
  <c r="T74" i="38"/>
  <c r="U73" i="38"/>
  <c r="T73" i="38"/>
  <c r="U72" i="38"/>
  <c r="T72" i="38"/>
  <c r="U71" i="38"/>
  <c r="T71" i="38"/>
  <c r="U70" i="38"/>
  <c r="T70" i="38"/>
  <c r="U69" i="38"/>
  <c r="T69" i="38"/>
  <c r="A8" i="43"/>
  <c r="M4" i="43" s="1"/>
  <c r="R2" i="43"/>
  <c r="R2" i="10"/>
  <c r="M4" i="9"/>
  <c r="K4" i="9"/>
  <c r="I4" i="9"/>
  <c r="G4" i="9"/>
  <c r="M3" i="9"/>
  <c r="K3" i="9"/>
  <c r="I3" i="9"/>
  <c r="G3" i="9"/>
  <c r="M4" i="37"/>
  <c r="R2" i="9"/>
  <c r="G186" i="38"/>
  <c r="G185" i="38"/>
  <c r="G184" i="38"/>
  <c r="G183" i="38"/>
  <c r="H186" i="38"/>
  <c r="H185" i="38"/>
  <c r="H184" i="38"/>
  <c r="H183" i="38"/>
  <c r="K4" i="37"/>
  <c r="I4" i="37"/>
  <c r="R2" i="37"/>
  <c r="R2" i="38"/>
  <c r="B1" i="52"/>
  <c r="H191" i="52"/>
  <c r="H190" i="52"/>
  <c r="H189" i="52"/>
  <c r="H188" i="52"/>
  <c r="O162" i="52"/>
  <c r="N162" i="52"/>
  <c r="M162" i="52"/>
  <c r="M191" i="52"/>
  <c r="M190" i="52"/>
  <c r="M189" i="52"/>
  <c r="M188" i="52"/>
  <c r="I191" i="52"/>
  <c r="I190" i="52"/>
  <c r="I189" i="52"/>
  <c r="I188" i="52"/>
  <c r="AO175" i="52"/>
  <c r="AO181" i="52"/>
  <c r="AO187" i="52"/>
  <c r="P191" i="52"/>
  <c r="P188" i="52"/>
  <c r="Z187" i="52"/>
  <c r="P187" i="52"/>
  <c r="K187" i="52"/>
  <c r="G187" i="52"/>
  <c r="E187" i="52"/>
  <c r="D187" i="52"/>
  <c r="C187" i="52"/>
  <c r="P185" i="52"/>
  <c r="L185" i="52"/>
  <c r="K185" i="52"/>
  <c r="J185" i="52"/>
  <c r="H185" i="52"/>
  <c r="L184" i="52"/>
  <c r="K184" i="52"/>
  <c r="J184" i="52"/>
  <c r="H184" i="52"/>
  <c r="L183" i="52"/>
  <c r="K183" i="52"/>
  <c r="J183" i="52"/>
  <c r="H183" i="52"/>
  <c r="P182" i="52"/>
  <c r="L182" i="52"/>
  <c r="K182" i="52"/>
  <c r="J182" i="52"/>
  <c r="H182" i="52"/>
  <c r="Z181" i="52"/>
  <c r="P181" i="52"/>
  <c r="K181" i="52"/>
  <c r="G181" i="52"/>
  <c r="E181" i="52"/>
  <c r="D181" i="52"/>
  <c r="C181" i="52"/>
  <c r="P179" i="52"/>
  <c r="L179" i="52"/>
  <c r="J179" i="52"/>
  <c r="H179" i="52"/>
  <c r="L178" i="52"/>
  <c r="K178" i="52"/>
  <c r="J178" i="52"/>
  <c r="H178" i="52"/>
  <c r="L177" i="52"/>
  <c r="J177" i="52"/>
  <c r="H177" i="52"/>
  <c r="P176" i="52"/>
  <c r="L176" i="52"/>
  <c r="J176" i="52"/>
  <c r="H176" i="52"/>
  <c r="Z175" i="52"/>
  <c r="P175" i="52"/>
  <c r="K175" i="52"/>
  <c r="G175" i="52"/>
  <c r="E175" i="52"/>
  <c r="D175" i="52"/>
  <c r="C175" i="52"/>
  <c r="B175" i="52"/>
  <c r="Z169" i="52"/>
  <c r="P169" i="52"/>
  <c r="K169" i="52"/>
  <c r="G169" i="52"/>
  <c r="E169" i="52"/>
  <c r="D169" i="52"/>
  <c r="C169" i="52"/>
  <c r="O167" i="52"/>
  <c r="L167" i="52"/>
  <c r="I167" i="52"/>
  <c r="H167" i="52"/>
  <c r="O166" i="52"/>
  <c r="L166" i="52"/>
  <c r="I166" i="52"/>
  <c r="H166" i="52"/>
  <c r="D166" i="52"/>
  <c r="D172" i="52" s="1"/>
  <c r="D178" i="52" s="1"/>
  <c r="D184" i="52" s="1"/>
  <c r="D190" i="52" s="1"/>
  <c r="O165" i="52"/>
  <c r="L165" i="52"/>
  <c r="I165" i="52"/>
  <c r="H165" i="52"/>
  <c r="D165" i="52"/>
  <c r="O164" i="52"/>
  <c r="L164" i="52"/>
  <c r="I164" i="52"/>
  <c r="H164" i="52"/>
  <c r="D164" i="52"/>
  <c r="Q164" i="52" s="1"/>
  <c r="C23" i="57" s="1"/>
  <c r="C164" i="52"/>
  <c r="C170" i="52" s="1"/>
  <c r="C176" i="52" s="1"/>
  <c r="C182" i="52" s="1"/>
  <c r="C188" i="52" s="1"/>
  <c r="C194" i="52" s="1"/>
  <c r="Z163" i="52"/>
  <c r="P163" i="52"/>
  <c r="K163" i="52"/>
  <c r="G163" i="52"/>
  <c r="E163" i="52"/>
  <c r="D163" i="52"/>
  <c r="C163" i="52"/>
  <c r="L162" i="52"/>
  <c r="K162" i="52"/>
  <c r="J162" i="52"/>
  <c r="I162" i="52"/>
  <c r="H162" i="52"/>
  <c r="G162" i="52"/>
  <c r="B162" i="52"/>
  <c r="B21" i="54"/>
  <c r="F59" i="52"/>
  <c r="E59" i="52"/>
  <c r="D59" i="52"/>
  <c r="C59" i="52"/>
  <c r="E52" i="50"/>
  <c r="G51" i="50"/>
  <c r="G49" i="50"/>
  <c r="F47" i="50"/>
  <c r="E47" i="50"/>
  <c r="E46" i="50"/>
  <c r="E45" i="50"/>
  <c r="E44" i="50"/>
  <c r="G41" i="50"/>
  <c r="F40" i="50"/>
  <c r="G39" i="50"/>
  <c r="G38" i="50"/>
  <c r="F37" i="50"/>
  <c r="E37" i="50"/>
  <c r="H7" i="60"/>
  <c r="B28" i="54"/>
  <c r="B27" i="54"/>
  <c r="B25" i="54"/>
  <c r="B36" i="52"/>
  <c r="AR26" i="57" s="1"/>
  <c r="D204" i="52"/>
  <c r="D200" i="52"/>
  <c r="A129" i="52"/>
  <c r="A121" i="52"/>
  <c r="A98" i="52"/>
  <c r="F58" i="52"/>
  <c r="E58" i="52"/>
  <c r="D58" i="52"/>
  <c r="C58" i="52"/>
  <c r="B58" i="52"/>
  <c r="AE56" i="52"/>
  <c r="AD56" i="52"/>
  <c r="AC56" i="52"/>
  <c r="AB56" i="52"/>
  <c r="AA56" i="52"/>
  <c r="Z56" i="52"/>
  <c r="Y56" i="52"/>
  <c r="X56" i="52"/>
  <c r="W56" i="52"/>
  <c r="V56" i="52"/>
  <c r="U56" i="52"/>
  <c r="T56" i="52"/>
  <c r="S56" i="52"/>
  <c r="R56" i="52"/>
  <c r="Q56" i="52"/>
  <c r="P56" i="52"/>
  <c r="O56" i="52"/>
  <c r="N56" i="52"/>
  <c r="M56" i="52"/>
  <c r="L56" i="52"/>
  <c r="K56" i="52"/>
  <c r="J56" i="52"/>
  <c r="I56" i="52"/>
  <c r="H56" i="52"/>
  <c r="F56" i="52"/>
  <c r="E56" i="52"/>
  <c r="D56" i="52"/>
  <c r="C56" i="52"/>
  <c r="B56" i="52"/>
  <c r="C55" i="52"/>
  <c r="B55" i="52"/>
  <c r="B53" i="52"/>
  <c r="B51" i="52"/>
  <c r="B48" i="52"/>
  <c r="B47" i="52"/>
  <c r="B46" i="52"/>
  <c r="B45" i="52"/>
  <c r="B44" i="52"/>
  <c r="B39" i="52"/>
  <c r="B38" i="52"/>
  <c r="B37" i="52"/>
  <c r="B35" i="52"/>
  <c r="E63" i="50" s="1"/>
  <c r="C33" i="52"/>
  <c r="B31" i="52"/>
  <c r="B42" i="26"/>
  <c r="C40" i="26"/>
  <c r="R125" i="38"/>
  <c r="R126" i="38"/>
  <c r="X125" i="38"/>
  <c r="X126" i="38"/>
  <c r="G49" i="9"/>
  <c r="G50" i="9"/>
  <c r="V46" i="38"/>
  <c r="W46" i="38" s="1"/>
  <c r="V37" i="38"/>
  <c r="W37" i="38" s="1"/>
  <c r="V38" i="38"/>
  <c r="W38" i="38" s="1"/>
  <c r="V39" i="38"/>
  <c r="W39" i="38" s="1"/>
  <c r="V40" i="38"/>
  <c r="W40" i="38" s="1"/>
  <c r="V41" i="38"/>
  <c r="W41" i="38" s="1"/>
  <c r="V42" i="38"/>
  <c r="W42" i="38" s="1"/>
  <c r="V43" i="38"/>
  <c r="W43" i="38" s="1"/>
  <c r="V44" i="38"/>
  <c r="W44" i="38" s="1"/>
  <c r="V45" i="38"/>
  <c r="W45" i="38" s="1"/>
  <c r="V18" i="38"/>
  <c r="W18" i="38" s="1"/>
  <c r="V19" i="38"/>
  <c r="W19" i="38" s="1"/>
  <c r="V20" i="38"/>
  <c r="W20" i="38" s="1"/>
  <c r="V21" i="38"/>
  <c r="W21" i="38" s="1"/>
  <c r="V22" i="38"/>
  <c r="W22" i="38" s="1"/>
  <c r="V23" i="38"/>
  <c r="W23" i="38" s="1"/>
  <c r="V24" i="38"/>
  <c r="W24" i="38" s="1"/>
  <c r="V25" i="38"/>
  <c r="W25" i="38" s="1"/>
  <c r="V26" i="38"/>
  <c r="W26" i="38" s="1"/>
  <c r="V27" i="38"/>
  <c r="W27" i="38" s="1"/>
  <c r="T67" i="38"/>
  <c r="T68" i="38"/>
  <c r="D126" i="38"/>
  <c r="G67" i="9"/>
  <c r="D125" i="38"/>
  <c r="U125" i="38"/>
  <c r="H179" i="38"/>
  <c r="G66" i="9"/>
  <c r="G68" i="9"/>
  <c r="B29" i="54"/>
  <c r="B26" i="54"/>
  <c r="B24" i="54"/>
  <c r="B23" i="54"/>
  <c r="B22" i="54"/>
  <c r="B20" i="54"/>
  <c r="B19" i="54"/>
  <c r="C3" i="54" s="1"/>
  <c r="G69" i="9" s="1"/>
  <c r="B18" i="54"/>
  <c r="U67" i="38"/>
  <c r="U68" i="38"/>
  <c r="U126" i="38"/>
  <c r="H182" i="38"/>
  <c r="H181" i="38"/>
  <c r="H180" i="38"/>
  <c r="K81" i="65"/>
  <c r="M82" i="65"/>
  <c r="M83" i="65" s="1"/>
  <c r="M51" i="65"/>
  <c r="M52" i="65" s="1"/>
  <c r="K83" i="65"/>
  <c r="I123" i="65"/>
  <c r="K52" i="65"/>
  <c r="M53" i="65"/>
  <c r="M54" i="65" s="1"/>
  <c r="I119" i="65"/>
  <c r="I108" i="65"/>
  <c r="I113" i="65"/>
  <c r="I112" i="65"/>
  <c r="I111" i="65"/>
  <c r="I114" i="65"/>
  <c r="I124" i="65"/>
  <c r="I122" i="65"/>
  <c r="I109" i="65"/>
  <c r="I121" i="65"/>
  <c r="I118" i="65"/>
  <c r="I115" i="65"/>
  <c r="I125" i="65"/>
  <c r="I110" i="65"/>
  <c r="I116" i="65"/>
  <c r="I117" i="65"/>
  <c r="I127" i="65"/>
  <c r="I120" i="65"/>
  <c r="I126" i="65"/>
  <c r="K54" i="65"/>
  <c r="M55" i="65"/>
  <c r="M56" i="65" s="1"/>
  <c r="M57" i="65"/>
  <c r="M58" i="65" s="1"/>
  <c r="M59" i="65"/>
  <c r="M60" i="65" s="1"/>
  <c r="M61" i="65"/>
  <c r="M62" i="65" s="1"/>
  <c r="M63" i="65"/>
  <c r="M64" i="65" s="1"/>
  <c r="M65" i="65"/>
  <c r="M66" i="65" s="1"/>
  <c r="M67" i="65"/>
  <c r="M68" i="65" s="1"/>
  <c r="M69" i="65"/>
  <c r="F46" i="65"/>
  <c r="N288" i="43"/>
  <c r="A147" i="52"/>
  <c r="G134" i="52" s="1"/>
  <c r="I46" i="65"/>
  <c r="AQ70" i="50"/>
  <c r="H18" i="57"/>
  <c r="AQ68" i="50"/>
  <c r="E77" i="65"/>
  <c r="G75" i="65"/>
  <c r="D149" i="52"/>
  <c r="R36" i="9"/>
  <c r="D40" i="9"/>
  <c r="R42" i="9"/>
  <c r="R44" i="9"/>
  <c r="R34" i="9"/>
  <c r="R23" i="9"/>
  <c r="D38" i="9"/>
  <c r="R10" i="9"/>
  <c r="B79" i="52"/>
  <c r="R46" i="9"/>
  <c r="R32" i="9"/>
  <c r="R16" i="9"/>
  <c r="F50" i="66" l="1" a="1"/>
  <c r="F50" i="66" s="1"/>
  <c r="M50" i="66" s="1" a="1"/>
  <c r="M50" i="66" s="1"/>
  <c r="L50" i="66" a="1"/>
  <c r="L50" i="66" s="1"/>
  <c r="E49" i="65"/>
  <c r="K4" i="66"/>
  <c r="K564" i="50"/>
  <c r="K1181" i="50"/>
  <c r="K481" i="50"/>
  <c r="K817" i="50"/>
  <c r="K1097" i="50"/>
  <c r="K452" i="50"/>
  <c r="K1405" i="50"/>
  <c r="K1376" i="50"/>
  <c r="K845" i="50"/>
  <c r="K480" i="50"/>
  <c r="K1124" i="50"/>
  <c r="K928" i="50"/>
  <c r="K1013" i="50"/>
  <c r="K453" i="50"/>
  <c r="K396" i="50"/>
  <c r="K368" i="50"/>
  <c r="K256" i="50"/>
  <c r="K284" i="50"/>
  <c r="K172" i="50"/>
  <c r="K733" i="50"/>
  <c r="K201" i="50"/>
  <c r="K593" i="50"/>
  <c r="K929" i="50"/>
  <c r="K1153" i="50"/>
  <c r="K901" i="50"/>
  <c r="K1404" i="50"/>
  <c r="K648" i="50"/>
  <c r="K957" i="50"/>
  <c r="K844" i="50"/>
  <c r="K537" i="50"/>
  <c r="K621" i="50"/>
  <c r="K1237" i="50"/>
  <c r="K732" i="50"/>
  <c r="K1180" i="50"/>
  <c r="K1293" i="50"/>
  <c r="K816" i="50"/>
  <c r="K1012" i="50"/>
  <c r="K341" i="50"/>
  <c r="K424" i="50"/>
  <c r="K229" i="50"/>
  <c r="K88" i="50"/>
  <c r="K956" i="50"/>
  <c r="K313" i="50"/>
  <c r="K649" i="50"/>
  <c r="K985" i="50"/>
  <c r="K1265" i="50"/>
  <c r="K1349" i="50"/>
  <c r="K1068" i="50"/>
  <c r="K1433" i="50"/>
  <c r="K900" i="50"/>
  <c r="K676" i="50"/>
  <c r="K536" i="50"/>
  <c r="K620" i="50"/>
  <c r="K1236" i="50"/>
  <c r="K565" i="50"/>
  <c r="K1040" i="50"/>
  <c r="K1152" i="50"/>
  <c r="K1209" i="50"/>
  <c r="K1292" i="50"/>
  <c r="K1321" i="50"/>
  <c r="K592" i="50"/>
  <c r="K789" i="50"/>
  <c r="K873" i="50"/>
  <c r="K340" i="50"/>
  <c r="K509" i="50"/>
  <c r="K705" i="50"/>
  <c r="K145" i="50"/>
  <c r="K173" i="50"/>
  <c r="K117" i="50"/>
  <c r="K89" i="50"/>
  <c r="K1069" i="50"/>
  <c r="K425" i="50"/>
  <c r="K761" i="50"/>
  <c r="K1041" i="50"/>
  <c r="K228" i="50"/>
  <c r="K1096" i="50"/>
  <c r="K1432" i="50"/>
  <c r="K1377" i="50"/>
  <c r="K1264" i="50"/>
  <c r="K1348" i="50"/>
  <c r="K677" i="50"/>
  <c r="K1125" i="50"/>
  <c r="K760" i="50"/>
  <c r="K984" i="50"/>
  <c r="K1208" i="50"/>
  <c r="K1320" i="50"/>
  <c r="K788" i="50"/>
  <c r="K872" i="50"/>
  <c r="K312" i="50"/>
  <c r="K508" i="50"/>
  <c r="K704" i="50"/>
  <c r="K200" i="50"/>
  <c r="K397" i="50"/>
  <c r="K369" i="50"/>
  <c r="K257" i="50"/>
  <c r="K285" i="50"/>
  <c r="K144" i="50"/>
  <c r="K116" i="50"/>
  <c r="C258" i="66"/>
  <c r="D235" i="66"/>
  <c r="A235" i="66"/>
  <c r="K50" i="66" a="1"/>
  <c r="K50" i="66" s="1"/>
  <c r="J50" i="66" a="1"/>
  <c r="J50" i="66" s="1"/>
  <c r="I51" i="66" a="1"/>
  <c r="I51" i="66" s="1"/>
  <c r="G51" i="66" a="1"/>
  <c r="G51" i="66" s="1"/>
  <c r="AR27" i="57"/>
  <c r="AR28" i="57"/>
  <c r="AR50" i="57"/>
  <c r="AR41" i="57"/>
  <c r="AR40" i="57"/>
  <c r="AR61" i="57"/>
  <c r="AR39" i="57"/>
  <c r="AR47" i="57"/>
  <c r="AR34" i="57"/>
  <c r="AR48" i="57"/>
  <c r="AR36" i="57"/>
  <c r="AR54" i="57"/>
  <c r="AR38" i="57"/>
  <c r="AR59" i="57"/>
  <c r="AR53" i="57"/>
  <c r="AR60" i="57"/>
  <c r="AR51" i="57"/>
  <c r="AR62" i="57"/>
  <c r="AR64" i="57"/>
  <c r="AR57" i="57"/>
  <c r="AR33" i="57"/>
  <c r="AR44" i="57"/>
  <c r="AR31" i="57"/>
  <c r="AR37" i="57"/>
  <c r="AR30" i="57"/>
  <c r="AR63" i="57"/>
  <c r="AR56" i="57"/>
  <c r="AR45" i="57"/>
  <c r="AR42" i="57"/>
  <c r="AR29" i="57"/>
  <c r="AR35" i="57"/>
  <c r="AR58" i="57"/>
  <c r="AR55" i="57"/>
  <c r="AR46" i="57"/>
  <c r="AR32" i="57"/>
  <c r="AR43" i="57"/>
  <c r="AR52" i="57"/>
  <c r="AR49" i="57"/>
  <c r="AE1385" i="50"/>
  <c r="AE1354" i="50"/>
  <c r="AE1328" i="50"/>
  <c r="AE1301" i="50"/>
  <c r="AE1272" i="50"/>
  <c r="AE1217" i="50"/>
  <c r="AE1188" i="50"/>
  <c r="AE1161" i="50"/>
  <c r="AE1130" i="50"/>
  <c r="AE1104" i="50"/>
  <c r="AE1102" i="50"/>
  <c r="AE1076" i="50"/>
  <c r="AE1049" i="50"/>
  <c r="AE1018" i="50"/>
  <c r="AE992" i="50"/>
  <c r="AE1440" i="50"/>
  <c r="AE1413" i="50"/>
  <c r="AE1382" i="50"/>
  <c r="AE1357" i="50"/>
  <c r="AE1298" i="50"/>
  <c r="AE1245" i="50"/>
  <c r="AE1214" i="50"/>
  <c r="AE1158" i="50"/>
  <c r="AE1132" i="50"/>
  <c r="AE1046" i="50"/>
  <c r="AE1441" i="50"/>
  <c r="AE1438" i="50"/>
  <c r="AE1384" i="50"/>
  <c r="AE1329" i="50"/>
  <c r="AE1300" i="50"/>
  <c r="AE1273" i="50"/>
  <c r="AE1242" i="50"/>
  <c r="AE1216" i="50"/>
  <c r="AE1189" i="50"/>
  <c r="AE1160" i="50"/>
  <c r="AE1105" i="50"/>
  <c r="AE1077" i="50"/>
  <c r="AE1048" i="50"/>
  <c r="AE993" i="50"/>
  <c r="AE962" i="50"/>
  <c r="AE1074" i="50"/>
  <c r="AE964" i="50"/>
  <c r="AE906" i="50"/>
  <c r="AE850" i="50"/>
  <c r="AE824" i="50"/>
  <c r="AE797" i="50"/>
  <c r="AE769" i="50"/>
  <c r="AE741" i="50"/>
  <c r="AE713" i="50"/>
  <c r="AE684" i="50"/>
  <c r="AE629" i="50"/>
  <c r="AE1410" i="50"/>
  <c r="AE1326" i="50"/>
  <c r="AE1270" i="50"/>
  <c r="AE1021" i="50"/>
  <c r="AE937" i="50"/>
  <c r="AE908" i="50"/>
  <c r="AE881" i="50"/>
  <c r="AE852" i="50"/>
  <c r="AE794" i="50"/>
  <c r="AE766" i="50"/>
  <c r="AE710" i="50"/>
  <c r="AE657" i="50"/>
  <c r="AE626" i="50"/>
  <c r="AE1356" i="50"/>
  <c r="AE1186" i="50"/>
  <c r="AE1133" i="50"/>
  <c r="AE990" i="50"/>
  <c r="AE965" i="50"/>
  <c r="AE934" i="50"/>
  <c r="AE878" i="50"/>
  <c r="AE825" i="50"/>
  <c r="AE796" i="50"/>
  <c r="AE768" i="50"/>
  <c r="AE738" i="50"/>
  <c r="AE712" i="50"/>
  <c r="AE685" i="50"/>
  <c r="AE654" i="50"/>
  <c r="AE628" i="50"/>
  <c r="AE936" i="50"/>
  <c r="AE909" i="50"/>
  <c r="AE601" i="50"/>
  <c r="AE570" i="50"/>
  <c r="AE544" i="50"/>
  <c r="AE517" i="50"/>
  <c r="AE488" i="50"/>
  <c r="AE461" i="50"/>
  <c r="AE430" i="50"/>
  <c r="AE374" i="50"/>
  <c r="AE321" i="50"/>
  <c r="AE292" i="50"/>
  <c r="AE265" i="50"/>
  <c r="AE236" i="50"/>
  <c r="AE209" i="50"/>
  <c r="AE740" i="50"/>
  <c r="AE682" i="50"/>
  <c r="AE598" i="50"/>
  <c r="AE572" i="50"/>
  <c r="AE514" i="50"/>
  <c r="AE458" i="50"/>
  <c r="AE432" i="50"/>
  <c r="AE405" i="50"/>
  <c r="AE376" i="50"/>
  <c r="AE349" i="50"/>
  <c r="AE318" i="50"/>
  <c r="AE262" i="50"/>
  <c r="AE1244" i="50"/>
  <c r="AE822" i="50"/>
  <c r="AE600" i="50"/>
  <c r="AE573" i="50"/>
  <c r="AE545" i="50"/>
  <c r="AE516" i="50"/>
  <c r="AE489" i="50"/>
  <c r="AE460" i="50"/>
  <c r="AE402" i="50"/>
  <c r="AE346" i="50"/>
  <c r="AE320" i="50"/>
  <c r="AE293" i="50"/>
  <c r="AE264" i="50"/>
  <c r="AE237" i="50"/>
  <c r="AE208" i="50"/>
  <c r="AE1412" i="50"/>
  <c r="AE1020" i="50"/>
  <c r="AE880" i="50"/>
  <c r="AE290" i="50"/>
  <c r="AE180" i="50"/>
  <c r="AE125" i="50"/>
  <c r="AE94" i="50"/>
  <c r="AE542" i="50"/>
  <c r="AE853" i="50"/>
  <c r="AE348" i="50"/>
  <c r="AE206" i="50"/>
  <c r="AE153" i="50"/>
  <c r="AE122" i="50"/>
  <c r="AE152" i="50"/>
  <c r="AE96" i="50"/>
  <c r="AE656" i="50"/>
  <c r="AE404" i="50"/>
  <c r="AE377" i="50"/>
  <c r="AE234" i="50"/>
  <c r="AE181" i="50"/>
  <c r="AE150" i="50"/>
  <c r="AE124" i="50"/>
  <c r="AE486" i="50"/>
  <c r="AE433" i="50"/>
  <c r="AE178" i="50"/>
  <c r="AE97" i="50"/>
  <c r="AC98" i="50"/>
  <c r="CQ98" i="50"/>
  <c r="BC98" i="50"/>
  <c r="A89" i="52"/>
  <c r="AA77" i="50" s="1"/>
  <c r="BC99" i="50"/>
  <c r="AC99" i="50"/>
  <c r="CQ99" i="50"/>
  <c r="R31" i="43"/>
  <c r="G797" i="43" s="1"/>
  <c r="AV346" i="50"/>
  <c r="BK340" i="50" s="1"/>
  <c r="CQ1445" i="50"/>
  <c r="CQ1443" i="50"/>
  <c r="BC1216" i="50"/>
  <c r="AC1386" i="50"/>
  <c r="BC1389" i="50"/>
  <c r="AV1382" i="50"/>
  <c r="BK1376" i="50" s="1"/>
  <c r="CQ1133" i="50"/>
  <c r="CQ1136" i="50"/>
  <c r="M1109" i="50"/>
  <c r="CQ1135" i="50"/>
  <c r="CQ1195" i="50"/>
  <c r="CQ1137" i="50"/>
  <c r="BC1221" i="50"/>
  <c r="AV1298" i="50"/>
  <c r="BK1292" i="50" s="1"/>
  <c r="M1270" i="50"/>
  <c r="M1248" i="50"/>
  <c r="M1306" i="50"/>
  <c r="AC714" i="50"/>
  <c r="AC719" i="50" s="1"/>
  <c r="BC801" i="50"/>
  <c r="M801" i="50"/>
  <c r="M850" i="50"/>
  <c r="CQ880" i="50"/>
  <c r="M913" i="50"/>
  <c r="CQ964" i="50"/>
  <c r="M439" i="50"/>
  <c r="BC463" i="50"/>
  <c r="CQ495" i="50"/>
  <c r="BC547" i="50"/>
  <c r="M495" i="50"/>
  <c r="AC497" i="50"/>
  <c r="AC322" i="50"/>
  <c r="AC327" i="50" s="1"/>
  <c r="M346" i="50"/>
  <c r="AC1413" i="50"/>
  <c r="BC1445" i="50"/>
  <c r="M1445" i="50"/>
  <c r="AC1387" i="50"/>
  <c r="AH1102" i="50"/>
  <c r="AT1102" i="50" s="1"/>
  <c r="CQ1216" i="50"/>
  <c r="M1382" i="50"/>
  <c r="BC1388" i="50"/>
  <c r="BC1133" i="50"/>
  <c r="BC1136" i="50"/>
  <c r="CQ1076" i="50"/>
  <c r="AH906" i="50"/>
  <c r="AT906" i="50" s="1"/>
  <c r="CQ1244" i="50"/>
  <c r="AC1160" i="50"/>
  <c r="AC1164" i="50" s="1"/>
  <c r="CQ1164" i="50"/>
  <c r="AC1274" i="50"/>
  <c r="AC1279" i="50" s="1"/>
  <c r="BC1331" i="50"/>
  <c r="M1052" i="50"/>
  <c r="M1298" i="50"/>
  <c r="CQ1248" i="50"/>
  <c r="M1276" i="50"/>
  <c r="BC770" i="50"/>
  <c r="BC937" i="50"/>
  <c r="AC967" i="50"/>
  <c r="CQ992" i="50"/>
  <c r="CQ1024" i="50"/>
  <c r="M1024" i="50"/>
  <c r="CQ547" i="50"/>
  <c r="AC575" i="50"/>
  <c r="BC1413" i="50"/>
  <c r="AC1281" i="50"/>
  <c r="AC1440" i="50"/>
  <c r="AC1445" i="50" s="1"/>
  <c r="CQ1387" i="50"/>
  <c r="AC1217" i="50"/>
  <c r="AC1301" i="50"/>
  <c r="CQ1386" i="50"/>
  <c r="AH1354" i="50"/>
  <c r="AT1354" i="50" s="1"/>
  <c r="M1389" i="50"/>
  <c r="M1388" i="50"/>
  <c r="AC1133" i="50"/>
  <c r="BC1076" i="50"/>
  <c r="BC1048" i="50"/>
  <c r="M1081" i="50"/>
  <c r="CQ1160" i="50"/>
  <c r="BC1306" i="50"/>
  <c r="BC1164" i="50"/>
  <c r="CQ1274" i="50"/>
  <c r="AC1219" i="50"/>
  <c r="M1221" i="50"/>
  <c r="BC1248" i="50"/>
  <c r="AC740" i="50"/>
  <c r="AC744" i="50" s="1"/>
  <c r="CQ853" i="50"/>
  <c r="BC880" i="50"/>
  <c r="AC937" i="50"/>
  <c r="BC964" i="50"/>
  <c r="BC1024" i="50"/>
  <c r="AC553" i="50"/>
  <c r="CQ519" i="50"/>
  <c r="CQ575" i="50"/>
  <c r="BC606" i="50"/>
  <c r="BC714" i="50"/>
  <c r="BC322" i="50"/>
  <c r="AC1421" i="50"/>
  <c r="BC1194" i="50"/>
  <c r="CQ1277" i="50"/>
  <c r="M1166" i="50"/>
  <c r="BC1330" i="50"/>
  <c r="AC1329" i="50"/>
  <c r="M1332" i="50"/>
  <c r="BC493" i="50"/>
  <c r="AC964" i="50"/>
  <c r="AC968" i="50" s="1"/>
  <c r="AC1023" i="50"/>
  <c r="CQ714" i="50"/>
  <c r="AH122" i="50"/>
  <c r="AT122" i="50" s="1"/>
  <c r="AH318" i="50"/>
  <c r="AT318" i="50" s="1"/>
  <c r="CQ270" i="50"/>
  <c r="BC209" i="50"/>
  <c r="CQ266" i="50"/>
  <c r="BC182" i="50"/>
  <c r="M212" i="50"/>
  <c r="AC182" i="50"/>
  <c r="AC186" i="50" s="1"/>
  <c r="CQ1109" i="50"/>
  <c r="CQ1306" i="50"/>
  <c r="AC1302" i="50"/>
  <c r="CQ800" i="50"/>
  <c r="CQ576" i="50"/>
  <c r="CQ606" i="50"/>
  <c r="M606" i="50"/>
  <c r="AC266" i="50"/>
  <c r="AC270" i="50" s="1"/>
  <c r="M206" i="50"/>
  <c r="BC266" i="50"/>
  <c r="CQ182" i="50"/>
  <c r="BC575" i="50"/>
  <c r="AC1449" i="50"/>
  <c r="BC1387" i="50"/>
  <c r="CQ1134" i="50"/>
  <c r="M1136" i="50"/>
  <c r="AC1218" i="50"/>
  <c r="M1307" i="50"/>
  <c r="CQ937" i="50"/>
  <c r="BC495" i="50"/>
  <c r="AC547" i="50"/>
  <c r="BC544" i="50"/>
  <c r="AC693" i="50"/>
  <c r="CQ715" i="50"/>
  <c r="BC407" i="50"/>
  <c r="CQ183" i="50"/>
  <c r="CQ1389" i="50"/>
  <c r="M934" i="50"/>
  <c r="M493" i="50"/>
  <c r="CQ322" i="50"/>
  <c r="AC183" i="50"/>
  <c r="CQ209" i="50"/>
  <c r="M297" i="50"/>
  <c r="CQ297" i="50"/>
  <c r="M270" i="50"/>
  <c r="M290" i="50"/>
  <c r="A108" i="52"/>
  <c r="BC1442" i="50"/>
  <c r="BC1441" i="50"/>
  <c r="AC777" i="50"/>
  <c r="AC1141" i="50"/>
  <c r="AC1385" i="50"/>
  <c r="BC1386" i="50"/>
  <c r="CQ1221" i="50"/>
  <c r="AC880" i="50"/>
  <c r="AC884" i="50" s="1"/>
  <c r="CQ685" i="50"/>
  <c r="BC270" i="50"/>
  <c r="AC209" i="50"/>
  <c r="BC297" i="50"/>
  <c r="BC183" i="50"/>
  <c r="AV94" i="50"/>
  <c r="BK88" i="50" s="1"/>
  <c r="M884" i="50"/>
  <c r="CQ1272" i="50"/>
  <c r="BC1444" i="50"/>
  <c r="CQ128" i="50"/>
  <c r="AC581" i="50"/>
  <c r="AC236" i="50"/>
  <c r="AC241" i="50" s="1"/>
  <c r="AC1085" i="50"/>
  <c r="CQ1329" i="50"/>
  <c r="AC665" i="50"/>
  <c r="M774" i="50"/>
  <c r="CQ406" i="50"/>
  <c r="BC713" i="50"/>
  <c r="BC494" i="50"/>
  <c r="CQ1218" i="50"/>
  <c r="M968" i="50"/>
  <c r="BC1278" i="50"/>
  <c r="AC155" i="50"/>
  <c r="AC189" i="50"/>
  <c r="M354" i="50"/>
  <c r="M184" i="50"/>
  <c r="CQ293" i="50"/>
  <c r="CQ548" i="50"/>
  <c r="AC488" i="50"/>
  <c r="AC492" i="50" s="1"/>
  <c r="AC1309" i="50"/>
  <c r="AH1074" i="50"/>
  <c r="AT1074" i="50" s="1"/>
  <c r="AV1214" i="50"/>
  <c r="BK1208" i="50" s="1"/>
  <c r="AC217" i="50"/>
  <c r="CQ295" i="50"/>
  <c r="AH598" i="50"/>
  <c r="AT598" i="50" s="1"/>
  <c r="AV458" i="50"/>
  <c r="BK452" i="50" s="1"/>
  <c r="M940" i="50"/>
  <c r="AV738" i="50"/>
  <c r="BK732" i="50" s="1"/>
  <c r="M1305" i="50"/>
  <c r="AV1102" i="50"/>
  <c r="BK1096" i="50" s="1"/>
  <c r="BC1244" i="50"/>
  <c r="BC967" i="50"/>
  <c r="AH1410" i="50"/>
  <c r="AT1410" i="50" s="1"/>
  <c r="M858" i="50"/>
  <c r="CQ633" i="50"/>
  <c r="AC516" i="50"/>
  <c r="AC434" i="50"/>
  <c r="AC439" i="50" s="1"/>
  <c r="M1164" i="50"/>
  <c r="M1195" i="50"/>
  <c r="CQ1388" i="50"/>
  <c r="AC210" i="50"/>
  <c r="AC214" i="50" s="1"/>
  <c r="AC301" i="50"/>
  <c r="M691" i="50"/>
  <c r="M241" i="50"/>
  <c r="M856" i="50"/>
  <c r="M746" i="50"/>
  <c r="BC489" i="50"/>
  <c r="AH570" i="50"/>
  <c r="AT570" i="50" s="1"/>
  <c r="AC1057" i="50"/>
  <c r="BC853" i="50"/>
  <c r="M1277" i="50"/>
  <c r="AC1134" i="50"/>
  <c r="AC1138" i="50" s="1"/>
  <c r="AC1113" i="50"/>
  <c r="AV1130" i="50"/>
  <c r="BK1124" i="50" s="1"/>
  <c r="AC1441" i="50"/>
  <c r="M1410" i="50"/>
  <c r="M1438" i="50"/>
  <c r="CQ1440" i="50"/>
  <c r="BC1414" i="50"/>
  <c r="CQ852" i="50"/>
  <c r="BC1277" i="50"/>
  <c r="CQ1447" i="50"/>
  <c r="BC1419" i="50"/>
  <c r="CQ1417" i="50"/>
  <c r="BC630" i="50"/>
  <c r="BC1446" i="50"/>
  <c r="BC1418" i="50"/>
  <c r="BC656" i="50"/>
  <c r="CQ355" i="50"/>
  <c r="AH514" i="50"/>
  <c r="AT514" i="50" s="1"/>
  <c r="CQ773" i="50"/>
  <c r="M1416" i="50"/>
  <c r="CQ1415" i="50"/>
  <c r="BC1391" i="50"/>
  <c r="BC1356" i="50"/>
  <c r="CQ1363" i="50"/>
  <c r="BC1390" i="50"/>
  <c r="CQ660" i="50"/>
  <c r="BC521" i="50"/>
  <c r="AH962" i="50"/>
  <c r="AT962" i="50" s="1"/>
  <c r="BC1302" i="50"/>
  <c r="M1361" i="50"/>
  <c r="BC1357" i="50"/>
  <c r="BC1195" i="50"/>
  <c r="M717" i="50"/>
  <c r="AH374" i="50"/>
  <c r="AT374" i="50" s="1"/>
  <c r="BC1358" i="50"/>
  <c r="M1363" i="50"/>
  <c r="BC1273" i="50"/>
  <c r="M1220" i="50"/>
  <c r="M1053" i="50"/>
  <c r="M1102" i="50"/>
  <c r="AC125" i="50"/>
  <c r="M800" i="50"/>
  <c r="CQ1328" i="50"/>
  <c r="CQ1249" i="50"/>
  <c r="BC1222" i="50"/>
  <c r="BC1139" i="50"/>
  <c r="AC295" i="50"/>
  <c r="BC382" i="50"/>
  <c r="M549" i="50"/>
  <c r="CQ518" i="50"/>
  <c r="CQ770" i="50"/>
  <c r="M1334" i="50"/>
  <c r="CQ1223" i="50"/>
  <c r="CQ1192" i="50"/>
  <c r="AV1158" i="50"/>
  <c r="BK1152" i="50" s="1"/>
  <c r="CQ1138" i="50"/>
  <c r="CQ1050" i="50"/>
  <c r="CQ768" i="50"/>
  <c r="AC1105" i="50"/>
  <c r="BC799" i="50"/>
  <c r="M1304" i="50"/>
  <c r="BC1279" i="50"/>
  <c r="BC1275" i="50"/>
  <c r="M1054" i="50"/>
  <c r="AC1190" i="50"/>
  <c r="AC1194" i="50" s="1"/>
  <c r="BC1110" i="50"/>
  <c r="BC1104" i="50"/>
  <c r="M355" i="50"/>
  <c r="CQ1245" i="50"/>
  <c r="BC1188" i="50"/>
  <c r="AC1191" i="50"/>
  <c r="AC1106" i="50"/>
  <c r="BC1083" i="50"/>
  <c r="CQ157" i="50"/>
  <c r="AC685" i="50"/>
  <c r="AC1272" i="50"/>
  <c r="AC1276" i="50" s="1"/>
  <c r="CQ1385" i="50"/>
  <c r="BC96" i="50"/>
  <c r="AV178" i="50"/>
  <c r="BK172" i="50" s="1"/>
  <c r="AV290" i="50"/>
  <c r="BK284" i="50" s="1"/>
  <c r="M466" i="50"/>
  <c r="AC1029" i="50"/>
  <c r="M744" i="50"/>
  <c r="M1362" i="50"/>
  <c r="BC1329" i="50"/>
  <c r="CQ628" i="50"/>
  <c r="AC721" i="50"/>
  <c r="AC609" i="50"/>
  <c r="AC749" i="50"/>
  <c r="BC1272" i="50"/>
  <c r="CQ716" i="50"/>
  <c r="BC1333" i="50"/>
  <c r="BC1218" i="50"/>
  <c r="CQ464" i="50"/>
  <c r="M1278" i="50"/>
  <c r="AC127" i="50"/>
  <c r="M156" i="50"/>
  <c r="CQ129" i="50"/>
  <c r="CQ215" i="50"/>
  <c r="AC973" i="50"/>
  <c r="BC548" i="50"/>
  <c r="AH430" i="50"/>
  <c r="AT430" i="50" s="1"/>
  <c r="AC1197" i="50"/>
  <c r="BC852" i="50"/>
  <c r="M1214" i="50"/>
  <c r="M410" i="50"/>
  <c r="AH206" i="50"/>
  <c r="AT206" i="50" s="1"/>
  <c r="AC469" i="50"/>
  <c r="AV626" i="50"/>
  <c r="BK620" i="50" s="1"/>
  <c r="M1279" i="50"/>
  <c r="BC773" i="50"/>
  <c r="BC1109" i="50"/>
  <c r="CQ463" i="50"/>
  <c r="BC1274" i="50"/>
  <c r="M465" i="50"/>
  <c r="M999" i="50"/>
  <c r="AC861" i="50"/>
  <c r="AC544" i="50"/>
  <c r="AC549" i="50" s="1"/>
  <c r="AC1225" i="50"/>
  <c r="BC576" i="50"/>
  <c r="AC1331" i="50"/>
  <c r="AV1354" i="50"/>
  <c r="BK1348" i="50" s="1"/>
  <c r="AH1438" i="50"/>
  <c r="AT1438" i="50" s="1"/>
  <c r="AC245" i="50"/>
  <c r="AV122" i="50"/>
  <c r="BK116" i="50" s="1"/>
  <c r="AH178" i="50"/>
  <c r="AT178" i="50" s="1"/>
  <c r="M579" i="50"/>
  <c r="AC1001" i="50"/>
  <c r="AC833" i="50"/>
  <c r="M632" i="50"/>
  <c r="AC407" i="50"/>
  <c r="AC1253" i="50"/>
  <c r="AC770" i="50"/>
  <c r="AC775" i="50" s="1"/>
  <c r="BC800" i="50"/>
  <c r="AC1365" i="50"/>
  <c r="AC1076" i="50"/>
  <c r="CQ1023" i="50"/>
  <c r="AV1438" i="50"/>
  <c r="BK1432" i="50" s="1"/>
  <c r="CQ488" i="50"/>
  <c r="BC406" i="50"/>
  <c r="BC210" i="50"/>
  <c r="AC1443" i="50"/>
  <c r="CQ1414" i="50"/>
  <c r="CQ1189" i="50"/>
  <c r="M1447" i="50"/>
  <c r="CQ1419" i="50"/>
  <c r="CQ1416" i="50"/>
  <c r="BC377" i="50"/>
  <c r="CQ967" i="50"/>
  <c r="BC1052" i="50"/>
  <c r="M1333" i="50"/>
  <c r="CQ1418" i="50"/>
  <c r="AC463" i="50"/>
  <c r="AC713" i="50"/>
  <c r="AH1018" i="50"/>
  <c r="AT1018" i="50" s="1"/>
  <c r="AH1326" i="50"/>
  <c r="AT1326" i="50" s="1"/>
  <c r="M1130" i="50"/>
  <c r="BC1217" i="50"/>
  <c r="BC1412" i="50"/>
  <c r="BC1415" i="50"/>
  <c r="AC1356" i="50"/>
  <c r="BC1384" i="50"/>
  <c r="BC1361" i="50"/>
  <c r="BC1360" i="50"/>
  <c r="BC717" i="50"/>
  <c r="AH458" i="50"/>
  <c r="AT458" i="50" s="1"/>
  <c r="M766" i="50"/>
  <c r="CQ1330" i="50"/>
  <c r="BC1163" i="50"/>
  <c r="M1360" i="50"/>
  <c r="BC1051" i="50"/>
  <c r="M514" i="50"/>
  <c r="BC631" i="50"/>
  <c r="CQ1332" i="50"/>
  <c r="CQ1358" i="50"/>
  <c r="M1354" i="50"/>
  <c r="CQ1359" i="50"/>
  <c r="BC1247" i="50"/>
  <c r="CQ1220" i="50"/>
  <c r="CQ1053" i="50"/>
  <c r="CQ1080" i="50"/>
  <c r="CQ1107" i="50"/>
  <c r="AC715" i="50"/>
  <c r="CQ1250" i="50"/>
  <c r="BC1249" i="50"/>
  <c r="AC1222" i="50"/>
  <c r="M122" i="50"/>
  <c r="CQ210" i="50"/>
  <c r="M716" i="50"/>
  <c r="BC633" i="50"/>
  <c r="AC545" i="50"/>
  <c r="BC1334" i="50"/>
  <c r="BC1305" i="50"/>
  <c r="M1222" i="50"/>
  <c r="M1223" i="50"/>
  <c r="CQ1193" i="50"/>
  <c r="M1192" i="50"/>
  <c r="M1158" i="50"/>
  <c r="M1138" i="50"/>
  <c r="M213" i="50"/>
  <c r="M1444" i="50"/>
  <c r="M102" i="50"/>
  <c r="M886" i="50"/>
  <c r="AH1186" i="50"/>
  <c r="AT1186" i="50" s="1"/>
  <c r="BC628" i="50"/>
  <c r="CQ294" i="50"/>
  <c r="M1108" i="50"/>
  <c r="CQ1333" i="50"/>
  <c r="M464" i="50"/>
  <c r="AC105" i="50"/>
  <c r="BC156" i="50"/>
  <c r="AC628" i="50"/>
  <c r="AC633" i="50" s="1"/>
  <c r="BC488" i="50"/>
  <c r="CQ1442" i="50"/>
  <c r="M271" i="50"/>
  <c r="AV962" i="50"/>
  <c r="BK956" i="50" s="1"/>
  <c r="CQ493" i="50"/>
  <c r="CQ1052" i="50"/>
  <c r="BC411" i="50"/>
  <c r="AC945" i="50"/>
  <c r="AC518" i="50"/>
  <c r="AC523" i="50" s="1"/>
  <c r="CQ717" i="50"/>
  <c r="AV1186" i="50"/>
  <c r="BK1180" i="50" s="1"/>
  <c r="AV318" i="50"/>
  <c r="BK312" i="50" s="1"/>
  <c r="AV682" i="50"/>
  <c r="BK676" i="50" s="1"/>
  <c r="M941" i="50"/>
  <c r="BC660" i="50"/>
  <c r="M1193" i="50"/>
  <c r="AC1330" i="50"/>
  <c r="AC1335" i="50" s="1"/>
  <c r="CQ1302" i="50"/>
  <c r="AC406" i="50"/>
  <c r="AC411" i="50" s="1"/>
  <c r="BC1443" i="50"/>
  <c r="AH1382" i="50"/>
  <c r="AT1382" i="50" s="1"/>
  <c r="AC852" i="50"/>
  <c r="AC856" i="50" s="1"/>
  <c r="AH1130" i="50"/>
  <c r="AT1130" i="50" s="1"/>
  <c r="AC293" i="50"/>
  <c r="AH878" i="50"/>
  <c r="AT878" i="50" s="1"/>
  <c r="BC1137" i="50"/>
  <c r="AC1412" i="50"/>
  <c r="AC1416" i="50" s="1"/>
  <c r="M1391" i="50"/>
  <c r="CQ1356" i="50"/>
  <c r="CQ1360" i="50"/>
  <c r="M1390" i="50"/>
  <c r="BC1023" i="50"/>
  <c r="BC1134" i="50"/>
  <c r="AC1359" i="50"/>
  <c r="BC1220" i="50"/>
  <c r="AC1080" i="50"/>
  <c r="AC992" i="50"/>
  <c r="AC996" i="50" s="1"/>
  <c r="CQ494" i="50"/>
  <c r="BC1167" i="50"/>
  <c r="BC1050" i="50"/>
  <c r="BC768" i="50"/>
  <c r="CQ799" i="50"/>
  <c r="BC1304" i="50"/>
  <c r="M1251" i="50"/>
  <c r="M1242" i="50"/>
  <c r="AC1275" i="50"/>
  <c r="CQ1110" i="50"/>
  <c r="CQ1104" i="50"/>
  <c r="BC1335" i="50"/>
  <c r="AC1188" i="50"/>
  <c r="AC1193" i="50" s="1"/>
  <c r="AC1162" i="50"/>
  <c r="AC1166" i="50" s="1"/>
  <c r="CQ1083" i="50"/>
  <c r="BC1078" i="50"/>
  <c r="BC689" i="50"/>
  <c r="AH990" i="50"/>
  <c r="AT990" i="50" s="1"/>
  <c r="AC1300" i="50"/>
  <c r="AC1305" i="50" s="1"/>
  <c r="AC1303" i="50"/>
  <c r="CQ1246" i="50"/>
  <c r="M1165" i="50"/>
  <c r="AC1132" i="50"/>
  <c r="AC1137" i="50" s="1"/>
  <c r="M1055" i="50"/>
  <c r="AC1161" i="50"/>
  <c r="AV1046" i="50"/>
  <c r="BK1040" i="50" s="1"/>
  <c r="AH1158" i="50"/>
  <c r="AT1158" i="50" s="1"/>
  <c r="BC1111" i="50"/>
  <c r="BC1079" i="50"/>
  <c r="CQ1077" i="50"/>
  <c r="CQ1081" i="50"/>
  <c r="AV1018" i="50"/>
  <c r="BK1012" i="50" s="1"/>
  <c r="CQ995" i="50"/>
  <c r="BC883" i="50"/>
  <c r="BC772" i="50"/>
  <c r="BC1021" i="50"/>
  <c r="BC997" i="50"/>
  <c r="BC996" i="50"/>
  <c r="M997" i="50"/>
  <c r="CQ941" i="50"/>
  <c r="AC854" i="50"/>
  <c r="AC858" i="50" s="1"/>
  <c r="CQ910" i="50"/>
  <c r="CQ828" i="50"/>
  <c r="AC771" i="50"/>
  <c r="CQ803" i="50"/>
  <c r="BC824" i="50"/>
  <c r="AC797" i="50"/>
  <c r="CQ745" i="50"/>
  <c r="CQ742" i="50"/>
  <c r="CQ1026" i="50"/>
  <c r="CQ994" i="50"/>
  <c r="CQ886" i="50"/>
  <c r="CQ943" i="50"/>
  <c r="BC747" i="50"/>
  <c r="BC517" i="50"/>
  <c r="AC489" i="50"/>
  <c r="BC1020" i="50"/>
  <c r="M990" i="50"/>
  <c r="CQ970" i="50"/>
  <c r="BC966" i="50"/>
  <c r="M885" i="50"/>
  <c r="M943" i="50"/>
  <c r="CQ859" i="50"/>
  <c r="CQ856" i="50"/>
  <c r="AH850" i="50"/>
  <c r="AT850" i="50" s="1"/>
  <c r="BC826" i="50"/>
  <c r="CQ830" i="50"/>
  <c r="BC632" i="50"/>
  <c r="BC520" i="50"/>
  <c r="M738" i="50"/>
  <c r="CQ939" i="50"/>
  <c r="CQ912" i="50"/>
  <c r="BC796" i="50"/>
  <c r="AC825" i="50"/>
  <c r="CQ802" i="50"/>
  <c r="CQ775" i="50"/>
  <c r="BC1027" i="50"/>
  <c r="BC1022" i="50"/>
  <c r="M996" i="50"/>
  <c r="CQ971" i="50"/>
  <c r="CQ940" i="50"/>
  <c r="AC938" i="50"/>
  <c r="AC942" i="50" s="1"/>
  <c r="CQ884" i="50"/>
  <c r="M857" i="50"/>
  <c r="AC908" i="50"/>
  <c r="AC913" i="50" s="1"/>
  <c r="AC911" i="50"/>
  <c r="AC909" i="50"/>
  <c r="BC855" i="50"/>
  <c r="M802" i="50"/>
  <c r="BC798" i="50"/>
  <c r="BC741" i="50"/>
  <c r="CQ743" i="50"/>
  <c r="BC686" i="50"/>
  <c r="BC662" i="50"/>
  <c r="CQ546" i="50"/>
  <c r="AC603" i="50"/>
  <c r="BC602" i="50"/>
  <c r="CQ522" i="50"/>
  <c r="CQ465" i="50"/>
  <c r="CQ438" i="50"/>
  <c r="AC294" i="50"/>
  <c r="CQ411" i="50"/>
  <c r="BC661" i="50"/>
  <c r="M604" i="50"/>
  <c r="BC490" i="50"/>
  <c r="CQ460" i="50"/>
  <c r="CQ439" i="50"/>
  <c r="M234" i="50"/>
  <c r="M710" i="50"/>
  <c r="M718" i="50"/>
  <c r="CQ690" i="50"/>
  <c r="AC687" i="50"/>
  <c r="BC579" i="50"/>
  <c r="CQ601" i="50"/>
  <c r="BC491" i="50"/>
  <c r="CQ462" i="50"/>
  <c r="AC600" i="50"/>
  <c r="AC604" i="50" s="1"/>
  <c r="CQ572" i="50"/>
  <c r="CQ127" i="50"/>
  <c r="BC657" i="50"/>
  <c r="AC573" i="50"/>
  <c r="AV542" i="50"/>
  <c r="BK536" i="50" s="1"/>
  <c r="AH234" i="50"/>
  <c r="AT234" i="50" s="1"/>
  <c r="M719" i="50"/>
  <c r="CQ688" i="50"/>
  <c r="M663" i="50"/>
  <c r="BC658" i="50"/>
  <c r="AH654" i="50"/>
  <c r="AT654" i="50" s="1"/>
  <c r="BC492" i="50"/>
  <c r="CQ467" i="50"/>
  <c r="AC433" i="50"/>
  <c r="AC432" i="50"/>
  <c r="AC437" i="50" s="1"/>
  <c r="M436" i="50"/>
  <c r="AC405" i="50"/>
  <c r="CQ265" i="50"/>
  <c r="CQ296" i="50"/>
  <c r="CQ1444" i="50"/>
  <c r="AC133" i="50"/>
  <c r="AV206" i="50"/>
  <c r="BK200" i="50" s="1"/>
  <c r="M912" i="50"/>
  <c r="AV934" i="50"/>
  <c r="BK928" i="50" s="1"/>
  <c r="CQ125" i="50"/>
  <c r="AV990" i="50"/>
  <c r="BK984" i="50" s="1"/>
  <c r="CQ713" i="50"/>
  <c r="AV1326" i="50"/>
  <c r="BK1320" i="50" s="1"/>
  <c r="BC464" i="50"/>
  <c r="AH738" i="50"/>
  <c r="AT738" i="50" s="1"/>
  <c r="AC273" i="50"/>
  <c r="AV150" i="50"/>
  <c r="BK144" i="50" s="1"/>
  <c r="M829" i="50"/>
  <c r="AV402" i="50"/>
  <c r="BK396" i="50" s="1"/>
  <c r="CQ1194" i="50"/>
  <c r="AC385" i="50"/>
  <c r="AH346" i="50"/>
  <c r="AT346" i="50" s="1"/>
  <c r="M831" i="50"/>
  <c r="M1111" i="50"/>
  <c r="CQ1219" i="50"/>
  <c r="CQ1217" i="50"/>
  <c r="AC377" i="50"/>
  <c r="AV906" i="50"/>
  <c r="BK900" i="50" s="1"/>
  <c r="M1167" i="50"/>
  <c r="AC1337" i="50"/>
  <c r="AC1216" i="50"/>
  <c r="AC1220" i="50" s="1"/>
  <c r="M353" i="50"/>
  <c r="AV598" i="50"/>
  <c r="BK592" i="50" s="1"/>
  <c r="M775" i="50"/>
  <c r="M521" i="50"/>
  <c r="BC740" i="50"/>
  <c r="AH1298" i="50"/>
  <c r="AT1298" i="50" s="1"/>
  <c r="BC1307" i="50"/>
  <c r="AV1410" i="50"/>
  <c r="BK1404" i="50" s="1"/>
  <c r="BC1440" i="50"/>
  <c r="CQ1307" i="50"/>
  <c r="BC1417" i="50"/>
  <c r="BC1301" i="50"/>
  <c r="M1418" i="50"/>
  <c r="CQ241" i="50"/>
  <c r="AC853" i="50"/>
  <c r="CQ1412" i="50"/>
  <c r="BC1363" i="50"/>
  <c r="AC1384" i="50"/>
  <c r="AC1135" i="50"/>
  <c r="CQ630" i="50"/>
  <c r="AH710" i="50"/>
  <c r="AT710" i="50" s="1"/>
  <c r="AH1270" i="50"/>
  <c r="AT1270" i="50" s="1"/>
  <c r="CQ1357" i="50"/>
  <c r="CQ1051" i="50"/>
  <c r="BC549" i="50"/>
  <c r="BC1332" i="50"/>
  <c r="BC1362" i="50"/>
  <c r="AC1247" i="50"/>
  <c r="CQ1273" i="50"/>
  <c r="BC1053" i="50"/>
  <c r="BC1107" i="50"/>
  <c r="M1249" i="50"/>
  <c r="BC215" i="50"/>
  <c r="CQ689" i="50"/>
  <c r="CQ434" i="50"/>
  <c r="CQ1334" i="50"/>
  <c r="BC1223" i="50"/>
  <c r="BC1193" i="50"/>
  <c r="CQ1167" i="50"/>
  <c r="AC1050" i="50"/>
  <c r="AC1055" i="50" s="1"/>
  <c r="M1082" i="50"/>
  <c r="CQ1105" i="50"/>
  <c r="CQ1304" i="50"/>
  <c r="CQ1054" i="50"/>
  <c r="BC1049" i="50"/>
  <c r="CQ1335" i="50"/>
  <c r="BC1245" i="50"/>
  <c r="CQ1191" i="50"/>
  <c r="CQ1162" i="50"/>
  <c r="CQ1108" i="50"/>
  <c r="CQ740" i="50"/>
  <c r="CQ1300" i="50"/>
  <c r="BC1165" i="50"/>
  <c r="CQ1132" i="50"/>
  <c r="BC1166" i="50"/>
  <c r="CQ1161" i="50"/>
  <c r="M1046" i="50"/>
  <c r="M1080" i="50"/>
  <c r="CQ1111" i="50"/>
  <c r="AC1079" i="50"/>
  <c r="AC1077" i="50"/>
  <c r="M1110" i="50"/>
  <c r="M1018" i="50"/>
  <c r="BC995" i="50"/>
  <c r="AC883" i="50"/>
  <c r="CQ1021" i="50"/>
  <c r="BC969" i="50"/>
  <c r="AV878" i="50"/>
  <c r="BK872" i="50" s="1"/>
  <c r="BC941" i="50"/>
  <c r="BC854" i="50"/>
  <c r="BC910" i="50"/>
  <c r="BC828" i="50"/>
  <c r="AV822" i="50"/>
  <c r="BK816" i="50" s="1"/>
  <c r="BC803" i="50"/>
  <c r="AC824" i="50"/>
  <c r="AC828" i="50" s="1"/>
  <c r="AV794" i="50"/>
  <c r="BK788" i="50" s="1"/>
  <c r="CQ774" i="50"/>
  <c r="BC745" i="50"/>
  <c r="BC742" i="50"/>
  <c r="M1026" i="50"/>
  <c r="BC965" i="50"/>
  <c r="BC886" i="50"/>
  <c r="AC882" i="50"/>
  <c r="BC943" i="50"/>
  <c r="CQ747" i="50"/>
  <c r="CQ517" i="50"/>
  <c r="AC629" i="50"/>
  <c r="AC1020" i="50"/>
  <c r="AC1024" i="50" s="1"/>
  <c r="BC993" i="50"/>
  <c r="BC970" i="50"/>
  <c r="M970" i="50"/>
  <c r="CQ885" i="50"/>
  <c r="BC881" i="50"/>
  <c r="BC859" i="50"/>
  <c r="BC856" i="50"/>
  <c r="BC827" i="50"/>
  <c r="AC826" i="50"/>
  <c r="AC830" i="50" s="1"/>
  <c r="M626" i="50"/>
  <c r="CQ520" i="50"/>
  <c r="CQ744" i="50"/>
  <c r="BC516" i="50"/>
  <c r="BC936" i="50"/>
  <c r="BC912" i="50"/>
  <c r="AC796" i="50"/>
  <c r="AC801" i="50" s="1"/>
  <c r="CQ825" i="50"/>
  <c r="BC802" i="50"/>
  <c r="CQ1027" i="50"/>
  <c r="AC1022" i="50"/>
  <c r="AC1027" i="50" s="1"/>
  <c r="M998" i="50"/>
  <c r="BC971" i="50"/>
  <c r="BC940" i="50"/>
  <c r="CQ942" i="50"/>
  <c r="BC884" i="50"/>
  <c r="BC858" i="50"/>
  <c r="M971" i="50"/>
  <c r="M906" i="50"/>
  <c r="M915" i="50"/>
  <c r="BC913" i="50"/>
  <c r="AC855" i="50"/>
  <c r="BC831" i="50"/>
  <c r="AC798" i="50"/>
  <c r="AC803" i="50" s="1"/>
  <c r="CQ741" i="50"/>
  <c r="BC743" i="50"/>
  <c r="CQ686" i="50"/>
  <c r="AV654" i="50"/>
  <c r="BK648" i="50" s="1"/>
  <c r="CQ634" i="50"/>
  <c r="CQ550" i="50"/>
  <c r="BC607" i="50"/>
  <c r="CQ602" i="50"/>
  <c r="M522" i="50"/>
  <c r="BC461" i="50"/>
  <c r="BC465" i="50"/>
  <c r="BC293" i="50"/>
  <c r="CQ577" i="50"/>
  <c r="CQ578" i="50"/>
  <c r="AH626" i="50"/>
  <c r="AT626" i="50" s="1"/>
  <c r="AC460" i="50"/>
  <c r="AC464" i="50" s="1"/>
  <c r="BC439" i="50"/>
  <c r="BC294" i="50"/>
  <c r="M411" i="50"/>
  <c r="BC718" i="50"/>
  <c r="AC712" i="50"/>
  <c r="AC716" i="50" s="1"/>
  <c r="BC690" i="50"/>
  <c r="AV570" i="50"/>
  <c r="BK564" i="50" s="1"/>
  <c r="AC601" i="50"/>
  <c r="AC491" i="50"/>
  <c r="BC435" i="50"/>
  <c r="AC462" i="50"/>
  <c r="AC467" i="50" s="1"/>
  <c r="BC600" i="50"/>
  <c r="M150" i="50"/>
  <c r="AC657" i="50"/>
  <c r="CQ551" i="50"/>
  <c r="M542" i="50"/>
  <c r="M157" i="50"/>
  <c r="BC719" i="50"/>
  <c r="CQ691" i="50"/>
  <c r="BC688" i="50"/>
  <c r="CQ684" i="50"/>
  <c r="AC658" i="50"/>
  <c r="AC663" i="50" s="1"/>
  <c r="CQ635" i="50"/>
  <c r="M605" i="50"/>
  <c r="AC574" i="50"/>
  <c r="AC578" i="50" s="1"/>
  <c r="CQ523" i="50"/>
  <c r="BC467" i="50"/>
  <c r="BC433" i="50"/>
  <c r="CQ437" i="50"/>
  <c r="CQ327" i="50"/>
  <c r="AC265" i="50"/>
  <c r="CQ381" i="50"/>
  <c r="AC350" i="50"/>
  <c r="AC355" i="50" s="1"/>
  <c r="CQ326" i="50"/>
  <c r="BC271" i="50"/>
  <c r="BC408" i="50"/>
  <c r="M383" i="50"/>
  <c r="AC349" i="50"/>
  <c r="M352" i="50"/>
  <c r="CQ325" i="50"/>
  <c r="M262" i="50"/>
  <c r="BC404" i="50"/>
  <c r="CQ380" i="50"/>
  <c r="CQ348" i="50"/>
  <c r="BC321" i="50"/>
  <c r="M325" i="50"/>
  <c r="CQ323" i="50"/>
  <c r="BC298" i="50"/>
  <c r="AC211" i="50"/>
  <c r="BC128" i="50"/>
  <c r="AC238" i="50"/>
  <c r="AC242" i="50" s="1"/>
  <c r="CQ268" i="50"/>
  <c r="CQ239" i="50"/>
  <c r="CQ213" i="50"/>
  <c r="BC243" i="50"/>
  <c r="BC240" i="50"/>
  <c r="AC292" i="50"/>
  <c r="AC296" i="50" s="1"/>
  <c r="M299" i="50"/>
  <c r="BC267" i="50"/>
  <c r="BC1189" i="50"/>
  <c r="AC161" i="50"/>
  <c r="AC768" i="50"/>
  <c r="AC772" i="50" s="1"/>
  <c r="M690" i="50"/>
  <c r="AC656" i="50"/>
  <c r="CQ1278" i="50"/>
  <c r="M243" i="50"/>
  <c r="M830" i="50"/>
  <c r="M1194" i="50"/>
  <c r="AH486" i="50"/>
  <c r="AT486" i="50" s="1"/>
  <c r="AC630" i="50"/>
  <c r="AC635" i="50" s="1"/>
  <c r="CQ1413" i="50"/>
  <c r="AC917" i="50"/>
  <c r="AV1270" i="50"/>
  <c r="BK1264" i="50" s="1"/>
  <c r="AC357" i="50"/>
  <c r="AH766" i="50"/>
  <c r="AT766" i="50" s="1"/>
  <c r="AV850" i="50"/>
  <c r="BK844" i="50" s="1"/>
  <c r="CQ1301" i="50"/>
  <c r="CQ1441" i="50"/>
  <c r="BC1447" i="50"/>
  <c r="AC1244" i="50"/>
  <c r="AC1249" i="50" s="1"/>
  <c r="BC716" i="50"/>
  <c r="AH934" i="50"/>
  <c r="AT934" i="50" s="1"/>
  <c r="CQ1391" i="50"/>
  <c r="BC1135" i="50"/>
  <c r="CQ1390" i="50"/>
  <c r="AC1163" i="50"/>
  <c r="AC769" i="50"/>
  <c r="CQ1222" i="50"/>
  <c r="CQ521" i="50"/>
  <c r="AC1223" i="50"/>
  <c r="CQ1082" i="50"/>
  <c r="CQ1251" i="50"/>
  <c r="AV1242" i="50"/>
  <c r="BK1236" i="50" s="1"/>
  <c r="CQ1049" i="50"/>
  <c r="CQ549" i="50"/>
  <c r="AC1245" i="50"/>
  <c r="CQ1106" i="50"/>
  <c r="AC1078" i="50"/>
  <c r="AC1083" i="50" s="1"/>
  <c r="M494" i="50"/>
  <c r="CQ1303" i="50"/>
  <c r="AC1246" i="50"/>
  <c r="AC1251" i="50" s="1"/>
  <c r="AC1165" i="50"/>
  <c r="BC1055" i="50"/>
  <c r="AH1046" i="50"/>
  <c r="AT1046" i="50" s="1"/>
  <c r="BC1077" i="50"/>
  <c r="BC998" i="50"/>
  <c r="CQ407" i="50"/>
  <c r="CQ997" i="50"/>
  <c r="CQ969" i="50"/>
  <c r="M878" i="50"/>
  <c r="CQ854" i="50"/>
  <c r="M822" i="50"/>
  <c r="BC797" i="50"/>
  <c r="CQ746" i="50"/>
  <c r="AC742" i="50"/>
  <c r="AC746" i="50" s="1"/>
  <c r="BC1026" i="50"/>
  <c r="AC965" i="50"/>
  <c r="BC882" i="50"/>
  <c r="AC517" i="50"/>
  <c r="AH402" i="50"/>
  <c r="AT402" i="50" s="1"/>
  <c r="CQ966" i="50"/>
  <c r="AC885" i="50"/>
  <c r="M859" i="50"/>
  <c r="CQ827" i="50"/>
  <c r="CQ632" i="50"/>
  <c r="BC939" i="50"/>
  <c r="CQ829" i="50"/>
  <c r="CQ1022" i="50"/>
  <c r="BC887" i="50"/>
  <c r="BC942" i="50"/>
  <c r="BC915" i="50"/>
  <c r="CQ908" i="50"/>
  <c r="BC909" i="50"/>
  <c r="CQ798" i="50"/>
  <c r="AC743" i="50"/>
  <c r="AC686" i="50"/>
  <c r="AC691" i="50" s="1"/>
  <c r="BC634" i="50"/>
  <c r="BC550" i="50"/>
  <c r="BC603" i="50"/>
  <c r="AC461" i="50"/>
  <c r="CQ661" i="50"/>
  <c r="M578" i="50"/>
  <c r="CQ490" i="50"/>
  <c r="M430" i="50"/>
  <c r="BC295" i="50"/>
  <c r="BC712" i="50"/>
  <c r="M486" i="50"/>
  <c r="AC435" i="50"/>
  <c r="BC572" i="50"/>
  <c r="M215" i="50"/>
  <c r="CQ657" i="50"/>
  <c r="BC551" i="50"/>
  <c r="M296" i="50"/>
  <c r="AC684" i="50"/>
  <c r="AC689" i="50" s="1"/>
  <c r="M635" i="50"/>
  <c r="AH682" i="50"/>
  <c r="AT682" i="50" s="1"/>
  <c r="CQ492" i="50"/>
  <c r="M458" i="50"/>
  <c r="BC432" i="50"/>
  <c r="BC405" i="50"/>
  <c r="CQ324" i="50"/>
  <c r="BC381" i="50"/>
  <c r="BC350" i="50"/>
  <c r="AC351" i="50"/>
  <c r="AH262" i="50"/>
  <c r="AT262" i="50" s="1"/>
  <c r="M408" i="50"/>
  <c r="BC353" i="50"/>
  <c r="BC352" i="50"/>
  <c r="BC325" i="50"/>
  <c r="AC404" i="50"/>
  <c r="AC409" i="50" s="1"/>
  <c r="AC378" i="50"/>
  <c r="AC383" i="50" s="1"/>
  <c r="M380" i="50"/>
  <c r="CQ321" i="50"/>
  <c r="AC320" i="50"/>
  <c r="AC324" i="50" s="1"/>
  <c r="BC264" i="50"/>
  <c r="M298" i="50"/>
  <c r="CQ208" i="50"/>
  <c r="BC211" i="50"/>
  <c r="CQ238" i="50"/>
  <c r="CQ240" i="50"/>
  <c r="BC127" i="50"/>
  <c r="BC299" i="50"/>
  <c r="CQ267" i="50"/>
  <c r="M242" i="50"/>
  <c r="BC214" i="50"/>
  <c r="BC125" i="50"/>
  <c r="BC184" i="50"/>
  <c r="BC153" i="50"/>
  <c r="BC185" i="50"/>
  <c r="M186" i="50"/>
  <c r="M185" i="50"/>
  <c r="BC154" i="50"/>
  <c r="CQ187" i="50"/>
  <c r="M158" i="50"/>
  <c r="BC159" i="50"/>
  <c r="CQ130" i="50"/>
  <c r="CQ124" i="50"/>
  <c r="M131" i="50"/>
  <c r="M100" i="50"/>
  <c r="CQ96" i="50"/>
  <c r="BC103" i="50"/>
  <c r="M103" i="50"/>
  <c r="CQ102" i="50"/>
  <c r="AC1189" i="50"/>
  <c r="AV234" i="50"/>
  <c r="BK228" i="50" s="1"/>
  <c r="AV1074" i="50"/>
  <c r="BK1068" i="50" s="1"/>
  <c r="M688" i="50"/>
  <c r="AC659" i="50"/>
  <c r="BC97" i="50"/>
  <c r="M548" i="50"/>
  <c r="AC1442" i="50"/>
  <c r="AC1447" i="50" s="1"/>
  <c r="AC441" i="50"/>
  <c r="AC805" i="50"/>
  <c r="AV486" i="50"/>
  <c r="BK480" i="50" s="1"/>
  <c r="AV514" i="50"/>
  <c r="BK508" i="50" s="1"/>
  <c r="BC769" i="50"/>
  <c r="AC525" i="50"/>
  <c r="BC715" i="50"/>
  <c r="AC1393" i="50"/>
  <c r="AC1414" i="50"/>
  <c r="AC1419" i="50" s="1"/>
  <c r="M1417" i="50"/>
  <c r="BC685" i="50"/>
  <c r="CQ1446" i="50"/>
  <c r="M576" i="50"/>
  <c r="CQ544" i="50"/>
  <c r="CQ1362" i="50"/>
  <c r="M409" i="50"/>
  <c r="M773" i="50"/>
  <c r="BC1192" i="50"/>
  <c r="BC1082" i="50"/>
  <c r="BC1251" i="50"/>
  <c r="CQ1279" i="50"/>
  <c r="CQ1190" i="50"/>
  <c r="BC518" i="50"/>
  <c r="CQ1188" i="50"/>
  <c r="BC1106" i="50"/>
  <c r="CQ1078" i="50"/>
  <c r="CQ545" i="50"/>
  <c r="BC1303" i="50"/>
  <c r="AH1242" i="50"/>
  <c r="AT1242" i="50" s="1"/>
  <c r="CQ1166" i="50"/>
  <c r="M1074" i="50"/>
  <c r="BC1081" i="50"/>
  <c r="AC995" i="50"/>
  <c r="CQ1025" i="50"/>
  <c r="CQ999" i="50"/>
  <c r="M1025" i="50"/>
  <c r="AC910" i="50"/>
  <c r="M828" i="50"/>
  <c r="CQ797" i="50"/>
  <c r="BC746" i="50"/>
  <c r="BC994" i="50"/>
  <c r="BC914" i="50"/>
  <c r="AH542" i="50"/>
  <c r="AT542" i="50" s="1"/>
  <c r="CQ993" i="50"/>
  <c r="M962" i="50"/>
  <c r="CQ881" i="50"/>
  <c r="CQ826" i="50"/>
  <c r="AC519" i="50"/>
  <c r="BC744" i="50"/>
  <c r="AC939" i="50"/>
  <c r="BC829" i="50"/>
  <c r="M682" i="50"/>
  <c r="M942" i="50"/>
  <c r="CQ915" i="50"/>
  <c r="BC908" i="50"/>
  <c r="CQ909" i="50"/>
  <c r="CQ662" i="50"/>
  <c r="M634" i="50"/>
  <c r="BC546" i="50"/>
  <c r="CQ607" i="50"/>
  <c r="M661" i="50"/>
  <c r="BC577" i="50"/>
  <c r="CQ604" i="50"/>
  <c r="CQ436" i="50"/>
  <c r="BC241" i="50"/>
  <c r="CQ687" i="50"/>
  <c r="BC601" i="50"/>
  <c r="CQ491" i="50"/>
  <c r="CQ466" i="50"/>
  <c r="AC572" i="50"/>
  <c r="M551" i="50"/>
  <c r="BC296" i="50"/>
  <c r="BC691" i="50"/>
  <c r="BC684" i="50"/>
  <c r="CQ574" i="50"/>
  <c r="BC523" i="50"/>
  <c r="M492" i="50"/>
  <c r="M467" i="50"/>
  <c r="BC437" i="50"/>
  <c r="BC327" i="50"/>
  <c r="BC324" i="50"/>
  <c r="BC383" i="50"/>
  <c r="BC376" i="50"/>
  <c r="CQ354" i="50"/>
  <c r="CQ271" i="50"/>
  <c r="BC410" i="50"/>
  <c r="CQ379" i="50"/>
  <c r="CQ353" i="50"/>
  <c r="CQ352" i="50"/>
  <c r="CQ404" i="50"/>
  <c r="AC348" i="50"/>
  <c r="AC353" i="50" s="1"/>
  <c r="AC321" i="50"/>
  <c r="M318" i="50"/>
  <c r="AC264" i="50"/>
  <c r="AC269" i="50" s="1"/>
  <c r="BC208" i="50"/>
  <c r="M128" i="50"/>
  <c r="CQ237" i="50"/>
  <c r="BC238" i="50"/>
  <c r="CQ212" i="50"/>
  <c r="BC269" i="50"/>
  <c r="BC239" i="50"/>
  <c r="CQ156" i="50"/>
  <c r="CQ299" i="50"/>
  <c r="AC267" i="50"/>
  <c r="M214" i="50"/>
  <c r="M129" i="50"/>
  <c r="CQ181" i="50"/>
  <c r="AC153" i="50"/>
  <c r="BC186" i="50"/>
  <c r="BC180" i="50"/>
  <c r="CQ154" i="50"/>
  <c r="BC155" i="50"/>
  <c r="BC158" i="50"/>
  <c r="BC152" i="50"/>
  <c r="CQ159" i="50"/>
  <c r="M130" i="50"/>
  <c r="M94" i="50"/>
  <c r="CQ101" i="50"/>
  <c r="CQ103" i="50"/>
  <c r="CQ97" i="50"/>
  <c r="BC1385" i="50"/>
  <c r="AV430" i="50"/>
  <c r="BK424" i="50" s="1"/>
  <c r="M187" i="50"/>
  <c r="CQ631" i="50"/>
  <c r="CQ968" i="50"/>
  <c r="BC126" i="50"/>
  <c r="M402" i="50"/>
  <c r="M381" i="50"/>
  <c r="BC545" i="50"/>
  <c r="M1137" i="50"/>
  <c r="M438" i="50"/>
  <c r="BC992" i="50"/>
  <c r="AH822" i="50"/>
  <c r="AT822" i="50" s="1"/>
  <c r="BC409" i="50"/>
  <c r="M689" i="50"/>
  <c r="BC1160" i="50"/>
  <c r="AC631" i="50"/>
  <c r="BC1416" i="50"/>
  <c r="M633" i="50"/>
  <c r="M1446" i="50"/>
  <c r="M1326" i="50"/>
  <c r="AC1415" i="50"/>
  <c r="CQ1384" i="50"/>
  <c r="BC434" i="50"/>
  <c r="M1186" i="50"/>
  <c r="AC1357" i="50"/>
  <c r="AH290" i="50"/>
  <c r="AT290" i="50" s="1"/>
  <c r="BC1359" i="50"/>
  <c r="BC1080" i="50"/>
  <c r="BC1328" i="50"/>
  <c r="M1250" i="50"/>
  <c r="CQ1139" i="50"/>
  <c r="BC659" i="50"/>
  <c r="M382" i="50"/>
  <c r="BC1138" i="50"/>
  <c r="BC1105" i="50"/>
  <c r="AH794" i="50"/>
  <c r="AT794" i="50" s="1"/>
  <c r="CQ1275" i="50"/>
  <c r="BC1190" i="50"/>
  <c r="M1335" i="50"/>
  <c r="BC1276" i="50"/>
  <c r="BC1191" i="50"/>
  <c r="BC1108" i="50"/>
  <c r="BC1132" i="50"/>
  <c r="BC1161" i="50"/>
  <c r="CQ1079" i="50"/>
  <c r="CQ883" i="50"/>
  <c r="BC1025" i="50"/>
  <c r="BC999" i="50"/>
  <c r="CQ771" i="50"/>
  <c r="M803" i="50"/>
  <c r="M794" i="50"/>
  <c r="AC994" i="50"/>
  <c r="AC998" i="50" s="1"/>
  <c r="CQ914" i="50"/>
  <c r="CQ629" i="50"/>
  <c r="BC157" i="50"/>
  <c r="CQ1020" i="50"/>
  <c r="AC993" i="50"/>
  <c r="M969" i="50"/>
  <c r="AC881" i="50"/>
  <c r="BC830" i="50"/>
  <c r="BC519" i="50"/>
  <c r="AC936" i="50"/>
  <c r="AC940" i="50" s="1"/>
  <c r="CQ796" i="50"/>
  <c r="BC775" i="50"/>
  <c r="CQ489" i="50"/>
  <c r="BC938" i="50"/>
  <c r="CQ857" i="50"/>
  <c r="CQ911" i="50"/>
  <c r="CQ913" i="50"/>
  <c r="CQ855" i="50"/>
  <c r="M662" i="50"/>
  <c r="AC546" i="50"/>
  <c r="AC550" i="50" s="1"/>
  <c r="AC602" i="50"/>
  <c r="AC606" i="50" s="1"/>
  <c r="CQ236" i="50"/>
  <c r="BC604" i="50"/>
  <c r="BC436" i="50"/>
  <c r="BC236" i="50"/>
  <c r="CQ718" i="50"/>
  <c r="BC687" i="50"/>
  <c r="M570" i="50"/>
  <c r="CQ605" i="50"/>
  <c r="BC466" i="50"/>
  <c r="BC573" i="50"/>
  <c r="CQ663" i="50"/>
  <c r="CQ658" i="50"/>
  <c r="M577" i="50"/>
  <c r="BC574" i="50"/>
  <c r="M523" i="50"/>
  <c r="CQ433" i="50"/>
  <c r="M437" i="50"/>
  <c r="BC265" i="50"/>
  <c r="CQ383" i="50"/>
  <c r="AC376" i="50"/>
  <c r="AC380" i="50" s="1"/>
  <c r="BC354" i="50"/>
  <c r="CQ351" i="50"/>
  <c r="BC326" i="50"/>
  <c r="CQ410" i="50"/>
  <c r="BC379" i="50"/>
  <c r="CQ349" i="50"/>
  <c r="BC378" i="50"/>
  <c r="M374" i="50"/>
  <c r="BC348" i="50"/>
  <c r="CQ320" i="50"/>
  <c r="AC323" i="50"/>
  <c r="CQ264" i="50"/>
  <c r="AC208" i="50"/>
  <c r="BC242" i="50"/>
  <c r="AC637" i="50"/>
  <c r="BC968" i="50"/>
  <c r="AC1169" i="50"/>
  <c r="AC889" i="50"/>
  <c r="AH1214" i="50"/>
  <c r="AT1214" i="50" s="1"/>
  <c r="M1419" i="50"/>
  <c r="CQ377" i="50"/>
  <c r="CQ1163" i="50"/>
  <c r="AC1051" i="50"/>
  <c r="AC1107" i="50"/>
  <c r="AC1049" i="50"/>
  <c r="CQ1276" i="50"/>
  <c r="M660" i="50"/>
  <c r="M598" i="50"/>
  <c r="BC771" i="50"/>
  <c r="CQ882" i="50"/>
  <c r="BC885" i="50"/>
  <c r="M772" i="50"/>
  <c r="M1027" i="50"/>
  <c r="BC911" i="50"/>
  <c r="CQ831" i="50"/>
  <c r="CQ603" i="50"/>
  <c r="AC490" i="50"/>
  <c r="AC495" i="50" s="1"/>
  <c r="BC462" i="50"/>
  <c r="CQ719" i="50"/>
  <c r="M326" i="50"/>
  <c r="BC349" i="50"/>
  <c r="M327" i="50"/>
  <c r="M268" i="50"/>
  <c r="CQ292" i="50"/>
  <c r="M240" i="50"/>
  <c r="BC181" i="50"/>
  <c r="BC130" i="50"/>
  <c r="CQ131" i="50"/>
  <c r="CQ100" i="50"/>
  <c r="AC97" i="50"/>
  <c r="CQ382" i="50"/>
  <c r="M324" i="50"/>
  <c r="CQ801" i="50"/>
  <c r="AV766" i="50"/>
  <c r="BK760" i="50" s="1"/>
  <c r="CQ1331" i="50"/>
  <c r="AC1358" i="50"/>
  <c r="AC1362" i="50" s="1"/>
  <c r="BC1250" i="50"/>
  <c r="CQ656" i="50"/>
  <c r="BC1300" i="50"/>
  <c r="CQ1165" i="50"/>
  <c r="CQ998" i="50"/>
  <c r="AC1021" i="50"/>
  <c r="CQ824" i="50"/>
  <c r="BC825" i="50"/>
  <c r="CQ938" i="50"/>
  <c r="M747" i="50"/>
  <c r="M550" i="50"/>
  <c r="BC522" i="50"/>
  <c r="CQ409" i="50"/>
  <c r="BC663" i="50"/>
  <c r="CQ432" i="50"/>
  <c r="CQ376" i="50"/>
  <c r="CQ378" i="50"/>
  <c r="BC320" i="50"/>
  <c r="AC237" i="50"/>
  <c r="AH150" i="50"/>
  <c r="AT150" i="50" s="1"/>
  <c r="CQ269" i="50"/>
  <c r="AC239" i="50"/>
  <c r="CQ155" i="50"/>
  <c r="AC181" i="50"/>
  <c r="CQ186" i="50"/>
  <c r="BC129" i="50"/>
  <c r="AC152" i="50"/>
  <c r="AC157" i="50" s="1"/>
  <c r="BC124" i="50"/>
  <c r="BC100" i="50"/>
  <c r="M101" i="50"/>
  <c r="BC102" i="50"/>
  <c r="AV710" i="50"/>
  <c r="BK704" i="50" s="1"/>
  <c r="BC355" i="50"/>
  <c r="AC413" i="50"/>
  <c r="AV374" i="50"/>
  <c r="BK368" i="50" s="1"/>
  <c r="CQ1048" i="50"/>
  <c r="CQ1361" i="50"/>
  <c r="CQ769" i="50"/>
  <c r="CQ1247" i="50"/>
  <c r="AC1328" i="50"/>
  <c r="M1139" i="50"/>
  <c r="CQ1305" i="50"/>
  <c r="AC1104" i="50"/>
  <c r="BC1162" i="50"/>
  <c r="CQ1055" i="50"/>
  <c r="M1083" i="50"/>
  <c r="CQ772" i="50"/>
  <c r="CQ996" i="50"/>
  <c r="BC774" i="50"/>
  <c r="BC629" i="50"/>
  <c r="M914" i="50"/>
  <c r="CQ516" i="50"/>
  <c r="CQ936" i="50"/>
  <c r="CQ858" i="50"/>
  <c r="AC741" i="50"/>
  <c r="CQ461" i="50"/>
  <c r="BC578" i="50"/>
  <c r="BC460" i="50"/>
  <c r="CQ712" i="50"/>
  <c r="CQ579" i="50"/>
  <c r="CQ600" i="50"/>
  <c r="CQ573" i="50"/>
  <c r="BC635" i="50"/>
  <c r="CQ405" i="50"/>
  <c r="CQ350" i="50"/>
  <c r="CQ408" i="50"/>
  <c r="BC323" i="50"/>
  <c r="CQ211" i="50"/>
  <c r="BC237" i="50"/>
  <c r="BC213" i="50"/>
  <c r="CQ126" i="50"/>
  <c r="CQ214" i="50"/>
  <c r="CQ153" i="50"/>
  <c r="AC180" i="50"/>
  <c r="AC184" i="50" s="1"/>
  <c r="CQ158" i="50"/>
  <c r="CQ152" i="50"/>
  <c r="AC124" i="50"/>
  <c r="AC129" i="50" s="1"/>
  <c r="BC101" i="50"/>
  <c r="M520" i="50"/>
  <c r="AC329" i="50"/>
  <c r="AC1048" i="50"/>
  <c r="AC1053" i="50" s="1"/>
  <c r="M887" i="50"/>
  <c r="BC1219" i="50"/>
  <c r="AC1273" i="50"/>
  <c r="CQ659" i="50"/>
  <c r="AC799" i="50"/>
  <c r="BC1054" i="50"/>
  <c r="BC1246" i="50"/>
  <c r="M745" i="50"/>
  <c r="CQ965" i="50"/>
  <c r="AC966" i="50"/>
  <c r="AC827" i="50"/>
  <c r="CQ887" i="50"/>
  <c r="BC857" i="50"/>
  <c r="M654" i="50"/>
  <c r="BC438" i="50"/>
  <c r="M607" i="50"/>
  <c r="BC605" i="50"/>
  <c r="CQ435" i="50"/>
  <c r="BC351" i="50"/>
  <c r="AC379" i="50"/>
  <c r="AV262" i="50"/>
  <c r="BK256" i="50" s="1"/>
  <c r="BC380" i="50"/>
  <c r="CQ298" i="50"/>
  <c r="CQ242" i="50"/>
  <c r="BC212" i="50"/>
  <c r="BC268" i="50"/>
  <c r="M269" i="50"/>
  <c r="CQ243" i="50"/>
  <c r="BC292" i="50"/>
  <c r="AC126" i="50"/>
  <c r="AC130" i="50" s="1"/>
  <c r="M178" i="50"/>
  <c r="CQ184" i="50"/>
  <c r="CQ185" i="50"/>
  <c r="CQ180" i="50"/>
  <c r="AC154" i="50"/>
  <c r="AC158" i="50" s="1"/>
  <c r="BC187" i="50"/>
  <c r="M159" i="50"/>
  <c r="BC131" i="50"/>
  <c r="AC96" i="50"/>
  <c r="AH94" i="50"/>
  <c r="AT94" i="50" s="1"/>
  <c r="G1410" i="50"/>
  <c r="G1386" i="50"/>
  <c r="G1384" i="50"/>
  <c r="G1329" i="50"/>
  <c r="G1326" i="50"/>
  <c r="G1303" i="50"/>
  <c r="G1300" i="50"/>
  <c r="G1273" i="50"/>
  <c r="G1270" i="50"/>
  <c r="G1219" i="50"/>
  <c r="G1216" i="50"/>
  <c r="G1189" i="50"/>
  <c r="G1186" i="50"/>
  <c r="G1163" i="50"/>
  <c r="G1160" i="50"/>
  <c r="G1134" i="50"/>
  <c r="G1105" i="50"/>
  <c r="G1077" i="50"/>
  <c r="G1074" i="50"/>
  <c r="G1051" i="50"/>
  <c r="G1048" i="50"/>
  <c r="G1022" i="50"/>
  <c r="G993" i="50"/>
  <c r="G990" i="50"/>
  <c r="G962" i="50"/>
  <c r="G1441" i="50"/>
  <c r="G1415" i="50"/>
  <c r="G1412" i="50"/>
  <c r="G1359" i="50"/>
  <c r="G1354" i="50"/>
  <c r="G1302" i="50"/>
  <c r="G1247" i="50"/>
  <c r="G1244" i="50"/>
  <c r="G1218" i="50"/>
  <c r="G1162" i="50"/>
  <c r="G1133" i="50"/>
  <c r="G1130" i="50"/>
  <c r="G1102" i="50"/>
  <c r="G1050" i="50"/>
  <c r="G1443" i="50"/>
  <c r="G1414" i="50"/>
  <c r="G1387" i="50"/>
  <c r="G1385" i="50"/>
  <c r="G1382" i="50"/>
  <c r="G1358" i="50"/>
  <c r="G1356" i="50"/>
  <c r="G1331" i="50"/>
  <c r="G1328" i="50"/>
  <c r="G1301" i="50"/>
  <c r="G1298" i="50"/>
  <c r="G1275" i="50"/>
  <c r="G1272" i="50"/>
  <c r="G1246" i="50"/>
  <c r="G1217" i="50"/>
  <c r="G1214" i="50"/>
  <c r="G1191" i="50"/>
  <c r="G1188" i="50"/>
  <c r="G1161" i="50"/>
  <c r="G1158" i="50"/>
  <c r="G1107" i="50"/>
  <c r="G1104" i="50"/>
  <c r="G1079" i="50"/>
  <c r="G1076" i="50"/>
  <c r="G1049" i="50"/>
  <c r="G1046" i="50"/>
  <c r="G995" i="50"/>
  <c r="G992" i="50"/>
  <c r="G966" i="50"/>
  <c r="G1413" i="50"/>
  <c r="G1330" i="50"/>
  <c r="G1274" i="50"/>
  <c r="G1245" i="50"/>
  <c r="G1242" i="50"/>
  <c r="G1132" i="50"/>
  <c r="G967" i="50"/>
  <c r="G965" i="50"/>
  <c r="G910" i="50"/>
  <c r="G854" i="50"/>
  <c r="G825" i="50"/>
  <c r="G822" i="50"/>
  <c r="G799" i="50"/>
  <c r="G796" i="50"/>
  <c r="G771" i="50"/>
  <c r="G768" i="50"/>
  <c r="G743" i="50"/>
  <c r="G738" i="50"/>
  <c r="G715" i="50"/>
  <c r="G712" i="50"/>
  <c r="G685" i="50"/>
  <c r="G682" i="50"/>
  <c r="G631" i="50"/>
  <c r="G628" i="50"/>
  <c r="G602" i="50"/>
  <c r="G1442" i="50"/>
  <c r="G1440" i="50"/>
  <c r="G1190" i="50"/>
  <c r="G1135" i="50"/>
  <c r="G1106" i="50"/>
  <c r="G1020" i="50"/>
  <c r="G1018" i="50"/>
  <c r="G939" i="50"/>
  <c r="G936" i="50"/>
  <c r="G909" i="50"/>
  <c r="G906" i="50"/>
  <c r="G883" i="50"/>
  <c r="G880" i="50"/>
  <c r="G853" i="50"/>
  <c r="G850" i="50"/>
  <c r="G798" i="50"/>
  <c r="G770" i="50"/>
  <c r="G742" i="50"/>
  <c r="G740" i="50"/>
  <c r="G714" i="50"/>
  <c r="G659" i="50"/>
  <c r="G656" i="50"/>
  <c r="G630" i="50"/>
  <c r="G964" i="50"/>
  <c r="G938" i="50"/>
  <c r="G882" i="50"/>
  <c r="G827" i="50"/>
  <c r="G824" i="50"/>
  <c r="G797" i="50"/>
  <c r="G794" i="50"/>
  <c r="G769" i="50"/>
  <c r="G766" i="50"/>
  <c r="G713" i="50"/>
  <c r="G710" i="50"/>
  <c r="G687" i="50"/>
  <c r="G684" i="50"/>
  <c r="G658" i="50"/>
  <c r="G629" i="50"/>
  <c r="G1438" i="50"/>
  <c r="G1021" i="50"/>
  <c r="G881" i="50"/>
  <c r="G878" i="50"/>
  <c r="G686" i="50"/>
  <c r="G657" i="50"/>
  <c r="G654" i="50"/>
  <c r="G626" i="50"/>
  <c r="G600" i="50"/>
  <c r="G545" i="50"/>
  <c r="G542" i="50"/>
  <c r="G519" i="50"/>
  <c r="G516" i="50"/>
  <c r="G489" i="50"/>
  <c r="G486" i="50"/>
  <c r="G463" i="50"/>
  <c r="G460" i="50"/>
  <c r="G434" i="50"/>
  <c r="G378" i="50"/>
  <c r="G323" i="50"/>
  <c r="G320" i="50"/>
  <c r="G293" i="50"/>
  <c r="G290" i="50"/>
  <c r="G267" i="50"/>
  <c r="G264" i="50"/>
  <c r="G237" i="50"/>
  <c r="G234" i="50"/>
  <c r="G211" i="50"/>
  <c r="G1357" i="50"/>
  <c r="G937" i="50"/>
  <c r="G934" i="50"/>
  <c r="G852" i="50"/>
  <c r="G826" i="50"/>
  <c r="G573" i="50"/>
  <c r="G570" i="50"/>
  <c r="G518" i="50"/>
  <c r="G462" i="50"/>
  <c r="G433" i="50"/>
  <c r="G430" i="50"/>
  <c r="G407" i="50"/>
  <c r="G404" i="50"/>
  <c r="G377" i="50"/>
  <c r="G374" i="50"/>
  <c r="G351" i="50"/>
  <c r="G348" i="50"/>
  <c r="G322" i="50"/>
  <c r="G266" i="50"/>
  <c r="G1078" i="50"/>
  <c r="G1023" i="50"/>
  <c r="G908" i="50"/>
  <c r="G855" i="50"/>
  <c r="G741" i="50"/>
  <c r="G603" i="50"/>
  <c r="G601" i="50"/>
  <c r="G598" i="50"/>
  <c r="G575" i="50"/>
  <c r="G547" i="50"/>
  <c r="G544" i="50"/>
  <c r="G517" i="50"/>
  <c r="G514" i="50"/>
  <c r="G491" i="50"/>
  <c r="G488" i="50"/>
  <c r="G461" i="50"/>
  <c r="G458" i="50"/>
  <c r="G406" i="50"/>
  <c r="G350" i="50"/>
  <c r="G321" i="50"/>
  <c r="G318" i="50"/>
  <c r="G295" i="50"/>
  <c r="G292" i="50"/>
  <c r="G265" i="50"/>
  <c r="G262" i="50"/>
  <c r="G239" i="50"/>
  <c r="G236" i="50"/>
  <c r="G209" i="50"/>
  <c r="G994" i="50"/>
  <c r="G376" i="50"/>
  <c r="G210" i="50"/>
  <c r="G208" i="50"/>
  <c r="G181" i="50"/>
  <c r="G178" i="50"/>
  <c r="G127" i="50"/>
  <c r="G124" i="50"/>
  <c r="G99" i="50"/>
  <c r="G911" i="50"/>
  <c r="G405" i="50"/>
  <c r="G294" i="50"/>
  <c r="G432" i="50"/>
  <c r="G379" i="50"/>
  <c r="G155" i="50"/>
  <c r="G152" i="50"/>
  <c r="G126" i="50"/>
  <c r="G574" i="50"/>
  <c r="G572" i="50"/>
  <c r="G546" i="50"/>
  <c r="G490" i="50"/>
  <c r="G435" i="50"/>
  <c r="G349" i="50"/>
  <c r="G346" i="50"/>
  <c r="G206" i="50"/>
  <c r="G183" i="50"/>
  <c r="G180" i="50"/>
  <c r="G154" i="50"/>
  <c r="G125" i="50"/>
  <c r="G122" i="50"/>
  <c r="G402" i="50"/>
  <c r="G238" i="50"/>
  <c r="G182" i="50"/>
  <c r="G153" i="50"/>
  <c r="G150" i="50"/>
  <c r="G98" i="50"/>
  <c r="G94" i="50"/>
  <c r="G96" i="50"/>
  <c r="G97" i="50"/>
  <c r="AQ1442" i="50"/>
  <c r="AQ1413" i="50"/>
  <c r="AQ1410" i="50"/>
  <c r="AQ1386" i="50"/>
  <c r="AQ1384" i="50"/>
  <c r="AQ1357" i="50"/>
  <c r="AQ1330" i="50"/>
  <c r="AQ1300" i="50"/>
  <c r="AQ1274" i="50"/>
  <c r="AQ1245" i="50"/>
  <c r="AQ1242" i="50"/>
  <c r="AQ1216" i="50"/>
  <c r="AQ1190" i="50"/>
  <c r="AQ1160" i="50"/>
  <c r="AQ1135" i="50"/>
  <c r="AQ1106" i="50"/>
  <c r="AQ1078" i="50"/>
  <c r="AQ1048" i="50"/>
  <c r="AQ1023" i="50"/>
  <c r="AQ994" i="50"/>
  <c r="AQ965" i="50"/>
  <c r="AQ962" i="50"/>
  <c r="AQ1441" i="50"/>
  <c r="AQ1412" i="50"/>
  <c r="AQ1356" i="50"/>
  <c r="AQ1354" i="50"/>
  <c r="AQ1329" i="50"/>
  <c r="AQ1326" i="50"/>
  <c r="AQ1303" i="50"/>
  <c r="AQ1273" i="50"/>
  <c r="AQ1270" i="50"/>
  <c r="AQ1244" i="50"/>
  <c r="AQ1219" i="50"/>
  <c r="AQ1189" i="50"/>
  <c r="AQ1186" i="50"/>
  <c r="AQ1163" i="50"/>
  <c r="AQ1134" i="50"/>
  <c r="AQ1105" i="50"/>
  <c r="AQ1102" i="50"/>
  <c r="AQ1077" i="50"/>
  <c r="AQ1074" i="50"/>
  <c r="AQ1051" i="50"/>
  <c r="AQ1438" i="50"/>
  <c r="AQ1415" i="50"/>
  <c r="AQ1385" i="50"/>
  <c r="AQ1359" i="50"/>
  <c r="AQ1328" i="50"/>
  <c r="AQ1302" i="50"/>
  <c r="AQ1272" i="50"/>
  <c r="AQ1247" i="50"/>
  <c r="AQ1218" i="50"/>
  <c r="AQ1188" i="50"/>
  <c r="AQ1162" i="50"/>
  <c r="AQ1133" i="50"/>
  <c r="AQ1130" i="50"/>
  <c r="AQ1104" i="50"/>
  <c r="AQ1076" i="50"/>
  <c r="AQ1050" i="50"/>
  <c r="AQ1021" i="50"/>
  <c r="AQ1018" i="50"/>
  <c r="AQ992" i="50"/>
  <c r="AQ967" i="50"/>
  <c r="AQ1382" i="50"/>
  <c r="AQ1046" i="50"/>
  <c r="AQ990" i="50"/>
  <c r="AQ937" i="50"/>
  <c r="AQ934" i="50"/>
  <c r="AQ911" i="50"/>
  <c r="AQ881" i="50"/>
  <c r="AQ878" i="50"/>
  <c r="AQ855" i="50"/>
  <c r="AQ826" i="50"/>
  <c r="AQ796" i="50"/>
  <c r="AQ768" i="50"/>
  <c r="AQ738" i="50"/>
  <c r="AQ712" i="50"/>
  <c r="AQ686" i="50"/>
  <c r="AQ657" i="50"/>
  <c r="AQ654" i="50"/>
  <c r="AQ628" i="50"/>
  <c r="AQ603" i="50"/>
  <c r="AQ1387" i="50"/>
  <c r="AQ1298" i="50"/>
  <c r="AQ1132" i="50"/>
  <c r="AQ1079" i="50"/>
  <c r="AQ1049" i="50"/>
  <c r="AQ1022" i="50"/>
  <c r="AQ1020" i="50"/>
  <c r="AQ995" i="50"/>
  <c r="AQ993" i="50"/>
  <c r="AQ936" i="50"/>
  <c r="AQ910" i="50"/>
  <c r="AQ880" i="50"/>
  <c r="AQ854" i="50"/>
  <c r="AQ825" i="50"/>
  <c r="AQ822" i="50"/>
  <c r="AQ799" i="50"/>
  <c r="AQ771" i="50"/>
  <c r="AQ743" i="50"/>
  <c r="AQ740" i="50"/>
  <c r="AQ715" i="50"/>
  <c r="AQ685" i="50"/>
  <c r="AQ682" i="50"/>
  <c r="AQ656" i="50"/>
  <c r="AQ631" i="50"/>
  <c r="AQ602" i="50"/>
  <c r="AQ1440" i="50"/>
  <c r="AQ1358" i="50"/>
  <c r="AQ1331" i="50"/>
  <c r="AQ1301" i="50"/>
  <c r="AQ1275" i="50"/>
  <c r="AQ1214" i="50"/>
  <c r="AQ1158" i="50"/>
  <c r="AQ966" i="50"/>
  <c r="AQ964" i="50"/>
  <c r="AQ939" i="50"/>
  <c r="AQ909" i="50"/>
  <c r="AQ906" i="50"/>
  <c r="AQ883" i="50"/>
  <c r="AQ853" i="50"/>
  <c r="AQ850" i="50"/>
  <c r="AQ824" i="50"/>
  <c r="AQ798" i="50"/>
  <c r="AQ770" i="50"/>
  <c r="AQ742" i="50"/>
  <c r="AQ714" i="50"/>
  <c r="AQ684" i="50"/>
  <c r="AQ659" i="50"/>
  <c r="AQ630" i="50"/>
  <c r="AQ1414" i="50"/>
  <c r="AQ1217" i="50"/>
  <c r="AQ1107" i="50"/>
  <c r="AQ938" i="50"/>
  <c r="AQ766" i="50"/>
  <c r="AQ741" i="50"/>
  <c r="AQ600" i="50"/>
  <c r="AQ574" i="50"/>
  <c r="AQ546" i="50"/>
  <c r="AQ516" i="50"/>
  <c r="AQ490" i="50"/>
  <c r="AQ460" i="50"/>
  <c r="AQ435" i="50"/>
  <c r="AQ405" i="50"/>
  <c r="AQ402" i="50"/>
  <c r="AQ379" i="50"/>
  <c r="AQ349" i="50"/>
  <c r="AQ346" i="50"/>
  <c r="AQ320" i="50"/>
  <c r="AQ294" i="50"/>
  <c r="AQ264" i="50"/>
  <c r="AQ238" i="50"/>
  <c r="AQ1161" i="50"/>
  <c r="AQ769" i="50"/>
  <c r="AQ710" i="50"/>
  <c r="AQ573" i="50"/>
  <c r="AQ545" i="50"/>
  <c r="AQ542" i="50"/>
  <c r="AQ519" i="50"/>
  <c r="AQ489" i="50"/>
  <c r="AQ486" i="50"/>
  <c r="AQ463" i="50"/>
  <c r="AQ434" i="50"/>
  <c r="AQ404" i="50"/>
  <c r="AQ378" i="50"/>
  <c r="AQ348" i="50"/>
  <c r="AQ323" i="50"/>
  <c r="AQ293" i="50"/>
  <c r="AQ290" i="50"/>
  <c r="AQ267" i="50"/>
  <c r="AQ852" i="50"/>
  <c r="AQ794" i="50"/>
  <c r="AQ713" i="50"/>
  <c r="AQ687" i="50"/>
  <c r="AQ626" i="50"/>
  <c r="AQ570" i="50"/>
  <c r="AQ544" i="50"/>
  <c r="AQ518" i="50"/>
  <c r="AQ488" i="50"/>
  <c r="AQ462" i="50"/>
  <c r="AQ433" i="50"/>
  <c r="AQ430" i="50"/>
  <c r="AQ407" i="50"/>
  <c r="AQ377" i="50"/>
  <c r="AQ374" i="50"/>
  <c r="AQ351" i="50"/>
  <c r="AQ322" i="50"/>
  <c r="AQ292" i="50"/>
  <c r="AQ266" i="50"/>
  <c r="AQ236" i="50"/>
  <c r="AQ210" i="50"/>
  <c r="AQ629" i="50"/>
  <c r="AQ601" i="50"/>
  <c r="AQ575" i="50"/>
  <c r="AQ547" i="50"/>
  <c r="AQ517" i="50"/>
  <c r="AQ491" i="50"/>
  <c r="AQ461" i="50"/>
  <c r="AQ318" i="50"/>
  <c r="AQ262" i="50"/>
  <c r="AQ234" i="50"/>
  <c r="AQ182" i="50"/>
  <c r="AQ153" i="50"/>
  <c r="AQ150" i="50"/>
  <c r="AQ124" i="50"/>
  <c r="AQ96" i="50"/>
  <c r="AQ1191" i="50"/>
  <c r="AQ598" i="50"/>
  <c r="AQ572" i="50"/>
  <c r="AQ882" i="50"/>
  <c r="AQ797" i="50"/>
  <c r="AQ376" i="50"/>
  <c r="AQ350" i="50"/>
  <c r="AQ321" i="50"/>
  <c r="AQ295" i="50"/>
  <c r="AQ265" i="50"/>
  <c r="AQ239" i="50"/>
  <c r="AQ237" i="50"/>
  <c r="AQ208" i="50"/>
  <c r="AQ181" i="50"/>
  <c r="AQ178" i="50"/>
  <c r="AQ152" i="50"/>
  <c r="AQ127" i="50"/>
  <c r="AQ658" i="50"/>
  <c r="AQ206" i="50"/>
  <c r="AQ154" i="50"/>
  <c r="AQ125" i="50"/>
  <c r="AQ98" i="50"/>
  <c r="AQ1246" i="50"/>
  <c r="AQ908" i="50"/>
  <c r="AQ432" i="50"/>
  <c r="AQ406" i="50"/>
  <c r="AQ211" i="50"/>
  <c r="AQ209" i="50"/>
  <c r="AQ180" i="50"/>
  <c r="AQ155" i="50"/>
  <c r="AQ126" i="50"/>
  <c r="AQ99" i="50"/>
  <c r="AQ97" i="50"/>
  <c r="AQ94" i="50"/>
  <c r="AQ1443" i="50"/>
  <c r="AQ827" i="50"/>
  <c r="AQ514" i="50"/>
  <c r="AQ458" i="50"/>
  <c r="AQ183" i="50"/>
  <c r="AQ122" i="50"/>
  <c r="AA1441" i="50"/>
  <c r="AA573" i="50"/>
  <c r="AA208" i="50"/>
  <c r="AA209" i="50"/>
  <c r="AA264" i="50"/>
  <c r="AA152" i="50"/>
  <c r="AA545" i="50"/>
  <c r="AA349" i="50"/>
  <c r="AA572" i="50"/>
  <c r="AA265" i="50"/>
  <c r="AA488" i="50"/>
  <c r="AA601" i="50"/>
  <c r="AA377" i="50"/>
  <c r="AA657" i="50"/>
  <c r="AA881" i="50"/>
  <c r="AA1273" i="50"/>
  <c r="AA684" i="50"/>
  <c r="AA797" i="50"/>
  <c r="AA992" i="50"/>
  <c r="AA1077" i="50"/>
  <c r="AA853" i="50"/>
  <c r="AA965" i="50"/>
  <c r="AA1245" i="50"/>
  <c r="AA1440" i="50"/>
  <c r="AA1161" i="50"/>
  <c r="AA1301" i="50"/>
  <c r="AA964" i="50"/>
  <c r="AA1244" i="50"/>
  <c r="AA1105" i="50"/>
  <c r="AA825" i="50"/>
  <c r="AA125" i="50"/>
  <c r="AA293" i="50"/>
  <c r="AA460" i="50"/>
  <c r="AA376" i="50"/>
  <c r="AA685" i="50"/>
  <c r="AA292" i="50"/>
  <c r="AA517" i="50"/>
  <c r="AA768" i="50"/>
  <c r="AA404" i="50"/>
  <c r="AA1216" i="50"/>
  <c r="AA908" i="50"/>
  <c r="AA1300" i="50"/>
  <c r="AA713" i="50"/>
  <c r="AA824" i="50"/>
  <c r="AA1384" i="50"/>
  <c r="AA880" i="50"/>
  <c r="AA1020" i="50"/>
  <c r="AA1357" i="50"/>
  <c r="AA1049" i="50"/>
  <c r="AA1188" i="50"/>
  <c r="AA1328" i="50"/>
  <c r="AA1021" i="50"/>
  <c r="AA153" i="50"/>
  <c r="AA124" i="50"/>
  <c r="AA180" i="50"/>
  <c r="AA320" i="50"/>
  <c r="AA489" i="50"/>
  <c r="AA600" i="50"/>
  <c r="AA405" i="50"/>
  <c r="AA712" i="50"/>
  <c r="AA321" i="50"/>
  <c r="AA544" i="50"/>
  <c r="AA1160" i="50"/>
  <c r="AA433" i="50"/>
  <c r="AA1356" i="50"/>
  <c r="AA937" i="50"/>
  <c r="AA1329" i="50"/>
  <c r="AA741" i="50"/>
  <c r="AA656" i="50"/>
  <c r="AA909" i="50"/>
  <c r="AA1132" i="50"/>
  <c r="AA1076" i="50"/>
  <c r="AA1217" i="50"/>
  <c r="AA1385" i="50"/>
  <c r="AA1412" i="50"/>
  <c r="AA237" i="50"/>
  <c r="AA516" i="50"/>
  <c r="AA461" i="50"/>
  <c r="AA852" i="50"/>
  <c r="AA1048" i="50"/>
  <c r="AA181" i="50"/>
  <c r="AA628" i="50"/>
  <c r="AA993" i="50"/>
  <c r="AA740" i="50"/>
  <c r="AA1413" i="50"/>
  <c r="AA236" i="50"/>
  <c r="AA432" i="50"/>
  <c r="AA348" i="50"/>
  <c r="AA629" i="50"/>
  <c r="AA936" i="50"/>
  <c r="AA1104" i="50"/>
  <c r="AA1133" i="50"/>
  <c r="AA796" i="50"/>
  <c r="AA1189" i="50"/>
  <c r="AA769" i="50"/>
  <c r="AA1272" i="50"/>
  <c r="AA97" i="50"/>
  <c r="AA96" i="50"/>
  <c r="U105" i="50"/>
  <c r="P60" i="50"/>
  <c r="R2" i="50" s="1"/>
  <c r="AE69" i="50"/>
  <c r="W723" i="66"/>
  <c r="W677" i="66"/>
  <c r="W631" i="66"/>
  <c r="W585" i="66"/>
  <c r="W539" i="66"/>
  <c r="W493" i="66"/>
  <c r="W447" i="66"/>
  <c r="W401" i="66"/>
  <c r="W355" i="66"/>
  <c r="X309" i="66"/>
  <c r="W746" i="66"/>
  <c r="W700" i="66"/>
  <c r="W378" i="66"/>
  <c r="X746" i="66"/>
  <c r="Z723" i="66"/>
  <c r="X700" i="66"/>
  <c r="Z677" i="66"/>
  <c r="X654" i="66"/>
  <c r="Z631" i="66"/>
  <c r="X608" i="66"/>
  <c r="Z585" i="66"/>
  <c r="X562" i="66"/>
  <c r="Z539" i="66"/>
  <c r="X516" i="66"/>
  <c r="Z493" i="66"/>
  <c r="X470" i="66"/>
  <c r="Z447" i="66"/>
  <c r="X424" i="66"/>
  <c r="Z401" i="66"/>
  <c r="X378" i="66"/>
  <c r="Z355" i="66"/>
  <c r="X332" i="66"/>
  <c r="W309" i="66"/>
  <c r="W608" i="66"/>
  <c r="W562" i="66"/>
  <c r="W424" i="66"/>
  <c r="W332" i="66"/>
  <c r="W654" i="66"/>
  <c r="W516" i="66"/>
  <c r="W470" i="66"/>
  <c r="Z309" i="66"/>
  <c r="Z746" i="66"/>
  <c r="Z700" i="66"/>
  <c r="Z654" i="66"/>
  <c r="Z608" i="66"/>
  <c r="Z562" i="66"/>
  <c r="Z516" i="66"/>
  <c r="Z470" i="66"/>
  <c r="Z424" i="66"/>
  <c r="Z378" i="66"/>
  <c r="Z332" i="66"/>
  <c r="X723" i="66"/>
  <c r="X677" i="66"/>
  <c r="X631" i="66"/>
  <c r="X585" i="66"/>
  <c r="X539" i="66"/>
  <c r="X493" i="66"/>
  <c r="X447" i="66"/>
  <c r="X401" i="66"/>
  <c r="X355" i="66"/>
  <c r="AE356" i="66"/>
  <c r="AE678" i="66"/>
  <c r="AE655" i="66"/>
  <c r="AE609" i="66"/>
  <c r="AE379" i="66"/>
  <c r="AE402" i="66"/>
  <c r="AE724" i="66"/>
  <c r="AE632" i="66"/>
  <c r="AE471" i="66"/>
  <c r="AE333" i="66"/>
  <c r="AE448" i="66"/>
  <c r="AE517" i="66"/>
  <c r="AE747" i="66"/>
  <c r="AE494" i="66"/>
  <c r="AE310" i="66"/>
  <c r="AE586" i="66"/>
  <c r="AE701" i="66"/>
  <c r="AE425" i="66"/>
  <c r="AE563" i="66"/>
  <c r="AE540" i="66"/>
  <c r="R18" i="57"/>
  <c r="Y746" i="66"/>
  <c r="AA723" i="66"/>
  <c r="Y700" i="66"/>
  <c r="AA677" i="66"/>
  <c r="Y654" i="66"/>
  <c r="AA631" i="66"/>
  <c r="Y608" i="66"/>
  <c r="AA585" i="66"/>
  <c r="Y562" i="66"/>
  <c r="AA539" i="66"/>
  <c r="Y516" i="66"/>
  <c r="AA493" i="66"/>
  <c r="Y470" i="66"/>
  <c r="AA447" i="66"/>
  <c r="Y424" i="66"/>
  <c r="AA401" i="66"/>
  <c r="Y378" i="66"/>
  <c r="AA355" i="66"/>
  <c r="Y332" i="66"/>
  <c r="Y723" i="66"/>
  <c r="Y677" i="66"/>
  <c r="AA608" i="66"/>
  <c r="Y585" i="66"/>
  <c r="AA562" i="66"/>
  <c r="Y401" i="66"/>
  <c r="AA309" i="66"/>
  <c r="AA746" i="66"/>
  <c r="AA654" i="66"/>
  <c r="AA516" i="66"/>
  <c r="AA470" i="66"/>
  <c r="Y447" i="66"/>
  <c r="AA378" i="66"/>
  <c r="AA700" i="66"/>
  <c r="Y631" i="66"/>
  <c r="Y539" i="66"/>
  <c r="Y493" i="66"/>
  <c r="AA424" i="66"/>
  <c r="Y355" i="66"/>
  <c r="AA332" i="66"/>
  <c r="Y309" i="66"/>
  <c r="E37" i="65"/>
  <c r="Q172" i="52"/>
  <c r="S172" i="52" s="1"/>
  <c r="G46" i="65"/>
  <c r="AQ71" i="50"/>
  <c r="P18" i="57"/>
  <c r="E16" i="65"/>
  <c r="T18" i="57"/>
  <c r="AQ69" i="50"/>
  <c r="L18" i="57"/>
  <c r="E82" i="65"/>
  <c r="Z184" i="52"/>
  <c r="Z197" i="52"/>
  <c r="Z194" i="52"/>
  <c r="Z195" i="52"/>
  <c r="Z196" i="52"/>
  <c r="R277" i="43"/>
  <c r="R273" i="43"/>
  <c r="R269" i="43"/>
  <c r="R265" i="43"/>
  <c r="R261" i="43"/>
  <c r="R257" i="43"/>
  <c r="R253" i="43"/>
  <c r="R249" i="43"/>
  <c r="R245" i="43"/>
  <c r="R241" i="43"/>
  <c r="R237" i="43"/>
  <c r="R233" i="43"/>
  <c r="R229" i="43"/>
  <c r="R225" i="43"/>
  <c r="R221" i="43"/>
  <c r="R217" i="43"/>
  <c r="R213" i="43"/>
  <c r="R209" i="43"/>
  <c r="R205" i="43"/>
  <c r="R201" i="43"/>
  <c r="R197" i="43"/>
  <c r="R193" i="43"/>
  <c r="R189" i="43"/>
  <c r="R185" i="43"/>
  <c r="R181" i="43"/>
  <c r="R177" i="43"/>
  <c r="R173" i="43"/>
  <c r="R169" i="43"/>
  <c r="R165" i="43"/>
  <c r="R161" i="43"/>
  <c r="R157" i="43"/>
  <c r="R153" i="43"/>
  <c r="R149" i="43"/>
  <c r="R145" i="43"/>
  <c r="R141" i="43"/>
  <c r="R137" i="43"/>
  <c r="R133" i="43"/>
  <c r="R129" i="43"/>
  <c r="R125" i="43"/>
  <c r="R121" i="43"/>
  <c r="R117" i="43"/>
  <c r="R113" i="43"/>
  <c r="R109" i="43"/>
  <c r="R105" i="43"/>
  <c r="R101" i="43"/>
  <c r="R97" i="43"/>
  <c r="R93" i="43"/>
  <c r="R89" i="43"/>
  <c r="R85" i="43"/>
  <c r="R81" i="43"/>
  <c r="R77" i="43"/>
  <c r="R73" i="43"/>
  <c r="G839" i="43" s="1"/>
  <c r="H839" i="43" s="1"/>
  <c r="R69" i="43"/>
  <c r="G835" i="43" s="1"/>
  <c r="H835" i="43" s="1"/>
  <c r="R65" i="43"/>
  <c r="G831" i="43" s="1"/>
  <c r="H831" i="43" s="1"/>
  <c r="R61" i="43"/>
  <c r="G827" i="43" s="1"/>
  <c r="H827" i="43" s="1"/>
  <c r="R57" i="43"/>
  <c r="G823" i="43" s="1"/>
  <c r="H823" i="43" s="1"/>
  <c r="R53" i="43"/>
  <c r="G819" i="43" s="1"/>
  <c r="H819" i="43" s="1"/>
  <c r="R49" i="43"/>
  <c r="G815" i="43" s="1"/>
  <c r="H815" i="43" s="1"/>
  <c r="R114" i="43"/>
  <c r="R98" i="43"/>
  <c r="R82" i="43"/>
  <c r="R58" i="43"/>
  <c r="G824" i="43" s="1"/>
  <c r="H824" i="43" s="1"/>
  <c r="R276" i="43"/>
  <c r="R272" i="43"/>
  <c r="R268" i="43"/>
  <c r="R264" i="43"/>
  <c r="R260" i="43"/>
  <c r="R256" i="43"/>
  <c r="R252" i="43"/>
  <c r="R248" i="43"/>
  <c r="R244" i="43"/>
  <c r="R240" i="43"/>
  <c r="R236" i="43"/>
  <c r="R232" i="43"/>
  <c r="R228" i="43"/>
  <c r="R224" i="43"/>
  <c r="R220" i="43"/>
  <c r="R216" i="43"/>
  <c r="R212" i="43"/>
  <c r="R208" i="43"/>
  <c r="R204" i="43"/>
  <c r="R200" i="43"/>
  <c r="R196" i="43"/>
  <c r="R192" i="43"/>
  <c r="R188" i="43"/>
  <c r="R184" i="43"/>
  <c r="R180" i="43"/>
  <c r="R176" i="43"/>
  <c r="R172" i="43"/>
  <c r="R168" i="43"/>
  <c r="R164" i="43"/>
  <c r="R160" i="43"/>
  <c r="R156" i="43"/>
  <c r="R152" i="43"/>
  <c r="R148" i="43"/>
  <c r="R144" i="43"/>
  <c r="R140" i="43"/>
  <c r="R136" i="43"/>
  <c r="R132" i="43"/>
  <c r="R128" i="43"/>
  <c r="R124" i="43"/>
  <c r="R120" i="43"/>
  <c r="R116" i="43"/>
  <c r="R112" i="43"/>
  <c r="R108" i="43"/>
  <c r="R104" i="43"/>
  <c r="R100" i="43"/>
  <c r="R96" i="43"/>
  <c r="R92" i="43"/>
  <c r="R88" i="43"/>
  <c r="R84" i="43"/>
  <c r="R80" i="43"/>
  <c r="R76" i="43"/>
  <c r="R72" i="43"/>
  <c r="G838" i="43" s="1"/>
  <c r="H838" i="43" s="1"/>
  <c r="R68" i="43"/>
  <c r="G834" i="43" s="1"/>
  <c r="H834" i="43" s="1"/>
  <c r="R64" i="43"/>
  <c r="G830" i="43" s="1"/>
  <c r="H830" i="43" s="1"/>
  <c r="R60" i="43"/>
  <c r="G826" i="43" s="1"/>
  <c r="H826" i="43" s="1"/>
  <c r="R56" i="43"/>
  <c r="G822" i="43" s="1"/>
  <c r="H822" i="43" s="1"/>
  <c r="R52" i="43"/>
  <c r="G818" i="43" s="1"/>
  <c r="H818" i="43" s="1"/>
  <c r="R226" i="43"/>
  <c r="R210" i="43"/>
  <c r="R198" i="43"/>
  <c r="R186" i="43"/>
  <c r="R178" i="43"/>
  <c r="R166" i="43"/>
  <c r="R154" i="43"/>
  <c r="R142" i="43"/>
  <c r="R130" i="43"/>
  <c r="R118" i="43"/>
  <c r="R102" i="43"/>
  <c r="R86" i="43"/>
  <c r="R78" i="43"/>
  <c r="R62" i="43"/>
  <c r="G828" i="43" s="1"/>
  <c r="H828" i="43" s="1"/>
  <c r="R275" i="43"/>
  <c r="R271" i="43"/>
  <c r="R267" i="43"/>
  <c r="R263" i="43"/>
  <c r="R259" i="43"/>
  <c r="R255" i="43"/>
  <c r="R251" i="43"/>
  <c r="R247" i="43"/>
  <c r="R243" i="43"/>
  <c r="R239" i="43"/>
  <c r="R235" i="43"/>
  <c r="R231" i="43"/>
  <c r="R227" i="43"/>
  <c r="R223" i="43"/>
  <c r="R219" i="43"/>
  <c r="R215" i="43"/>
  <c r="R211" i="43"/>
  <c r="R207" i="43"/>
  <c r="R203" i="43"/>
  <c r="R199" i="43"/>
  <c r="R195" i="43"/>
  <c r="R191" i="43"/>
  <c r="R187" i="43"/>
  <c r="R183" i="43"/>
  <c r="R179" i="43"/>
  <c r="R175" i="43"/>
  <c r="R171" i="43"/>
  <c r="R167" i="43"/>
  <c r="R163" i="43"/>
  <c r="R159" i="43"/>
  <c r="R155" i="43"/>
  <c r="R151" i="43"/>
  <c r="R147" i="43"/>
  <c r="R143" i="43"/>
  <c r="R139" i="43"/>
  <c r="R135" i="43"/>
  <c r="R131" i="43"/>
  <c r="R127" i="43"/>
  <c r="R123" i="43"/>
  <c r="R119" i="43"/>
  <c r="R115" i="43"/>
  <c r="R111" i="43"/>
  <c r="R107" i="43"/>
  <c r="R103" i="43"/>
  <c r="R99" i="43"/>
  <c r="R95" i="43"/>
  <c r="R91" i="43"/>
  <c r="R87" i="43"/>
  <c r="R83" i="43"/>
  <c r="R79" i="43"/>
  <c r="R75" i="43"/>
  <c r="G841" i="43" s="1"/>
  <c r="H841" i="43" s="1"/>
  <c r="R71" i="43"/>
  <c r="G837" i="43" s="1"/>
  <c r="H837" i="43" s="1"/>
  <c r="R67" i="43"/>
  <c r="G833" i="43" s="1"/>
  <c r="H833" i="43" s="1"/>
  <c r="R63" i="43"/>
  <c r="G829" i="43" s="1"/>
  <c r="H829" i="43" s="1"/>
  <c r="R59" i="43"/>
  <c r="G825" i="43" s="1"/>
  <c r="H825" i="43" s="1"/>
  <c r="R55" i="43"/>
  <c r="G821" i="43" s="1"/>
  <c r="H821" i="43" s="1"/>
  <c r="R51" i="43"/>
  <c r="G817" i="43" s="1"/>
  <c r="H817" i="43" s="1"/>
  <c r="R230" i="43"/>
  <c r="R214" i="43"/>
  <c r="R202" i="43"/>
  <c r="R190" i="43"/>
  <c r="R182" i="43"/>
  <c r="R170" i="43"/>
  <c r="R158" i="43"/>
  <c r="R146" i="43"/>
  <c r="R134" i="43"/>
  <c r="R122" i="43"/>
  <c r="R106" i="43"/>
  <c r="R90" i="43"/>
  <c r="R74" i="43"/>
  <c r="G840" i="43" s="1"/>
  <c r="H840" i="43" s="1"/>
  <c r="R66" i="43"/>
  <c r="G832" i="43" s="1"/>
  <c r="H832" i="43" s="1"/>
  <c r="R50" i="43"/>
  <c r="G816" i="43" s="1"/>
  <c r="H816" i="43" s="1"/>
  <c r="R278" i="43"/>
  <c r="R274" i="43"/>
  <c r="R270" i="43"/>
  <c r="R266" i="43"/>
  <c r="R262" i="43"/>
  <c r="R258" i="43"/>
  <c r="R254" i="43"/>
  <c r="R250" i="43"/>
  <c r="R246" i="43"/>
  <c r="R242" i="43"/>
  <c r="R238" i="43"/>
  <c r="R234" i="43"/>
  <c r="R222" i="43"/>
  <c r="R218" i="43"/>
  <c r="R206" i="43"/>
  <c r="R194" i="43"/>
  <c r="R174" i="43"/>
  <c r="R162" i="43"/>
  <c r="R150" i="43"/>
  <c r="R138" i="43"/>
  <c r="R126" i="43"/>
  <c r="R110" i="43"/>
  <c r="R94" i="43"/>
  <c r="R70" i="43"/>
  <c r="G836" i="43" s="1"/>
  <c r="H836" i="43" s="1"/>
  <c r="R54" i="43"/>
  <c r="G820" i="43" s="1"/>
  <c r="H820" i="43" s="1"/>
  <c r="AA100" i="38"/>
  <c r="AC100" i="38" s="1"/>
  <c r="AA98" i="38"/>
  <c r="AC98" i="38" s="1"/>
  <c r="AB92" i="38"/>
  <c r="AA94" i="38"/>
  <c r="AC94" i="38" s="1"/>
  <c r="AA92" i="38"/>
  <c r="AC92" i="38" s="1"/>
  <c r="AB116" i="38"/>
  <c r="AB115" i="38"/>
  <c r="AB114" i="38"/>
  <c r="AB113" i="38"/>
  <c r="AB112" i="38"/>
  <c r="AB111" i="38"/>
  <c r="AB110" i="38"/>
  <c r="AB109" i="38"/>
  <c r="AB108" i="38"/>
  <c r="AB107" i="38"/>
  <c r="AB106" i="38"/>
  <c r="AB105" i="38"/>
  <c r="AB104" i="38"/>
  <c r="AB103" i="38"/>
  <c r="AB102" i="38"/>
  <c r="AB101" i="38"/>
  <c r="AB100" i="38"/>
  <c r="AB99" i="38"/>
  <c r="AB98" i="38"/>
  <c r="AB97" i="38"/>
  <c r="AB96" i="38"/>
  <c r="AB95" i="38"/>
  <c r="AA99" i="38"/>
  <c r="AC99" i="38" s="1"/>
  <c r="AA95" i="38"/>
  <c r="AC95" i="38" s="1"/>
  <c r="AB94" i="38"/>
  <c r="AB91" i="38"/>
  <c r="AA93" i="38"/>
  <c r="AC93" i="38" s="1"/>
  <c r="AA116" i="38"/>
  <c r="AC116" i="38" s="1"/>
  <c r="AA115" i="38"/>
  <c r="AC115" i="38" s="1"/>
  <c r="AA114" i="38"/>
  <c r="AC114" i="38" s="1"/>
  <c r="AA113" i="38"/>
  <c r="AC113" i="38" s="1"/>
  <c r="AA112" i="38"/>
  <c r="AC112" i="38" s="1"/>
  <c r="AA111" i="38"/>
  <c r="AC111" i="38" s="1"/>
  <c r="AA110" i="38"/>
  <c r="AC110" i="38" s="1"/>
  <c r="AA109" i="38"/>
  <c r="AC109" i="38" s="1"/>
  <c r="AA108" i="38"/>
  <c r="AC108" i="38" s="1"/>
  <c r="AA107" i="38"/>
  <c r="AC107" i="38" s="1"/>
  <c r="AA106" i="38"/>
  <c r="AC106" i="38" s="1"/>
  <c r="AA105" i="38"/>
  <c r="AC105" i="38" s="1"/>
  <c r="AA104" i="38"/>
  <c r="AC104" i="38" s="1"/>
  <c r="AA103" i="38"/>
  <c r="AC103" i="38" s="1"/>
  <c r="AA102" i="38"/>
  <c r="AC102" i="38" s="1"/>
  <c r="AA101" i="38"/>
  <c r="AC101" i="38" s="1"/>
  <c r="AA97" i="38"/>
  <c r="AC97" i="38" s="1"/>
  <c r="AA96" i="38"/>
  <c r="AC96" i="38" s="1"/>
  <c r="AB93" i="38"/>
  <c r="AA91" i="38"/>
  <c r="AC91" i="38" s="1"/>
  <c r="AE126" i="66"/>
  <c r="AE264" i="66"/>
  <c r="AE172" i="66"/>
  <c r="AE149" i="66"/>
  <c r="AE218" i="66"/>
  <c r="AE287" i="66"/>
  <c r="AE195" i="66"/>
  <c r="AE241" i="66"/>
  <c r="AE103" i="66"/>
  <c r="Q190" i="52"/>
  <c r="S190" i="52" s="1"/>
  <c r="D196" i="52"/>
  <c r="Q196" i="52" s="1"/>
  <c r="S196" i="52" s="1"/>
  <c r="AA20" i="66"/>
  <c r="Y20" i="66"/>
  <c r="Y263" i="66"/>
  <c r="AA240" i="66"/>
  <c r="Y217" i="66"/>
  <c r="AA171" i="66"/>
  <c r="Y125" i="66"/>
  <c r="AA286" i="66"/>
  <c r="Y194" i="66"/>
  <c r="Y148" i="66"/>
  <c r="AA102" i="66"/>
  <c r="AA263" i="66"/>
  <c r="Y240" i="66"/>
  <c r="AA217" i="66"/>
  <c r="Y171" i="66"/>
  <c r="AA125" i="66"/>
  <c r="Y286" i="66"/>
  <c r="AA194" i="66"/>
  <c r="AA148" i="66"/>
  <c r="Y102" i="66"/>
  <c r="C149" i="52"/>
  <c r="Z20" i="66"/>
  <c r="W20" i="66"/>
  <c r="X20" i="66"/>
  <c r="X286" i="66"/>
  <c r="W240" i="66"/>
  <c r="Z194" i="66"/>
  <c r="W171" i="66"/>
  <c r="Z148" i="66"/>
  <c r="X102" i="66"/>
  <c r="W286" i="66"/>
  <c r="X263" i="66"/>
  <c r="Z240" i="66"/>
  <c r="X217" i="66"/>
  <c r="Z171" i="66"/>
  <c r="X125" i="66"/>
  <c r="W102" i="66"/>
  <c r="Z286" i="66"/>
  <c r="W263" i="66"/>
  <c r="W217" i="66"/>
  <c r="X194" i="66"/>
  <c r="X148" i="66"/>
  <c r="W125" i="66"/>
  <c r="Z102" i="66"/>
  <c r="Z263" i="66"/>
  <c r="X240" i="66"/>
  <c r="Z217" i="66"/>
  <c r="W194" i="66"/>
  <c r="X171" i="66"/>
  <c r="W148" i="66"/>
  <c r="Z125" i="66"/>
  <c r="F842" i="43"/>
  <c r="G78" i="50"/>
  <c r="R32" i="57"/>
  <c r="A96" i="52"/>
  <c r="R29" i="57"/>
  <c r="AA79" i="66"/>
  <c r="Y79" i="66"/>
  <c r="A145" i="52"/>
  <c r="E134" i="52" s="1"/>
  <c r="W79" i="66"/>
  <c r="X79" i="66"/>
  <c r="Z79" i="66"/>
  <c r="AB85" i="38"/>
  <c r="E143" i="38" s="1"/>
  <c r="T143" i="38" s="1"/>
  <c r="AD143" i="38" s="1"/>
  <c r="L35" i="57"/>
  <c r="T35" i="57" s="1"/>
  <c r="F135" i="52"/>
  <c r="C29" i="57"/>
  <c r="C25" i="57"/>
  <c r="C28" i="57"/>
  <c r="C27" i="57"/>
  <c r="C26" i="57"/>
  <c r="K4" i="43"/>
  <c r="G3" i="43"/>
  <c r="G3" i="65"/>
  <c r="I3" i="65"/>
  <c r="K3" i="65"/>
  <c r="K4" i="65"/>
  <c r="G4" i="65"/>
  <c r="A131" i="52"/>
  <c r="A153" i="52"/>
  <c r="A123" i="52"/>
  <c r="A115" i="52"/>
  <c r="A146" i="52"/>
  <c r="F134" i="52" s="1"/>
  <c r="R78" i="65"/>
  <c r="U78" i="65" s="1"/>
  <c r="W77" i="65" s="1"/>
  <c r="AB77" i="38"/>
  <c r="E135" i="38" s="1"/>
  <c r="T135" i="38" s="1"/>
  <c r="AD135" i="38" s="1"/>
  <c r="H43" i="57"/>
  <c r="A104" i="52"/>
  <c r="Z185" i="52"/>
  <c r="L43" i="57"/>
  <c r="T43" i="57" s="1"/>
  <c r="L33" i="57"/>
  <c r="T33" i="57" s="1"/>
  <c r="Z167" i="52"/>
  <c r="H153" i="52"/>
  <c r="AA74" i="38"/>
  <c r="AC74" i="38" s="1"/>
  <c r="E15" i="62"/>
  <c r="R32" i="43"/>
  <c r="G798" i="43" s="1"/>
  <c r="AA67" i="38"/>
  <c r="AC67" i="38" s="1"/>
  <c r="AB73" i="38"/>
  <c r="E131" i="38" s="1"/>
  <c r="T131" i="38" s="1"/>
  <c r="AD131" i="38" s="1"/>
  <c r="P55" i="57"/>
  <c r="A139" i="52"/>
  <c r="AF678" i="66" s="1"/>
  <c r="C19" i="57"/>
  <c r="C38" i="57"/>
  <c r="C34" i="57"/>
  <c r="C30" i="57"/>
  <c r="C20" i="57"/>
  <c r="C48" i="57"/>
  <c r="C36" i="57"/>
  <c r="C22" i="57"/>
  <c r="C49" i="57"/>
  <c r="C37" i="57"/>
  <c r="C24" i="57"/>
  <c r="C21" i="57"/>
  <c r="C47" i="57"/>
  <c r="D137" i="52"/>
  <c r="H49" i="57"/>
  <c r="L48" i="57"/>
  <c r="P47" i="57"/>
  <c r="P49" i="57"/>
  <c r="L49" i="57"/>
  <c r="J49" i="57"/>
  <c r="L47" i="57"/>
  <c r="L19" i="57"/>
  <c r="T49" i="57"/>
  <c r="R49" i="57"/>
  <c r="R47" i="57"/>
  <c r="T48" i="57"/>
  <c r="J48" i="57"/>
  <c r="T47" i="57"/>
  <c r="R48" i="57"/>
  <c r="P48" i="57"/>
  <c r="R44" i="43"/>
  <c r="G810" i="43" s="1"/>
  <c r="H810" i="43" s="1"/>
  <c r="R36" i="57"/>
  <c r="AB78" i="38"/>
  <c r="G1476" i="50" s="1"/>
  <c r="H1476" i="50" s="1"/>
  <c r="L50" i="57"/>
  <c r="T50" i="57" s="1"/>
  <c r="R43" i="57"/>
  <c r="P45" i="57"/>
  <c r="AA80" i="38"/>
  <c r="AC80" i="38" s="1"/>
  <c r="Z183" i="52"/>
  <c r="R39" i="43"/>
  <c r="G805" i="43" s="1"/>
  <c r="H805" i="43" s="1"/>
  <c r="AB76" i="38"/>
  <c r="G1474" i="50" s="1"/>
  <c r="H1474" i="50" s="1"/>
  <c r="J43" i="57"/>
  <c r="F78" i="52"/>
  <c r="Z171" i="52"/>
  <c r="L30" i="57"/>
  <c r="T30" i="57" s="1"/>
  <c r="R37" i="57"/>
  <c r="Z188" i="52"/>
  <c r="H50" i="57"/>
  <c r="R35" i="43"/>
  <c r="G801" i="43" s="1"/>
  <c r="R35" i="57"/>
  <c r="AA84" i="38"/>
  <c r="AC84" i="38" s="1"/>
  <c r="M3" i="65"/>
  <c r="R55" i="57"/>
  <c r="I4" i="38"/>
  <c r="D170" i="52"/>
  <c r="D176" i="52" s="1"/>
  <c r="Q176" i="52" s="1"/>
  <c r="S176" i="52" s="1"/>
  <c r="C139" i="52"/>
  <c r="H45" i="57"/>
  <c r="AA77" i="38"/>
  <c r="AC77" i="38" s="1"/>
  <c r="H32" i="57"/>
  <c r="F151" i="52"/>
  <c r="R48" i="43"/>
  <c r="G814" i="43" s="1"/>
  <c r="H814" i="43" s="1"/>
  <c r="C154" i="52"/>
  <c r="R34" i="57"/>
  <c r="AA88" i="38"/>
  <c r="AC88" i="38" s="1"/>
  <c r="R39" i="57"/>
  <c r="R38" i="57"/>
  <c r="C136" i="52"/>
  <c r="R34" i="43"/>
  <c r="G800" i="43" s="1"/>
  <c r="P56" i="57"/>
  <c r="H41" i="57"/>
  <c r="P37" i="57"/>
  <c r="R279" i="43"/>
  <c r="R58" i="57"/>
  <c r="R46" i="43"/>
  <c r="G812" i="43" s="1"/>
  <c r="H812" i="43" s="1"/>
  <c r="P57" i="57"/>
  <c r="Z164" i="52"/>
  <c r="P58" i="57"/>
  <c r="R31" i="57"/>
  <c r="AA69" i="38"/>
  <c r="AC69" i="38" s="1"/>
  <c r="R50" i="57"/>
  <c r="Z176" i="52"/>
  <c r="AB84" i="38"/>
  <c r="G1482" i="50" s="1"/>
  <c r="H1482" i="50" s="1"/>
  <c r="R33" i="57"/>
  <c r="G153" i="52"/>
  <c r="AB72" i="38"/>
  <c r="G1470" i="50" s="1"/>
  <c r="H1470" i="50" s="1"/>
  <c r="R56" i="57"/>
  <c r="D151" i="52"/>
  <c r="P38" i="57"/>
  <c r="AB89" i="38"/>
  <c r="E147" i="38" s="1"/>
  <c r="T147" i="38" s="1"/>
  <c r="AD147" i="38" s="1"/>
  <c r="G179" i="38"/>
  <c r="B70" i="57"/>
  <c r="G152" i="52"/>
  <c r="R54" i="57"/>
  <c r="E77" i="52"/>
  <c r="F139" i="52"/>
  <c r="D154" i="52"/>
  <c r="L53" i="57"/>
  <c r="T53" i="57" s="1"/>
  <c r="AB83" i="38"/>
  <c r="E141" i="38" s="1"/>
  <c r="T141" i="38" s="1"/>
  <c r="AD141" i="38" s="1"/>
  <c r="Z165" i="52"/>
  <c r="R52" i="57"/>
  <c r="AA90" i="38"/>
  <c r="AC90" i="38" s="1"/>
  <c r="L20" i="57"/>
  <c r="AA81" i="38"/>
  <c r="AC81" i="38" s="1"/>
  <c r="AA85" i="38"/>
  <c r="AC85" i="38" s="1"/>
  <c r="P42" i="57"/>
  <c r="E151" i="52"/>
  <c r="H40" i="57"/>
  <c r="P43" i="57"/>
  <c r="Z189" i="52"/>
  <c r="F136" i="52"/>
  <c r="R42" i="57"/>
  <c r="AB81" i="38"/>
  <c r="E139" i="38" s="1"/>
  <c r="T139" i="38" s="1"/>
  <c r="AD139" i="38" s="1"/>
  <c r="AA86" i="38"/>
  <c r="AC86" i="38" s="1"/>
  <c r="R46" i="57"/>
  <c r="AA73" i="38"/>
  <c r="AC73" i="38" s="1"/>
  <c r="E138" i="52"/>
  <c r="AB86" i="38"/>
  <c r="E144" i="38" s="1"/>
  <c r="T144" i="38" s="1"/>
  <c r="AD144" i="38" s="1"/>
  <c r="A116" i="52"/>
  <c r="P31" i="57"/>
  <c r="L31" i="57"/>
  <c r="T31" i="57" s="1"/>
  <c r="R57" i="57"/>
  <c r="AB69" i="38"/>
  <c r="G1467" i="50" s="1"/>
  <c r="R30" i="57"/>
  <c r="AB71" i="38"/>
  <c r="E129" i="38" s="1"/>
  <c r="T129" i="38" s="1"/>
  <c r="AD129" i="38" s="1"/>
  <c r="C153" i="52"/>
  <c r="L55" i="57"/>
  <c r="T55" i="57" s="1"/>
  <c r="L39" i="57"/>
  <c r="T39" i="57" s="1"/>
  <c r="P40" i="57"/>
  <c r="L51" i="57"/>
  <c r="T51" i="57" s="1"/>
  <c r="R45" i="43"/>
  <c r="G811" i="43" s="1"/>
  <c r="H811" i="43" s="1"/>
  <c r="R41" i="43"/>
  <c r="G807" i="43" s="1"/>
  <c r="H807" i="43" s="1"/>
  <c r="AB82" i="38"/>
  <c r="G1480" i="50" s="1"/>
  <c r="H1480" i="50" s="1"/>
  <c r="AB70" i="38"/>
  <c r="G1468" i="50" s="1"/>
  <c r="H1468" i="50" s="1"/>
  <c r="Z178" i="52"/>
  <c r="F153" i="52"/>
  <c r="D150" i="52"/>
  <c r="R38" i="43"/>
  <c r="G804" i="43" s="1"/>
  <c r="L32" i="57"/>
  <c r="T32" i="57" s="1"/>
  <c r="L36" i="57"/>
  <c r="T36" i="57" s="1"/>
  <c r="P39" i="57"/>
  <c r="H151" i="52"/>
  <c r="AA79" i="38"/>
  <c r="AC79" i="38" s="1"/>
  <c r="AA75" i="38"/>
  <c r="AC75" i="38" s="1"/>
  <c r="G151" i="52"/>
  <c r="AB80" i="38"/>
  <c r="Z172" i="52"/>
  <c r="AA72" i="38"/>
  <c r="AC72" i="38" s="1"/>
  <c r="P50" i="57"/>
  <c r="Z177" i="52"/>
  <c r="A132" i="52"/>
  <c r="R41" i="57"/>
  <c r="Z179" i="52"/>
  <c r="AQ66" i="50"/>
  <c r="J18" i="57"/>
  <c r="G33" i="65"/>
  <c r="E48" i="65"/>
  <c r="M3" i="43"/>
  <c r="I4" i="43"/>
  <c r="K3" i="43"/>
  <c r="I3" i="43"/>
  <c r="D138" i="52"/>
  <c r="C150" i="52"/>
  <c r="P52" i="57"/>
  <c r="P35" i="57"/>
  <c r="J32" i="57"/>
  <c r="AA68" i="38"/>
  <c r="AB90" i="38"/>
  <c r="G1488" i="50" s="1"/>
  <c r="H1488" i="50" s="1"/>
  <c r="AB74" i="38"/>
  <c r="E132" i="38" s="1"/>
  <c r="T132" i="38" s="1"/>
  <c r="AD132" i="38" s="1"/>
  <c r="AA87" i="38"/>
  <c r="AC87" i="38" s="1"/>
  <c r="AB88" i="38"/>
  <c r="E146" i="38" s="1"/>
  <c r="T146" i="38" s="1"/>
  <c r="AD146" i="38" s="1"/>
  <c r="R51" i="57"/>
  <c r="P32" i="57"/>
  <c r="G138" i="52"/>
  <c r="Z170" i="52"/>
  <c r="G154" i="52"/>
  <c r="H46" i="57"/>
  <c r="R47" i="43"/>
  <c r="G813" i="43" s="1"/>
  <c r="H813" i="43" s="1"/>
  <c r="L57" i="57"/>
  <c r="T57" i="57" s="1"/>
  <c r="R37" i="43"/>
  <c r="G803" i="43" s="1"/>
  <c r="D135" i="52"/>
  <c r="D153" i="52"/>
  <c r="G4" i="43"/>
  <c r="E154" i="52"/>
  <c r="R43" i="43"/>
  <c r="G809" i="43" s="1"/>
  <c r="H809" i="43" s="1"/>
  <c r="P41" i="57"/>
  <c r="P166" i="52"/>
  <c r="AA82" i="38"/>
  <c r="AC82" i="38" s="1"/>
  <c r="H31" i="57"/>
  <c r="F154" i="52"/>
  <c r="P33" i="57"/>
  <c r="H152" i="52"/>
  <c r="G139" i="52"/>
  <c r="AA71" i="38"/>
  <c r="AC71" i="38" s="1"/>
  <c r="G3" i="38"/>
  <c r="E38" i="65"/>
  <c r="K18" i="57"/>
  <c r="G18" i="57"/>
  <c r="E80" i="65"/>
  <c r="E17" i="65"/>
  <c r="I18" i="57"/>
  <c r="O18" i="57"/>
  <c r="X25" i="38"/>
  <c r="S164" i="52"/>
  <c r="AE68" i="50"/>
  <c r="F149" i="52"/>
  <c r="E50" i="65"/>
  <c r="M37" i="65"/>
  <c r="R45" i="57"/>
  <c r="F152" i="52"/>
  <c r="P54" i="57"/>
  <c r="AA76" i="38"/>
  <c r="AC76" i="38" s="1"/>
  <c r="C137" i="52"/>
  <c r="AB87" i="38"/>
  <c r="E145" i="38" s="1"/>
  <c r="T145" i="38" s="1"/>
  <c r="AD145" i="38" s="1"/>
  <c r="AB79" i="38"/>
  <c r="G1477" i="50" s="1"/>
  <c r="H1477" i="50" s="1"/>
  <c r="C138" i="52"/>
  <c r="A103" i="52"/>
  <c r="AA70" i="38"/>
  <c r="AC70" i="38" s="1"/>
  <c r="G1483" i="50"/>
  <c r="H1483" i="50" s="1"/>
  <c r="B59" i="52"/>
  <c r="R40" i="43"/>
  <c r="G806" i="43" s="1"/>
  <c r="H806" i="43" s="1"/>
  <c r="E137" i="52"/>
  <c r="R40" i="57"/>
  <c r="E135" i="52"/>
  <c r="J31" i="57"/>
  <c r="AA89" i="38"/>
  <c r="AC89" i="38" s="1"/>
  <c r="Z166" i="52"/>
  <c r="AA78" i="38"/>
  <c r="AC78" i="38" s="1"/>
  <c r="AB75" i="38"/>
  <c r="P30" i="57"/>
  <c r="R30" i="43"/>
  <c r="Z173" i="52"/>
  <c r="R42" i="43"/>
  <c r="G808" i="43" s="1"/>
  <c r="H808" i="43" s="1"/>
  <c r="R36" i="43"/>
  <c r="G802" i="43" s="1"/>
  <c r="L37" i="57"/>
  <c r="T37" i="57" s="1"/>
  <c r="E136" i="52"/>
  <c r="P34" i="57"/>
  <c r="F77" i="52"/>
  <c r="E152" i="52"/>
  <c r="L56" i="57"/>
  <c r="T56" i="57" s="1"/>
  <c r="L52" i="57"/>
  <c r="T52" i="57" s="1"/>
  <c r="G135" i="52"/>
  <c r="E150" i="52"/>
  <c r="C152" i="52"/>
  <c r="R53" i="57"/>
  <c r="Z191" i="52"/>
  <c r="H54" i="57"/>
  <c r="AA83" i="38"/>
  <c r="AC83" i="38" s="1"/>
  <c r="P46" i="57"/>
  <c r="Z190" i="52"/>
  <c r="A124" i="52"/>
  <c r="Z182" i="52"/>
  <c r="L38" i="57"/>
  <c r="T38" i="57" s="1"/>
  <c r="D139" i="52"/>
  <c r="H150" i="52"/>
  <c r="P36" i="57"/>
  <c r="J50" i="57"/>
  <c r="P53" i="57"/>
  <c r="P51" i="57"/>
  <c r="F138" i="52"/>
  <c r="G136" i="52"/>
  <c r="L34" i="57"/>
  <c r="T34" i="57" s="1"/>
  <c r="R33" i="43"/>
  <c r="G799" i="43" s="1"/>
  <c r="F13" i="60"/>
  <c r="C165" i="52"/>
  <c r="C166" i="52" s="1"/>
  <c r="C167" i="52" s="1"/>
  <c r="C173" i="52" s="1"/>
  <c r="C179" i="52" s="1"/>
  <c r="C185" i="52" s="1"/>
  <c r="C191" i="52" s="1"/>
  <c r="C197" i="52" s="1"/>
  <c r="R50" i="65"/>
  <c r="R51" i="65" s="1"/>
  <c r="X27" i="38"/>
  <c r="P164" i="52"/>
  <c r="X24" i="38"/>
  <c r="X19" i="38"/>
  <c r="K3" i="38"/>
  <c r="X39" i="38"/>
  <c r="X43" i="38"/>
  <c r="X45" i="38"/>
  <c r="X40" i="38"/>
  <c r="M4" i="38"/>
  <c r="M3" i="38"/>
  <c r="K4" i="38"/>
  <c r="I3" i="38"/>
  <c r="X21" i="38"/>
  <c r="M4" i="10"/>
  <c r="X42" i="38"/>
  <c r="I12" i="62"/>
  <c r="S8" i="60"/>
  <c r="M4" i="65"/>
  <c r="I4" i="65"/>
  <c r="R79" i="65"/>
  <c r="R80" i="65" s="1"/>
  <c r="U80" i="65" s="1"/>
  <c r="E79" i="65"/>
  <c r="Q18" i="57"/>
  <c r="AE66" i="50"/>
  <c r="S18" i="57"/>
  <c r="E36" i="65"/>
  <c r="I33" i="65"/>
  <c r="E78" i="65"/>
  <c r="AL18" i="57"/>
  <c r="X18" i="38"/>
  <c r="Q166" i="52"/>
  <c r="S167" i="52"/>
  <c r="X20" i="38"/>
  <c r="G4" i="38"/>
  <c r="T14" i="9"/>
  <c r="T21" i="9" s="1"/>
  <c r="X26" i="38"/>
  <c r="X44" i="38"/>
  <c r="P165" i="52"/>
  <c r="P167" i="52"/>
  <c r="Q178" i="52"/>
  <c r="S178" i="52" s="1"/>
  <c r="Q184" i="52"/>
  <c r="S184" i="52" s="1"/>
  <c r="R81" i="65"/>
  <c r="D83" i="65"/>
  <c r="E81" i="65"/>
  <c r="X46" i="38"/>
  <c r="X38" i="38"/>
  <c r="X41" i="38"/>
  <c r="X37" i="38"/>
  <c r="G182" i="38"/>
  <c r="AO18" i="57"/>
  <c r="E149" i="52"/>
  <c r="E17" i="62"/>
  <c r="D54" i="65"/>
  <c r="R52" i="65"/>
  <c r="R53" i="65" s="1"/>
  <c r="E53" i="65"/>
  <c r="E52" i="65"/>
  <c r="I185" i="38"/>
  <c r="X22" i="38"/>
  <c r="X23" i="38"/>
  <c r="D171" i="52"/>
  <c r="Q165" i="52"/>
  <c r="I184" i="38"/>
  <c r="E51" i="65"/>
  <c r="I3" i="50"/>
  <c r="G3" i="50"/>
  <c r="I179" i="38"/>
  <c r="I182" i="38"/>
  <c r="I186" i="38"/>
  <c r="I183" i="38"/>
  <c r="S17" i="9"/>
  <c r="S18" i="9"/>
  <c r="U77" i="50"/>
  <c r="I2" i="10"/>
  <c r="X36" i="38"/>
  <c r="R17" i="9"/>
  <c r="M2" i="66"/>
  <c r="R26" i="9"/>
  <c r="M2" i="10"/>
  <c r="R27" i="9"/>
  <c r="D44" i="9"/>
  <c r="B77" i="52"/>
  <c r="D32" i="9"/>
  <c r="D34" i="9"/>
  <c r="M2" i="37"/>
  <c r="R12" i="9"/>
  <c r="E16" i="9"/>
  <c r="L1" i="26"/>
  <c r="R22" i="9"/>
  <c r="M2" i="43"/>
  <c r="M2" i="63"/>
  <c r="R14" i="9"/>
  <c r="M2" i="65"/>
  <c r="D36" i="9"/>
  <c r="D10" i="9"/>
  <c r="M2" i="50"/>
  <c r="D46" i="9"/>
  <c r="R25" i="9"/>
  <c r="R15" i="9"/>
  <c r="D42" i="9"/>
  <c r="M2" i="9"/>
  <c r="AC215" i="50" l="1"/>
  <c r="AC271" i="50"/>
  <c r="AC1195" i="50"/>
  <c r="AC187" i="50"/>
  <c r="AS187" i="50" s="1"/>
  <c r="AU187" i="50" s="1"/>
  <c r="AC997" i="50"/>
  <c r="AC438" i="50"/>
  <c r="I438" i="50" s="1"/>
  <c r="AA13" i="60"/>
  <c r="AB13" i="60"/>
  <c r="AC13" i="60"/>
  <c r="Z13" i="60"/>
  <c r="AC632" i="50"/>
  <c r="AC1136" i="50"/>
  <c r="I1136" i="50" s="1"/>
  <c r="V235" i="66"/>
  <c r="M4" i="66" s="1"/>
  <c r="E50" i="66"/>
  <c r="C281" i="66"/>
  <c r="D258" i="66"/>
  <c r="V258" i="66" s="1"/>
  <c r="A258" i="66"/>
  <c r="G52" i="66" a="1"/>
  <c r="G52" i="66" s="1"/>
  <c r="F52" i="66" a="1"/>
  <c r="F52" i="66" s="1"/>
  <c r="M52" i="66" s="1" a="1"/>
  <c r="M52" i="66" s="1"/>
  <c r="F51" i="66" a="1"/>
  <c r="F51" i="66" s="1"/>
  <c r="M51" i="66" s="1" a="1"/>
  <c r="M51" i="66" s="1"/>
  <c r="K51" i="66" a="1"/>
  <c r="K51" i="66" s="1"/>
  <c r="I52" i="66" a="1"/>
  <c r="I52" i="66" s="1"/>
  <c r="AC718" i="50"/>
  <c r="AC240" i="50"/>
  <c r="I240" i="50" s="1"/>
  <c r="AC436" i="50"/>
  <c r="AC493" i="50"/>
  <c r="AS493" i="50" s="1"/>
  <c r="AU493" i="50" s="1"/>
  <c r="AO62" i="57"/>
  <c r="AO28" i="57"/>
  <c r="AO63" i="57"/>
  <c r="AO48" i="57"/>
  <c r="AO27" i="57"/>
  <c r="AO61" i="57"/>
  <c r="AO29" i="57"/>
  <c r="AO25" i="57"/>
  <c r="AO24" i="57"/>
  <c r="AO23" i="57"/>
  <c r="AO59" i="57"/>
  <c r="AO47" i="57"/>
  <c r="AO64" i="57"/>
  <c r="AO60" i="57"/>
  <c r="AO38" i="57"/>
  <c r="AO37" i="57"/>
  <c r="AO36" i="57"/>
  <c r="AO34" i="57"/>
  <c r="AO30" i="57"/>
  <c r="AO26" i="57"/>
  <c r="AO49" i="57"/>
  <c r="AF655" i="66"/>
  <c r="AH655" i="66" s="1"/>
  <c r="AL61" i="57"/>
  <c r="AL64" i="57"/>
  <c r="AL60" i="57"/>
  <c r="AL63" i="57"/>
  <c r="AL59" i="57"/>
  <c r="AL62" i="57"/>
  <c r="AC522" i="50"/>
  <c r="I522" i="50" s="1"/>
  <c r="AC773" i="50"/>
  <c r="AS773" i="50" s="1"/>
  <c r="AU773" i="50" s="1"/>
  <c r="AW773" i="50" s="1"/>
  <c r="AX773" i="50" s="1"/>
  <c r="AC1277" i="50"/>
  <c r="AS1277" i="50" s="1"/>
  <c r="AU1277" i="50" s="1"/>
  <c r="AC1417" i="50"/>
  <c r="I1417" i="50" s="1"/>
  <c r="AC128" i="50"/>
  <c r="AS128" i="50" s="1"/>
  <c r="AU128" i="50" s="1"/>
  <c r="AC1250" i="50"/>
  <c r="I1250" i="50" s="1"/>
  <c r="AC800" i="50"/>
  <c r="AS800" i="50" s="1"/>
  <c r="AU800" i="50" s="1"/>
  <c r="AC1248" i="50"/>
  <c r="AS1248" i="50" s="1"/>
  <c r="AU1248" i="50" s="1"/>
  <c r="AC717" i="50"/>
  <c r="I717" i="50" s="1"/>
  <c r="AC1025" i="50"/>
  <c r="AS1025" i="50" s="1"/>
  <c r="AU1025" i="50" s="1"/>
  <c r="AC857" i="50"/>
  <c r="I857" i="50" s="1"/>
  <c r="AC382" i="50"/>
  <c r="I382" i="50" s="1"/>
  <c r="AC999" i="50"/>
  <c r="I999" i="50" s="1"/>
  <c r="AC465" i="50"/>
  <c r="I465" i="50" s="1"/>
  <c r="AC548" i="50"/>
  <c r="I548" i="50" s="1"/>
  <c r="AC1052" i="50"/>
  <c r="I1052" i="50" s="1"/>
  <c r="AC1334" i="50"/>
  <c r="AS1334" i="50" s="1"/>
  <c r="AU1334" i="50" s="1"/>
  <c r="AW1334" i="50" s="1"/>
  <c r="AX1334" i="50" s="1"/>
  <c r="AC774" i="50"/>
  <c r="AS774" i="50" s="1"/>
  <c r="AU774" i="50" s="1"/>
  <c r="I324" i="50"/>
  <c r="AS324" i="50"/>
  <c r="AU324" i="50" s="1"/>
  <c r="I1335" i="50"/>
  <c r="AS1335" i="50"/>
  <c r="AU1335" i="50" s="1"/>
  <c r="AS775" i="50"/>
  <c r="AU775" i="50" s="1"/>
  <c r="I775" i="50"/>
  <c r="I1445" i="50"/>
  <c r="AS1445" i="50"/>
  <c r="AU1445" i="50" s="1"/>
  <c r="AW1445" i="50" s="1"/>
  <c r="AX1445" i="50" s="1"/>
  <c r="AS1279" i="50"/>
  <c r="AU1279" i="50" s="1"/>
  <c r="I1279" i="50"/>
  <c r="AS353" i="50"/>
  <c r="AU353" i="50" s="1"/>
  <c r="AW353" i="50" s="1"/>
  <c r="AX353" i="50" s="1"/>
  <c r="I353" i="50"/>
  <c r="AS803" i="50"/>
  <c r="AU803" i="50" s="1"/>
  <c r="I803" i="50"/>
  <c r="AS633" i="50"/>
  <c r="AU633" i="50" s="1"/>
  <c r="AW633" i="50" s="1"/>
  <c r="AX633" i="50" s="1"/>
  <c r="I633" i="50"/>
  <c r="AS158" i="50"/>
  <c r="AU158" i="50" s="1"/>
  <c r="I158" i="50"/>
  <c r="I1447" i="50"/>
  <c r="AS1447" i="50"/>
  <c r="AU1447" i="50" s="1"/>
  <c r="AW1447" i="50" s="1"/>
  <c r="AX1447" i="50" s="1"/>
  <c r="AS383" i="50"/>
  <c r="AU383" i="50" s="1"/>
  <c r="I383" i="50"/>
  <c r="AS1249" i="50"/>
  <c r="AU1249" i="50" s="1"/>
  <c r="I1249" i="50"/>
  <c r="AH432" i="50"/>
  <c r="AH1412" i="50"/>
  <c r="AH180" i="50"/>
  <c r="AH713" i="50"/>
  <c r="AH1245" i="50"/>
  <c r="AH488" i="50"/>
  <c r="AS1083" i="50"/>
  <c r="AU1083" i="50" s="1"/>
  <c r="I1083" i="50"/>
  <c r="AS1137" i="50"/>
  <c r="AU1137" i="50" s="1"/>
  <c r="I1137" i="50"/>
  <c r="AS550" i="50"/>
  <c r="AU550" i="50" s="1"/>
  <c r="AW550" i="50" s="1"/>
  <c r="AX550" i="50" s="1"/>
  <c r="I550" i="50"/>
  <c r="AS129" i="50"/>
  <c r="AU129" i="50" s="1"/>
  <c r="I129" i="50"/>
  <c r="AS1164" i="50"/>
  <c r="AU1164" i="50" s="1"/>
  <c r="I1164" i="50"/>
  <c r="AC577" i="50"/>
  <c r="AG572" i="50"/>
  <c r="AF572" i="50"/>
  <c r="AR572" i="50"/>
  <c r="AI572" i="50"/>
  <c r="AS572" i="50"/>
  <c r="AV572" i="50"/>
  <c r="BU564" i="50" s="1"/>
  <c r="AS461" i="50"/>
  <c r="AF461" i="50"/>
  <c r="AI461" i="50"/>
  <c r="AV461" i="50"/>
  <c r="BR452" i="50" s="1"/>
  <c r="AR461" i="50"/>
  <c r="AG461" i="50"/>
  <c r="I885" i="50"/>
  <c r="AS885" i="50"/>
  <c r="AU885" i="50" s="1"/>
  <c r="AF629" i="50"/>
  <c r="AR629" i="50"/>
  <c r="AS629" i="50"/>
  <c r="AG629" i="50"/>
  <c r="AV629" i="50"/>
  <c r="BR620" i="50" s="1"/>
  <c r="AI629" i="50"/>
  <c r="AV687" i="50"/>
  <c r="BZ676" i="50" s="1"/>
  <c r="I687" i="50"/>
  <c r="AS687" i="50"/>
  <c r="AU687" i="50" s="1"/>
  <c r="AW687" i="50" s="1"/>
  <c r="AX687" i="50" s="1"/>
  <c r="I294" i="50"/>
  <c r="AS294" i="50"/>
  <c r="AU294" i="50" s="1"/>
  <c r="AW294" i="50" s="1"/>
  <c r="AX294" i="50" s="1"/>
  <c r="AV294" i="50"/>
  <c r="AS911" i="50"/>
  <c r="AU911" i="50" s="1"/>
  <c r="AV911" i="50"/>
  <c r="BZ900" i="50" s="1"/>
  <c r="I911" i="50"/>
  <c r="AV771" i="50"/>
  <c r="BZ760" i="50" s="1"/>
  <c r="I771" i="50"/>
  <c r="AS771" i="50"/>
  <c r="AU771" i="50" s="1"/>
  <c r="AV1188" i="50"/>
  <c r="BU1180" i="50" s="1"/>
  <c r="AS1188" i="50"/>
  <c r="AR1188" i="50"/>
  <c r="AG1188" i="50"/>
  <c r="AF1188" i="50"/>
  <c r="AI1188" i="50"/>
  <c r="I1080" i="50"/>
  <c r="AS1080" i="50"/>
  <c r="AU1080" i="50" s="1"/>
  <c r="AW1080" i="50" s="1"/>
  <c r="AX1080" i="50" s="1"/>
  <c r="AC1446" i="50"/>
  <c r="AV749" i="50"/>
  <c r="AS1134" i="50"/>
  <c r="AU1134" i="50" s="1"/>
  <c r="AW1134" i="50" s="1"/>
  <c r="AX1134" i="50" s="1"/>
  <c r="I1134" i="50"/>
  <c r="AV1134" i="50"/>
  <c r="AV183" i="50"/>
  <c r="BZ172" i="50" s="1"/>
  <c r="I183" i="50"/>
  <c r="AS183" i="50"/>
  <c r="AU183" i="50" s="1"/>
  <c r="AW183" i="50" s="1"/>
  <c r="AX183" i="50" s="1"/>
  <c r="AV1219" i="50"/>
  <c r="BZ1208" i="50" s="1"/>
  <c r="I1219" i="50"/>
  <c r="AS1219" i="50"/>
  <c r="AU1219" i="50" s="1"/>
  <c r="AS98" i="50"/>
  <c r="AU98" i="50" s="1"/>
  <c r="AW98" i="50" s="1"/>
  <c r="AX98" i="50" s="1"/>
  <c r="I98" i="50"/>
  <c r="AH1189" i="50"/>
  <c r="AH461" i="50"/>
  <c r="AH544" i="50"/>
  <c r="AH880" i="50"/>
  <c r="AH376" i="50"/>
  <c r="AH797" i="50"/>
  <c r="AH152" i="50"/>
  <c r="AS355" i="50"/>
  <c r="AU355" i="50" s="1"/>
  <c r="I355" i="50"/>
  <c r="AS856" i="50"/>
  <c r="AU856" i="50" s="1"/>
  <c r="I856" i="50"/>
  <c r="AS184" i="50"/>
  <c r="AU184" i="50" s="1"/>
  <c r="AW184" i="50" s="1"/>
  <c r="AX184" i="50" s="1"/>
  <c r="I184" i="50"/>
  <c r="AC101" i="50"/>
  <c r="AS96" i="50"/>
  <c r="AR96" i="50"/>
  <c r="AG96" i="50"/>
  <c r="AF96" i="50"/>
  <c r="AS490" i="50"/>
  <c r="AU490" i="50" s="1"/>
  <c r="I490" i="50"/>
  <c r="AV490" i="50"/>
  <c r="AS215" i="50"/>
  <c r="AU215" i="50" s="1"/>
  <c r="AW215" i="50" s="1"/>
  <c r="AX215" i="50" s="1"/>
  <c r="I215" i="50"/>
  <c r="AG1301" i="50"/>
  <c r="AV1301" i="50"/>
  <c r="BR1292" i="50" s="1"/>
  <c r="AR1301" i="50"/>
  <c r="AS1301" i="50"/>
  <c r="AI1301" i="50"/>
  <c r="AF1301" i="50"/>
  <c r="AV1281" i="50"/>
  <c r="I322" i="50"/>
  <c r="AS322" i="50"/>
  <c r="AU322" i="50" s="1"/>
  <c r="AV322" i="50"/>
  <c r="AA1393" i="50"/>
  <c r="AU1365" i="50"/>
  <c r="K1365" i="50" s="1"/>
  <c r="AU1309" i="50"/>
  <c r="K1309" i="50" s="1"/>
  <c r="AU1253" i="50"/>
  <c r="K1253" i="50" s="1"/>
  <c r="AA1225" i="50"/>
  <c r="AU1169" i="50"/>
  <c r="K1169" i="50" s="1"/>
  <c r="AU1057" i="50"/>
  <c r="K1057" i="50" s="1"/>
  <c r="AU973" i="50"/>
  <c r="K973" i="50" s="1"/>
  <c r="AU1449" i="50"/>
  <c r="K1449" i="50" s="1"/>
  <c r="AU1421" i="50"/>
  <c r="K1421" i="50" s="1"/>
  <c r="AA1365" i="50"/>
  <c r="AU1337" i="50"/>
  <c r="K1337" i="50" s="1"/>
  <c r="AA1309" i="50"/>
  <c r="AA1253" i="50"/>
  <c r="AA1169" i="50"/>
  <c r="AU1085" i="50"/>
  <c r="K1085" i="50" s="1"/>
  <c r="AA1057" i="50"/>
  <c r="AA1449" i="50"/>
  <c r="AA1421" i="50"/>
  <c r="AA1337" i="50"/>
  <c r="AU1281" i="50"/>
  <c r="K1281" i="50" s="1"/>
  <c r="AU1197" i="50"/>
  <c r="K1197" i="50" s="1"/>
  <c r="AU1141" i="50"/>
  <c r="K1141" i="50" s="1"/>
  <c r="AU1113" i="50"/>
  <c r="K1113" i="50" s="1"/>
  <c r="AA1085" i="50"/>
  <c r="AU1029" i="50"/>
  <c r="K1029" i="50" s="1"/>
  <c r="AU1001" i="50"/>
  <c r="K1001" i="50" s="1"/>
  <c r="AU1225" i="50"/>
  <c r="K1225" i="50" s="1"/>
  <c r="AA917" i="50"/>
  <c r="AA861" i="50"/>
  <c r="AU805" i="50"/>
  <c r="K805" i="50" s="1"/>
  <c r="AA749" i="50"/>
  <c r="AU721" i="50"/>
  <c r="K721" i="50" s="1"/>
  <c r="AU665" i="50"/>
  <c r="K665" i="50" s="1"/>
  <c r="AA637" i="50"/>
  <c r="AA609" i="50"/>
  <c r="AA1029" i="50"/>
  <c r="AA1001" i="50"/>
  <c r="AU945" i="50"/>
  <c r="K945" i="50" s="1"/>
  <c r="AU889" i="50"/>
  <c r="K889" i="50" s="1"/>
  <c r="AU833" i="50"/>
  <c r="K833" i="50" s="1"/>
  <c r="AA805" i="50"/>
  <c r="AA721" i="50"/>
  <c r="AA665" i="50"/>
  <c r="AA1281" i="50"/>
  <c r="AA973" i="50"/>
  <c r="AA945" i="50"/>
  <c r="AW945" i="50" s="1"/>
  <c r="AX945" i="50" s="1"/>
  <c r="AA889" i="50"/>
  <c r="AW889" i="50" s="1"/>
  <c r="AX889" i="50" s="1"/>
  <c r="AA833" i="50"/>
  <c r="AW833" i="50" s="1"/>
  <c r="AX833" i="50" s="1"/>
  <c r="AU777" i="50"/>
  <c r="K777" i="50" s="1"/>
  <c r="AU693" i="50"/>
  <c r="K693" i="50" s="1"/>
  <c r="AA1141" i="50"/>
  <c r="AA1113" i="50"/>
  <c r="AU861" i="50"/>
  <c r="K861" i="50" s="1"/>
  <c r="AU637" i="50"/>
  <c r="K637" i="50" s="1"/>
  <c r="AU609" i="50"/>
  <c r="K609" i="50" s="1"/>
  <c r="AU525" i="50"/>
  <c r="K525" i="50" s="1"/>
  <c r="AU469" i="50"/>
  <c r="K469" i="50" s="1"/>
  <c r="AA385" i="50"/>
  <c r="AA329" i="50"/>
  <c r="AU273" i="50"/>
  <c r="K273" i="50" s="1"/>
  <c r="AU217" i="50"/>
  <c r="K217" i="50" s="1"/>
  <c r="AU917" i="50"/>
  <c r="K917" i="50" s="1"/>
  <c r="AU749" i="50"/>
  <c r="K749" i="50" s="1"/>
  <c r="AU553" i="50"/>
  <c r="K553" i="50" s="1"/>
  <c r="AA525" i="50"/>
  <c r="AA469" i="50"/>
  <c r="AU413" i="50"/>
  <c r="K413" i="50" s="1"/>
  <c r="AU357" i="50"/>
  <c r="K357" i="50" s="1"/>
  <c r="AA273" i="50"/>
  <c r="AU1393" i="50"/>
  <c r="K1393" i="50" s="1"/>
  <c r="AA693" i="50"/>
  <c r="AU581" i="50"/>
  <c r="K581" i="50" s="1"/>
  <c r="AA553" i="50"/>
  <c r="AU497" i="50"/>
  <c r="K497" i="50" s="1"/>
  <c r="AU441" i="50"/>
  <c r="K441" i="50" s="1"/>
  <c r="AA413" i="50"/>
  <c r="AA357" i="50"/>
  <c r="AU301" i="50"/>
  <c r="K301" i="50" s="1"/>
  <c r="AU245" i="50"/>
  <c r="K245" i="50" s="1"/>
  <c r="AA777" i="50"/>
  <c r="AA581" i="50"/>
  <c r="AA497" i="50"/>
  <c r="AW497" i="50" s="1"/>
  <c r="AX497" i="50" s="1"/>
  <c r="AA441" i="50"/>
  <c r="AW441" i="50" s="1"/>
  <c r="AX441" i="50" s="1"/>
  <c r="AU161" i="50"/>
  <c r="K161" i="50" s="1"/>
  <c r="AA133" i="50"/>
  <c r="AA105" i="50"/>
  <c r="AA301" i="50"/>
  <c r="AA245" i="50"/>
  <c r="AA161" i="50"/>
  <c r="AU329" i="50"/>
  <c r="K329" i="50" s="1"/>
  <c r="AA217" i="50"/>
  <c r="AU189" i="50"/>
  <c r="K189" i="50" s="1"/>
  <c r="AA1197" i="50"/>
  <c r="AW1197" i="50" s="1"/>
  <c r="AX1197" i="50" s="1"/>
  <c r="AU385" i="50"/>
  <c r="K385" i="50" s="1"/>
  <c r="AA189" i="50"/>
  <c r="AU133" i="50"/>
  <c r="K133" i="50" s="1"/>
  <c r="AU105" i="50"/>
  <c r="K105" i="50" s="1"/>
  <c r="AH1104" i="50"/>
  <c r="AH852" i="50"/>
  <c r="AH1329" i="50"/>
  <c r="AH405" i="50"/>
  <c r="AH1020" i="50"/>
  <c r="AH685" i="50"/>
  <c r="AH125" i="50"/>
  <c r="AH992" i="50"/>
  <c r="AH545" i="50"/>
  <c r="AS296" i="50"/>
  <c r="AU296" i="50" s="1"/>
  <c r="I296" i="50"/>
  <c r="AS437" i="50"/>
  <c r="AU437" i="50" s="1"/>
  <c r="AW437" i="50" s="1"/>
  <c r="AX437" i="50" s="1"/>
  <c r="I437" i="50"/>
  <c r="I409" i="50"/>
  <c r="AS409" i="50"/>
  <c r="AU409" i="50" s="1"/>
  <c r="AW409" i="50" s="1"/>
  <c r="AX409" i="50" s="1"/>
  <c r="I130" i="50"/>
  <c r="AS130" i="50"/>
  <c r="AU130" i="50" s="1"/>
  <c r="AW130" i="50" s="1"/>
  <c r="AX130" i="50" s="1"/>
  <c r="AS1416" i="50"/>
  <c r="AU1416" i="50" s="1"/>
  <c r="AW1416" i="50" s="1"/>
  <c r="AX1416" i="50" s="1"/>
  <c r="I1416" i="50"/>
  <c r="AS467" i="50"/>
  <c r="AU467" i="50" s="1"/>
  <c r="I467" i="50"/>
  <c r="AS1195" i="50"/>
  <c r="AU1195" i="50" s="1"/>
  <c r="I1195" i="50"/>
  <c r="AC970" i="50"/>
  <c r="AV966" i="50"/>
  <c r="AS966" i="50"/>
  <c r="AU966" i="50" s="1"/>
  <c r="AW966" i="50" s="1"/>
  <c r="AX966" i="50" s="1"/>
  <c r="I966" i="50"/>
  <c r="AV741" i="50"/>
  <c r="BR732" i="50" s="1"/>
  <c r="AR741" i="50"/>
  <c r="AF741" i="50"/>
  <c r="AG741" i="50"/>
  <c r="AS741" i="50"/>
  <c r="AI741" i="50"/>
  <c r="I1138" i="50"/>
  <c r="AS1138" i="50"/>
  <c r="AU1138" i="50" s="1"/>
  <c r="AW1138" i="50" s="1"/>
  <c r="AX1138" i="50" s="1"/>
  <c r="AS744" i="50"/>
  <c r="AU744" i="50" s="1"/>
  <c r="I744" i="50"/>
  <c r="AS241" i="50"/>
  <c r="AU241" i="50" s="1"/>
  <c r="I241" i="50"/>
  <c r="I939" i="50"/>
  <c r="AS939" i="50"/>
  <c r="AU939" i="50" s="1"/>
  <c r="AV939" i="50"/>
  <c r="BZ928" i="50" s="1"/>
  <c r="I1053" i="50"/>
  <c r="AS1053" i="50"/>
  <c r="AU1053" i="50" s="1"/>
  <c r="I378" i="50"/>
  <c r="AS378" i="50"/>
  <c r="AU378" i="50" s="1"/>
  <c r="AW378" i="50" s="1"/>
  <c r="AX378" i="50" s="1"/>
  <c r="AV378" i="50"/>
  <c r="AS351" i="50"/>
  <c r="AU351" i="50" s="1"/>
  <c r="I351" i="50"/>
  <c r="AV351" i="50"/>
  <c r="BZ340" i="50" s="1"/>
  <c r="AS632" i="50"/>
  <c r="AU632" i="50" s="1"/>
  <c r="I632" i="50"/>
  <c r="AS772" i="50"/>
  <c r="AU772" i="50" s="1"/>
  <c r="I772" i="50"/>
  <c r="AS1220" i="50"/>
  <c r="AU1220" i="50" s="1"/>
  <c r="I1220" i="50"/>
  <c r="AI292" i="50"/>
  <c r="AS292" i="50"/>
  <c r="AR292" i="50"/>
  <c r="AV292" i="50"/>
  <c r="BU284" i="50" s="1"/>
  <c r="AG292" i="50"/>
  <c r="AF292" i="50"/>
  <c r="I211" i="50"/>
  <c r="AV211" i="50"/>
  <c r="BZ200" i="50" s="1"/>
  <c r="AS211" i="50"/>
  <c r="AU211" i="50" s="1"/>
  <c r="I492" i="50"/>
  <c r="AS492" i="50"/>
  <c r="AU492" i="50" s="1"/>
  <c r="AS462" i="50"/>
  <c r="AU462" i="50" s="1"/>
  <c r="AW462" i="50" s="1"/>
  <c r="AX462" i="50" s="1"/>
  <c r="AV462" i="50"/>
  <c r="I462" i="50"/>
  <c r="AC886" i="50"/>
  <c r="AS882" i="50"/>
  <c r="AU882" i="50" s="1"/>
  <c r="I882" i="50"/>
  <c r="AV882" i="50"/>
  <c r="AC829" i="50"/>
  <c r="AI824" i="50"/>
  <c r="AS824" i="50"/>
  <c r="AF824" i="50"/>
  <c r="AG824" i="50"/>
  <c r="AR824" i="50"/>
  <c r="AV824" i="50"/>
  <c r="BU816" i="50" s="1"/>
  <c r="I883" i="50"/>
  <c r="AS883" i="50"/>
  <c r="AU883" i="50" s="1"/>
  <c r="AW883" i="50" s="1"/>
  <c r="AX883" i="50" s="1"/>
  <c r="AV883" i="50"/>
  <c r="BZ872" i="50" s="1"/>
  <c r="AG1384" i="50"/>
  <c r="AF1384" i="50"/>
  <c r="AI1384" i="50"/>
  <c r="AV1384" i="50"/>
  <c r="BU1376" i="50" s="1"/>
  <c r="AR1384" i="50"/>
  <c r="AS1384" i="50"/>
  <c r="AV1337" i="50"/>
  <c r="AV133" i="50"/>
  <c r="I635" i="50"/>
  <c r="AS635" i="50"/>
  <c r="AU635" i="50" s="1"/>
  <c r="AW635" i="50" s="1"/>
  <c r="AX635" i="50" s="1"/>
  <c r="AR1161" i="50"/>
  <c r="AF1161" i="50"/>
  <c r="AG1161" i="50"/>
  <c r="AI1161" i="50"/>
  <c r="AV1161" i="50"/>
  <c r="BR1152" i="50" s="1"/>
  <c r="AS1161" i="50"/>
  <c r="AV945" i="50"/>
  <c r="AV833" i="50"/>
  <c r="AV861" i="50"/>
  <c r="AF516" i="50"/>
  <c r="AG516" i="50"/>
  <c r="AV516" i="50"/>
  <c r="BU508" i="50" s="1"/>
  <c r="AS516" i="50"/>
  <c r="AR516" i="50"/>
  <c r="AI516" i="50"/>
  <c r="AV1309" i="50"/>
  <c r="AC1306" i="50"/>
  <c r="AV1302" i="50"/>
  <c r="AS1302" i="50"/>
  <c r="AU1302" i="50" s="1"/>
  <c r="I1302" i="50"/>
  <c r="I1023" i="50"/>
  <c r="AS1023" i="50"/>
  <c r="AU1023" i="50" s="1"/>
  <c r="AW1023" i="50" s="1"/>
  <c r="AX1023" i="50" s="1"/>
  <c r="AV1023" i="50"/>
  <c r="BZ1012" i="50" s="1"/>
  <c r="AR1133" i="50"/>
  <c r="AI1133" i="50"/>
  <c r="AG1133" i="50"/>
  <c r="AS1133" i="50"/>
  <c r="AV1133" i="50"/>
  <c r="BR1124" i="50" s="1"/>
  <c r="AF1133" i="50"/>
  <c r="AS1387" i="50"/>
  <c r="AU1387" i="50" s="1"/>
  <c r="I1387" i="50"/>
  <c r="AV1387" i="50"/>
  <c r="BZ1376" i="50" s="1"/>
  <c r="I1386" i="50"/>
  <c r="AV1386" i="50"/>
  <c r="AS1386" i="50"/>
  <c r="AU1386" i="50" s="1"/>
  <c r="AF563" i="66"/>
  <c r="AF564" i="66" s="1"/>
  <c r="AF565" i="66" s="1"/>
  <c r="AF566" i="66" s="1"/>
  <c r="AF567" i="66" s="1"/>
  <c r="AF568" i="66" s="1"/>
  <c r="AF569" i="66" s="1"/>
  <c r="AF570" i="66" s="1"/>
  <c r="AF571" i="66" s="1"/>
  <c r="AF572" i="66" s="1"/>
  <c r="AF573" i="66" s="1"/>
  <c r="AF574" i="66" s="1"/>
  <c r="AF575" i="66" s="1"/>
  <c r="AF576" i="66" s="1"/>
  <c r="AF577" i="66" s="1"/>
  <c r="AH936" i="50"/>
  <c r="AH628" i="50"/>
  <c r="AH909" i="50"/>
  <c r="AH600" i="50"/>
  <c r="AH1188" i="50"/>
  <c r="AH768" i="50"/>
  <c r="AH1301" i="50"/>
  <c r="AH657" i="50"/>
  <c r="AH573" i="50"/>
  <c r="AC297" i="50"/>
  <c r="AS913" i="50"/>
  <c r="AU913" i="50" s="1"/>
  <c r="I913" i="50"/>
  <c r="AS942" i="50"/>
  <c r="AU942" i="50" s="1"/>
  <c r="AW942" i="50" s="1"/>
  <c r="AX942" i="50" s="1"/>
  <c r="I942" i="50"/>
  <c r="AS269" i="50"/>
  <c r="AU269" i="50" s="1"/>
  <c r="I269" i="50"/>
  <c r="AC466" i="50"/>
  <c r="I495" i="50"/>
  <c r="AS495" i="50"/>
  <c r="AU495" i="50" s="1"/>
  <c r="AW495" i="50" s="1"/>
  <c r="AX495" i="50" s="1"/>
  <c r="I998" i="50"/>
  <c r="AS998" i="50"/>
  <c r="AU998" i="50" s="1"/>
  <c r="AV152" i="50"/>
  <c r="BU144" i="50" s="1"/>
  <c r="AI152" i="50"/>
  <c r="AR152" i="50"/>
  <c r="AS152" i="50"/>
  <c r="AF152" i="50"/>
  <c r="AG152" i="50"/>
  <c r="AV1169" i="50"/>
  <c r="AR1357" i="50"/>
  <c r="AG1357" i="50"/>
  <c r="AS1357" i="50"/>
  <c r="AI1357" i="50"/>
  <c r="AV1357" i="50"/>
  <c r="BR1348" i="50" s="1"/>
  <c r="AF1357" i="50"/>
  <c r="AC268" i="50"/>
  <c r="AV264" i="50"/>
  <c r="BU256" i="50" s="1"/>
  <c r="AF264" i="50"/>
  <c r="AG264" i="50"/>
  <c r="AS264" i="50"/>
  <c r="AI264" i="50"/>
  <c r="AR264" i="50"/>
  <c r="AC914" i="50"/>
  <c r="AS910" i="50"/>
  <c r="AU910" i="50" s="1"/>
  <c r="I910" i="50"/>
  <c r="AV910" i="50"/>
  <c r="AI965" i="50"/>
  <c r="AR965" i="50"/>
  <c r="AS965" i="50"/>
  <c r="AV965" i="50"/>
  <c r="BR956" i="50" s="1"/>
  <c r="AG965" i="50"/>
  <c r="AF965" i="50"/>
  <c r="I1165" i="50"/>
  <c r="AS1165" i="50"/>
  <c r="AU1165" i="50" s="1"/>
  <c r="AC521" i="50"/>
  <c r="AV917" i="50"/>
  <c r="AG656" i="50"/>
  <c r="AI656" i="50"/>
  <c r="AF656" i="50"/>
  <c r="AS656" i="50"/>
  <c r="AV656" i="50"/>
  <c r="BU648" i="50" s="1"/>
  <c r="AR656" i="50"/>
  <c r="AC831" i="50"/>
  <c r="AV826" i="50"/>
  <c r="AS826" i="50"/>
  <c r="AU826" i="50" s="1"/>
  <c r="I826" i="50"/>
  <c r="AS996" i="50"/>
  <c r="AU996" i="50" s="1"/>
  <c r="I996" i="50"/>
  <c r="I1079" i="50"/>
  <c r="AS1079" i="50"/>
  <c r="AU1079" i="50" s="1"/>
  <c r="AV1079" i="50"/>
  <c r="BZ1068" i="50" s="1"/>
  <c r="AV385" i="50"/>
  <c r="AV938" i="50"/>
  <c r="AS938" i="50"/>
  <c r="AU938" i="50" s="1"/>
  <c r="I938" i="50"/>
  <c r="AS1303" i="50"/>
  <c r="AU1303" i="50" s="1"/>
  <c r="I1303" i="50"/>
  <c r="AV1303" i="50"/>
  <c r="BZ1292" i="50" s="1"/>
  <c r="AS406" i="50"/>
  <c r="AU406" i="50" s="1"/>
  <c r="AV406" i="50"/>
  <c r="I406" i="50"/>
  <c r="AC1390" i="50"/>
  <c r="AV1356" i="50"/>
  <c r="BU1348" i="50" s="1"/>
  <c r="AS1356" i="50"/>
  <c r="AR1356" i="50"/>
  <c r="AG1356" i="50"/>
  <c r="AF1356" i="50"/>
  <c r="AI1356" i="50"/>
  <c r="AF713" i="50"/>
  <c r="AG713" i="50"/>
  <c r="AI713" i="50"/>
  <c r="AV713" i="50"/>
  <c r="BR704" i="50" s="1"/>
  <c r="AS713" i="50"/>
  <c r="AR713" i="50"/>
  <c r="AG1076" i="50"/>
  <c r="AR1076" i="50"/>
  <c r="AF1076" i="50"/>
  <c r="AS1076" i="50"/>
  <c r="AV1076" i="50"/>
  <c r="BU1068" i="50" s="1"/>
  <c r="AI1076" i="50"/>
  <c r="AV1253" i="50"/>
  <c r="AV1001" i="50"/>
  <c r="AV245" i="50"/>
  <c r="AV469" i="50"/>
  <c r="AV973" i="50"/>
  <c r="AS127" i="50"/>
  <c r="AU127" i="50" s="1"/>
  <c r="AW127" i="50" s="1"/>
  <c r="AX127" i="50" s="1"/>
  <c r="I127" i="50"/>
  <c r="AV127" i="50"/>
  <c r="BZ116" i="50" s="1"/>
  <c r="AV609" i="50"/>
  <c r="AV1272" i="50"/>
  <c r="BU1264" i="50" s="1"/>
  <c r="AI1272" i="50"/>
  <c r="AR1272" i="50"/>
  <c r="AG1272" i="50"/>
  <c r="AS1272" i="50"/>
  <c r="AF1272" i="50"/>
  <c r="AC1111" i="50"/>
  <c r="AS1106" i="50"/>
  <c r="AU1106" i="50" s="1"/>
  <c r="I1106" i="50"/>
  <c r="AV1106" i="50"/>
  <c r="AV295" i="50"/>
  <c r="BZ284" i="50" s="1"/>
  <c r="I295" i="50"/>
  <c r="AS295" i="50"/>
  <c r="AU295" i="50" s="1"/>
  <c r="AS1362" i="50"/>
  <c r="AU1362" i="50" s="1"/>
  <c r="I1362" i="50"/>
  <c r="AC1360" i="50"/>
  <c r="AF1441" i="50"/>
  <c r="AG1441" i="50"/>
  <c r="AV1441" i="50"/>
  <c r="BR1432" i="50" s="1"/>
  <c r="AS1441" i="50"/>
  <c r="AI1441" i="50"/>
  <c r="AR1441" i="50"/>
  <c r="AV217" i="50"/>
  <c r="AR488" i="50"/>
  <c r="AS488" i="50"/>
  <c r="AF488" i="50"/>
  <c r="AI488" i="50"/>
  <c r="AV488" i="50"/>
  <c r="BU480" i="50" s="1"/>
  <c r="AG488" i="50"/>
  <c r="AV1085" i="50"/>
  <c r="AR1385" i="50"/>
  <c r="AI1385" i="50"/>
  <c r="AG1385" i="50"/>
  <c r="AS1385" i="50"/>
  <c r="AV1385" i="50"/>
  <c r="BR1376" i="50" s="1"/>
  <c r="AF1385" i="50"/>
  <c r="AR964" i="50"/>
  <c r="AS964" i="50"/>
  <c r="AF964" i="50"/>
  <c r="AV964" i="50"/>
  <c r="BU956" i="50" s="1"/>
  <c r="AI964" i="50"/>
  <c r="AG964" i="50"/>
  <c r="AV1421" i="50"/>
  <c r="AS740" i="50"/>
  <c r="AR740" i="50"/>
  <c r="AG740" i="50"/>
  <c r="AF740" i="50"/>
  <c r="AV740" i="50"/>
  <c r="BU732" i="50" s="1"/>
  <c r="AI740" i="50"/>
  <c r="AU77" i="50"/>
  <c r="K77" i="50" s="1"/>
  <c r="AF264" i="66"/>
  <c r="AH264" i="66" s="1"/>
  <c r="AH796" i="50"/>
  <c r="AH629" i="50"/>
  <c r="AH1413" i="50"/>
  <c r="AH181" i="50"/>
  <c r="AH516" i="50"/>
  <c r="AH1217" i="50"/>
  <c r="AH656" i="50"/>
  <c r="AH1356" i="50"/>
  <c r="AH321" i="50"/>
  <c r="AH489" i="50"/>
  <c r="AH153" i="50"/>
  <c r="AH1049" i="50"/>
  <c r="AH1384" i="50"/>
  <c r="AH908" i="50"/>
  <c r="AH517" i="50"/>
  <c r="AH460" i="50"/>
  <c r="AH1105" i="50"/>
  <c r="AH1161" i="50"/>
  <c r="AH853" i="50"/>
  <c r="AH684" i="50"/>
  <c r="AH377" i="50"/>
  <c r="AH572" i="50"/>
  <c r="AH264" i="50"/>
  <c r="AH1441" i="50"/>
  <c r="AC1192" i="50"/>
  <c r="AS380" i="50"/>
  <c r="AU380" i="50" s="1"/>
  <c r="AW380" i="50" s="1"/>
  <c r="AX380" i="50" s="1"/>
  <c r="I380" i="50"/>
  <c r="AC156" i="50"/>
  <c r="I1166" i="50"/>
  <c r="AS1166" i="50"/>
  <c r="AU1166" i="50" s="1"/>
  <c r="AS717" i="50"/>
  <c r="AU717" i="50" s="1"/>
  <c r="AC1110" i="50"/>
  <c r="I940" i="50"/>
  <c r="AS940" i="50"/>
  <c r="AU940" i="50" s="1"/>
  <c r="AS242" i="50"/>
  <c r="AU242" i="50" s="1"/>
  <c r="I242" i="50"/>
  <c r="AC943" i="50"/>
  <c r="AS1305" i="50"/>
  <c r="AU1305" i="50" s="1"/>
  <c r="I1305" i="50"/>
  <c r="AC1389" i="50"/>
  <c r="AC299" i="50"/>
  <c r="I689" i="50"/>
  <c r="AS689" i="50"/>
  <c r="AU689" i="50" s="1"/>
  <c r="AW689" i="50" s="1"/>
  <c r="AX689" i="50" s="1"/>
  <c r="AC1388" i="50"/>
  <c r="AS214" i="50"/>
  <c r="AU214" i="50" s="1"/>
  <c r="I214" i="50"/>
  <c r="AV1048" i="50"/>
  <c r="BU1040" i="50" s="1"/>
  <c r="AR1048" i="50"/>
  <c r="AS1048" i="50"/>
  <c r="AG1048" i="50"/>
  <c r="AI1048" i="50"/>
  <c r="AF1048" i="50"/>
  <c r="AV124" i="50"/>
  <c r="BU116" i="50" s="1"/>
  <c r="AI124" i="50"/>
  <c r="AR124" i="50"/>
  <c r="AG124" i="50"/>
  <c r="AF124" i="50"/>
  <c r="AS124" i="50"/>
  <c r="AV413" i="50"/>
  <c r="AS237" i="50"/>
  <c r="AV237" i="50"/>
  <c r="BR228" i="50" s="1"/>
  <c r="AG237" i="50"/>
  <c r="AI237" i="50"/>
  <c r="AF237" i="50"/>
  <c r="AR237" i="50"/>
  <c r="I186" i="50"/>
  <c r="AS186" i="50"/>
  <c r="AU186" i="50" s="1"/>
  <c r="AS240" i="50"/>
  <c r="AU240" i="50" s="1"/>
  <c r="AS1107" i="50"/>
  <c r="AU1107" i="50" s="1"/>
  <c r="I1107" i="50"/>
  <c r="AV1107" i="50"/>
  <c r="BZ1096" i="50" s="1"/>
  <c r="AC381" i="50"/>
  <c r="AR376" i="50"/>
  <c r="AF376" i="50"/>
  <c r="AV376" i="50"/>
  <c r="BU368" i="50" s="1"/>
  <c r="AS376" i="50"/>
  <c r="AG376" i="50"/>
  <c r="AI376" i="50"/>
  <c r="AS884" i="50"/>
  <c r="AU884" i="50" s="1"/>
  <c r="I884" i="50"/>
  <c r="AV994" i="50"/>
  <c r="AS994" i="50"/>
  <c r="AU994" i="50" s="1"/>
  <c r="I994" i="50"/>
  <c r="AC1081" i="50"/>
  <c r="I631" i="50"/>
  <c r="AS631" i="50"/>
  <c r="AU631" i="50" s="1"/>
  <c r="AV631" i="50"/>
  <c r="BZ620" i="50" s="1"/>
  <c r="I519" i="50"/>
  <c r="AS519" i="50"/>
  <c r="AU519" i="50" s="1"/>
  <c r="AW519" i="50" s="1"/>
  <c r="AX519" i="50" s="1"/>
  <c r="AV519" i="50"/>
  <c r="BZ508" i="50" s="1"/>
  <c r="AV525" i="50"/>
  <c r="AV805" i="50"/>
  <c r="AV435" i="50"/>
  <c r="BZ424" i="50" s="1"/>
  <c r="AS435" i="50"/>
  <c r="AU435" i="50" s="1"/>
  <c r="I435" i="50"/>
  <c r="AC690" i="50"/>
  <c r="AS686" i="50"/>
  <c r="AU686" i="50" s="1"/>
  <c r="I686" i="50"/>
  <c r="AV686" i="50"/>
  <c r="AV1246" i="50"/>
  <c r="AS1246" i="50"/>
  <c r="AU1246" i="50" s="1"/>
  <c r="I1246" i="50"/>
  <c r="AG769" i="50"/>
  <c r="AR769" i="50"/>
  <c r="AI769" i="50"/>
  <c r="AV769" i="50"/>
  <c r="BR760" i="50" s="1"/>
  <c r="AS769" i="50"/>
  <c r="AF769" i="50"/>
  <c r="AC243" i="50"/>
  <c r="AS238" i="50"/>
  <c r="AU238" i="50" s="1"/>
  <c r="I238" i="50"/>
  <c r="AV238" i="50"/>
  <c r="AC410" i="50"/>
  <c r="AC579" i="50"/>
  <c r="I574" i="50"/>
  <c r="AS574" i="50"/>
  <c r="AU574" i="50" s="1"/>
  <c r="AW574" i="50" s="1"/>
  <c r="AX574" i="50" s="1"/>
  <c r="AV574" i="50"/>
  <c r="I491" i="50"/>
  <c r="AV491" i="50"/>
  <c r="BZ480" i="50" s="1"/>
  <c r="AS491" i="50"/>
  <c r="AU491" i="50" s="1"/>
  <c r="AV712" i="50"/>
  <c r="BU704" i="50" s="1"/>
  <c r="AF712" i="50"/>
  <c r="AG712" i="50"/>
  <c r="AR712" i="50"/>
  <c r="AI712" i="50"/>
  <c r="AS712" i="50"/>
  <c r="AC1026" i="50"/>
  <c r="AS1022" i="50"/>
  <c r="AU1022" i="50" s="1"/>
  <c r="I1022" i="50"/>
  <c r="AV1022" i="50"/>
  <c r="AV796" i="50"/>
  <c r="BU788" i="50" s="1"/>
  <c r="AI796" i="50"/>
  <c r="AR796" i="50"/>
  <c r="AS796" i="50"/>
  <c r="AF796" i="50"/>
  <c r="AG796" i="50"/>
  <c r="AS997" i="50"/>
  <c r="AU997" i="50" s="1"/>
  <c r="I997" i="50"/>
  <c r="AC1054" i="50"/>
  <c r="I1050" i="50"/>
  <c r="AV1050" i="50"/>
  <c r="AS1050" i="50"/>
  <c r="AU1050" i="50" s="1"/>
  <c r="AV1247" i="50"/>
  <c r="BZ1236" i="50" s="1"/>
  <c r="I1247" i="50"/>
  <c r="AS1247" i="50"/>
  <c r="AU1247" i="50" s="1"/>
  <c r="AV273" i="50"/>
  <c r="AV432" i="50"/>
  <c r="BU424" i="50" s="1"/>
  <c r="AS432" i="50"/>
  <c r="AR432" i="50"/>
  <c r="AG432" i="50"/>
  <c r="AF432" i="50"/>
  <c r="AI432" i="50"/>
  <c r="I523" i="50"/>
  <c r="AS523" i="50"/>
  <c r="AU523" i="50" s="1"/>
  <c r="AC969" i="50"/>
  <c r="AI1132" i="50"/>
  <c r="AV1132" i="50"/>
  <c r="BU1124" i="50" s="1"/>
  <c r="AR1132" i="50"/>
  <c r="AS1132" i="50"/>
  <c r="AG1132" i="50"/>
  <c r="AF1132" i="50"/>
  <c r="AC1304" i="50"/>
  <c r="AS1300" i="50"/>
  <c r="AV1300" i="50"/>
  <c r="BU1292" i="50" s="1"/>
  <c r="AR1300" i="50"/>
  <c r="AG1300" i="50"/>
  <c r="AF1300" i="50"/>
  <c r="AI1300" i="50"/>
  <c r="AC520" i="50"/>
  <c r="AR293" i="50"/>
  <c r="AI293" i="50"/>
  <c r="AV293" i="50"/>
  <c r="BR284" i="50" s="1"/>
  <c r="AG293" i="50"/>
  <c r="AF293" i="50"/>
  <c r="AS293" i="50"/>
  <c r="AV105" i="50"/>
  <c r="AC1139" i="50"/>
  <c r="AV715" i="50"/>
  <c r="BZ704" i="50" s="1"/>
  <c r="AS715" i="50"/>
  <c r="AU715" i="50" s="1"/>
  <c r="AW715" i="50" s="1"/>
  <c r="AX715" i="50" s="1"/>
  <c r="I715" i="50"/>
  <c r="AC1391" i="50"/>
  <c r="AS463" i="50"/>
  <c r="AU463" i="50" s="1"/>
  <c r="AV463" i="50"/>
  <c r="BZ452" i="50" s="1"/>
  <c r="I463" i="50"/>
  <c r="AV1365" i="50"/>
  <c r="AV407" i="50"/>
  <c r="BZ396" i="50" s="1"/>
  <c r="I407" i="50"/>
  <c r="AS407" i="50"/>
  <c r="AU407" i="50" s="1"/>
  <c r="AV1225" i="50"/>
  <c r="AV1197" i="50"/>
  <c r="AV721" i="50"/>
  <c r="AR685" i="50"/>
  <c r="AF685" i="50"/>
  <c r="AV685" i="50"/>
  <c r="BR676" i="50" s="1"/>
  <c r="AG685" i="50"/>
  <c r="AS685" i="50"/>
  <c r="AI685" i="50"/>
  <c r="AS1191" i="50"/>
  <c r="AU1191" i="50" s="1"/>
  <c r="I1191" i="50"/>
  <c r="AV1191" i="50"/>
  <c r="BZ1180" i="50" s="1"/>
  <c r="AS1190" i="50"/>
  <c r="AU1190" i="50" s="1"/>
  <c r="I1190" i="50"/>
  <c r="AV1190" i="50"/>
  <c r="AC1307" i="50"/>
  <c r="AC1361" i="50"/>
  <c r="AV301" i="50"/>
  <c r="AV189" i="50"/>
  <c r="AV236" i="50"/>
  <c r="BU228" i="50" s="1"/>
  <c r="AI236" i="50"/>
  <c r="AR236" i="50"/>
  <c r="AG236" i="50"/>
  <c r="AF236" i="50"/>
  <c r="AS236" i="50"/>
  <c r="AV880" i="50"/>
  <c r="BU872" i="50" s="1"/>
  <c r="AR880" i="50"/>
  <c r="AI880" i="50"/>
  <c r="AF880" i="50"/>
  <c r="AS880" i="50"/>
  <c r="AG880" i="50"/>
  <c r="AV1141" i="50"/>
  <c r="AV547" i="50"/>
  <c r="BZ536" i="50" s="1"/>
  <c r="AS547" i="50"/>
  <c r="AU547" i="50" s="1"/>
  <c r="I547" i="50"/>
  <c r="I1218" i="50"/>
  <c r="AV1218" i="50"/>
  <c r="AS1218" i="50"/>
  <c r="AU1218" i="50" s="1"/>
  <c r="AV1449" i="50"/>
  <c r="AG937" i="50"/>
  <c r="AS937" i="50"/>
  <c r="AV937" i="50"/>
  <c r="BR928" i="50" s="1"/>
  <c r="AF937" i="50"/>
  <c r="AR937" i="50"/>
  <c r="AI937" i="50"/>
  <c r="AI1217" i="50"/>
  <c r="AG1217" i="50"/>
  <c r="AV1217" i="50"/>
  <c r="BR1208" i="50" s="1"/>
  <c r="AF1217" i="50"/>
  <c r="AS1217" i="50"/>
  <c r="AR1217" i="50"/>
  <c r="AR1160" i="50"/>
  <c r="AI1160" i="50"/>
  <c r="AS1160" i="50"/>
  <c r="AF1160" i="50"/>
  <c r="AG1160" i="50"/>
  <c r="AV1160" i="50"/>
  <c r="BU1152" i="50" s="1"/>
  <c r="AV497" i="50"/>
  <c r="AV714" i="50"/>
  <c r="I714" i="50"/>
  <c r="AS714" i="50"/>
  <c r="AU714" i="50" s="1"/>
  <c r="AW714" i="50" s="1"/>
  <c r="AX714" i="50" s="1"/>
  <c r="AH769" i="50"/>
  <c r="AH993" i="50"/>
  <c r="AH1132" i="50"/>
  <c r="AH1160" i="50"/>
  <c r="AH1328" i="50"/>
  <c r="AH404" i="50"/>
  <c r="AH964" i="50"/>
  <c r="AH881" i="50"/>
  <c r="AH208" i="50"/>
  <c r="AS828" i="50"/>
  <c r="AU828" i="50" s="1"/>
  <c r="I828" i="50"/>
  <c r="I801" i="50"/>
  <c r="AS801" i="50"/>
  <c r="AU801" i="50" s="1"/>
  <c r="I606" i="50"/>
  <c r="AS606" i="50"/>
  <c r="AU606" i="50" s="1"/>
  <c r="AW606" i="50" s="1"/>
  <c r="AX606" i="50" s="1"/>
  <c r="I830" i="50"/>
  <c r="AS830" i="50"/>
  <c r="AU830" i="50" s="1"/>
  <c r="AS464" i="50"/>
  <c r="AU464" i="50" s="1"/>
  <c r="I464" i="50"/>
  <c r="AS1193" i="50"/>
  <c r="AU1193" i="50" s="1"/>
  <c r="I1193" i="50"/>
  <c r="I1027" i="50"/>
  <c r="AS1027" i="50"/>
  <c r="AU1027" i="50" s="1"/>
  <c r="AR1328" i="50"/>
  <c r="AS1328" i="50"/>
  <c r="AG1328" i="50"/>
  <c r="AF1328" i="50"/>
  <c r="AI1328" i="50"/>
  <c r="AV1328" i="50"/>
  <c r="BU1320" i="50" s="1"/>
  <c r="AV889" i="50"/>
  <c r="I719" i="50"/>
  <c r="AS719" i="50"/>
  <c r="AU719" i="50" s="1"/>
  <c r="AW719" i="50" s="1"/>
  <c r="AX719" i="50" s="1"/>
  <c r="AC551" i="50"/>
  <c r="I546" i="50"/>
  <c r="AS546" i="50"/>
  <c r="AU546" i="50" s="1"/>
  <c r="AW546" i="50" s="1"/>
  <c r="AX546" i="50" s="1"/>
  <c r="AV546" i="50"/>
  <c r="AC352" i="50"/>
  <c r="AS348" i="50"/>
  <c r="AV348" i="50"/>
  <c r="BU340" i="50" s="1"/>
  <c r="AI348" i="50"/>
  <c r="AR348" i="50"/>
  <c r="AG348" i="50"/>
  <c r="AF348" i="50"/>
  <c r="AV1393" i="50"/>
  <c r="AS1442" i="50"/>
  <c r="AU1442" i="50" s="1"/>
  <c r="AW1442" i="50" s="1"/>
  <c r="AX1442" i="50" s="1"/>
  <c r="I1442" i="50"/>
  <c r="AV1442" i="50"/>
  <c r="AS327" i="50"/>
  <c r="AU327" i="50" s="1"/>
  <c r="I327" i="50"/>
  <c r="AS691" i="50"/>
  <c r="AU691" i="50" s="1"/>
  <c r="I691" i="50"/>
  <c r="AV161" i="50"/>
  <c r="AI1077" i="50"/>
  <c r="AG1077" i="50"/>
  <c r="AS1077" i="50"/>
  <c r="AF1077" i="50"/>
  <c r="AV1077" i="50"/>
  <c r="BR1068" i="50" s="1"/>
  <c r="AR1077" i="50"/>
  <c r="AS1419" i="50"/>
  <c r="AU1419" i="50" s="1"/>
  <c r="AW1419" i="50" s="1"/>
  <c r="AX1419" i="50" s="1"/>
  <c r="I1419" i="50"/>
  <c r="AR405" i="50"/>
  <c r="AS405" i="50"/>
  <c r="AG405" i="50"/>
  <c r="AF405" i="50"/>
  <c r="AV405" i="50"/>
  <c r="BR396" i="50" s="1"/>
  <c r="AI405" i="50"/>
  <c r="AS270" i="50"/>
  <c r="AU270" i="50" s="1"/>
  <c r="I270" i="50"/>
  <c r="I1275" i="50"/>
  <c r="AV1275" i="50"/>
  <c r="BZ1264" i="50" s="1"/>
  <c r="AS1275" i="50"/>
  <c r="AU1275" i="50" s="1"/>
  <c r="AW1275" i="50" s="1"/>
  <c r="AX1275" i="50" s="1"/>
  <c r="AS628" i="50"/>
  <c r="AI628" i="50"/>
  <c r="AR628" i="50"/>
  <c r="AV628" i="50"/>
  <c r="BU620" i="50" s="1"/>
  <c r="AF628" i="50"/>
  <c r="AG628" i="50"/>
  <c r="AV770" i="50"/>
  <c r="I770" i="50"/>
  <c r="AS770" i="50"/>
  <c r="AU770" i="50" s="1"/>
  <c r="AV1331" i="50"/>
  <c r="BZ1320" i="50" s="1"/>
  <c r="I1331" i="50"/>
  <c r="AS1331" i="50"/>
  <c r="AU1331" i="50" s="1"/>
  <c r="I1276" i="50"/>
  <c r="AS1276" i="50"/>
  <c r="AU1276" i="50" s="1"/>
  <c r="AR1105" i="50"/>
  <c r="AG1105" i="50"/>
  <c r="AS1105" i="50"/>
  <c r="AI1105" i="50"/>
  <c r="AF1105" i="50"/>
  <c r="AV1105" i="50"/>
  <c r="BR1096" i="50" s="1"/>
  <c r="AV693" i="50"/>
  <c r="AV1329" i="50"/>
  <c r="BR1320" i="50" s="1"/>
  <c r="AS1329" i="50"/>
  <c r="AR1329" i="50"/>
  <c r="AI1329" i="50"/>
  <c r="AF1329" i="50"/>
  <c r="AG1329" i="50"/>
  <c r="AC1444" i="50"/>
  <c r="AV1440" i="50"/>
  <c r="BU1432" i="50" s="1"/>
  <c r="AS1440" i="50"/>
  <c r="AG1440" i="50"/>
  <c r="AI1440" i="50"/>
  <c r="AF1440" i="50"/>
  <c r="AR1440" i="50"/>
  <c r="AV967" i="50"/>
  <c r="BZ956" i="50" s="1"/>
  <c r="AS967" i="50"/>
  <c r="AU967" i="50" s="1"/>
  <c r="I967" i="50"/>
  <c r="AC1278" i="50"/>
  <c r="AV1274" i="50"/>
  <c r="I1274" i="50"/>
  <c r="AS1274" i="50"/>
  <c r="AU1274" i="50" s="1"/>
  <c r="H149" i="52"/>
  <c r="AN881" i="50"/>
  <c r="AO881" i="50" s="1"/>
  <c r="AN377" i="50"/>
  <c r="AO377" i="50" s="1"/>
  <c r="AN1441" i="50"/>
  <c r="AO1441" i="50" s="1"/>
  <c r="AN657" i="50"/>
  <c r="AO657" i="50" s="1"/>
  <c r="AN293" i="50"/>
  <c r="AO293" i="50" s="1"/>
  <c r="AN713" i="50"/>
  <c r="AO713" i="50" s="1"/>
  <c r="AN1021" i="50"/>
  <c r="AO1021" i="50" s="1"/>
  <c r="AN461" i="50"/>
  <c r="AO461" i="50" s="1"/>
  <c r="AN797" i="50"/>
  <c r="AO797" i="50" s="1"/>
  <c r="AN265" i="50"/>
  <c r="AO265" i="50" s="1"/>
  <c r="AN153" i="50"/>
  <c r="AO153" i="50" s="1"/>
  <c r="AN125" i="50"/>
  <c r="AO125" i="50" s="1"/>
  <c r="AN1301" i="50"/>
  <c r="AO1301" i="50" s="1"/>
  <c r="AN517" i="50"/>
  <c r="AO517" i="50" s="1"/>
  <c r="AN433" i="50"/>
  <c r="AO433" i="50" s="1"/>
  <c r="AN937" i="50"/>
  <c r="AO937" i="50" s="1"/>
  <c r="AN1105" i="50"/>
  <c r="AO1105" i="50" s="1"/>
  <c r="AN741" i="50"/>
  <c r="AO741" i="50" s="1"/>
  <c r="AN685" i="50"/>
  <c r="AO685" i="50" s="1"/>
  <c r="AN321" i="50"/>
  <c r="AO321" i="50" s="1"/>
  <c r="AN405" i="50"/>
  <c r="AO405" i="50" s="1"/>
  <c r="AN1217" i="50"/>
  <c r="AO1217" i="50" s="1"/>
  <c r="AN1133" i="50"/>
  <c r="AO1133" i="50" s="1"/>
  <c r="AN1049" i="50"/>
  <c r="AO1049" i="50" s="1"/>
  <c r="AN1357" i="50"/>
  <c r="AO1357" i="50" s="1"/>
  <c r="AN769" i="50"/>
  <c r="AO769" i="50" s="1"/>
  <c r="AN601" i="50"/>
  <c r="AO601" i="50" s="1"/>
  <c r="AN629" i="50"/>
  <c r="AO629" i="50" s="1"/>
  <c r="AN209" i="50"/>
  <c r="AO209" i="50" s="1"/>
  <c r="AN1385" i="50"/>
  <c r="AO1385" i="50" s="1"/>
  <c r="AN489" i="50"/>
  <c r="AO489" i="50" s="1"/>
  <c r="AN1329" i="50"/>
  <c r="AO1329" i="50" s="1"/>
  <c r="AN1245" i="50"/>
  <c r="AO1245" i="50" s="1"/>
  <c r="AN1189" i="50"/>
  <c r="AO1189" i="50" s="1"/>
  <c r="AN1161" i="50"/>
  <c r="AO1161" i="50" s="1"/>
  <c r="AN1077" i="50"/>
  <c r="AO1077" i="50" s="1"/>
  <c r="AN1273" i="50"/>
  <c r="AO1273" i="50" s="1"/>
  <c r="AN909" i="50"/>
  <c r="AO909" i="50" s="1"/>
  <c r="AN825" i="50"/>
  <c r="AO825" i="50" s="1"/>
  <c r="AN993" i="50"/>
  <c r="AO993" i="50" s="1"/>
  <c r="AN573" i="50"/>
  <c r="AO573" i="50" s="1"/>
  <c r="AN181" i="50"/>
  <c r="AO181" i="50" s="1"/>
  <c r="AN1413" i="50"/>
  <c r="AO1413" i="50" s="1"/>
  <c r="AN965" i="50"/>
  <c r="AO965" i="50" s="1"/>
  <c r="AN853" i="50"/>
  <c r="AO853" i="50" s="1"/>
  <c r="AN545" i="50"/>
  <c r="AO545" i="50" s="1"/>
  <c r="AN349" i="50"/>
  <c r="AO349" i="50" s="1"/>
  <c r="AN237" i="50"/>
  <c r="AO237" i="50" s="1"/>
  <c r="AN97" i="50"/>
  <c r="AO97" i="50" s="1"/>
  <c r="AF379" i="66"/>
  <c r="AF380" i="66" s="1"/>
  <c r="AF381" i="66" s="1"/>
  <c r="AF382" i="66" s="1"/>
  <c r="AF383" i="66" s="1"/>
  <c r="AF384" i="66" s="1"/>
  <c r="AF385" i="66" s="1"/>
  <c r="AF386" i="66" s="1"/>
  <c r="AF387" i="66" s="1"/>
  <c r="AF388" i="66" s="1"/>
  <c r="AF389" i="66" s="1"/>
  <c r="AF390" i="66" s="1"/>
  <c r="AF391" i="66" s="1"/>
  <c r="AF392" i="66" s="1"/>
  <c r="AF393" i="66" s="1"/>
  <c r="AH96" i="50"/>
  <c r="AH236" i="50"/>
  <c r="AH1385" i="50"/>
  <c r="AH937" i="50"/>
  <c r="AH124" i="50"/>
  <c r="AH1300" i="50"/>
  <c r="AH825" i="50"/>
  <c r="AH965" i="50"/>
  <c r="AH265" i="50"/>
  <c r="AS1136" i="50"/>
  <c r="AU1136" i="50" s="1"/>
  <c r="I128" i="50"/>
  <c r="I578" i="50"/>
  <c r="AS578" i="50"/>
  <c r="AU578" i="50" s="1"/>
  <c r="AW578" i="50" s="1"/>
  <c r="AX578" i="50" s="1"/>
  <c r="AC1333" i="50"/>
  <c r="AC298" i="50"/>
  <c r="AS1055" i="50"/>
  <c r="AU1055" i="50" s="1"/>
  <c r="I1055" i="50"/>
  <c r="AS157" i="50"/>
  <c r="AU157" i="50" s="1"/>
  <c r="I157" i="50"/>
  <c r="I663" i="50"/>
  <c r="AS663" i="50"/>
  <c r="AU663" i="50" s="1"/>
  <c r="AC159" i="50"/>
  <c r="I154" i="50"/>
  <c r="AV154" i="50"/>
  <c r="AS154" i="50"/>
  <c r="AU154" i="50" s="1"/>
  <c r="AS379" i="50"/>
  <c r="AU379" i="50" s="1"/>
  <c r="I379" i="50"/>
  <c r="AV379" i="50"/>
  <c r="BZ368" i="50" s="1"/>
  <c r="I799" i="50"/>
  <c r="AS799" i="50"/>
  <c r="AU799" i="50" s="1"/>
  <c r="AV799" i="50"/>
  <c r="BZ788" i="50" s="1"/>
  <c r="AC185" i="50"/>
  <c r="AF180" i="50"/>
  <c r="AR180" i="50"/>
  <c r="AI180" i="50"/>
  <c r="AV180" i="50"/>
  <c r="BU172" i="50" s="1"/>
  <c r="AS180" i="50"/>
  <c r="AG180" i="50"/>
  <c r="AC1108" i="50"/>
  <c r="AV1104" i="50"/>
  <c r="BU1096" i="50" s="1"/>
  <c r="AS1104" i="50"/>
  <c r="AR1104" i="50"/>
  <c r="AG1104" i="50"/>
  <c r="AF1104" i="50"/>
  <c r="AI1104" i="50"/>
  <c r="AG181" i="50"/>
  <c r="AF181" i="50"/>
  <c r="AV181" i="50"/>
  <c r="BR172" i="50" s="1"/>
  <c r="AS181" i="50"/>
  <c r="AR181" i="50"/>
  <c r="AI181" i="50"/>
  <c r="AG97" i="50"/>
  <c r="AS97" i="50"/>
  <c r="AF97" i="50"/>
  <c r="AH97" i="50" s="1"/>
  <c r="AR97" i="50"/>
  <c r="AI97" i="50"/>
  <c r="AS1049" i="50"/>
  <c r="AR1049" i="50"/>
  <c r="AF1049" i="50"/>
  <c r="AG1049" i="50"/>
  <c r="AI1049" i="50"/>
  <c r="AV1049" i="50"/>
  <c r="BR1040" i="50" s="1"/>
  <c r="AC212" i="50"/>
  <c r="AV208" i="50"/>
  <c r="BU200" i="50" s="1"/>
  <c r="AG208" i="50"/>
  <c r="AR208" i="50"/>
  <c r="AS208" i="50"/>
  <c r="AF208" i="50"/>
  <c r="AI208" i="50"/>
  <c r="AI993" i="50"/>
  <c r="AR993" i="50"/>
  <c r="AS993" i="50"/>
  <c r="AV993" i="50"/>
  <c r="BR984" i="50" s="1"/>
  <c r="AF993" i="50"/>
  <c r="AG993" i="50"/>
  <c r="AV1415" i="50"/>
  <c r="BZ1404" i="50" s="1"/>
  <c r="I1415" i="50"/>
  <c r="AS1415" i="50"/>
  <c r="AU1415" i="50" s="1"/>
  <c r="I718" i="50"/>
  <c r="AS718" i="50"/>
  <c r="AU718" i="50" s="1"/>
  <c r="AW718" i="50" s="1"/>
  <c r="AX718" i="50" s="1"/>
  <c r="AV995" i="50"/>
  <c r="BZ984" i="50" s="1"/>
  <c r="AS995" i="50"/>
  <c r="AU995" i="50" s="1"/>
  <c r="I995" i="50"/>
  <c r="AF320" i="50"/>
  <c r="AI320" i="50"/>
  <c r="AV320" i="50"/>
  <c r="BU312" i="50" s="1"/>
  <c r="AS320" i="50"/>
  <c r="AR320" i="50"/>
  <c r="AG320" i="50"/>
  <c r="AC408" i="50"/>
  <c r="AS404" i="50"/>
  <c r="AV404" i="50"/>
  <c r="BU396" i="50" s="1"/>
  <c r="AF404" i="50"/>
  <c r="AR404" i="50"/>
  <c r="AI404" i="50"/>
  <c r="AG404" i="50"/>
  <c r="AS411" i="50"/>
  <c r="AU411" i="50" s="1"/>
  <c r="AW411" i="50" s="1"/>
  <c r="AX411" i="50" s="1"/>
  <c r="I411" i="50"/>
  <c r="AC1082" i="50"/>
  <c r="AS1078" i="50"/>
  <c r="AU1078" i="50" s="1"/>
  <c r="AV1078" i="50"/>
  <c r="I1078" i="50"/>
  <c r="I1223" i="50"/>
  <c r="AS1223" i="50"/>
  <c r="AU1223" i="50" s="1"/>
  <c r="AF1244" i="50"/>
  <c r="AV1244" i="50"/>
  <c r="BU1236" i="50" s="1"/>
  <c r="AI1244" i="50"/>
  <c r="AR1244" i="50"/>
  <c r="AS1244" i="50"/>
  <c r="AG1244" i="50"/>
  <c r="AC354" i="50"/>
  <c r="AV350" i="50"/>
  <c r="I350" i="50"/>
  <c r="AS350" i="50"/>
  <c r="AU350" i="50" s="1"/>
  <c r="AC662" i="50"/>
  <c r="AS658" i="50"/>
  <c r="AU658" i="50" s="1"/>
  <c r="I658" i="50"/>
  <c r="AV658" i="50"/>
  <c r="AV657" i="50"/>
  <c r="BR648" i="50" s="1"/>
  <c r="AS657" i="50"/>
  <c r="AF657" i="50"/>
  <c r="AR657" i="50"/>
  <c r="AG657" i="50"/>
  <c r="AI657" i="50"/>
  <c r="I798" i="50"/>
  <c r="AV798" i="50"/>
  <c r="AS798" i="50"/>
  <c r="AU798" i="50" s="1"/>
  <c r="AW798" i="50" s="1"/>
  <c r="AX798" i="50" s="1"/>
  <c r="AS968" i="50"/>
  <c r="AU968" i="50" s="1"/>
  <c r="I968" i="50"/>
  <c r="I603" i="50"/>
  <c r="AV603" i="50"/>
  <c r="BZ592" i="50" s="1"/>
  <c r="AS603" i="50"/>
  <c r="AU603" i="50" s="1"/>
  <c r="AC912" i="50"/>
  <c r="AR908" i="50"/>
  <c r="AS908" i="50"/>
  <c r="AF908" i="50"/>
  <c r="AG908" i="50"/>
  <c r="AI908" i="50"/>
  <c r="AV908" i="50"/>
  <c r="BU900" i="50" s="1"/>
  <c r="AR825" i="50"/>
  <c r="AS825" i="50"/>
  <c r="AV825" i="50"/>
  <c r="BR816" i="50" s="1"/>
  <c r="AG825" i="50"/>
  <c r="AI825" i="50"/>
  <c r="AF825" i="50"/>
  <c r="AG797" i="50"/>
  <c r="AF797" i="50"/>
  <c r="AV797" i="50"/>
  <c r="BR788" i="50" s="1"/>
  <c r="AI797" i="50"/>
  <c r="AS797" i="50"/>
  <c r="AR797" i="50"/>
  <c r="I549" i="50"/>
  <c r="AS549" i="50"/>
  <c r="AU549" i="50" s="1"/>
  <c r="AG852" i="50"/>
  <c r="AS852" i="50"/>
  <c r="AF852" i="50"/>
  <c r="AR852" i="50"/>
  <c r="AV852" i="50"/>
  <c r="BU844" i="50" s="1"/>
  <c r="AI852" i="50"/>
  <c r="AG545" i="50"/>
  <c r="AV545" i="50"/>
  <c r="BR536" i="50" s="1"/>
  <c r="AF545" i="50"/>
  <c r="AS545" i="50"/>
  <c r="AI545" i="50"/>
  <c r="AR545" i="50"/>
  <c r="AF448" i="66"/>
  <c r="AF449" i="66" s="1"/>
  <c r="AF450" i="66" s="1"/>
  <c r="AF451" i="66" s="1"/>
  <c r="AF452" i="66" s="1"/>
  <c r="AF453" i="66" s="1"/>
  <c r="AF454" i="66" s="1"/>
  <c r="AF455" i="66" s="1"/>
  <c r="AF456" i="66" s="1"/>
  <c r="AF457" i="66" s="1"/>
  <c r="AF458" i="66" s="1"/>
  <c r="AF459" i="66" s="1"/>
  <c r="AF460" i="66" s="1"/>
  <c r="AF461" i="66" s="1"/>
  <c r="AF462" i="66" s="1"/>
  <c r="AH1272" i="50"/>
  <c r="AH1133" i="50"/>
  <c r="AH348" i="50"/>
  <c r="AH740" i="50"/>
  <c r="AH1048" i="50"/>
  <c r="AH237" i="50"/>
  <c r="AH1076" i="50"/>
  <c r="AH741" i="50"/>
  <c r="AH433" i="50"/>
  <c r="AH712" i="50"/>
  <c r="AH320" i="50"/>
  <c r="AH1021" i="50"/>
  <c r="AH1357" i="50"/>
  <c r="AH824" i="50"/>
  <c r="AH1216" i="50"/>
  <c r="AH292" i="50"/>
  <c r="AH293" i="50"/>
  <c r="AH1244" i="50"/>
  <c r="AH1440" i="50"/>
  <c r="AH1077" i="50"/>
  <c r="AH1273" i="50"/>
  <c r="AH601" i="50"/>
  <c r="AH349" i="50"/>
  <c r="AH209" i="50"/>
  <c r="AC103" i="50"/>
  <c r="AC102" i="50"/>
  <c r="AC100" i="50"/>
  <c r="AS746" i="50"/>
  <c r="AU746" i="50" s="1"/>
  <c r="I746" i="50"/>
  <c r="I1194" i="50"/>
  <c r="AS1194" i="50"/>
  <c r="AU1194" i="50" s="1"/>
  <c r="AC325" i="50"/>
  <c r="AS716" i="50"/>
  <c r="AU716" i="50" s="1"/>
  <c r="I716" i="50"/>
  <c r="AC802" i="50"/>
  <c r="AC1109" i="50"/>
  <c r="AC213" i="50"/>
  <c r="AC576" i="50"/>
  <c r="AC494" i="50"/>
  <c r="AC971" i="50"/>
  <c r="AC1332" i="50"/>
  <c r="AC887" i="50"/>
  <c r="AS604" i="50"/>
  <c r="AU604" i="50" s="1"/>
  <c r="I604" i="50"/>
  <c r="AS436" i="50"/>
  <c r="AU436" i="50" s="1"/>
  <c r="I436" i="50"/>
  <c r="AS1024" i="50"/>
  <c r="AU1024" i="50" s="1"/>
  <c r="I1024" i="50"/>
  <c r="AS1251" i="50"/>
  <c r="AU1251" i="50" s="1"/>
  <c r="AW1251" i="50" s="1"/>
  <c r="AX1251" i="50" s="1"/>
  <c r="I1251" i="50"/>
  <c r="AC915" i="50"/>
  <c r="AC131" i="50"/>
  <c r="AS126" i="50"/>
  <c r="AU126" i="50" s="1"/>
  <c r="AW126" i="50" s="1"/>
  <c r="AX126" i="50" s="1"/>
  <c r="AV126" i="50"/>
  <c r="I126" i="50"/>
  <c r="AV827" i="50"/>
  <c r="BZ816" i="50" s="1"/>
  <c r="I827" i="50"/>
  <c r="AS827" i="50"/>
  <c r="AU827" i="50" s="1"/>
  <c r="AW827" i="50" s="1"/>
  <c r="AX827" i="50" s="1"/>
  <c r="AF1273" i="50"/>
  <c r="AR1273" i="50"/>
  <c r="AS1273" i="50"/>
  <c r="AI1273" i="50"/>
  <c r="AV1273" i="50"/>
  <c r="BR1264" i="50" s="1"/>
  <c r="AG1273" i="50"/>
  <c r="AV329" i="50"/>
  <c r="AS239" i="50"/>
  <c r="AU239" i="50" s="1"/>
  <c r="I239" i="50"/>
  <c r="AV239" i="50"/>
  <c r="BZ228" i="50" s="1"/>
  <c r="AV1021" i="50"/>
  <c r="BR1012" i="50" s="1"/>
  <c r="AI1021" i="50"/>
  <c r="AR1021" i="50"/>
  <c r="AS1021" i="50"/>
  <c r="AG1021" i="50"/>
  <c r="AF1021" i="50"/>
  <c r="AC1363" i="50"/>
  <c r="I1358" i="50"/>
  <c r="AV1358" i="50"/>
  <c r="AS1358" i="50"/>
  <c r="AU1358" i="50" s="1"/>
  <c r="AS1051" i="50"/>
  <c r="AU1051" i="50" s="1"/>
  <c r="AV1051" i="50"/>
  <c r="BZ1040" i="50" s="1"/>
  <c r="I1051" i="50"/>
  <c r="AV637" i="50"/>
  <c r="AS323" i="50"/>
  <c r="AU323" i="50" s="1"/>
  <c r="I323" i="50"/>
  <c r="AV323" i="50"/>
  <c r="BZ312" i="50" s="1"/>
  <c r="AC607" i="50"/>
  <c r="AV602" i="50"/>
  <c r="I602" i="50"/>
  <c r="AS602" i="50"/>
  <c r="AU602" i="50" s="1"/>
  <c r="AC941" i="50"/>
  <c r="AI936" i="50"/>
  <c r="AV936" i="50"/>
  <c r="BU928" i="50" s="1"/>
  <c r="AG936" i="50"/>
  <c r="AR936" i="50"/>
  <c r="AS936" i="50"/>
  <c r="AF936" i="50"/>
  <c r="AS881" i="50"/>
  <c r="AV881" i="50"/>
  <c r="BR872" i="50" s="1"/>
  <c r="AF881" i="50"/>
  <c r="AG881" i="50"/>
  <c r="AI881" i="50"/>
  <c r="AR881" i="50"/>
  <c r="AC745" i="50"/>
  <c r="AI153" i="50"/>
  <c r="AR153" i="50"/>
  <c r="AG153" i="50"/>
  <c r="AV153" i="50"/>
  <c r="BR144" i="50" s="1"/>
  <c r="AS153" i="50"/>
  <c r="AF153" i="50"/>
  <c r="I267" i="50"/>
  <c r="AV267" i="50"/>
  <c r="BZ256" i="50" s="1"/>
  <c r="AS267" i="50"/>
  <c r="AU267" i="50" s="1"/>
  <c r="AW267" i="50" s="1"/>
  <c r="AX267" i="50" s="1"/>
  <c r="AS321" i="50"/>
  <c r="AI321" i="50"/>
  <c r="AV321" i="50"/>
  <c r="BR312" i="50" s="1"/>
  <c r="AF321" i="50"/>
  <c r="AR321" i="50"/>
  <c r="AG321" i="50"/>
  <c r="AC326" i="50"/>
  <c r="AC660" i="50"/>
  <c r="AS439" i="50"/>
  <c r="AU439" i="50" s="1"/>
  <c r="I439" i="50"/>
  <c r="I1414" i="50"/>
  <c r="AV1414" i="50"/>
  <c r="AS1414" i="50"/>
  <c r="AU1414" i="50" s="1"/>
  <c r="AV441" i="50"/>
  <c r="AV659" i="50"/>
  <c r="BZ648" i="50" s="1"/>
  <c r="AS659" i="50"/>
  <c r="AU659" i="50" s="1"/>
  <c r="AW659" i="50" s="1"/>
  <c r="AX659" i="50" s="1"/>
  <c r="I659" i="50"/>
  <c r="AS1189" i="50"/>
  <c r="AF1189" i="50"/>
  <c r="AV1189" i="50"/>
  <c r="BR1180" i="50" s="1"/>
  <c r="AI1189" i="50"/>
  <c r="AR1189" i="50"/>
  <c r="AG1189" i="50"/>
  <c r="AS271" i="50"/>
  <c r="AU271" i="50" s="1"/>
  <c r="AW271" i="50" s="1"/>
  <c r="AX271" i="50" s="1"/>
  <c r="I271" i="50"/>
  <c r="AC688" i="50"/>
  <c r="AF684" i="50"/>
  <c r="AG684" i="50"/>
  <c r="AV684" i="50"/>
  <c r="BU676" i="50" s="1"/>
  <c r="AI684" i="50"/>
  <c r="AS684" i="50"/>
  <c r="AR684" i="50"/>
  <c r="AS743" i="50"/>
  <c r="AU743" i="50" s="1"/>
  <c r="AV743" i="50"/>
  <c r="BZ732" i="50" s="1"/>
  <c r="I743" i="50"/>
  <c r="AV517" i="50"/>
  <c r="BR508" i="50" s="1"/>
  <c r="AG517" i="50"/>
  <c r="AS517" i="50"/>
  <c r="AR517" i="50"/>
  <c r="AF517" i="50"/>
  <c r="AI517" i="50"/>
  <c r="AC747" i="50"/>
  <c r="I742" i="50"/>
  <c r="AS742" i="50"/>
  <c r="AU742" i="50" s="1"/>
  <c r="AW742" i="50" s="1"/>
  <c r="AX742" i="50" s="1"/>
  <c r="AV742" i="50"/>
  <c r="AF1245" i="50"/>
  <c r="AR1245" i="50"/>
  <c r="AI1245" i="50"/>
  <c r="AG1245" i="50"/>
  <c r="AV1245" i="50"/>
  <c r="BR1236" i="50" s="1"/>
  <c r="AS1245" i="50"/>
  <c r="I1163" i="50"/>
  <c r="AV1163" i="50"/>
  <c r="BZ1152" i="50" s="1"/>
  <c r="AS1163" i="50"/>
  <c r="AU1163" i="50" s="1"/>
  <c r="AW1163" i="50" s="1"/>
  <c r="AX1163" i="50" s="1"/>
  <c r="AV357" i="50"/>
  <c r="I630" i="50"/>
  <c r="AV630" i="50"/>
  <c r="AS630" i="50"/>
  <c r="AU630" i="50" s="1"/>
  <c r="AW630" i="50" s="1"/>
  <c r="AX630" i="50" s="1"/>
  <c r="AV768" i="50"/>
  <c r="BU760" i="50" s="1"/>
  <c r="AG768" i="50"/>
  <c r="AR768" i="50"/>
  <c r="AS768" i="50"/>
  <c r="AF768" i="50"/>
  <c r="AI768" i="50"/>
  <c r="AG349" i="50"/>
  <c r="AR349" i="50"/>
  <c r="AF349" i="50"/>
  <c r="AV349" i="50"/>
  <c r="BR340" i="50" s="1"/>
  <c r="AS349" i="50"/>
  <c r="AI349" i="50"/>
  <c r="AS265" i="50"/>
  <c r="AR265" i="50"/>
  <c r="AF265" i="50"/>
  <c r="AI265" i="50"/>
  <c r="AG265" i="50"/>
  <c r="AV265" i="50"/>
  <c r="BR256" i="50" s="1"/>
  <c r="AG601" i="50"/>
  <c r="AI601" i="50"/>
  <c r="AF601" i="50"/>
  <c r="AS601" i="50"/>
  <c r="AV601" i="50"/>
  <c r="BR592" i="50" s="1"/>
  <c r="AR601" i="50"/>
  <c r="AG460" i="50"/>
  <c r="AV460" i="50"/>
  <c r="BU452" i="50" s="1"/>
  <c r="AF460" i="50"/>
  <c r="AR460" i="50"/>
  <c r="AS460" i="50"/>
  <c r="AI460" i="50"/>
  <c r="AC661" i="50"/>
  <c r="AS855" i="50"/>
  <c r="AU855" i="50" s="1"/>
  <c r="AW855" i="50" s="1"/>
  <c r="AX855" i="50" s="1"/>
  <c r="AV855" i="50"/>
  <c r="BZ844" i="50" s="1"/>
  <c r="I855" i="50"/>
  <c r="AG1020" i="50"/>
  <c r="AV1020" i="50"/>
  <c r="BU1012" i="50" s="1"/>
  <c r="AI1020" i="50"/>
  <c r="AF1020" i="50"/>
  <c r="AS1020" i="50"/>
  <c r="AR1020" i="50"/>
  <c r="AS1135" i="50"/>
  <c r="AU1135" i="50" s="1"/>
  <c r="AW1135" i="50" s="1"/>
  <c r="AX1135" i="50" s="1"/>
  <c r="AV1135" i="50"/>
  <c r="BZ1124" i="50" s="1"/>
  <c r="I1135" i="50"/>
  <c r="AS853" i="50"/>
  <c r="AR853" i="50"/>
  <c r="AI853" i="50"/>
  <c r="AV853" i="50"/>
  <c r="BR844" i="50" s="1"/>
  <c r="AG853" i="50"/>
  <c r="AF853" i="50"/>
  <c r="AC1221" i="50"/>
  <c r="AS1216" i="50"/>
  <c r="AF1216" i="50"/>
  <c r="AR1216" i="50"/>
  <c r="AV1216" i="50"/>
  <c r="BU1208" i="50" s="1"/>
  <c r="AG1216" i="50"/>
  <c r="AI1216" i="50"/>
  <c r="AV377" i="50"/>
  <c r="BR368" i="50" s="1"/>
  <c r="AI377" i="50"/>
  <c r="AR377" i="50"/>
  <c r="AF377" i="50"/>
  <c r="AG377" i="50"/>
  <c r="AS377" i="50"/>
  <c r="AR433" i="50"/>
  <c r="AG433" i="50"/>
  <c r="AS433" i="50"/>
  <c r="AF433" i="50"/>
  <c r="AV433" i="50"/>
  <c r="BR424" i="50" s="1"/>
  <c r="AI433" i="50"/>
  <c r="AG573" i="50"/>
  <c r="AF573" i="50"/>
  <c r="AV573" i="50"/>
  <c r="BR564" i="50" s="1"/>
  <c r="AI573" i="50"/>
  <c r="AS573" i="50"/>
  <c r="AR573" i="50"/>
  <c r="AC605" i="50"/>
  <c r="AV600" i="50"/>
  <c r="BU592" i="50" s="1"/>
  <c r="AR600" i="50"/>
  <c r="AS600" i="50"/>
  <c r="AF600" i="50"/>
  <c r="AG600" i="50"/>
  <c r="AI600" i="50"/>
  <c r="AC634" i="50"/>
  <c r="AV909" i="50"/>
  <c r="BR900" i="50" s="1"/>
  <c r="AR909" i="50"/>
  <c r="AI909" i="50"/>
  <c r="AG909" i="50"/>
  <c r="AF909" i="50"/>
  <c r="AS909" i="50"/>
  <c r="AS858" i="50"/>
  <c r="AU858" i="50" s="1"/>
  <c r="AW858" i="50" s="1"/>
  <c r="AX858" i="50" s="1"/>
  <c r="I858" i="50"/>
  <c r="AF489" i="50"/>
  <c r="AI489" i="50"/>
  <c r="AS489" i="50"/>
  <c r="AR489" i="50"/>
  <c r="AG489" i="50"/>
  <c r="AV489" i="50"/>
  <c r="BR480" i="50" s="1"/>
  <c r="AC859" i="50"/>
  <c r="AV854" i="50"/>
  <c r="AS854" i="50"/>
  <c r="AU854" i="50" s="1"/>
  <c r="I854" i="50"/>
  <c r="AC1167" i="50"/>
  <c r="AV1162" i="50"/>
  <c r="AS1162" i="50"/>
  <c r="AU1162" i="50" s="1"/>
  <c r="I1162" i="50"/>
  <c r="AR992" i="50"/>
  <c r="AS992" i="50"/>
  <c r="AF992" i="50"/>
  <c r="AV992" i="50"/>
  <c r="BU984" i="50" s="1"/>
  <c r="AI992" i="50"/>
  <c r="AG992" i="50"/>
  <c r="I1359" i="50"/>
  <c r="AV1359" i="50"/>
  <c r="BZ1348" i="50" s="1"/>
  <c r="AS1359" i="50"/>
  <c r="AU1359" i="50" s="1"/>
  <c r="AR1412" i="50"/>
  <c r="AV1412" i="50"/>
  <c r="BU1404" i="50" s="1"/>
  <c r="AG1412" i="50"/>
  <c r="AS1412" i="50"/>
  <c r="AI1412" i="50"/>
  <c r="AF1412" i="50"/>
  <c r="AC1418" i="50"/>
  <c r="AV1330" i="50"/>
  <c r="AS1330" i="50"/>
  <c r="AU1330" i="50" s="1"/>
  <c r="AW1330" i="50" s="1"/>
  <c r="AX1330" i="50" s="1"/>
  <c r="I1330" i="50"/>
  <c r="AS518" i="50"/>
  <c r="AU518" i="50" s="1"/>
  <c r="AW518" i="50" s="1"/>
  <c r="AX518" i="50" s="1"/>
  <c r="AV518" i="50"/>
  <c r="I518" i="50"/>
  <c r="I1222" i="50"/>
  <c r="AS1222" i="50"/>
  <c r="AU1222" i="50" s="1"/>
  <c r="AV1443" i="50"/>
  <c r="BZ1432" i="50" s="1"/>
  <c r="I1443" i="50"/>
  <c r="AS1443" i="50"/>
  <c r="AU1443" i="50" s="1"/>
  <c r="AW1443" i="50" s="1"/>
  <c r="AX1443" i="50" s="1"/>
  <c r="AS544" i="50"/>
  <c r="AV544" i="50"/>
  <c r="BU536" i="50" s="1"/>
  <c r="AR544" i="50"/>
  <c r="AG544" i="50"/>
  <c r="AI544" i="50"/>
  <c r="AF544" i="50"/>
  <c r="AV1029" i="50"/>
  <c r="AV125" i="50"/>
  <c r="BR116" i="50" s="1"/>
  <c r="AR125" i="50"/>
  <c r="AF125" i="50"/>
  <c r="AI125" i="50"/>
  <c r="AS125" i="50"/>
  <c r="AG125" i="50"/>
  <c r="AV1113" i="50"/>
  <c r="AV1057" i="50"/>
  <c r="I210" i="50"/>
  <c r="AV210" i="50"/>
  <c r="AS210" i="50"/>
  <c r="AU210" i="50" s="1"/>
  <c r="I434" i="50"/>
  <c r="AV434" i="50"/>
  <c r="AS434" i="50"/>
  <c r="AU434" i="50" s="1"/>
  <c r="AV155" i="50"/>
  <c r="BZ144" i="50" s="1"/>
  <c r="AS155" i="50"/>
  <c r="AU155" i="50" s="1"/>
  <c r="I155" i="50"/>
  <c r="AV665" i="50"/>
  <c r="AV581" i="50"/>
  <c r="AV209" i="50"/>
  <c r="BR200" i="50" s="1"/>
  <c r="AF209" i="50"/>
  <c r="AG209" i="50"/>
  <c r="AI209" i="50"/>
  <c r="AR209" i="50"/>
  <c r="AS209" i="50"/>
  <c r="AV777" i="50"/>
  <c r="I266" i="50"/>
  <c r="AV266" i="50"/>
  <c r="AS266" i="50"/>
  <c r="AU266" i="50" s="1"/>
  <c r="AW266" i="50" s="1"/>
  <c r="AX266" i="50" s="1"/>
  <c r="I182" i="50"/>
  <c r="AV182" i="50"/>
  <c r="AS182" i="50"/>
  <c r="AU182" i="50" s="1"/>
  <c r="AV553" i="50"/>
  <c r="AV575" i="50"/>
  <c r="BZ564" i="50" s="1"/>
  <c r="I575" i="50"/>
  <c r="AS575" i="50"/>
  <c r="AU575" i="50" s="1"/>
  <c r="AV1413" i="50"/>
  <c r="BR1404" i="50" s="1"/>
  <c r="AS1413" i="50"/>
  <c r="AR1413" i="50"/>
  <c r="AI1413" i="50"/>
  <c r="AF1413" i="50"/>
  <c r="AG1413" i="50"/>
  <c r="I99" i="50"/>
  <c r="AS99" i="50"/>
  <c r="AU99" i="50" s="1"/>
  <c r="I13" i="60"/>
  <c r="AE311" i="66"/>
  <c r="AE312" i="66" s="1"/>
  <c r="AE313" i="66" s="1"/>
  <c r="AE314" i="66" s="1"/>
  <c r="AE315" i="66" s="1"/>
  <c r="AE316" i="66" s="1"/>
  <c r="AE317" i="66" s="1"/>
  <c r="AE318" i="66" s="1"/>
  <c r="AE319" i="66" s="1"/>
  <c r="AE320" i="66" s="1"/>
  <c r="AE321" i="66" s="1"/>
  <c r="AE322" i="66" s="1"/>
  <c r="AE323" i="66" s="1"/>
  <c r="AE324" i="66" s="1"/>
  <c r="AG310" i="66"/>
  <c r="J309" i="66"/>
  <c r="AG724" i="66"/>
  <c r="AE725" i="66"/>
  <c r="AE726" i="66" s="1"/>
  <c r="AE727" i="66" s="1"/>
  <c r="AE728" i="66" s="1"/>
  <c r="AE729" i="66" s="1"/>
  <c r="AE730" i="66" s="1"/>
  <c r="AE731" i="66" s="1"/>
  <c r="AE732" i="66" s="1"/>
  <c r="AE733" i="66" s="1"/>
  <c r="AE734" i="66" s="1"/>
  <c r="AE735" i="66" s="1"/>
  <c r="AE736" i="66" s="1"/>
  <c r="AE737" i="66" s="1"/>
  <c r="AE738" i="66" s="1"/>
  <c r="J723" i="66"/>
  <c r="J424" i="66"/>
  <c r="AE426" i="66"/>
  <c r="AE427" i="66" s="1"/>
  <c r="AE428" i="66" s="1"/>
  <c r="AE429" i="66" s="1"/>
  <c r="AE430" i="66" s="1"/>
  <c r="AE431" i="66" s="1"/>
  <c r="AE432" i="66" s="1"/>
  <c r="AE433" i="66" s="1"/>
  <c r="AE434" i="66" s="1"/>
  <c r="AE435" i="66" s="1"/>
  <c r="AE436" i="66" s="1"/>
  <c r="AE437" i="66" s="1"/>
  <c r="AE438" i="66" s="1"/>
  <c r="AE439" i="66" s="1"/>
  <c r="AG425" i="66"/>
  <c r="J493" i="66"/>
  <c r="AG494" i="66"/>
  <c r="AE495" i="66"/>
  <c r="AE496" i="66" s="1"/>
  <c r="AE497" i="66" s="1"/>
  <c r="AE498" i="66" s="1"/>
  <c r="AE499" i="66" s="1"/>
  <c r="AE500" i="66" s="1"/>
  <c r="AE501" i="66" s="1"/>
  <c r="AE502" i="66" s="1"/>
  <c r="AE503" i="66" s="1"/>
  <c r="AE504" i="66" s="1"/>
  <c r="AE505" i="66" s="1"/>
  <c r="AE506" i="66" s="1"/>
  <c r="AE507" i="66" s="1"/>
  <c r="AE508" i="66" s="1"/>
  <c r="AG333" i="66"/>
  <c r="AE334" i="66"/>
  <c r="AE335" i="66" s="1"/>
  <c r="AE336" i="66" s="1"/>
  <c r="AE337" i="66" s="1"/>
  <c r="AE338" i="66" s="1"/>
  <c r="AE339" i="66" s="1"/>
  <c r="AE340" i="66" s="1"/>
  <c r="AE341" i="66" s="1"/>
  <c r="AE342" i="66" s="1"/>
  <c r="AE343" i="66" s="1"/>
  <c r="AE344" i="66" s="1"/>
  <c r="AE345" i="66" s="1"/>
  <c r="AE346" i="66" s="1"/>
  <c r="AE347" i="66" s="1"/>
  <c r="J332" i="66"/>
  <c r="AG402" i="66"/>
  <c r="J401" i="66"/>
  <c r="AE403" i="66"/>
  <c r="AE404" i="66" s="1"/>
  <c r="AE405" i="66" s="1"/>
  <c r="AE406" i="66" s="1"/>
  <c r="AE407" i="66" s="1"/>
  <c r="AE408" i="66" s="1"/>
  <c r="AE409" i="66" s="1"/>
  <c r="AE410" i="66" s="1"/>
  <c r="AE411" i="66" s="1"/>
  <c r="AE412" i="66" s="1"/>
  <c r="AE413" i="66" s="1"/>
  <c r="AE414" i="66" s="1"/>
  <c r="AE415" i="66" s="1"/>
  <c r="AE416" i="66" s="1"/>
  <c r="AG678" i="66"/>
  <c r="J677" i="66"/>
  <c r="AE679" i="66"/>
  <c r="AE680" i="66" s="1"/>
  <c r="AE681" i="66" s="1"/>
  <c r="AE682" i="66" s="1"/>
  <c r="AE683" i="66" s="1"/>
  <c r="AE684" i="66" s="1"/>
  <c r="AE685" i="66" s="1"/>
  <c r="AE686" i="66" s="1"/>
  <c r="AE687" i="66" s="1"/>
  <c r="AE688" i="66" s="1"/>
  <c r="AE689" i="66" s="1"/>
  <c r="AE690" i="66" s="1"/>
  <c r="AE691" i="66" s="1"/>
  <c r="AE692" i="66" s="1"/>
  <c r="AF747" i="66"/>
  <c r="AF609" i="66"/>
  <c r="AF425" i="66"/>
  <c r="AF517" i="66"/>
  <c r="AF471" i="66"/>
  <c r="AE564" i="66"/>
  <c r="AE565" i="66" s="1"/>
  <c r="AE566" i="66" s="1"/>
  <c r="AE567" i="66" s="1"/>
  <c r="AE568" i="66" s="1"/>
  <c r="AE569" i="66" s="1"/>
  <c r="AE570" i="66" s="1"/>
  <c r="AE571" i="66" s="1"/>
  <c r="AE572" i="66" s="1"/>
  <c r="AE573" i="66" s="1"/>
  <c r="AE574" i="66" s="1"/>
  <c r="AE575" i="66" s="1"/>
  <c r="AE576" i="66" s="1"/>
  <c r="AE577" i="66" s="1"/>
  <c r="AG563" i="66"/>
  <c r="J562" i="66"/>
  <c r="AE449" i="66"/>
  <c r="AE450" i="66" s="1"/>
  <c r="AE451" i="66" s="1"/>
  <c r="AE452" i="66" s="1"/>
  <c r="AE453" i="66" s="1"/>
  <c r="AE454" i="66" s="1"/>
  <c r="AE455" i="66" s="1"/>
  <c r="AE456" i="66" s="1"/>
  <c r="AE457" i="66" s="1"/>
  <c r="AE458" i="66" s="1"/>
  <c r="AE459" i="66" s="1"/>
  <c r="AE460" i="66" s="1"/>
  <c r="AE461" i="66" s="1"/>
  <c r="AE462" i="66" s="1"/>
  <c r="J447" i="66"/>
  <c r="AG448" i="66"/>
  <c r="AE656" i="66"/>
  <c r="AE657" i="66" s="1"/>
  <c r="AE658" i="66" s="1"/>
  <c r="AE659" i="66" s="1"/>
  <c r="AE660" i="66" s="1"/>
  <c r="AE661" i="66" s="1"/>
  <c r="AE662" i="66" s="1"/>
  <c r="AE663" i="66" s="1"/>
  <c r="AE664" i="66" s="1"/>
  <c r="AE665" i="66" s="1"/>
  <c r="AE666" i="66" s="1"/>
  <c r="AE667" i="66" s="1"/>
  <c r="AE668" i="66" s="1"/>
  <c r="AE669" i="66" s="1"/>
  <c r="J654" i="66"/>
  <c r="AG655" i="66"/>
  <c r="AF679" i="66"/>
  <c r="AF680" i="66" s="1"/>
  <c r="AF681" i="66" s="1"/>
  <c r="AF682" i="66" s="1"/>
  <c r="AF683" i="66" s="1"/>
  <c r="AF684" i="66" s="1"/>
  <c r="AF685" i="66" s="1"/>
  <c r="AF686" i="66" s="1"/>
  <c r="AF687" i="66" s="1"/>
  <c r="AF688" i="66" s="1"/>
  <c r="AF689" i="66" s="1"/>
  <c r="AF690" i="66" s="1"/>
  <c r="AF691" i="66" s="1"/>
  <c r="AF692" i="66" s="1"/>
  <c r="AH678" i="66"/>
  <c r="AF656" i="66"/>
  <c r="AF657" i="66" s="1"/>
  <c r="AF658" i="66" s="1"/>
  <c r="AF659" i="66" s="1"/>
  <c r="AF660" i="66" s="1"/>
  <c r="AF661" i="66" s="1"/>
  <c r="AF662" i="66" s="1"/>
  <c r="AF663" i="66" s="1"/>
  <c r="AF664" i="66" s="1"/>
  <c r="AF665" i="66" s="1"/>
  <c r="AF666" i="66" s="1"/>
  <c r="AF667" i="66" s="1"/>
  <c r="AF668" i="66" s="1"/>
  <c r="AF669" i="66" s="1"/>
  <c r="AE702" i="66"/>
  <c r="AE703" i="66" s="1"/>
  <c r="AE704" i="66" s="1"/>
  <c r="AE705" i="66" s="1"/>
  <c r="AE706" i="66" s="1"/>
  <c r="AE707" i="66" s="1"/>
  <c r="AE708" i="66" s="1"/>
  <c r="AE709" i="66" s="1"/>
  <c r="AE710" i="66" s="1"/>
  <c r="AE711" i="66" s="1"/>
  <c r="AE712" i="66" s="1"/>
  <c r="AE713" i="66" s="1"/>
  <c r="AE714" i="66" s="1"/>
  <c r="AE715" i="66" s="1"/>
  <c r="AG701" i="66"/>
  <c r="J700" i="66"/>
  <c r="J746" i="66"/>
  <c r="AE748" i="66"/>
  <c r="AE749" i="66" s="1"/>
  <c r="AE750" i="66" s="1"/>
  <c r="AE751" i="66" s="1"/>
  <c r="AE752" i="66" s="1"/>
  <c r="AE753" i="66" s="1"/>
  <c r="AE754" i="66" s="1"/>
  <c r="AE755" i="66" s="1"/>
  <c r="AE756" i="66" s="1"/>
  <c r="AE757" i="66" s="1"/>
  <c r="AE758" i="66" s="1"/>
  <c r="AE759" i="66" s="1"/>
  <c r="AE760" i="66" s="1"/>
  <c r="AE761" i="66" s="1"/>
  <c r="AG747" i="66"/>
  <c r="AE472" i="66"/>
  <c r="AE473" i="66" s="1"/>
  <c r="AE474" i="66" s="1"/>
  <c r="AE475" i="66" s="1"/>
  <c r="AE476" i="66" s="1"/>
  <c r="AE477" i="66" s="1"/>
  <c r="AE478" i="66" s="1"/>
  <c r="AE479" i="66" s="1"/>
  <c r="AE480" i="66" s="1"/>
  <c r="AE481" i="66" s="1"/>
  <c r="AE482" i="66" s="1"/>
  <c r="AE483" i="66" s="1"/>
  <c r="AE484" i="66" s="1"/>
  <c r="AE485" i="66" s="1"/>
  <c r="AG471" i="66"/>
  <c r="J470" i="66"/>
  <c r="AE380" i="66"/>
  <c r="AE381" i="66" s="1"/>
  <c r="AE382" i="66" s="1"/>
  <c r="AE383" i="66" s="1"/>
  <c r="AE384" i="66" s="1"/>
  <c r="AE385" i="66" s="1"/>
  <c r="AE386" i="66" s="1"/>
  <c r="AE387" i="66" s="1"/>
  <c r="AE388" i="66" s="1"/>
  <c r="AE389" i="66" s="1"/>
  <c r="AE390" i="66" s="1"/>
  <c r="AE391" i="66" s="1"/>
  <c r="AE392" i="66" s="1"/>
  <c r="AE393" i="66" s="1"/>
  <c r="AG379" i="66"/>
  <c r="J378" i="66"/>
  <c r="AG356" i="66"/>
  <c r="J355" i="66"/>
  <c r="AE357" i="66"/>
  <c r="AE358" i="66" s="1"/>
  <c r="AE359" i="66" s="1"/>
  <c r="AE360" i="66" s="1"/>
  <c r="AE361" i="66" s="1"/>
  <c r="AE362" i="66" s="1"/>
  <c r="AE363" i="66" s="1"/>
  <c r="AE364" i="66" s="1"/>
  <c r="AE365" i="66" s="1"/>
  <c r="AE366" i="66" s="1"/>
  <c r="AE367" i="66" s="1"/>
  <c r="AE368" i="66" s="1"/>
  <c r="AE369" i="66" s="1"/>
  <c r="AE370" i="66" s="1"/>
  <c r="AF333" i="66"/>
  <c r="AF402" i="66"/>
  <c r="AF724" i="66"/>
  <c r="AF586" i="66"/>
  <c r="AF356" i="66"/>
  <c r="AE541" i="66"/>
  <c r="AE542" i="66" s="1"/>
  <c r="AE543" i="66" s="1"/>
  <c r="AE544" i="66" s="1"/>
  <c r="AE545" i="66" s="1"/>
  <c r="AE546" i="66" s="1"/>
  <c r="AE547" i="66" s="1"/>
  <c r="AE548" i="66" s="1"/>
  <c r="AE549" i="66" s="1"/>
  <c r="AE550" i="66" s="1"/>
  <c r="AE551" i="66" s="1"/>
  <c r="AE552" i="66" s="1"/>
  <c r="AE553" i="66" s="1"/>
  <c r="AE554" i="66" s="1"/>
  <c r="J539" i="66"/>
  <c r="AG540" i="66"/>
  <c r="J585" i="66"/>
  <c r="AE587" i="66"/>
  <c r="AE588" i="66" s="1"/>
  <c r="AE589" i="66" s="1"/>
  <c r="AE590" i="66" s="1"/>
  <c r="AE591" i="66" s="1"/>
  <c r="AE592" i="66" s="1"/>
  <c r="AE593" i="66" s="1"/>
  <c r="AE594" i="66" s="1"/>
  <c r="AE595" i="66" s="1"/>
  <c r="AE596" i="66" s="1"/>
  <c r="AE597" i="66" s="1"/>
  <c r="AE598" i="66" s="1"/>
  <c r="AE599" i="66" s="1"/>
  <c r="AE600" i="66" s="1"/>
  <c r="AG586" i="66"/>
  <c r="AG517" i="66"/>
  <c r="J516" i="66"/>
  <c r="AE518" i="66"/>
  <c r="AE519" i="66" s="1"/>
  <c r="AE520" i="66" s="1"/>
  <c r="AE521" i="66" s="1"/>
  <c r="AE522" i="66" s="1"/>
  <c r="AE523" i="66" s="1"/>
  <c r="AE524" i="66" s="1"/>
  <c r="AE525" i="66" s="1"/>
  <c r="AE526" i="66" s="1"/>
  <c r="AE527" i="66" s="1"/>
  <c r="AE528" i="66" s="1"/>
  <c r="AE529" i="66" s="1"/>
  <c r="AE530" i="66" s="1"/>
  <c r="AE531" i="66" s="1"/>
  <c r="AG632" i="66"/>
  <c r="AE633" i="66"/>
  <c r="AE634" i="66" s="1"/>
  <c r="AE635" i="66" s="1"/>
  <c r="AE636" i="66" s="1"/>
  <c r="AE637" i="66" s="1"/>
  <c r="AE638" i="66" s="1"/>
  <c r="AE639" i="66" s="1"/>
  <c r="AE640" i="66" s="1"/>
  <c r="AE641" i="66" s="1"/>
  <c r="AE642" i="66" s="1"/>
  <c r="AE643" i="66" s="1"/>
  <c r="AE644" i="66" s="1"/>
  <c r="AE645" i="66" s="1"/>
  <c r="AE646" i="66" s="1"/>
  <c r="J631" i="66"/>
  <c r="AE610" i="66"/>
  <c r="AE611" i="66" s="1"/>
  <c r="AE612" i="66" s="1"/>
  <c r="AE613" i="66" s="1"/>
  <c r="AE614" i="66" s="1"/>
  <c r="AE615" i="66" s="1"/>
  <c r="AE616" i="66" s="1"/>
  <c r="AE617" i="66" s="1"/>
  <c r="AE618" i="66" s="1"/>
  <c r="AE619" i="66" s="1"/>
  <c r="AE620" i="66" s="1"/>
  <c r="AE621" i="66" s="1"/>
  <c r="AE622" i="66" s="1"/>
  <c r="AE623" i="66" s="1"/>
  <c r="J608" i="66"/>
  <c r="AG609" i="66"/>
  <c r="AF494" i="66"/>
  <c r="AF632" i="66"/>
  <c r="AF701" i="66"/>
  <c r="AF310" i="66"/>
  <c r="AF540" i="66"/>
  <c r="Y116" i="38"/>
  <c r="AF149" i="66"/>
  <c r="AF150" i="66" s="1"/>
  <c r="AF151" i="66" s="1"/>
  <c r="AF152" i="66" s="1"/>
  <c r="AF153" i="66" s="1"/>
  <c r="AF154" i="66" s="1"/>
  <c r="AF155" i="66" s="1"/>
  <c r="AF156" i="66" s="1"/>
  <c r="AF157" i="66" s="1"/>
  <c r="AF158" i="66" s="1"/>
  <c r="AF159" i="66" s="1"/>
  <c r="AF160" i="66" s="1"/>
  <c r="AF161" i="66" s="1"/>
  <c r="AF162" i="66" s="1"/>
  <c r="AF163" i="66" s="1"/>
  <c r="AF172" i="66"/>
  <c r="AH172" i="66" s="1"/>
  <c r="AF241" i="66"/>
  <c r="AF242" i="66" s="1"/>
  <c r="AF243" i="66" s="1"/>
  <c r="AF244" i="66" s="1"/>
  <c r="AF245" i="66" s="1"/>
  <c r="AF246" i="66" s="1"/>
  <c r="AF247" i="66" s="1"/>
  <c r="AF248" i="66" s="1"/>
  <c r="AF249" i="66" s="1"/>
  <c r="AF250" i="66" s="1"/>
  <c r="AF251" i="66" s="1"/>
  <c r="AF252" i="66" s="1"/>
  <c r="AF253" i="66" s="1"/>
  <c r="AF254" i="66" s="1"/>
  <c r="AF255" i="66" s="1"/>
  <c r="J102" i="66"/>
  <c r="AG103" i="66"/>
  <c r="AE104" i="66"/>
  <c r="AE105" i="66" s="1"/>
  <c r="AE106" i="66" s="1"/>
  <c r="AE107" i="66" s="1"/>
  <c r="AE108" i="66" s="1"/>
  <c r="AE109" i="66" s="1"/>
  <c r="AE110" i="66" s="1"/>
  <c r="AE111" i="66" s="1"/>
  <c r="AE112" i="66" s="1"/>
  <c r="AE113" i="66" s="1"/>
  <c r="AE114" i="66" s="1"/>
  <c r="AE115" i="66" s="1"/>
  <c r="AE116" i="66" s="1"/>
  <c r="AE117" i="66" s="1"/>
  <c r="J286" i="66"/>
  <c r="AE288" i="66"/>
  <c r="AE289" i="66" s="1"/>
  <c r="AE290" i="66" s="1"/>
  <c r="AE291" i="66" s="1"/>
  <c r="AE292" i="66" s="1"/>
  <c r="AE293" i="66" s="1"/>
  <c r="AE294" i="66" s="1"/>
  <c r="AE295" i="66" s="1"/>
  <c r="AE296" i="66" s="1"/>
  <c r="AE297" i="66" s="1"/>
  <c r="AE298" i="66" s="1"/>
  <c r="AE299" i="66" s="1"/>
  <c r="AE300" i="66" s="1"/>
  <c r="AE301" i="66" s="1"/>
  <c r="AG287" i="66"/>
  <c r="E151" i="38"/>
  <c r="T151" i="38" s="1"/>
  <c r="AD151" i="38" s="1"/>
  <c r="G1491" i="50"/>
  <c r="H1491" i="50" s="1"/>
  <c r="G1489" i="50"/>
  <c r="H1489" i="50" s="1"/>
  <c r="E149" i="38"/>
  <c r="T149" i="38" s="1"/>
  <c r="AD149" i="38" s="1"/>
  <c r="E153" i="38"/>
  <c r="T153" i="38" s="1"/>
  <c r="AD153" i="38" s="1"/>
  <c r="G1493" i="50"/>
  <c r="H1493" i="50" s="1"/>
  <c r="E157" i="38"/>
  <c r="T157" i="38" s="1"/>
  <c r="AD157" i="38" s="1"/>
  <c r="G1497" i="50"/>
  <c r="H1497" i="50" s="1"/>
  <c r="E161" i="38"/>
  <c r="T161" i="38" s="1"/>
  <c r="AD161" i="38" s="1"/>
  <c r="G1501" i="50"/>
  <c r="H1501" i="50" s="1"/>
  <c r="G1505" i="50"/>
  <c r="H1505" i="50" s="1"/>
  <c r="E165" i="38"/>
  <c r="T165" i="38" s="1"/>
  <c r="AD165" i="38" s="1"/>
  <c r="E169" i="38"/>
  <c r="T169" i="38" s="1"/>
  <c r="AD169" i="38" s="1"/>
  <c r="G1509" i="50"/>
  <c r="H1509" i="50" s="1"/>
  <c r="G1513" i="50"/>
  <c r="H1513" i="50" s="1"/>
  <c r="E173" i="38"/>
  <c r="T173" i="38" s="1"/>
  <c r="AD173" i="38" s="1"/>
  <c r="G1490" i="50"/>
  <c r="H1490" i="50" s="1"/>
  <c r="E150" i="38"/>
  <c r="T150" i="38" s="1"/>
  <c r="AD150" i="38" s="1"/>
  <c r="Y93" i="38"/>
  <c r="Y97" i="38"/>
  <c r="Y101" i="38"/>
  <c r="Y105" i="38"/>
  <c r="Y109" i="38"/>
  <c r="Y113" i="38"/>
  <c r="AG218" i="66"/>
  <c r="AE219" i="66"/>
  <c r="AE220" i="66" s="1"/>
  <c r="AE221" i="66" s="1"/>
  <c r="AE222" i="66" s="1"/>
  <c r="AE223" i="66" s="1"/>
  <c r="AE224" i="66" s="1"/>
  <c r="AE225" i="66" s="1"/>
  <c r="AE226" i="66" s="1"/>
  <c r="AE227" i="66" s="1"/>
  <c r="AE228" i="66" s="1"/>
  <c r="AE229" i="66" s="1"/>
  <c r="AE230" i="66" s="1"/>
  <c r="AE231" i="66" s="1"/>
  <c r="AE232" i="66" s="1"/>
  <c r="J217" i="66"/>
  <c r="J125" i="66"/>
  <c r="AG126" i="66"/>
  <c r="AE127" i="66"/>
  <c r="AE128" i="66" s="1"/>
  <c r="AE129" i="66" s="1"/>
  <c r="AE130" i="66" s="1"/>
  <c r="AE131" i="66" s="1"/>
  <c r="AE132" i="66" s="1"/>
  <c r="AE133" i="66" s="1"/>
  <c r="AE134" i="66" s="1"/>
  <c r="AE135" i="66" s="1"/>
  <c r="AE136" i="66" s="1"/>
  <c r="AE137" i="66" s="1"/>
  <c r="AE138" i="66" s="1"/>
  <c r="AE139" i="66" s="1"/>
  <c r="AE140" i="66" s="1"/>
  <c r="E152" i="38"/>
  <c r="T152" i="38" s="1"/>
  <c r="AD152" i="38" s="1"/>
  <c r="G1492" i="50"/>
  <c r="H1492" i="50" s="1"/>
  <c r="G1494" i="50"/>
  <c r="H1494" i="50" s="1"/>
  <c r="E154" i="38"/>
  <c r="T154" i="38" s="1"/>
  <c r="AD154" i="38" s="1"/>
  <c r="G1498" i="50"/>
  <c r="H1498" i="50" s="1"/>
  <c r="E158" i="38"/>
  <c r="T158" i="38" s="1"/>
  <c r="AD158" i="38" s="1"/>
  <c r="G1502" i="50"/>
  <c r="H1502" i="50" s="1"/>
  <c r="E162" i="38"/>
  <c r="T162" i="38" s="1"/>
  <c r="AD162" i="38" s="1"/>
  <c r="G1506" i="50"/>
  <c r="H1506" i="50" s="1"/>
  <c r="E166" i="38"/>
  <c r="T166" i="38" s="1"/>
  <c r="AD166" i="38" s="1"/>
  <c r="G1510" i="50"/>
  <c r="H1510" i="50" s="1"/>
  <c r="E170" i="38"/>
  <c r="T170" i="38" s="1"/>
  <c r="AD170" i="38" s="1"/>
  <c r="G1514" i="50"/>
  <c r="H1514" i="50" s="1"/>
  <c r="E174" i="38"/>
  <c r="T174" i="38" s="1"/>
  <c r="AD174" i="38" s="1"/>
  <c r="Y94" i="38"/>
  <c r="Y98" i="38"/>
  <c r="Y102" i="38"/>
  <c r="Y106" i="38"/>
  <c r="Y110" i="38"/>
  <c r="Y114" i="38"/>
  <c r="AF287" i="66"/>
  <c r="AF195" i="66"/>
  <c r="AG241" i="66"/>
  <c r="AE242" i="66"/>
  <c r="AE243" i="66" s="1"/>
  <c r="AE244" i="66" s="1"/>
  <c r="AE245" i="66" s="1"/>
  <c r="AE246" i="66" s="1"/>
  <c r="AE247" i="66" s="1"/>
  <c r="AE248" i="66" s="1"/>
  <c r="AE249" i="66" s="1"/>
  <c r="AE250" i="66" s="1"/>
  <c r="AE251" i="66" s="1"/>
  <c r="AE252" i="66" s="1"/>
  <c r="AE253" i="66" s="1"/>
  <c r="AE254" i="66" s="1"/>
  <c r="AE255" i="66" s="1"/>
  <c r="J240" i="66"/>
  <c r="AG149" i="66"/>
  <c r="AE150" i="66"/>
  <c r="AE151" i="66" s="1"/>
  <c r="AE152" i="66" s="1"/>
  <c r="AE153" i="66" s="1"/>
  <c r="AE154" i="66" s="1"/>
  <c r="AE155" i="66" s="1"/>
  <c r="AE156" i="66" s="1"/>
  <c r="AE157" i="66" s="1"/>
  <c r="AE158" i="66" s="1"/>
  <c r="AE159" i="66" s="1"/>
  <c r="AE160" i="66" s="1"/>
  <c r="AE161" i="66" s="1"/>
  <c r="AE162" i="66" s="1"/>
  <c r="AE163" i="66" s="1"/>
  <c r="J148" i="66"/>
  <c r="G1495" i="50"/>
  <c r="H1495" i="50" s="1"/>
  <c r="E155" i="38"/>
  <c r="T155" i="38" s="1"/>
  <c r="AD155" i="38" s="1"/>
  <c r="G1499" i="50"/>
  <c r="H1499" i="50" s="1"/>
  <c r="E159" i="38"/>
  <c r="T159" i="38" s="1"/>
  <c r="AD159" i="38" s="1"/>
  <c r="G1503" i="50"/>
  <c r="H1503" i="50" s="1"/>
  <c r="E163" i="38"/>
  <c r="T163" i="38" s="1"/>
  <c r="AD163" i="38" s="1"/>
  <c r="E167" i="38"/>
  <c r="T167" i="38" s="1"/>
  <c r="AD167" i="38" s="1"/>
  <c r="G1507" i="50"/>
  <c r="H1507" i="50" s="1"/>
  <c r="G1511" i="50"/>
  <c r="H1511" i="50" s="1"/>
  <c r="E171" i="38"/>
  <c r="T171" i="38" s="1"/>
  <c r="AD171" i="38" s="1"/>
  <c r="Y91" i="38"/>
  <c r="Y95" i="38"/>
  <c r="Y99" i="38"/>
  <c r="Y103" i="38"/>
  <c r="Y107" i="38"/>
  <c r="Y111" i="38"/>
  <c r="Y115" i="38"/>
  <c r="AF103" i="66"/>
  <c r="AF126" i="66"/>
  <c r="AF218" i="66"/>
  <c r="J194" i="66"/>
  <c r="AE196" i="66"/>
  <c r="AE197" i="66" s="1"/>
  <c r="AE198" i="66" s="1"/>
  <c r="AE199" i="66" s="1"/>
  <c r="AE200" i="66" s="1"/>
  <c r="AE201" i="66" s="1"/>
  <c r="AE202" i="66" s="1"/>
  <c r="AE203" i="66" s="1"/>
  <c r="AE204" i="66" s="1"/>
  <c r="AE205" i="66" s="1"/>
  <c r="AE206" i="66" s="1"/>
  <c r="AE207" i="66" s="1"/>
  <c r="AE208" i="66" s="1"/>
  <c r="AE209" i="66" s="1"/>
  <c r="AG195" i="66"/>
  <c r="J171" i="66"/>
  <c r="AG172" i="66"/>
  <c r="AE173" i="66"/>
  <c r="AE174" i="66" s="1"/>
  <c r="AE175" i="66" s="1"/>
  <c r="AE176" i="66" s="1"/>
  <c r="AE177" i="66" s="1"/>
  <c r="AE178" i="66" s="1"/>
  <c r="AE179" i="66" s="1"/>
  <c r="AE180" i="66" s="1"/>
  <c r="AE181" i="66" s="1"/>
  <c r="AE182" i="66" s="1"/>
  <c r="AE183" i="66" s="1"/>
  <c r="AE184" i="66" s="1"/>
  <c r="AE185" i="66" s="1"/>
  <c r="AE186" i="66" s="1"/>
  <c r="J263" i="66"/>
  <c r="AE265" i="66"/>
  <c r="AE266" i="66" s="1"/>
  <c r="AE267" i="66" s="1"/>
  <c r="AE268" i="66" s="1"/>
  <c r="AE269" i="66" s="1"/>
  <c r="AE270" i="66" s="1"/>
  <c r="AE271" i="66" s="1"/>
  <c r="AE272" i="66" s="1"/>
  <c r="AE273" i="66" s="1"/>
  <c r="AE274" i="66" s="1"/>
  <c r="AE275" i="66" s="1"/>
  <c r="AE276" i="66" s="1"/>
  <c r="AE277" i="66" s="1"/>
  <c r="AE278" i="66" s="1"/>
  <c r="AG264" i="66"/>
  <c r="G1496" i="50"/>
  <c r="H1496" i="50" s="1"/>
  <c r="E156" i="38"/>
  <c r="T156" i="38" s="1"/>
  <c r="AD156" i="38" s="1"/>
  <c r="G1500" i="50"/>
  <c r="H1500" i="50" s="1"/>
  <c r="E160" i="38"/>
  <c r="T160" i="38" s="1"/>
  <c r="AD160" i="38" s="1"/>
  <c r="E164" i="38"/>
  <c r="T164" i="38" s="1"/>
  <c r="AD164" i="38" s="1"/>
  <c r="G1504" i="50"/>
  <c r="H1504" i="50" s="1"/>
  <c r="G1508" i="50"/>
  <c r="H1508" i="50" s="1"/>
  <c r="E168" i="38"/>
  <c r="T168" i="38" s="1"/>
  <c r="AD168" i="38" s="1"/>
  <c r="E172" i="38"/>
  <c r="T172" i="38" s="1"/>
  <c r="AD172" i="38" s="1"/>
  <c r="G1512" i="50"/>
  <c r="H1512" i="50" s="1"/>
  <c r="Y92" i="38"/>
  <c r="Y96" i="38"/>
  <c r="Y100" i="38"/>
  <c r="Y104" i="38"/>
  <c r="Y108" i="38"/>
  <c r="Y112" i="38"/>
  <c r="G842" i="43"/>
  <c r="H842" i="43" s="1"/>
  <c r="F843" i="43"/>
  <c r="G796" i="43"/>
  <c r="H796" i="43" s="1"/>
  <c r="H797" i="43" s="1"/>
  <c r="F289" i="43"/>
  <c r="G40" i="62" s="1"/>
  <c r="F287" i="43"/>
  <c r="G38" i="62" s="1"/>
  <c r="F290" i="43"/>
  <c r="G41" i="62" s="1"/>
  <c r="F288" i="43"/>
  <c r="G39" i="62" s="1"/>
  <c r="M13" i="60"/>
  <c r="Z81" i="66"/>
  <c r="Z80" i="66"/>
  <c r="Z82" i="66"/>
  <c r="X80" i="66"/>
  <c r="X82" i="66"/>
  <c r="X81" i="66"/>
  <c r="W80" i="66"/>
  <c r="W81" i="66"/>
  <c r="W82" i="66"/>
  <c r="AA81" i="66"/>
  <c r="H81" i="66" s="1"/>
  <c r="AA82" i="66"/>
  <c r="H82" i="66" s="1"/>
  <c r="AA80" i="66"/>
  <c r="H80" i="66" s="1"/>
  <c r="Y81" i="66"/>
  <c r="G81" i="66" s="1"/>
  <c r="Y80" i="66"/>
  <c r="G80" i="66" s="1"/>
  <c r="Y82" i="66"/>
  <c r="G82" i="66" s="1"/>
  <c r="D182" i="52"/>
  <c r="Q182" i="52" s="1"/>
  <c r="S182" i="52" s="1"/>
  <c r="AB67" i="38"/>
  <c r="G1475" i="50"/>
  <c r="H1475" i="50" s="1"/>
  <c r="E148" i="38"/>
  <c r="T148" i="38" s="1"/>
  <c r="AD148" i="38" s="1"/>
  <c r="E128" i="38"/>
  <c r="T128" i="38" s="1"/>
  <c r="AD128" i="38" s="1"/>
  <c r="AQ13" i="60"/>
  <c r="E136" i="38"/>
  <c r="T136" i="38" s="1"/>
  <c r="AD136" i="38" s="1"/>
  <c r="G1486" i="50"/>
  <c r="H1486" i="50" s="1"/>
  <c r="G1471" i="50"/>
  <c r="H1471" i="50" s="1"/>
  <c r="E130" i="38"/>
  <c r="T130" i="38" s="1"/>
  <c r="AD130" i="38" s="1"/>
  <c r="G1479" i="50"/>
  <c r="H1479" i="50" s="1"/>
  <c r="E19" i="62"/>
  <c r="Q170" i="52"/>
  <c r="S170" i="52" s="1"/>
  <c r="E142" i="38"/>
  <c r="T142" i="38" s="1"/>
  <c r="AD142" i="38" s="1"/>
  <c r="E140" i="38"/>
  <c r="T140" i="38" s="1"/>
  <c r="AD140" i="38" s="1"/>
  <c r="G1487" i="50"/>
  <c r="H1487" i="50" s="1"/>
  <c r="AC68" i="38"/>
  <c r="U79" i="65"/>
  <c r="W78" i="65" s="1"/>
  <c r="W79" i="65" s="1"/>
  <c r="G1469" i="50"/>
  <c r="H1469" i="50" s="1"/>
  <c r="P13" i="60"/>
  <c r="D13" i="60"/>
  <c r="S13" i="60"/>
  <c r="AP13" i="60"/>
  <c r="AB68" i="38"/>
  <c r="E134" i="38"/>
  <c r="T134" i="38" s="1"/>
  <c r="AD134" i="38" s="1"/>
  <c r="F15" i="60"/>
  <c r="G1484" i="50"/>
  <c r="H1484" i="50" s="1"/>
  <c r="C172" i="52"/>
  <c r="C178" i="52" s="1"/>
  <c r="C184" i="52" s="1"/>
  <c r="C190" i="52" s="1"/>
  <c r="C196" i="52" s="1"/>
  <c r="G1481" i="50"/>
  <c r="H1481" i="50" s="1"/>
  <c r="G1472" i="50"/>
  <c r="H1472" i="50" s="1"/>
  <c r="I180" i="38"/>
  <c r="C50" i="57"/>
  <c r="AO50" i="57" s="1"/>
  <c r="C46" i="57"/>
  <c r="AO46" i="57" s="1"/>
  <c r="C42" i="57"/>
  <c r="AO42" i="57" s="1"/>
  <c r="C43" i="57"/>
  <c r="AO43" i="57" s="1"/>
  <c r="C45" i="57"/>
  <c r="AO45" i="57" s="1"/>
  <c r="C41" i="57"/>
  <c r="AL41" i="57" s="1"/>
  <c r="C33" i="57"/>
  <c r="AL33" i="57" s="1"/>
  <c r="C40" i="57"/>
  <c r="AO40" i="57" s="1"/>
  <c r="C32" i="57"/>
  <c r="AO32" i="57" s="1"/>
  <c r="C39" i="57"/>
  <c r="AO39" i="57" s="1"/>
  <c r="C35" i="57"/>
  <c r="AO35" i="57" s="1"/>
  <c r="C44" i="57"/>
  <c r="AO44" i="57" s="1"/>
  <c r="C31" i="57"/>
  <c r="AO31" i="57" s="1"/>
  <c r="C171" i="52"/>
  <c r="C177" i="52" s="1"/>
  <c r="C183" i="52" s="1"/>
  <c r="C189" i="52" s="1"/>
  <c r="C195" i="52" s="1"/>
  <c r="C58" i="57"/>
  <c r="AO58" i="57" s="1"/>
  <c r="C54" i="57"/>
  <c r="AO54" i="57" s="1"/>
  <c r="C56" i="57"/>
  <c r="AL56" i="57" s="1"/>
  <c r="C55" i="57"/>
  <c r="AO55" i="57" s="1"/>
  <c r="C57" i="57"/>
  <c r="AL57" i="57" s="1"/>
  <c r="C53" i="57"/>
  <c r="AL53" i="57" s="1"/>
  <c r="C52" i="57"/>
  <c r="AL52" i="57" s="1"/>
  <c r="C51" i="57"/>
  <c r="AO51" i="57" s="1"/>
  <c r="E127" i="38"/>
  <c r="T127" i="38" s="1"/>
  <c r="AD127" i="38" s="1"/>
  <c r="E138" i="38"/>
  <c r="T138" i="38" s="1"/>
  <c r="AD138" i="38" s="1"/>
  <c r="G1478" i="50"/>
  <c r="H1478" i="50" s="1"/>
  <c r="W49" i="65"/>
  <c r="W50" i="65" s="1"/>
  <c r="W51" i="65" s="1"/>
  <c r="W52" i="65" s="1"/>
  <c r="G1485" i="50"/>
  <c r="H1485" i="50" s="1"/>
  <c r="K2" i="10"/>
  <c r="AO13" i="60"/>
  <c r="N13" i="60"/>
  <c r="E13" i="60"/>
  <c r="E137" i="38"/>
  <c r="T137" i="38" s="1"/>
  <c r="AD137" i="38" s="1"/>
  <c r="X13" i="60"/>
  <c r="V13" i="60"/>
  <c r="E133" i="38"/>
  <c r="T133" i="38" s="1"/>
  <c r="AD133" i="38" s="1"/>
  <c r="G1473" i="50"/>
  <c r="T25" i="9"/>
  <c r="B72" i="57"/>
  <c r="S166" i="52"/>
  <c r="G181" i="38"/>
  <c r="AN18" i="57"/>
  <c r="K3" i="50"/>
  <c r="I181" i="38"/>
  <c r="AL19" i="57"/>
  <c r="F14" i="60"/>
  <c r="D177" i="52"/>
  <c r="Q171" i="52"/>
  <c r="S171" i="52" s="1"/>
  <c r="D85" i="65"/>
  <c r="E84" i="65"/>
  <c r="E83" i="65"/>
  <c r="R83" i="65"/>
  <c r="H1467" i="50"/>
  <c r="AO21" i="57"/>
  <c r="AO20" i="57"/>
  <c r="AO19" i="57"/>
  <c r="AO22" i="57"/>
  <c r="R82" i="65"/>
  <c r="U82" i="65" s="1"/>
  <c r="U81" i="65"/>
  <c r="G180" i="38"/>
  <c r="Y90" i="38"/>
  <c r="Y80" i="38"/>
  <c r="Y83" i="38"/>
  <c r="B71" i="57"/>
  <c r="Y85" i="38"/>
  <c r="Y72" i="38"/>
  <c r="Y76" i="38"/>
  <c r="Y81" i="38"/>
  <c r="Y75" i="38"/>
  <c r="Y82" i="38"/>
  <c r="Y71" i="38"/>
  <c r="S165" i="52"/>
  <c r="AM18" i="57"/>
  <c r="Y69" i="38"/>
  <c r="Y74" i="38"/>
  <c r="Y87" i="38"/>
  <c r="Y89" i="38"/>
  <c r="Y88" i="38"/>
  <c r="Y73" i="38"/>
  <c r="Y84" i="38"/>
  <c r="Y78" i="38"/>
  <c r="Y79" i="38"/>
  <c r="Y77" i="38"/>
  <c r="Y70" i="38"/>
  <c r="Y86" i="38"/>
  <c r="D56" i="65"/>
  <c r="R54" i="65"/>
  <c r="R55" i="65" s="1"/>
  <c r="E54" i="65"/>
  <c r="E55" i="65"/>
  <c r="S19" i="9"/>
  <c r="K2" i="9"/>
  <c r="I2" i="37"/>
  <c r="M2" i="38"/>
  <c r="E27" i="9"/>
  <c r="D12" i="9"/>
  <c r="E23" i="9"/>
  <c r="R28" i="9"/>
  <c r="E26" i="9"/>
  <c r="E15" i="9"/>
  <c r="X17" i="38"/>
  <c r="E22" i="9"/>
  <c r="E17" i="9"/>
  <c r="D14" i="9"/>
  <c r="D25" i="9"/>
  <c r="R21" i="9"/>
  <c r="R29" i="9"/>
  <c r="R18" i="9"/>
  <c r="B78" i="52"/>
  <c r="K2" i="37" l="1"/>
  <c r="I187" i="50"/>
  <c r="AS438" i="50"/>
  <c r="AU438" i="50" s="1"/>
  <c r="AW438" i="50" s="1"/>
  <c r="AX438" i="50" s="1"/>
  <c r="O4" i="66"/>
  <c r="AB15" i="60"/>
  <c r="AA15" i="60"/>
  <c r="Z15" i="60"/>
  <c r="AC15" i="60"/>
  <c r="Y15" i="60"/>
  <c r="AC14" i="60"/>
  <c r="Y14" i="60"/>
  <c r="AB14" i="60"/>
  <c r="AA14" i="60"/>
  <c r="Z14" i="60"/>
  <c r="I493" i="50"/>
  <c r="I1277" i="50"/>
  <c r="C304" i="66"/>
  <c r="D281" i="66"/>
  <c r="V281" i="66" s="1"/>
  <c r="A281" i="66"/>
  <c r="Q4" i="66" s="1"/>
  <c r="AS1417" i="50"/>
  <c r="AU1417" i="50" s="1"/>
  <c r="AW1417" i="50" s="1"/>
  <c r="AX1417" i="50" s="1"/>
  <c r="AH448" i="66"/>
  <c r="AH449" i="66" s="1"/>
  <c r="AS465" i="50"/>
  <c r="AU465" i="50" s="1"/>
  <c r="AW465" i="50" s="1"/>
  <c r="AX465" i="50" s="1"/>
  <c r="AO56" i="57"/>
  <c r="AS522" i="50"/>
  <c r="AU522" i="50" s="1"/>
  <c r="AZ522" i="50" s="1"/>
  <c r="AS999" i="50"/>
  <c r="AU999" i="50" s="1"/>
  <c r="AZ999" i="50" s="1"/>
  <c r="AW105" i="50"/>
  <c r="AX105" i="50" s="1"/>
  <c r="BC805" i="50"/>
  <c r="M805" i="50" s="1"/>
  <c r="AW1365" i="50"/>
  <c r="AX1365" i="50" s="1"/>
  <c r="AL54" i="57"/>
  <c r="AO33" i="57"/>
  <c r="AW637" i="50"/>
  <c r="AX637" i="50" s="1"/>
  <c r="AL58" i="57"/>
  <c r="AO52" i="57"/>
  <c r="AN63" i="57"/>
  <c r="AN59" i="57"/>
  <c r="AN50" i="57"/>
  <c r="AN49" i="57"/>
  <c r="AN48" i="57"/>
  <c r="AN47" i="57"/>
  <c r="AN46" i="57"/>
  <c r="AN45" i="57"/>
  <c r="AN27" i="57"/>
  <c r="AN41" i="57"/>
  <c r="AN38" i="57"/>
  <c r="AN34" i="57"/>
  <c r="AN31" i="57"/>
  <c r="AN62" i="57"/>
  <c r="AN28" i="57"/>
  <c r="AN64" i="57"/>
  <c r="AN43" i="57"/>
  <c r="AN40" i="57"/>
  <c r="AN37" i="57"/>
  <c r="AN36" i="57"/>
  <c r="AN33" i="57"/>
  <c r="AN30" i="57"/>
  <c r="AN26" i="57"/>
  <c r="AN61" i="57"/>
  <c r="AN29" i="57"/>
  <c r="AN25" i="57"/>
  <c r="AN24" i="57"/>
  <c r="AN23" i="57"/>
  <c r="AN60" i="57"/>
  <c r="AN44" i="57"/>
  <c r="AN42" i="57"/>
  <c r="AN39" i="57"/>
  <c r="AN35" i="57"/>
  <c r="AN32" i="57"/>
  <c r="AO41" i="57"/>
  <c r="I773" i="50"/>
  <c r="AL55" i="57"/>
  <c r="AL50" i="57"/>
  <c r="AL35" i="57"/>
  <c r="AL42" i="57"/>
  <c r="AO53" i="57"/>
  <c r="AO57" i="57"/>
  <c r="AL46" i="57"/>
  <c r="D188" i="52"/>
  <c r="Q188" i="52" s="1"/>
  <c r="S188" i="52" s="1"/>
  <c r="AS1250" i="50"/>
  <c r="AU1250" i="50" s="1"/>
  <c r="AW1250" i="50" s="1"/>
  <c r="AX1250" i="50" s="1"/>
  <c r="AW861" i="50"/>
  <c r="AX861" i="50" s="1"/>
  <c r="AW1029" i="50"/>
  <c r="AX1029" i="50" s="1"/>
  <c r="I1025" i="50"/>
  <c r="AL51" i="57"/>
  <c r="AL31" i="57"/>
  <c r="AL39" i="57"/>
  <c r="AL43" i="57"/>
  <c r="AM64" i="57"/>
  <c r="AM60" i="57"/>
  <c r="AM51" i="57"/>
  <c r="AM38" i="57"/>
  <c r="AM37" i="57"/>
  <c r="AM36" i="57"/>
  <c r="AM34" i="57"/>
  <c r="AM30" i="57"/>
  <c r="AM26" i="57"/>
  <c r="AM23" i="57"/>
  <c r="AM63" i="57"/>
  <c r="AM59" i="57"/>
  <c r="AM58" i="57"/>
  <c r="AM57" i="57"/>
  <c r="AM56" i="57"/>
  <c r="AM55" i="57"/>
  <c r="AM54" i="57"/>
  <c r="AM53" i="57"/>
  <c r="AM52" i="57"/>
  <c r="AM49" i="57"/>
  <c r="AM48" i="57"/>
  <c r="AM47" i="57"/>
  <c r="AM27" i="57"/>
  <c r="AM24" i="57"/>
  <c r="AM62" i="57"/>
  <c r="AM28" i="57"/>
  <c r="AM61" i="57"/>
  <c r="AM29" i="57"/>
  <c r="AM25" i="57"/>
  <c r="AW693" i="50"/>
  <c r="AX693" i="50" s="1"/>
  <c r="BC385" i="50"/>
  <c r="M385" i="50" s="1"/>
  <c r="AW301" i="50"/>
  <c r="AX301" i="50" s="1"/>
  <c r="AZ1141" i="50"/>
  <c r="AL45" i="57"/>
  <c r="AL32" i="57"/>
  <c r="AL40" i="57"/>
  <c r="AL44" i="57"/>
  <c r="AF265" i="66"/>
  <c r="AF266" i="66" s="1"/>
  <c r="AF267" i="66" s="1"/>
  <c r="AF268" i="66" s="1"/>
  <c r="AF269" i="66" s="1"/>
  <c r="AF270" i="66" s="1"/>
  <c r="AF271" i="66" s="1"/>
  <c r="AF272" i="66" s="1"/>
  <c r="AF273" i="66" s="1"/>
  <c r="AF274" i="66" s="1"/>
  <c r="AF275" i="66" s="1"/>
  <c r="AF276" i="66" s="1"/>
  <c r="AF277" i="66" s="1"/>
  <c r="AF278" i="66" s="1"/>
  <c r="AH563" i="66"/>
  <c r="AH564" i="66" s="1"/>
  <c r="I1334" i="50"/>
  <c r="AH379" i="66"/>
  <c r="AH380" i="66" s="1"/>
  <c r="AW1421" i="50"/>
  <c r="AX1421" i="50" s="1"/>
  <c r="AW777" i="50"/>
  <c r="AX777" i="50" s="1"/>
  <c r="AW1169" i="50"/>
  <c r="AX1169" i="50" s="1"/>
  <c r="AW217" i="50"/>
  <c r="AX217" i="50" s="1"/>
  <c r="AW329" i="50"/>
  <c r="AX329" i="50" s="1"/>
  <c r="AW665" i="50"/>
  <c r="AX665" i="50" s="1"/>
  <c r="AW609" i="50"/>
  <c r="AX609" i="50" s="1"/>
  <c r="AW469" i="50"/>
  <c r="AX469" i="50" s="1"/>
  <c r="AW385" i="50"/>
  <c r="AX385" i="50" s="1"/>
  <c r="BC973" i="50"/>
  <c r="M973" i="50" s="1"/>
  <c r="AS857" i="50"/>
  <c r="AU857" i="50" s="1"/>
  <c r="AW857" i="50" s="1"/>
  <c r="AX857" i="50" s="1"/>
  <c r="BC1421" i="50"/>
  <c r="M1421" i="50" s="1"/>
  <c r="BC105" i="50"/>
  <c r="M105" i="50" s="1"/>
  <c r="BC1001" i="50"/>
  <c r="M1001" i="50" s="1"/>
  <c r="AW1057" i="50"/>
  <c r="AX1057" i="50" s="1"/>
  <c r="AW1309" i="50"/>
  <c r="AX1309" i="50" s="1"/>
  <c r="I1248" i="50"/>
  <c r="AS382" i="50"/>
  <c r="AU382" i="50" s="1"/>
  <c r="BA382" i="50" s="1"/>
  <c r="AW189" i="50"/>
  <c r="AX189" i="50" s="1"/>
  <c r="BC1337" i="50"/>
  <c r="M1337" i="50" s="1"/>
  <c r="AS1052" i="50"/>
  <c r="AU1052" i="50" s="1"/>
  <c r="AW1052" i="50" s="1"/>
  <c r="AX1052" i="50" s="1"/>
  <c r="I800" i="50"/>
  <c r="AW805" i="50"/>
  <c r="AX805" i="50" s="1"/>
  <c r="AW1001" i="50"/>
  <c r="AX1001" i="50" s="1"/>
  <c r="BC749" i="50"/>
  <c r="M749" i="50" s="1"/>
  <c r="BC1253" i="50"/>
  <c r="M1253" i="50" s="1"/>
  <c r="AW917" i="50"/>
  <c r="AX917" i="50" s="1"/>
  <c r="AS548" i="50"/>
  <c r="AU548" i="50" s="1"/>
  <c r="AW548" i="50" s="1"/>
  <c r="AX548" i="50" s="1"/>
  <c r="BC665" i="50"/>
  <c r="M665" i="50" s="1"/>
  <c r="AW1253" i="50"/>
  <c r="AX1253" i="50" s="1"/>
  <c r="AW1337" i="50"/>
  <c r="AX1337" i="50" s="1"/>
  <c r="AW973" i="50"/>
  <c r="AX973" i="50" s="1"/>
  <c r="BC861" i="50"/>
  <c r="M861" i="50" s="1"/>
  <c r="BC609" i="50"/>
  <c r="M609" i="50" s="1"/>
  <c r="AW245" i="50"/>
  <c r="AX245" i="50" s="1"/>
  <c r="AW413" i="50"/>
  <c r="AX413" i="50" s="1"/>
  <c r="AW1113" i="50"/>
  <c r="AX1113" i="50" s="1"/>
  <c r="AW1085" i="50"/>
  <c r="AX1085" i="50" s="1"/>
  <c r="BC1309" i="50"/>
  <c r="M1309" i="50" s="1"/>
  <c r="AW1225" i="50"/>
  <c r="AX1225" i="50" s="1"/>
  <c r="AW1393" i="50"/>
  <c r="AX1393" i="50" s="1"/>
  <c r="BC525" i="50"/>
  <c r="M525" i="50" s="1"/>
  <c r="AW553" i="50"/>
  <c r="AX553" i="50" s="1"/>
  <c r="BC693" i="50"/>
  <c r="M693" i="50" s="1"/>
  <c r="AW1141" i="50"/>
  <c r="AX1141" i="50" s="1"/>
  <c r="BC301" i="50"/>
  <c r="M301" i="50" s="1"/>
  <c r="BC1365" i="50"/>
  <c r="M1365" i="50" s="1"/>
  <c r="I774" i="50"/>
  <c r="BC553" i="50"/>
  <c r="M553" i="50" s="1"/>
  <c r="AW161" i="50"/>
  <c r="AX161" i="50" s="1"/>
  <c r="AW133" i="50"/>
  <c r="AX133" i="50" s="1"/>
  <c r="AW273" i="50"/>
  <c r="AX273" i="50" s="1"/>
  <c r="AW1449" i="50"/>
  <c r="AX1449" i="50" s="1"/>
  <c r="AZ77" i="50"/>
  <c r="BC1085" i="50"/>
  <c r="M1085" i="50" s="1"/>
  <c r="AW581" i="50"/>
  <c r="AX581" i="50" s="1"/>
  <c r="BC1449" i="50"/>
  <c r="M1449" i="50" s="1"/>
  <c r="BC273" i="50"/>
  <c r="M273" i="50" s="1"/>
  <c r="BC217" i="50"/>
  <c r="M217" i="50" s="1"/>
  <c r="AW749" i="50"/>
  <c r="AX749" i="50" s="1"/>
  <c r="AW357" i="50"/>
  <c r="AX357" i="50" s="1"/>
  <c r="BC1169" i="50"/>
  <c r="M1169" i="50" s="1"/>
  <c r="BC833" i="50"/>
  <c r="M833" i="50" s="1"/>
  <c r="BC469" i="50"/>
  <c r="M469" i="50" s="1"/>
  <c r="BC721" i="50"/>
  <c r="M721" i="50" s="1"/>
  <c r="AW721" i="50"/>
  <c r="AX721" i="50" s="1"/>
  <c r="AW525" i="50"/>
  <c r="AX525" i="50" s="1"/>
  <c r="AZ161" i="50"/>
  <c r="AW182" i="50"/>
  <c r="AX182" i="50" s="1"/>
  <c r="AZ182" i="50"/>
  <c r="BA182" i="50"/>
  <c r="K182" i="50"/>
  <c r="AZ266" i="50"/>
  <c r="BA266" i="50"/>
  <c r="K266" i="50"/>
  <c r="I209" i="50"/>
  <c r="AJ209" i="50"/>
  <c r="BS200" i="50" s="1"/>
  <c r="BP564" i="50"/>
  <c r="BL564" i="50" s="1"/>
  <c r="AX585" i="50"/>
  <c r="M585" i="50" s="1"/>
  <c r="BX424" i="50"/>
  <c r="BD435" i="50"/>
  <c r="BD434" i="50"/>
  <c r="BC1113" i="50"/>
  <c r="M1113" i="50" s="1"/>
  <c r="AX1117" i="50"/>
  <c r="M1117" i="50" s="1"/>
  <c r="BP1096" i="50"/>
  <c r="BL1096" i="50" s="1"/>
  <c r="I125" i="50"/>
  <c r="AJ125" i="50"/>
  <c r="BS116" i="50" s="1"/>
  <c r="BP1012" i="50"/>
  <c r="BL1012" i="50" s="1"/>
  <c r="AX1033" i="50"/>
  <c r="M1033" i="50" s="1"/>
  <c r="I544" i="50"/>
  <c r="AJ544" i="50"/>
  <c r="AT544" i="50" s="1"/>
  <c r="AU544" i="50" s="1"/>
  <c r="I992" i="50"/>
  <c r="AJ992" i="50"/>
  <c r="AT992" i="50" s="1"/>
  <c r="AU992" i="50" s="1"/>
  <c r="AS1167" i="50"/>
  <c r="AU1167" i="50" s="1"/>
  <c r="I1167" i="50"/>
  <c r="AS859" i="50"/>
  <c r="AU859" i="50" s="1"/>
  <c r="I859" i="50"/>
  <c r="AJ600" i="50"/>
  <c r="AT600" i="50" s="1"/>
  <c r="AU600" i="50" s="1"/>
  <c r="I600" i="50"/>
  <c r="AJ853" i="50"/>
  <c r="BS844" i="50" s="1"/>
  <c r="I853" i="50"/>
  <c r="AJ1020" i="50"/>
  <c r="AT1020" i="50" s="1"/>
  <c r="AU1020" i="50" s="1"/>
  <c r="I1020" i="50"/>
  <c r="AJ601" i="50"/>
  <c r="BS592" i="50" s="1"/>
  <c r="I601" i="50"/>
  <c r="BA630" i="50"/>
  <c r="AZ630" i="50"/>
  <c r="K630" i="50"/>
  <c r="I747" i="50"/>
  <c r="AS747" i="50"/>
  <c r="AU747" i="50" s="1"/>
  <c r="BX1404" i="50"/>
  <c r="BD1414" i="50"/>
  <c r="BD1415" i="50"/>
  <c r="AS660" i="50"/>
  <c r="AU660" i="50" s="1"/>
  <c r="I660" i="50"/>
  <c r="I745" i="50"/>
  <c r="AS745" i="50"/>
  <c r="AU745" i="50" s="1"/>
  <c r="AW602" i="50"/>
  <c r="AX602" i="50" s="1"/>
  <c r="K602" i="50"/>
  <c r="AZ602" i="50"/>
  <c r="BA602" i="50"/>
  <c r="BA1051" i="50"/>
  <c r="AZ1051" i="50"/>
  <c r="K1051" i="50"/>
  <c r="I1363" i="50"/>
  <c r="AS1363" i="50"/>
  <c r="AU1363" i="50" s="1"/>
  <c r="BP312" i="50"/>
  <c r="BL312" i="50" s="1"/>
  <c r="AX333" i="50"/>
  <c r="M333" i="50" s="1"/>
  <c r="I1273" i="50"/>
  <c r="AJ1273" i="50"/>
  <c r="BS1264" i="50" s="1"/>
  <c r="I131" i="50"/>
  <c r="AS131" i="50"/>
  <c r="AU131" i="50" s="1"/>
  <c r="BA1251" i="50"/>
  <c r="AZ1251" i="50"/>
  <c r="AW436" i="50"/>
  <c r="AX436" i="50" s="1"/>
  <c r="AZ436" i="50"/>
  <c r="BA436" i="50"/>
  <c r="AS1332" i="50"/>
  <c r="AU1332" i="50" s="1"/>
  <c r="I1332" i="50"/>
  <c r="AS213" i="50"/>
  <c r="AU213" i="50" s="1"/>
  <c r="I213" i="50"/>
  <c r="AW716" i="50"/>
  <c r="AX716" i="50" s="1"/>
  <c r="BA716" i="50"/>
  <c r="AZ716" i="50"/>
  <c r="I797" i="50"/>
  <c r="AJ797" i="50"/>
  <c r="BS788" i="50" s="1"/>
  <c r="BA968" i="50"/>
  <c r="AZ968" i="50"/>
  <c r="BD659" i="50"/>
  <c r="BD658" i="50"/>
  <c r="BX648" i="50"/>
  <c r="AW350" i="50"/>
  <c r="AX350" i="50" s="1"/>
  <c r="K350" i="50"/>
  <c r="AZ350" i="50"/>
  <c r="BA350" i="50"/>
  <c r="I1244" i="50"/>
  <c r="AJ1244" i="50"/>
  <c r="I1082" i="50"/>
  <c r="AS1082" i="50"/>
  <c r="AU1082" i="50" s="1"/>
  <c r="I404" i="50"/>
  <c r="AJ404" i="50"/>
  <c r="AT404" i="50" s="1"/>
  <c r="AU404" i="50" s="1"/>
  <c r="AJ993" i="50"/>
  <c r="BS984" i="50" s="1"/>
  <c r="I993" i="50"/>
  <c r="I212" i="50"/>
  <c r="AS212" i="50"/>
  <c r="AU212" i="50" s="1"/>
  <c r="I1108" i="50"/>
  <c r="AS1108" i="50"/>
  <c r="AU1108" i="50" s="1"/>
  <c r="AW1108" i="50" s="1"/>
  <c r="AX1108" i="50" s="1"/>
  <c r="AS185" i="50"/>
  <c r="AU185" i="50" s="1"/>
  <c r="I185" i="50"/>
  <c r="BD155" i="50"/>
  <c r="BD154" i="50"/>
  <c r="BX144" i="50"/>
  <c r="AW1055" i="50"/>
  <c r="AX1055" i="50" s="1"/>
  <c r="BA1055" i="50"/>
  <c r="AZ1055" i="50"/>
  <c r="BA578" i="50"/>
  <c r="AZ578" i="50"/>
  <c r="AW1136" i="50"/>
  <c r="AX1136" i="50" s="1"/>
  <c r="AZ1136" i="50"/>
  <c r="BA1136" i="50"/>
  <c r="AI96" i="50"/>
  <c r="AW1274" i="50"/>
  <c r="AX1274" i="50" s="1"/>
  <c r="K1274" i="50"/>
  <c r="BA1274" i="50"/>
  <c r="AZ1274" i="50"/>
  <c r="BA1331" i="50"/>
  <c r="K1331" i="50"/>
  <c r="AZ1331" i="50"/>
  <c r="BA161" i="50"/>
  <c r="BP144" i="50"/>
  <c r="BL144" i="50" s="1"/>
  <c r="AX165" i="50"/>
  <c r="M165" i="50" s="1"/>
  <c r="AW691" i="50"/>
  <c r="AX691" i="50" s="1"/>
  <c r="AZ691" i="50"/>
  <c r="BA691" i="50"/>
  <c r="BX1432" i="50"/>
  <c r="BD1443" i="50"/>
  <c r="BD1442" i="50"/>
  <c r="AS352" i="50"/>
  <c r="AU352" i="50" s="1"/>
  <c r="I352" i="50"/>
  <c r="I551" i="50"/>
  <c r="AS551" i="50"/>
  <c r="AU551" i="50" s="1"/>
  <c r="AX893" i="50"/>
  <c r="M893" i="50" s="1"/>
  <c r="BP872" i="50"/>
  <c r="BL872" i="50" s="1"/>
  <c r="AJ1328" i="50"/>
  <c r="AT1328" i="50" s="1"/>
  <c r="AU1328" i="50" s="1"/>
  <c r="I1328" i="50"/>
  <c r="AW1027" i="50"/>
  <c r="AX1027" i="50" s="1"/>
  <c r="AZ1027" i="50"/>
  <c r="BA1027" i="50"/>
  <c r="BC581" i="50"/>
  <c r="M581" i="50" s="1"/>
  <c r="AZ1218" i="50"/>
  <c r="K1218" i="50"/>
  <c r="BA1218" i="50"/>
  <c r="BA1141" i="50"/>
  <c r="BP1124" i="50"/>
  <c r="BL1124" i="50" s="1"/>
  <c r="AX1145" i="50"/>
  <c r="M1145" i="50" s="1"/>
  <c r="AX193" i="50"/>
  <c r="M193" i="50" s="1"/>
  <c r="BP172" i="50"/>
  <c r="BL172" i="50" s="1"/>
  <c r="AS1307" i="50"/>
  <c r="AU1307" i="50" s="1"/>
  <c r="I1307" i="50"/>
  <c r="AX1201" i="50"/>
  <c r="M1201" i="50" s="1"/>
  <c r="BP1180" i="50"/>
  <c r="BL1180" i="50" s="1"/>
  <c r="BA407" i="50"/>
  <c r="K407" i="50"/>
  <c r="AZ407" i="50"/>
  <c r="BP1348" i="50"/>
  <c r="BL1348" i="50" s="1"/>
  <c r="AX1369" i="50"/>
  <c r="M1369" i="50" s="1"/>
  <c r="I1391" i="50"/>
  <c r="AS1391" i="50"/>
  <c r="AU1391" i="50" s="1"/>
  <c r="AW523" i="50"/>
  <c r="AX523" i="50" s="1"/>
  <c r="BA523" i="50"/>
  <c r="AZ523" i="50"/>
  <c r="AJ712" i="50"/>
  <c r="I712" i="50"/>
  <c r="AS579" i="50"/>
  <c r="AU579" i="50" s="1"/>
  <c r="I579" i="50"/>
  <c r="AW238" i="50"/>
  <c r="AX238" i="50" s="1"/>
  <c r="AZ238" i="50"/>
  <c r="K238" i="50"/>
  <c r="BA238" i="50"/>
  <c r="BA1107" i="50"/>
  <c r="AZ1107" i="50"/>
  <c r="K1107" i="50"/>
  <c r="AW1107" i="50"/>
  <c r="AX1107" i="50" s="1"/>
  <c r="AZ717" i="50"/>
  <c r="BA717" i="50"/>
  <c r="AW717" i="50"/>
  <c r="AX717" i="50" s="1"/>
  <c r="BX172" i="50"/>
  <c r="BD182" i="50"/>
  <c r="BD183" i="50"/>
  <c r="BX256" i="50"/>
  <c r="BD266" i="50"/>
  <c r="M266" i="50" s="1"/>
  <c r="BD267" i="50"/>
  <c r="AW155" i="50"/>
  <c r="AX155" i="50" s="1"/>
  <c r="BA155" i="50"/>
  <c r="K155" i="50"/>
  <c r="AZ155" i="50"/>
  <c r="AX1061" i="50"/>
  <c r="M1061" i="50" s="1"/>
  <c r="BP1040" i="50"/>
  <c r="BL1040" i="50" s="1"/>
  <c r="AW1222" i="50"/>
  <c r="AX1222" i="50" s="1"/>
  <c r="BA1222" i="50"/>
  <c r="AZ1222" i="50"/>
  <c r="BA518" i="50"/>
  <c r="BX508" i="50"/>
  <c r="BD518" i="50"/>
  <c r="BD519" i="50"/>
  <c r="BA1330" i="50"/>
  <c r="K1330" i="50"/>
  <c r="AZ1330" i="50"/>
  <c r="AJ1216" i="50"/>
  <c r="AT1216" i="50" s="1"/>
  <c r="AU1216" i="50" s="1"/>
  <c r="I1216" i="50"/>
  <c r="I460" i="50"/>
  <c r="AJ460" i="50"/>
  <c r="AT460" i="50" s="1"/>
  <c r="AU460" i="50" s="1"/>
  <c r="AJ265" i="50"/>
  <c r="BS256" i="50" s="1"/>
  <c r="I265" i="50"/>
  <c r="AJ768" i="50"/>
  <c r="AT768" i="50" s="1"/>
  <c r="AU768" i="50" s="1"/>
  <c r="I768" i="50"/>
  <c r="BD630" i="50"/>
  <c r="BD631" i="50"/>
  <c r="BX620" i="50"/>
  <c r="AJ1245" i="50"/>
  <c r="BS1236" i="50" s="1"/>
  <c r="I1245" i="50"/>
  <c r="BD742" i="50"/>
  <c r="BX732" i="50"/>
  <c r="BD743" i="50"/>
  <c r="AZ271" i="50"/>
  <c r="BA271" i="50"/>
  <c r="I1189" i="50"/>
  <c r="AJ1189" i="50"/>
  <c r="BS1180" i="50" s="1"/>
  <c r="AX445" i="50"/>
  <c r="M445" i="50" s="1"/>
  <c r="BP424" i="50"/>
  <c r="BL424" i="50" s="1"/>
  <c r="I326" i="50"/>
  <c r="AS326" i="50"/>
  <c r="AU326" i="50" s="1"/>
  <c r="AW1051" i="50"/>
  <c r="AX1051" i="50" s="1"/>
  <c r="AW1358" i="50"/>
  <c r="AX1358" i="50" s="1"/>
  <c r="K1358" i="50"/>
  <c r="AZ1358" i="50"/>
  <c r="BA1358" i="50"/>
  <c r="BA827" i="50"/>
  <c r="K827" i="50"/>
  <c r="AZ827" i="50"/>
  <c r="AS915" i="50"/>
  <c r="AU915" i="50" s="1"/>
  <c r="I915" i="50"/>
  <c r="I971" i="50"/>
  <c r="AS971" i="50"/>
  <c r="AU971" i="50" s="1"/>
  <c r="AW971" i="50" s="1"/>
  <c r="AX971" i="50" s="1"/>
  <c r="AS1109" i="50"/>
  <c r="AU1109" i="50" s="1"/>
  <c r="I1109" i="50"/>
  <c r="AS325" i="50"/>
  <c r="AU325" i="50" s="1"/>
  <c r="I325" i="50"/>
  <c r="AW746" i="50"/>
  <c r="AX746" i="50" s="1"/>
  <c r="BA746" i="50"/>
  <c r="AZ746" i="50"/>
  <c r="AS100" i="50"/>
  <c r="AU100" i="50" s="1"/>
  <c r="I100" i="50"/>
  <c r="I852" i="50"/>
  <c r="AJ852" i="50"/>
  <c r="AT852" i="50" s="1"/>
  <c r="AU852" i="50" s="1"/>
  <c r="AJ908" i="50"/>
  <c r="I908" i="50"/>
  <c r="AW522" i="50"/>
  <c r="AX522" i="50" s="1"/>
  <c r="BA411" i="50"/>
  <c r="AZ411" i="50"/>
  <c r="AS408" i="50"/>
  <c r="AU408" i="50" s="1"/>
  <c r="I408" i="50"/>
  <c r="AZ718" i="50"/>
  <c r="BA718" i="50"/>
  <c r="AJ97" i="50"/>
  <c r="BS88" i="50" s="1"/>
  <c r="I97" i="50"/>
  <c r="I180" i="50"/>
  <c r="AJ180" i="50"/>
  <c r="AT180" i="50" s="1"/>
  <c r="AU180" i="50" s="1"/>
  <c r="I298" i="50"/>
  <c r="AS298" i="50"/>
  <c r="AU298" i="50" s="1"/>
  <c r="AW298" i="50" s="1"/>
  <c r="AX298" i="50" s="1"/>
  <c r="AW967" i="50"/>
  <c r="AX967" i="50" s="1"/>
  <c r="BA967" i="50"/>
  <c r="AZ967" i="50"/>
  <c r="K967" i="50"/>
  <c r="AW1248" i="50"/>
  <c r="AX1248" i="50" s="1"/>
  <c r="BA1248" i="50"/>
  <c r="AZ1248" i="50"/>
  <c r="AJ1105" i="50"/>
  <c r="BS1096" i="50" s="1"/>
  <c r="I1105" i="50"/>
  <c r="AW1276" i="50"/>
  <c r="AX1276" i="50" s="1"/>
  <c r="AZ1276" i="50"/>
  <c r="BA1276" i="50"/>
  <c r="BX760" i="50"/>
  <c r="BD770" i="50"/>
  <c r="BD771" i="50"/>
  <c r="K1275" i="50"/>
  <c r="AZ1275" i="50"/>
  <c r="BA1275" i="50"/>
  <c r="AW270" i="50"/>
  <c r="AX270" i="50" s="1"/>
  <c r="BA270" i="50"/>
  <c r="AZ270" i="50"/>
  <c r="AW493" i="50"/>
  <c r="AX493" i="50" s="1"/>
  <c r="AZ493" i="50"/>
  <c r="BA493" i="50"/>
  <c r="I348" i="50"/>
  <c r="AJ348" i="50"/>
  <c r="BD547" i="50"/>
  <c r="BD546" i="50"/>
  <c r="BX536" i="50"/>
  <c r="AW464" i="50"/>
  <c r="AX464" i="50" s="1"/>
  <c r="AZ464" i="50"/>
  <c r="BA464" i="50"/>
  <c r="AZ606" i="50"/>
  <c r="BA606" i="50"/>
  <c r="BX704" i="50"/>
  <c r="BD715" i="50"/>
  <c r="BD714" i="50"/>
  <c r="I1160" i="50"/>
  <c r="AJ1160" i="50"/>
  <c r="AJ1217" i="50"/>
  <c r="BS1208" i="50" s="1"/>
  <c r="I1217" i="50"/>
  <c r="BX1208" i="50"/>
  <c r="BD1218" i="50"/>
  <c r="BD1219" i="50"/>
  <c r="AZ547" i="50"/>
  <c r="BA547" i="50"/>
  <c r="K547" i="50"/>
  <c r="I880" i="50"/>
  <c r="AJ880" i="50"/>
  <c r="AT880" i="50" s="1"/>
  <c r="AU880" i="50" s="1"/>
  <c r="I236" i="50"/>
  <c r="AJ236" i="50"/>
  <c r="AT236" i="50" s="1"/>
  <c r="AU236" i="50" s="1"/>
  <c r="BP284" i="50"/>
  <c r="BL284" i="50" s="1"/>
  <c r="AX305" i="50"/>
  <c r="M305" i="50" s="1"/>
  <c r="BD1190" i="50"/>
  <c r="BX1180" i="50"/>
  <c r="BD1191" i="50"/>
  <c r="AZ1022" i="50"/>
  <c r="K1022" i="50"/>
  <c r="BA1022" i="50"/>
  <c r="AW491" i="50"/>
  <c r="AX491" i="50" s="1"/>
  <c r="K491" i="50"/>
  <c r="BA491" i="50"/>
  <c r="AZ491" i="50"/>
  <c r="BD575" i="50"/>
  <c r="BD574" i="50"/>
  <c r="BX564" i="50"/>
  <c r="I410" i="50"/>
  <c r="AS410" i="50"/>
  <c r="AU410" i="50" s="1"/>
  <c r="AS243" i="50"/>
  <c r="AU243" i="50" s="1"/>
  <c r="I243" i="50"/>
  <c r="AS381" i="50"/>
  <c r="AU381" i="50" s="1"/>
  <c r="I381" i="50"/>
  <c r="AW1025" i="50"/>
  <c r="AX1025" i="50" s="1"/>
  <c r="BA1025" i="50"/>
  <c r="AZ1025" i="50"/>
  <c r="I299" i="50"/>
  <c r="AS299" i="50"/>
  <c r="AU299" i="50" s="1"/>
  <c r="AS943" i="50"/>
  <c r="AU943" i="50" s="1"/>
  <c r="I943" i="50"/>
  <c r="AW242" i="50"/>
  <c r="AX242" i="50" s="1"/>
  <c r="BA242" i="50"/>
  <c r="AZ242" i="50"/>
  <c r="BC1197" i="50"/>
  <c r="M1197" i="50" s="1"/>
  <c r="BC357" i="50"/>
  <c r="M357" i="50" s="1"/>
  <c r="AW99" i="50"/>
  <c r="AX99" i="50" s="1"/>
  <c r="K99" i="50"/>
  <c r="AZ99" i="50"/>
  <c r="AW210" i="50"/>
  <c r="AX210" i="50" s="1"/>
  <c r="BA210" i="50"/>
  <c r="AZ210" i="50"/>
  <c r="K210" i="50"/>
  <c r="K1443" i="50"/>
  <c r="BA1443" i="50"/>
  <c r="AZ1443" i="50"/>
  <c r="AZ518" i="50"/>
  <c r="K518" i="50"/>
  <c r="BX1320" i="50"/>
  <c r="BD1331" i="50"/>
  <c r="BD1330" i="50"/>
  <c r="AJ1412" i="50"/>
  <c r="AT1412" i="50" s="1"/>
  <c r="AU1412" i="50" s="1"/>
  <c r="I1412" i="50"/>
  <c r="AW1162" i="50"/>
  <c r="AX1162" i="50" s="1"/>
  <c r="K1162" i="50"/>
  <c r="BA1162" i="50"/>
  <c r="AZ1162" i="50"/>
  <c r="AW854" i="50"/>
  <c r="AX854" i="50" s="1"/>
  <c r="K854" i="50"/>
  <c r="BA854" i="50"/>
  <c r="AZ854" i="50"/>
  <c r="I489" i="50"/>
  <c r="AJ489" i="50"/>
  <c r="BS480" i="50" s="1"/>
  <c r="AZ858" i="50"/>
  <c r="BA858" i="50"/>
  <c r="I634" i="50"/>
  <c r="AS634" i="50"/>
  <c r="AU634" i="50" s="1"/>
  <c r="AW634" i="50" s="1"/>
  <c r="AX634" i="50" s="1"/>
  <c r="I605" i="50"/>
  <c r="AS605" i="50"/>
  <c r="AU605" i="50" s="1"/>
  <c r="AW605" i="50" s="1"/>
  <c r="AX605" i="50" s="1"/>
  <c r="AJ573" i="50"/>
  <c r="BS564" i="50" s="1"/>
  <c r="I573" i="50"/>
  <c r="AJ377" i="50"/>
  <c r="BS368" i="50" s="1"/>
  <c r="I377" i="50"/>
  <c r="BA1135" i="50"/>
  <c r="AZ1135" i="50"/>
  <c r="K1135" i="50"/>
  <c r="BA855" i="50"/>
  <c r="AZ855" i="50"/>
  <c r="K855" i="50"/>
  <c r="I349" i="50"/>
  <c r="AJ349" i="50"/>
  <c r="BS340" i="50" s="1"/>
  <c r="K1163" i="50"/>
  <c r="BA1163" i="50"/>
  <c r="AZ1163" i="50"/>
  <c r="AZ742" i="50"/>
  <c r="BA742" i="50"/>
  <c r="K742" i="50"/>
  <c r="I517" i="50"/>
  <c r="AJ517" i="50"/>
  <c r="BS508" i="50" s="1"/>
  <c r="AW743" i="50"/>
  <c r="AX743" i="50" s="1"/>
  <c r="BA743" i="50"/>
  <c r="K743" i="50"/>
  <c r="AZ743" i="50"/>
  <c r="I684" i="50"/>
  <c r="AJ684" i="50"/>
  <c r="AT684" i="50" s="1"/>
  <c r="AU684" i="50" s="1"/>
  <c r="AS688" i="50"/>
  <c r="AU688" i="50" s="1"/>
  <c r="AW688" i="50" s="1"/>
  <c r="AX688" i="50" s="1"/>
  <c r="I688" i="50"/>
  <c r="K267" i="50"/>
  <c r="BA267" i="50"/>
  <c r="AZ267" i="50"/>
  <c r="AJ936" i="50"/>
  <c r="AT936" i="50" s="1"/>
  <c r="AU936" i="50" s="1"/>
  <c r="I936" i="50"/>
  <c r="BD602" i="50"/>
  <c r="BX592" i="50"/>
  <c r="BD603" i="50"/>
  <c r="AW323" i="50"/>
  <c r="AX323" i="50" s="1"/>
  <c r="K323" i="50"/>
  <c r="AZ323" i="50"/>
  <c r="BA323" i="50"/>
  <c r="BD1358" i="50"/>
  <c r="BD1359" i="50"/>
  <c r="BX1348" i="50"/>
  <c r="AJ1021" i="50"/>
  <c r="BS1012" i="50" s="1"/>
  <c r="I1021" i="50"/>
  <c r="AW239" i="50"/>
  <c r="AX239" i="50" s="1"/>
  <c r="AZ239" i="50"/>
  <c r="K239" i="50"/>
  <c r="BA239" i="50"/>
  <c r="BX116" i="50"/>
  <c r="BD127" i="50"/>
  <c r="BD126" i="50"/>
  <c r="AW1024" i="50"/>
  <c r="AX1024" i="50" s="1"/>
  <c r="AZ1024" i="50"/>
  <c r="BA1024" i="50"/>
  <c r="AW604" i="50"/>
  <c r="AX604" i="50" s="1"/>
  <c r="AZ604" i="50"/>
  <c r="BA604" i="50"/>
  <c r="AS494" i="50"/>
  <c r="AU494" i="50" s="1"/>
  <c r="AW494" i="50" s="1"/>
  <c r="AX494" i="50" s="1"/>
  <c r="I494" i="50"/>
  <c r="I802" i="50"/>
  <c r="AS802" i="50"/>
  <c r="AU802" i="50" s="1"/>
  <c r="AW1194" i="50"/>
  <c r="AX1194" i="50" s="1"/>
  <c r="AZ1194" i="50"/>
  <c r="BA1194" i="50"/>
  <c r="AS102" i="50"/>
  <c r="AU102" i="50" s="1"/>
  <c r="I102" i="50"/>
  <c r="AJ825" i="50"/>
  <c r="BS816" i="50" s="1"/>
  <c r="I825" i="50"/>
  <c r="I912" i="50"/>
  <c r="AS912" i="50"/>
  <c r="AU912" i="50" s="1"/>
  <c r="AW912" i="50" s="1"/>
  <c r="AX912" i="50" s="1"/>
  <c r="AW968" i="50"/>
  <c r="AX968" i="50" s="1"/>
  <c r="AZ798" i="50"/>
  <c r="BA798" i="50"/>
  <c r="K798" i="50"/>
  <c r="AJ657" i="50"/>
  <c r="BS648" i="50" s="1"/>
  <c r="I657" i="50"/>
  <c r="AW658" i="50"/>
  <c r="AX658" i="50" s="1"/>
  <c r="K658" i="50"/>
  <c r="BA658" i="50"/>
  <c r="AZ658" i="50"/>
  <c r="BD350" i="50"/>
  <c r="BD351" i="50"/>
  <c r="BX340" i="50"/>
  <c r="BX1068" i="50"/>
  <c r="BD1078" i="50"/>
  <c r="BD1079" i="50"/>
  <c r="AW995" i="50"/>
  <c r="AX995" i="50" s="1"/>
  <c r="K995" i="50"/>
  <c r="AZ995" i="50"/>
  <c r="BA995" i="50"/>
  <c r="AJ208" i="50"/>
  <c r="AT208" i="50" s="1"/>
  <c r="AU208" i="50" s="1"/>
  <c r="I208" i="50"/>
  <c r="I1104" i="50"/>
  <c r="AJ1104" i="50"/>
  <c r="AT1104" i="50" s="1"/>
  <c r="AU1104" i="50" s="1"/>
  <c r="AW799" i="50"/>
  <c r="AX799" i="50" s="1"/>
  <c r="BA799" i="50"/>
  <c r="AZ799" i="50"/>
  <c r="K799" i="50"/>
  <c r="AW379" i="50"/>
  <c r="AX379" i="50" s="1"/>
  <c r="BA379" i="50"/>
  <c r="K379" i="50"/>
  <c r="AZ379" i="50"/>
  <c r="I159" i="50"/>
  <c r="AS159" i="50"/>
  <c r="AU159" i="50" s="1"/>
  <c r="AW157" i="50"/>
  <c r="AX157" i="50" s="1"/>
  <c r="BA157" i="50"/>
  <c r="AZ157" i="50"/>
  <c r="AS1333" i="50"/>
  <c r="AU1333" i="50" s="1"/>
  <c r="I1333" i="50"/>
  <c r="AW128" i="50"/>
  <c r="AX128" i="50" s="1"/>
  <c r="BA128" i="50"/>
  <c r="AZ128" i="50"/>
  <c r="BX1264" i="50"/>
  <c r="BD1274" i="50"/>
  <c r="BD1275" i="50"/>
  <c r="I1440" i="50"/>
  <c r="AJ1440" i="50"/>
  <c r="AS1444" i="50"/>
  <c r="AU1444" i="50" s="1"/>
  <c r="AW1444" i="50" s="1"/>
  <c r="AX1444" i="50" s="1"/>
  <c r="I1444" i="50"/>
  <c r="AJ1329" i="50"/>
  <c r="BS1320" i="50" s="1"/>
  <c r="I1329" i="50"/>
  <c r="BP676" i="50"/>
  <c r="BL676" i="50" s="1"/>
  <c r="AX697" i="50"/>
  <c r="M697" i="50" s="1"/>
  <c r="AZ1334" i="50"/>
  <c r="BA1334" i="50"/>
  <c r="I1077" i="50"/>
  <c r="AJ1077" i="50"/>
  <c r="AW327" i="50"/>
  <c r="AX327" i="50" s="1"/>
  <c r="BA327" i="50"/>
  <c r="AZ327" i="50"/>
  <c r="BA1442" i="50"/>
  <c r="K1442" i="50"/>
  <c r="AZ1442" i="50"/>
  <c r="AZ546" i="50"/>
  <c r="BA546" i="50"/>
  <c r="K546" i="50"/>
  <c r="AZ719" i="50"/>
  <c r="BA719" i="50"/>
  <c r="AW830" i="50"/>
  <c r="AX830" i="50" s="1"/>
  <c r="BA830" i="50"/>
  <c r="AZ830" i="50"/>
  <c r="AW828" i="50"/>
  <c r="AX828" i="50" s="1"/>
  <c r="BA828" i="50"/>
  <c r="AZ828" i="50"/>
  <c r="AX1453" i="50"/>
  <c r="M1453" i="50" s="1"/>
  <c r="BP1432" i="50"/>
  <c r="BL1432" i="50" s="1"/>
  <c r="AW1191" i="50"/>
  <c r="AX1191" i="50" s="1"/>
  <c r="K1191" i="50"/>
  <c r="AZ1191" i="50"/>
  <c r="BA1191" i="50"/>
  <c r="AJ432" i="50"/>
  <c r="AT432" i="50" s="1"/>
  <c r="AU432" i="50" s="1"/>
  <c r="I432" i="50"/>
  <c r="AW1247" i="50"/>
  <c r="AX1247" i="50" s="1"/>
  <c r="AZ1247" i="50"/>
  <c r="BA1247" i="50"/>
  <c r="K1247" i="50"/>
  <c r="BD1050" i="50"/>
  <c r="BX1040" i="50"/>
  <c r="BD1051" i="50"/>
  <c r="AW997" i="50"/>
  <c r="AX997" i="50" s="1"/>
  <c r="BA997" i="50"/>
  <c r="AZ997" i="50"/>
  <c r="AW1022" i="50"/>
  <c r="AX1022" i="50" s="1"/>
  <c r="I1026" i="50"/>
  <c r="AS1026" i="50"/>
  <c r="AU1026" i="50" s="1"/>
  <c r="BX1236" i="50"/>
  <c r="BD1247" i="50"/>
  <c r="BD1246" i="50"/>
  <c r="I690" i="50"/>
  <c r="AS690" i="50"/>
  <c r="AU690" i="50" s="1"/>
  <c r="AW690" i="50" s="1"/>
  <c r="AX690" i="50" s="1"/>
  <c r="AX809" i="50"/>
  <c r="M809" i="50" s="1"/>
  <c r="BP788" i="50"/>
  <c r="BL788" i="50" s="1"/>
  <c r="AW884" i="50"/>
  <c r="AX884" i="50" s="1"/>
  <c r="AZ884" i="50"/>
  <c r="BA884" i="50"/>
  <c r="AJ1413" i="50"/>
  <c r="BS1404" i="50" s="1"/>
  <c r="I1413" i="50"/>
  <c r="AW575" i="50"/>
  <c r="AX575" i="50" s="1"/>
  <c r="BA575" i="50"/>
  <c r="K575" i="50"/>
  <c r="AZ575" i="50"/>
  <c r="AX557" i="50"/>
  <c r="M557" i="50" s="1"/>
  <c r="BP536" i="50"/>
  <c r="BL536" i="50" s="1"/>
  <c r="BC777" i="50"/>
  <c r="M777" i="50" s="1"/>
  <c r="AX781" i="50"/>
  <c r="M781" i="50" s="1"/>
  <c r="BP760" i="50"/>
  <c r="BL760" i="50" s="1"/>
  <c r="AX669" i="50"/>
  <c r="M669" i="50" s="1"/>
  <c r="BP648" i="50"/>
  <c r="BL648" i="50" s="1"/>
  <c r="AW434" i="50"/>
  <c r="AX434" i="50" s="1"/>
  <c r="AZ434" i="50"/>
  <c r="K434" i="50"/>
  <c r="BA434" i="50"/>
  <c r="BX200" i="50"/>
  <c r="BD210" i="50"/>
  <c r="BD211" i="50"/>
  <c r="I1418" i="50"/>
  <c r="AS1418" i="50"/>
  <c r="AU1418" i="50" s="1"/>
  <c r="AW1359" i="50"/>
  <c r="AX1359" i="50" s="1"/>
  <c r="BA1359" i="50"/>
  <c r="AZ1359" i="50"/>
  <c r="K1359" i="50"/>
  <c r="BX1152" i="50"/>
  <c r="BD1162" i="50"/>
  <c r="BD1163" i="50"/>
  <c r="BD854" i="50"/>
  <c r="BX844" i="50"/>
  <c r="BD855" i="50"/>
  <c r="I909" i="50"/>
  <c r="AJ909" i="50"/>
  <c r="BS900" i="50" s="1"/>
  <c r="AJ433" i="50"/>
  <c r="BS424" i="50" s="1"/>
  <c r="I433" i="50"/>
  <c r="I1221" i="50"/>
  <c r="AS1221" i="50"/>
  <c r="AU1221" i="50" s="1"/>
  <c r="AW1221" i="50" s="1"/>
  <c r="AX1221" i="50" s="1"/>
  <c r="AS661" i="50"/>
  <c r="AU661" i="50" s="1"/>
  <c r="I661" i="50"/>
  <c r="BP340" i="50"/>
  <c r="BL340" i="50" s="1"/>
  <c r="AX361" i="50"/>
  <c r="M361" i="50" s="1"/>
  <c r="BA659" i="50"/>
  <c r="AZ659" i="50"/>
  <c r="K659" i="50"/>
  <c r="AW1414" i="50"/>
  <c r="AX1414" i="50" s="1"/>
  <c r="K1414" i="50"/>
  <c r="AZ1414" i="50"/>
  <c r="BA1414" i="50"/>
  <c r="AW439" i="50"/>
  <c r="AX439" i="50" s="1"/>
  <c r="BA439" i="50"/>
  <c r="AZ439" i="50"/>
  <c r="I321" i="50"/>
  <c r="AJ321" i="50"/>
  <c r="BS312" i="50" s="1"/>
  <c r="AJ153" i="50"/>
  <c r="BS144" i="50" s="1"/>
  <c r="I153" i="50"/>
  <c r="I881" i="50"/>
  <c r="AJ881" i="50"/>
  <c r="BS872" i="50" s="1"/>
  <c r="I941" i="50"/>
  <c r="AS941" i="50"/>
  <c r="AU941" i="50" s="1"/>
  <c r="I607" i="50"/>
  <c r="AS607" i="50"/>
  <c r="AU607" i="50" s="1"/>
  <c r="AW607" i="50" s="1"/>
  <c r="AX607" i="50" s="1"/>
  <c r="BA637" i="50"/>
  <c r="BP620" i="50"/>
  <c r="BL620" i="50" s="1"/>
  <c r="AX641" i="50"/>
  <c r="M641" i="50" s="1"/>
  <c r="K126" i="50"/>
  <c r="BA126" i="50"/>
  <c r="AZ126" i="50"/>
  <c r="I887" i="50"/>
  <c r="AS887" i="50"/>
  <c r="AU887" i="50" s="1"/>
  <c r="AS576" i="50"/>
  <c r="AU576" i="50" s="1"/>
  <c r="I576" i="50"/>
  <c r="AZ1417" i="50"/>
  <c r="BA1417" i="50"/>
  <c r="I103" i="50"/>
  <c r="AS103" i="50"/>
  <c r="AU103" i="50" s="1"/>
  <c r="AJ545" i="50"/>
  <c r="BS536" i="50" s="1"/>
  <c r="I545" i="50"/>
  <c r="AW549" i="50"/>
  <c r="AX549" i="50" s="1"/>
  <c r="BA549" i="50"/>
  <c r="AZ549" i="50"/>
  <c r="AW603" i="50"/>
  <c r="AX603" i="50" s="1"/>
  <c r="K603" i="50"/>
  <c r="BA603" i="50"/>
  <c r="AZ603" i="50"/>
  <c r="BX788" i="50"/>
  <c r="BD799" i="50"/>
  <c r="BD798" i="50"/>
  <c r="AS662" i="50"/>
  <c r="AU662" i="50" s="1"/>
  <c r="AW662" i="50" s="1"/>
  <c r="AX662" i="50" s="1"/>
  <c r="I662" i="50"/>
  <c r="AS354" i="50"/>
  <c r="AU354" i="50" s="1"/>
  <c r="I354" i="50"/>
  <c r="AW1223" i="50"/>
  <c r="AX1223" i="50" s="1"/>
  <c r="BA1223" i="50"/>
  <c r="AZ1223" i="50"/>
  <c r="AW1078" i="50"/>
  <c r="AX1078" i="50" s="1"/>
  <c r="AZ1078" i="50"/>
  <c r="K1078" i="50"/>
  <c r="BA1078" i="50"/>
  <c r="AJ320" i="50"/>
  <c r="AT320" i="50" s="1"/>
  <c r="AU320" i="50" s="1"/>
  <c r="I320" i="50"/>
  <c r="AW1415" i="50"/>
  <c r="AX1415" i="50" s="1"/>
  <c r="AZ1415" i="50"/>
  <c r="BA1415" i="50"/>
  <c r="K1415" i="50"/>
  <c r="AJ1049" i="50"/>
  <c r="BS1040" i="50" s="1"/>
  <c r="I1049" i="50"/>
  <c r="I181" i="50"/>
  <c r="AJ181" i="50"/>
  <c r="BS172" i="50" s="1"/>
  <c r="AW154" i="50"/>
  <c r="AX154" i="50" s="1"/>
  <c r="K154" i="50"/>
  <c r="BA154" i="50"/>
  <c r="AZ154" i="50"/>
  <c r="AW663" i="50"/>
  <c r="AX663" i="50" s="1"/>
  <c r="AZ663" i="50"/>
  <c r="BA663" i="50"/>
  <c r="BC1029" i="50"/>
  <c r="M1029" i="50" s="1"/>
  <c r="AS1278" i="50"/>
  <c r="AU1278" i="50" s="1"/>
  <c r="I1278" i="50"/>
  <c r="AW1331" i="50"/>
  <c r="AX1331" i="50" s="1"/>
  <c r="AW770" i="50"/>
  <c r="AX770" i="50" s="1"/>
  <c r="AZ770" i="50"/>
  <c r="BA770" i="50"/>
  <c r="K770" i="50"/>
  <c r="I628" i="50"/>
  <c r="AJ628" i="50"/>
  <c r="AT628" i="50" s="1"/>
  <c r="AU628" i="50" s="1"/>
  <c r="I405" i="50"/>
  <c r="AJ405" i="50"/>
  <c r="BS396" i="50" s="1"/>
  <c r="AZ1419" i="50"/>
  <c r="BA1419" i="50"/>
  <c r="BP1376" i="50"/>
  <c r="BL1376" i="50" s="1"/>
  <c r="AX1397" i="50"/>
  <c r="M1397" i="50" s="1"/>
  <c r="BC1393" i="50"/>
  <c r="M1393" i="50" s="1"/>
  <c r="AZ773" i="50"/>
  <c r="BA773" i="50"/>
  <c r="AW1193" i="50"/>
  <c r="AX1193" i="50" s="1"/>
  <c r="BA1193" i="50"/>
  <c r="AZ1193" i="50"/>
  <c r="AW801" i="50"/>
  <c r="AX801" i="50" s="1"/>
  <c r="AZ801" i="50"/>
  <c r="BA801" i="50"/>
  <c r="BC329" i="50"/>
  <c r="M329" i="50" s="1"/>
  <c r="BC1057" i="50"/>
  <c r="M1057" i="50" s="1"/>
  <c r="K714" i="50"/>
  <c r="BA714" i="50"/>
  <c r="AZ714" i="50"/>
  <c r="BP480" i="50"/>
  <c r="BL480" i="50" s="1"/>
  <c r="AX501" i="50"/>
  <c r="M501" i="50" s="1"/>
  <c r="BC497" i="50"/>
  <c r="M497" i="50" s="1"/>
  <c r="I937" i="50"/>
  <c r="AJ937" i="50"/>
  <c r="BS928" i="50" s="1"/>
  <c r="AW1218" i="50"/>
  <c r="AX1218" i="50" s="1"/>
  <c r="AW547" i="50"/>
  <c r="AX547" i="50" s="1"/>
  <c r="I1361" i="50"/>
  <c r="AS1361" i="50"/>
  <c r="AU1361" i="50" s="1"/>
  <c r="AW1190" i="50"/>
  <c r="AX1190" i="50" s="1"/>
  <c r="K1190" i="50"/>
  <c r="AZ1190" i="50"/>
  <c r="BA1190" i="50"/>
  <c r="I685" i="50"/>
  <c r="AJ685" i="50"/>
  <c r="BS676" i="50" s="1"/>
  <c r="AW407" i="50"/>
  <c r="AX407" i="50" s="1"/>
  <c r="AW463" i="50"/>
  <c r="AX463" i="50" s="1"/>
  <c r="AZ463" i="50"/>
  <c r="BA463" i="50"/>
  <c r="K463" i="50"/>
  <c r="AS520" i="50"/>
  <c r="AU520" i="50" s="1"/>
  <c r="AW520" i="50" s="1"/>
  <c r="AX520" i="50" s="1"/>
  <c r="I520" i="50"/>
  <c r="AS1304" i="50"/>
  <c r="AU1304" i="50" s="1"/>
  <c r="I1304" i="50"/>
  <c r="AS969" i="50"/>
  <c r="AU969" i="50" s="1"/>
  <c r="I969" i="50"/>
  <c r="AJ237" i="50"/>
  <c r="I237" i="50"/>
  <c r="BC413" i="50"/>
  <c r="M413" i="50" s="1"/>
  <c r="BP396" i="50"/>
  <c r="BL396" i="50" s="1"/>
  <c r="AX417" i="50"/>
  <c r="M417" i="50" s="1"/>
  <c r="BC189" i="50"/>
  <c r="M189" i="50" s="1"/>
  <c r="BD686" i="50"/>
  <c r="BD687" i="50"/>
  <c r="BX676" i="50"/>
  <c r="AW631" i="50"/>
  <c r="AX631" i="50" s="1"/>
  <c r="K631" i="50"/>
  <c r="AZ631" i="50"/>
  <c r="BA631" i="50"/>
  <c r="AW994" i="50"/>
  <c r="AX994" i="50" s="1"/>
  <c r="BA994" i="50"/>
  <c r="AZ994" i="50"/>
  <c r="K994" i="50"/>
  <c r="AW214" i="50"/>
  <c r="AX214" i="50" s="1"/>
  <c r="AZ214" i="50"/>
  <c r="BA214" i="50"/>
  <c r="I1389" i="50"/>
  <c r="AS1389" i="50"/>
  <c r="AU1389" i="50" s="1"/>
  <c r="AW1389" i="50" s="1"/>
  <c r="AX1389" i="50" s="1"/>
  <c r="AW940" i="50"/>
  <c r="AX940" i="50" s="1"/>
  <c r="BA940" i="50"/>
  <c r="AZ940" i="50"/>
  <c r="AW1166" i="50"/>
  <c r="AX1166" i="50" s="1"/>
  <c r="AZ1166" i="50"/>
  <c r="BA1166" i="50"/>
  <c r="BP1404" i="50"/>
  <c r="BL1404" i="50" s="1"/>
  <c r="AX1425" i="50"/>
  <c r="M1425" i="50" s="1"/>
  <c r="AX1089" i="50"/>
  <c r="M1089" i="50" s="1"/>
  <c r="BP1068" i="50"/>
  <c r="BL1068" i="50" s="1"/>
  <c r="AJ488" i="50"/>
  <c r="AT488" i="50" s="1"/>
  <c r="AU488" i="50" s="1"/>
  <c r="I488" i="50"/>
  <c r="AX221" i="50"/>
  <c r="M221" i="50" s="1"/>
  <c r="BP200" i="50"/>
  <c r="BL200" i="50" s="1"/>
  <c r="AJ1441" i="50"/>
  <c r="BS1432" i="50" s="1"/>
  <c r="I1441" i="50"/>
  <c r="AW295" i="50"/>
  <c r="AX295" i="50" s="1"/>
  <c r="BA295" i="50"/>
  <c r="K295" i="50"/>
  <c r="AZ295" i="50"/>
  <c r="AJ1272" i="50"/>
  <c r="I1272" i="50"/>
  <c r="AW938" i="50"/>
  <c r="AX938" i="50" s="1"/>
  <c r="K938" i="50"/>
  <c r="AZ938" i="50"/>
  <c r="BA938" i="50"/>
  <c r="AW996" i="50"/>
  <c r="AX996" i="50" s="1"/>
  <c r="AZ996" i="50"/>
  <c r="BA996" i="50"/>
  <c r="AS831" i="50"/>
  <c r="AU831" i="50" s="1"/>
  <c r="I831" i="50"/>
  <c r="AX921" i="50"/>
  <c r="M921" i="50" s="1"/>
  <c r="BP900" i="50"/>
  <c r="BL900" i="50" s="1"/>
  <c r="AW1277" i="50"/>
  <c r="AX1277" i="50" s="1"/>
  <c r="AZ1277" i="50"/>
  <c r="BA1277" i="50"/>
  <c r="AS914" i="50"/>
  <c r="AU914" i="50" s="1"/>
  <c r="I914" i="50"/>
  <c r="AS268" i="50"/>
  <c r="AU268" i="50" s="1"/>
  <c r="I268" i="50"/>
  <c r="I1357" i="50"/>
  <c r="AJ1357" i="50"/>
  <c r="AZ495" i="50"/>
  <c r="BA495" i="50"/>
  <c r="AW913" i="50"/>
  <c r="AX913" i="50" s="1"/>
  <c r="BA913" i="50"/>
  <c r="AZ913" i="50"/>
  <c r="BA1387" i="50"/>
  <c r="K1387" i="50"/>
  <c r="AZ1387" i="50"/>
  <c r="AX1313" i="50"/>
  <c r="M1313" i="50" s="1"/>
  <c r="BP1292" i="50"/>
  <c r="BL1292" i="50" s="1"/>
  <c r="BC133" i="50"/>
  <c r="M133" i="50" s="1"/>
  <c r="BP116" i="50"/>
  <c r="BL116" i="50" s="1"/>
  <c r="AX137" i="50"/>
  <c r="M137" i="50" s="1"/>
  <c r="I1384" i="50"/>
  <c r="AJ1384" i="50"/>
  <c r="AT1384" i="50" s="1"/>
  <c r="AU1384" i="50" s="1"/>
  <c r="AW1220" i="50"/>
  <c r="AX1220" i="50" s="1"/>
  <c r="AZ1220" i="50"/>
  <c r="BA1220" i="50"/>
  <c r="AW632" i="50"/>
  <c r="AX632" i="50" s="1"/>
  <c r="AZ632" i="50"/>
  <c r="BA632" i="50"/>
  <c r="AW1053" i="50"/>
  <c r="AX1053" i="50" s="1"/>
  <c r="AZ1053" i="50"/>
  <c r="BA1053" i="50"/>
  <c r="AZ744" i="50"/>
  <c r="BA744" i="50"/>
  <c r="BA130" i="50"/>
  <c r="AZ130" i="50"/>
  <c r="AZ245" i="50"/>
  <c r="BA245" i="50"/>
  <c r="AZ777" i="50"/>
  <c r="BA777" i="50"/>
  <c r="AZ413" i="50"/>
  <c r="BA413" i="50"/>
  <c r="AZ1113" i="50"/>
  <c r="BA1113" i="50"/>
  <c r="AZ833" i="50"/>
  <c r="BA833" i="50"/>
  <c r="AZ1281" i="50"/>
  <c r="BA1281" i="50"/>
  <c r="AZ1029" i="50"/>
  <c r="BA1029" i="50"/>
  <c r="AZ917" i="50"/>
  <c r="BA917" i="50"/>
  <c r="AZ1085" i="50"/>
  <c r="BA1085" i="50"/>
  <c r="AZ1057" i="50"/>
  <c r="BA1057" i="50"/>
  <c r="AZ1309" i="50"/>
  <c r="BA1309" i="50"/>
  <c r="AZ1225" i="50"/>
  <c r="BA1225" i="50"/>
  <c r="AZ1393" i="50"/>
  <c r="BA1393" i="50"/>
  <c r="AW322" i="50"/>
  <c r="AX322" i="50" s="1"/>
  <c r="K322" i="50"/>
  <c r="BA322" i="50"/>
  <c r="AZ322" i="50"/>
  <c r="AW490" i="50"/>
  <c r="AX490" i="50" s="1"/>
  <c r="K490" i="50"/>
  <c r="AZ490" i="50"/>
  <c r="BA490" i="50"/>
  <c r="BA1134" i="50"/>
  <c r="BX1124" i="50"/>
  <c r="BD1135" i="50"/>
  <c r="BD1134" i="50"/>
  <c r="AZ1080" i="50"/>
  <c r="BA1080" i="50"/>
  <c r="K687" i="50"/>
  <c r="BA687" i="50"/>
  <c r="AZ687" i="50"/>
  <c r="I629" i="50"/>
  <c r="AJ629" i="50"/>
  <c r="BS620" i="50" s="1"/>
  <c r="I461" i="50"/>
  <c r="AJ461" i="50"/>
  <c r="BS452" i="50" s="1"/>
  <c r="AW1164" i="50"/>
  <c r="AX1164" i="50" s="1"/>
  <c r="BA1164" i="50"/>
  <c r="AZ1164" i="50"/>
  <c r="AW129" i="50"/>
  <c r="AX129" i="50" s="1"/>
  <c r="BA129" i="50"/>
  <c r="AZ129" i="50"/>
  <c r="BA1335" i="50"/>
  <c r="AZ1335" i="50"/>
  <c r="BP704" i="50"/>
  <c r="BL704" i="50" s="1"/>
  <c r="AX725" i="50"/>
  <c r="M725" i="50" s="1"/>
  <c r="I1139" i="50"/>
  <c r="AS1139" i="50"/>
  <c r="AU1139" i="50" s="1"/>
  <c r="AJ293" i="50"/>
  <c r="I293" i="50"/>
  <c r="I1300" i="50"/>
  <c r="AJ1300" i="50"/>
  <c r="BP256" i="50"/>
  <c r="BL256" i="50" s="1"/>
  <c r="AX277" i="50"/>
  <c r="M277" i="50" s="1"/>
  <c r="AS1054" i="50"/>
  <c r="AU1054" i="50" s="1"/>
  <c r="I1054" i="50"/>
  <c r="BX1012" i="50"/>
  <c r="BD1023" i="50"/>
  <c r="BD1022" i="50"/>
  <c r="AZ574" i="50"/>
  <c r="K574" i="50"/>
  <c r="BA574" i="50"/>
  <c r="BD238" i="50"/>
  <c r="BD239" i="50"/>
  <c r="BX228" i="50"/>
  <c r="I769" i="50"/>
  <c r="AJ769" i="50"/>
  <c r="AW435" i="50"/>
  <c r="AX435" i="50" s="1"/>
  <c r="BA435" i="50"/>
  <c r="K435" i="50"/>
  <c r="AZ435" i="50"/>
  <c r="BA519" i="50"/>
  <c r="AZ519" i="50"/>
  <c r="K519" i="50"/>
  <c r="BD995" i="50"/>
  <c r="BX984" i="50"/>
  <c r="BD994" i="50"/>
  <c r="I376" i="50"/>
  <c r="AJ376" i="50"/>
  <c r="AT376" i="50" s="1"/>
  <c r="AU376" i="50" s="1"/>
  <c r="AW240" i="50"/>
  <c r="AX240" i="50" s="1"/>
  <c r="AZ240" i="50"/>
  <c r="BA240" i="50"/>
  <c r="I1388" i="50"/>
  <c r="AS1388" i="50"/>
  <c r="AU1388" i="50" s="1"/>
  <c r="AZ689" i="50"/>
  <c r="BA689" i="50"/>
  <c r="AZ380" i="50"/>
  <c r="BA380" i="50"/>
  <c r="AJ740" i="50"/>
  <c r="I740" i="50"/>
  <c r="AJ1385" i="50"/>
  <c r="I1385" i="50"/>
  <c r="AS1360" i="50"/>
  <c r="AU1360" i="50" s="1"/>
  <c r="I1360" i="50"/>
  <c r="AW1106" i="50"/>
  <c r="AX1106" i="50" s="1"/>
  <c r="K1106" i="50"/>
  <c r="AZ1106" i="50"/>
  <c r="BA1106" i="50"/>
  <c r="AX977" i="50"/>
  <c r="M977" i="50" s="1"/>
  <c r="BP956" i="50"/>
  <c r="BL956" i="50" s="1"/>
  <c r="BP228" i="50"/>
  <c r="BL228" i="50" s="1"/>
  <c r="AX249" i="50"/>
  <c r="M249" i="50" s="1"/>
  <c r="AX1257" i="50"/>
  <c r="M1257" i="50" s="1"/>
  <c r="BP1236" i="50"/>
  <c r="BL1236" i="50" s="1"/>
  <c r="AJ713" i="50"/>
  <c r="BS704" i="50" s="1"/>
  <c r="I713" i="50"/>
  <c r="I1356" i="50"/>
  <c r="AJ1356" i="50"/>
  <c r="AT1356" i="50" s="1"/>
  <c r="AU1356" i="50" s="1"/>
  <c r="BD406" i="50"/>
  <c r="BD407" i="50"/>
  <c r="BX396" i="50"/>
  <c r="AW1303" i="50"/>
  <c r="AX1303" i="50" s="1"/>
  <c r="AZ1303" i="50"/>
  <c r="K1303" i="50"/>
  <c r="BA1303" i="50"/>
  <c r="BD938" i="50"/>
  <c r="BD939" i="50"/>
  <c r="BX928" i="50"/>
  <c r="AW1079" i="50"/>
  <c r="AX1079" i="50" s="1"/>
  <c r="K1079" i="50"/>
  <c r="BA1079" i="50"/>
  <c r="AZ1079" i="50"/>
  <c r="I656" i="50"/>
  <c r="AJ656" i="50"/>
  <c r="AT656" i="50" s="1"/>
  <c r="AU656" i="50" s="1"/>
  <c r="AS521" i="50"/>
  <c r="AU521" i="50" s="1"/>
  <c r="AW521" i="50" s="1"/>
  <c r="AX521" i="50" s="1"/>
  <c r="I521" i="50"/>
  <c r="BD911" i="50"/>
  <c r="BD910" i="50"/>
  <c r="BX900" i="50"/>
  <c r="AX1173" i="50"/>
  <c r="M1173" i="50" s="1"/>
  <c r="BP1152" i="50"/>
  <c r="BL1152" i="50" s="1"/>
  <c r="AW998" i="50"/>
  <c r="AX998" i="50" s="1"/>
  <c r="BA998" i="50"/>
  <c r="AZ998" i="50"/>
  <c r="AS466" i="50"/>
  <c r="AU466" i="50" s="1"/>
  <c r="AW466" i="50" s="1"/>
  <c r="AX466" i="50" s="1"/>
  <c r="I466" i="50"/>
  <c r="I297" i="50"/>
  <c r="AS297" i="50"/>
  <c r="AU297" i="50" s="1"/>
  <c r="AW297" i="50" s="1"/>
  <c r="AX297" i="50" s="1"/>
  <c r="AW1387" i="50"/>
  <c r="AX1387" i="50" s="1"/>
  <c r="AW1302" i="50"/>
  <c r="AX1302" i="50" s="1"/>
  <c r="K1302" i="50"/>
  <c r="AZ1302" i="50"/>
  <c r="BA1302" i="50"/>
  <c r="BA635" i="50"/>
  <c r="AZ635" i="50"/>
  <c r="BA883" i="50"/>
  <c r="AZ883" i="50"/>
  <c r="K883" i="50"/>
  <c r="AJ824" i="50"/>
  <c r="I824" i="50"/>
  <c r="AW882" i="50"/>
  <c r="AX882" i="50" s="1"/>
  <c r="K882" i="50"/>
  <c r="BA882" i="50"/>
  <c r="AZ882" i="50"/>
  <c r="BD462" i="50"/>
  <c r="BX452" i="50"/>
  <c r="BD463" i="50"/>
  <c r="AW211" i="50"/>
  <c r="AX211" i="50" s="1"/>
  <c r="K211" i="50"/>
  <c r="AZ211" i="50"/>
  <c r="BA211" i="50"/>
  <c r="BD379" i="50"/>
  <c r="BD378" i="50"/>
  <c r="BX368" i="50"/>
  <c r="I741" i="50"/>
  <c r="AJ741" i="50"/>
  <c r="AZ966" i="50"/>
  <c r="K966" i="50"/>
  <c r="BA966" i="50"/>
  <c r="AW1195" i="50"/>
  <c r="AX1195" i="50" s="1"/>
  <c r="AZ1195" i="50"/>
  <c r="BA1195" i="50"/>
  <c r="AW296" i="50"/>
  <c r="AX296" i="50" s="1"/>
  <c r="AZ296" i="50"/>
  <c r="BA296" i="50"/>
  <c r="AZ189" i="50"/>
  <c r="BA189" i="50"/>
  <c r="AZ217" i="50"/>
  <c r="BA217" i="50"/>
  <c r="AZ301" i="50"/>
  <c r="BA301" i="50"/>
  <c r="AZ441" i="50"/>
  <c r="BA441" i="50"/>
  <c r="AZ693" i="50"/>
  <c r="BA693" i="50"/>
  <c r="AZ329" i="50"/>
  <c r="BA329" i="50"/>
  <c r="AZ889" i="50"/>
  <c r="BA889" i="50"/>
  <c r="AZ665" i="50"/>
  <c r="BA665" i="50"/>
  <c r="AZ609" i="50"/>
  <c r="BA609" i="50"/>
  <c r="AZ749" i="50"/>
  <c r="BA749" i="50"/>
  <c r="AZ1337" i="50"/>
  <c r="BA1337" i="50"/>
  <c r="BC1141" i="50"/>
  <c r="M1141" i="50" s="1"/>
  <c r="BC1225" i="50"/>
  <c r="M1225" i="50" s="1"/>
  <c r="BA215" i="50"/>
  <c r="AZ215" i="50"/>
  <c r="AZ184" i="50"/>
  <c r="BA184" i="50"/>
  <c r="AW355" i="50"/>
  <c r="AX355" i="50" s="1"/>
  <c r="BA355" i="50"/>
  <c r="AZ355" i="50"/>
  <c r="K98" i="50"/>
  <c r="AV98" i="50" s="1"/>
  <c r="BA98" i="50" s="1"/>
  <c r="AZ98" i="50"/>
  <c r="AW1219" i="50"/>
  <c r="AX1219" i="50" s="1"/>
  <c r="BA1219" i="50"/>
  <c r="K1219" i="50"/>
  <c r="AZ1219" i="50"/>
  <c r="BA183" i="50"/>
  <c r="AZ183" i="50"/>
  <c r="K183" i="50"/>
  <c r="AX753" i="50"/>
  <c r="M753" i="50" s="1"/>
  <c r="BP732" i="50"/>
  <c r="BL732" i="50" s="1"/>
  <c r="AW771" i="50"/>
  <c r="AX771" i="50" s="1"/>
  <c r="BA771" i="50"/>
  <c r="AZ771" i="50"/>
  <c r="K771" i="50"/>
  <c r="AZ294" i="50"/>
  <c r="K294" i="50"/>
  <c r="AW1137" i="50"/>
  <c r="AX1137" i="50" s="1"/>
  <c r="AZ1137" i="50"/>
  <c r="BA1137" i="50"/>
  <c r="AW383" i="50"/>
  <c r="AX383" i="50" s="1"/>
  <c r="AZ383" i="50"/>
  <c r="BA383" i="50"/>
  <c r="BA633" i="50"/>
  <c r="AZ633" i="50"/>
  <c r="AW1279" i="50"/>
  <c r="AX1279" i="50" s="1"/>
  <c r="BA1279" i="50"/>
  <c r="AZ1279" i="50"/>
  <c r="BP1208" i="50"/>
  <c r="BL1208" i="50" s="1"/>
  <c r="AX1229" i="50"/>
  <c r="M1229" i="50" s="1"/>
  <c r="BA715" i="50"/>
  <c r="K715" i="50"/>
  <c r="AZ715" i="50"/>
  <c r="BP88" i="50"/>
  <c r="BL88" i="50" s="1"/>
  <c r="AX109" i="50"/>
  <c r="M109" i="50" s="1"/>
  <c r="I1132" i="50"/>
  <c r="AJ1132" i="50"/>
  <c r="AW1050" i="50"/>
  <c r="AX1050" i="50" s="1"/>
  <c r="AZ1050" i="50"/>
  <c r="BA1050" i="50"/>
  <c r="K1050" i="50"/>
  <c r="I796" i="50"/>
  <c r="AJ796" i="50"/>
  <c r="AT796" i="50" s="1"/>
  <c r="AU796" i="50" s="1"/>
  <c r="AW1246" i="50"/>
  <c r="AX1246" i="50" s="1"/>
  <c r="K1246" i="50"/>
  <c r="BA1246" i="50"/>
  <c r="AZ1246" i="50"/>
  <c r="AW686" i="50"/>
  <c r="AX686" i="50" s="1"/>
  <c r="K686" i="50"/>
  <c r="AZ686" i="50"/>
  <c r="BA686" i="50"/>
  <c r="AX529" i="50"/>
  <c r="M529" i="50" s="1"/>
  <c r="BP508" i="50"/>
  <c r="BL508" i="50" s="1"/>
  <c r="I1081" i="50"/>
  <c r="AS1081" i="50"/>
  <c r="AU1081" i="50" s="1"/>
  <c r="AW1081" i="50" s="1"/>
  <c r="AX1081" i="50" s="1"/>
  <c r="AW186" i="50"/>
  <c r="AX186" i="50" s="1"/>
  <c r="AZ186" i="50"/>
  <c r="BA186" i="50"/>
  <c r="AJ124" i="50"/>
  <c r="I124" i="50"/>
  <c r="I1048" i="50"/>
  <c r="AJ1048" i="50"/>
  <c r="AT1048" i="50" s="1"/>
  <c r="AU1048" i="50" s="1"/>
  <c r="AW1305" i="50"/>
  <c r="AX1305" i="50" s="1"/>
  <c r="AZ1305" i="50"/>
  <c r="BA1305" i="50"/>
  <c r="AS1110" i="50"/>
  <c r="AU1110" i="50" s="1"/>
  <c r="I1110" i="50"/>
  <c r="I156" i="50"/>
  <c r="AS156" i="50"/>
  <c r="AU156" i="50" s="1"/>
  <c r="AS1192" i="50"/>
  <c r="AU1192" i="50" s="1"/>
  <c r="AW1192" i="50" s="1"/>
  <c r="AX1192" i="50" s="1"/>
  <c r="I1192" i="50"/>
  <c r="AS1111" i="50"/>
  <c r="AU1111" i="50" s="1"/>
  <c r="I1111" i="50"/>
  <c r="BP592" i="50"/>
  <c r="BL592" i="50" s="1"/>
  <c r="AX613" i="50"/>
  <c r="M613" i="50" s="1"/>
  <c r="BP452" i="50"/>
  <c r="BL452" i="50" s="1"/>
  <c r="AX473" i="50"/>
  <c r="M473" i="50" s="1"/>
  <c r="AW406" i="50"/>
  <c r="AX406" i="50" s="1"/>
  <c r="K406" i="50"/>
  <c r="BA406" i="50"/>
  <c r="AZ406" i="50"/>
  <c r="AX389" i="50"/>
  <c r="M389" i="50" s="1"/>
  <c r="BP368" i="50"/>
  <c r="BL368" i="50" s="1"/>
  <c r="AW826" i="50"/>
  <c r="AX826" i="50" s="1"/>
  <c r="BA826" i="50"/>
  <c r="AZ826" i="50"/>
  <c r="K826" i="50"/>
  <c r="BA438" i="50"/>
  <c r="AZ438" i="50"/>
  <c r="AW1165" i="50"/>
  <c r="AX1165" i="50" s="1"/>
  <c r="BA1165" i="50"/>
  <c r="AZ1165" i="50"/>
  <c r="I965" i="50"/>
  <c r="AJ965" i="50"/>
  <c r="BS956" i="50" s="1"/>
  <c r="BA942" i="50"/>
  <c r="AZ942" i="50"/>
  <c r="AW1386" i="50"/>
  <c r="AX1386" i="50" s="1"/>
  <c r="AZ1386" i="50"/>
  <c r="K1386" i="50"/>
  <c r="BA1386" i="50"/>
  <c r="I1133" i="50"/>
  <c r="AJ1133" i="50"/>
  <c r="K1023" i="50"/>
  <c r="AZ1023" i="50"/>
  <c r="BA1023" i="50"/>
  <c r="BX1292" i="50"/>
  <c r="BD1303" i="50"/>
  <c r="BD1302" i="50"/>
  <c r="AX865" i="50"/>
  <c r="M865" i="50" s="1"/>
  <c r="BP844" i="50"/>
  <c r="BL844" i="50" s="1"/>
  <c r="BP928" i="50"/>
  <c r="BL928" i="50" s="1"/>
  <c r="AX949" i="50"/>
  <c r="M949" i="50" s="1"/>
  <c r="AJ1161" i="50"/>
  <c r="I1161" i="50"/>
  <c r="BP1320" i="50"/>
  <c r="BL1320" i="50" s="1"/>
  <c r="AX1341" i="50"/>
  <c r="M1341" i="50" s="1"/>
  <c r="AS829" i="50"/>
  <c r="AU829" i="50" s="1"/>
  <c r="I829" i="50"/>
  <c r="AS886" i="50"/>
  <c r="AU886" i="50" s="1"/>
  <c r="I886" i="50"/>
  <c r="K462" i="50"/>
  <c r="BA462" i="50"/>
  <c r="AZ462" i="50"/>
  <c r="I292" i="50"/>
  <c r="AJ292" i="50"/>
  <c r="AW772" i="50"/>
  <c r="AX772" i="50" s="1"/>
  <c r="AZ772" i="50"/>
  <c r="BA772" i="50"/>
  <c r="K378" i="50"/>
  <c r="AZ378" i="50"/>
  <c r="BA378" i="50"/>
  <c r="AW241" i="50"/>
  <c r="AX241" i="50" s="1"/>
  <c r="AZ241" i="50"/>
  <c r="BA241" i="50"/>
  <c r="AW744" i="50"/>
  <c r="AX744" i="50" s="1"/>
  <c r="BA1138" i="50"/>
  <c r="AZ1138" i="50"/>
  <c r="BX956" i="50"/>
  <c r="BD966" i="50"/>
  <c r="BD967" i="50"/>
  <c r="BA1416" i="50"/>
  <c r="AZ1416" i="50"/>
  <c r="AZ105" i="50"/>
  <c r="BA105" i="50"/>
  <c r="AZ497" i="50"/>
  <c r="BA497" i="50"/>
  <c r="AZ469" i="50"/>
  <c r="BA469" i="50"/>
  <c r="AZ385" i="50"/>
  <c r="BA385" i="50"/>
  <c r="AZ945" i="50"/>
  <c r="BA945" i="50"/>
  <c r="AZ721" i="50"/>
  <c r="BA721" i="50"/>
  <c r="AZ637" i="50"/>
  <c r="AZ1421" i="50"/>
  <c r="BA1421" i="50"/>
  <c r="AZ1169" i="50"/>
  <c r="BA1169" i="50"/>
  <c r="AZ1365" i="50"/>
  <c r="BA1365" i="50"/>
  <c r="BC161" i="50"/>
  <c r="M161" i="50" s="1"/>
  <c r="BC889" i="50"/>
  <c r="M889" i="50" s="1"/>
  <c r="BC1281" i="50"/>
  <c r="M1281" i="50" s="1"/>
  <c r="AX1285" i="50"/>
  <c r="M1285" i="50" s="1"/>
  <c r="BP1264" i="50"/>
  <c r="BL1264" i="50" s="1"/>
  <c r="AJ1301" i="50"/>
  <c r="BS1292" i="50" s="1"/>
  <c r="I1301" i="50"/>
  <c r="BD491" i="50"/>
  <c r="BX480" i="50"/>
  <c r="BD490" i="50"/>
  <c r="AW187" i="50"/>
  <c r="AX187" i="50" s="1"/>
  <c r="BA187" i="50"/>
  <c r="AZ187" i="50"/>
  <c r="AS101" i="50"/>
  <c r="AU101" i="50" s="1"/>
  <c r="I101" i="50"/>
  <c r="BC245" i="50"/>
  <c r="M245" i="50" s="1"/>
  <c r="AS1446" i="50"/>
  <c r="AU1446" i="50" s="1"/>
  <c r="I1446" i="50"/>
  <c r="AW911" i="50"/>
  <c r="AX911" i="50" s="1"/>
  <c r="BA911" i="50"/>
  <c r="AZ911" i="50"/>
  <c r="K911" i="50"/>
  <c r="AW885" i="50"/>
  <c r="AX885" i="50" s="1"/>
  <c r="BA885" i="50"/>
  <c r="AZ885" i="50"/>
  <c r="I572" i="50"/>
  <c r="AJ572" i="50"/>
  <c r="I577" i="50"/>
  <c r="AS577" i="50"/>
  <c r="AU577" i="50" s="1"/>
  <c r="AW800" i="50"/>
  <c r="AX800" i="50" s="1"/>
  <c r="BA800" i="50"/>
  <c r="AZ800" i="50"/>
  <c r="AW158" i="50"/>
  <c r="AX158" i="50" s="1"/>
  <c r="BA158" i="50"/>
  <c r="AZ158" i="50"/>
  <c r="AZ353" i="50"/>
  <c r="BA353" i="50"/>
  <c r="AW775" i="50"/>
  <c r="AX775" i="50" s="1"/>
  <c r="BA775" i="50"/>
  <c r="AZ775" i="50"/>
  <c r="AW324" i="50"/>
  <c r="AX324" i="50" s="1"/>
  <c r="BA324" i="50"/>
  <c r="AZ324" i="50"/>
  <c r="I964" i="50"/>
  <c r="AJ964" i="50"/>
  <c r="AT964" i="50" s="1"/>
  <c r="AU964" i="50" s="1"/>
  <c r="AW1362" i="50"/>
  <c r="AX1362" i="50" s="1"/>
  <c r="BA1362" i="50"/>
  <c r="AZ1362" i="50"/>
  <c r="BD1106" i="50"/>
  <c r="BD1107" i="50"/>
  <c r="BX1096" i="50"/>
  <c r="AZ127" i="50"/>
  <c r="K127" i="50"/>
  <c r="BA127" i="50"/>
  <c r="BP984" i="50"/>
  <c r="BL984" i="50" s="1"/>
  <c r="AX1005" i="50"/>
  <c r="M1005" i="50" s="1"/>
  <c r="AJ1076" i="50"/>
  <c r="I1076" i="50"/>
  <c r="I1390" i="50"/>
  <c r="AS1390" i="50"/>
  <c r="AU1390" i="50" s="1"/>
  <c r="AW1390" i="50" s="1"/>
  <c r="AX1390" i="50" s="1"/>
  <c r="BD826" i="50"/>
  <c r="BD827" i="50"/>
  <c r="BX816" i="50"/>
  <c r="AW910" i="50"/>
  <c r="AX910" i="50" s="1"/>
  <c r="K910" i="50"/>
  <c r="BA910" i="50"/>
  <c r="AZ910" i="50"/>
  <c r="I264" i="50"/>
  <c r="AJ264" i="50"/>
  <c r="I152" i="50"/>
  <c r="AJ152" i="50"/>
  <c r="AW269" i="50"/>
  <c r="AX269" i="50" s="1"/>
  <c r="BA269" i="50"/>
  <c r="AZ269" i="50"/>
  <c r="BX1376" i="50"/>
  <c r="BD1386" i="50"/>
  <c r="BD1387" i="50"/>
  <c r="AS1306" i="50"/>
  <c r="AU1306" i="50" s="1"/>
  <c r="I1306" i="50"/>
  <c r="I516" i="50"/>
  <c r="AJ516" i="50"/>
  <c r="BP816" i="50"/>
  <c r="BL816" i="50" s="1"/>
  <c r="AX837" i="50"/>
  <c r="M837" i="50" s="1"/>
  <c r="AW774" i="50"/>
  <c r="AX774" i="50" s="1"/>
  <c r="BA774" i="50"/>
  <c r="AZ774" i="50"/>
  <c r="BD883" i="50"/>
  <c r="BD882" i="50"/>
  <c r="BX872" i="50"/>
  <c r="AW492" i="50"/>
  <c r="AX492" i="50" s="1"/>
  <c r="BA492" i="50"/>
  <c r="AZ492" i="50"/>
  <c r="AW351" i="50"/>
  <c r="AX351" i="50" s="1"/>
  <c r="K351" i="50"/>
  <c r="BA351" i="50"/>
  <c r="AZ351" i="50"/>
  <c r="AW939" i="50"/>
  <c r="AX939" i="50" s="1"/>
  <c r="K939" i="50"/>
  <c r="AZ939" i="50"/>
  <c r="BA939" i="50"/>
  <c r="AS970" i="50"/>
  <c r="AU970" i="50" s="1"/>
  <c r="I970" i="50"/>
  <c r="AW467" i="50"/>
  <c r="AX467" i="50" s="1"/>
  <c r="AZ467" i="50"/>
  <c r="BA467" i="50"/>
  <c r="AZ409" i="50"/>
  <c r="BA409" i="50"/>
  <c r="AZ437" i="50"/>
  <c r="BA437" i="50"/>
  <c r="AZ1197" i="50"/>
  <c r="BA1197" i="50"/>
  <c r="AZ133" i="50"/>
  <c r="BA133" i="50"/>
  <c r="AZ581" i="50"/>
  <c r="BA581" i="50"/>
  <c r="AZ357" i="50"/>
  <c r="BA357" i="50"/>
  <c r="AZ553" i="50"/>
  <c r="BA553" i="50"/>
  <c r="AZ273" i="50"/>
  <c r="BA273" i="50"/>
  <c r="AZ525" i="50"/>
  <c r="BA525" i="50"/>
  <c r="AZ973" i="50"/>
  <c r="BA973" i="50"/>
  <c r="AZ805" i="50"/>
  <c r="BA805" i="50"/>
  <c r="AZ1001" i="50"/>
  <c r="BA1001" i="50"/>
  <c r="AZ861" i="50"/>
  <c r="BA861" i="50"/>
  <c r="AZ1449" i="50"/>
  <c r="BA1449" i="50"/>
  <c r="AZ1253" i="50"/>
  <c r="BA1253" i="50"/>
  <c r="BC945" i="50"/>
  <c r="M945" i="50" s="1"/>
  <c r="BC441" i="50"/>
  <c r="M441" i="50" s="1"/>
  <c r="BD322" i="50"/>
  <c r="BX312" i="50"/>
  <c r="BD323" i="50"/>
  <c r="AW1281" i="50"/>
  <c r="AX1281" i="50" s="1"/>
  <c r="AW856" i="50"/>
  <c r="AX856" i="50" s="1"/>
  <c r="BA856" i="50"/>
  <c r="AZ856" i="50"/>
  <c r="BC917" i="50"/>
  <c r="M917" i="50" s="1"/>
  <c r="AZ1134" i="50"/>
  <c r="K1134" i="50"/>
  <c r="AJ1188" i="50"/>
  <c r="AT1188" i="50" s="1"/>
  <c r="AU1188" i="50" s="1"/>
  <c r="I1188" i="50"/>
  <c r="BA294" i="50"/>
  <c r="BD295" i="50"/>
  <c r="BX284" i="50"/>
  <c r="BD294" i="50"/>
  <c r="BA550" i="50"/>
  <c r="AZ550" i="50"/>
  <c r="AW1083" i="50"/>
  <c r="AX1083" i="50" s="1"/>
  <c r="AZ1083" i="50"/>
  <c r="BA1083" i="50"/>
  <c r="AW1249" i="50"/>
  <c r="AX1249" i="50" s="1"/>
  <c r="BA1249" i="50"/>
  <c r="AZ1249" i="50"/>
  <c r="BA1447" i="50"/>
  <c r="AZ1447" i="50"/>
  <c r="AW803" i="50"/>
  <c r="AX803" i="50" s="1"/>
  <c r="BA803" i="50"/>
  <c r="AZ803" i="50"/>
  <c r="BC637" i="50"/>
  <c r="M637" i="50" s="1"/>
  <c r="BA1445" i="50"/>
  <c r="AZ1445" i="50"/>
  <c r="AW1335" i="50"/>
  <c r="AX1335" i="50" s="1"/>
  <c r="AN14" i="60"/>
  <c r="AJ14" i="60"/>
  <c r="AM14" i="60"/>
  <c r="AH14" i="60"/>
  <c r="AL14" i="60"/>
  <c r="AG14" i="60"/>
  <c r="AK14" i="60"/>
  <c r="AI14" i="60"/>
  <c r="AT15" i="60"/>
  <c r="AN15" i="60"/>
  <c r="AJ15" i="60"/>
  <c r="AK15" i="60"/>
  <c r="AI15" i="60"/>
  <c r="AM15" i="60"/>
  <c r="AL15" i="60"/>
  <c r="AH15" i="60"/>
  <c r="AG15" i="60"/>
  <c r="AF311" i="66"/>
  <c r="AF312" i="66" s="1"/>
  <c r="AF313" i="66" s="1"/>
  <c r="AF314" i="66" s="1"/>
  <c r="AF315" i="66" s="1"/>
  <c r="AF316" i="66" s="1"/>
  <c r="AF317" i="66" s="1"/>
  <c r="AF318" i="66" s="1"/>
  <c r="AF319" i="66" s="1"/>
  <c r="AF320" i="66" s="1"/>
  <c r="AF321" i="66" s="1"/>
  <c r="AF322" i="66" s="1"/>
  <c r="AF323" i="66" s="1"/>
  <c r="AF324" i="66" s="1"/>
  <c r="AH310" i="66"/>
  <c r="AF426" i="66"/>
  <c r="AF427" i="66" s="1"/>
  <c r="AF428" i="66" s="1"/>
  <c r="AF429" i="66" s="1"/>
  <c r="AF430" i="66" s="1"/>
  <c r="AF431" i="66" s="1"/>
  <c r="AF432" i="66" s="1"/>
  <c r="AF433" i="66" s="1"/>
  <c r="AF434" i="66" s="1"/>
  <c r="AF435" i="66" s="1"/>
  <c r="AF436" i="66" s="1"/>
  <c r="AF437" i="66" s="1"/>
  <c r="AF438" i="66" s="1"/>
  <c r="AF439" i="66" s="1"/>
  <c r="AH425" i="66"/>
  <c r="AG725" i="66"/>
  <c r="AG726" i="66" s="1"/>
  <c r="AG727" i="66" s="1"/>
  <c r="AG728" i="66" s="1"/>
  <c r="AG729" i="66" s="1"/>
  <c r="AG730" i="66" s="1"/>
  <c r="AG731" i="66" s="1"/>
  <c r="AG732" i="66" s="1"/>
  <c r="AG733" i="66" s="1"/>
  <c r="AG734" i="66" s="1"/>
  <c r="AG735" i="66" s="1"/>
  <c r="AG736" i="66" s="1"/>
  <c r="AG737" i="66" s="1"/>
  <c r="AG738" i="66" s="1"/>
  <c r="AI724" i="66"/>
  <c r="AI725" i="66" s="1"/>
  <c r="AI726" i="66" s="1"/>
  <c r="AI727" i="66" s="1"/>
  <c r="AI728" i="66" s="1"/>
  <c r="AI729" i="66" s="1"/>
  <c r="AI730" i="66" s="1"/>
  <c r="AI731" i="66" s="1"/>
  <c r="AI732" i="66" s="1"/>
  <c r="AI733" i="66" s="1"/>
  <c r="AI734" i="66" s="1"/>
  <c r="AI735" i="66" s="1"/>
  <c r="AI736" i="66" s="1"/>
  <c r="AI737" i="66" s="1"/>
  <c r="AI738" i="66" s="1"/>
  <c r="AH701" i="66"/>
  <c r="AF702" i="66"/>
  <c r="AF703" i="66" s="1"/>
  <c r="AF704" i="66" s="1"/>
  <c r="AF705" i="66" s="1"/>
  <c r="AF706" i="66" s="1"/>
  <c r="AF707" i="66" s="1"/>
  <c r="AF708" i="66" s="1"/>
  <c r="AF709" i="66" s="1"/>
  <c r="AF710" i="66" s="1"/>
  <c r="AF711" i="66" s="1"/>
  <c r="AF712" i="66" s="1"/>
  <c r="AF713" i="66" s="1"/>
  <c r="AF714" i="66" s="1"/>
  <c r="AF715" i="66" s="1"/>
  <c r="AG633" i="66"/>
  <c r="AG634" i="66" s="1"/>
  <c r="AG635" i="66" s="1"/>
  <c r="AG636" i="66" s="1"/>
  <c r="AG637" i="66" s="1"/>
  <c r="AG638" i="66" s="1"/>
  <c r="AG639" i="66" s="1"/>
  <c r="AG640" i="66" s="1"/>
  <c r="AG641" i="66" s="1"/>
  <c r="AG642" i="66" s="1"/>
  <c r="AG643" i="66" s="1"/>
  <c r="AG644" i="66" s="1"/>
  <c r="AG645" i="66" s="1"/>
  <c r="AG646" i="66" s="1"/>
  <c r="AI632" i="66"/>
  <c r="AI633" i="66" s="1"/>
  <c r="AI634" i="66" s="1"/>
  <c r="AI635" i="66" s="1"/>
  <c r="AI636" i="66" s="1"/>
  <c r="AI637" i="66" s="1"/>
  <c r="AI638" i="66" s="1"/>
  <c r="AI639" i="66" s="1"/>
  <c r="AI640" i="66" s="1"/>
  <c r="AI641" i="66" s="1"/>
  <c r="AI642" i="66" s="1"/>
  <c r="AI643" i="66" s="1"/>
  <c r="AI644" i="66" s="1"/>
  <c r="AI645" i="66" s="1"/>
  <c r="AI646" i="66" s="1"/>
  <c r="AI586" i="66"/>
  <c r="AI587" i="66" s="1"/>
  <c r="AI588" i="66" s="1"/>
  <c r="AI589" i="66" s="1"/>
  <c r="AI590" i="66" s="1"/>
  <c r="AI591" i="66" s="1"/>
  <c r="AI592" i="66" s="1"/>
  <c r="AI593" i="66" s="1"/>
  <c r="AI594" i="66" s="1"/>
  <c r="AI595" i="66" s="1"/>
  <c r="AI596" i="66" s="1"/>
  <c r="AI597" i="66" s="1"/>
  <c r="AI598" i="66" s="1"/>
  <c r="AI599" i="66" s="1"/>
  <c r="AI600" i="66" s="1"/>
  <c r="AG587" i="66"/>
  <c r="AG588" i="66" s="1"/>
  <c r="AG589" i="66" s="1"/>
  <c r="AG590" i="66" s="1"/>
  <c r="AG591" i="66" s="1"/>
  <c r="AG592" i="66" s="1"/>
  <c r="AG593" i="66" s="1"/>
  <c r="AG594" i="66" s="1"/>
  <c r="AG595" i="66" s="1"/>
  <c r="AG596" i="66" s="1"/>
  <c r="AG597" i="66" s="1"/>
  <c r="AG598" i="66" s="1"/>
  <c r="AG599" i="66" s="1"/>
  <c r="AG600" i="66" s="1"/>
  <c r="AF725" i="66"/>
  <c r="AF726" i="66" s="1"/>
  <c r="AF727" i="66" s="1"/>
  <c r="AF728" i="66" s="1"/>
  <c r="AF729" i="66" s="1"/>
  <c r="AF730" i="66" s="1"/>
  <c r="AF731" i="66" s="1"/>
  <c r="AF732" i="66" s="1"/>
  <c r="AF733" i="66" s="1"/>
  <c r="AF734" i="66" s="1"/>
  <c r="AF735" i="66" s="1"/>
  <c r="AF736" i="66" s="1"/>
  <c r="AF737" i="66" s="1"/>
  <c r="AF738" i="66" s="1"/>
  <c r="AH724" i="66"/>
  <c r="AI747" i="66"/>
  <c r="AI748" i="66" s="1"/>
  <c r="AI749" i="66" s="1"/>
  <c r="AI750" i="66" s="1"/>
  <c r="AI751" i="66" s="1"/>
  <c r="AI752" i="66" s="1"/>
  <c r="AI753" i="66" s="1"/>
  <c r="AI754" i="66" s="1"/>
  <c r="AI755" i="66" s="1"/>
  <c r="AI756" i="66" s="1"/>
  <c r="AI757" i="66" s="1"/>
  <c r="AI758" i="66" s="1"/>
  <c r="AI759" i="66" s="1"/>
  <c r="AI760" i="66" s="1"/>
  <c r="AI761" i="66" s="1"/>
  <c r="AG748" i="66"/>
  <c r="AG749" i="66" s="1"/>
  <c r="AG750" i="66" s="1"/>
  <c r="AG751" i="66" s="1"/>
  <c r="AG752" i="66" s="1"/>
  <c r="AG753" i="66" s="1"/>
  <c r="AG754" i="66" s="1"/>
  <c r="AG755" i="66" s="1"/>
  <c r="AG756" i="66" s="1"/>
  <c r="AG757" i="66" s="1"/>
  <c r="AG758" i="66" s="1"/>
  <c r="AG759" i="66" s="1"/>
  <c r="AG760" i="66" s="1"/>
  <c r="AG761" i="66" s="1"/>
  <c r="AG702" i="66"/>
  <c r="AG703" i="66" s="1"/>
  <c r="AG704" i="66" s="1"/>
  <c r="AG705" i="66" s="1"/>
  <c r="AG706" i="66" s="1"/>
  <c r="AG707" i="66" s="1"/>
  <c r="AG708" i="66" s="1"/>
  <c r="AG709" i="66" s="1"/>
  <c r="AG710" i="66" s="1"/>
  <c r="AG711" i="66" s="1"/>
  <c r="AG712" i="66" s="1"/>
  <c r="AG713" i="66" s="1"/>
  <c r="AG714" i="66" s="1"/>
  <c r="AG715" i="66" s="1"/>
  <c r="AI701" i="66"/>
  <c r="AI702" i="66" s="1"/>
  <c r="AI703" i="66" s="1"/>
  <c r="AI704" i="66" s="1"/>
  <c r="AI705" i="66" s="1"/>
  <c r="AI706" i="66" s="1"/>
  <c r="AI707" i="66" s="1"/>
  <c r="AI708" i="66" s="1"/>
  <c r="AI709" i="66" s="1"/>
  <c r="AI710" i="66" s="1"/>
  <c r="AI711" i="66" s="1"/>
  <c r="AI712" i="66" s="1"/>
  <c r="AI713" i="66" s="1"/>
  <c r="AI714" i="66" s="1"/>
  <c r="AI715" i="66" s="1"/>
  <c r="AH679" i="66"/>
  <c r="AG656" i="66"/>
  <c r="AG657" i="66" s="1"/>
  <c r="AG658" i="66" s="1"/>
  <c r="AG659" i="66" s="1"/>
  <c r="AG660" i="66" s="1"/>
  <c r="AG661" i="66" s="1"/>
  <c r="AG662" i="66" s="1"/>
  <c r="AG663" i="66" s="1"/>
  <c r="AG664" i="66" s="1"/>
  <c r="AG665" i="66" s="1"/>
  <c r="AG666" i="66" s="1"/>
  <c r="AG667" i="66" s="1"/>
  <c r="AG668" i="66" s="1"/>
  <c r="AG669" i="66" s="1"/>
  <c r="AI655" i="66"/>
  <c r="AI656" i="66" s="1"/>
  <c r="AI657" i="66" s="1"/>
  <c r="AI658" i="66" s="1"/>
  <c r="AI659" i="66" s="1"/>
  <c r="AI660" i="66" s="1"/>
  <c r="AI661" i="66" s="1"/>
  <c r="AI662" i="66" s="1"/>
  <c r="AI663" i="66" s="1"/>
  <c r="AI664" i="66" s="1"/>
  <c r="AI665" i="66" s="1"/>
  <c r="AI666" i="66" s="1"/>
  <c r="AI667" i="66" s="1"/>
  <c r="AI668" i="66" s="1"/>
  <c r="AI669" i="66" s="1"/>
  <c r="AF610" i="66"/>
  <c r="AF611" i="66" s="1"/>
  <c r="AF612" i="66" s="1"/>
  <c r="AF613" i="66" s="1"/>
  <c r="AF614" i="66" s="1"/>
  <c r="AF615" i="66" s="1"/>
  <c r="AF616" i="66" s="1"/>
  <c r="AF617" i="66" s="1"/>
  <c r="AF618" i="66" s="1"/>
  <c r="AF619" i="66" s="1"/>
  <c r="AF620" i="66" s="1"/>
  <c r="AF621" i="66" s="1"/>
  <c r="AF622" i="66" s="1"/>
  <c r="AF623" i="66" s="1"/>
  <c r="AH609" i="66"/>
  <c r="AG679" i="66"/>
  <c r="AG680" i="66" s="1"/>
  <c r="AG681" i="66" s="1"/>
  <c r="AG682" i="66" s="1"/>
  <c r="AG683" i="66" s="1"/>
  <c r="AG684" i="66" s="1"/>
  <c r="AG685" i="66" s="1"/>
  <c r="AG686" i="66" s="1"/>
  <c r="AG687" i="66" s="1"/>
  <c r="AG688" i="66" s="1"/>
  <c r="AG689" i="66" s="1"/>
  <c r="AG690" i="66" s="1"/>
  <c r="AG691" i="66" s="1"/>
  <c r="AG692" i="66" s="1"/>
  <c r="AI678" i="66"/>
  <c r="AI679" i="66" s="1"/>
  <c r="AI680" i="66" s="1"/>
  <c r="AI681" i="66" s="1"/>
  <c r="AI682" i="66" s="1"/>
  <c r="AI683" i="66" s="1"/>
  <c r="AI684" i="66" s="1"/>
  <c r="AI685" i="66" s="1"/>
  <c r="AI686" i="66" s="1"/>
  <c r="AI687" i="66" s="1"/>
  <c r="AI688" i="66" s="1"/>
  <c r="AI689" i="66" s="1"/>
  <c r="AI690" i="66" s="1"/>
  <c r="AI691" i="66" s="1"/>
  <c r="AI692" i="66" s="1"/>
  <c r="AI494" i="66"/>
  <c r="AI495" i="66" s="1"/>
  <c r="AI496" i="66" s="1"/>
  <c r="AI497" i="66" s="1"/>
  <c r="AI498" i="66" s="1"/>
  <c r="AI499" i="66" s="1"/>
  <c r="AI500" i="66" s="1"/>
  <c r="AI501" i="66" s="1"/>
  <c r="AI502" i="66" s="1"/>
  <c r="AI503" i="66" s="1"/>
  <c r="AI504" i="66" s="1"/>
  <c r="AI505" i="66" s="1"/>
  <c r="AI506" i="66" s="1"/>
  <c r="AI507" i="66" s="1"/>
  <c r="AI508" i="66" s="1"/>
  <c r="AG495" i="66"/>
  <c r="AG496" i="66" s="1"/>
  <c r="AG497" i="66" s="1"/>
  <c r="AG498" i="66" s="1"/>
  <c r="AG499" i="66" s="1"/>
  <c r="AG500" i="66" s="1"/>
  <c r="AG501" i="66" s="1"/>
  <c r="AG502" i="66" s="1"/>
  <c r="AG503" i="66" s="1"/>
  <c r="AG504" i="66" s="1"/>
  <c r="AG505" i="66" s="1"/>
  <c r="AG506" i="66" s="1"/>
  <c r="AG507" i="66" s="1"/>
  <c r="AG508" i="66" s="1"/>
  <c r="AG564" i="66"/>
  <c r="AG565" i="66" s="1"/>
  <c r="AG566" i="66" s="1"/>
  <c r="AG567" i="66" s="1"/>
  <c r="AG568" i="66" s="1"/>
  <c r="AG569" i="66" s="1"/>
  <c r="AG570" i="66" s="1"/>
  <c r="AG571" i="66" s="1"/>
  <c r="AG572" i="66" s="1"/>
  <c r="AG573" i="66" s="1"/>
  <c r="AG574" i="66" s="1"/>
  <c r="AG575" i="66" s="1"/>
  <c r="AG576" i="66" s="1"/>
  <c r="AG577" i="66" s="1"/>
  <c r="AI563" i="66"/>
  <c r="AI564" i="66" s="1"/>
  <c r="AI565" i="66" s="1"/>
  <c r="AI566" i="66" s="1"/>
  <c r="AI567" i="66" s="1"/>
  <c r="AI568" i="66" s="1"/>
  <c r="AI569" i="66" s="1"/>
  <c r="AI570" i="66" s="1"/>
  <c r="AI571" i="66" s="1"/>
  <c r="AI572" i="66" s="1"/>
  <c r="AI573" i="66" s="1"/>
  <c r="AI574" i="66" s="1"/>
  <c r="AI575" i="66" s="1"/>
  <c r="AI576" i="66" s="1"/>
  <c r="AI577" i="66" s="1"/>
  <c r="AG403" i="66"/>
  <c r="AG404" i="66" s="1"/>
  <c r="AG405" i="66" s="1"/>
  <c r="AG406" i="66" s="1"/>
  <c r="AG407" i="66" s="1"/>
  <c r="AG408" i="66" s="1"/>
  <c r="AG409" i="66" s="1"/>
  <c r="AG410" i="66" s="1"/>
  <c r="AG411" i="66" s="1"/>
  <c r="AG412" i="66" s="1"/>
  <c r="AG413" i="66" s="1"/>
  <c r="AG414" i="66" s="1"/>
  <c r="AG415" i="66" s="1"/>
  <c r="AG416" i="66" s="1"/>
  <c r="AI402" i="66"/>
  <c r="AI403" i="66" s="1"/>
  <c r="AI404" i="66" s="1"/>
  <c r="AI405" i="66" s="1"/>
  <c r="AI406" i="66" s="1"/>
  <c r="AI407" i="66" s="1"/>
  <c r="AI408" i="66" s="1"/>
  <c r="AI409" i="66" s="1"/>
  <c r="AI410" i="66" s="1"/>
  <c r="AI411" i="66" s="1"/>
  <c r="AI412" i="66" s="1"/>
  <c r="AI413" i="66" s="1"/>
  <c r="AI414" i="66" s="1"/>
  <c r="AI415" i="66" s="1"/>
  <c r="AI416" i="66" s="1"/>
  <c r="AF633" i="66"/>
  <c r="AF634" i="66" s="1"/>
  <c r="AF635" i="66" s="1"/>
  <c r="AF636" i="66" s="1"/>
  <c r="AF637" i="66" s="1"/>
  <c r="AF638" i="66" s="1"/>
  <c r="AF639" i="66" s="1"/>
  <c r="AF640" i="66" s="1"/>
  <c r="AF641" i="66" s="1"/>
  <c r="AF642" i="66" s="1"/>
  <c r="AF643" i="66" s="1"/>
  <c r="AF644" i="66" s="1"/>
  <c r="AF645" i="66" s="1"/>
  <c r="AF646" i="66" s="1"/>
  <c r="AH632" i="66"/>
  <c r="AF403" i="66"/>
  <c r="AF404" i="66" s="1"/>
  <c r="AF405" i="66" s="1"/>
  <c r="AF406" i="66" s="1"/>
  <c r="AF407" i="66" s="1"/>
  <c r="AF408" i="66" s="1"/>
  <c r="AF409" i="66" s="1"/>
  <c r="AF410" i="66" s="1"/>
  <c r="AF411" i="66" s="1"/>
  <c r="AF412" i="66" s="1"/>
  <c r="AF413" i="66" s="1"/>
  <c r="AF414" i="66" s="1"/>
  <c r="AF415" i="66" s="1"/>
  <c r="AF416" i="66" s="1"/>
  <c r="AH402" i="66"/>
  <c r="AG357" i="66"/>
  <c r="AG358" i="66" s="1"/>
  <c r="AG359" i="66" s="1"/>
  <c r="AG360" i="66" s="1"/>
  <c r="AG361" i="66" s="1"/>
  <c r="AG362" i="66" s="1"/>
  <c r="AG363" i="66" s="1"/>
  <c r="AG364" i="66" s="1"/>
  <c r="AG365" i="66" s="1"/>
  <c r="AG366" i="66" s="1"/>
  <c r="AG367" i="66" s="1"/>
  <c r="AG368" i="66" s="1"/>
  <c r="AG369" i="66" s="1"/>
  <c r="AG370" i="66" s="1"/>
  <c r="AI356" i="66"/>
  <c r="AI357" i="66" s="1"/>
  <c r="AI358" i="66" s="1"/>
  <c r="AI359" i="66" s="1"/>
  <c r="AI360" i="66" s="1"/>
  <c r="AI361" i="66" s="1"/>
  <c r="AI362" i="66" s="1"/>
  <c r="AI363" i="66" s="1"/>
  <c r="AI364" i="66" s="1"/>
  <c r="AI365" i="66" s="1"/>
  <c r="AI366" i="66" s="1"/>
  <c r="AI367" i="66" s="1"/>
  <c r="AI368" i="66" s="1"/>
  <c r="AI369" i="66" s="1"/>
  <c r="AI370" i="66" s="1"/>
  <c r="AH471" i="66"/>
  <c r="AF472" i="66"/>
  <c r="AF473" i="66" s="1"/>
  <c r="AF474" i="66" s="1"/>
  <c r="AF475" i="66" s="1"/>
  <c r="AF476" i="66" s="1"/>
  <c r="AF477" i="66" s="1"/>
  <c r="AF478" i="66" s="1"/>
  <c r="AF479" i="66" s="1"/>
  <c r="AF480" i="66" s="1"/>
  <c r="AF481" i="66" s="1"/>
  <c r="AF482" i="66" s="1"/>
  <c r="AF483" i="66" s="1"/>
  <c r="AF484" i="66" s="1"/>
  <c r="AF485" i="66" s="1"/>
  <c r="AH747" i="66"/>
  <c r="AF748" i="66"/>
  <c r="AF749" i="66" s="1"/>
  <c r="AF750" i="66" s="1"/>
  <c r="AF751" i="66" s="1"/>
  <c r="AF752" i="66" s="1"/>
  <c r="AF753" i="66" s="1"/>
  <c r="AF754" i="66" s="1"/>
  <c r="AF755" i="66" s="1"/>
  <c r="AF756" i="66" s="1"/>
  <c r="AF757" i="66" s="1"/>
  <c r="AF758" i="66" s="1"/>
  <c r="AF759" i="66" s="1"/>
  <c r="AF760" i="66" s="1"/>
  <c r="AF761" i="66" s="1"/>
  <c r="AI310" i="66"/>
  <c r="AI311" i="66" s="1"/>
  <c r="AI312" i="66" s="1"/>
  <c r="AI313" i="66" s="1"/>
  <c r="AI314" i="66" s="1"/>
  <c r="AI315" i="66" s="1"/>
  <c r="AI316" i="66" s="1"/>
  <c r="AI317" i="66" s="1"/>
  <c r="AI318" i="66" s="1"/>
  <c r="AI319" i="66" s="1"/>
  <c r="AI320" i="66" s="1"/>
  <c r="AI321" i="66" s="1"/>
  <c r="AI322" i="66" s="1"/>
  <c r="AI323" i="66" s="1"/>
  <c r="AI324" i="66" s="1"/>
  <c r="AG311" i="66"/>
  <c r="AG312" i="66" s="1"/>
  <c r="AG313" i="66" s="1"/>
  <c r="AG314" i="66" s="1"/>
  <c r="AG315" i="66" s="1"/>
  <c r="AG316" i="66" s="1"/>
  <c r="AG317" i="66" s="1"/>
  <c r="AG318" i="66" s="1"/>
  <c r="AG319" i="66" s="1"/>
  <c r="AG320" i="66" s="1"/>
  <c r="AG321" i="66" s="1"/>
  <c r="AG322" i="66" s="1"/>
  <c r="AG323" i="66" s="1"/>
  <c r="AG324" i="66" s="1"/>
  <c r="AG610" i="66"/>
  <c r="AG611" i="66" s="1"/>
  <c r="AG612" i="66" s="1"/>
  <c r="AG613" i="66" s="1"/>
  <c r="AG614" i="66" s="1"/>
  <c r="AG615" i="66" s="1"/>
  <c r="AG616" i="66" s="1"/>
  <c r="AG617" i="66" s="1"/>
  <c r="AG618" i="66" s="1"/>
  <c r="AG619" i="66" s="1"/>
  <c r="AG620" i="66" s="1"/>
  <c r="AG621" i="66" s="1"/>
  <c r="AG622" i="66" s="1"/>
  <c r="AG623" i="66" s="1"/>
  <c r="AI609" i="66"/>
  <c r="AI610" i="66" s="1"/>
  <c r="AI611" i="66" s="1"/>
  <c r="AI612" i="66" s="1"/>
  <c r="AI613" i="66" s="1"/>
  <c r="AI614" i="66" s="1"/>
  <c r="AI615" i="66" s="1"/>
  <c r="AI616" i="66" s="1"/>
  <c r="AI617" i="66" s="1"/>
  <c r="AI618" i="66" s="1"/>
  <c r="AI619" i="66" s="1"/>
  <c r="AI620" i="66" s="1"/>
  <c r="AI621" i="66" s="1"/>
  <c r="AI622" i="66" s="1"/>
  <c r="AI623" i="66" s="1"/>
  <c r="AI517" i="66"/>
  <c r="AI518" i="66" s="1"/>
  <c r="AI519" i="66" s="1"/>
  <c r="AI520" i="66" s="1"/>
  <c r="AI521" i="66" s="1"/>
  <c r="AI522" i="66" s="1"/>
  <c r="AI523" i="66" s="1"/>
  <c r="AI524" i="66" s="1"/>
  <c r="AI525" i="66" s="1"/>
  <c r="AI526" i="66" s="1"/>
  <c r="AI527" i="66" s="1"/>
  <c r="AI528" i="66" s="1"/>
  <c r="AI529" i="66" s="1"/>
  <c r="AI530" i="66" s="1"/>
  <c r="AI531" i="66" s="1"/>
  <c r="AG518" i="66"/>
  <c r="AG519" i="66" s="1"/>
  <c r="AG520" i="66" s="1"/>
  <c r="AG521" i="66" s="1"/>
  <c r="AG522" i="66" s="1"/>
  <c r="AG523" i="66" s="1"/>
  <c r="AG524" i="66" s="1"/>
  <c r="AG525" i="66" s="1"/>
  <c r="AG526" i="66" s="1"/>
  <c r="AG527" i="66" s="1"/>
  <c r="AG528" i="66" s="1"/>
  <c r="AG529" i="66" s="1"/>
  <c r="AG530" i="66" s="1"/>
  <c r="AG531" i="66" s="1"/>
  <c r="AI540" i="66"/>
  <c r="AI541" i="66" s="1"/>
  <c r="AI542" i="66" s="1"/>
  <c r="AI543" i="66" s="1"/>
  <c r="AI544" i="66" s="1"/>
  <c r="AI545" i="66" s="1"/>
  <c r="AI546" i="66" s="1"/>
  <c r="AI547" i="66" s="1"/>
  <c r="AI548" i="66" s="1"/>
  <c r="AI549" i="66" s="1"/>
  <c r="AI550" i="66" s="1"/>
  <c r="AI551" i="66" s="1"/>
  <c r="AI552" i="66" s="1"/>
  <c r="AI553" i="66" s="1"/>
  <c r="AI554" i="66" s="1"/>
  <c r="AG541" i="66"/>
  <c r="AG542" i="66" s="1"/>
  <c r="AG543" i="66" s="1"/>
  <c r="AG544" i="66" s="1"/>
  <c r="AG545" i="66" s="1"/>
  <c r="AG546" i="66" s="1"/>
  <c r="AG547" i="66" s="1"/>
  <c r="AG548" i="66" s="1"/>
  <c r="AG549" i="66" s="1"/>
  <c r="AG550" i="66" s="1"/>
  <c r="AG551" i="66" s="1"/>
  <c r="AG552" i="66" s="1"/>
  <c r="AG553" i="66" s="1"/>
  <c r="AG554" i="66" s="1"/>
  <c r="AH586" i="66"/>
  <c r="AF587" i="66"/>
  <c r="AF588" i="66" s="1"/>
  <c r="AF589" i="66" s="1"/>
  <c r="AF590" i="66" s="1"/>
  <c r="AF591" i="66" s="1"/>
  <c r="AF592" i="66" s="1"/>
  <c r="AF593" i="66" s="1"/>
  <c r="AF594" i="66" s="1"/>
  <c r="AF595" i="66" s="1"/>
  <c r="AF596" i="66" s="1"/>
  <c r="AF597" i="66" s="1"/>
  <c r="AF598" i="66" s="1"/>
  <c r="AF599" i="66" s="1"/>
  <c r="AF600" i="66" s="1"/>
  <c r="AG380" i="66"/>
  <c r="AG381" i="66" s="1"/>
  <c r="AG382" i="66" s="1"/>
  <c r="AG383" i="66" s="1"/>
  <c r="AG384" i="66" s="1"/>
  <c r="AG385" i="66" s="1"/>
  <c r="AG386" i="66" s="1"/>
  <c r="AG387" i="66" s="1"/>
  <c r="AG388" i="66" s="1"/>
  <c r="AG389" i="66" s="1"/>
  <c r="AG390" i="66" s="1"/>
  <c r="AG391" i="66" s="1"/>
  <c r="AG392" i="66" s="1"/>
  <c r="AG393" i="66" s="1"/>
  <c r="AI379" i="66"/>
  <c r="AI380" i="66" s="1"/>
  <c r="AI381" i="66" s="1"/>
  <c r="AI382" i="66" s="1"/>
  <c r="AI383" i="66" s="1"/>
  <c r="AI384" i="66" s="1"/>
  <c r="AI385" i="66" s="1"/>
  <c r="AI386" i="66" s="1"/>
  <c r="AI387" i="66" s="1"/>
  <c r="AI388" i="66" s="1"/>
  <c r="AI389" i="66" s="1"/>
  <c r="AI390" i="66" s="1"/>
  <c r="AI391" i="66" s="1"/>
  <c r="AI392" i="66" s="1"/>
  <c r="AI393" i="66" s="1"/>
  <c r="AH656" i="66"/>
  <c r="AG449" i="66"/>
  <c r="AG450" i="66" s="1"/>
  <c r="AG451" i="66" s="1"/>
  <c r="AG452" i="66" s="1"/>
  <c r="AG453" i="66" s="1"/>
  <c r="AG454" i="66" s="1"/>
  <c r="AG455" i="66" s="1"/>
  <c r="AG456" i="66" s="1"/>
  <c r="AG457" i="66" s="1"/>
  <c r="AG458" i="66" s="1"/>
  <c r="AG459" i="66" s="1"/>
  <c r="AG460" i="66" s="1"/>
  <c r="AG461" i="66" s="1"/>
  <c r="AG462" i="66" s="1"/>
  <c r="AI448" i="66"/>
  <c r="AI449" i="66" s="1"/>
  <c r="AI450" i="66" s="1"/>
  <c r="AI451" i="66" s="1"/>
  <c r="AI452" i="66" s="1"/>
  <c r="AI453" i="66" s="1"/>
  <c r="AI454" i="66" s="1"/>
  <c r="AI455" i="66" s="1"/>
  <c r="AI456" i="66" s="1"/>
  <c r="AI457" i="66" s="1"/>
  <c r="AI458" i="66" s="1"/>
  <c r="AI459" i="66" s="1"/>
  <c r="AI460" i="66" s="1"/>
  <c r="AI461" i="66" s="1"/>
  <c r="AI462" i="66" s="1"/>
  <c r="AF541" i="66"/>
  <c r="AF542" i="66" s="1"/>
  <c r="AF543" i="66" s="1"/>
  <c r="AF544" i="66" s="1"/>
  <c r="AF545" i="66" s="1"/>
  <c r="AF546" i="66" s="1"/>
  <c r="AF547" i="66" s="1"/>
  <c r="AF548" i="66" s="1"/>
  <c r="AF549" i="66" s="1"/>
  <c r="AF550" i="66" s="1"/>
  <c r="AF551" i="66" s="1"/>
  <c r="AF552" i="66" s="1"/>
  <c r="AF553" i="66" s="1"/>
  <c r="AF554" i="66" s="1"/>
  <c r="AH540" i="66"/>
  <c r="AF495" i="66"/>
  <c r="AF496" i="66" s="1"/>
  <c r="AF497" i="66" s="1"/>
  <c r="AF498" i="66" s="1"/>
  <c r="AF499" i="66" s="1"/>
  <c r="AF500" i="66" s="1"/>
  <c r="AF501" i="66" s="1"/>
  <c r="AF502" i="66" s="1"/>
  <c r="AF503" i="66" s="1"/>
  <c r="AF504" i="66" s="1"/>
  <c r="AF505" i="66" s="1"/>
  <c r="AF506" i="66" s="1"/>
  <c r="AF507" i="66" s="1"/>
  <c r="AF508" i="66" s="1"/>
  <c r="AH494" i="66"/>
  <c r="AF357" i="66"/>
  <c r="AF358" i="66" s="1"/>
  <c r="AF359" i="66" s="1"/>
  <c r="AF360" i="66" s="1"/>
  <c r="AF361" i="66" s="1"/>
  <c r="AF362" i="66" s="1"/>
  <c r="AF363" i="66" s="1"/>
  <c r="AF364" i="66" s="1"/>
  <c r="AF365" i="66" s="1"/>
  <c r="AF366" i="66" s="1"/>
  <c r="AF367" i="66" s="1"/>
  <c r="AF368" i="66" s="1"/>
  <c r="AF369" i="66" s="1"/>
  <c r="AF370" i="66" s="1"/>
  <c r="AH356" i="66"/>
  <c r="AH333" i="66"/>
  <c r="AF334" i="66"/>
  <c r="AF335" i="66" s="1"/>
  <c r="AF336" i="66" s="1"/>
  <c r="AF337" i="66" s="1"/>
  <c r="AF338" i="66" s="1"/>
  <c r="AF339" i="66" s="1"/>
  <c r="AF340" i="66" s="1"/>
  <c r="AF341" i="66" s="1"/>
  <c r="AF342" i="66" s="1"/>
  <c r="AF343" i="66" s="1"/>
  <c r="AF344" i="66" s="1"/>
  <c r="AF345" i="66" s="1"/>
  <c r="AF346" i="66" s="1"/>
  <c r="AF347" i="66" s="1"/>
  <c r="AI471" i="66"/>
  <c r="AI472" i="66" s="1"/>
  <c r="AI473" i="66" s="1"/>
  <c r="AI474" i="66" s="1"/>
  <c r="AI475" i="66" s="1"/>
  <c r="AI476" i="66" s="1"/>
  <c r="AI477" i="66" s="1"/>
  <c r="AI478" i="66" s="1"/>
  <c r="AI479" i="66" s="1"/>
  <c r="AI480" i="66" s="1"/>
  <c r="AI481" i="66" s="1"/>
  <c r="AI482" i="66" s="1"/>
  <c r="AI483" i="66" s="1"/>
  <c r="AI484" i="66" s="1"/>
  <c r="AI485" i="66" s="1"/>
  <c r="AG472" i="66"/>
  <c r="AG473" i="66" s="1"/>
  <c r="AG474" i="66" s="1"/>
  <c r="AG475" i="66" s="1"/>
  <c r="AG476" i="66" s="1"/>
  <c r="AG477" i="66" s="1"/>
  <c r="AG478" i="66" s="1"/>
  <c r="AG479" i="66" s="1"/>
  <c r="AG480" i="66" s="1"/>
  <c r="AG481" i="66" s="1"/>
  <c r="AG482" i="66" s="1"/>
  <c r="AG483" i="66" s="1"/>
  <c r="AG484" i="66" s="1"/>
  <c r="AG485" i="66" s="1"/>
  <c r="AH517" i="66"/>
  <c r="AF518" i="66"/>
  <c r="AF519" i="66" s="1"/>
  <c r="AF520" i="66" s="1"/>
  <c r="AF521" i="66" s="1"/>
  <c r="AF522" i="66" s="1"/>
  <c r="AF523" i="66" s="1"/>
  <c r="AF524" i="66" s="1"/>
  <c r="AF525" i="66" s="1"/>
  <c r="AF526" i="66" s="1"/>
  <c r="AF527" i="66" s="1"/>
  <c r="AF528" i="66" s="1"/>
  <c r="AF529" i="66" s="1"/>
  <c r="AF530" i="66" s="1"/>
  <c r="AF531" i="66" s="1"/>
  <c r="AI333" i="66"/>
  <c r="AI334" i="66" s="1"/>
  <c r="AI335" i="66" s="1"/>
  <c r="AI336" i="66" s="1"/>
  <c r="AI337" i="66" s="1"/>
  <c r="AI338" i="66" s="1"/>
  <c r="AI339" i="66" s="1"/>
  <c r="AI340" i="66" s="1"/>
  <c r="AI341" i="66" s="1"/>
  <c r="AI342" i="66" s="1"/>
  <c r="AI343" i="66" s="1"/>
  <c r="AI344" i="66" s="1"/>
  <c r="AI345" i="66" s="1"/>
  <c r="AI346" i="66" s="1"/>
  <c r="AI347" i="66" s="1"/>
  <c r="AG334" i="66"/>
  <c r="AG335" i="66" s="1"/>
  <c r="AG336" i="66" s="1"/>
  <c r="AG337" i="66" s="1"/>
  <c r="AG338" i="66" s="1"/>
  <c r="AG339" i="66" s="1"/>
  <c r="AG340" i="66" s="1"/>
  <c r="AG341" i="66" s="1"/>
  <c r="AG342" i="66" s="1"/>
  <c r="AG343" i="66" s="1"/>
  <c r="AG344" i="66" s="1"/>
  <c r="AG345" i="66" s="1"/>
  <c r="AG346" i="66" s="1"/>
  <c r="AG347" i="66" s="1"/>
  <c r="AG426" i="66"/>
  <c r="AG427" i="66" s="1"/>
  <c r="AG428" i="66" s="1"/>
  <c r="AG429" i="66" s="1"/>
  <c r="AG430" i="66" s="1"/>
  <c r="AG431" i="66" s="1"/>
  <c r="AG432" i="66" s="1"/>
  <c r="AG433" i="66" s="1"/>
  <c r="AG434" i="66" s="1"/>
  <c r="AG435" i="66" s="1"/>
  <c r="AG436" i="66" s="1"/>
  <c r="AG437" i="66" s="1"/>
  <c r="AG438" i="66" s="1"/>
  <c r="AG439" i="66" s="1"/>
  <c r="AI425" i="66"/>
  <c r="AI426" i="66" s="1"/>
  <c r="AI427" i="66" s="1"/>
  <c r="AI428" i="66" s="1"/>
  <c r="AI429" i="66" s="1"/>
  <c r="AI430" i="66" s="1"/>
  <c r="AI431" i="66" s="1"/>
  <c r="AI432" i="66" s="1"/>
  <c r="AI433" i="66" s="1"/>
  <c r="AI434" i="66" s="1"/>
  <c r="AI435" i="66" s="1"/>
  <c r="AI436" i="66" s="1"/>
  <c r="AI437" i="66" s="1"/>
  <c r="AI438" i="66" s="1"/>
  <c r="AI439" i="66" s="1"/>
  <c r="AF173" i="66"/>
  <c r="AF174" i="66" s="1"/>
  <c r="AF175" i="66" s="1"/>
  <c r="AF176" i="66" s="1"/>
  <c r="AF177" i="66" s="1"/>
  <c r="AF178" i="66" s="1"/>
  <c r="AF179" i="66" s="1"/>
  <c r="AF180" i="66" s="1"/>
  <c r="AF181" i="66" s="1"/>
  <c r="AF182" i="66" s="1"/>
  <c r="AF183" i="66" s="1"/>
  <c r="AF184" i="66" s="1"/>
  <c r="AF185" i="66" s="1"/>
  <c r="AF186" i="66" s="1"/>
  <c r="AH241" i="66"/>
  <c r="AH242" i="66" s="1"/>
  <c r="AH149" i="66"/>
  <c r="AH150" i="66" s="1"/>
  <c r="AI264" i="66"/>
  <c r="AI265" i="66" s="1"/>
  <c r="AI266" i="66" s="1"/>
  <c r="AI267" i="66" s="1"/>
  <c r="AI268" i="66" s="1"/>
  <c r="AI269" i="66" s="1"/>
  <c r="AI270" i="66" s="1"/>
  <c r="AI271" i="66" s="1"/>
  <c r="AI272" i="66" s="1"/>
  <c r="AI273" i="66" s="1"/>
  <c r="AI274" i="66" s="1"/>
  <c r="AI275" i="66" s="1"/>
  <c r="AI276" i="66" s="1"/>
  <c r="AI277" i="66" s="1"/>
  <c r="AI278" i="66" s="1"/>
  <c r="AG265" i="66"/>
  <c r="AG266" i="66" s="1"/>
  <c r="AG267" i="66" s="1"/>
  <c r="AG268" i="66" s="1"/>
  <c r="AG269" i="66" s="1"/>
  <c r="AG270" i="66" s="1"/>
  <c r="AG271" i="66" s="1"/>
  <c r="AG272" i="66" s="1"/>
  <c r="AG273" i="66" s="1"/>
  <c r="AG274" i="66" s="1"/>
  <c r="AG275" i="66" s="1"/>
  <c r="AG276" i="66" s="1"/>
  <c r="AG277" i="66" s="1"/>
  <c r="AG278" i="66" s="1"/>
  <c r="AF127" i="66"/>
  <c r="AF128" i="66" s="1"/>
  <c r="AF129" i="66" s="1"/>
  <c r="AF130" i="66" s="1"/>
  <c r="AF131" i="66" s="1"/>
  <c r="AF132" i="66" s="1"/>
  <c r="AF133" i="66" s="1"/>
  <c r="AF134" i="66" s="1"/>
  <c r="AF135" i="66" s="1"/>
  <c r="AF136" i="66" s="1"/>
  <c r="AF137" i="66" s="1"/>
  <c r="AF138" i="66" s="1"/>
  <c r="AF139" i="66" s="1"/>
  <c r="AF140" i="66" s="1"/>
  <c r="AH126" i="66"/>
  <c r="AG196" i="66"/>
  <c r="AG197" i="66" s="1"/>
  <c r="AG198" i="66" s="1"/>
  <c r="AG199" i="66" s="1"/>
  <c r="AG200" i="66" s="1"/>
  <c r="AG201" i="66" s="1"/>
  <c r="AG202" i="66" s="1"/>
  <c r="AG203" i="66" s="1"/>
  <c r="AG204" i="66" s="1"/>
  <c r="AG205" i="66" s="1"/>
  <c r="AG206" i="66" s="1"/>
  <c r="AG207" i="66" s="1"/>
  <c r="AG208" i="66" s="1"/>
  <c r="AG209" i="66" s="1"/>
  <c r="AI195" i="66"/>
  <c r="AI196" i="66" s="1"/>
  <c r="AI197" i="66" s="1"/>
  <c r="AI198" i="66" s="1"/>
  <c r="AI199" i="66" s="1"/>
  <c r="AI200" i="66" s="1"/>
  <c r="AI201" i="66" s="1"/>
  <c r="AI202" i="66" s="1"/>
  <c r="AI203" i="66" s="1"/>
  <c r="AI204" i="66" s="1"/>
  <c r="AI205" i="66" s="1"/>
  <c r="AI206" i="66" s="1"/>
  <c r="AI207" i="66" s="1"/>
  <c r="AI208" i="66" s="1"/>
  <c r="AI209" i="66" s="1"/>
  <c r="AG173" i="66"/>
  <c r="AG174" i="66" s="1"/>
  <c r="AG175" i="66" s="1"/>
  <c r="AG176" i="66" s="1"/>
  <c r="AG177" i="66" s="1"/>
  <c r="AG178" i="66" s="1"/>
  <c r="AG179" i="66" s="1"/>
  <c r="AG180" i="66" s="1"/>
  <c r="AG181" i="66" s="1"/>
  <c r="AG182" i="66" s="1"/>
  <c r="AG183" i="66" s="1"/>
  <c r="AG184" i="66" s="1"/>
  <c r="AG185" i="66" s="1"/>
  <c r="AG186" i="66" s="1"/>
  <c r="AI172" i="66"/>
  <c r="AI173" i="66" s="1"/>
  <c r="AI174" i="66" s="1"/>
  <c r="AI175" i="66" s="1"/>
  <c r="AI176" i="66" s="1"/>
  <c r="AI177" i="66" s="1"/>
  <c r="AI178" i="66" s="1"/>
  <c r="AI179" i="66" s="1"/>
  <c r="AI180" i="66" s="1"/>
  <c r="AI181" i="66" s="1"/>
  <c r="AI182" i="66" s="1"/>
  <c r="AI183" i="66" s="1"/>
  <c r="AI184" i="66" s="1"/>
  <c r="AI185" i="66" s="1"/>
  <c r="AI186" i="66" s="1"/>
  <c r="AF219" i="66"/>
  <c r="AF220" i="66" s="1"/>
  <c r="AF221" i="66" s="1"/>
  <c r="AF222" i="66" s="1"/>
  <c r="AF223" i="66" s="1"/>
  <c r="AF224" i="66" s="1"/>
  <c r="AF225" i="66" s="1"/>
  <c r="AF226" i="66" s="1"/>
  <c r="AF227" i="66" s="1"/>
  <c r="AF228" i="66" s="1"/>
  <c r="AF229" i="66" s="1"/>
  <c r="AF230" i="66" s="1"/>
  <c r="AF231" i="66" s="1"/>
  <c r="AF232" i="66" s="1"/>
  <c r="AH218" i="66"/>
  <c r="AH103" i="66"/>
  <c r="AF104" i="66"/>
  <c r="AF105" i="66" s="1"/>
  <c r="AF106" i="66" s="1"/>
  <c r="AF107" i="66" s="1"/>
  <c r="AF108" i="66" s="1"/>
  <c r="AF109" i="66" s="1"/>
  <c r="AF110" i="66" s="1"/>
  <c r="AF111" i="66" s="1"/>
  <c r="AF112" i="66" s="1"/>
  <c r="AF113" i="66" s="1"/>
  <c r="AF114" i="66" s="1"/>
  <c r="AF115" i="66" s="1"/>
  <c r="AF116" i="66" s="1"/>
  <c r="AF117" i="66" s="1"/>
  <c r="AI149" i="66"/>
  <c r="AI150" i="66" s="1"/>
  <c r="AI151" i="66" s="1"/>
  <c r="AI152" i="66" s="1"/>
  <c r="AI153" i="66" s="1"/>
  <c r="AI154" i="66" s="1"/>
  <c r="AI155" i="66" s="1"/>
  <c r="AI156" i="66" s="1"/>
  <c r="AI157" i="66" s="1"/>
  <c r="AI158" i="66" s="1"/>
  <c r="AI159" i="66" s="1"/>
  <c r="AI160" i="66" s="1"/>
  <c r="AI161" i="66" s="1"/>
  <c r="AI162" i="66" s="1"/>
  <c r="AI163" i="66" s="1"/>
  <c r="AG150" i="66"/>
  <c r="AG151" i="66" s="1"/>
  <c r="AG152" i="66" s="1"/>
  <c r="AG153" i="66" s="1"/>
  <c r="AG154" i="66" s="1"/>
  <c r="AG155" i="66" s="1"/>
  <c r="AG156" i="66" s="1"/>
  <c r="AG157" i="66" s="1"/>
  <c r="AG158" i="66" s="1"/>
  <c r="AG159" i="66" s="1"/>
  <c r="AG160" i="66" s="1"/>
  <c r="AG161" i="66" s="1"/>
  <c r="AG162" i="66" s="1"/>
  <c r="AG163" i="66" s="1"/>
  <c r="AH173" i="66"/>
  <c r="AI218" i="66"/>
  <c r="AI219" i="66" s="1"/>
  <c r="AI220" i="66" s="1"/>
  <c r="AI221" i="66" s="1"/>
  <c r="AI222" i="66" s="1"/>
  <c r="AI223" i="66" s="1"/>
  <c r="AI224" i="66" s="1"/>
  <c r="AI225" i="66" s="1"/>
  <c r="AI226" i="66" s="1"/>
  <c r="AI227" i="66" s="1"/>
  <c r="AI228" i="66" s="1"/>
  <c r="AI229" i="66" s="1"/>
  <c r="AI230" i="66" s="1"/>
  <c r="AI231" i="66" s="1"/>
  <c r="AI232" i="66" s="1"/>
  <c r="AG219" i="66"/>
  <c r="AG220" i="66" s="1"/>
  <c r="AG221" i="66" s="1"/>
  <c r="AG222" i="66" s="1"/>
  <c r="AG223" i="66" s="1"/>
  <c r="AG224" i="66" s="1"/>
  <c r="AG225" i="66" s="1"/>
  <c r="AG226" i="66" s="1"/>
  <c r="AG227" i="66" s="1"/>
  <c r="AG228" i="66" s="1"/>
  <c r="AG229" i="66" s="1"/>
  <c r="AG230" i="66" s="1"/>
  <c r="AG231" i="66" s="1"/>
  <c r="AG232" i="66" s="1"/>
  <c r="AI103" i="66"/>
  <c r="AI104" i="66" s="1"/>
  <c r="AI105" i="66" s="1"/>
  <c r="AI106" i="66" s="1"/>
  <c r="AI107" i="66" s="1"/>
  <c r="AI108" i="66" s="1"/>
  <c r="AI109" i="66" s="1"/>
  <c r="AI110" i="66" s="1"/>
  <c r="AI111" i="66" s="1"/>
  <c r="AI112" i="66" s="1"/>
  <c r="AI113" i="66" s="1"/>
  <c r="AI114" i="66" s="1"/>
  <c r="AI115" i="66" s="1"/>
  <c r="AI116" i="66" s="1"/>
  <c r="AI117" i="66" s="1"/>
  <c r="AG104" i="66"/>
  <c r="AG105" i="66" s="1"/>
  <c r="AG106" i="66" s="1"/>
  <c r="AG107" i="66" s="1"/>
  <c r="AG108" i="66" s="1"/>
  <c r="AG109" i="66" s="1"/>
  <c r="AG110" i="66" s="1"/>
  <c r="AG111" i="66" s="1"/>
  <c r="AG112" i="66" s="1"/>
  <c r="AG113" i="66" s="1"/>
  <c r="AG114" i="66" s="1"/>
  <c r="AG115" i="66" s="1"/>
  <c r="AG116" i="66" s="1"/>
  <c r="AG117" i="66" s="1"/>
  <c r="AG242" i="66"/>
  <c r="AG243" i="66" s="1"/>
  <c r="AG244" i="66" s="1"/>
  <c r="AG245" i="66" s="1"/>
  <c r="AG246" i="66" s="1"/>
  <c r="AG247" i="66" s="1"/>
  <c r="AG248" i="66" s="1"/>
  <c r="AG249" i="66" s="1"/>
  <c r="AG250" i="66" s="1"/>
  <c r="AG251" i="66" s="1"/>
  <c r="AG252" i="66" s="1"/>
  <c r="AG253" i="66" s="1"/>
  <c r="AG254" i="66" s="1"/>
  <c r="AG255" i="66" s="1"/>
  <c r="AI241" i="66"/>
  <c r="AI242" i="66" s="1"/>
  <c r="AI243" i="66" s="1"/>
  <c r="AI244" i="66" s="1"/>
  <c r="AI245" i="66" s="1"/>
  <c r="AI246" i="66" s="1"/>
  <c r="AI247" i="66" s="1"/>
  <c r="AI248" i="66" s="1"/>
  <c r="AI249" i="66" s="1"/>
  <c r="AI250" i="66" s="1"/>
  <c r="AI251" i="66" s="1"/>
  <c r="AI252" i="66" s="1"/>
  <c r="AI253" i="66" s="1"/>
  <c r="AI254" i="66" s="1"/>
  <c r="AI255" i="66" s="1"/>
  <c r="AH195" i="66"/>
  <c r="AF196" i="66"/>
  <c r="AF197" i="66" s="1"/>
  <c r="AF198" i="66" s="1"/>
  <c r="AF199" i="66" s="1"/>
  <c r="AF200" i="66" s="1"/>
  <c r="AF201" i="66" s="1"/>
  <c r="AF202" i="66" s="1"/>
  <c r="AF203" i="66" s="1"/>
  <c r="AF204" i="66" s="1"/>
  <c r="AF205" i="66" s="1"/>
  <c r="AF206" i="66" s="1"/>
  <c r="AF207" i="66" s="1"/>
  <c r="AF208" i="66" s="1"/>
  <c r="AF209" i="66" s="1"/>
  <c r="AG288" i="66"/>
  <c r="AG289" i="66" s="1"/>
  <c r="AG290" i="66" s="1"/>
  <c r="AG291" i="66" s="1"/>
  <c r="AG292" i="66" s="1"/>
  <c r="AG293" i="66" s="1"/>
  <c r="AG294" i="66" s="1"/>
  <c r="AG295" i="66" s="1"/>
  <c r="AG296" i="66" s="1"/>
  <c r="AG297" i="66" s="1"/>
  <c r="AG298" i="66" s="1"/>
  <c r="AG299" i="66" s="1"/>
  <c r="AG300" i="66" s="1"/>
  <c r="AG301" i="66" s="1"/>
  <c r="AI287" i="66"/>
  <c r="AI288" i="66" s="1"/>
  <c r="AI289" i="66" s="1"/>
  <c r="AI290" i="66" s="1"/>
  <c r="AI291" i="66" s="1"/>
  <c r="AI292" i="66" s="1"/>
  <c r="AI293" i="66" s="1"/>
  <c r="AI294" i="66" s="1"/>
  <c r="AI295" i="66" s="1"/>
  <c r="AI296" i="66" s="1"/>
  <c r="AI297" i="66" s="1"/>
  <c r="AI298" i="66" s="1"/>
  <c r="AI299" i="66" s="1"/>
  <c r="AI300" i="66" s="1"/>
  <c r="AI301" i="66" s="1"/>
  <c r="AH265" i="66"/>
  <c r="AH287" i="66"/>
  <c r="AF288" i="66"/>
  <c r="AF289" i="66" s="1"/>
  <c r="AF290" i="66" s="1"/>
  <c r="AF291" i="66" s="1"/>
  <c r="AF292" i="66" s="1"/>
  <c r="AF293" i="66" s="1"/>
  <c r="AF294" i="66" s="1"/>
  <c r="AF295" i="66" s="1"/>
  <c r="AF296" i="66" s="1"/>
  <c r="AF297" i="66" s="1"/>
  <c r="AF298" i="66" s="1"/>
  <c r="AF299" i="66" s="1"/>
  <c r="AF300" i="66" s="1"/>
  <c r="AF301" i="66" s="1"/>
  <c r="AG127" i="66"/>
  <c r="AG128" i="66" s="1"/>
  <c r="AG129" i="66" s="1"/>
  <c r="AG130" i="66" s="1"/>
  <c r="AG131" i="66" s="1"/>
  <c r="AG132" i="66" s="1"/>
  <c r="AG133" i="66" s="1"/>
  <c r="AG134" i="66" s="1"/>
  <c r="AG135" i="66" s="1"/>
  <c r="AG136" i="66" s="1"/>
  <c r="AG137" i="66" s="1"/>
  <c r="AG138" i="66" s="1"/>
  <c r="AG139" i="66" s="1"/>
  <c r="AG140" i="66" s="1"/>
  <c r="AI126" i="66"/>
  <c r="AI127" i="66" s="1"/>
  <c r="AI128" i="66" s="1"/>
  <c r="AI129" i="66" s="1"/>
  <c r="AI130" i="66" s="1"/>
  <c r="AI131" i="66" s="1"/>
  <c r="AI132" i="66" s="1"/>
  <c r="AI133" i="66" s="1"/>
  <c r="AI134" i="66" s="1"/>
  <c r="AI135" i="66" s="1"/>
  <c r="AI136" i="66" s="1"/>
  <c r="AI137" i="66" s="1"/>
  <c r="AI138" i="66" s="1"/>
  <c r="AI139" i="66" s="1"/>
  <c r="AI140" i="66" s="1"/>
  <c r="F844" i="43"/>
  <c r="G843" i="43"/>
  <c r="Z77" i="66" a="1"/>
  <c r="Z77" i="66" s="1"/>
  <c r="Z76" i="66" s="1" a="1"/>
  <c r="Z76" i="66" s="1"/>
  <c r="H79" i="66" s="1"/>
  <c r="N87" i="66" s="1"/>
  <c r="N15" i="60"/>
  <c r="AR15" i="60"/>
  <c r="E125" i="38"/>
  <c r="T125" i="38" s="1"/>
  <c r="AD125" i="38" s="1"/>
  <c r="AL81" i="66"/>
  <c r="J81" i="66" s="1"/>
  <c r="AL80" i="66"/>
  <c r="J80" i="66" s="1"/>
  <c r="AL82" i="66"/>
  <c r="J82" i="66" s="1"/>
  <c r="AD80" i="66"/>
  <c r="AE80" i="66" s="1"/>
  <c r="J79" i="66" s="1"/>
  <c r="W77" i="66" a="1"/>
  <c r="W77" i="66" s="1"/>
  <c r="W76" i="66" s="1" a="1"/>
  <c r="W76" i="66" s="1"/>
  <c r="X77" i="66" a="1"/>
  <c r="X77" i="66" s="1"/>
  <c r="X76" i="66" s="1" a="1"/>
  <c r="X76" i="66" s="1"/>
  <c r="G79" i="66" s="1"/>
  <c r="N86" i="66" s="1"/>
  <c r="AU15" i="60"/>
  <c r="AQ15" i="60"/>
  <c r="H798" i="43"/>
  <c r="H799" i="43" s="1"/>
  <c r="G1465" i="50"/>
  <c r="H1465" i="50" s="1"/>
  <c r="AT13" i="60"/>
  <c r="I15" i="60"/>
  <c r="AV15" i="60"/>
  <c r="G15" i="60"/>
  <c r="X15" i="60"/>
  <c r="J15" i="60"/>
  <c r="H15" i="60"/>
  <c r="M15" i="60"/>
  <c r="S15" i="60"/>
  <c r="E15" i="60"/>
  <c r="AO15" i="60"/>
  <c r="T32" i="9"/>
  <c r="T34" i="9" s="1"/>
  <c r="K2" i="43" s="1"/>
  <c r="AU13" i="60"/>
  <c r="AP15" i="60"/>
  <c r="V15" i="60"/>
  <c r="D15" i="60"/>
  <c r="P15" i="60"/>
  <c r="AV13" i="60"/>
  <c r="U59" i="50"/>
  <c r="T59" i="50"/>
  <c r="G1466" i="50"/>
  <c r="E126" i="38"/>
  <c r="T126" i="38" s="1"/>
  <c r="AD126" i="38" s="1"/>
  <c r="W80" i="65"/>
  <c r="W81" i="65" s="1"/>
  <c r="H1473" i="50"/>
  <c r="AN22" i="57"/>
  <c r="AN19" i="57"/>
  <c r="AN20" i="57"/>
  <c r="AN21" i="57"/>
  <c r="M3" i="50"/>
  <c r="F16" i="60"/>
  <c r="AL20" i="57"/>
  <c r="Q177" i="52"/>
  <c r="S177" i="52" s="1"/>
  <c r="D183" i="52"/>
  <c r="N14" i="60"/>
  <c r="D14" i="60"/>
  <c r="S14" i="60"/>
  <c r="P14" i="60"/>
  <c r="E14" i="60"/>
  <c r="AU14" i="60"/>
  <c r="AQ14" i="60"/>
  <c r="I14" i="60"/>
  <c r="AT14" i="60"/>
  <c r="V14" i="60"/>
  <c r="AO14" i="60"/>
  <c r="AV14" i="60"/>
  <c r="AP14" i="60"/>
  <c r="M14" i="60"/>
  <c r="X14" i="60"/>
  <c r="E57" i="65"/>
  <c r="E56" i="65"/>
  <c r="R56" i="65"/>
  <c r="R57" i="65" s="1"/>
  <c r="D58" i="65"/>
  <c r="W53" i="65"/>
  <c r="W54" i="65" s="1"/>
  <c r="E86" i="65"/>
  <c r="D87" i="65"/>
  <c r="E85" i="65"/>
  <c r="R85" i="65"/>
  <c r="AM20" i="57"/>
  <c r="AM19" i="57"/>
  <c r="AM21" i="57"/>
  <c r="AM22" i="57"/>
  <c r="U83" i="65"/>
  <c r="R84" i="65"/>
  <c r="U84" i="65" s="1"/>
  <c r="K2" i="38"/>
  <c r="I2" i="50"/>
  <c r="I2" i="38"/>
  <c r="E29" i="9"/>
  <c r="R30" i="9"/>
  <c r="R19" i="9"/>
  <c r="E18" i="9"/>
  <c r="M1465" i="50"/>
  <c r="E28" i="9"/>
  <c r="D21" i="9"/>
  <c r="AZ465" i="50" l="1"/>
  <c r="BA465" i="50"/>
  <c r="AA16" i="60"/>
  <c r="Z16" i="60"/>
  <c r="AC16" i="60"/>
  <c r="Y16" i="60"/>
  <c r="AB16" i="60"/>
  <c r="D194" i="52"/>
  <c r="Q194" i="52" s="1"/>
  <c r="S194" i="52" s="1"/>
  <c r="AW999" i="50"/>
  <c r="AX999" i="50" s="1"/>
  <c r="M1330" i="50"/>
  <c r="M1443" i="50"/>
  <c r="K2" i="50"/>
  <c r="I2" i="43"/>
  <c r="D304" i="66"/>
  <c r="V304" i="66" s="1"/>
  <c r="A304" i="66"/>
  <c r="C327" i="66"/>
  <c r="M294" i="50"/>
  <c r="BA1052" i="50"/>
  <c r="M1246" i="50"/>
  <c r="BA522" i="50"/>
  <c r="BA999" i="50"/>
  <c r="AN51" i="57"/>
  <c r="BA1250" i="50"/>
  <c r="AZ1250" i="50"/>
  <c r="AM31" i="57"/>
  <c r="AM32" i="57" s="1"/>
  <c r="AN52" i="57"/>
  <c r="AN53" i="57" s="1"/>
  <c r="M407" i="50"/>
  <c r="M771" i="50"/>
  <c r="BA857" i="50"/>
  <c r="AZ857" i="50"/>
  <c r="AZ382" i="50"/>
  <c r="AW382" i="50"/>
  <c r="AX382" i="50" s="1"/>
  <c r="AT1273" i="50"/>
  <c r="AU1273" i="50" s="1"/>
  <c r="AT993" i="50"/>
  <c r="AU993" i="50" s="1"/>
  <c r="AW993" i="50" s="1"/>
  <c r="AX993" i="50" s="1"/>
  <c r="AK655" i="66"/>
  <c r="AJ678" i="66"/>
  <c r="AT797" i="50"/>
  <c r="AU797" i="50" s="1"/>
  <c r="M631" i="50"/>
  <c r="M658" i="50"/>
  <c r="AJ655" i="66"/>
  <c r="M378" i="50"/>
  <c r="M462" i="50"/>
  <c r="AZ1052" i="50"/>
  <c r="M574" i="50"/>
  <c r="M1190" i="50"/>
  <c r="M1359" i="50"/>
  <c r="M742" i="50"/>
  <c r="AT377" i="50"/>
  <c r="AU377" i="50" s="1"/>
  <c r="AZ377" i="50" s="1"/>
  <c r="M1079" i="50"/>
  <c r="AT1049" i="50"/>
  <c r="AU1049" i="50" s="1"/>
  <c r="AZ1049" i="50" s="1"/>
  <c r="AT153" i="50"/>
  <c r="AU153" i="50" s="1"/>
  <c r="AZ153" i="50" s="1"/>
  <c r="M714" i="50"/>
  <c r="M770" i="50"/>
  <c r="AT1441" i="50"/>
  <c r="AU1441" i="50" s="1"/>
  <c r="K1441" i="50" s="1"/>
  <c r="AZ548" i="50"/>
  <c r="M406" i="50"/>
  <c r="AT181" i="50"/>
  <c r="AU181" i="50" s="1"/>
  <c r="BA181" i="50" s="1"/>
  <c r="AT853" i="50"/>
  <c r="AU853" i="50" s="1"/>
  <c r="BA853" i="50" s="1"/>
  <c r="AT321" i="50"/>
  <c r="AU321" i="50" s="1"/>
  <c r="K321" i="50" s="1"/>
  <c r="BA548" i="50"/>
  <c r="AT1329" i="50"/>
  <c r="AU1329" i="50" s="1"/>
  <c r="K1329" i="50" s="1"/>
  <c r="M1414" i="50"/>
  <c r="AT517" i="50"/>
  <c r="AU517" i="50" s="1"/>
  <c r="K517" i="50" s="1"/>
  <c r="M1078" i="50"/>
  <c r="AT489" i="50"/>
  <c r="AU489" i="50" s="1"/>
  <c r="AZ489" i="50" s="1"/>
  <c r="AT125" i="50"/>
  <c r="AU125" i="50" s="1"/>
  <c r="AW125" i="50" s="1"/>
  <c r="AX125" i="50" s="1"/>
  <c r="AT1413" i="50"/>
  <c r="AU1413" i="50" s="1"/>
  <c r="BA1413" i="50" s="1"/>
  <c r="M154" i="50"/>
  <c r="AT97" i="50"/>
  <c r="AU97" i="50" s="1"/>
  <c r="AZ97" i="50" s="1"/>
  <c r="AT433" i="50"/>
  <c r="AU433" i="50" s="1"/>
  <c r="AW433" i="50" s="1"/>
  <c r="AX433" i="50" s="1"/>
  <c r="AT461" i="50"/>
  <c r="AU461" i="50" s="1"/>
  <c r="AZ461" i="50" s="1"/>
  <c r="M939" i="50"/>
  <c r="M910" i="50"/>
  <c r="M463" i="50"/>
  <c r="M519" i="50"/>
  <c r="M799" i="50"/>
  <c r="M547" i="50"/>
  <c r="M351" i="50"/>
  <c r="M967" i="50"/>
  <c r="AT909" i="50"/>
  <c r="AU909" i="50" s="1"/>
  <c r="AZ909" i="50" s="1"/>
  <c r="AT685" i="50"/>
  <c r="AU685" i="50" s="1"/>
  <c r="BA685" i="50" s="1"/>
  <c r="M911" i="50"/>
  <c r="AT545" i="50"/>
  <c r="AU545" i="50" s="1"/>
  <c r="K545" i="50" s="1"/>
  <c r="AT1105" i="50"/>
  <c r="AU1105" i="50" s="1"/>
  <c r="AZ1105" i="50" s="1"/>
  <c r="M1415" i="50"/>
  <c r="M546" i="50"/>
  <c r="M715" i="50"/>
  <c r="AT1301" i="50"/>
  <c r="AU1301" i="50" s="1"/>
  <c r="AZ1301" i="50" s="1"/>
  <c r="AT1245" i="50"/>
  <c r="AU1245" i="50" s="1"/>
  <c r="AW1245" i="50" s="1"/>
  <c r="AX1245" i="50" s="1"/>
  <c r="M1219" i="50"/>
  <c r="M435" i="50"/>
  <c r="M687" i="50"/>
  <c r="M1191" i="50"/>
  <c r="AT405" i="50"/>
  <c r="AU405" i="50" s="1"/>
  <c r="AW405" i="50" s="1"/>
  <c r="AX405" i="50" s="1"/>
  <c r="M211" i="50"/>
  <c r="AT573" i="50"/>
  <c r="AU573" i="50" s="1"/>
  <c r="AW573" i="50" s="1"/>
  <c r="AX573" i="50" s="1"/>
  <c r="M126" i="50"/>
  <c r="M1247" i="50"/>
  <c r="AT825" i="50"/>
  <c r="AU825" i="50" s="1"/>
  <c r="AZ825" i="50" s="1"/>
  <c r="AT1021" i="50"/>
  <c r="AU1021" i="50" s="1"/>
  <c r="BA1021" i="50" s="1"/>
  <c r="M743" i="50"/>
  <c r="AT657" i="50"/>
  <c r="AU657" i="50" s="1"/>
  <c r="K657" i="50" s="1"/>
  <c r="AT1189" i="50"/>
  <c r="AU1189" i="50" s="1"/>
  <c r="BA1189" i="50" s="1"/>
  <c r="M686" i="50"/>
  <c r="M1050" i="50"/>
  <c r="M603" i="50"/>
  <c r="M1163" i="50"/>
  <c r="AT209" i="50"/>
  <c r="AU209" i="50" s="1"/>
  <c r="K209" i="50" s="1"/>
  <c r="M267" i="50"/>
  <c r="K1188" i="50"/>
  <c r="AZ1188" i="50"/>
  <c r="AW1188" i="50"/>
  <c r="AX1188" i="50" s="1"/>
  <c r="BA1188" i="50"/>
  <c r="K1048" i="50"/>
  <c r="AW1048" i="50"/>
  <c r="AX1048" i="50" s="1"/>
  <c r="AZ1048" i="50"/>
  <c r="BA1048" i="50"/>
  <c r="K964" i="50"/>
  <c r="AW964" i="50"/>
  <c r="AX964" i="50" s="1"/>
  <c r="AZ964" i="50"/>
  <c r="BA964" i="50"/>
  <c r="K656" i="50"/>
  <c r="AZ656" i="50"/>
  <c r="AW656" i="50"/>
  <c r="AX656" i="50" s="1"/>
  <c r="BA656" i="50"/>
  <c r="K1356" i="50"/>
  <c r="AW1356" i="50"/>
  <c r="AX1356" i="50" s="1"/>
  <c r="BA1356" i="50"/>
  <c r="AZ1356" i="50"/>
  <c r="K180" i="50"/>
  <c r="AZ180" i="50"/>
  <c r="BA180" i="50"/>
  <c r="AW180" i="50"/>
  <c r="AX180" i="50" s="1"/>
  <c r="K797" i="50"/>
  <c r="BA797" i="50"/>
  <c r="AZ797" i="50"/>
  <c r="AW797" i="50"/>
  <c r="AX797" i="50" s="1"/>
  <c r="AW970" i="50"/>
  <c r="AX970" i="50" s="1"/>
  <c r="BA970" i="50"/>
  <c r="AZ970" i="50"/>
  <c r="AN516" i="50"/>
  <c r="BV508" i="50"/>
  <c r="BV256" i="50"/>
  <c r="AN264" i="50"/>
  <c r="AW101" i="50"/>
  <c r="AX101" i="50" s="1"/>
  <c r="AZ101" i="50"/>
  <c r="BA101" i="50"/>
  <c r="BS1124" i="50"/>
  <c r="AT1133" i="50"/>
  <c r="AU1133" i="50" s="1"/>
  <c r="AW1111" i="50"/>
  <c r="AX1111" i="50" s="1"/>
  <c r="BA1111" i="50"/>
  <c r="AZ1111" i="50"/>
  <c r="K1384" i="50"/>
  <c r="AZ1384" i="50"/>
  <c r="AW1384" i="50"/>
  <c r="AX1384" i="50" s="1"/>
  <c r="BA1384" i="50"/>
  <c r="AN124" i="50"/>
  <c r="BV116" i="50"/>
  <c r="AT124" i="50"/>
  <c r="AU124" i="50" s="1"/>
  <c r="K432" i="50"/>
  <c r="AZ432" i="50"/>
  <c r="AW432" i="50"/>
  <c r="AX432" i="50" s="1"/>
  <c r="BA432" i="50"/>
  <c r="K992" i="50"/>
  <c r="AZ992" i="50"/>
  <c r="BA992" i="50"/>
  <c r="AW992" i="50"/>
  <c r="AX992" i="50" s="1"/>
  <c r="M966" i="50"/>
  <c r="K628" i="50"/>
  <c r="BA628" i="50"/>
  <c r="AZ628" i="50"/>
  <c r="AW628" i="50"/>
  <c r="AX628" i="50" s="1"/>
  <c r="BS1376" i="50"/>
  <c r="AT1385" i="50"/>
  <c r="AU1385" i="50" s="1"/>
  <c r="AW1388" i="50"/>
  <c r="AX1388" i="50" s="1"/>
  <c r="BA1388" i="50"/>
  <c r="AZ1388" i="50"/>
  <c r="AN1300" i="50"/>
  <c r="BV1292" i="50"/>
  <c r="AT1300" i="50"/>
  <c r="AU1300" i="50" s="1"/>
  <c r="AW1139" i="50"/>
  <c r="AX1139" i="50" s="1"/>
  <c r="AZ1139" i="50"/>
  <c r="BA1139" i="50"/>
  <c r="AW1329" i="50"/>
  <c r="AX1329" i="50" s="1"/>
  <c r="AW268" i="50"/>
  <c r="AX268" i="50" s="1"/>
  <c r="BA268" i="50"/>
  <c r="AZ268" i="50"/>
  <c r="M295" i="50"/>
  <c r="AN488" i="50"/>
  <c r="BV480" i="50"/>
  <c r="AW517" i="50"/>
  <c r="AX517" i="50" s="1"/>
  <c r="AW969" i="50"/>
  <c r="AX969" i="50" s="1"/>
  <c r="BA969" i="50"/>
  <c r="AZ969" i="50"/>
  <c r="AN628" i="50"/>
  <c r="BV620" i="50"/>
  <c r="AW1278" i="50"/>
  <c r="AX1278" i="50" s="1"/>
  <c r="BA1278" i="50"/>
  <c r="AZ1278" i="50"/>
  <c r="AT937" i="50"/>
  <c r="AU937" i="50" s="1"/>
  <c r="BA941" i="50"/>
  <c r="AZ941" i="50"/>
  <c r="AW941" i="50"/>
  <c r="AX941" i="50" s="1"/>
  <c r="AT629" i="50"/>
  <c r="AU629" i="50" s="1"/>
  <c r="K236" i="50"/>
  <c r="AZ236" i="50"/>
  <c r="AW236" i="50"/>
  <c r="AX236" i="50" s="1"/>
  <c r="BA236" i="50"/>
  <c r="AK448" i="66"/>
  <c r="BV1068" i="50"/>
  <c r="AN1076" i="50"/>
  <c r="AT1076" i="50"/>
  <c r="AU1076" i="50" s="1"/>
  <c r="BV956" i="50"/>
  <c r="AN964" i="50"/>
  <c r="AN572" i="50"/>
  <c r="BV564" i="50"/>
  <c r="AT572" i="50"/>
  <c r="AU572" i="50" s="1"/>
  <c r="K1104" i="50"/>
  <c r="BA1104" i="50"/>
  <c r="AZ1104" i="50"/>
  <c r="AW1104" i="50"/>
  <c r="AX1104" i="50" s="1"/>
  <c r="BV284" i="50"/>
  <c r="AN292" i="50"/>
  <c r="AT292" i="50"/>
  <c r="AU292" i="50" s="1"/>
  <c r="AW829" i="50"/>
  <c r="AX829" i="50" s="1"/>
  <c r="AZ829" i="50"/>
  <c r="BA829" i="50"/>
  <c r="BS1152" i="50"/>
  <c r="AT1161" i="50"/>
  <c r="AU1161" i="50" s="1"/>
  <c r="M826" i="50"/>
  <c r="K796" i="50"/>
  <c r="AZ796" i="50"/>
  <c r="AW796" i="50"/>
  <c r="AX796" i="50" s="1"/>
  <c r="BA796" i="50"/>
  <c r="AZ1192" i="50"/>
  <c r="BA1192" i="50"/>
  <c r="AW1110" i="50"/>
  <c r="AX1110" i="50" s="1"/>
  <c r="BA1110" i="50"/>
  <c r="AZ1110" i="50"/>
  <c r="AN1048" i="50"/>
  <c r="BV1040" i="50"/>
  <c r="BA1081" i="50"/>
  <c r="AZ1081" i="50"/>
  <c r="AN796" i="50"/>
  <c r="BV788" i="50"/>
  <c r="AN824" i="50"/>
  <c r="BV816" i="50"/>
  <c r="AT824" i="50"/>
  <c r="AU824" i="50" s="1"/>
  <c r="M1302" i="50"/>
  <c r="K768" i="50"/>
  <c r="BA768" i="50"/>
  <c r="AZ768" i="50"/>
  <c r="AW768" i="50"/>
  <c r="AX768" i="50" s="1"/>
  <c r="M1303" i="50"/>
  <c r="BV368" i="50"/>
  <c r="AN376" i="50"/>
  <c r="BS760" i="50"/>
  <c r="AT769" i="50"/>
  <c r="AU769" i="50" s="1"/>
  <c r="AW1054" i="50"/>
  <c r="AX1054" i="50" s="1"/>
  <c r="BA1054" i="50"/>
  <c r="AZ1054" i="50"/>
  <c r="K936" i="50"/>
  <c r="BA936" i="50"/>
  <c r="AZ936" i="50"/>
  <c r="AW936" i="50"/>
  <c r="AX936" i="50" s="1"/>
  <c r="BS1348" i="50"/>
  <c r="AT1357" i="50"/>
  <c r="AU1357" i="50" s="1"/>
  <c r="AW831" i="50"/>
  <c r="AX831" i="50" s="1"/>
  <c r="BA831" i="50"/>
  <c r="AZ831" i="50"/>
  <c r="AZ1389" i="50"/>
  <c r="BA1389" i="50"/>
  <c r="AZ520" i="50"/>
  <c r="BA520" i="50"/>
  <c r="AW1361" i="50"/>
  <c r="AX1361" i="50" s="1"/>
  <c r="AZ1361" i="50"/>
  <c r="BA1361" i="50"/>
  <c r="AT965" i="50"/>
  <c r="AU965" i="50" s="1"/>
  <c r="AZ887" i="50"/>
  <c r="BA887" i="50"/>
  <c r="AW887" i="50"/>
  <c r="AX887" i="50" s="1"/>
  <c r="AW661" i="50"/>
  <c r="AX661" i="50" s="1"/>
  <c r="BA661" i="50"/>
  <c r="AZ661" i="50"/>
  <c r="BV144" i="50"/>
  <c r="AN152" i="50"/>
  <c r="AZ1390" i="50"/>
  <c r="BA1390" i="50"/>
  <c r="K1412" i="50"/>
  <c r="AZ1412" i="50"/>
  <c r="BA1412" i="50"/>
  <c r="AW1412" i="50"/>
  <c r="AX1412" i="50" s="1"/>
  <c r="K376" i="50"/>
  <c r="BA376" i="50"/>
  <c r="AZ376" i="50"/>
  <c r="AW376" i="50"/>
  <c r="AX376" i="50" s="1"/>
  <c r="K1020" i="50"/>
  <c r="BA1020" i="50"/>
  <c r="AZ1020" i="50"/>
  <c r="AW1020" i="50"/>
  <c r="AX1020" i="50" s="1"/>
  <c r="AT516" i="50"/>
  <c r="AU516" i="50" s="1"/>
  <c r="AW156" i="50"/>
  <c r="AX156" i="50" s="1"/>
  <c r="AZ156" i="50"/>
  <c r="BA156" i="50"/>
  <c r="BX88" i="50"/>
  <c r="BS732" i="50"/>
  <c r="AT741" i="50"/>
  <c r="AU741" i="50" s="1"/>
  <c r="M882" i="50"/>
  <c r="M883" i="50"/>
  <c r="BA521" i="50"/>
  <c r="AZ521" i="50"/>
  <c r="AW1360" i="50"/>
  <c r="AX1360" i="50" s="1"/>
  <c r="BA1360" i="50"/>
  <c r="AZ1360" i="50"/>
  <c r="BV732" i="50"/>
  <c r="AN740" i="50"/>
  <c r="AT740" i="50"/>
  <c r="AU740" i="50" s="1"/>
  <c r="K460" i="50"/>
  <c r="BA460" i="50"/>
  <c r="AZ460" i="50"/>
  <c r="AW460" i="50"/>
  <c r="AX460" i="50" s="1"/>
  <c r="M1023" i="50"/>
  <c r="AT713" i="50"/>
  <c r="AU713" i="50" s="1"/>
  <c r="M1134" i="50"/>
  <c r="K544" i="50"/>
  <c r="AZ544" i="50"/>
  <c r="BA544" i="50"/>
  <c r="AW544" i="50"/>
  <c r="AX544" i="50" s="1"/>
  <c r="M490" i="50"/>
  <c r="M322" i="50"/>
  <c r="AW914" i="50"/>
  <c r="AX914" i="50" s="1"/>
  <c r="AZ914" i="50"/>
  <c r="BA914" i="50"/>
  <c r="AN1272" i="50"/>
  <c r="BV1264" i="50"/>
  <c r="AT1272" i="50"/>
  <c r="AU1272" i="50" s="1"/>
  <c r="AT264" i="50"/>
  <c r="AU264" i="50" s="1"/>
  <c r="M994" i="50"/>
  <c r="BS228" i="50"/>
  <c r="AT237" i="50"/>
  <c r="AU237" i="50" s="1"/>
  <c r="AW1304" i="50"/>
  <c r="AX1304" i="50" s="1"/>
  <c r="BA1304" i="50"/>
  <c r="AZ1304" i="50"/>
  <c r="K1273" i="50"/>
  <c r="AZ1273" i="50"/>
  <c r="BA1273" i="50"/>
  <c r="AW1273" i="50"/>
  <c r="AX1273" i="50" s="1"/>
  <c r="AZ607" i="50"/>
  <c r="BA607" i="50"/>
  <c r="BV1432" i="50"/>
  <c r="AN1440" i="50"/>
  <c r="AT1440" i="50"/>
  <c r="AU1440" i="50" s="1"/>
  <c r="BV1180" i="50"/>
  <c r="AN1188" i="50"/>
  <c r="K852" i="50"/>
  <c r="BA852" i="50"/>
  <c r="AZ852" i="50"/>
  <c r="AW852" i="50"/>
  <c r="AX852" i="50" s="1"/>
  <c r="AW1306" i="50"/>
  <c r="AX1306" i="50" s="1"/>
  <c r="BA1306" i="50"/>
  <c r="AZ1306" i="50"/>
  <c r="K600" i="50"/>
  <c r="BA600" i="50"/>
  <c r="AZ600" i="50"/>
  <c r="AW600" i="50"/>
  <c r="AX600" i="50" s="1"/>
  <c r="K488" i="50"/>
  <c r="BA488" i="50"/>
  <c r="AW488" i="50"/>
  <c r="AX488" i="50" s="1"/>
  <c r="AZ488" i="50"/>
  <c r="AW577" i="50"/>
  <c r="AX577" i="50" s="1"/>
  <c r="AZ577" i="50"/>
  <c r="BA577" i="50"/>
  <c r="AW1446" i="50"/>
  <c r="AX1446" i="50" s="1"/>
  <c r="BA1446" i="50"/>
  <c r="AZ1446" i="50"/>
  <c r="AW886" i="50"/>
  <c r="AX886" i="50" s="1"/>
  <c r="BA886" i="50"/>
  <c r="AZ886" i="50"/>
  <c r="M1386" i="50"/>
  <c r="AN1132" i="50"/>
  <c r="BV1124" i="50"/>
  <c r="K880" i="50"/>
  <c r="BA880" i="50"/>
  <c r="AZ880" i="50"/>
  <c r="AW880" i="50"/>
  <c r="AX880" i="50" s="1"/>
  <c r="AZ297" i="50"/>
  <c r="BA297" i="50"/>
  <c r="AZ466" i="50"/>
  <c r="BA466" i="50"/>
  <c r="BV648" i="50"/>
  <c r="AN656" i="50"/>
  <c r="BV1348" i="50"/>
  <c r="AN1356" i="50"/>
  <c r="M1106" i="50"/>
  <c r="K181" i="50"/>
  <c r="K684" i="50"/>
  <c r="BA684" i="50"/>
  <c r="AW684" i="50"/>
  <c r="AX684" i="50" s="1"/>
  <c r="AZ684" i="50"/>
  <c r="BS284" i="50"/>
  <c r="AT293" i="50"/>
  <c r="AU293" i="50" s="1"/>
  <c r="AT152" i="50"/>
  <c r="AU152" i="50" s="1"/>
  <c r="AN1384" i="50"/>
  <c r="BV1376" i="50"/>
  <c r="M1387" i="50"/>
  <c r="M938" i="50"/>
  <c r="AT1132" i="50"/>
  <c r="AU1132" i="50" s="1"/>
  <c r="K97" i="50"/>
  <c r="AV97" i="50" s="1"/>
  <c r="BR88" i="50" s="1"/>
  <c r="K320" i="50"/>
  <c r="BA320" i="50"/>
  <c r="AW320" i="50"/>
  <c r="AX320" i="50" s="1"/>
  <c r="AZ320" i="50"/>
  <c r="AW103" i="50"/>
  <c r="AX103" i="50" s="1"/>
  <c r="BA103" i="50"/>
  <c r="AZ103" i="50"/>
  <c r="BV424" i="50"/>
  <c r="AN432" i="50"/>
  <c r="K404" i="50"/>
  <c r="AW404" i="50"/>
  <c r="AX404" i="50" s="1"/>
  <c r="BA404" i="50"/>
  <c r="AZ404" i="50"/>
  <c r="BS1068" i="50"/>
  <c r="AT1077" i="50"/>
  <c r="AU1077" i="50" s="1"/>
  <c r="K208" i="50"/>
  <c r="AZ208" i="50"/>
  <c r="AW208" i="50"/>
  <c r="AX208" i="50" s="1"/>
  <c r="BA208" i="50"/>
  <c r="AW1333" i="50"/>
  <c r="AX1333" i="50" s="1"/>
  <c r="BA1333" i="50"/>
  <c r="AZ1333" i="50"/>
  <c r="AW159" i="50"/>
  <c r="AX159" i="50" s="1"/>
  <c r="BA159" i="50"/>
  <c r="AZ159" i="50"/>
  <c r="M995" i="50"/>
  <c r="AN684" i="50"/>
  <c r="BV676" i="50"/>
  <c r="M855" i="50"/>
  <c r="AV99" i="50"/>
  <c r="BD99" i="50" s="1"/>
  <c r="M99" i="50" s="1"/>
  <c r="AW943" i="50"/>
  <c r="AX943" i="50" s="1"/>
  <c r="BA943" i="50"/>
  <c r="AZ943" i="50"/>
  <c r="AZ381" i="50"/>
  <c r="BA381" i="50"/>
  <c r="BA410" i="50"/>
  <c r="AZ410" i="50"/>
  <c r="M575" i="50"/>
  <c r="AN908" i="50"/>
  <c r="BV900" i="50"/>
  <c r="AT349" i="50"/>
  <c r="AU349" i="50" s="1"/>
  <c r="M827" i="50"/>
  <c r="M1358" i="50"/>
  <c r="AN768" i="50"/>
  <c r="BV760" i="50"/>
  <c r="M1107" i="50"/>
  <c r="M238" i="50"/>
  <c r="M1218" i="50"/>
  <c r="AT881" i="50"/>
  <c r="AU881" i="50" s="1"/>
  <c r="AW551" i="50"/>
  <c r="AX551" i="50" s="1"/>
  <c r="BA551" i="50"/>
  <c r="AZ551" i="50"/>
  <c r="BA352" i="50"/>
  <c r="AZ352" i="50"/>
  <c r="AW185" i="50"/>
  <c r="AX185" i="50" s="1"/>
  <c r="BA185" i="50"/>
  <c r="AZ185" i="50"/>
  <c r="AW212" i="50"/>
  <c r="AX212" i="50" s="1"/>
  <c r="AZ212" i="50"/>
  <c r="BA212" i="50"/>
  <c r="AN404" i="50"/>
  <c r="BV396" i="50"/>
  <c r="AN1244" i="50"/>
  <c r="BV1236" i="50"/>
  <c r="M350" i="50"/>
  <c r="M659" i="50"/>
  <c r="BA213" i="50"/>
  <c r="AZ213" i="50"/>
  <c r="AW131" i="50"/>
  <c r="AX131" i="50" s="1"/>
  <c r="AZ131" i="50"/>
  <c r="BA131" i="50"/>
  <c r="M1051" i="50"/>
  <c r="M630" i="50"/>
  <c r="AW859" i="50"/>
  <c r="AX859" i="50" s="1"/>
  <c r="BA859" i="50"/>
  <c r="AZ859" i="50"/>
  <c r="M182" i="50"/>
  <c r="BV200" i="50"/>
  <c r="AN208" i="50"/>
  <c r="M239" i="50"/>
  <c r="AN936" i="50"/>
  <c r="BV928" i="50"/>
  <c r="AN1412" i="50"/>
  <c r="BV1404" i="50"/>
  <c r="AW299" i="50"/>
  <c r="AX299" i="50" s="1"/>
  <c r="AZ299" i="50"/>
  <c r="BA299" i="50"/>
  <c r="BV228" i="50"/>
  <c r="AN236" i="50"/>
  <c r="BV1152" i="50"/>
  <c r="AN1160" i="50"/>
  <c r="BV340" i="50"/>
  <c r="AN348" i="50"/>
  <c r="AN180" i="50"/>
  <c r="BV172" i="50"/>
  <c r="AZ408" i="50"/>
  <c r="BA408" i="50"/>
  <c r="BV844" i="50"/>
  <c r="AN852" i="50"/>
  <c r="AW1109" i="50"/>
  <c r="AX1109" i="50" s="1"/>
  <c r="AZ1109" i="50"/>
  <c r="BA1109" i="50"/>
  <c r="AT1217" i="50"/>
  <c r="AU1217" i="50" s="1"/>
  <c r="BA579" i="50"/>
  <c r="AZ579" i="50"/>
  <c r="AW1307" i="50"/>
  <c r="AX1307" i="50" s="1"/>
  <c r="AZ1307" i="50"/>
  <c r="BA1307" i="50"/>
  <c r="AN1328" i="50"/>
  <c r="BV1320" i="50"/>
  <c r="M1442" i="50"/>
  <c r="I96" i="50"/>
  <c r="AJ96" i="50"/>
  <c r="AT1244" i="50"/>
  <c r="AU1244" i="50" s="1"/>
  <c r="M602" i="50"/>
  <c r="AN544" i="50"/>
  <c r="BV536" i="50"/>
  <c r="AN320" i="50"/>
  <c r="BV312" i="50"/>
  <c r="BA662" i="50"/>
  <c r="AZ662" i="50"/>
  <c r="AW576" i="50"/>
  <c r="AX576" i="50" s="1"/>
  <c r="AZ576" i="50"/>
  <c r="BA576" i="50"/>
  <c r="BA489" i="50"/>
  <c r="AZ690" i="50"/>
  <c r="BA690" i="50"/>
  <c r="BV1096" i="50"/>
  <c r="AN1104" i="50"/>
  <c r="M798" i="50"/>
  <c r="AW102" i="50"/>
  <c r="AX102" i="50" s="1"/>
  <c r="BA102" i="50"/>
  <c r="AZ102" i="50"/>
  <c r="AW802" i="50"/>
  <c r="AX802" i="50" s="1"/>
  <c r="AZ802" i="50"/>
  <c r="BA802" i="50"/>
  <c r="AZ494" i="50"/>
  <c r="BA494" i="50"/>
  <c r="M127" i="50"/>
  <c r="AZ634" i="50"/>
  <c r="BA634" i="50"/>
  <c r="M854" i="50"/>
  <c r="M1162" i="50"/>
  <c r="M210" i="50"/>
  <c r="AW381" i="50"/>
  <c r="AX381" i="50" s="1"/>
  <c r="AW243" i="50"/>
  <c r="AX243" i="50" s="1"/>
  <c r="BA243" i="50"/>
  <c r="AZ243" i="50"/>
  <c r="M1022" i="50"/>
  <c r="K1216" i="50"/>
  <c r="AZ1216" i="50"/>
  <c r="BA1216" i="50"/>
  <c r="AW1216" i="50"/>
  <c r="AX1216" i="50" s="1"/>
  <c r="AW100" i="50"/>
  <c r="AX100" i="50" s="1"/>
  <c r="BA100" i="50"/>
  <c r="AZ100" i="50"/>
  <c r="AW915" i="50"/>
  <c r="AX915" i="50" s="1"/>
  <c r="BA915" i="50"/>
  <c r="AZ915" i="50"/>
  <c r="BV1208" i="50"/>
  <c r="AN1216" i="50"/>
  <c r="M183" i="50"/>
  <c r="AT908" i="50"/>
  <c r="AU908" i="50" s="1"/>
  <c r="AW352" i="50"/>
  <c r="AX352" i="50" s="1"/>
  <c r="M155" i="50"/>
  <c r="AZ1108" i="50"/>
  <c r="BA1108" i="50"/>
  <c r="AW1082" i="50"/>
  <c r="AX1082" i="50" s="1"/>
  <c r="AZ1082" i="50"/>
  <c r="BA1082" i="50"/>
  <c r="AT601" i="50"/>
  <c r="AU601" i="50" s="1"/>
  <c r="AW213" i="50"/>
  <c r="AX213" i="50" s="1"/>
  <c r="AW1332" i="50"/>
  <c r="AX1332" i="50" s="1"/>
  <c r="BA1332" i="50"/>
  <c r="AZ1332" i="50"/>
  <c r="AW1363" i="50"/>
  <c r="AX1363" i="50" s="1"/>
  <c r="BA1363" i="50"/>
  <c r="AZ1363" i="50"/>
  <c r="AW660" i="50"/>
  <c r="AX660" i="50" s="1"/>
  <c r="BA660" i="50"/>
  <c r="AZ660" i="50"/>
  <c r="AW747" i="50"/>
  <c r="AX747" i="50" s="1"/>
  <c r="BA747" i="50"/>
  <c r="AZ747" i="50"/>
  <c r="AN1020" i="50"/>
  <c r="BV1012" i="50"/>
  <c r="BV592" i="50"/>
  <c r="AN600" i="50"/>
  <c r="AW1167" i="50"/>
  <c r="AX1167" i="50" s="1"/>
  <c r="BA1167" i="50"/>
  <c r="AZ1167" i="50"/>
  <c r="M434" i="50"/>
  <c r="AW354" i="50"/>
  <c r="AX354" i="50" s="1"/>
  <c r="BA354" i="50"/>
  <c r="AZ354" i="50"/>
  <c r="AZ1221" i="50"/>
  <c r="BA1221" i="50"/>
  <c r="AW1418" i="50"/>
  <c r="AX1418" i="50" s="1"/>
  <c r="BA1418" i="50"/>
  <c r="AZ1418" i="50"/>
  <c r="AW1026" i="50"/>
  <c r="AX1026" i="50" s="1"/>
  <c r="BA1026" i="50"/>
  <c r="AZ1026" i="50"/>
  <c r="AZ1444" i="50"/>
  <c r="BA1444" i="50"/>
  <c r="M379" i="50"/>
  <c r="AZ912" i="50"/>
  <c r="BA912" i="50"/>
  <c r="M323" i="50"/>
  <c r="BA688" i="50"/>
  <c r="AZ688" i="50"/>
  <c r="M1135" i="50"/>
  <c r="BA605" i="50"/>
  <c r="AZ605" i="50"/>
  <c r="AW410" i="50"/>
  <c r="AX410" i="50" s="1"/>
  <c r="M491" i="50"/>
  <c r="BV872" i="50"/>
  <c r="AN880" i="50"/>
  <c r="K1328" i="50"/>
  <c r="BA1328" i="50"/>
  <c r="AW1328" i="50"/>
  <c r="AX1328" i="50" s="1"/>
  <c r="AZ1328" i="50"/>
  <c r="M1275" i="50"/>
  <c r="AZ298" i="50"/>
  <c r="BA298" i="50"/>
  <c r="AW408" i="50"/>
  <c r="AX408" i="50" s="1"/>
  <c r="AT348" i="50"/>
  <c r="AU348" i="50" s="1"/>
  <c r="AW325" i="50"/>
  <c r="AX325" i="50" s="1"/>
  <c r="BA325" i="50"/>
  <c r="AZ325" i="50"/>
  <c r="BA971" i="50"/>
  <c r="AZ971" i="50"/>
  <c r="AW326" i="50"/>
  <c r="AX326" i="50" s="1"/>
  <c r="AZ326" i="50"/>
  <c r="BA326" i="50"/>
  <c r="BV452" i="50"/>
  <c r="AN460" i="50"/>
  <c r="M518" i="50"/>
  <c r="AW579" i="50"/>
  <c r="AX579" i="50" s="1"/>
  <c r="BV704" i="50"/>
  <c r="AN712" i="50"/>
  <c r="AW1391" i="50"/>
  <c r="AX1391" i="50" s="1"/>
  <c r="BA1391" i="50"/>
  <c r="AZ1391" i="50"/>
  <c r="AT1160" i="50"/>
  <c r="AU1160" i="50" s="1"/>
  <c r="M1331" i="50"/>
  <c r="M1274" i="50"/>
  <c r="AT265" i="50"/>
  <c r="AU265" i="50" s="1"/>
  <c r="AT712" i="50"/>
  <c r="AU712" i="50" s="1"/>
  <c r="AW745" i="50"/>
  <c r="AX745" i="50" s="1"/>
  <c r="AZ745" i="50"/>
  <c r="BA745" i="50"/>
  <c r="AN992" i="50"/>
  <c r="BV984" i="50"/>
  <c r="AR16" i="60"/>
  <c r="AN16" i="60"/>
  <c r="AJ16" i="60"/>
  <c r="AM16" i="60"/>
  <c r="AH16" i="60"/>
  <c r="AL16" i="60"/>
  <c r="AG16" i="60"/>
  <c r="AK16" i="60"/>
  <c r="AI16" i="60"/>
  <c r="AK517" i="66"/>
  <c r="AJ517" i="66"/>
  <c r="AH518" i="66"/>
  <c r="AH334" i="66"/>
  <c r="AK333" i="66"/>
  <c r="AJ333" i="66"/>
  <c r="AJ379" i="66"/>
  <c r="AH748" i="66"/>
  <c r="AK747" i="66"/>
  <c r="AJ747" i="66"/>
  <c r="AH426" i="66"/>
  <c r="AJ425" i="66"/>
  <c r="AK425" i="66"/>
  <c r="AJ149" i="66"/>
  <c r="AH357" i="66"/>
  <c r="AK356" i="66"/>
  <c r="AJ356" i="66"/>
  <c r="AH541" i="66"/>
  <c r="AJ540" i="66"/>
  <c r="AK540" i="66"/>
  <c r="AK379" i="66"/>
  <c r="AH403" i="66"/>
  <c r="AK402" i="66"/>
  <c r="AJ402" i="66"/>
  <c r="AK563" i="66"/>
  <c r="AJ448" i="66"/>
  <c r="AK678" i="66"/>
  <c r="AH702" i="66"/>
  <c r="AK701" i="66"/>
  <c r="AJ701" i="66"/>
  <c r="AH680" i="66"/>
  <c r="AK679" i="66"/>
  <c r="AJ679" i="66"/>
  <c r="AJ380" i="66"/>
  <c r="AK380" i="66"/>
  <c r="AH381" i="66"/>
  <c r="AH472" i="66"/>
  <c r="AJ471" i="66"/>
  <c r="AK471" i="66"/>
  <c r="AH565" i="66"/>
  <c r="AK564" i="66"/>
  <c r="AJ564" i="66"/>
  <c r="AH450" i="66"/>
  <c r="AK449" i="66"/>
  <c r="AJ449" i="66"/>
  <c r="AK724" i="66"/>
  <c r="AJ724" i="66"/>
  <c r="AH725" i="66"/>
  <c r="AH311" i="66"/>
  <c r="AJ310" i="66"/>
  <c r="AK310" i="66"/>
  <c r="AK494" i="66"/>
  <c r="AJ494" i="66"/>
  <c r="AH495" i="66"/>
  <c r="AK656" i="66"/>
  <c r="AH657" i="66"/>
  <c r="AJ656" i="66"/>
  <c r="AH587" i="66"/>
  <c r="AK586" i="66"/>
  <c r="AJ586" i="66"/>
  <c r="AH633" i="66"/>
  <c r="AJ632" i="66"/>
  <c r="AK632" i="66"/>
  <c r="AJ563" i="66"/>
  <c r="AH610" i="66"/>
  <c r="AK609" i="66"/>
  <c r="AJ609" i="66"/>
  <c r="AK149" i="66"/>
  <c r="AJ172" i="66"/>
  <c r="AJ264" i="66"/>
  <c r="AK172" i="66"/>
  <c r="AK264" i="66"/>
  <c r="AK241" i="66"/>
  <c r="AJ241" i="66"/>
  <c r="AJ287" i="66"/>
  <c r="AH288" i="66"/>
  <c r="AK287" i="66"/>
  <c r="AJ265" i="66"/>
  <c r="AK265" i="66"/>
  <c r="AH266" i="66"/>
  <c r="AH174" i="66"/>
  <c r="AK173" i="66"/>
  <c r="AJ173" i="66"/>
  <c r="AK218" i="66"/>
  <c r="AJ218" i="66"/>
  <c r="AH219" i="66"/>
  <c r="AK150" i="66"/>
  <c r="AJ150" i="66"/>
  <c r="AH151" i="66"/>
  <c r="AK242" i="66"/>
  <c r="AH243" i="66"/>
  <c r="AJ242" i="66"/>
  <c r="AH127" i="66"/>
  <c r="AK126" i="66"/>
  <c r="L126" i="66" s="1"/>
  <c r="AJ126" i="66"/>
  <c r="K126" i="66" s="1"/>
  <c r="AJ195" i="66"/>
  <c r="AH196" i="66"/>
  <c r="AK195" i="66"/>
  <c r="AH104" i="66"/>
  <c r="AK103" i="66"/>
  <c r="AJ103" i="66"/>
  <c r="H843" i="43"/>
  <c r="F845" i="43"/>
  <c r="G844" i="43"/>
  <c r="F17" i="60"/>
  <c r="G4" i="50"/>
  <c r="I4" i="50"/>
  <c r="H14" i="60"/>
  <c r="G14" i="60"/>
  <c r="F79" i="66"/>
  <c r="N84" i="66" s="1"/>
  <c r="AB80" i="66"/>
  <c r="AE81" i="66"/>
  <c r="AG80" i="66"/>
  <c r="AB82" i="66"/>
  <c r="AB81" i="66"/>
  <c r="AD81" i="66"/>
  <c r="AD82" i="66" s="1"/>
  <c r="AD83" i="66" s="1"/>
  <c r="AD84" i="66" s="1"/>
  <c r="AD85" i="66" s="1"/>
  <c r="AD86" i="66" s="1"/>
  <c r="AD87" i="66" s="1"/>
  <c r="AD88" i="66" s="1"/>
  <c r="AD89" i="66" s="1"/>
  <c r="AD90" i="66" s="1"/>
  <c r="AD91" i="66" s="1"/>
  <c r="AD92" i="66" s="1"/>
  <c r="AD93" i="66" s="1"/>
  <c r="AD94" i="66" s="1"/>
  <c r="AF80" i="66"/>
  <c r="H800" i="43"/>
  <c r="F18" i="60"/>
  <c r="F19" i="60"/>
  <c r="T36" i="9"/>
  <c r="T38" i="9" s="1"/>
  <c r="T40" i="9" s="1"/>
  <c r="S73" i="57"/>
  <c r="AC73" i="57"/>
  <c r="V73" i="57"/>
  <c r="H73" i="57"/>
  <c r="AB73" i="57"/>
  <c r="T73" i="57"/>
  <c r="U73" i="57"/>
  <c r="F73" i="57"/>
  <c r="O73" i="57"/>
  <c r="Q73" i="57"/>
  <c r="AF73" i="57"/>
  <c r="W73" i="57"/>
  <c r="J73" i="57"/>
  <c r="AD73" i="57"/>
  <c r="G73" i="57"/>
  <c r="I73" i="57"/>
  <c r="E61" i="50"/>
  <c r="K61" i="50"/>
  <c r="H13" i="60" s="1"/>
  <c r="K60" i="50"/>
  <c r="G13" i="60" s="1"/>
  <c r="V66" i="50"/>
  <c r="M48" i="63"/>
  <c r="M798" i="43"/>
  <c r="M108" i="65"/>
  <c r="M769" i="66"/>
  <c r="H1466" i="50"/>
  <c r="I1514" i="50" s="1"/>
  <c r="AL21" i="57"/>
  <c r="AL22" i="57" s="1"/>
  <c r="I2" i="63"/>
  <c r="Y73" i="57"/>
  <c r="N73" i="57"/>
  <c r="Z73" i="57"/>
  <c r="L73" i="57"/>
  <c r="P73" i="57"/>
  <c r="R73" i="57"/>
  <c r="AE73" i="57"/>
  <c r="X73" i="57"/>
  <c r="M73" i="57"/>
  <c r="AG73" i="57"/>
  <c r="E73" i="57"/>
  <c r="AH73" i="57"/>
  <c r="K73" i="57"/>
  <c r="AA73" i="57"/>
  <c r="E70" i="57"/>
  <c r="W82" i="65"/>
  <c r="W83" i="65" s="1"/>
  <c r="W55" i="65"/>
  <c r="W56" i="65" s="1"/>
  <c r="K2" i="63"/>
  <c r="AV16" i="60"/>
  <c r="P16" i="60"/>
  <c r="S16" i="60"/>
  <c r="K16" i="60"/>
  <c r="AE16" i="60"/>
  <c r="O16" i="60"/>
  <c r="V16" i="60"/>
  <c r="X16" i="60"/>
  <c r="L16" i="60"/>
  <c r="J16" i="60"/>
  <c r="G16" i="60"/>
  <c r="U16" i="60"/>
  <c r="Q16" i="60"/>
  <c r="AD16" i="60"/>
  <c r="H16" i="60"/>
  <c r="W16" i="60"/>
  <c r="D16" i="60"/>
  <c r="AU16" i="60"/>
  <c r="AF16" i="60"/>
  <c r="T16" i="60"/>
  <c r="I16" i="60"/>
  <c r="AT16" i="60"/>
  <c r="N16" i="60"/>
  <c r="E16" i="60"/>
  <c r="AP16" i="60"/>
  <c r="AO16" i="60"/>
  <c r="AQ16" i="60"/>
  <c r="M16" i="60"/>
  <c r="R16" i="60"/>
  <c r="F70" i="57"/>
  <c r="U85" i="65"/>
  <c r="R86" i="65"/>
  <c r="U86" i="65" s="1"/>
  <c r="R58" i="65"/>
  <c r="R59" i="65" s="1"/>
  <c r="D60" i="65"/>
  <c r="E59" i="65"/>
  <c r="E58" i="65"/>
  <c r="E87" i="65"/>
  <c r="D89" i="65"/>
  <c r="E88" i="65"/>
  <c r="R87" i="65"/>
  <c r="Q183" i="52"/>
  <c r="S183" i="52" s="1"/>
  <c r="D189" i="52"/>
  <c r="K15" i="60"/>
  <c r="O15" i="60"/>
  <c r="K4" i="50"/>
  <c r="M4" i="50"/>
  <c r="E30" i="9"/>
  <c r="C73" i="57"/>
  <c r="E19" i="9"/>
  <c r="AZ209" i="50" l="1"/>
  <c r="Z17" i="60"/>
  <c r="AC17" i="60"/>
  <c r="Y17" i="60"/>
  <c r="AB17" i="60"/>
  <c r="AA17" i="60"/>
  <c r="AB19" i="60"/>
  <c r="AA19" i="60"/>
  <c r="Z19" i="60"/>
  <c r="AC19" i="60"/>
  <c r="Y19" i="60"/>
  <c r="AC18" i="60"/>
  <c r="Y18" i="60"/>
  <c r="AB18" i="60"/>
  <c r="AA18" i="60"/>
  <c r="Z18" i="60"/>
  <c r="AZ1245" i="50"/>
  <c r="D327" i="66"/>
  <c r="V327" i="66" s="1"/>
  <c r="A327" i="66"/>
  <c r="C350" i="66"/>
  <c r="AM33" i="57"/>
  <c r="AM35" i="57" s="1"/>
  <c r="K1105" i="50"/>
  <c r="AN54" i="57"/>
  <c r="AL23" i="57"/>
  <c r="BA825" i="50"/>
  <c r="K461" i="50"/>
  <c r="BA153" i="50"/>
  <c r="BA1049" i="50"/>
  <c r="K993" i="50"/>
  <c r="AZ433" i="50"/>
  <c r="K853" i="50"/>
  <c r="AZ1441" i="50"/>
  <c r="AZ993" i="50"/>
  <c r="AW853" i="50"/>
  <c r="AX853" i="50" s="1"/>
  <c r="K1049" i="50"/>
  <c r="BA1441" i="50"/>
  <c r="BA993" i="50"/>
  <c r="AZ853" i="50"/>
  <c r="BA125" i="50"/>
  <c r="AW1049" i="50"/>
  <c r="AX1049" i="50" s="1"/>
  <c r="AW1441" i="50"/>
  <c r="AX1441" i="50" s="1"/>
  <c r="K153" i="50"/>
  <c r="AW321" i="50"/>
  <c r="AX321" i="50" s="1"/>
  <c r="AZ1413" i="50"/>
  <c r="AW153" i="50"/>
  <c r="AX153" i="50" s="1"/>
  <c r="BA573" i="50"/>
  <c r="BA1301" i="50"/>
  <c r="AZ1189" i="50"/>
  <c r="K909" i="50"/>
  <c r="AW825" i="50"/>
  <c r="AX825" i="50" s="1"/>
  <c r="AW545" i="50"/>
  <c r="AX545" i="50" s="1"/>
  <c r="BA377" i="50"/>
  <c r="AW1021" i="50"/>
  <c r="AX1021" i="50" s="1"/>
  <c r="AW209" i="50"/>
  <c r="AX209" i="50" s="1"/>
  <c r="K1301" i="50"/>
  <c r="K377" i="50"/>
  <c r="AZ1021" i="50"/>
  <c r="AW377" i="50"/>
  <c r="AX377" i="50" s="1"/>
  <c r="AZ573" i="50"/>
  <c r="BA909" i="50"/>
  <c r="AW1105" i="50"/>
  <c r="AX1105" i="50" s="1"/>
  <c r="K489" i="50"/>
  <c r="BA1329" i="50"/>
  <c r="AW489" i="50"/>
  <c r="AX489" i="50" s="1"/>
  <c r="K1021" i="50"/>
  <c r="BA209" i="50"/>
  <c r="AW97" i="50"/>
  <c r="AX97" i="50" s="1"/>
  <c r="K573" i="50"/>
  <c r="AZ181" i="50"/>
  <c r="AW1301" i="50"/>
  <c r="AX1301" i="50" s="1"/>
  <c r="AW909" i="50"/>
  <c r="AX909" i="50" s="1"/>
  <c r="BA1105" i="50"/>
  <c r="AZ1329" i="50"/>
  <c r="AZ685" i="50"/>
  <c r="AW181" i="50"/>
  <c r="AX181" i="50" s="1"/>
  <c r="BA1245" i="50"/>
  <c r="K685" i="50"/>
  <c r="K825" i="50"/>
  <c r="AZ321" i="50"/>
  <c r="BA545" i="50"/>
  <c r="AW461" i="50"/>
  <c r="AX461" i="50" s="1"/>
  <c r="K1413" i="50"/>
  <c r="K1189" i="50"/>
  <c r="AZ517" i="50"/>
  <c r="BA321" i="50"/>
  <c r="AZ545" i="50"/>
  <c r="BA461" i="50"/>
  <c r="AW1413" i="50"/>
  <c r="AX1413" i="50" s="1"/>
  <c r="AW1189" i="50"/>
  <c r="AX1189" i="50" s="1"/>
  <c r="BA517" i="50"/>
  <c r="K433" i="50"/>
  <c r="AZ125" i="50"/>
  <c r="BA433" i="50"/>
  <c r="K125" i="50"/>
  <c r="K1245" i="50"/>
  <c r="AW685" i="50"/>
  <c r="AX685" i="50" s="1"/>
  <c r="BA97" i="50"/>
  <c r="AZ405" i="50"/>
  <c r="AW657" i="50"/>
  <c r="AX657" i="50" s="1"/>
  <c r="BA405" i="50"/>
  <c r="BA657" i="50"/>
  <c r="K405" i="50"/>
  <c r="AZ657" i="50"/>
  <c r="BG859" i="50"/>
  <c r="CM844" i="50" s="1"/>
  <c r="BG865" i="50"/>
  <c r="CO844" i="50" s="1"/>
  <c r="BG861" i="50"/>
  <c r="CN844" i="50" s="1"/>
  <c r="AN854" i="50"/>
  <c r="AO854" i="50" s="1"/>
  <c r="BB852" i="50"/>
  <c r="M852" i="50" s="1"/>
  <c r="AN1414" i="50"/>
  <c r="AO1414" i="50" s="1"/>
  <c r="BG1419" i="50"/>
  <c r="CM1404" i="50" s="1"/>
  <c r="BG1425" i="50"/>
  <c r="CO1404" i="50" s="1"/>
  <c r="BG1421" i="50"/>
  <c r="CN1404" i="50" s="1"/>
  <c r="BB1412" i="50"/>
  <c r="M1412" i="50" s="1"/>
  <c r="BG1253" i="50"/>
  <c r="CN1236" i="50" s="1"/>
  <c r="BG1251" i="50"/>
  <c r="CM1236" i="50" s="1"/>
  <c r="AN1246" i="50"/>
  <c r="AO1246" i="50" s="1"/>
  <c r="BG1257" i="50"/>
  <c r="CO1236" i="50" s="1"/>
  <c r="BB1244" i="50"/>
  <c r="K824" i="50"/>
  <c r="AW824" i="50"/>
  <c r="AX824" i="50" s="1"/>
  <c r="BA824" i="50"/>
  <c r="AZ824" i="50"/>
  <c r="AN1050" i="50"/>
  <c r="AO1050" i="50" s="1"/>
  <c r="BG1057" i="50"/>
  <c r="CN1040" i="50" s="1"/>
  <c r="BG1061" i="50"/>
  <c r="CO1040" i="50" s="1"/>
  <c r="BG1055" i="50"/>
  <c r="CM1040" i="50" s="1"/>
  <c r="BB1048" i="50"/>
  <c r="M1048" i="50" s="1"/>
  <c r="K937" i="50"/>
  <c r="AW937" i="50"/>
  <c r="AX937" i="50" s="1"/>
  <c r="AZ937" i="50"/>
  <c r="BA937" i="50"/>
  <c r="BG1309" i="50"/>
  <c r="CN1292" i="50" s="1"/>
  <c r="BG1307" i="50"/>
  <c r="CM1292" i="50" s="1"/>
  <c r="BG1313" i="50"/>
  <c r="CO1292" i="50" s="1"/>
  <c r="AN1302" i="50"/>
  <c r="AO1302" i="50" s="1"/>
  <c r="BB1300" i="50"/>
  <c r="K348" i="50"/>
  <c r="AZ348" i="50"/>
  <c r="AW348" i="50"/>
  <c r="AX348" i="50" s="1"/>
  <c r="BA348" i="50"/>
  <c r="K601" i="50"/>
  <c r="BA601" i="50"/>
  <c r="AW601" i="50"/>
  <c r="AX601" i="50" s="1"/>
  <c r="AZ601" i="50"/>
  <c r="K908" i="50"/>
  <c r="BA908" i="50"/>
  <c r="AZ908" i="50"/>
  <c r="AW908" i="50"/>
  <c r="AX908" i="50" s="1"/>
  <c r="BG333" i="50"/>
  <c r="CO312" i="50" s="1"/>
  <c r="BG329" i="50"/>
  <c r="CN312" i="50" s="1"/>
  <c r="AN322" i="50"/>
  <c r="AO322" i="50" s="1"/>
  <c r="BG327" i="50"/>
  <c r="CM312" i="50" s="1"/>
  <c r="BB320" i="50"/>
  <c r="M320" i="50" s="1"/>
  <c r="K1244" i="50"/>
  <c r="AZ1244" i="50"/>
  <c r="BA1244" i="50"/>
  <c r="AW1244" i="50"/>
  <c r="AX1244" i="50" s="1"/>
  <c r="AN182" i="50"/>
  <c r="AO182" i="50" s="1"/>
  <c r="BG189" i="50"/>
  <c r="CN172" i="50" s="1"/>
  <c r="BG193" i="50"/>
  <c r="CO172" i="50" s="1"/>
  <c r="BG187" i="50"/>
  <c r="CM172" i="50" s="1"/>
  <c r="BB180" i="50"/>
  <c r="M180" i="50" s="1"/>
  <c r="AN686" i="50"/>
  <c r="AO686" i="50" s="1"/>
  <c r="BG697" i="50"/>
  <c r="CO676" i="50" s="1"/>
  <c r="BG693" i="50"/>
  <c r="CN676" i="50" s="1"/>
  <c r="BG691" i="50"/>
  <c r="CM676" i="50" s="1"/>
  <c r="BB684" i="50"/>
  <c r="M684" i="50" s="1"/>
  <c r="K1077" i="50"/>
  <c r="AZ1077" i="50"/>
  <c r="AW1077" i="50"/>
  <c r="AX1077" i="50" s="1"/>
  <c r="BA1077" i="50"/>
  <c r="K152" i="50"/>
  <c r="AZ152" i="50"/>
  <c r="BA152" i="50"/>
  <c r="AW152" i="50"/>
  <c r="AX152" i="50" s="1"/>
  <c r="BG1365" i="50"/>
  <c r="CN1348" i="50" s="1"/>
  <c r="BG1363" i="50"/>
  <c r="CM1348" i="50" s="1"/>
  <c r="BG1369" i="50"/>
  <c r="CO1348" i="50" s="1"/>
  <c r="AN1358" i="50"/>
  <c r="AO1358" i="50" s="1"/>
  <c r="BB1356" i="50"/>
  <c r="M1356" i="50" s="1"/>
  <c r="K264" i="50"/>
  <c r="AZ264" i="50"/>
  <c r="AW264" i="50"/>
  <c r="AX264" i="50" s="1"/>
  <c r="BA264" i="50"/>
  <c r="K740" i="50"/>
  <c r="AW740" i="50"/>
  <c r="AX740" i="50" s="1"/>
  <c r="BA740" i="50"/>
  <c r="AZ740" i="50"/>
  <c r="K1357" i="50"/>
  <c r="AW1357" i="50"/>
  <c r="AX1357" i="50" s="1"/>
  <c r="AZ1357" i="50"/>
  <c r="BA1357" i="50"/>
  <c r="BG301" i="50"/>
  <c r="CN284" i="50" s="1"/>
  <c r="AN294" i="50"/>
  <c r="AO294" i="50" s="1"/>
  <c r="BG305" i="50"/>
  <c r="CO284" i="50" s="1"/>
  <c r="BG299" i="50"/>
  <c r="CM284" i="50" s="1"/>
  <c r="BB292" i="50"/>
  <c r="AN574" i="50"/>
  <c r="AO574" i="50" s="1"/>
  <c r="BG579" i="50"/>
  <c r="CM564" i="50" s="1"/>
  <c r="BG581" i="50"/>
  <c r="CN564" i="50" s="1"/>
  <c r="BG585" i="50"/>
  <c r="CO564" i="50" s="1"/>
  <c r="BB572" i="50"/>
  <c r="BG1083" i="50"/>
  <c r="CM1068" i="50" s="1"/>
  <c r="BG1085" i="50"/>
  <c r="CN1068" i="50" s="1"/>
  <c r="BG1089" i="50"/>
  <c r="CO1068" i="50" s="1"/>
  <c r="AN1078" i="50"/>
  <c r="AO1078" i="50" s="1"/>
  <c r="BB1076" i="50"/>
  <c r="BG637" i="50"/>
  <c r="CN620" i="50" s="1"/>
  <c r="AN630" i="50"/>
  <c r="AO630" i="50" s="1"/>
  <c r="BG635" i="50"/>
  <c r="CM620" i="50" s="1"/>
  <c r="BG641" i="50"/>
  <c r="CO620" i="50" s="1"/>
  <c r="BB628" i="50"/>
  <c r="M628" i="50" s="1"/>
  <c r="BG133" i="50"/>
  <c r="CN116" i="50" s="1"/>
  <c r="AN126" i="50"/>
  <c r="AO126" i="50" s="1"/>
  <c r="BG137" i="50"/>
  <c r="CO116" i="50" s="1"/>
  <c r="BG131" i="50"/>
  <c r="CM116" i="50" s="1"/>
  <c r="BB124" i="50"/>
  <c r="K1133" i="50"/>
  <c r="AW1133" i="50"/>
  <c r="AX1133" i="50" s="1"/>
  <c r="BA1133" i="50"/>
  <c r="AZ1133" i="50"/>
  <c r="BG523" i="50"/>
  <c r="CM508" i="50" s="1"/>
  <c r="AN518" i="50"/>
  <c r="AO518" i="50" s="1"/>
  <c r="BG529" i="50"/>
  <c r="CO508" i="50" s="1"/>
  <c r="BG525" i="50"/>
  <c r="CN508" i="50" s="1"/>
  <c r="BB516" i="50"/>
  <c r="K265" i="50"/>
  <c r="BA265" i="50"/>
  <c r="AZ265" i="50"/>
  <c r="AW265" i="50"/>
  <c r="AX265" i="50" s="1"/>
  <c r="BG917" i="50"/>
  <c r="CN900" i="50" s="1"/>
  <c r="BG915" i="50"/>
  <c r="CM900" i="50" s="1"/>
  <c r="BG921" i="50"/>
  <c r="CO900" i="50" s="1"/>
  <c r="AN910" i="50"/>
  <c r="AO910" i="50" s="1"/>
  <c r="BB908" i="50"/>
  <c r="K1132" i="50"/>
  <c r="BA1132" i="50"/>
  <c r="AZ1132" i="50"/>
  <c r="AW1132" i="50"/>
  <c r="AX1132" i="50" s="1"/>
  <c r="K292" i="50"/>
  <c r="AW292" i="50"/>
  <c r="AX292" i="50" s="1"/>
  <c r="BA292" i="50"/>
  <c r="AZ292" i="50"/>
  <c r="K629" i="50"/>
  <c r="AW629" i="50"/>
  <c r="AX629" i="50" s="1"/>
  <c r="BA629" i="50"/>
  <c r="AZ629" i="50"/>
  <c r="K1385" i="50"/>
  <c r="AW1385" i="50"/>
  <c r="AX1385" i="50" s="1"/>
  <c r="AZ1385" i="50"/>
  <c r="BA1385" i="50"/>
  <c r="AN882" i="50"/>
  <c r="AO882" i="50" s="1"/>
  <c r="BG889" i="50"/>
  <c r="CN872" i="50" s="1"/>
  <c r="BG887" i="50"/>
  <c r="CM872" i="50" s="1"/>
  <c r="BG893" i="50"/>
  <c r="CO872" i="50" s="1"/>
  <c r="BB880" i="50"/>
  <c r="M880" i="50" s="1"/>
  <c r="BV88" i="50"/>
  <c r="AN96" i="50"/>
  <c r="AT96" i="50"/>
  <c r="AU96" i="50" s="1"/>
  <c r="AN1330" i="50"/>
  <c r="AO1330" i="50" s="1"/>
  <c r="BG1337" i="50"/>
  <c r="CN1320" i="50" s="1"/>
  <c r="BG1335" i="50"/>
  <c r="CM1320" i="50" s="1"/>
  <c r="BG1341" i="50"/>
  <c r="CO1320" i="50" s="1"/>
  <c r="BB1328" i="50"/>
  <c r="M1328" i="50" s="1"/>
  <c r="BG361" i="50"/>
  <c r="CO340" i="50" s="1"/>
  <c r="BG357" i="50"/>
  <c r="CN340" i="50" s="1"/>
  <c r="AN350" i="50"/>
  <c r="AO350" i="50" s="1"/>
  <c r="BG355" i="50"/>
  <c r="CM340" i="50" s="1"/>
  <c r="BB348" i="50"/>
  <c r="BG249" i="50"/>
  <c r="CO228" i="50" s="1"/>
  <c r="BG243" i="50"/>
  <c r="CM228" i="50" s="1"/>
  <c r="BG245" i="50"/>
  <c r="CN228" i="50" s="1"/>
  <c r="AN238" i="50"/>
  <c r="AO238" i="50" s="1"/>
  <c r="BB236" i="50"/>
  <c r="M236" i="50" s="1"/>
  <c r="BG943" i="50"/>
  <c r="CM928" i="50" s="1"/>
  <c r="BG949" i="50"/>
  <c r="CO928" i="50" s="1"/>
  <c r="AN938" i="50"/>
  <c r="AO938" i="50" s="1"/>
  <c r="BG945" i="50"/>
  <c r="CN928" i="50" s="1"/>
  <c r="BB936" i="50"/>
  <c r="BG413" i="50"/>
  <c r="CN396" i="50" s="1"/>
  <c r="BG411" i="50"/>
  <c r="CM396" i="50" s="1"/>
  <c r="AN406" i="50"/>
  <c r="AO406" i="50" s="1"/>
  <c r="BG417" i="50"/>
  <c r="CO396" i="50" s="1"/>
  <c r="BB404" i="50"/>
  <c r="M404" i="50" s="1"/>
  <c r="K881" i="50"/>
  <c r="BA881" i="50"/>
  <c r="AZ881" i="50"/>
  <c r="AW881" i="50"/>
  <c r="AX881" i="50" s="1"/>
  <c r="K349" i="50"/>
  <c r="AZ349" i="50"/>
  <c r="AW349" i="50"/>
  <c r="AX349" i="50" s="1"/>
  <c r="BA349" i="50"/>
  <c r="BZ88" i="50"/>
  <c r="BA99" i="50"/>
  <c r="K293" i="50"/>
  <c r="AZ293" i="50"/>
  <c r="BA293" i="50"/>
  <c r="AW293" i="50"/>
  <c r="AX293" i="50" s="1"/>
  <c r="AN1134" i="50"/>
  <c r="AO1134" i="50" s="1"/>
  <c r="BG1139" i="50"/>
  <c r="CM1124" i="50" s="1"/>
  <c r="BG1141" i="50"/>
  <c r="CN1124" i="50" s="1"/>
  <c r="BG1145" i="50"/>
  <c r="CO1124" i="50" s="1"/>
  <c r="BB1132" i="50"/>
  <c r="K1440" i="50"/>
  <c r="AW1440" i="50"/>
  <c r="AX1440" i="50" s="1"/>
  <c r="BA1440" i="50"/>
  <c r="AZ1440" i="50"/>
  <c r="K237" i="50"/>
  <c r="AW237" i="50"/>
  <c r="AX237" i="50" s="1"/>
  <c r="AZ237" i="50"/>
  <c r="BA237" i="50"/>
  <c r="K1272" i="50"/>
  <c r="AW1272" i="50"/>
  <c r="AX1272" i="50" s="1"/>
  <c r="BA1272" i="50"/>
  <c r="AZ1272" i="50"/>
  <c r="BG753" i="50"/>
  <c r="CO732" i="50" s="1"/>
  <c r="AN742" i="50"/>
  <c r="AO742" i="50" s="1"/>
  <c r="BG747" i="50"/>
  <c r="CM732" i="50" s="1"/>
  <c r="BG749" i="50"/>
  <c r="CN732" i="50" s="1"/>
  <c r="BB740" i="50"/>
  <c r="BD98" i="50"/>
  <c r="M98" i="50" s="1"/>
  <c r="BG161" i="50"/>
  <c r="CN144" i="50" s="1"/>
  <c r="AN154" i="50"/>
  <c r="AO154" i="50" s="1"/>
  <c r="BG159" i="50"/>
  <c r="CM144" i="50" s="1"/>
  <c r="BG165" i="50"/>
  <c r="CO144" i="50" s="1"/>
  <c r="BB152" i="50"/>
  <c r="K965" i="50"/>
  <c r="AW965" i="50"/>
  <c r="AX965" i="50" s="1"/>
  <c r="BA965" i="50"/>
  <c r="AZ965" i="50"/>
  <c r="M936" i="50"/>
  <c r="K769" i="50"/>
  <c r="AW769" i="50"/>
  <c r="AX769" i="50" s="1"/>
  <c r="BA769" i="50"/>
  <c r="AZ769" i="50"/>
  <c r="AN826" i="50"/>
  <c r="AO826" i="50" s="1"/>
  <c r="BG831" i="50"/>
  <c r="CM816" i="50" s="1"/>
  <c r="BG837" i="50"/>
  <c r="CO816" i="50" s="1"/>
  <c r="BG833" i="50"/>
  <c r="CN816" i="50" s="1"/>
  <c r="BB824" i="50"/>
  <c r="BG971" i="50"/>
  <c r="CM956" i="50" s="1"/>
  <c r="AN966" i="50"/>
  <c r="AO966" i="50" s="1"/>
  <c r="BG973" i="50"/>
  <c r="CN956" i="50" s="1"/>
  <c r="BG977" i="50"/>
  <c r="CO956" i="50" s="1"/>
  <c r="BB964" i="50"/>
  <c r="M964" i="50" s="1"/>
  <c r="BG495" i="50"/>
  <c r="CM480" i="50" s="1"/>
  <c r="BG497" i="50"/>
  <c r="CN480" i="50" s="1"/>
  <c r="AN490" i="50"/>
  <c r="AO490" i="50" s="1"/>
  <c r="BG501" i="50"/>
  <c r="CO480" i="50" s="1"/>
  <c r="BB488" i="50"/>
  <c r="M488" i="50" s="1"/>
  <c r="K1300" i="50"/>
  <c r="AZ1300" i="50"/>
  <c r="AW1300" i="50"/>
  <c r="AX1300" i="50" s="1"/>
  <c r="BA1300" i="50"/>
  <c r="BG271" i="50"/>
  <c r="CM256" i="50" s="1"/>
  <c r="AN266" i="50"/>
  <c r="AO266" i="50" s="1"/>
  <c r="BG277" i="50"/>
  <c r="CO256" i="50" s="1"/>
  <c r="BG273" i="50"/>
  <c r="CN256" i="50" s="1"/>
  <c r="BB264" i="50"/>
  <c r="BG609" i="50"/>
  <c r="CN592" i="50" s="1"/>
  <c r="BG607" i="50"/>
  <c r="CM592" i="50" s="1"/>
  <c r="AN602" i="50"/>
  <c r="AO602" i="50" s="1"/>
  <c r="BG613" i="50"/>
  <c r="CO592" i="50" s="1"/>
  <c r="BB600" i="50"/>
  <c r="M600" i="50" s="1"/>
  <c r="K1217" i="50"/>
  <c r="BA1217" i="50"/>
  <c r="AZ1217" i="50"/>
  <c r="AW1217" i="50"/>
  <c r="AX1217" i="50" s="1"/>
  <c r="BG1173" i="50"/>
  <c r="CO1152" i="50" s="1"/>
  <c r="BG1167" i="50"/>
  <c r="CM1152" i="50" s="1"/>
  <c r="AN1162" i="50"/>
  <c r="AO1162" i="50" s="1"/>
  <c r="BG1169" i="50"/>
  <c r="CN1152" i="50" s="1"/>
  <c r="BB1160" i="50"/>
  <c r="BG221" i="50"/>
  <c r="CO200" i="50" s="1"/>
  <c r="BG217" i="50"/>
  <c r="CN200" i="50" s="1"/>
  <c r="AN210" i="50"/>
  <c r="AO210" i="50" s="1"/>
  <c r="BG215" i="50"/>
  <c r="CM200" i="50" s="1"/>
  <c r="BB208" i="50"/>
  <c r="M208" i="50" s="1"/>
  <c r="AN1386" i="50"/>
  <c r="AO1386" i="50" s="1"/>
  <c r="BG1397" i="50"/>
  <c r="CO1376" i="50" s="1"/>
  <c r="BG1393" i="50"/>
  <c r="CN1376" i="50" s="1"/>
  <c r="BG1391" i="50"/>
  <c r="CM1376" i="50" s="1"/>
  <c r="BB1384" i="50"/>
  <c r="M1384" i="50" s="1"/>
  <c r="BG1201" i="50"/>
  <c r="CO1180" i="50" s="1"/>
  <c r="BG1195" i="50"/>
  <c r="CM1180" i="50" s="1"/>
  <c r="BG1197" i="50"/>
  <c r="CN1180" i="50" s="1"/>
  <c r="AN1190" i="50"/>
  <c r="AO1190" i="50" s="1"/>
  <c r="BB1188" i="50"/>
  <c r="M1188" i="50" s="1"/>
  <c r="BG1279" i="50"/>
  <c r="CM1264" i="50" s="1"/>
  <c r="BG1281" i="50"/>
  <c r="CN1264" i="50" s="1"/>
  <c r="BG1285" i="50"/>
  <c r="CO1264" i="50" s="1"/>
  <c r="AN1274" i="50"/>
  <c r="AO1274" i="50" s="1"/>
  <c r="BB1272" i="50"/>
  <c r="BG385" i="50"/>
  <c r="CN368" i="50" s="1"/>
  <c r="BG389" i="50"/>
  <c r="CO368" i="50" s="1"/>
  <c r="BG383" i="50"/>
  <c r="CM368" i="50" s="1"/>
  <c r="AN378" i="50"/>
  <c r="AO378" i="50" s="1"/>
  <c r="BB376" i="50"/>
  <c r="M376" i="50" s="1"/>
  <c r="BG809" i="50"/>
  <c r="CO788" i="50" s="1"/>
  <c r="BG803" i="50"/>
  <c r="CM788" i="50" s="1"/>
  <c r="AN798" i="50"/>
  <c r="AO798" i="50" s="1"/>
  <c r="BG805" i="50"/>
  <c r="CN788" i="50" s="1"/>
  <c r="BB796" i="50"/>
  <c r="M796" i="50" s="1"/>
  <c r="K1076" i="50"/>
  <c r="AW1076" i="50"/>
  <c r="AX1076" i="50" s="1"/>
  <c r="BA1076" i="50"/>
  <c r="AZ1076" i="50"/>
  <c r="BG1005" i="50"/>
  <c r="CO984" i="50" s="1"/>
  <c r="BG1001" i="50"/>
  <c r="CN984" i="50" s="1"/>
  <c r="BG999" i="50"/>
  <c r="CM984" i="50" s="1"/>
  <c r="AN994" i="50"/>
  <c r="AO994" i="50" s="1"/>
  <c r="BB992" i="50"/>
  <c r="M992" i="50" s="1"/>
  <c r="K712" i="50"/>
  <c r="AW712" i="50"/>
  <c r="AX712" i="50" s="1"/>
  <c r="BA712" i="50"/>
  <c r="AZ712" i="50"/>
  <c r="K1160" i="50"/>
  <c r="BA1160" i="50"/>
  <c r="AZ1160" i="50"/>
  <c r="AW1160" i="50"/>
  <c r="AX1160" i="50" s="1"/>
  <c r="BG719" i="50"/>
  <c r="CM704" i="50" s="1"/>
  <c r="BG725" i="50"/>
  <c r="CO704" i="50" s="1"/>
  <c r="AN714" i="50"/>
  <c r="AO714" i="50" s="1"/>
  <c r="BG721" i="50"/>
  <c r="CN704" i="50" s="1"/>
  <c r="BB712" i="50"/>
  <c r="BG473" i="50"/>
  <c r="CO452" i="50" s="1"/>
  <c r="BG469" i="50"/>
  <c r="CN452" i="50" s="1"/>
  <c r="AN462" i="50"/>
  <c r="AO462" i="50" s="1"/>
  <c r="BG467" i="50"/>
  <c r="CM452" i="50" s="1"/>
  <c r="BB460" i="50"/>
  <c r="M460" i="50" s="1"/>
  <c r="AN1022" i="50"/>
  <c r="AO1022" i="50" s="1"/>
  <c r="BG1029" i="50"/>
  <c r="CN1012" i="50" s="1"/>
  <c r="BG1033" i="50"/>
  <c r="CO1012" i="50" s="1"/>
  <c r="BG1027" i="50"/>
  <c r="CM1012" i="50" s="1"/>
  <c r="BB1020" i="50"/>
  <c r="M1020" i="50" s="1"/>
  <c r="BG1225" i="50"/>
  <c r="CN1208" i="50" s="1"/>
  <c r="BG1223" i="50"/>
  <c r="CM1208" i="50" s="1"/>
  <c r="AN1218" i="50"/>
  <c r="AO1218" i="50" s="1"/>
  <c r="BG1229" i="50"/>
  <c r="CO1208" i="50" s="1"/>
  <c r="BB1216" i="50"/>
  <c r="M1216" i="50" s="1"/>
  <c r="BG1113" i="50"/>
  <c r="CN1096" i="50" s="1"/>
  <c r="BG1117" i="50"/>
  <c r="CO1096" i="50" s="1"/>
  <c r="AN1106" i="50"/>
  <c r="AO1106" i="50" s="1"/>
  <c r="BG1111" i="50"/>
  <c r="CM1096" i="50" s="1"/>
  <c r="BB1104" i="50"/>
  <c r="M1104" i="50" s="1"/>
  <c r="BG557" i="50"/>
  <c r="CO536" i="50" s="1"/>
  <c r="BG551" i="50"/>
  <c r="CM536" i="50" s="1"/>
  <c r="BG553" i="50"/>
  <c r="CN536" i="50" s="1"/>
  <c r="AN546" i="50"/>
  <c r="AO546" i="50" s="1"/>
  <c r="BB544" i="50"/>
  <c r="M544" i="50" s="1"/>
  <c r="BG781" i="50"/>
  <c r="CO760" i="50" s="1"/>
  <c r="BG775" i="50"/>
  <c r="CM760" i="50" s="1"/>
  <c r="BG777" i="50"/>
  <c r="CN760" i="50" s="1"/>
  <c r="AN770" i="50"/>
  <c r="AO770" i="50" s="1"/>
  <c r="BB768" i="50"/>
  <c r="M768" i="50" s="1"/>
  <c r="BG439" i="50"/>
  <c r="CM424" i="50" s="1"/>
  <c r="AN434" i="50"/>
  <c r="AO434" i="50" s="1"/>
  <c r="BG441" i="50"/>
  <c r="CN424" i="50" s="1"/>
  <c r="BG445" i="50"/>
  <c r="CO424" i="50" s="1"/>
  <c r="BB432" i="50"/>
  <c r="M432" i="50" s="1"/>
  <c r="BG663" i="50"/>
  <c r="CM648" i="50" s="1"/>
  <c r="BG669" i="50"/>
  <c r="CO648" i="50" s="1"/>
  <c r="AN658" i="50"/>
  <c r="AO658" i="50" s="1"/>
  <c r="BG665" i="50"/>
  <c r="CN648" i="50" s="1"/>
  <c r="BB656" i="50"/>
  <c r="M656" i="50" s="1"/>
  <c r="BG1449" i="50"/>
  <c r="CN1432" i="50" s="1"/>
  <c r="BG1447" i="50"/>
  <c r="CM1432" i="50" s="1"/>
  <c r="AN1442" i="50"/>
  <c r="AO1442" i="50" s="1"/>
  <c r="BG1453" i="50"/>
  <c r="CO1432" i="50" s="1"/>
  <c r="BB1440" i="50"/>
  <c r="K713" i="50"/>
  <c r="BA713" i="50"/>
  <c r="AZ713" i="50"/>
  <c r="AW713" i="50"/>
  <c r="AX713" i="50" s="1"/>
  <c r="K741" i="50"/>
  <c r="AW741" i="50"/>
  <c r="AX741" i="50" s="1"/>
  <c r="AZ741" i="50"/>
  <c r="BA741" i="50"/>
  <c r="K516" i="50"/>
  <c r="AW516" i="50"/>
  <c r="AX516" i="50" s="1"/>
  <c r="AZ516" i="50"/>
  <c r="BA516" i="50"/>
  <c r="K1161" i="50"/>
  <c r="AW1161" i="50"/>
  <c r="AX1161" i="50" s="1"/>
  <c r="BA1161" i="50"/>
  <c r="AZ1161" i="50"/>
  <c r="K572" i="50"/>
  <c r="AW572" i="50"/>
  <c r="AX572" i="50" s="1"/>
  <c r="BA572" i="50"/>
  <c r="AZ572" i="50"/>
  <c r="K124" i="50"/>
  <c r="AW124" i="50"/>
  <c r="AX124" i="50" s="1"/>
  <c r="BA124" i="50"/>
  <c r="AZ124" i="50"/>
  <c r="AN19" i="60"/>
  <c r="AJ19" i="60"/>
  <c r="AK19" i="60"/>
  <c r="AI19" i="60"/>
  <c r="AM19" i="60"/>
  <c r="AL19" i="60"/>
  <c r="AH19" i="60"/>
  <c r="AG19" i="60"/>
  <c r="AE18" i="60"/>
  <c r="AN18" i="60"/>
  <c r="AJ18" i="60"/>
  <c r="AM18" i="60"/>
  <c r="AH18" i="60"/>
  <c r="AG18" i="60"/>
  <c r="AL18" i="60"/>
  <c r="AK18" i="60"/>
  <c r="AI18" i="60"/>
  <c r="AO17" i="60"/>
  <c r="AN17" i="60"/>
  <c r="AJ17" i="60"/>
  <c r="AK17" i="60"/>
  <c r="AI17" i="60"/>
  <c r="AH17" i="60"/>
  <c r="AG17" i="60"/>
  <c r="AM17" i="60"/>
  <c r="AL17" i="60"/>
  <c r="AH658" i="66"/>
  <c r="AK657" i="66"/>
  <c r="AJ657" i="66"/>
  <c r="AH726" i="66"/>
  <c r="AK725" i="66"/>
  <c r="AJ725" i="66"/>
  <c r="AK565" i="66"/>
  <c r="AJ565" i="66"/>
  <c r="AH566" i="66"/>
  <c r="AH382" i="66"/>
  <c r="AK381" i="66"/>
  <c r="AJ381" i="66"/>
  <c r="AK702" i="66"/>
  <c r="AH703" i="66"/>
  <c r="AJ702" i="66"/>
  <c r="AK748" i="66"/>
  <c r="AJ748" i="66"/>
  <c r="AH749" i="66"/>
  <c r="AK334" i="66"/>
  <c r="AJ334" i="66"/>
  <c r="AH335" i="66"/>
  <c r="AJ450" i="66"/>
  <c r="AK450" i="66"/>
  <c r="AH451" i="66"/>
  <c r="AK680" i="66"/>
  <c r="AJ680" i="66"/>
  <c r="AH681" i="66"/>
  <c r="AK357" i="66"/>
  <c r="AH358" i="66"/>
  <c r="AJ357" i="66"/>
  <c r="AH427" i="66"/>
  <c r="AK426" i="66"/>
  <c r="AJ426" i="66"/>
  <c r="AK518" i="66"/>
  <c r="AJ518" i="66"/>
  <c r="AH519" i="66"/>
  <c r="AH588" i="66"/>
  <c r="AK587" i="66"/>
  <c r="AJ587" i="66"/>
  <c r="AJ495" i="66"/>
  <c r="AH496" i="66"/>
  <c r="AK495" i="66"/>
  <c r="AH404" i="66"/>
  <c r="AJ403" i="66"/>
  <c r="AK403" i="66"/>
  <c r="AH542" i="66"/>
  <c r="AK541" i="66"/>
  <c r="AJ541" i="66"/>
  <c r="T75" i="50"/>
  <c r="T74" i="50"/>
  <c r="T73" i="50"/>
  <c r="T72" i="50"/>
  <c r="AH611" i="66"/>
  <c r="AJ610" i="66"/>
  <c r="AK610" i="66"/>
  <c r="AH634" i="66"/>
  <c r="AK633" i="66"/>
  <c r="AJ633" i="66"/>
  <c r="AH312" i="66"/>
  <c r="AJ311" i="66"/>
  <c r="AK311" i="66"/>
  <c r="AH473" i="66"/>
  <c r="AJ472" i="66"/>
  <c r="AK472" i="66"/>
  <c r="AH197" i="66"/>
  <c r="AJ196" i="66"/>
  <c r="AK196" i="66"/>
  <c r="AH220" i="66"/>
  <c r="AK219" i="66"/>
  <c r="AJ219" i="66"/>
  <c r="AJ174" i="66"/>
  <c r="AK174" i="66"/>
  <c r="AH175" i="66"/>
  <c r="AJ266" i="66"/>
  <c r="AK266" i="66"/>
  <c r="AH267" i="66"/>
  <c r="Q189" i="52"/>
  <c r="S189" i="52" s="1"/>
  <c r="D195" i="52"/>
  <c r="Q195" i="52" s="1"/>
  <c r="S195" i="52" s="1"/>
  <c r="AJ104" i="66"/>
  <c r="AK104" i="66"/>
  <c r="AH105" i="66"/>
  <c r="AJ127" i="66"/>
  <c r="K127" i="66" s="1"/>
  <c r="AH128" i="66"/>
  <c r="AK127" i="66"/>
  <c r="L127" i="66" s="1"/>
  <c r="AK243" i="66"/>
  <c r="AJ243" i="66"/>
  <c r="AH244" i="66"/>
  <c r="AK151" i="66"/>
  <c r="AJ151" i="66"/>
  <c r="AH152" i="66"/>
  <c r="AJ288" i="66"/>
  <c r="AH289" i="66"/>
  <c r="AK288" i="66"/>
  <c r="H844" i="43"/>
  <c r="F846" i="43"/>
  <c r="G845" i="43"/>
  <c r="I17" i="60"/>
  <c r="M17" i="60"/>
  <c r="P17" i="60"/>
  <c r="AP17" i="60"/>
  <c r="AD17" i="60"/>
  <c r="R17" i="60"/>
  <c r="T17" i="60"/>
  <c r="O17" i="60"/>
  <c r="AR17" i="60"/>
  <c r="U17" i="60"/>
  <c r="L17" i="60"/>
  <c r="W17" i="60"/>
  <c r="G17" i="60"/>
  <c r="AU17" i="60"/>
  <c r="E17" i="60"/>
  <c r="AV17" i="60"/>
  <c r="Q17" i="60"/>
  <c r="D17" i="60"/>
  <c r="N17" i="60"/>
  <c r="K17" i="60"/>
  <c r="H17" i="60"/>
  <c r="V17" i="60"/>
  <c r="AQ17" i="60"/>
  <c r="I1513" i="50"/>
  <c r="S17" i="60"/>
  <c r="AF17" i="60"/>
  <c r="X17" i="60"/>
  <c r="AE17" i="60"/>
  <c r="J17" i="60"/>
  <c r="AT17" i="60"/>
  <c r="N18" i="60"/>
  <c r="AF18" i="60"/>
  <c r="D18" i="60"/>
  <c r="Q18" i="60"/>
  <c r="AQ18" i="60"/>
  <c r="AP18" i="60"/>
  <c r="L18" i="60"/>
  <c r="E18" i="60"/>
  <c r="X18" i="60"/>
  <c r="AT18" i="60"/>
  <c r="T18" i="60"/>
  <c r="AU18" i="60"/>
  <c r="I18" i="60"/>
  <c r="O18" i="60"/>
  <c r="S18" i="60"/>
  <c r="V18" i="60"/>
  <c r="U18" i="60"/>
  <c r="AR18" i="60"/>
  <c r="O19" i="60"/>
  <c r="AR19" i="60"/>
  <c r="AE82" i="66"/>
  <c r="AI80" i="66"/>
  <c r="AI81" i="66" s="1"/>
  <c r="AI82" i="66" s="1"/>
  <c r="AI83" i="66" s="1"/>
  <c r="AI84" i="66" s="1"/>
  <c r="AI85" i="66" s="1"/>
  <c r="AI86" i="66" s="1"/>
  <c r="AI87" i="66" s="1"/>
  <c r="AI88" i="66" s="1"/>
  <c r="AI89" i="66" s="1"/>
  <c r="AI90" i="66" s="1"/>
  <c r="AI91" i="66" s="1"/>
  <c r="AI92" i="66" s="1"/>
  <c r="AI93" i="66" s="1"/>
  <c r="AI94" i="66" s="1"/>
  <c r="AG81" i="66"/>
  <c r="AG82" i="66" s="1"/>
  <c r="AG83" i="66" s="1"/>
  <c r="AG84" i="66" s="1"/>
  <c r="AG85" i="66" s="1"/>
  <c r="AG86" i="66" s="1"/>
  <c r="AG87" i="66" s="1"/>
  <c r="AG88" i="66" s="1"/>
  <c r="AG89" i="66" s="1"/>
  <c r="AG90" i="66" s="1"/>
  <c r="AG91" i="66" s="1"/>
  <c r="AG92" i="66" s="1"/>
  <c r="AG93" i="66" s="1"/>
  <c r="AG94" i="66" s="1"/>
  <c r="AH80" i="66"/>
  <c r="AF81" i="66"/>
  <c r="AF82" i="66" s="1"/>
  <c r="AF83" i="66" s="1"/>
  <c r="AF84" i="66" s="1"/>
  <c r="AF85" i="66" s="1"/>
  <c r="AF86" i="66" s="1"/>
  <c r="AF87" i="66" s="1"/>
  <c r="AF88" i="66" s="1"/>
  <c r="AF89" i="66" s="1"/>
  <c r="AF90" i="66" s="1"/>
  <c r="AF91" i="66" s="1"/>
  <c r="AF92" i="66" s="1"/>
  <c r="AF93" i="66" s="1"/>
  <c r="AF94" i="66" s="1"/>
  <c r="AV19" i="60"/>
  <c r="S19" i="60"/>
  <c r="H801" i="43"/>
  <c r="AV18" i="60"/>
  <c r="G18" i="60"/>
  <c r="W19" i="60"/>
  <c r="AF19" i="60"/>
  <c r="AO18" i="60"/>
  <c r="P18" i="60"/>
  <c r="H18" i="60"/>
  <c r="AD18" i="60"/>
  <c r="J18" i="60"/>
  <c r="W18" i="60"/>
  <c r="T19" i="60"/>
  <c r="L19" i="60"/>
  <c r="AE19" i="60"/>
  <c r="AQ19" i="60"/>
  <c r="R18" i="60"/>
  <c r="M18" i="60"/>
  <c r="K18" i="60"/>
  <c r="R19" i="60"/>
  <c r="J19" i="60"/>
  <c r="I19" i="60"/>
  <c r="M19" i="60"/>
  <c r="AD19" i="60"/>
  <c r="X19" i="60"/>
  <c r="AU19" i="60"/>
  <c r="U19" i="60"/>
  <c r="P19" i="60"/>
  <c r="V19" i="60"/>
  <c r="AT19" i="60"/>
  <c r="G19" i="60"/>
  <c r="D19" i="60"/>
  <c r="E19" i="60"/>
  <c r="H19" i="60"/>
  <c r="AP19" i="60"/>
  <c r="AO19" i="60"/>
  <c r="N19" i="60"/>
  <c r="Q19" i="60"/>
  <c r="K19" i="60"/>
  <c r="I2" i="65"/>
  <c r="K2" i="65"/>
  <c r="V69" i="50"/>
  <c r="V68" i="50" s="1"/>
  <c r="V70" i="50" s="1"/>
  <c r="V77" i="50"/>
  <c r="AG66" i="50"/>
  <c r="AF66" i="50"/>
  <c r="T68" i="50"/>
  <c r="Z68" i="50" s="1"/>
  <c r="T77" i="50"/>
  <c r="Z77" i="50" s="1"/>
  <c r="T66" i="50"/>
  <c r="Z66" i="50" s="1"/>
  <c r="G66" i="50" s="1"/>
  <c r="AK69" i="50"/>
  <c r="T69" i="50"/>
  <c r="Z69" i="50" s="1"/>
  <c r="T71" i="50"/>
  <c r="Z71" i="50" s="1"/>
  <c r="G71" i="50" s="1"/>
  <c r="T70" i="50"/>
  <c r="Z70" i="50" s="1"/>
  <c r="G70" i="50" s="1"/>
  <c r="G70" i="57"/>
  <c r="E71" i="57"/>
  <c r="H70" i="57"/>
  <c r="G71" i="57"/>
  <c r="F71" i="57"/>
  <c r="E72" i="57"/>
  <c r="R88" i="65"/>
  <c r="U88" i="65" s="1"/>
  <c r="U87" i="65"/>
  <c r="W84" i="65"/>
  <c r="W85" i="65" s="1"/>
  <c r="E90" i="65"/>
  <c r="E89" i="65"/>
  <c r="D91" i="65"/>
  <c r="R89" i="65"/>
  <c r="D62" i="65"/>
  <c r="E60" i="65"/>
  <c r="E61" i="65"/>
  <c r="R60" i="65"/>
  <c r="W57" i="65"/>
  <c r="W58" i="65" s="1"/>
  <c r="L15" i="60"/>
  <c r="F21" i="60"/>
  <c r="F20" i="60"/>
  <c r="AH66" i="50" l="1"/>
  <c r="AI66" i="50" s="1"/>
  <c r="AA20" i="60"/>
  <c r="Z20" i="60"/>
  <c r="AC20" i="60"/>
  <c r="Y20" i="60"/>
  <c r="AB20" i="60"/>
  <c r="Z21" i="60"/>
  <c r="AC21" i="60"/>
  <c r="Y21" i="60"/>
  <c r="AB21" i="60"/>
  <c r="AA21" i="60"/>
  <c r="Y73" i="50"/>
  <c r="CQ73" i="50" s="1"/>
  <c r="Y75" i="50"/>
  <c r="CQ75" i="50" s="1"/>
  <c r="D350" i="66"/>
  <c r="V350" i="66" s="1"/>
  <c r="A350" i="66"/>
  <c r="C373" i="66"/>
  <c r="Y74" i="50"/>
  <c r="M74" i="50" s="1"/>
  <c r="AL24" i="57"/>
  <c r="AL25" i="57" s="1"/>
  <c r="AL26" i="57" s="1"/>
  <c r="AL27" i="57" s="1"/>
  <c r="Y72" i="50"/>
  <c r="M72" i="50" s="1"/>
  <c r="AM39" i="57"/>
  <c r="I71" i="57" s="1"/>
  <c r="AN55" i="57"/>
  <c r="AN56" i="57" s="1"/>
  <c r="AN57" i="57" s="1"/>
  <c r="AN58" i="57" s="1"/>
  <c r="M1076" i="50"/>
  <c r="M124" i="50"/>
  <c r="BG1278" i="50"/>
  <c r="CL1264" i="50" s="1"/>
  <c r="M1160" i="50"/>
  <c r="M1300" i="50"/>
  <c r="M292" i="50"/>
  <c r="BG1362" i="50"/>
  <c r="CL1348" i="50" s="1"/>
  <c r="M516" i="50"/>
  <c r="BG214" i="50"/>
  <c r="CL200" i="50" s="1"/>
  <c r="BG606" i="50"/>
  <c r="CL592" i="50" s="1"/>
  <c r="BG494" i="50"/>
  <c r="CL480" i="50" s="1"/>
  <c r="BG1138" i="50"/>
  <c r="CL1124" i="50" s="1"/>
  <c r="BG578" i="50"/>
  <c r="CL564" i="50" s="1"/>
  <c r="BG1250" i="50"/>
  <c r="CL1236" i="50" s="1"/>
  <c r="BG550" i="50"/>
  <c r="CL536" i="50" s="1"/>
  <c r="M1244" i="50"/>
  <c r="M572" i="50"/>
  <c r="BG1390" i="50"/>
  <c r="CL1376" i="50" s="1"/>
  <c r="BG1166" i="50"/>
  <c r="CL1152" i="50" s="1"/>
  <c r="BG270" i="50"/>
  <c r="CL256" i="50" s="1"/>
  <c r="BG914" i="50"/>
  <c r="CL900" i="50" s="1"/>
  <c r="BG1054" i="50"/>
  <c r="CL1040" i="50" s="1"/>
  <c r="M824" i="50"/>
  <c r="CP984" i="50"/>
  <c r="BH997" i="50"/>
  <c r="BH994" i="50"/>
  <c r="BH995" i="50"/>
  <c r="BH993" i="50"/>
  <c r="BG992" i="50"/>
  <c r="CF984" i="50" s="1"/>
  <c r="BH990" i="50"/>
  <c r="BG996" i="50"/>
  <c r="CJ984" i="50" s="1"/>
  <c r="BH996" i="50"/>
  <c r="BG995" i="50"/>
  <c r="CI984" i="50" s="1"/>
  <c r="BG997" i="50"/>
  <c r="CK984" i="50" s="1"/>
  <c r="BH992" i="50"/>
  <c r="BG994" i="50"/>
  <c r="CH984" i="50" s="1"/>
  <c r="BG993" i="50"/>
  <c r="CG984" i="50" s="1"/>
  <c r="BG990" i="50"/>
  <c r="CE984" i="50" s="1"/>
  <c r="BB993" i="50"/>
  <c r="M993" i="50" s="1"/>
  <c r="BH212" i="50"/>
  <c r="BG213" i="50"/>
  <c r="CK200" i="50" s="1"/>
  <c r="BG211" i="50"/>
  <c r="CI200" i="50" s="1"/>
  <c r="BH211" i="50"/>
  <c r="BH210" i="50"/>
  <c r="BG209" i="50"/>
  <c r="CG200" i="50" s="1"/>
  <c r="BG210" i="50"/>
  <c r="CH200" i="50" s="1"/>
  <c r="BH208" i="50"/>
  <c r="CP200" i="50"/>
  <c r="BH206" i="50"/>
  <c r="BH213" i="50"/>
  <c r="BH209" i="50"/>
  <c r="BG206" i="50"/>
  <c r="CE200" i="50" s="1"/>
  <c r="BG208" i="50"/>
  <c r="CF200" i="50" s="1"/>
  <c r="BB209" i="50"/>
  <c r="M209" i="50" s="1"/>
  <c r="BG212" i="50"/>
  <c r="CJ200" i="50" s="1"/>
  <c r="BH598" i="50"/>
  <c r="BH605" i="50"/>
  <c r="BH602" i="50"/>
  <c r="BH600" i="50"/>
  <c r="BH601" i="50"/>
  <c r="BG602" i="50"/>
  <c r="CH592" i="50" s="1"/>
  <c r="BG601" i="50"/>
  <c r="CG592" i="50" s="1"/>
  <c r="BG603" i="50"/>
  <c r="CI592" i="50" s="1"/>
  <c r="BB601" i="50"/>
  <c r="M601" i="50" s="1"/>
  <c r="BG598" i="50"/>
  <c r="CE592" i="50" s="1"/>
  <c r="BG605" i="50"/>
  <c r="CK592" i="50" s="1"/>
  <c r="BG600" i="50"/>
  <c r="CF592" i="50" s="1"/>
  <c r="BH603" i="50"/>
  <c r="BG604" i="50"/>
  <c r="CJ592" i="50" s="1"/>
  <c r="CP592" i="50"/>
  <c r="BH604" i="50"/>
  <c r="BG1134" i="50"/>
  <c r="CH1124" i="50" s="1"/>
  <c r="BH1137" i="50"/>
  <c r="BH1135" i="50"/>
  <c r="BG1135" i="50"/>
  <c r="CI1124" i="50" s="1"/>
  <c r="BH1136" i="50"/>
  <c r="BH1133" i="50"/>
  <c r="CP1124" i="50"/>
  <c r="BH1134" i="50"/>
  <c r="BB1133" i="50"/>
  <c r="M1133" i="50" s="1"/>
  <c r="BG1132" i="50"/>
  <c r="CF1124" i="50" s="1"/>
  <c r="BG1133" i="50"/>
  <c r="CG1124" i="50" s="1"/>
  <c r="BG1137" i="50"/>
  <c r="CK1124" i="50" s="1"/>
  <c r="BG1130" i="50"/>
  <c r="CE1124" i="50" s="1"/>
  <c r="BH1132" i="50"/>
  <c r="BG1136" i="50"/>
  <c r="CJ1124" i="50" s="1"/>
  <c r="BH1130" i="50"/>
  <c r="BG634" i="50"/>
  <c r="CL620" i="50" s="1"/>
  <c r="BG577" i="50"/>
  <c r="CK564" i="50" s="1"/>
  <c r="BH570" i="50"/>
  <c r="BG573" i="50"/>
  <c r="CG564" i="50" s="1"/>
  <c r="BG576" i="50"/>
  <c r="CJ564" i="50" s="1"/>
  <c r="BG574" i="50"/>
  <c r="CH564" i="50" s="1"/>
  <c r="BB573" i="50"/>
  <c r="M573" i="50" s="1"/>
  <c r="BH574" i="50"/>
  <c r="BH572" i="50"/>
  <c r="BG570" i="50"/>
  <c r="CE564" i="50" s="1"/>
  <c r="BG572" i="50"/>
  <c r="CF564" i="50" s="1"/>
  <c r="BH573" i="50"/>
  <c r="BG575" i="50"/>
  <c r="CI564" i="50" s="1"/>
  <c r="CP564" i="50"/>
  <c r="BH577" i="50"/>
  <c r="BH576" i="50"/>
  <c r="BH575" i="50"/>
  <c r="M740" i="50"/>
  <c r="BH1354" i="50"/>
  <c r="BG1360" i="50"/>
  <c r="CJ1348" i="50" s="1"/>
  <c r="BG1354" i="50"/>
  <c r="CE1348" i="50" s="1"/>
  <c r="BG1358" i="50"/>
  <c r="CH1348" i="50" s="1"/>
  <c r="BH1359" i="50"/>
  <c r="CP1348" i="50"/>
  <c r="BG1356" i="50"/>
  <c r="CF1348" i="50" s="1"/>
  <c r="BG1361" i="50"/>
  <c r="CK1348" i="50" s="1"/>
  <c r="BG1359" i="50"/>
  <c r="CI1348" i="50" s="1"/>
  <c r="BB1357" i="50"/>
  <c r="M1357" i="50" s="1"/>
  <c r="BH1356" i="50"/>
  <c r="BH1360" i="50"/>
  <c r="BG1357" i="50"/>
  <c r="CG1348" i="50" s="1"/>
  <c r="BH1357" i="50"/>
  <c r="BH1358" i="50"/>
  <c r="BH1361" i="50"/>
  <c r="BH1053" i="50"/>
  <c r="BH1052" i="50"/>
  <c r="BH1050" i="50"/>
  <c r="BG1050" i="50"/>
  <c r="CH1040" i="50" s="1"/>
  <c r="BG1046" i="50"/>
  <c r="CE1040" i="50" s="1"/>
  <c r="BG1053" i="50"/>
  <c r="CK1040" i="50" s="1"/>
  <c r="CP1040" i="50"/>
  <c r="BG1049" i="50"/>
  <c r="CG1040" i="50" s="1"/>
  <c r="BG1052" i="50"/>
  <c r="CJ1040" i="50" s="1"/>
  <c r="BH1049" i="50"/>
  <c r="BG1048" i="50"/>
  <c r="CF1040" i="50" s="1"/>
  <c r="BH1051" i="50"/>
  <c r="BH1048" i="50"/>
  <c r="BH1046" i="50"/>
  <c r="BB1049" i="50"/>
  <c r="M1049" i="50" s="1"/>
  <c r="BG1051" i="50"/>
  <c r="CI1040" i="50" s="1"/>
  <c r="BH850" i="50"/>
  <c r="BG853" i="50"/>
  <c r="CG844" i="50" s="1"/>
  <c r="BG854" i="50"/>
  <c r="CH844" i="50" s="1"/>
  <c r="BG857" i="50"/>
  <c r="CK844" i="50" s="1"/>
  <c r="BH857" i="50"/>
  <c r="BG852" i="50"/>
  <c r="CF844" i="50" s="1"/>
  <c r="BH853" i="50"/>
  <c r="CP844" i="50"/>
  <c r="BH856" i="50"/>
  <c r="BG850" i="50"/>
  <c r="CE844" i="50" s="1"/>
  <c r="BH855" i="50"/>
  <c r="BB853" i="50"/>
  <c r="M853" i="50" s="1"/>
  <c r="BG855" i="50"/>
  <c r="CI844" i="50" s="1"/>
  <c r="BH852" i="50"/>
  <c r="BH854" i="50"/>
  <c r="BG856" i="50"/>
  <c r="CJ844" i="50" s="1"/>
  <c r="F72" i="57"/>
  <c r="BG1446" i="50"/>
  <c r="CL1432" i="50" s="1"/>
  <c r="BH658" i="50"/>
  <c r="BG658" i="50"/>
  <c r="CH648" i="50" s="1"/>
  <c r="BH654" i="50"/>
  <c r="BH661" i="50"/>
  <c r="BG654" i="50"/>
  <c r="CE648" i="50" s="1"/>
  <c r="BH657" i="50"/>
  <c r="BG659" i="50"/>
  <c r="CI648" i="50" s="1"/>
  <c r="BG661" i="50"/>
  <c r="CK648" i="50" s="1"/>
  <c r="BB657" i="50"/>
  <c r="M657" i="50" s="1"/>
  <c r="BH660" i="50"/>
  <c r="CP648" i="50"/>
  <c r="BG657" i="50"/>
  <c r="CG648" i="50" s="1"/>
  <c r="BG660" i="50"/>
  <c r="CJ648" i="50" s="1"/>
  <c r="BH656" i="50"/>
  <c r="BG656" i="50"/>
  <c r="CF648" i="50" s="1"/>
  <c r="BH659" i="50"/>
  <c r="BG774" i="50"/>
  <c r="CL760" i="50" s="1"/>
  <c r="BG1110" i="50"/>
  <c r="CL1096" i="50" s="1"/>
  <c r="BG1214" i="50"/>
  <c r="CE1208" i="50" s="1"/>
  <c r="BH1217" i="50"/>
  <c r="BG1219" i="50"/>
  <c r="CI1208" i="50" s="1"/>
  <c r="BH1221" i="50"/>
  <c r="BB1217" i="50"/>
  <c r="M1217" i="50" s="1"/>
  <c r="BG1216" i="50"/>
  <c r="CF1208" i="50" s="1"/>
  <c r="BH1218" i="50"/>
  <c r="BG1221" i="50"/>
  <c r="CK1208" i="50" s="1"/>
  <c r="BH1220" i="50"/>
  <c r="BG1220" i="50"/>
  <c r="CJ1208" i="50" s="1"/>
  <c r="BH1214" i="50"/>
  <c r="BG1217" i="50"/>
  <c r="CG1208" i="50" s="1"/>
  <c r="BH1216" i="50"/>
  <c r="BH1219" i="50"/>
  <c r="CP1208" i="50"/>
  <c r="BG1218" i="50"/>
  <c r="CH1208" i="50" s="1"/>
  <c r="BG1026" i="50"/>
  <c r="CL1012" i="50" s="1"/>
  <c r="BH1018" i="50"/>
  <c r="BG1018" i="50"/>
  <c r="CE1012" i="50" s="1"/>
  <c r="BG1020" i="50"/>
  <c r="CF1012" i="50" s="1"/>
  <c r="BG1025" i="50"/>
  <c r="CK1012" i="50" s="1"/>
  <c r="BG1023" i="50"/>
  <c r="CI1012" i="50" s="1"/>
  <c r="CP1012" i="50"/>
  <c r="BH1023" i="50"/>
  <c r="BH1020" i="50"/>
  <c r="BH1022" i="50"/>
  <c r="BH1025" i="50"/>
  <c r="BH1024" i="50"/>
  <c r="BG1024" i="50"/>
  <c r="CJ1012" i="50" s="1"/>
  <c r="BG1021" i="50"/>
  <c r="CG1012" i="50" s="1"/>
  <c r="BH1021" i="50"/>
  <c r="BG1022" i="50"/>
  <c r="CH1012" i="50" s="1"/>
  <c r="BB1021" i="50"/>
  <c r="M1021" i="50" s="1"/>
  <c r="BG461" i="50"/>
  <c r="CG452" i="50" s="1"/>
  <c r="BH465" i="50"/>
  <c r="BH464" i="50"/>
  <c r="BG462" i="50"/>
  <c r="CH452" i="50" s="1"/>
  <c r="BB461" i="50"/>
  <c r="M461" i="50" s="1"/>
  <c r="CP452" i="50"/>
  <c r="BH460" i="50"/>
  <c r="BH462" i="50"/>
  <c r="BG464" i="50"/>
  <c r="CJ452" i="50" s="1"/>
  <c r="BH463" i="50"/>
  <c r="BG463" i="50"/>
  <c r="CI452" i="50" s="1"/>
  <c r="BG465" i="50"/>
  <c r="CK452" i="50" s="1"/>
  <c r="BH461" i="50"/>
  <c r="BG458" i="50"/>
  <c r="CE452" i="50" s="1"/>
  <c r="BG460" i="50"/>
  <c r="CF452" i="50" s="1"/>
  <c r="BH458" i="50"/>
  <c r="BG718" i="50"/>
  <c r="CL704" i="50" s="1"/>
  <c r="M712" i="50"/>
  <c r="BH800" i="50"/>
  <c r="BG794" i="50"/>
  <c r="CE788" i="50" s="1"/>
  <c r="BG796" i="50"/>
  <c r="CF788" i="50" s="1"/>
  <c r="BH794" i="50"/>
  <c r="BH796" i="50"/>
  <c r="BG800" i="50"/>
  <c r="CJ788" i="50" s="1"/>
  <c r="BG799" i="50"/>
  <c r="CI788" i="50" s="1"/>
  <c r="BG798" i="50"/>
  <c r="CH788" i="50" s="1"/>
  <c r="BB797" i="50"/>
  <c r="M797" i="50" s="1"/>
  <c r="BH799" i="50"/>
  <c r="BH798" i="50"/>
  <c r="CP788" i="50"/>
  <c r="BG801" i="50"/>
  <c r="CK788" i="50" s="1"/>
  <c r="BH801" i="50"/>
  <c r="BH797" i="50"/>
  <c r="BG797" i="50"/>
  <c r="CG788" i="50" s="1"/>
  <c r="BG382" i="50"/>
  <c r="CL368" i="50" s="1"/>
  <c r="BG1270" i="50"/>
  <c r="CE1264" i="50" s="1"/>
  <c r="BH1272" i="50"/>
  <c r="BG1272" i="50"/>
  <c r="CF1264" i="50" s="1"/>
  <c r="BB1273" i="50"/>
  <c r="M1273" i="50" s="1"/>
  <c r="BG1273" i="50"/>
  <c r="CG1264" i="50" s="1"/>
  <c r="BG1275" i="50"/>
  <c r="CI1264" i="50" s="1"/>
  <c r="BH1275" i="50"/>
  <c r="BG1277" i="50"/>
  <c r="CK1264" i="50" s="1"/>
  <c r="CP1264" i="50"/>
  <c r="BH1277" i="50"/>
  <c r="BH1274" i="50"/>
  <c r="BH1270" i="50"/>
  <c r="BH1276" i="50"/>
  <c r="BH1273" i="50"/>
  <c r="BG1274" i="50"/>
  <c r="CH1264" i="50" s="1"/>
  <c r="BG1276" i="50"/>
  <c r="CJ1264" i="50" s="1"/>
  <c r="BH966" i="50"/>
  <c r="BG967" i="50"/>
  <c r="CI956" i="50" s="1"/>
  <c r="BG962" i="50"/>
  <c r="CE956" i="50" s="1"/>
  <c r="BG965" i="50"/>
  <c r="CG956" i="50" s="1"/>
  <c r="BH965" i="50"/>
  <c r="BH968" i="50"/>
  <c r="BG966" i="50"/>
  <c r="CH956" i="50" s="1"/>
  <c r="BH964" i="50"/>
  <c r="BH962" i="50"/>
  <c r="BG964" i="50"/>
  <c r="CF956" i="50" s="1"/>
  <c r="BG968" i="50"/>
  <c r="CJ956" i="50" s="1"/>
  <c r="CP956" i="50"/>
  <c r="BG969" i="50"/>
  <c r="CK956" i="50" s="1"/>
  <c r="BH969" i="50"/>
  <c r="BH967" i="50"/>
  <c r="BB965" i="50"/>
  <c r="BH155" i="50"/>
  <c r="BH156" i="50"/>
  <c r="BB153" i="50"/>
  <c r="M153" i="50" s="1"/>
  <c r="BG152" i="50"/>
  <c r="CF144" i="50" s="1"/>
  <c r="BG154" i="50"/>
  <c r="CH144" i="50" s="1"/>
  <c r="BG157" i="50"/>
  <c r="CK144" i="50" s="1"/>
  <c r="BG153" i="50"/>
  <c r="CG144" i="50" s="1"/>
  <c r="BG156" i="50"/>
  <c r="CJ144" i="50" s="1"/>
  <c r="CP144" i="50"/>
  <c r="BH150" i="50"/>
  <c r="BH153" i="50"/>
  <c r="BH154" i="50"/>
  <c r="BH157" i="50"/>
  <c r="BG155" i="50"/>
  <c r="CI144" i="50" s="1"/>
  <c r="BH152" i="50"/>
  <c r="BG150" i="50"/>
  <c r="CE144" i="50" s="1"/>
  <c r="BG746" i="50"/>
  <c r="CL732" i="50" s="1"/>
  <c r="M1272" i="50"/>
  <c r="BG410" i="50"/>
  <c r="CL396" i="50" s="1"/>
  <c r="BG939" i="50"/>
  <c r="CI928" i="50" s="1"/>
  <c r="BH936" i="50"/>
  <c r="BG940" i="50"/>
  <c r="CJ928" i="50" s="1"/>
  <c r="BG937" i="50"/>
  <c r="CG928" i="50" s="1"/>
  <c r="BH938" i="50"/>
  <c r="BG941" i="50"/>
  <c r="CK928" i="50" s="1"/>
  <c r="BH937" i="50"/>
  <c r="CP928" i="50"/>
  <c r="BH941" i="50"/>
  <c r="BG936" i="50"/>
  <c r="CF928" i="50" s="1"/>
  <c r="BB937" i="50"/>
  <c r="M937" i="50" s="1"/>
  <c r="BH934" i="50"/>
  <c r="BG938" i="50"/>
  <c r="CH928" i="50" s="1"/>
  <c r="BH940" i="50"/>
  <c r="BH939" i="50"/>
  <c r="BG934" i="50"/>
  <c r="CE928" i="50" s="1"/>
  <c r="BG242" i="50"/>
  <c r="CL228" i="50" s="1"/>
  <c r="BH346" i="50"/>
  <c r="BG349" i="50"/>
  <c r="CG340" i="50" s="1"/>
  <c r="BG353" i="50"/>
  <c r="CK340" i="50" s="1"/>
  <c r="BH350" i="50"/>
  <c r="BB349" i="50"/>
  <c r="M349" i="50" s="1"/>
  <c r="BG350" i="50"/>
  <c r="CH340" i="50" s="1"/>
  <c r="BH352" i="50"/>
  <c r="BG348" i="50"/>
  <c r="CF340" i="50" s="1"/>
  <c r="BH353" i="50"/>
  <c r="BH348" i="50"/>
  <c r="CP340" i="50"/>
  <c r="BG346" i="50"/>
  <c r="CE340" i="50" s="1"/>
  <c r="BG352" i="50"/>
  <c r="CJ340" i="50" s="1"/>
  <c r="BH351" i="50"/>
  <c r="BG351" i="50"/>
  <c r="CI340" i="50" s="1"/>
  <c r="BH349" i="50"/>
  <c r="BG1334" i="50"/>
  <c r="CL1320" i="50" s="1"/>
  <c r="BG1333" i="50"/>
  <c r="CK1320" i="50" s="1"/>
  <c r="BH1328" i="50"/>
  <c r="BH1326" i="50"/>
  <c r="BG1328" i="50"/>
  <c r="CF1320" i="50" s="1"/>
  <c r="BH1332" i="50"/>
  <c r="BB1329" i="50"/>
  <c r="M1329" i="50" s="1"/>
  <c r="BG1332" i="50"/>
  <c r="CJ1320" i="50" s="1"/>
  <c r="BG1329" i="50"/>
  <c r="CG1320" i="50" s="1"/>
  <c r="BH1333" i="50"/>
  <c r="BG1331" i="50"/>
  <c r="CI1320" i="50" s="1"/>
  <c r="BG1330" i="50"/>
  <c r="CH1320" i="50" s="1"/>
  <c r="BH1331" i="50"/>
  <c r="CP1320" i="50"/>
  <c r="BG1326" i="50"/>
  <c r="CE1320" i="50" s="1"/>
  <c r="BH1330" i="50"/>
  <c r="BH1329" i="50"/>
  <c r="BG886" i="50"/>
  <c r="CL872" i="50" s="1"/>
  <c r="BH883" i="50"/>
  <c r="BG883" i="50"/>
  <c r="CI872" i="50" s="1"/>
  <c r="BH884" i="50"/>
  <c r="BB881" i="50"/>
  <c r="M881" i="50" s="1"/>
  <c r="BG880" i="50"/>
  <c r="CF872" i="50" s="1"/>
  <c r="BH882" i="50"/>
  <c r="BH881" i="50"/>
  <c r="BH878" i="50"/>
  <c r="BG884" i="50"/>
  <c r="CJ872" i="50" s="1"/>
  <c r="BG881" i="50"/>
  <c r="CG872" i="50" s="1"/>
  <c r="BH885" i="50"/>
  <c r="CP872" i="50"/>
  <c r="BH880" i="50"/>
  <c r="BG878" i="50"/>
  <c r="CE872" i="50" s="1"/>
  <c r="BG885" i="50"/>
  <c r="CK872" i="50" s="1"/>
  <c r="BG882" i="50"/>
  <c r="CH872" i="50" s="1"/>
  <c r="BG911" i="50"/>
  <c r="CI900" i="50" s="1"/>
  <c r="BG909" i="50"/>
  <c r="CG900" i="50" s="1"/>
  <c r="BH908" i="50"/>
  <c r="BG912" i="50"/>
  <c r="CJ900" i="50" s="1"/>
  <c r="BB909" i="50"/>
  <c r="M909" i="50" s="1"/>
  <c r="CP900" i="50"/>
  <c r="BH910" i="50"/>
  <c r="BG913" i="50"/>
  <c r="CK900" i="50" s="1"/>
  <c r="BH906" i="50"/>
  <c r="BH913" i="50"/>
  <c r="BG906" i="50"/>
  <c r="CE900" i="50" s="1"/>
  <c r="BH911" i="50"/>
  <c r="BG908" i="50"/>
  <c r="CF900" i="50" s="1"/>
  <c r="BH909" i="50"/>
  <c r="BH912" i="50"/>
  <c r="BG910" i="50"/>
  <c r="CH900" i="50" s="1"/>
  <c r="BG521" i="50"/>
  <c r="CK508" i="50" s="1"/>
  <c r="BB517" i="50"/>
  <c r="M517" i="50" s="1"/>
  <c r="CP508" i="50"/>
  <c r="BH520" i="50"/>
  <c r="BH517" i="50"/>
  <c r="BG517" i="50"/>
  <c r="CG508" i="50" s="1"/>
  <c r="BG518" i="50"/>
  <c r="CH508" i="50" s="1"/>
  <c r="BG520" i="50"/>
  <c r="CJ508" i="50" s="1"/>
  <c r="BG516" i="50"/>
  <c r="CF508" i="50" s="1"/>
  <c r="BH514" i="50"/>
  <c r="BG519" i="50"/>
  <c r="CI508" i="50" s="1"/>
  <c r="BH518" i="50"/>
  <c r="BH519" i="50"/>
  <c r="BG514" i="50"/>
  <c r="CE508" i="50" s="1"/>
  <c r="BH516" i="50"/>
  <c r="BH521" i="50"/>
  <c r="BG130" i="50"/>
  <c r="CL116" i="50" s="1"/>
  <c r="BG296" i="50"/>
  <c r="CJ284" i="50" s="1"/>
  <c r="BH290" i="50"/>
  <c r="BB293" i="50"/>
  <c r="M293" i="50" s="1"/>
  <c r="BH293" i="50"/>
  <c r="BG293" i="50"/>
  <c r="CG284" i="50" s="1"/>
  <c r="BG295" i="50"/>
  <c r="CI284" i="50" s="1"/>
  <c r="BH296" i="50"/>
  <c r="BH292" i="50"/>
  <c r="CP284" i="50"/>
  <c r="BG297" i="50"/>
  <c r="CK284" i="50" s="1"/>
  <c r="BH297" i="50"/>
  <c r="BH294" i="50"/>
  <c r="BG292" i="50"/>
  <c r="CF284" i="50" s="1"/>
  <c r="BG290" i="50"/>
  <c r="CE284" i="50" s="1"/>
  <c r="BG294" i="50"/>
  <c r="CH284" i="50" s="1"/>
  <c r="BH295" i="50"/>
  <c r="M264" i="50"/>
  <c r="BG690" i="50"/>
  <c r="CL676" i="50" s="1"/>
  <c r="BG686" i="50"/>
  <c r="CH676" i="50" s="1"/>
  <c r="BG684" i="50"/>
  <c r="CF676" i="50" s="1"/>
  <c r="BG687" i="50"/>
  <c r="CI676" i="50" s="1"/>
  <c r="BG688" i="50"/>
  <c r="CJ676" i="50" s="1"/>
  <c r="BG689" i="50"/>
  <c r="CK676" i="50" s="1"/>
  <c r="BH686" i="50"/>
  <c r="BB685" i="50"/>
  <c r="M685" i="50" s="1"/>
  <c r="BH682" i="50"/>
  <c r="BH688" i="50"/>
  <c r="BG685" i="50"/>
  <c r="CG676" i="50" s="1"/>
  <c r="CP676" i="50"/>
  <c r="BH685" i="50"/>
  <c r="BH689" i="50"/>
  <c r="BG682" i="50"/>
  <c r="CE676" i="50" s="1"/>
  <c r="BH684" i="50"/>
  <c r="BH687" i="50"/>
  <c r="BG326" i="50"/>
  <c r="CL312" i="50" s="1"/>
  <c r="M908" i="50"/>
  <c r="BG858" i="50"/>
  <c r="CL844" i="50" s="1"/>
  <c r="BH1386" i="50"/>
  <c r="BH1389" i="50"/>
  <c r="BH1387" i="50"/>
  <c r="BG1386" i="50"/>
  <c r="CH1376" i="50" s="1"/>
  <c r="BG1385" i="50"/>
  <c r="CG1376" i="50" s="1"/>
  <c r="BG1389" i="50"/>
  <c r="CK1376" i="50" s="1"/>
  <c r="BG1384" i="50"/>
  <c r="CF1376" i="50" s="1"/>
  <c r="BB1385" i="50"/>
  <c r="M1385" i="50" s="1"/>
  <c r="BH1382" i="50"/>
  <c r="BH1388" i="50"/>
  <c r="BG1382" i="50"/>
  <c r="CE1376" i="50" s="1"/>
  <c r="BG1388" i="50"/>
  <c r="CJ1376" i="50" s="1"/>
  <c r="BG1387" i="50"/>
  <c r="CI1376" i="50" s="1"/>
  <c r="BH1385" i="50"/>
  <c r="CP1376" i="50"/>
  <c r="BH1384" i="50"/>
  <c r="BH742" i="50"/>
  <c r="BH744" i="50"/>
  <c r="BG745" i="50"/>
  <c r="CK732" i="50" s="1"/>
  <c r="BG742" i="50"/>
  <c r="CH732" i="50" s="1"/>
  <c r="BH741" i="50"/>
  <c r="BB741" i="50"/>
  <c r="M741" i="50" s="1"/>
  <c r="BG744" i="50"/>
  <c r="CJ732" i="50" s="1"/>
  <c r="BH745" i="50"/>
  <c r="BH738" i="50"/>
  <c r="BG741" i="50"/>
  <c r="CG732" i="50" s="1"/>
  <c r="BG740" i="50"/>
  <c r="CF732" i="50" s="1"/>
  <c r="BG743" i="50"/>
  <c r="CI732" i="50" s="1"/>
  <c r="BG738" i="50"/>
  <c r="CE732" i="50" s="1"/>
  <c r="BH743" i="50"/>
  <c r="BH740" i="50"/>
  <c r="CP732" i="50"/>
  <c r="BH127" i="50"/>
  <c r="BH128" i="50"/>
  <c r="BG129" i="50"/>
  <c r="CK116" i="50" s="1"/>
  <c r="BH129" i="50"/>
  <c r="BH125" i="50"/>
  <c r="BG127" i="50"/>
  <c r="CI116" i="50" s="1"/>
  <c r="BG124" i="50"/>
  <c r="CF116" i="50" s="1"/>
  <c r="CP116" i="50"/>
  <c r="BG122" i="50"/>
  <c r="CE116" i="50" s="1"/>
  <c r="BB125" i="50"/>
  <c r="M125" i="50" s="1"/>
  <c r="BG126" i="50"/>
  <c r="CH116" i="50" s="1"/>
  <c r="BG128" i="50"/>
  <c r="CJ116" i="50" s="1"/>
  <c r="BH122" i="50"/>
  <c r="BH124" i="50"/>
  <c r="BG125" i="50"/>
  <c r="CG116" i="50" s="1"/>
  <c r="BH126" i="50"/>
  <c r="BG433" i="50"/>
  <c r="CG424" i="50" s="1"/>
  <c r="BG434" i="50"/>
  <c r="CH424" i="50" s="1"/>
  <c r="BH436" i="50"/>
  <c r="BH433" i="50"/>
  <c r="BB433" i="50"/>
  <c r="M433" i="50" s="1"/>
  <c r="CP424" i="50"/>
  <c r="BG435" i="50"/>
  <c r="CI424" i="50" s="1"/>
  <c r="BG437" i="50"/>
  <c r="CK424" i="50" s="1"/>
  <c r="BG430" i="50"/>
  <c r="CE424" i="50" s="1"/>
  <c r="BH437" i="50"/>
  <c r="BH434" i="50"/>
  <c r="BH430" i="50"/>
  <c r="BG436" i="50"/>
  <c r="CJ424" i="50" s="1"/>
  <c r="BH435" i="50"/>
  <c r="BH432" i="50"/>
  <c r="BG432" i="50"/>
  <c r="CF424" i="50" s="1"/>
  <c r="BG772" i="50"/>
  <c r="CJ760" i="50" s="1"/>
  <c r="BH771" i="50"/>
  <c r="BB769" i="50"/>
  <c r="M769" i="50" s="1"/>
  <c r="BG768" i="50"/>
  <c r="CF760" i="50" s="1"/>
  <c r="BH770" i="50"/>
  <c r="BH768" i="50"/>
  <c r="BH769" i="50"/>
  <c r="BG769" i="50"/>
  <c r="CG760" i="50" s="1"/>
  <c r="BG771" i="50"/>
  <c r="CI760" i="50" s="1"/>
  <c r="BG766" i="50"/>
  <c r="CE760" i="50" s="1"/>
  <c r="CP760" i="50"/>
  <c r="BG770" i="50"/>
  <c r="CH760" i="50" s="1"/>
  <c r="BH772" i="50"/>
  <c r="BG773" i="50"/>
  <c r="CK760" i="50" s="1"/>
  <c r="BH766" i="50"/>
  <c r="BH773" i="50"/>
  <c r="BH376" i="50"/>
  <c r="BG378" i="50"/>
  <c r="CH368" i="50" s="1"/>
  <c r="BH377" i="50"/>
  <c r="BG376" i="50"/>
  <c r="CF368" i="50" s="1"/>
  <c r="BH378" i="50"/>
  <c r="BH379" i="50"/>
  <c r="BB377" i="50"/>
  <c r="M377" i="50" s="1"/>
  <c r="BG381" i="50"/>
  <c r="CK368" i="50" s="1"/>
  <c r="BH381" i="50"/>
  <c r="CP368" i="50"/>
  <c r="BG374" i="50"/>
  <c r="CE368" i="50" s="1"/>
  <c r="BH380" i="50"/>
  <c r="BG379" i="50"/>
  <c r="CI368" i="50" s="1"/>
  <c r="BH374" i="50"/>
  <c r="BG377" i="50"/>
  <c r="CG368" i="50" s="1"/>
  <c r="BG380" i="50"/>
  <c r="CJ368" i="50" s="1"/>
  <c r="BG1194" i="50"/>
  <c r="CL1180" i="50" s="1"/>
  <c r="BH1158" i="50"/>
  <c r="CP1152" i="50"/>
  <c r="BH1165" i="50"/>
  <c r="BG1163" i="50"/>
  <c r="CI1152" i="50" s="1"/>
  <c r="BH1162" i="50"/>
  <c r="BG1162" i="50"/>
  <c r="CH1152" i="50" s="1"/>
  <c r="BG1165" i="50"/>
  <c r="CK1152" i="50" s="1"/>
  <c r="BG1160" i="50"/>
  <c r="CF1152" i="50" s="1"/>
  <c r="BG1158" i="50"/>
  <c r="CE1152" i="50" s="1"/>
  <c r="BH1163" i="50"/>
  <c r="BH1161" i="50"/>
  <c r="BH1164" i="50"/>
  <c r="BB1161" i="50"/>
  <c r="M1161" i="50" s="1"/>
  <c r="BG1161" i="50"/>
  <c r="CG1152" i="50" s="1"/>
  <c r="BH1160" i="50"/>
  <c r="BG1164" i="50"/>
  <c r="CJ1152" i="50" s="1"/>
  <c r="BG492" i="50"/>
  <c r="CJ480" i="50" s="1"/>
  <c r="BH492" i="50"/>
  <c r="BH493" i="50"/>
  <c r="BH491" i="50"/>
  <c r="BG493" i="50"/>
  <c r="CK480" i="50" s="1"/>
  <c r="BG491" i="50"/>
  <c r="CI480" i="50" s="1"/>
  <c r="BB489" i="50"/>
  <c r="M489" i="50" s="1"/>
  <c r="BH486" i="50"/>
  <c r="BG489" i="50"/>
  <c r="CG480" i="50" s="1"/>
  <c r="BG486" i="50"/>
  <c r="CE480" i="50" s="1"/>
  <c r="BH490" i="50"/>
  <c r="BG488" i="50"/>
  <c r="CF480" i="50" s="1"/>
  <c r="BG490" i="50"/>
  <c r="CH480" i="50" s="1"/>
  <c r="CP480" i="50"/>
  <c r="BH489" i="50"/>
  <c r="BH488" i="50"/>
  <c r="BG970" i="50"/>
  <c r="CL956" i="50" s="1"/>
  <c r="BG830" i="50"/>
  <c r="CL816" i="50" s="1"/>
  <c r="CP816" i="50"/>
  <c r="BH826" i="50"/>
  <c r="BH828" i="50"/>
  <c r="BG825" i="50"/>
  <c r="CG816" i="50" s="1"/>
  <c r="BG824" i="50"/>
  <c r="CF816" i="50" s="1"/>
  <c r="BH822" i="50"/>
  <c r="BG827" i="50"/>
  <c r="CI816" i="50" s="1"/>
  <c r="BG828" i="50"/>
  <c r="CJ816" i="50" s="1"/>
  <c r="BB825" i="50"/>
  <c r="M825" i="50" s="1"/>
  <c r="BH829" i="50"/>
  <c r="BG826" i="50"/>
  <c r="CH816" i="50" s="1"/>
  <c r="BH824" i="50"/>
  <c r="BG829" i="50"/>
  <c r="CK816" i="50" s="1"/>
  <c r="BG822" i="50"/>
  <c r="CE816" i="50" s="1"/>
  <c r="BH827" i="50"/>
  <c r="BH825" i="50"/>
  <c r="BG158" i="50"/>
  <c r="CL144" i="50" s="1"/>
  <c r="M1440" i="50"/>
  <c r="BH239" i="50"/>
  <c r="BG238" i="50"/>
  <c r="CH228" i="50" s="1"/>
  <c r="BG241" i="50"/>
  <c r="CK228" i="50" s="1"/>
  <c r="BH240" i="50"/>
  <c r="BH237" i="50"/>
  <c r="CP228" i="50"/>
  <c r="BB237" i="50"/>
  <c r="M237" i="50" s="1"/>
  <c r="BG240" i="50"/>
  <c r="CJ228" i="50" s="1"/>
  <c r="BH238" i="50"/>
  <c r="BH241" i="50"/>
  <c r="BH236" i="50"/>
  <c r="BG237" i="50"/>
  <c r="CG228" i="50" s="1"/>
  <c r="BG236" i="50"/>
  <c r="CF228" i="50" s="1"/>
  <c r="BG239" i="50"/>
  <c r="CI228" i="50" s="1"/>
  <c r="BG234" i="50"/>
  <c r="CE228" i="50" s="1"/>
  <c r="BH234" i="50"/>
  <c r="K96" i="50"/>
  <c r="AV96" i="50" s="1"/>
  <c r="BU88" i="50" s="1"/>
  <c r="AW96" i="50"/>
  <c r="AX96" i="50" s="1"/>
  <c r="AZ96" i="50"/>
  <c r="M1132" i="50"/>
  <c r="BG522" i="50"/>
  <c r="CL508" i="50" s="1"/>
  <c r="BG1082" i="50"/>
  <c r="CL1068" i="50" s="1"/>
  <c r="BG298" i="50"/>
  <c r="CL284" i="50" s="1"/>
  <c r="M348" i="50"/>
  <c r="BG1306" i="50"/>
  <c r="CL1292" i="50" s="1"/>
  <c r="BH1247" i="50"/>
  <c r="BG1244" i="50"/>
  <c r="CF1236" i="50" s="1"/>
  <c r="BB1245" i="50"/>
  <c r="M1245" i="50" s="1"/>
  <c r="BH1245" i="50"/>
  <c r="BG1245" i="50"/>
  <c r="CG1236" i="50" s="1"/>
  <c r="BG1242" i="50"/>
  <c r="CE1236" i="50" s="1"/>
  <c r="BG1247" i="50"/>
  <c r="CI1236" i="50" s="1"/>
  <c r="BG1246" i="50"/>
  <c r="CH1236" i="50" s="1"/>
  <c r="BH1242" i="50"/>
  <c r="BG1249" i="50"/>
  <c r="CK1236" i="50" s="1"/>
  <c r="BH1246" i="50"/>
  <c r="BH1248" i="50"/>
  <c r="BG1248" i="50"/>
  <c r="CJ1236" i="50" s="1"/>
  <c r="BH1244" i="50"/>
  <c r="BH1249" i="50"/>
  <c r="CP1236" i="50"/>
  <c r="BG1418" i="50"/>
  <c r="CL1404" i="50" s="1"/>
  <c r="BH1412" i="50"/>
  <c r="BH1414" i="50"/>
  <c r="BG1417" i="50"/>
  <c r="CK1404" i="50" s="1"/>
  <c r="BG1416" i="50"/>
  <c r="CJ1404" i="50" s="1"/>
  <c r="BG1410" i="50"/>
  <c r="CE1404" i="50" s="1"/>
  <c r="BH1415" i="50"/>
  <c r="BH1416" i="50"/>
  <c r="BG1413" i="50"/>
  <c r="CG1404" i="50" s="1"/>
  <c r="CP1404" i="50"/>
  <c r="BH1417" i="50"/>
  <c r="BG1415" i="50"/>
  <c r="CI1404" i="50" s="1"/>
  <c r="BH1413" i="50"/>
  <c r="BB1413" i="50"/>
  <c r="M1413" i="50" s="1"/>
  <c r="BG1414" i="50"/>
  <c r="CH1404" i="50" s="1"/>
  <c r="BH1410" i="50"/>
  <c r="BG1412" i="50"/>
  <c r="CF1404" i="50" s="1"/>
  <c r="BG1441" i="50"/>
  <c r="CG1432" i="50" s="1"/>
  <c r="BH1444" i="50"/>
  <c r="BG1440" i="50"/>
  <c r="CF1432" i="50" s="1"/>
  <c r="CP1432" i="50"/>
  <c r="BH1438" i="50"/>
  <c r="BH1440" i="50"/>
  <c r="BB1441" i="50"/>
  <c r="M1441" i="50" s="1"/>
  <c r="BH1441" i="50"/>
  <c r="BG1443" i="50"/>
  <c r="CI1432" i="50" s="1"/>
  <c r="BH1445" i="50"/>
  <c r="BG1438" i="50"/>
  <c r="CE1432" i="50" s="1"/>
  <c r="BG1444" i="50"/>
  <c r="CJ1432" i="50" s="1"/>
  <c r="BH1442" i="50"/>
  <c r="BG1445" i="50"/>
  <c r="CK1432" i="50" s="1"/>
  <c r="BH1443" i="50"/>
  <c r="BG1442" i="50"/>
  <c r="CH1432" i="50" s="1"/>
  <c r="M965" i="50"/>
  <c r="BG662" i="50"/>
  <c r="CL648" i="50" s="1"/>
  <c r="BG438" i="50"/>
  <c r="CL424" i="50" s="1"/>
  <c r="BH546" i="50"/>
  <c r="BG549" i="50"/>
  <c r="CK536" i="50" s="1"/>
  <c r="BG547" i="50"/>
  <c r="CI536" i="50" s="1"/>
  <c r="BH545" i="50"/>
  <c r="BH549" i="50"/>
  <c r="BH544" i="50"/>
  <c r="BG548" i="50"/>
  <c r="CJ536" i="50" s="1"/>
  <c r="BG544" i="50"/>
  <c r="CF536" i="50" s="1"/>
  <c r="BH547" i="50"/>
  <c r="BG545" i="50"/>
  <c r="CG536" i="50" s="1"/>
  <c r="CP536" i="50"/>
  <c r="BH542" i="50"/>
  <c r="BG542" i="50"/>
  <c r="CE536" i="50" s="1"/>
  <c r="BG546" i="50"/>
  <c r="CH536" i="50" s="1"/>
  <c r="BH548" i="50"/>
  <c r="BB545" i="50"/>
  <c r="M545" i="50" s="1"/>
  <c r="BG1108" i="50"/>
  <c r="CJ1096" i="50" s="1"/>
  <c r="BG1102" i="50"/>
  <c r="CE1096" i="50" s="1"/>
  <c r="BG1105" i="50"/>
  <c r="CG1096" i="50" s="1"/>
  <c r="CP1096" i="50"/>
  <c r="BG1109" i="50"/>
  <c r="CK1096" i="50" s="1"/>
  <c r="BH1107" i="50"/>
  <c r="BH1102" i="50"/>
  <c r="BG1106" i="50"/>
  <c r="CH1096" i="50" s="1"/>
  <c r="BH1108" i="50"/>
  <c r="BH1105" i="50"/>
  <c r="BH1109" i="50"/>
  <c r="BG1107" i="50"/>
  <c r="CI1096" i="50" s="1"/>
  <c r="BH1104" i="50"/>
  <c r="BG1104" i="50"/>
  <c r="CF1096" i="50" s="1"/>
  <c r="BB1105" i="50"/>
  <c r="M1105" i="50" s="1"/>
  <c r="BH1106" i="50"/>
  <c r="BG1222" i="50"/>
  <c r="CL1208" i="50" s="1"/>
  <c r="BG466" i="50"/>
  <c r="CL452" i="50" s="1"/>
  <c r="BG712" i="50"/>
  <c r="CF704" i="50" s="1"/>
  <c r="BG713" i="50"/>
  <c r="CG704" i="50" s="1"/>
  <c r="BG716" i="50"/>
  <c r="CJ704" i="50" s="1"/>
  <c r="BG714" i="50"/>
  <c r="CH704" i="50" s="1"/>
  <c r="BG717" i="50"/>
  <c r="CK704" i="50" s="1"/>
  <c r="BH712" i="50"/>
  <c r="BG710" i="50"/>
  <c r="CE704" i="50" s="1"/>
  <c r="BH717" i="50"/>
  <c r="BH715" i="50"/>
  <c r="BB713" i="50"/>
  <c r="M713" i="50" s="1"/>
  <c r="BG715" i="50"/>
  <c r="CI704" i="50" s="1"/>
  <c r="BH716" i="50"/>
  <c r="BH713" i="50"/>
  <c r="BH714" i="50"/>
  <c r="BH710" i="50"/>
  <c r="CP704" i="50"/>
  <c r="BG998" i="50"/>
  <c r="CL984" i="50" s="1"/>
  <c r="BG802" i="50"/>
  <c r="CL788" i="50" s="1"/>
  <c r="BG1186" i="50"/>
  <c r="CE1180" i="50" s="1"/>
  <c r="BH1193" i="50"/>
  <c r="BG1188" i="50"/>
  <c r="CF1180" i="50" s="1"/>
  <c r="BG1192" i="50"/>
  <c r="CJ1180" i="50" s="1"/>
  <c r="CP1180" i="50"/>
  <c r="BG1190" i="50"/>
  <c r="CH1180" i="50" s="1"/>
  <c r="BG1193" i="50"/>
  <c r="CK1180" i="50" s="1"/>
  <c r="BH1189" i="50"/>
  <c r="BH1190" i="50"/>
  <c r="BB1189" i="50"/>
  <c r="M1189" i="50" s="1"/>
  <c r="BH1192" i="50"/>
  <c r="BG1191" i="50"/>
  <c r="CI1180" i="50" s="1"/>
  <c r="BH1186" i="50"/>
  <c r="BG1189" i="50"/>
  <c r="CG1180" i="50" s="1"/>
  <c r="BH1191" i="50"/>
  <c r="BH1188" i="50"/>
  <c r="BG267" i="50"/>
  <c r="CI256" i="50" s="1"/>
  <c r="BH269" i="50"/>
  <c r="BH262" i="50"/>
  <c r="BG264" i="50"/>
  <c r="CF256" i="50" s="1"/>
  <c r="BG265" i="50"/>
  <c r="CG256" i="50" s="1"/>
  <c r="BG262" i="50"/>
  <c r="CE256" i="50" s="1"/>
  <c r="BG266" i="50"/>
  <c r="CH256" i="50" s="1"/>
  <c r="BG269" i="50"/>
  <c r="CK256" i="50" s="1"/>
  <c r="BB265" i="50"/>
  <c r="M265" i="50" s="1"/>
  <c r="BH264" i="50"/>
  <c r="BH267" i="50"/>
  <c r="BH268" i="50"/>
  <c r="CP256" i="50"/>
  <c r="BH265" i="50"/>
  <c r="BH266" i="50"/>
  <c r="BG268" i="50"/>
  <c r="CJ256" i="50" s="1"/>
  <c r="BG408" i="50"/>
  <c r="CJ396" i="50" s="1"/>
  <c r="BG409" i="50"/>
  <c r="CK396" i="50" s="1"/>
  <c r="BH409" i="50"/>
  <c r="BG405" i="50"/>
  <c r="CG396" i="50" s="1"/>
  <c r="BH407" i="50"/>
  <c r="BG407" i="50"/>
  <c r="CI396" i="50" s="1"/>
  <c r="BH406" i="50"/>
  <c r="BG402" i="50"/>
  <c r="CE396" i="50" s="1"/>
  <c r="BH405" i="50"/>
  <c r="BH404" i="50"/>
  <c r="CP396" i="50"/>
  <c r="BB405" i="50"/>
  <c r="M405" i="50" s="1"/>
  <c r="BG404" i="50"/>
  <c r="CF396" i="50" s="1"/>
  <c r="BH408" i="50"/>
  <c r="BH402" i="50"/>
  <c r="BG406" i="50"/>
  <c r="CH396" i="50" s="1"/>
  <c r="BG942" i="50"/>
  <c r="CL928" i="50" s="1"/>
  <c r="BG354" i="50"/>
  <c r="CL340" i="50" s="1"/>
  <c r="BG109" i="50"/>
  <c r="CO88" i="50" s="1"/>
  <c r="BG103" i="50"/>
  <c r="CM88" i="50" s="1"/>
  <c r="BG105" i="50"/>
  <c r="CN88" i="50" s="1"/>
  <c r="AN98" i="50"/>
  <c r="AO98" i="50" s="1"/>
  <c r="BB96" i="50"/>
  <c r="BH632" i="50"/>
  <c r="BG630" i="50"/>
  <c r="CH620" i="50" s="1"/>
  <c r="BG632" i="50"/>
  <c r="CJ620" i="50" s="1"/>
  <c r="BH631" i="50"/>
  <c r="BG626" i="50"/>
  <c r="CE620" i="50" s="1"/>
  <c r="BG628" i="50"/>
  <c r="CF620" i="50" s="1"/>
  <c r="BH630" i="50"/>
  <c r="BB629" i="50"/>
  <c r="M629" i="50" s="1"/>
  <c r="BH629" i="50"/>
  <c r="BH628" i="50"/>
  <c r="BG633" i="50"/>
  <c r="CK620" i="50" s="1"/>
  <c r="BH633" i="50"/>
  <c r="BH626" i="50"/>
  <c r="BG631" i="50"/>
  <c r="CI620" i="50" s="1"/>
  <c r="BG629" i="50"/>
  <c r="CG620" i="50" s="1"/>
  <c r="CP620" i="50"/>
  <c r="BH1074" i="50"/>
  <c r="BH1076" i="50"/>
  <c r="CP1068" i="50"/>
  <c r="BG1081" i="50"/>
  <c r="CK1068" i="50" s="1"/>
  <c r="BH1078" i="50"/>
  <c r="BG1079" i="50"/>
  <c r="CI1068" i="50" s="1"/>
  <c r="BG1080" i="50"/>
  <c r="CJ1068" i="50" s="1"/>
  <c r="BG1077" i="50"/>
  <c r="CG1068" i="50" s="1"/>
  <c r="BG1078" i="50"/>
  <c r="CH1068" i="50" s="1"/>
  <c r="BH1081" i="50"/>
  <c r="BG1076" i="50"/>
  <c r="CF1068" i="50" s="1"/>
  <c r="BH1079" i="50"/>
  <c r="BH1080" i="50"/>
  <c r="BG1074" i="50"/>
  <c r="CE1068" i="50" s="1"/>
  <c r="BH1077" i="50"/>
  <c r="BB1077" i="50"/>
  <c r="M1077" i="50" s="1"/>
  <c r="M152" i="50"/>
  <c r="BG186" i="50"/>
  <c r="CL172" i="50" s="1"/>
  <c r="BG184" i="50"/>
  <c r="CJ172" i="50" s="1"/>
  <c r="BG185" i="50"/>
  <c r="CK172" i="50" s="1"/>
  <c r="BH178" i="50"/>
  <c r="BH185" i="50"/>
  <c r="BG178" i="50"/>
  <c r="CE172" i="50" s="1"/>
  <c r="BG181" i="50"/>
  <c r="CG172" i="50" s="1"/>
  <c r="BH184" i="50"/>
  <c r="BB181" i="50"/>
  <c r="M181" i="50" s="1"/>
  <c r="BH182" i="50"/>
  <c r="CP172" i="50"/>
  <c r="BH181" i="50"/>
  <c r="BG182" i="50"/>
  <c r="CH172" i="50" s="1"/>
  <c r="BH183" i="50"/>
  <c r="BG183" i="50"/>
  <c r="CI172" i="50" s="1"/>
  <c r="BH180" i="50"/>
  <c r="BG180" i="50"/>
  <c r="CF172" i="50" s="1"/>
  <c r="BH325" i="50"/>
  <c r="BG325" i="50"/>
  <c r="CK312" i="50" s="1"/>
  <c r="BG322" i="50"/>
  <c r="CH312" i="50" s="1"/>
  <c r="BH322" i="50"/>
  <c r="BG324" i="50"/>
  <c r="CJ312" i="50" s="1"/>
  <c r="BG323" i="50"/>
  <c r="CI312" i="50" s="1"/>
  <c r="BG321" i="50"/>
  <c r="CG312" i="50" s="1"/>
  <c r="BG318" i="50"/>
  <c r="CE312" i="50" s="1"/>
  <c r="BH323" i="50"/>
  <c r="BB321" i="50"/>
  <c r="M321" i="50" s="1"/>
  <c r="BH321" i="50"/>
  <c r="BH318" i="50"/>
  <c r="BH320" i="50"/>
  <c r="BG320" i="50"/>
  <c r="CF312" i="50" s="1"/>
  <c r="CP312" i="50"/>
  <c r="BH324" i="50"/>
  <c r="BG1298" i="50"/>
  <c r="CE1292" i="50" s="1"/>
  <c r="BG1305" i="50"/>
  <c r="CK1292" i="50" s="1"/>
  <c r="BH1300" i="50"/>
  <c r="BH1298" i="50"/>
  <c r="CP1292" i="50"/>
  <c r="BH1304" i="50"/>
  <c r="BG1300" i="50"/>
  <c r="CF1292" i="50" s="1"/>
  <c r="BH1305" i="50"/>
  <c r="BG1303" i="50"/>
  <c r="CI1292" i="50" s="1"/>
  <c r="BG1304" i="50"/>
  <c r="CJ1292" i="50" s="1"/>
  <c r="BH1303" i="50"/>
  <c r="BG1302" i="50"/>
  <c r="CH1292" i="50" s="1"/>
  <c r="BB1301" i="50"/>
  <c r="M1301" i="50" s="1"/>
  <c r="BH1302" i="50"/>
  <c r="BH1301" i="50"/>
  <c r="BG1301" i="50"/>
  <c r="CG1292" i="50" s="1"/>
  <c r="W70" i="50"/>
  <c r="Y70" i="50" s="1"/>
  <c r="AR21" i="60"/>
  <c r="AN21" i="60"/>
  <c r="AJ21" i="60"/>
  <c r="AK21" i="60"/>
  <c r="AI21" i="60"/>
  <c r="AH21" i="60"/>
  <c r="AG21" i="60"/>
  <c r="AM21" i="60"/>
  <c r="AL21" i="60"/>
  <c r="M73" i="50"/>
  <c r="AR20" i="60"/>
  <c r="AN20" i="60"/>
  <c r="AJ20" i="60"/>
  <c r="AM20" i="60"/>
  <c r="AH20" i="60"/>
  <c r="AL20" i="60"/>
  <c r="AG20" i="60"/>
  <c r="AK20" i="60"/>
  <c r="AI20" i="60"/>
  <c r="Y69" i="50"/>
  <c r="Y66" i="50"/>
  <c r="Y77" i="50"/>
  <c r="AC77" i="50" s="1"/>
  <c r="AV77" i="50" s="1"/>
  <c r="Y68" i="50"/>
  <c r="AC68" i="50" s="1"/>
  <c r="AJ519" i="66"/>
  <c r="AH520" i="66"/>
  <c r="AK519" i="66"/>
  <c r="AH452" i="66"/>
  <c r="AK451" i="66"/>
  <c r="AJ451" i="66"/>
  <c r="AK726" i="66"/>
  <c r="AJ726" i="66"/>
  <c r="AH727" i="66"/>
  <c r="AH313" i="66"/>
  <c r="AK312" i="66"/>
  <c r="AJ312" i="66"/>
  <c r="AH405" i="66"/>
  <c r="AJ404" i="66"/>
  <c r="AK404" i="66"/>
  <c r="AH428" i="66"/>
  <c r="AK427" i="66"/>
  <c r="AJ427" i="66"/>
  <c r="AK681" i="66"/>
  <c r="AJ681" i="66"/>
  <c r="AH682" i="66"/>
  <c r="AK634" i="66"/>
  <c r="AH635" i="66"/>
  <c r="AJ634" i="66"/>
  <c r="AH474" i="66"/>
  <c r="AJ473" i="66"/>
  <c r="AK473" i="66"/>
  <c r="AJ542" i="66"/>
  <c r="AH543" i="66"/>
  <c r="AK542" i="66"/>
  <c r="AH750" i="66"/>
  <c r="AK749" i="66"/>
  <c r="AJ749" i="66"/>
  <c r="AJ703" i="66"/>
  <c r="AH704" i="66"/>
  <c r="AK703" i="66"/>
  <c r="AJ382" i="66"/>
  <c r="AH383" i="66"/>
  <c r="AK382" i="66"/>
  <c r="AH612" i="66"/>
  <c r="AK611" i="66"/>
  <c r="AJ611" i="66"/>
  <c r="AH497" i="66"/>
  <c r="AK496" i="66"/>
  <c r="AJ496" i="66"/>
  <c r="AH589" i="66"/>
  <c r="AK588" i="66"/>
  <c r="AJ588" i="66"/>
  <c r="AK358" i="66"/>
  <c r="AJ358" i="66"/>
  <c r="AH359" i="66"/>
  <c r="AJ335" i="66"/>
  <c r="AH336" i="66"/>
  <c r="AK335" i="66"/>
  <c r="AH567" i="66"/>
  <c r="AK566" i="66"/>
  <c r="AJ566" i="66"/>
  <c r="AK658" i="66"/>
  <c r="AJ658" i="66"/>
  <c r="AH659" i="66"/>
  <c r="AH153" i="66"/>
  <c r="AK152" i="66"/>
  <c r="AJ152" i="66"/>
  <c r="AJ105" i="66"/>
  <c r="AK105" i="66"/>
  <c r="AH106" i="66"/>
  <c r="AH176" i="66"/>
  <c r="AK175" i="66"/>
  <c r="AJ175" i="66"/>
  <c r="AJ197" i="66"/>
  <c r="AH198" i="66"/>
  <c r="AK197" i="66"/>
  <c r="AH290" i="66"/>
  <c r="AJ289" i="66"/>
  <c r="AK289" i="66"/>
  <c r="AJ244" i="66"/>
  <c r="AH245" i="66"/>
  <c r="AK244" i="66"/>
  <c r="AH129" i="66"/>
  <c r="AK128" i="66"/>
  <c r="L128" i="66" s="1"/>
  <c r="L141" i="66" s="1"/>
  <c r="L45" i="66" s="1" a="1"/>
  <c r="L45" i="66" s="1"/>
  <c r="AJ128" i="66"/>
  <c r="K128" i="66" s="1"/>
  <c r="K141" i="66" s="1"/>
  <c r="K45" i="66" s="1" a="1"/>
  <c r="K45" i="66" s="1"/>
  <c r="AK267" i="66"/>
  <c r="AJ267" i="66"/>
  <c r="AH268" i="66"/>
  <c r="AH221" i="66"/>
  <c r="AK220" i="66"/>
  <c r="AJ220" i="66"/>
  <c r="H845" i="43"/>
  <c r="F847" i="43"/>
  <c r="G846" i="43"/>
  <c r="H802" i="43"/>
  <c r="I1488" i="50"/>
  <c r="I1512" i="50"/>
  <c r="I1489" i="50"/>
  <c r="I1508" i="50"/>
  <c r="I1496" i="50"/>
  <c r="I1492" i="50"/>
  <c r="I1497" i="50"/>
  <c r="I1510" i="50"/>
  <c r="I1494" i="50"/>
  <c r="I1511" i="50"/>
  <c r="I1495" i="50"/>
  <c r="I1505" i="50"/>
  <c r="I1502" i="50"/>
  <c r="I1503" i="50"/>
  <c r="I1504" i="50"/>
  <c r="I1501" i="50"/>
  <c r="I1498" i="50"/>
  <c r="I1500" i="50"/>
  <c r="I1499" i="50"/>
  <c r="I1509" i="50"/>
  <c r="I1493" i="50"/>
  <c r="I1506" i="50"/>
  <c r="I1490" i="50"/>
  <c r="I1507" i="50"/>
  <c r="I1491" i="50"/>
  <c r="I1487" i="50"/>
  <c r="I1474" i="50"/>
  <c r="I1482" i="50"/>
  <c r="I1466" i="50"/>
  <c r="I1477" i="50"/>
  <c r="I1481" i="50"/>
  <c r="I1479" i="50"/>
  <c r="I1476" i="50"/>
  <c r="I1472" i="50"/>
  <c r="I1468" i="50"/>
  <c r="I1467" i="50"/>
  <c r="I1478" i="50"/>
  <c r="I1480" i="50"/>
  <c r="I1470" i="50"/>
  <c r="I1471" i="50"/>
  <c r="I1486" i="50"/>
  <c r="I1475" i="50"/>
  <c r="I1483" i="50"/>
  <c r="I1473" i="50"/>
  <c r="I1485" i="50"/>
  <c r="I1465" i="50"/>
  <c r="I1469" i="50"/>
  <c r="I1484" i="50"/>
  <c r="R289" i="43"/>
  <c r="T289" i="43" s="1"/>
  <c r="L40" i="62" s="1"/>
  <c r="J14" i="60"/>
  <c r="AE83" i="66"/>
  <c r="AE84" i="66" s="1"/>
  <c r="AE85" i="66" s="1"/>
  <c r="AE86" i="66" s="1"/>
  <c r="AE87" i="66" s="1"/>
  <c r="AE88" i="66" s="1"/>
  <c r="AE89" i="66" s="1"/>
  <c r="AE90" i="66" s="1"/>
  <c r="AE91" i="66" s="1"/>
  <c r="AE92" i="66" s="1"/>
  <c r="AE93" i="66" s="1"/>
  <c r="AE94" i="66" s="1"/>
  <c r="AK80" i="66"/>
  <c r="L80" i="66" s="1"/>
  <c r="AJ80" i="66"/>
  <c r="K80" i="66" s="1"/>
  <c r="AH81" i="66"/>
  <c r="H1" i="26"/>
  <c r="AA69" i="50"/>
  <c r="G69" i="50"/>
  <c r="AA68" i="50"/>
  <c r="G68" i="50"/>
  <c r="I66" i="50"/>
  <c r="AJ66" i="50"/>
  <c r="V71" i="50"/>
  <c r="W71" i="50" s="1"/>
  <c r="Y71" i="50" s="1"/>
  <c r="I70" i="57"/>
  <c r="H71" i="57"/>
  <c r="R61" i="65"/>
  <c r="W59" i="65"/>
  <c r="U89" i="65"/>
  <c r="R90" i="65"/>
  <c r="U90" i="65" s="1"/>
  <c r="W86" i="65"/>
  <c r="W87" i="65" s="1"/>
  <c r="E92" i="65"/>
  <c r="D93" i="65"/>
  <c r="E91" i="65"/>
  <c r="R91" i="65"/>
  <c r="E62" i="65"/>
  <c r="R62" i="65"/>
  <c r="R63" i="65" s="1"/>
  <c r="E63" i="65"/>
  <c r="D64" i="65"/>
  <c r="W15" i="60"/>
  <c r="K20" i="60"/>
  <c r="T20" i="60"/>
  <c r="AF20" i="60"/>
  <c r="U20" i="60"/>
  <c r="AD20" i="60"/>
  <c r="N20" i="60"/>
  <c r="W20" i="60"/>
  <c r="AV20" i="60"/>
  <c r="R20" i="60"/>
  <c r="AO20" i="60"/>
  <c r="H20" i="60"/>
  <c r="P20" i="60"/>
  <c r="AT20" i="60"/>
  <c r="M20" i="60"/>
  <c r="J20" i="60"/>
  <c r="G20" i="60"/>
  <c r="O20" i="60"/>
  <c r="AQ20" i="60"/>
  <c r="L20" i="60"/>
  <c r="S20" i="60"/>
  <c r="V20" i="60"/>
  <c r="Q20" i="60"/>
  <c r="AU20" i="60"/>
  <c r="AE20" i="60"/>
  <c r="AP20" i="60"/>
  <c r="I20" i="60"/>
  <c r="D20" i="60"/>
  <c r="E20" i="60"/>
  <c r="X20" i="60"/>
  <c r="K21" i="60"/>
  <c r="E21" i="60"/>
  <c r="AV21" i="60"/>
  <c r="J21" i="60"/>
  <c r="D21" i="60"/>
  <c r="AQ21" i="60"/>
  <c r="R21" i="60"/>
  <c r="W21" i="60"/>
  <c r="L21" i="60"/>
  <c r="I21" i="60"/>
  <c r="T21" i="60"/>
  <c r="O21" i="60"/>
  <c r="N21" i="60"/>
  <c r="U21" i="60"/>
  <c r="S21" i="60"/>
  <c r="Q21" i="60"/>
  <c r="P21" i="60"/>
  <c r="AE21" i="60"/>
  <c r="AT21" i="60"/>
  <c r="M21" i="60"/>
  <c r="AU21" i="60"/>
  <c r="AO21" i="60"/>
  <c r="AF21" i="60"/>
  <c r="V21" i="60"/>
  <c r="H21" i="60"/>
  <c r="AD21" i="60"/>
  <c r="G21" i="60"/>
  <c r="AP21" i="60"/>
  <c r="X21" i="60"/>
  <c r="G5" i="50"/>
  <c r="M75" i="50" l="1"/>
  <c r="CQ74" i="50"/>
  <c r="CQ72" i="50"/>
  <c r="D373" i="66"/>
  <c r="V373" i="66" s="1"/>
  <c r="A373" i="66"/>
  <c r="C396" i="66"/>
  <c r="AM40" i="57"/>
  <c r="AM41" i="57" s="1"/>
  <c r="AL28" i="57"/>
  <c r="AL29" i="57" s="1"/>
  <c r="AL30" i="57" s="1"/>
  <c r="AL34" i="57" s="1"/>
  <c r="AL36" i="57" s="1"/>
  <c r="AL37" i="57" s="1"/>
  <c r="AL38" i="57" s="1"/>
  <c r="AL47" i="57" s="1"/>
  <c r="AL48" i="57" s="1"/>
  <c r="AL49" i="57" s="1"/>
  <c r="M96" i="50"/>
  <c r="BG102" i="50"/>
  <c r="CL88" i="50" s="1"/>
  <c r="BA96" i="50"/>
  <c r="BH101" i="50"/>
  <c r="BG101" i="50" s="1"/>
  <c r="CK88" i="50" s="1"/>
  <c r="BH97" i="50"/>
  <c r="BG97" i="50" s="1"/>
  <c r="CG88" i="50" s="1"/>
  <c r="BH96" i="50"/>
  <c r="BG96" i="50" s="1"/>
  <c r="CF88" i="50" s="1"/>
  <c r="BH94" i="50"/>
  <c r="BH99" i="50"/>
  <c r="BG99" i="50" s="1"/>
  <c r="CI88" i="50" s="1"/>
  <c r="BB97" i="50"/>
  <c r="M97" i="50" s="1"/>
  <c r="BG94" i="50"/>
  <c r="CE88" i="50" s="1"/>
  <c r="BH98" i="50"/>
  <c r="BG98" i="50" s="1"/>
  <c r="CH88" i="50" s="1"/>
  <c r="BH100" i="50"/>
  <c r="BG100" i="50" s="1"/>
  <c r="CJ88" i="50" s="1"/>
  <c r="CP88" i="50"/>
  <c r="AH337" i="66"/>
  <c r="AK336" i="66"/>
  <c r="AJ336" i="66"/>
  <c r="AJ659" i="66"/>
  <c r="AK659" i="66"/>
  <c r="AH660" i="66"/>
  <c r="AH613" i="66"/>
  <c r="AJ612" i="66"/>
  <c r="AK612" i="66"/>
  <c r="AH705" i="66"/>
  <c r="AK704" i="66"/>
  <c r="AJ704" i="66"/>
  <c r="AK750" i="66"/>
  <c r="AJ750" i="66"/>
  <c r="AH751" i="66"/>
  <c r="AK635" i="66"/>
  <c r="AH636" i="66"/>
  <c r="AJ635" i="66"/>
  <c r="BC73" i="50"/>
  <c r="AC73" i="50"/>
  <c r="AH429" i="66"/>
  <c r="AJ428" i="66"/>
  <c r="AK428" i="66"/>
  <c r="AH453" i="66"/>
  <c r="AK452" i="66"/>
  <c r="AJ452" i="66"/>
  <c r="AK567" i="66"/>
  <c r="AH568" i="66"/>
  <c r="AJ567" i="66"/>
  <c r="AH360" i="66"/>
  <c r="AK359" i="66"/>
  <c r="AJ359" i="66"/>
  <c r="AH498" i="66"/>
  <c r="AK497" i="66"/>
  <c r="AJ497" i="66"/>
  <c r="BC75" i="50"/>
  <c r="BC74" i="50"/>
  <c r="AK383" i="66"/>
  <c r="AJ383" i="66"/>
  <c r="AH384" i="66"/>
  <c r="AH314" i="66"/>
  <c r="AJ313" i="66"/>
  <c r="AK313" i="66"/>
  <c r="AK520" i="66"/>
  <c r="AJ520" i="66"/>
  <c r="AH521" i="66"/>
  <c r="H72" i="57"/>
  <c r="AH590" i="66"/>
  <c r="AK589" i="66"/>
  <c r="AJ589" i="66"/>
  <c r="AC72" i="50"/>
  <c r="AK543" i="66"/>
  <c r="AJ543" i="66"/>
  <c r="AH544" i="66"/>
  <c r="AH475" i="66"/>
  <c r="AJ474" i="66"/>
  <c r="AK474" i="66"/>
  <c r="AK682" i="66"/>
  <c r="AJ682" i="66"/>
  <c r="AH683" i="66"/>
  <c r="AH406" i="66"/>
  <c r="AK405" i="66"/>
  <c r="AJ405" i="66"/>
  <c r="AH728" i="66"/>
  <c r="AK727" i="66"/>
  <c r="AJ727" i="66"/>
  <c r="AH246" i="66"/>
  <c r="AJ245" i="66"/>
  <c r="AK245" i="66"/>
  <c r="AK198" i="66"/>
  <c r="AJ198" i="66"/>
  <c r="AH199" i="66"/>
  <c r="AH130" i="66"/>
  <c r="AK129" i="66"/>
  <c r="AJ129" i="66"/>
  <c r="AK290" i="66"/>
  <c r="AH291" i="66"/>
  <c r="AJ290" i="66"/>
  <c r="AK268" i="66"/>
  <c r="AH269" i="66"/>
  <c r="AJ268" i="66"/>
  <c r="AK106" i="66"/>
  <c r="AH107" i="66"/>
  <c r="AJ106" i="66"/>
  <c r="AH154" i="66"/>
  <c r="AJ153" i="66"/>
  <c r="AK153" i="66"/>
  <c r="AK221" i="66"/>
  <c r="AJ221" i="66"/>
  <c r="AH222" i="66"/>
  <c r="Q136" i="66"/>
  <c r="I141" i="66"/>
  <c r="I45" i="66" s="1" a="1"/>
  <c r="I45" i="66" s="1"/>
  <c r="AK176" i="66"/>
  <c r="AH177" i="66"/>
  <c r="AJ176" i="66"/>
  <c r="H846" i="43"/>
  <c r="G847" i="43"/>
  <c r="F848" i="43"/>
  <c r="H803" i="43"/>
  <c r="AW77" i="50"/>
  <c r="AX77" i="50" s="1"/>
  <c r="CQ69" i="50"/>
  <c r="AK81" i="66"/>
  <c r="L81" i="66" s="1"/>
  <c r="AH82" i="66"/>
  <c r="AJ81" i="66"/>
  <c r="K81" i="66" s="1"/>
  <c r="AC69" i="50"/>
  <c r="I2" i="62"/>
  <c r="J1" i="26"/>
  <c r="K2" i="62"/>
  <c r="CQ68" i="50"/>
  <c r="CQ70" i="50"/>
  <c r="AC70" i="50"/>
  <c r="AV66" i="50"/>
  <c r="BK60" i="50" s="1"/>
  <c r="R287" i="43" s="1"/>
  <c r="M66" i="50"/>
  <c r="W60" i="65"/>
  <c r="W61" i="65" s="1"/>
  <c r="W62" i="65" s="1"/>
  <c r="BP60" i="50"/>
  <c r="BA77" i="50"/>
  <c r="AX81" i="50"/>
  <c r="M81" i="50" s="1"/>
  <c r="BC77" i="50"/>
  <c r="M77" i="50" s="1"/>
  <c r="AC71" i="50"/>
  <c r="BC71" i="50"/>
  <c r="CQ71" i="50"/>
  <c r="AT66" i="50"/>
  <c r="AN66" i="50"/>
  <c r="BM60" i="50"/>
  <c r="AS68" i="50"/>
  <c r="AG68" i="50"/>
  <c r="AR68" i="50"/>
  <c r="AF68" i="50"/>
  <c r="AH68" i="50" s="1"/>
  <c r="AI68" i="50" s="1"/>
  <c r="G72" i="57"/>
  <c r="J71" i="57"/>
  <c r="W88" i="65"/>
  <c r="W89" i="65" s="1"/>
  <c r="R92" i="65"/>
  <c r="U92" i="65" s="1"/>
  <c r="U91" i="65"/>
  <c r="E64" i="65"/>
  <c r="D66" i="65"/>
  <c r="E65" i="65"/>
  <c r="R64" i="65"/>
  <c r="R65" i="65" s="1"/>
  <c r="E93" i="65"/>
  <c r="R93" i="65"/>
  <c r="E94" i="65"/>
  <c r="D95" i="65"/>
  <c r="U15" i="60"/>
  <c r="I5" i="50"/>
  <c r="F22" i="60"/>
  <c r="AC22" i="60" l="1"/>
  <c r="Y22" i="60"/>
  <c r="AB22" i="60"/>
  <c r="AA22" i="60"/>
  <c r="Z22" i="60"/>
  <c r="D396" i="66"/>
  <c r="V396" i="66" s="1"/>
  <c r="C419" i="66"/>
  <c r="A396" i="66"/>
  <c r="AM42" i="57"/>
  <c r="AM43" i="57" s="1"/>
  <c r="K71" i="57"/>
  <c r="AR22" i="60"/>
  <c r="AN22" i="60"/>
  <c r="AJ22" i="60"/>
  <c r="AM22" i="60"/>
  <c r="AH22" i="60"/>
  <c r="AG22" i="60"/>
  <c r="AL22" i="60"/>
  <c r="AK22" i="60"/>
  <c r="AI22" i="60"/>
  <c r="AJ751" i="66"/>
  <c r="AH752" i="66"/>
  <c r="AK751" i="66"/>
  <c r="AH614" i="66"/>
  <c r="AJ613" i="66"/>
  <c r="AK613" i="66"/>
  <c r="AK728" i="66"/>
  <c r="AJ728" i="66"/>
  <c r="AH729" i="66"/>
  <c r="AH684" i="66"/>
  <c r="AK683" i="66"/>
  <c r="AJ683" i="66"/>
  <c r="AJ521" i="66"/>
  <c r="AH522" i="66"/>
  <c r="AK521" i="66"/>
  <c r="AH361" i="66"/>
  <c r="AK360" i="66"/>
  <c r="AJ360" i="66"/>
  <c r="AJ705" i="66"/>
  <c r="AH706" i="66"/>
  <c r="AK705" i="66"/>
  <c r="AH661" i="66"/>
  <c r="AK660" i="66"/>
  <c r="AJ660" i="66"/>
  <c r="AH407" i="66"/>
  <c r="AK406" i="66"/>
  <c r="AJ406" i="66"/>
  <c r="AH476" i="66"/>
  <c r="AK475" i="66"/>
  <c r="AJ475" i="66"/>
  <c r="I72" i="50"/>
  <c r="AS72" i="50"/>
  <c r="AU72" i="50" s="1"/>
  <c r="AH591" i="66"/>
  <c r="AJ590" i="66"/>
  <c r="AK590" i="66"/>
  <c r="AH315" i="66"/>
  <c r="AJ314" i="66"/>
  <c r="AK314" i="66"/>
  <c r="AJ498" i="66"/>
  <c r="AH499" i="66"/>
  <c r="AK498" i="66"/>
  <c r="AH430" i="66"/>
  <c r="AK429" i="66"/>
  <c r="AJ429" i="66"/>
  <c r="AJ636" i="66"/>
  <c r="AH637" i="66"/>
  <c r="AK636" i="66"/>
  <c r="AC75" i="50"/>
  <c r="AC74" i="50"/>
  <c r="AH545" i="66"/>
  <c r="AK544" i="66"/>
  <c r="AJ544" i="66"/>
  <c r="AH385" i="66"/>
  <c r="AK384" i="66"/>
  <c r="AJ384" i="66"/>
  <c r="AK568" i="66"/>
  <c r="AJ568" i="66"/>
  <c r="AH569" i="66"/>
  <c r="AH454" i="66"/>
  <c r="AK453" i="66"/>
  <c r="AJ453" i="66"/>
  <c r="AS73" i="50"/>
  <c r="AU73" i="50" s="1"/>
  <c r="AW73" i="50" s="1"/>
  <c r="AX73" i="50" s="1"/>
  <c r="I73" i="50"/>
  <c r="AK337" i="66"/>
  <c r="AJ337" i="66"/>
  <c r="AH338" i="66"/>
  <c r="Q134" i="66"/>
  <c r="AJ154" i="66"/>
  <c r="AH155" i="66"/>
  <c r="AK154" i="66"/>
  <c r="AJ269" i="66"/>
  <c r="AK269" i="66"/>
  <c r="AH270" i="66"/>
  <c r="AJ291" i="66"/>
  <c r="AK291" i="66"/>
  <c r="AH292" i="66"/>
  <c r="AJ130" i="66"/>
  <c r="AH131" i="66"/>
  <c r="AK130" i="66"/>
  <c r="AK107" i="66"/>
  <c r="AH108" i="66"/>
  <c r="AJ107" i="66"/>
  <c r="AJ199" i="66"/>
  <c r="AH200" i="66"/>
  <c r="AK199" i="66"/>
  <c r="AJ177" i="66"/>
  <c r="AK177" i="66"/>
  <c r="AH178" i="66"/>
  <c r="AH223" i="66"/>
  <c r="AJ222" i="66"/>
  <c r="AK222" i="66"/>
  <c r="AJ246" i="66"/>
  <c r="AH247" i="66"/>
  <c r="AK246" i="66"/>
  <c r="F849" i="43"/>
  <c r="G848" i="43"/>
  <c r="H847" i="43"/>
  <c r="H804" i="43"/>
  <c r="AR69" i="50"/>
  <c r="AS69" i="50"/>
  <c r="AF69" i="50"/>
  <c r="AH69" i="50" s="1"/>
  <c r="AG69" i="50"/>
  <c r="J289" i="43"/>
  <c r="I40" i="62" s="1"/>
  <c r="J287" i="43"/>
  <c r="I38" i="62" s="1"/>
  <c r="L14" i="60"/>
  <c r="O14" i="60"/>
  <c r="AH83" i="66"/>
  <c r="AK82" i="66"/>
  <c r="L82" i="66" s="1"/>
  <c r="AJ82" i="66"/>
  <c r="K82" i="66" s="1"/>
  <c r="R290" i="43"/>
  <c r="R288" i="43"/>
  <c r="L13" i="60"/>
  <c r="J290" i="43"/>
  <c r="I41" i="62" s="1"/>
  <c r="J288" i="43"/>
  <c r="O13" i="60"/>
  <c r="I68" i="50"/>
  <c r="AJ68" i="50"/>
  <c r="AN68" i="50" s="1"/>
  <c r="J13" i="60"/>
  <c r="BL60" i="50"/>
  <c r="K517" i="43" s="1"/>
  <c r="N517" i="43" s="1"/>
  <c r="AS71" i="50"/>
  <c r="AU71" i="50" s="1"/>
  <c r="I71" i="50"/>
  <c r="AS70" i="50"/>
  <c r="AU70" i="50" s="1"/>
  <c r="I70" i="50"/>
  <c r="W63" i="65"/>
  <c r="W64" i="65" s="1"/>
  <c r="J72" i="57"/>
  <c r="I72" i="57"/>
  <c r="U93" i="65"/>
  <c r="R94" i="65"/>
  <c r="U94" i="65" s="1"/>
  <c r="W90" i="65"/>
  <c r="W91" i="65" s="1"/>
  <c r="E95" i="65"/>
  <c r="D97" i="65"/>
  <c r="E96" i="65"/>
  <c r="R95" i="65"/>
  <c r="E66" i="65"/>
  <c r="R66" i="65"/>
  <c r="R67" i="65" s="1"/>
  <c r="E67" i="65"/>
  <c r="D68" i="65"/>
  <c r="K22" i="60"/>
  <c r="L22" i="60"/>
  <c r="AO22" i="60"/>
  <c r="AU22" i="60"/>
  <c r="AF22" i="60"/>
  <c r="AD22" i="60"/>
  <c r="X22" i="60"/>
  <c r="E22" i="60"/>
  <c r="I22" i="60"/>
  <c r="AE22" i="60"/>
  <c r="D22" i="60"/>
  <c r="R22" i="60"/>
  <c r="AQ22" i="60"/>
  <c r="AV22" i="60"/>
  <c r="Q22" i="60"/>
  <c r="J22" i="60"/>
  <c r="H22" i="60"/>
  <c r="G22" i="60"/>
  <c r="M22" i="60"/>
  <c r="AP22" i="60"/>
  <c r="N22" i="60"/>
  <c r="O22" i="60"/>
  <c r="V22" i="60"/>
  <c r="S22" i="60"/>
  <c r="W22" i="60"/>
  <c r="P22" i="60"/>
  <c r="U22" i="60"/>
  <c r="AT22" i="60"/>
  <c r="T22" i="60"/>
  <c r="F23" i="60"/>
  <c r="K5" i="50"/>
  <c r="M5" i="50"/>
  <c r="AB23" i="60" l="1"/>
  <c r="AA23" i="60"/>
  <c r="Z23" i="60"/>
  <c r="AC23" i="60"/>
  <c r="Y23" i="60"/>
  <c r="L71" i="57"/>
  <c r="D419" i="66"/>
  <c r="V419" i="66" s="1"/>
  <c r="C442" i="66"/>
  <c r="A419" i="66"/>
  <c r="AM44" i="57"/>
  <c r="AM45" i="57" s="1"/>
  <c r="AM46" i="57" s="1"/>
  <c r="AM50" i="57" s="1"/>
  <c r="M71" i="57"/>
  <c r="AR23" i="60"/>
  <c r="AN23" i="60"/>
  <c r="AJ23" i="60"/>
  <c r="AK23" i="60"/>
  <c r="AI23" i="60"/>
  <c r="AM23" i="60"/>
  <c r="AL23" i="60"/>
  <c r="AH23" i="60"/>
  <c r="AG23" i="60"/>
  <c r="AJ569" i="66"/>
  <c r="AK569" i="66"/>
  <c r="AH570" i="66"/>
  <c r="AH546" i="66"/>
  <c r="AK545" i="66"/>
  <c r="AJ545" i="66"/>
  <c r="AH638" i="66"/>
  <c r="AK637" i="66"/>
  <c r="AJ637" i="66"/>
  <c r="AH431" i="66"/>
  <c r="AJ430" i="66"/>
  <c r="AK430" i="66"/>
  <c r="AH477" i="66"/>
  <c r="AJ476" i="66"/>
  <c r="AK476" i="66"/>
  <c r="AH386" i="66"/>
  <c r="AK385" i="66"/>
  <c r="AJ385" i="66"/>
  <c r="AS74" i="50"/>
  <c r="AU74" i="50" s="1"/>
  <c r="AZ74" i="50" s="1"/>
  <c r="I74" i="50"/>
  <c r="AH592" i="66"/>
  <c r="AJ591" i="66"/>
  <c r="AK591" i="66"/>
  <c r="BD72" i="50"/>
  <c r="BD73" i="50"/>
  <c r="AZ73" i="50"/>
  <c r="BA73" i="50"/>
  <c r="AJ706" i="66"/>
  <c r="AK706" i="66"/>
  <c r="AH707" i="66"/>
  <c r="AJ361" i="66"/>
  <c r="AK361" i="66"/>
  <c r="AH362" i="66"/>
  <c r="AH615" i="66"/>
  <c r="AJ614" i="66"/>
  <c r="AK614" i="66"/>
  <c r="AK338" i="66"/>
  <c r="AJ338" i="66"/>
  <c r="AH339" i="66"/>
  <c r="I75" i="50"/>
  <c r="AS75" i="50"/>
  <c r="AU75" i="50" s="1"/>
  <c r="AW75" i="50" s="1"/>
  <c r="AX75" i="50" s="1"/>
  <c r="AK499" i="66"/>
  <c r="AJ499" i="66"/>
  <c r="AH500" i="66"/>
  <c r="AH316" i="66"/>
  <c r="AK315" i="66"/>
  <c r="AJ315" i="66"/>
  <c r="AJ661" i="66"/>
  <c r="AK661" i="66"/>
  <c r="AH662" i="66"/>
  <c r="AJ522" i="66"/>
  <c r="AK522" i="66"/>
  <c r="AH523" i="66"/>
  <c r="AJ684" i="66"/>
  <c r="AH685" i="66"/>
  <c r="AK684" i="66"/>
  <c r="AH753" i="66"/>
  <c r="AK752" i="66"/>
  <c r="AJ752" i="66"/>
  <c r="AH455" i="66"/>
  <c r="AJ454" i="66"/>
  <c r="AK454" i="66"/>
  <c r="AZ72" i="50"/>
  <c r="BA72" i="50"/>
  <c r="AH408" i="66"/>
  <c r="AK407" i="66"/>
  <c r="AJ407" i="66"/>
  <c r="AH730" i="66"/>
  <c r="AK729" i="66"/>
  <c r="AJ729" i="66"/>
  <c r="AH132" i="66"/>
  <c r="AK131" i="66"/>
  <c r="AJ131" i="66"/>
  <c r="AH248" i="66"/>
  <c r="AK247" i="66"/>
  <c r="AJ247" i="66"/>
  <c r="AK223" i="66"/>
  <c r="AJ223" i="66"/>
  <c r="AH224" i="66"/>
  <c r="AK108" i="66"/>
  <c r="AJ108" i="66"/>
  <c r="AH109" i="66"/>
  <c r="AH271" i="66"/>
  <c r="AK270" i="66"/>
  <c r="AJ270" i="66"/>
  <c r="AH156" i="66"/>
  <c r="AK155" i="66"/>
  <c r="AJ155" i="66"/>
  <c r="AH179" i="66"/>
  <c r="AK178" i="66"/>
  <c r="AJ178" i="66"/>
  <c r="AH201" i="66"/>
  <c r="AJ200" i="66"/>
  <c r="AK200" i="66"/>
  <c r="AK292" i="66"/>
  <c r="AH293" i="66"/>
  <c r="AJ292" i="66"/>
  <c r="H848" i="43"/>
  <c r="F850" i="43"/>
  <c r="G849" i="43"/>
  <c r="K289" i="43"/>
  <c r="K14" i="60"/>
  <c r="K287" i="43"/>
  <c r="N287" i="43" s="1"/>
  <c r="U14" i="60"/>
  <c r="AJ83" i="66"/>
  <c r="AK83" i="66"/>
  <c r="AH84" i="66"/>
  <c r="I39" i="62"/>
  <c r="K18" i="62"/>
  <c r="K15" i="62"/>
  <c r="K16" i="62"/>
  <c r="K17" i="62"/>
  <c r="K19" i="62"/>
  <c r="L17" i="62"/>
  <c r="L16" i="62"/>
  <c r="L15" i="62"/>
  <c r="L19" i="62"/>
  <c r="L18" i="62"/>
  <c r="K290" i="43"/>
  <c r="K288" i="43"/>
  <c r="K13" i="60"/>
  <c r="AZ70" i="50"/>
  <c r="AT68" i="50"/>
  <c r="AU68" i="50" s="1"/>
  <c r="BV60" i="50"/>
  <c r="U13" i="60" s="1"/>
  <c r="AW71" i="50"/>
  <c r="AX71" i="50" s="1"/>
  <c r="AZ71" i="50"/>
  <c r="K71" i="50"/>
  <c r="AV71" i="50" s="1"/>
  <c r="W92" i="65"/>
  <c r="W93" i="65" s="1"/>
  <c r="K72" i="57"/>
  <c r="AF72" i="57"/>
  <c r="U95" i="65"/>
  <c r="R96" i="65"/>
  <c r="U96" i="65" s="1"/>
  <c r="W65" i="65"/>
  <c r="W66" i="65" s="1"/>
  <c r="E97" i="65"/>
  <c r="E98" i="65"/>
  <c r="R97" i="65"/>
  <c r="R68" i="65"/>
  <c r="R69" i="65" s="1"/>
  <c r="E68" i="65"/>
  <c r="E69" i="65"/>
  <c r="Y71" i="57"/>
  <c r="AC71" i="57"/>
  <c r="S71" i="57"/>
  <c r="AB71" i="57"/>
  <c r="Z71" i="57"/>
  <c r="W23" i="60"/>
  <c r="I23" i="60"/>
  <c r="N23" i="60"/>
  <c r="AP23" i="60"/>
  <c r="O23" i="60"/>
  <c r="AE23" i="60"/>
  <c r="AU23" i="60"/>
  <c r="M23" i="60"/>
  <c r="H23" i="60"/>
  <c r="G23" i="60"/>
  <c r="U23" i="60"/>
  <c r="S23" i="60"/>
  <c r="AO23" i="60"/>
  <c r="R23" i="60"/>
  <c r="AQ23" i="60"/>
  <c r="E23" i="60"/>
  <c r="AD23" i="60"/>
  <c r="K23" i="60"/>
  <c r="AV23" i="60"/>
  <c r="T23" i="60"/>
  <c r="AT23" i="60"/>
  <c r="V23" i="60"/>
  <c r="Q23" i="60"/>
  <c r="X23" i="60"/>
  <c r="L23" i="60"/>
  <c r="P23" i="60"/>
  <c r="D23" i="60"/>
  <c r="AF23" i="60"/>
  <c r="J23" i="60"/>
  <c r="AE71" i="57" l="1"/>
  <c r="U71" i="57"/>
  <c r="P71" i="57"/>
  <c r="AH71" i="57"/>
  <c r="AG71" i="57"/>
  <c r="V71" i="57"/>
  <c r="N71" i="57"/>
  <c r="R71" i="57"/>
  <c r="AD71" i="57"/>
  <c r="T71" i="57"/>
  <c r="W71" i="57"/>
  <c r="X71" i="57"/>
  <c r="O71" i="57"/>
  <c r="AF71" i="57"/>
  <c r="AA71" i="57"/>
  <c r="D442" i="66"/>
  <c r="V442" i="66" s="1"/>
  <c r="C465" i="66"/>
  <c r="A442" i="66"/>
  <c r="Q71" i="57"/>
  <c r="BZ60" i="50"/>
  <c r="Y13" i="60" s="1"/>
  <c r="AH387" i="66"/>
  <c r="AK386" i="66"/>
  <c r="AJ386" i="66"/>
  <c r="AH547" i="66"/>
  <c r="AK546" i="66"/>
  <c r="AJ546" i="66"/>
  <c r="AH663" i="66"/>
  <c r="AK662" i="66"/>
  <c r="AJ662" i="66"/>
  <c r="AH593" i="66"/>
  <c r="AJ592" i="66"/>
  <c r="AK592" i="66"/>
  <c r="BA74" i="50"/>
  <c r="AJ638" i="66"/>
  <c r="AK638" i="66"/>
  <c r="AH639" i="66"/>
  <c r="AK570" i="66"/>
  <c r="AH571" i="66"/>
  <c r="AJ570" i="66"/>
  <c r="AJ685" i="66"/>
  <c r="AK685" i="66"/>
  <c r="AH686" i="66"/>
  <c r="AH409" i="66"/>
  <c r="AJ408" i="66"/>
  <c r="AK408" i="66"/>
  <c r="AH754" i="66"/>
  <c r="AK753" i="66"/>
  <c r="AJ753" i="66"/>
  <c r="AJ523" i="66"/>
  <c r="AH524" i="66"/>
  <c r="AK523" i="66"/>
  <c r="AH317" i="66"/>
  <c r="AJ316" i="66"/>
  <c r="AK316" i="66"/>
  <c r="AJ339" i="66"/>
  <c r="AH340" i="66"/>
  <c r="AK339" i="66"/>
  <c r="AW74" i="50"/>
  <c r="AX74" i="50" s="1"/>
  <c r="AH432" i="66"/>
  <c r="AJ431" i="66"/>
  <c r="AK431" i="66"/>
  <c r="AH363" i="66"/>
  <c r="AK362" i="66"/>
  <c r="AJ362" i="66"/>
  <c r="AK730" i="66"/>
  <c r="AJ730" i="66"/>
  <c r="AH731" i="66"/>
  <c r="AJ455" i="66"/>
  <c r="AH456" i="66"/>
  <c r="AK455" i="66"/>
  <c r="AJ500" i="66"/>
  <c r="AH501" i="66"/>
  <c r="AK500" i="66"/>
  <c r="BD74" i="50"/>
  <c r="AZ75" i="50"/>
  <c r="AH616" i="66"/>
  <c r="AJ615" i="66"/>
  <c r="AK615" i="66"/>
  <c r="AJ707" i="66"/>
  <c r="AH708" i="66"/>
  <c r="AK707" i="66"/>
  <c r="AH478" i="66"/>
  <c r="AJ477" i="66"/>
  <c r="AK477" i="66"/>
  <c r="AK156" i="66"/>
  <c r="AH157" i="66"/>
  <c r="AJ156" i="66"/>
  <c r="AJ109" i="66"/>
  <c r="AH110" i="66"/>
  <c r="AK109" i="66"/>
  <c r="AK248" i="66"/>
  <c r="AH249" i="66"/>
  <c r="AJ248" i="66"/>
  <c r="AK179" i="66"/>
  <c r="AH180" i="66"/>
  <c r="AJ179" i="66"/>
  <c r="AJ293" i="66"/>
  <c r="AH294" i="66"/>
  <c r="AK293" i="66"/>
  <c r="AJ201" i="66"/>
  <c r="AH202" i="66"/>
  <c r="AK201" i="66"/>
  <c r="AK271" i="66"/>
  <c r="AH272" i="66"/>
  <c r="AJ271" i="66"/>
  <c r="AK224" i="66"/>
  <c r="AJ224" i="66"/>
  <c r="AH225" i="66"/>
  <c r="AK132" i="66"/>
  <c r="AH133" i="66"/>
  <c r="AJ132" i="66"/>
  <c r="H849" i="43"/>
  <c r="G850" i="43"/>
  <c r="F851" i="43"/>
  <c r="W14" i="60"/>
  <c r="AH85" i="66"/>
  <c r="AJ84" i="66"/>
  <c r="AK84" i="66"/>
  <c r="AZ68" i="50"/>
  <c r="BA71" i="50"/>
  <c r="BB68" i="50"/>
  <c r="AI69" i="50"/>
  <c r="AD72" i="57"/>
  <c r="P72" i="57"/>
  <c r="M72" i="57"/>
  <c r="AG72" i="57"/>
  <c r="AA72" i="57"/>
  <c r="S72" i="57"/>
  <c r="AE72" i="57"/>
  <c r="AH72" i="57"/>
  <c r="Q72" i="57"/>
  <c r="R72" i="57"/>
  <c r="AB72" i="57"/>
  <c r="AC72" i="57"/>
  <c r="X72" i="57"/>
  <c r="Y72" i="57"/>
  <c r="L72" i="57"/>
  <c r="V72" i="57"/>
  <c r="W72" i="57"/>
  <c r="Z72" i="57"/>
  <c r="O72" i="57"/>
  <c r="N72" i="57"/>
  <c r="T72" i="57"/>
  <c r="U72" i="57"/>
  <c r="R98" i="65"/>
  <c r="U98" i="65" s="1"/>
  <c r="U97" i="65"/>
  <c r="W67" i="65"/>
  <c r="W68" i="65" s="1"/>
  <c r="W69" i="65" s="1"/>
  <c r="W94" i="65"/>
  <c r="W95" i="65" s="1"/>
  <c r="T15" i="60"/>
  <c r="R15" i="60"/>
  <c r="F26" i="60"/>
  <c r="I6" i="50"/>
  <c r="G6" i="50"/>
  <c r="C71" i="57"/>
  <c r="C72" i="57"/>
  <c r="AC26" i="60" l="1"/>
  <c r="Y26" i="60"/>
  <c r="AB26" i="60"/>
  <c r="AA26" i="60"/>
  <c r="Z26" i="60"/>
  <c r="D465" i="66"/>
  <c r="V465" i="66" s="1"/>
  <c r="A465" i="66"/>
  <c r="C488" i="66"/>
  <c r="AR26" i="60"/>
  <c r="AN26" i="60"/>
  <c r="AJ26" i="60"/>
  <c r="AM26" i="60"/>
  <c r="AH26" i="60"/>
  <c r="AG26" i="60"/>
  <c r="AL26" i="60"/>
  <c r="AK26" i="60"/>
  <c r="AI26" i="60"/>
  <c r="BD75" i="50"/>
  <c r="BA75" i="50"/>
  <c r="AK547" i="66"/>
  <c r="AJ547" i="66"/>
  <c r="AH548" i="66"/>
  <c r="AH479" i="66"/>
  <c r="AJ478" i="66"/>
  <c r="AK478" i="66"/>
  <c r="AH732" i="66"/>
  <c r="AJ731" i="66"/>
  <c r="AK731" i="66"/>
  <c r="AH433" i="66"/>
  <c r="AK432" i="66"/>
  <c r="AJ432" i="66"/>
  <c r="AH341" i="66"/>
  <c r="AJ340" i="66"/>
  <c r="AK340" i="66"/>
  <c r="AH318" i="66"/>
  <c r="AK317" i="66"/>
  <c r="AJ317" i="66"/>
  <c r="AK639" i="66"/>
  <c r="AJ639" i="66"/>
  <c r="AH640" i="66"/>
  <c r="AH594" i="66"/>
  <c r="AJ593" i="66"/>
  <c r="AK593" i="66"/>
  <c r="AJ663" i="66"/>
  <c r="AK663" i="66"/>
  <c r="AH664" i="66"/>
  <c r="AK501" i="66"/>
  <c r="AH502" i="66"/>
  <c r="AJ501" i="66"/>
  <c r="AH364" i="66"/>
  <c r="AJ363" i="66"/>
  <c r="AK363" i="66"/>
  <c r="AH410" i="66"/>
  <c r="AJ409" i="66"/>
  <c r="AK409" i="66"/>
  <c r="AK708" i="66"/>
  <c r="AH709" i="66"/>
  <c r="AJ708" i="66"/>
  <c r="AH617" i="66"/>
  <c r="AK616" i="66"/>
  <c r="AJ616" i="66"/>
  <c r="AH457" i="66"/>
  <c r="AK456" i="66"/>
  <c r="AJ456" i="66"/>
  <c r="AJ524" i="66"/>
  <c r="AK524" i="66"/>
  <c r="AH525" i="66"/>
  <c r="AH755" i="66"/>
  <c r="AJ754" i="66"/>
  <c r="AK754" i="66"/>
  <c r="AK686" i="66"/>
  <c r="AJ686" i="66"/>
  <c r="AH687" i="66"/>
  <c r="AK571" i="66"/>
  <c r="AJ571" i="66"/>
  <c r="AH572" i="66"/>
  <c r="AH388" i="66"/>
  <c r="AK387" i="66"/>
  <c r="AJ387" i="66"/>
  <c r="AK225" i="66"/>
  <c r="AH226" i="66"/>
  <c r="AJ225" i="66"/>
  <c r="AJ272" i="66"/>
  <c r="AK272" i="66"/>
  <c r="AH273" i="66"/>
  <c r="AK249" i="66"/>
  <c r="AH250" i="66"/>
  <c r="AJ249" i="66"/>
  <c r="AJ180" i="66"/>
  <c r="AH181" i="66"/>
  <c r="AK180" i="66"/>
  <c r="AH134" i="66"/>
  <c r="AJ133" i="66"/>
  <c r="AK133" i="66"/>
  <c r="AJ294" i="66"/>
  <c r="AK294" i="66"/>
  <c r="AH295" i="66"/>
  <c r="AK157" i="66"/>
  <c r="AH158" i="66"/>
  <c r="AJ157" i="66"/>
  <c r="AJ202" i="66"/>
  <c r="AK202" i="66"/>
  <c r="AH203" i="66"/>
  <c r="AK110" i="66"/>
  <c r="AH111" i="66"/>
  <c r="AJ110" i="66"/>
  <c r="F852" i="43"/>
  <c r="G851" i="43"/>
  <c r="H850" i="43"/>
  <c r="AK85" i="66"/>
  <c r="AJ85" i="66"/>
  <c r="AH86" i="66"/>
  <c r="I69" i="50"/>
  <c r="AJ69" i="50"/>
  <c r="AN70" i="50" s="1"/>
  <c r="W96" i="65"/>
  <c r="W97" i="65" s="1"/>
  <c r="W98" i="65" s="1"/>
  <c r="AE15" i="60"/>
  <c r="Q15" i="60"/>
  <c r="K26" i="60"/>
  <c r="V26" i="60"/>
  <c r="R26" i="60"/>
  <c r="AO26" i="60"/>
  <c r="Q26" i="60"/>
  <c r="H26" i="60"/>
  <c r="AD26" i="60"/>
  <c r="M26" i="60"/>
  <c r="W26" i="60"/>
  <c r="N26" i="60"/>
  <c r="AQ26" i="60"/>
  <c r="AT26" i="60"/>
  <c r="AV26" i="60"/>
  <c r="I26" i="60"/>
  <c r="U26" i="60"/>
  <c r="AP26" i="60"/>
  <c r="O26" i="60"/>
  <c r="J26" i="60"/>
  <c r="AU26" i="60"/>
  <c r="X26" i="60"/>
  <c r="T26" i="60"/>
  <c r="L26" i="60"/>
  <c r="P26" i="60"/>
  <c r="AE26" i="60"/>
  <c r="G26" i="60"/>
  <c r="S26" i="60"/>
  <c r="AF26" i="60"/>
  <c r="D26" i="60"/>
  <c r="E26" i="60"/>
  <c r="C511" i="66" l="1"/>
  <c r="D488" i="66"/>
  <c r="V488" i="66" s="1"/>
  <c r="A488" i="66"/>
  <c r="AJ457" i="66"/>
  <c r="AK457" i="66"/>
  <c r="AH458" i="66"/>
  <c r="AH365" i="66"/>
  <c r="AK364" i="66"/>
  <c r="AJ364" i="66"/>
  <c r="AK732" i="66"/>
  <c r="AJ732" i="66"/>
  <c r="AH733" i="66"/>
  <c r="AK388" i="66"/>
  <c r="AH389" i="66"/>
  <c r="AJ388" i="66"/>
  <c r="AJ687" i="66"/>
  <c r="AH688" i="66"/>
  <c r="AK687" i="66"/>
  <c r="AJ709" i="66"/>
  <c r="AH710" i="66"/>
  <c r="AK709" i="66"/>
  <c r="AH411" i="66"/>
  <c r="AK410" i="66"/>
  <c r="AJ410" i="66"/>
  <c r="AH595" i="66"/>
  <c r="AK594" i="66"/>
  <c r="AJ594" i="66"/>
  <c r="AH434" i="66"/>
  <c r="AJ433" i="66"/>
  <c r="AK433" i="66"/>
  <c r="AJ548" i="66"/>
  <c r="AH549" i="66"/>
  <c r="AK548" i="66"/>
  <c r="AK572" i="66"/>
  <c r="AJ572" i="66"/>
  <c r="AH573" i="66"/>
  <c r="AJ755" i="66"/>
  <c r="AH756" i="66"/>
  <c r="AK755" i="66"/>
  <c r="AJ502" i="66"/>
  <c r="AH503" i="66"/>
  <c r="AK502" i="66"/>
  <c r="AJ640" i="66"/>
  <c r="AH641" i="66"/>
  <c r="AK640" i="66"/>
  <c r="AH342" i="66"/>
  <c r="AJ341" i="66"/>
  <c r="AK341" i="66"/>
  <c r="AK664" i="66"/>
  <c r="AH665" i="66"/>
  <c r="AJ664" i="66"/>
  <c r="AJ525" i="66"/>
  <c r="AH526" i="66"/>
  <c r="AK525" i="66"/>
  <c r="AH618" i="66"/>
  <c r="AJ617" i="66"/>
  <c r="AK617" i="66"/>
  <c r="AH319" i="66"/>
  <c r="AK318" i="66"/>
  <c r="AJ318" i="66"/>
  <c r="AH480" i="66"/>
  <c r="AK479" i="66"/>
  <c r="AJ479" i="66"/>
  <c r="AH182" i="66"/>
  <c r="AK181" i="66"/>
  <c r="AJ181" i="66"/>
  <c r="AJ203" i="66"/>
  <c r="AK203" i="66"/>
  <c r="AH204" i="66"/>
  <c r="AJ250" i="66"/>
  <c r="AK250" i="66"/>
  <c r="AH251" i="66"/>
  <c r="AH112" i="66"/>
  <c r="AJ111" i="66"/>
  <c r="AK111" i="66"/>
  <c r="AJ295" i="66"/>
  <c r="AK295" i="66"/>
  <c r="AH296" i="66"/>
  <c r="AJ273" i="66"/>
  <c r="AK273" i="66"/>
  <c r="AH274" i="66"/>
  <c r="AH227" i="66"/>
  <c r="AK226" i="66"/>
  <c r="AJ226" i="66"/>
  <c r="AJ158" i="66"/>
  <c r="AH159" i="66"/>
  <c r="AK158" i="66"/>
  <c r="AK134" i="66"/>
  <c r="AH135" i="66"/>
  <c r="AJ134" i="66"/>
  <c r="H851" i="43"/>
  <c r="F853" i="43"/>
  <c r="G852" i="43"/>
  <c r="R14" i="60"/>
  <c r="T14" i="60"/>
  <c r="AJ86" i="66"/>
  <c r="AK86" i="66"/>
  <c r="AH87" i="66"/>
  <c r="AN69" i="50"/>
  <c r="AO69" i="50" s="1"/>
  <c r="AT69" i="50"/>
  <c r="AU69" i="50" s="1"/>
  <c r="BS60" i="50"/>
  <c r="R13" i="60" s="1"/>
  <c r="AO70" i="50"/>
  <c r="AF15" i="60"/>
  <c r="AD15" i="60"/>
  <c r="D511" i="66" l="1"/>
  <c r="V511" i="66" s="1"/>
  <c r="A511" i="66"/>
  <c r="C534" i="66"/>
  <c r="AJ365" i="66"/>
  <c r="AH366" i="66"/>
  <c r="AK365" i="66"/>
  <c r="AH320" i="66"/>
  <c r="AK319" i="66"/>
  <c r="AJ319" i="66"/>
  <c r="AK665" i="66"/>
  <c r="AH666" i="66"/>
  <c r="AJ665" i="66"/>
  <c r="AK342" i="66"/>
  <c r="AH343" i="66"/>
  <c r="AJ342" i="66"/>
  <c r="AK756" i="66"/>
  <c r="AH757" i="66"/>
  <c r="AJ756" i="66"/>
  <c r="AJ411" i="66"/>
  <c r="AH412" i="66"/>
  <c r="AK411" i="66"/>
  <c r="AK389" i="66"/>
  <c r="AH390" i="66"/>
  <c r="AJ389" i="66"/>
  <c r="AJ458" i="66"/>
  <c r="AK458" i="66"/>
  <c r="AH459" i="66"/>
  <c r="AH619" i="66"/>
  <c r="AK618" i="66"/>
  <c r="AJ618" i="66"/>
  <c r="AH481" i="66"/>
  <c r="AJ480" i="66"/>
  <c r="AK480" i="66"/>
  <c r="AH527" i="66"/>
  <c r="AK526" i="66"/>
  <c r="AJ526" i="66"/>
  <c r="AJ503" i="66"/>
  <c r="AK503" i="66"/>
  <c r="AH504" i="66"/>
  <c r="AH596" i="66"/>
  <c r="AK595" i="66"/>
  <c r="AJ595" i="66"/>
  <c r="AH689" i="66"/>
  <c r="AK688" i="66"/>
  <c r="AJ688" i="66"/>
  <c r="AK641" i="66"/>
  <c r="AH642" i="66"/>
  <c r="AJ641" i="66"/>
  <c r="AK573" i="66"/>
  <c r="AJ573" i="66"/>
  <c r="AH574" i="66"/>
  <c r="AJ549" i="66"/>
  <c r="AH550" i="66"/>
  <c r="AK549" i="66"/>
  <c r="AH435" i="66"/>
  <c r="AK434" i="66"/>
  <c r="AJ434" i="66"/>
  <c r="AK710" i="66"/>
  <c r="AH711" i="66"/>
  <c r="AJ710" i="66"/>
  <c r="AH734" i="66"/>
  <c r="AK733" i="66"/>
  <c r="AJ733" i="66"/>
  <c r="AK159" i="66"/>
  <c r="AH160" i="66"/>
  <c r="AJ159" i="66"/>
  <c r="AK227" i="66"/>
  <c r="AJ227" i="66"/>
  <c r="AH228" i="66"/>
  <c r="AK296" i="66"/>
  <c r="AJ296" i="66"/>
  <c r="AH297" i="66"/>
  <c r="AH136" i="66"/>
  <c r="AK135" i="66"/>
  <c r="AJ135" i="66"/>
  <c r="AK274" i="66"/>
  <c r="AJ274" i="66"/>
  <c r="AH275" i="66"/>
  <c r="AH113" i="66"/>
  <c r="AK112" i="66"/>
  <c r="AJ112" i="66"/>
  <c r="AH205" i="66"/>
  <c r="AK204" i="66"/>
  <c r="AJ204" i="66"/>
  <c r="AK251" i="66"/>
  <c r="AJ251" i="66"/>
  <c r="AH252" i="66"/>
  <c r="AK182" i="66"/>
  <c r="AH183" i="66"/>
  <c r="AJ182" i="66"/>
  <c r="G853" i="43"/>
  <c r="F854" i="43"/>
  <c r="H852" i="43"/>
  <c r="AJ87" i="66"/>
  <c r="AK87" i="66"/>
  <c r="AH88" i="66"/>
  <c r="AZ69" i="50"/>
  <c r="BB69" i="50"/>
  <c r="D534" i="66" l="1"/>
  <c r="V534" i="66" s="1"/>
  <c r="C557" i="66"/>
  <c r="A534" i="66"/>
  <c r="AH436" i="66"/>
  <c r="AK435" i="66"/>
  <c r="AJ435" i="66"/>
  <c r="AH482" i="66"/>
  <c r="AK481" i="66"/>
  <c r="AJ481" i="66"/>
  <c r="AH391" i="66"/>
  <c r="AJ390" i="66"/>
  <c r="AK390" i="66"/>
  <c r="AK666" i="66"/>
  <c r="AH667" i="66"/>
  <c r="AJ666" i="66"/>
  <c r="AH321" i="66"/>
  <c r="AK320" i="66"/>
  <c r="AJ320" i="66"/>
  <c r="AJ527" i="66"/>
  <c r="AH528" i="66"/>
  <c r="AK527" i="66"/>
  <c r="AK343" i="66"/>
  <c r="AJ343" i="66"/>
  <c r="AH344" i="66"/>
  <c r="AK689" i="66"/>
  <c r="AJ689" i="66"/>
  <c r="AH690" i="66"/>
  <c r="AK734" i="66"/>
  <c r="AJ734" i="66"/>
  <c r="AH735" i="66"/>
  <c r="AK550" i="66"/>
  <c r="AJ550" i="66"/>
  <c r="AH551" i="66"/>
  <c r="AK757" i="66"/>
  <c r="AJ757" i="66"/>
  <c r="AH758" i="66"/>
  <c r="AK366" i="66"/>
  <c r="AJ366" i="66"/>
  <c r="AH367" i="66"/>
  <c r="AH712" i="66"/>
  <c r="AK711" i="66"/>
  <c r="AJ711" i="66"/>
  <c r="AJ574" i="66"/>
  <c r="AH575" i="66"/>
  <c r="AK574" i="66"/>
  <c r="AJ642" i="66"/>
  <c r="AH643" i="66"/>
  <c r="AK642" i="66"/>
  <c r="AK504" i="66"/>
  <c r="AJ504" i="66"/>
  <c r="AH505" i="66"/>
  <c r="AK459" i="66"/>
  <c r="AJ459" i="66"/>
  <c r="AH460" i="66"/>
  <c r="AH597" i="66"/>
  <c r="AK596" i="66"/>
  <c r="AJ596" i="66"/>
  <c r="AH620" i="66"/>
  <c r="AJ619" i="66"/>
  <c r="AK619" i="66"/>
  <c r="AJ412" i="66"/>
  <c r="AK412" i="66"/>
  <c r="AH413" i="66"/>
  <c r="AK113" i="66"/>
  <c r="AH114" i="66"/>
  <c r="AJ113" i="66"/>
  <c r="AH206" i="66"/>
  <c r="AK205" i="66"/>
  <c r="AJ205" i="66"/>
  <c r="AK275" i="66"/>
  <c r="AH276" i="66"/>
  <c r="AJ275" i="66"/>
  <c r="AK183" i="66"/>
  <c r="AJ183" i="66"/>
  <c r="AH184" i="66"/>
  <c r="AJ136" i="66"/>
  <c r="AK136" i="66"/>
  <c r="AH137" i="66"/>
  <c r="AJ228" i="66"/>
  <c r="AH229" i="66"/>
  <c r="AK228" i="66"/>
  <c r="AH161" i="66"/>
  <c r="AJ160" i="66"/>
  <c r="AK160" i="66"/>
  <c r="AH253" i="66"/>
  <c r="AK252" i="66"/>
  <c r="AJ252" i="66"/>
  <c r="AH298" i="66"/>
  <c r="AK297" i="66"/>
  <c r="AJ297" i="66"/>
  <c r="F855" i="43"/>
  <c r="G854" i="43"/>
  <c r="H853" i="43"/>
  <c r="AR14" i="60"/>
  <c r="AJ88" i="66"/>
  <c r="AK88" i="66"/>
  <c r="AH89" i="66"/>
  <c r="D557" i="66" l="1"/>
  <c r="V557" i="66" s="1"/>
  <c r="A557" i="66"/>
  <c r="C580" i="66"/>
  <c r="AJ413" i="66"/>
  <c r="AH414" i="66"/>
  <c r="AK413" i="66"/>
  <c r="AH598" i="66"/>
  <c r="AJ597" i="66"/>
  <c r="AK597" i="66"/>
  <c r="AH506" i="66"/>
  <c r="AK505" i="66"/>
  <c r="AJ505" i="66"/>
  <c r="AK643" i="66"/>
  <c r="AJ643" i="66"/>
  <c r="AH644" i="66"/>
  <c r="AK690" i="66"/>
  <c r="AJ690" i="66"/>
  <c r="AH691" i="66"/>
  <c r="AH483" i="66"/>
  <c r="AK482" i="66"/>
  <c r="AJ482" i="66"/>
  <c r="AH621" i="66"/>
  <c r="AJ620" i="66"/>
  <c r="AK620" i="66"/>
  <c r="AJ460" i="66"/>
  <c r="AH461" i="66"/>
  <c r="AK460" i="66"/>
  <c r="AH736" i="66"/>
  <c r="AK735" i="66"/>
  <c r="AJ735" i="66"/>
  <c r="AH668" i="66"/>
  <c r="AK667" i="66"/>
  <c r="AJ667" i="66"/>
  <c r="AH392" i="66"/>
  <c r="AK391" i="66"/>
  <c r="AJ391" i="66"/>
  <c r="AH552" i="66"/>
  <c r="AK551" i="66"/>
  <c r="AJ551" i="66"/>
  <c r="AK367" i="66"/>
  <c r="AJ367" i="66"/>
  <c r="AH368" i="66"/>
  <c r="AH576" i="66"/>
  <c r="AK575" i="66"/>
  <c r="AJ575" i="66"/>
  <c r="AJ712" i="66"/>
  <c r="AH713" i="66"/>
  <c r="AK712" i="66"/>
  <c r="AJ758" i="66"/>
  <c r="AH759" i="66"/>
  <c r="AK758" i="66"/>
  <c r="AH345" i="66"/>
  <c r="AK344" i="66"/>
  <c r="AJ344" i="66"/>
  <c r="AK528" i="66"/>
  <c r="AJ528" i="66"/>
  <c r="AH529" i="66"/>
  <c r="AH322" i="66"/>
  <c r="AJ321" i="66"/>
  <c r="AK321" i="66"/>
  <c r="AH437" i="66"/>
  <c r="AK436" i="66"/>
  <c r="AJ436" i="66"/>
  <c r="AK184" i="66"/>
  <c r="AH185" i="66"/>
  <c r="AJ184" i="66"/>
  <c r="AK276" i="66"/>
  <c r="AJ276" i="66"/>
  <c r="AH277" i="66"/>
  <c r="AK206" i="66"/>
  <c r="AJ206" i="66"/>
  <c r="AH207" i="66"/>
  <c r="AK161" i="66"/>
  <c r="AH162" i="66"/>
  <c r="AJ161" i="66"/>
  <c r="AJ137" i="66"/>
  <c r="AK137" i="66"/>
  <c r="AH138" i="66"/>
  <c r="AK253" i="66"/>
  <c r="AJ253" i="66"/>
  <c r="AH254" i="66"/>
  <c r="AJ114" i="66"/>
  <c r="AK114" i="66"/>
  <c r="AH115" i="66"/>
  <c r="AJ298" i="66"/>
  <c r="AK298" i="66"/>
  <c r="AH299" i="66"/>
  <c r="AH230" i="66"/>
  <c r="AJ229" i="66"/>
  <c r="AK229" i="66"/>
  <c r="T517" i="43"/>
  <c r="L268" i="62" s="1"/>
  <c r="H854" i="43"/>
  <c r="G855" i="43"/>
  <c r="F856" i="43"/>
  <c r="AE14" i="60"/>
  <c r="AF14" i="60"/>
  <c r="AK89" i="66"/>
  <c r="AJ89" i="66"/>
  <c r="AH90" i="66"/>
  <c r="T288" i="43"/>
  <c r="L39" i="62" s="1"/>
  <c r="T290" i="43"/>
  <c r="L41" i="62" s="1"/>
  <c r="D580" i="66" l="1"/>
  <c r="V580" i="66" s="1"/>
  <c r="C603" i="66"/>
  <c r="A580" i="66"/>
  <c r="AK713" i="66"/>
  <c r="AJ713" i="66"/>
  <c r="AH714" i="66"/>
  <c r="AH599" i="66"/>
  <c r="AK598" i="66"/>
  <c r="AJ598" i="66"/>
  <c r="AH323" i="66"/>
  <c r="AK322" i="66"/>
  <c r="AJ322" i="66"/>
  <c r="AK759" i="66"/>
  <c r="AJ759" i="66"/>
  <c r="AH760" i="66"/>
  <c r="AH369" i="66"/>
  <c r="AJ368" i="66"/>
  <c r="AK368" i="66"/>
  <c r="AK392" i="66"/>
  <c r="AH393" i="66"/>
  <c r="AJ392" i="66"/>
  <c r="AJ461" i="66"/>
  <c r="AH462" i="66"/>
  <c r="AK461" i="66"/>
  <c r="AH622" i="66"/>
  <c r="AK621" i="66"/>
  <c r="AJ621" i="66"/>
  <c r="AJ691" i="66"/>
  <c r="AH692" i="66"/>
  <c r="AK691" i="66"/>
  <c r="AK506" i="66"/>
  <c r="AJ506" i="66"/>
  <c r="AH507" i="66"/>
  <c r="AJ576" i="66"/>
  <c r="AH577" i="66"/>
  <c r="AK576" i="66"/>
  <c r="AH669" i="66"/>
  <c r="AK668" i="66"/>
  <c r="AJ668" i="66"/>
  <c r="AH484" i="66"/>
  <c r="AK483" i="66"/>
  <c r="AJ483" i="66"/>
  <c r="AJ644" i="66"/>
  <c r="AK644" i="66"/>
  <c r="AH645" i="66"/>
  <c r="AH438" i="66"/>
  <c r="AK437" i="66"/>
  <c r="AJ437" i="66"/>
  <c r="AK529" i="66"/>
  <c r="AJ529" i="66"/>
  <c r="AH530" i="66"/>
  <c r="AH553" i="66"/>
  <c r="AK552" i="66"/>
  <c r="AJ552" i="66"/>
  <c r="AJ414" i="66"/>
  <c r="AH415" i="66"/>
  <c r="AK414" i="66"/>
  <c r="AH346" i="66"/>
  <c r="AK345" i="66"/>
  <c r="AJ345" i="66"/>
  <c r="AK736" i="66"/>
  <c r="AJ736" i="66"/>
  <c r="AH737" i="66"/>
  <c r="AH300" i="66"/>
  <c r="AK299" i="66"/>
  <c r="AJ299" i="66"/>
  <c r="AH139" i="66"/>
  <c r="AJ138" i="66"/>
  <c r="AK138" i="66"/>
  <c r="AJ162" i="66"/>
  <c r="AH163" i="66"/>
  <c r="AK162" i="66"/>
  <c r="AK254" i="66"/>
  <c r="AJ254" i="66"/>
  <c r="AH255" i="66"/>
  <c r="AK277" i="66"/>
  <c r="AJ277" i="66"/>
  <c r="AH278" i="66"/>
  <c r="AK185" i="66"/>
  <c r="AJ185" i="66"/>
  <c r="AH186" i="66"/>
  <c r="AJ230" i="66"/>
  <c r="AH231" i="66"/>
  <c r="AK230" i="66"/>
  <c r="AK115" i="66"/>
  <c r="AH116" i="66"/>
  <c r="AJ115" i="66"/>
  <c r="AH208" i="66"/>
  <c r="AK207" i="66"/>
  <c r="AJ207" i="66"/>
  <c r="Q14" i="60"/>
  <c r="H855" i="43"/>
  <c r="F857" i="43"/>
  <c r="G856" i="43"/>
  <c r="AD14" i="60"/>
  <c r="T287" i="43"/>
  <c r="L38" i="62" s="1"/>
  <c r="AJ90" i="66"/>
  <c r="K90" i="66" s="1"/>
  <c r="K95" i="66" s="1"/>
  <c r="K43" i="66" s="1" a="1"/>
  <c r="K43" i="66" s="1"/>
  <c r="AK90" i="66"/>
  <c r="L90" i="66" s="1"/>
  <c r="L95" i="66" s="1"/>
  <c r="L43" i="66" s="1" a="1"/>
  <c r="L43" i="66" s="1"/>
  <c r="AH91" i="66"/>
  <c r="D603" i="66" l="1"/>
  <c r="V603" i="66" s="1"/>
  <c r="A603" i="66"/>
  <c r="C626" i="66"/>
  <c r="AJ462" i="66"/>
  <c r="AK462" i="66"/>
  <c r="AH600" i="66"/>
  <c r="AJ599" i="66"/>
  <c r="AK599" i="66"/>
  <c r="AK346" i="66"/>
  <c r="AJ346" i="66"/>
  <c r="AH347" i="66"/>
  <c r="AH439" i="66"/>
  <c r="AJ438" i="66"/>
  <c r="AK438" i="66"/>
  <c r="AH324" i="66"/>
  <c r="AK323" i="66"/>
  <c r="AJ323" i="66"/>
  <c r="AK714" i="66"/>
  <c r="AJ714" i="66"/>
  <c r="AH715" i="66"/>
  <c r="AJ645" i="66"/>
  <c r="AH646" i="66"/>
  <c r="AK645" i="66"/>
  <c r="AJ669" i="66"/>
  <c r="AK669" i="66"/>
  <c r="AK507" i="66"/>
  <c r="AJ507" i="66"/>
  <c r="AH508" i="66"/>
  <c r="AK692" i="66"/>
  <c r="AJ692" i="66"/>
  <c r="AH623" i="66"/>
  <c r="AK622" i="66"/>
  <c r="AJ622" i="66"/>
  <c r="AH738" i="66"/>
  <c r="AK737" i="66"/>
  <c r="AJ737" i="66"/>
  <c r="AK530" i="66"/>
  <c r="AJ530" i="66"/>
  <c r="AH531" i="66"/>
  <c r="AJ577" i="66"/>
  <c r="AK577" i="66"/>
  <c r="AK760" i="66"/>
  <c r="AJ760" i="66"/>
  <c r="AH761" i="66"/>
  <c r="AK415" i="66"/>
  <c r="AJ415" i="66"/>
  <c r="AH416" i="66"/>
  <c r="AJ553" i="66"/>
  <c r="AH554" i="66"/>
  <c r="AK553" i="66"/>
  <c r="AH485" i="66"/>
  <c r="AK484" i="66"/>
  <c r="AJ484" i="66"/>
  <c r="AK393" i="66"/>
  <c r="AJ393" i="66"/>
  <c r="AH370" i="66"/>
  <c r="AK369" i="66"/>
  <c r="AJ369" i="66"/>
  <c r="AH232" i="66"/>
  <c r="AJ231" i="66"/>
  <c r="AK231" i="66"/>
  <c r="AK255" i="66"/>
  <c r="AJ255" i="66"/>
  <c r="AK163" i="66"/>
  <c r="AJ163" i="66"/>
  <c r="AJ139" i="66"/>
  <c r="AH140" i="66"/>
  <c r="AK139" i="66"/>
  <c r="AK116" i="66"/>
  <c r="AJ116" i="66"/>
  <c r="AH117" i="66"/>
  <c r="AK278" i="66"/>
  <c r="AJ278" i="66"/>
  <c r="AJ186" i="66"/>
  <c r="AK186" i="66"/>
  <c r="AK208" i="66"/>
  <c r="AH209" i="66"/>
  <c r="AJ208" i="66"/>
  <c r="AH301" i="66"/>
  <c r="AK300" i="66"/>
  <c r="AJ300" i="66"/>
  <c r="F858" i="43"/>
  <c r="G857" i="43"/>
  <c r="H856" i="43"/>
  <c r="I95" i="66"/>
  <c r="I43" i="66" s="1" a="1"/>
  <c r="I43" i="66" s="1"/>
  <c r="Q90" i="66"/>
  <c r="AJ91" i="66"/>
  <c r="AK91" i="66"/>
  <c r="AH92" i="66"/>
  <c r="D626" i="66" l="1"/>
  <c r="V626" i="66" s="1"/>
  <c r="A626" i="66"/>
  <c r="C649" i="66"/>
  <c r="AJ485" i="66"/>
  <c r="AK485" i="66"/>
  <c r="AK623" i="66"/>
  <c r="AJ623" i="66"/>
  <c r="AJ738" i="66"/>
  <c r="AK738" i="66"/>
  <c r="AJ646" i="66"/>
  <c r="AK646" i="66"/>
  <c r="AJ600" i="66"/>
  <c r="AK600" i="66"/>
  <c r="AJ416" i="66"/>
  <c r="AK416" i="66"/>
  <c r="AK324" i="66"/>
  <c r="AJ324" i="66"/>
  <c r="AK554" i="66"/>
  <c r="AJ554" i="66"/>
  <c r="BC72" i="50"/>
  <c r="AW72" i="50"/>
  <c r="AX72" i="50" s="1"/>
  <c r="AJ531" i="66"/>
  <c r="AK531" i="66"/>
  <c r="AK347" i="66"/>
  <c r="AJ347" i="66"/>
  <c r="AJ370" i="66"/>
  <c r="AK370" i="66"/>
  <c r="AK761" i="66"/>
  <c r="AJ761" i="66"/>
  <c r="AK508" i="66"/>
  <c r="AJ508" i="66"/>
  <c r="AK715" i="66"/>
  <c r="AJ715" i="66"/>
  <c r="AJ439" i="66"/>
  <c r="AK439" i="66"/>
  <c r="Q88" i="66"/>
  <c r="AK209" i="66"/>
  <c r="AJ209" i="66"/>
  <c r="AJ301" i="66"/>
  <c r="AK301" i="66"/>
  <c r="AK117" i="66"/>
  <c r="AJ117" i="66"/>
  <c r="AJ140" i="66"/>
  <c r="AK140" i="66"/>
  <c r="AJ232" i="66"/>
  <c r="AK232" i="66"/>
  <c r="H857" i="43"/>
  <c r="G858" i="43"/>
  <c r="F859" i="43"/>
  <c r="AJ92" i="66"/>
  <c r="AK92" i="66"/>
  <c r="AH93" i="66"/>
  <c r="D649" i="66" l="1"/>
  <c r="V649" i="66" s="1"/>
  <c r="C672" i="66"/>
  <c r="A649" i="66"/>
  <c r="L70" i="50"/>
  <c r="BC70" i="50" s="1"/>
  <c r="H858" i="43"/>
  <c r="F860" i="43"/>
  <c r="G859" i="43"/>
  <c r="AK93" i="66"/>
  <c r="AJ93" i="66"/>
  <c r="AH94" i="66"/>
  <c r="D672" i="66" l="1"/>
  <c r="V672" i="66" s="1"/>
  <c r="C695" i="66"/>
  <c r="A672" i="66"/>
  <c r="K70" i="50"/>
  <c r="AV70" i="50" s="1"/>
  <c r="BA70" i="50" s="1"/>
  <c r="AW70" i="50"/>
  <c r="AX70" i="50" s="1"/>
  <c r="F861" i="43"/>
  <c r="G860" i="43"/>
  <c r="H859" i="43"/>
  <c r="F51" i="60"/>
  <c r="F46" i="60"/>
  <c r="F40" i="60"/>
  <c r="F37" i="60"/>
  <c r="F43" i="60"/>
  <c r="F42" i="60"/>
  <c r="F32" i="60"/>
  <c r="F52" i="60"/>
  <c r="F33" i="60"/>
  <c r="F47" i="60"/>
  <c r="F45" i="60"/>
  <c r="F38" i="60"/>
  <c r="F55" i="60"/>
  <c r="F34" i="60"/>
  <c r="F50" i="60"/>
  <c r="F41" i="60"/>
  <c r="F49" i="60"/>
  <c r="F48" i="60"/>
  <c r="F39" i="60"/>
  <c r="F53" i="60"/>
  <c r="F36" i="60"/>
  <c r="F35" i="60"/>
  <c r="F54" i="60"/>
  <c r="F44" i="60"/>
  <c r="AK94" i="66"/>
  <c r="AJ94" i="66"/>
  <c r="F24" i="60"/>
  <c r="M6" i="50"/>
  <c r="F25" i="60"/>
  <c r="F29" i="60"/>
  <c r="F27" i="60"/>
  <c r="F31" i="60"/>
  <c r="F28" i="60"/>
  <c r="F30" i="60"/>
  <c r="K6" i="50"/>
  <c r="AB31" i="60" l="1"/>
  <c r="AA31" i="60"/>
  <c r="Z31" i="60"/>
  <c r="AC31" i="60"/>
  <c r="Y31" i="60"/>
  <c r="AA52" i="60"/>
  <c r="Z52" i="60"/>
  <c r="AC52" i="60"/>
  <c r="Y52" i="60"/>
  <c r="AB52" i="60"/>
  <c r="AB39" i="60"/>
  <c r="AA39" i="60"/>
  <c r="Z39" i="60"/>
  <c r="AC39" i="60"/>
  <c r="Y39" i="60"/>
  <c r="AC50" i="60"/>
  <c r="Y50" i="60"/>
  <c r="AB50" i="60"/>
  <c r="AA50" i="60"/>
  <c r="Z50" i="60"/>
  <c r="Z45" i="60"/>
  <c r="AC45" i="60"/>
  <c r="Y45" i="60"/>
  <c r="AB45" i="60"/>
  <c r="AA45" i="60"/>
  <c r="AA32" i="60"/>
  <c r="Z32" i="60"/>
  <c r="AC32" i="60"/>
  <c r="Y32" i="60"/>
  <c r="AB32" i="60"/>
  <c r="AA40" i="60"/>
  <c r="Z40" i="60"/>
  <c r="AC40" i="60"/>
  <c r="Y40" i="60"/>
  <c r="AB40" i="60"/>
  <c r="Z53" i="60"/>
  <c r="AC53" i="60"/>
  <c r="Y53" i="60"/>
  <c r="AB53" i="60"/>
  <c r="AA53" i="60"/>
  <c r="AB27" i="60"/>
  <c r="AA27" i="60"/>
  <c r="Z27" i="60"/>
  <c r="AC27" i="60"/>
  <c r="Y27" i="60"/>
  <c r="AA24" i="60"/>
  <c r="Z24" i="60"/>
  <c r="AC24" i="60"/>
  <c r="Y24" i="60"/>
  <c r="AB24" i="60"/>
  <c r="AC54" i="60"/>
  <c r="Y54" i="60"/>
  <c r="AB54" i="60"/>
  <c r="AA54" i="60"/>
  <c r="Z54" i="60"/>
  <c r="AC30" i="60"/>
  <c r="Y30" i="60"/>
  <c r="AB30" i="60"/>
  <c r="AA30" i="60"/>
  <c r="Z30" i="60"/>
  <c r="Z29" i="60"/>
  <c r="AC29" i="60"/>
  <c r="Y29" i="60"/>
  <c r="AB29" i="60"/>
  <c r="AA29" i="60"/>
  <c r="AB35" i="60"/>
  <c r="AA35" i="60"/>
  <c r="Z35" i="60"/>
  <c r="AC35" i="60"/>
  <c r="Y35" i="60"/>
  <c r="AA48" i="60"/>
  <c r="Z48" i="60"/>
  <c r="AC48" i="60"/>
  <c r="Y48" i="60"/>
  <c r="AB48" i="60"/>
  <c r="AC34" i="60"/>
  <c r="Y34" i="60"/>
  <c r="AB34" i="60"/>
  <c r="AA34" i="60"/>
  <c r="Z34" i="60"/>
  <c r="AB47" i="60"/>
  <c r="AA47" i="60"/>
  <c r="Z47" i="60"/>
  <c r="AC47" i="60"/>
  <c r="Y47" i="60"/>
  <c r="AC42" i="60"/>
  <c r="Y42" i="60"/>
  <c r="AB42" i="60"/>
  <c r="AA42" i="60"/>
  <c r="Z42" i="60"/>
  <c r="AC46" i="60"/>
  <c r="Y46" i="60"/>
  <c r="AB46" i="60"/>
  <c r="AA46" i="60"/>
  <c r="Z46" i="60"/>
  <c r="AA44" i="60"/>
  <c r="Z44" i="60"/>
  <c r="AC44" i="60"/>
  <c r="Y44" i="60"/>
  <c r="AB44" i="60"/>
  <c r="Z41" i="60"/>
  <c r="AC41" i="60"/>
  <c r="Y41" i="60"/>
  <c r="AB41" i="60"/>
  <c r="AA41" i="60"/>
  <c r="AC38" i="60"/>
  <c r="Y38" i="60"/>
  <c r="AB38" i="60"/>
  <c r="AA38" i="60"/>
  <c r="Z38" i="60"/>
  <c r="Z37" i="60"/>
  <c r="AC37" i="60"/>
  <c r="Y37" i="60"/>
  <c r="AB37" i="60"/>
  <c r="AA37" i="60"/>
  <c r="AA28" i="60"/>
  <c r="Z28" i="60"/>
  <c r="AC28" i="60"/>
  <c r="Y28" i="60"/>
  <c r="AB28" i="60"/>
  <c r="Z25" i="60"/>
  <c r="AC25" i="60"/>
  <c r="Y25" i="60"/>
  <c r="AB25" i="60"/>
  <c r="AA25" i="60"/>
  <c r="AA36" i="60"/>
  <c r="Z36" i="60"/>
  <c r="AC36" i="60"/>
  <c r="Y36" i="60"/>
  <c r="AB36" i="60"/>
  <c r="Z49" i="60"/>
  <c r="AC49" i="60"/>
  <c r="Y49" i="60"/>
  <c r="AB49" i="60"/>
  <c r="AA49" i="60"/>
  <c r="AB55" i="60"/>
  <c r="AA55" i="60"/>
  <c r="Z55" i="60"/>
  <c r="AC55" i="60"/>
  <c r="Y55" i="60"/>
  <c r="Z33" i="60"/>
  <c r="AC33" i="60"/>
  <c r="Y33" i="60"/>
  <c r="AB33" i="60"/>
  <c r="AA33" i="60"/>
  <c r="AB43" i="60"/>
  <c r="AA43" i="60"/>
  <c r="Z43" i="60"/>
  <c r="AC43" i="60"/>
  <c r="Y43" i="60"/>
  <c r="AB51" i="60"/>
  <c r="AA51" i="60"/>
  <c r="Z51" i="60"/>
  <c r="AC51" i="60"/>
  <c r="Y51" i="60"/>
  <c r="D695" i="66"/>
  <c r="V695" i="66" s="1"/>
  <c r="C718" i="66"/>
  <c r="A695" i="66"/>
  <c r="BD71" i="50"/>
  <c r="M71" i="50" s="1"/>
  <c r="BD70" i="50"/>
  <c r="M70" i="50" s="1"/>
  <c r="BX60" i="50"/>
  <c r="W13" i="60" s="1"/>
  <c r="AN40" i="60"/>
  <c r="AJ40" i="60"/>
  <c r="AM40" i="60"/>
  <c r="AH40" i="60"/>
  <c r="AG40" i="60"/>
  <c r="AK40" i="60"/>
  <c r="AL40" i="60"/>
  <c r="AI40" i="60"/>
  <c r="AR31" i="60"/>
  <c r="AN31" i="60"/>
  <c r="AJ31" i="60"/>
  <c r="AK31" i="60"/>
  <c r="AI31" i="60"/>
  <c r="AM31" i="60"/>
  <c r="AL31" i="60"/>
  <c r="AH31" i="60"/>
  <c r="AG31" i="60"/>
  <c r="AN44" i="60"/>
  <c r="AJ44" i="60"/>
  <c r="AM44" i="60"/>
  <c r="AH44" i="60"/>
  <c r="AG44" i="60"/>
  <c r="AK44" i="60"/>
  <c r="AL44" i="60"/>
  <c r="AI44" i="60"/>
  <c r="AN41" i="60"/>
  <c r="AJ41" i="60"/>
  <c r="AK41" i="60"/>
  <c r="AI41" i="60"/>
  <c r="AM41" i="60"/>
  <c r="AH41" i="60"/>
  <c r="AL41" i="60"/>
  <c r="AG41" i="60"/>
  <c r="AK52" i="60"/>
  <c r="AG52" i="60"/>
  <c r="AL52" i="60"/>
  <c r="AN52" i="60"/>
  <c r="AH52" i="60"/>
  <c r="AJ52" i="60"/>
  <c r="AM52" i="60"/>
  <c r="AI52" i="60"/>
  <c r="AN37" i="60"/>
  <c r="AJ37" i="60"/>
  <c r="AK37" i="60"/>
  <c r="AI37" i="60"/>
  <c r="AM37" i="60"/>
  <c r="AH37" i="60"/>
  <c r="AL37" i="60"/>
  <c r="AG37" i="60"/>
  <c r="AR27" i="60"/>
  <c r="AN27" i="60"/>
  <c r="AJ27" i="60"/>
  <c r="AK27" i="60"/>
  <c r="AI27" i="60"/>
  <c r="AM27" i="60"/>
  <c r="AL27" i="60"/>
  <c r="AH27" i="60"/>
  <c r="AG27" i="60"/>
  <c r="AK54" i="60"/>
  <c r="AG54" i="60"/>
  <c r="AL54" i="60"/>
  <c r="AM54" i="60"/>
  <c r="AI54" i="60"/>
  <c r="AJ54" i="60"/>
  <c r="AN54" i="60"/>
  <c r="AH54" i="60"/>
  <c r="AK50" i="60"/>
  <c r="AG50" i="60"/>
  <c r="AL50" i="60"/>
  <c r="AI50" i="60"/>
  <c r="AM50" i="60"/>
  <c r="AN50" i="60"/>
  <c r="AH50" i="60"/>
  <c r="AJ50" i="60"/>
  <c r="AN32" i="60"/>
  <c r="AJ32" i="60"/>
  <c r="AM32" i="60"/>
  <c r="AH32" i="60"/>
  <c r="AG32" i="60"/>
  <c r="AK32" i="60"/>
  <c r="AL32" i="60"/>
  <c r="AI32" i="60"/>
  <c r="AR30" i="60"/>
  <c r="AN30" i="60"/>
  <c r="AJ30" i="60"/>
  <c r="AM30" i="60"/>
  <c r="AH30" i="60"/>
  <c r="AL30" i="60"/>
  <c r="AG30" i="60"/>
  <c r="AK30" i="60"/>
  <c r="AI30" i="60"/>
  <c r="AR29" i="60"/>
  <c r="AN29" i="60"/>
  <c r="AJ29" i="60"/>
  <c r="AK29" i="60"/>
  <c r="AI29" i="60"/>
  <c r="AH29" i="60"/>
  <c r="AG29" i="60"/>
  <c r="AM29" i="60"/>
  <c r="AL29" i="60"/>
  <c r="AN35" i="60"/>
  <c r="AJ35" i="60"/>
  <c r="AK35" i="60"/>
  <c r="AH35" i="60"/>
  <c r="AI35" i="60"/>
  <c r="AM35" i="60"/>
  <c r="AL35" i="60"/>
  <c r="AG35" i="60"/>
  <c r="AN48" i="60"/>
  <c r="AJ48" i="60"/>
  <c r="AM48" i="60"/>
  <c r="AH48" i="60"/>
  <c r="AG48" i="60"/>
  <c r="AL48" i="60"/>
  <c r="AK48" i="60"/>
  <c r="AI48" i="60"/>
  <c r="AN34" i="60"/>
  <c r="AJ34" i="60"/>
  <c r="AM34" i="60"/>
  <c r="AH34" i="60"/>
  <c r="AL34" i="60"/>
  <c r="AG34" i="60"/>
  <c r="AK34" i="60"/>
  <c r="AI34" i="60"/>
  <c r="AN47" i="60"/>
  <c r="AJ47" i="60"/>
  <c r="AK47" i="60"/>
  <c r="AM47" i="60"/>
  <c r="AH47" i="60"/>
  <c r="AI47" i="60"/>
  <c r="AG47" i="60"/>
  <c r="AL47" i="60"/>
  <c r="AN42" i="60"/>
  <c r="AJ42" i="60"/>
  <c r="AM42" i="60"/>
  <c r="AH42" i="60"/>
  <c r="AL42" i="60"/>
  <c r="AG42" i="60"/>
  <c r="AK42" i="60"/>
  <c r="AI42" i="60"/>
  <c r="AN46" i="60"/>
  <c r="AJ46" i="60"/>
  <c r="AM46" i="60"/>
  <c r="AH46" i="60"/>
  <c r="AL46" i="60"/>
  <c r="AG46" i="60"/>
  <c r="AK46" i="60"/>
  <c r="AI46" i="60"/>
  <c r="AK53" i="60"/>
  <c r="AG53" i="60"/>
  <c r="AN53" i="60"/>
  <c r="AI53" i="60"/>
  <c r="AM53" i="60"/>
  <c r="AJ53" i="60"/>
  <c r="AL53" i="60"/>
  <c r="AH53" i="60"/>
  <c r="AN38" i="60"/>
  <c r="AJ38" i="60"/>
  <c r="AM38" i="60"/>
  <c r="AH38" i="60"/>
  <c r="AL38" i="60"/>
  <c r="AG38" i="60"/>
  <c r="AK38" i="60"/>
  <c r="AI38" i="60"/>
  <c r="AR24" i="60"/>
  <c r="AN24" i="60"/>
  <c r="AJ24" i="60"/>
  <c r="AM24" i="60"/>
  <c r="AH24" i="60"/>
  <c r="AL24" i="60"/>
  <c r="AG24" i="60"/>
  <c r="AK24" i="60"/>
  <c r="AI24" i="60"/>
  <c r="AN39" i="60"/>
  <c r="AJ39" i="60"/>
  <c r="AK39" i="60"/>
  <c r="AH39" i="60"/>
  <c r="AI39" i="60"/>
  <c r="AM39" i="60"/>
  <c r="AG39" i="60"/>
  <c r="AL39" i="60"/>
  <c r="AN45" i="60"/>
  <c r="AJ45" i="60"/>
  <c r="AK45" i="60"/>
  <c r="AI45" i="60"/>
  <c r="AM45" i="60"/>
  <c r="AH45" i="60"/>
  <c r="AL45" i="60"/>
  <c r="AG45" i="60"/>
  <c r="AR28" i="60"/>
  <c r="AN28" i="60"/>
  <c r="AJ28" i="60"/>
  <c r="AM28" i="60"/>
  <c r="AH28" i="60"/>
  <c r="AL28" i="60"/>
  <c r="AG28" i="60"/>
  <c r="AK28" i="60"/>
  <c r="AI28" i="60"/>
  <c r="AR25" i="60"/>
  <c r="AN25" i="60"/>
  <c r="AJ25" i="60"/>
  <c r="AK25" i="60"/>
  <c r="AI25" i="60"/>
  <c r="AH25" i="60"/>
  <c r="AG25" i="60"/>
  <c r="AM25" i="60"/>
  <c r="AL25" i="60"/>
  <c r="AN36" i="60"/>
  <c r="AJ36" i="60"/>
  <c r="AM36" i="60"/>
  <c r="AH36" i="60"/>
  <c r="AG36" i="60"/>
  <c r="AK36" i="60"/>
  <c r="AL36" i="60"/>
  <c r="AI36" i="60"/>
  <c r="AN49" i="60"/>
  <c r="AJ49" i="60"/>
  <c r="AK49" i="60"/>
  <c r="AM49" i="60"/>
  <c r="AH49" i="60"/>
  <c r="AI49" i="60"/>
  <c r="AL49" i="60"/>
  <c r="AG49" i="60"/>
  <c r="AK55" i="60"/>
  <c r="AG55" i="60"/>
  <c r="AN55" i="60"/>
  <c r="AI55" i="60"/>
  <c r="AL55" i="60"/>
  <c r="AH55" i="60"/>
  <c r="AJ55" i="60"/>
  <c r="AM55" i="60"/>
  <c r="AN33" i="60"/>
  <c r="AJ33" i="60"/>
  <c r="AK33" i="60"/>
  <c r="AI33" i="60"/>
  <c r="AM33" i="60"/>
  <c r="AL33" i="60"/>
  <c r="AH33" i="60"/>
  <c r="AG33" i="60"/>
  <c r="AN43" i="60"/>
  <c r="AJ43" i="60"/>
  <c r="AK43" i="60"/>
  <c r="AH43" i="60"/>
  <c r="AI43" i="60"/>
  <c r="AM43" i="60"/>
  <c r="AL43" i="60"/>
  <c r="AG43" i="60"/>
  <c r="AK51" i="60"/>
  <c r="AG51" i="60"/>
  <c r="AN51" i="60"/>
  <c r="AI51" i="60"/>
  <c r="AH51" i="60"/>
  <c r="AM51" i="60"/>
  <c r="AL51" i="60"/>
  <c r="AJ51" i="60"/>
  <c r="H860" i="43"/>
  <c r="F862" i="43"/>
  <c r="G861" i="43"/>
  <c r="AU48" i="60"/>
  <c r="N48" i="60"/>
  <c r="E48" i="60"/>
  <c r="AP48" i="60"/>
  <c r="U48" i="60"/>
  <c r="J48" i="60"/>
  <c r="D48" i="60"/>
  <c r="AD48" i="60"/>
  <c r="T48" i="60"/>
  <c r="AV48" i="60"/>
  <c r="I48" i="60"/>
  <c r="P48" i="60"/>
  <c r="AE48" i="60"/>
  <c r="K48" i="60"/>
  <c r="V48" i="60"/>
  <c r="M48" i="60"/>
  <c r="AR48" i="60"/>
  <c r="W48" i="60"/>
  <c r="G48" i="60"/>
  <c r="AF48" i="60"/>
  <c r="S48" i="60"/>
  <c r="AQ48" i="60"/>
  <c r="X48" i="60"/>
  <c r="AT48" i="60"/>
  <c r="L48" i="60"/>
  <c r="O48" i="60"/>
  <c r="H48" i="60"/>
  <c r="AO48" i="60"/>
  <c r="Q48" i="60"/>
  <c r="R48" i="60"/>
  <c r="J34" i="60"/>
  <c r="AQ34" i="60"/>
  <c r="Q34" i="60"/>
  <c r="AU34" i="60"/>
  <c r="T34" i="60"/>
  <c r="D34" i="60"/>
  <c r="W34" i="60"/>
  <c r="G34" i="60"/>
  <c r="V34" i="60"/>
  <c r="N34" i="60"/>
  <c r="M34" i="60"/>
  <c r="AP34" i="60"/>
  <c r="P34" i="60"/>
  <c r="AT34" i="60"/>
  <c r="S34" i="60"/>
  <c r="AR34" i="60"/>
  <c r="R34" i="60"/>
  <c r="I34" i="60"/>
  <c r="L34" i="60"/>
  <c r="O34" i="60"/>
  <c r="AF34" i="60"/>
  <c r="X34" i="60"/>
  <c r="AD34" i="60"/>
  <c r="AV34" i="60"/>
  <c r="E34" i="60"/>
  <c r="H34" i="60"/>
  <c r="K34" i="60"/>
  <c r="AO34" i="60"/>
  <c r="U34" i="60"/>
  <c r="AE34" i="60"/>
  <c r="AQ47" i="60"/>
  <c r="Q47" i="60"/>
  <c r="P47" i="60"/>
  <c r="K47" i="60"/>
  <c r="W47" i="60"/>
  <c r="H47" i="60"/>
  <c r="D47" i="60"/>
  <c r="AD47" i="60"/>
  <c r="M47" i="60"/>
  <c r="V47" i="60"/>
  <c r="G47" i="60"/>
  <c r="AR47" i="60"/>
  <c r="N47" i="60"/>
  <c r="AT47" i="60"/>
  <c r="AE47" i="60"/>
  <c r="R47" i="60"/>
  <c r="S47" i="60"/>
  <c r="AO47" i="60"/>
  <c r="J47" i="60"/>
  <c r="O47" i="60"/>
  <c r="E47" i="60"/>
  <c r="U47" i="60"/>
  <c r="AP47" i="60"/>
  <c r="AF47" i="60"/>
  <c r="L47" i="60"/>
  <c r="X47" i="60"/>
  <c r="AU47" i="60"/>
  <c r="I47" i="60"/>
  <c r="AV47" i="60"/>
  <c r="T47" i="60"/>
  <c r="N32" i="60"/>
  <c r="M32" i="60"/>
  <c r="AP32" i="60"/>
  <c r="P32" i="60"/>
  <c r="AT32" i="60"/>
  <c r="S32" i="60"/>
  <c r="V32" i="60"/>
  <c r="I32" i="60"/>
  <c r="AF32" i="60"/>
  <c r="L32" i="60"/>
  <c r="AO32" i="60"/>
  <c r="O32" i="60"/>
  <c r="R32" i="60"/>
  <c r="U32" i="60"/>
  <c r="X32" i="60"/>
  <c r="AE32" i="60"/>
  <c r="AR32" i="60"/>
  <c r="J32" i="60"/>
  <c r="E32" i="60"/>
  <c r="AU32" i="60"/>
  <c r="Q32" i="60"/>
  <c r="T32" i="60"/>
  <c r="W32" i="60"/>
  <c r="AD32" i="60"/>
  <c r="AV32" i="60"/>
  <c r="H32" i="60"/>
  <c r="K32" i="60"/>
  <c r="AQ32" i="60"/>
  <c r="D32" i="60"/>
  <c r="G32" i="60"/>
  <c r="AV36" i="60"/>
  <c r="V36" i="60"/>
  <c r="K36" i="60"/>
  <c r="AE36" i="60"/>
  <c r="D36" i="60"/>
  <c r="T36" i="60"/>
  <c r="AU36" i="60"/>
  <c r="I36" i="60"/>
  <c r="J36" i="60"/>
  <c r="AD36" i="60"/>
  <c r="O36" i="60"/>
  <c r="AO36" i="60"/>
  <c r="H36" i="60"/>
  <c r="X36" i="60"/>
  <c r="M36" i="60"/>
  <c r="AT36" i="60"/>
  <c r="AF36" i="60"/>
  <c r="Q36" i="60"/>
  <c r="W36" i="60"/>
  <c r="AR36" i="60"/>
  <c r="G36" i="60"/>
  <c r="AP36" i="60"/>
  <c r="U36" i="60"/>
  <c r="N36" i="60"/>
  <c r="S36" i="60"/>
  <c r="L36" i="60"/>
  <c r="AQ36" i="60"/>
  <c r="R36" i="60"/>
  <c r="P36" i="60"/>
  <c r="E36" i="60"/>
  <c r="AT49" i="60"/>
  <c r="AF49" i="60"/>
  <c r="T49" i="60"/>
  <c r="N49" i="60"/>
  <c r="G49" i="60"/>
  <c r="AR49" i="60"/>
  <c r="AD49" i="60"/>
  <c r="S49" i="60"/>
  <c r="L49" i="60"/>
  <c r="AU49" i="60"/>
  <c r="W49" i="60"/>
  <c r="H49" i="60"/>
  <c r="AO49" i="60"/>
  <c r="R49" i="60"/>
  <c r="D49" i="60"/>
  <c r="O49" i="60"/>
  <c r="J49" i="60"/>
  <c r="X49" i="60"/>
  <c r="I49" i="60"/>
  <c r="V49" i="60"/>
  <c r="E49" i="60"/>
  <c r="AP49" i="60"/>
  <c r="U49" i="60"/>
  <c r="AV49" i="60"/>
  <c r="P49" i="60"/>
  <c r="K49" i="60"/>
  <c r="Q49" i="60"/>
  <c r="M49" i="60"/>
  <c r="AQ49" i="60"/>
  <c r="AE49" i="60"/>
  <c r="AT33" i="60"/>
  <c r="AP33" i="60"/>
  <c r="X33" i="60"/>
  <c r="P33" i="60"/>
  <c r="H33" i="60"/>
  <c r="AV33" i="60"/>
  <c r="U33" i="60"/>
  <c r="M33" i="60"/>
  <c r="AU33" i="60"/>
  <c r="T33" i="60"/>
  <c r="E33" i="60"/>
  <c r="AF33" i="60"/>
  <c r="L33" i="60"/>
  <c r="I33" i="60"/>
  <c r="AQ33" i="60"/>
  <c r="Q33" i="60"/>
  <c r="D33" i="60"/>
  <c r="R33" i="60"/>
  <c r="AR33" i="60"/>
  <c r="S33" i="60"/>
  <c r="V33" i="60"/>
  <c r="G33" i="60"/>
  <c r="W33" i="60"/>
  <c r="AD33" i="60"/>
  <c r="K33" i="60"/>
  <c r="J33" i="60"/>
  <c r="AE33" i="60"/>
  <c r="O33" i="60"/>
  <c r="N33" i="60"/>
  <c r="AO33" i="60"/>
  <c r="AP42" i="60"/>
  <c r="J42" i="60"/>
  <c r="AD42" i="60"/>
  <c r="E42" i="60"/>
  <c r="U42" i="60"/>
  <c r="P42" i="60"/>
  <c r="AV42" i="60"/>
  <c r="W42" i="60"/>
  <c r="G42" i="60"/>
  <c r="AF42" i="60"/>
  <c r="R42" i="60"/>
  <c r="T42" i="60"/>
  <c r="AT42" i="60"/>
  <c r="S42" i="60"/>
  <c r="L42" i="60"/>
  <c r="AQ42" i="60"/>
  <c r="X42" i="60"/>
  <c r="D42" i="60"/>
  <c r="O42" i="60"/>
  <c r="Q42" i="60"/>
  <c r="H42" i="60"/>
  <c r="AE42" i="60"/>
  <c r="K42" i="60"/>
  <c r="AR42" i="60"/>
  <c r="AU42" i="60"/>
  <c r="AO42" i="60"/>
  <c r="I42" i="60"/>
  <c r="V42" i="60"/>
  <c r="M42" i="60"/>
  <c r="N42" i="60"/>
  <c r="V37" i="60"/>
  <c r="AU37" i="60"/>
  <c r="O37" i="60"/>
  <c r="AO37" i="60"/>
  <c r="J37" i="60"/>
  <c r="AD37" i="60"/>
  <c r="T37" i="60"/>
  <c r="D37" i="60"/>
  <c r="M37" i="60"/>
  <c r="AE37" i="60"/>
  <c r="W37" i="60"/>
  <c r="N37" i="60"/>
  <c r="AT37" i="60"/>
  <c r="I37" i="60"/>
  <c r="AP37" i="60"/>
  <c r="G37" i="60"/>
  <c r="AF37" i="60"/>
  <c r="S37" i="60"/>
  <c r="U37" i="60"/>
  <c r="AR37" i="60"/>
  <c r="X37" i="60"/>
  <c r="AV37" i="60"/>
  <c r="E37" i="60"/>
  <c r="L37" i="60"/>
  <c r="AQ37" i="60"/>
  <c r="R37" i="60"/>
  <c r="K37" i="60"/>
  <c r="Q37" i="60"/>
  <c r="P37" i="60"/>
  <c r="H37" i="60"/>
  <c r="X54" i="60"/>
  <c r="V54" i="60"/>
  <c r="J54" i="60"/>
  <c r="AP54" i="60"/>
  <c r="AR54" i="60"/>
  <c r="N54" i="60"/>
  <c r="M54" i="60"/>
  <c r="AO54" i="60"/>
  <c r="O54" i="60"/>
  <c r="AF54" i="60"/>
  <c r="P54" i="60"/>
  <c r="R54" i="60"/>
  <c r="I54" i="60"/>
  <c r="AE54" i="60"/>
  <c r="K54" i="60"/>
  <c r="T54" i="60"/>
  <c r="AD54" i="60"/>
  <c r="U54" i="60"/>
  <c r="W54" i="60"/>
  <c r="L54" i="60"/>
  <c r="H54" i="60"/>
  <c r="AV54" i="60"/>
  <c r="G54" i="60"/>
  <c r="Q54" i="60"/>
  <c r="S54" i="60"/>
  <c r="D54" i="60"/>
  <c r="E54" i="60"/>
  <c r="AQ54" i="60"/>
  <c r="AU54" i="60"/>
  <c r="AT54" i="60"/>
  <c r="AR39" i="60"/>
  <c r="K39" i="60"/>
  <c r="L39" i="60"/>
  <c r="AV39" i="60"/>
  <c r="U39" i="60"/>
  <c r="E39" i="60"/>
  <c r="AF39" i="60"/>
  <c r="N39" i="60"/>
  <c r="AT39" i="60"/>
  <c r="O39" i="60"/>
  <c r="AU39" i="60"/>
  <c r="V39" i="60"/>
  <c r="W39" i="60"/>
  <c r="AQ39" i="60"/>
  <c r="Q39" i="60"/>
  <c r="P39" i="60"/>
  <c r="S39" i="60"/>
  <c r="T39" i="60"/>
  <c r="M39" i="60"/>
  <c r="G39" i="60"/>
  <c r="D39" i="60"/>
  <c r="AP39" i="60"/>
  <c r="AD39" i="60"/>
  <c r="I39" i="60"/>
  <c r="R39" i="60"/>
  <c r="H39" i="60"/>
  <c r="J39" i="60"/>
  <c r="AE39" i="60"/>
  <c r="X39" i="60"/>
  <c r="AO39" i="60"/>
  <c r="AV50" i="60"/>
  <c r="E50" i="60"/>
  <c r="AD50" i="60"/>
  <c r="AT50" i="60"/>
  <c r="S50" i="60"/>
  <c r="L50" i="60"/>
  <c r="AQ50" i="60"/>
  <c r="M50" i="60"/>
  <c r="AR50" i="60"/>
  <c r="I50" i="60"/>
  <c r="J50" i="60"/>
  <c r="AP50" i="60"/>
  <c r="AO50" i="60"/>
  <c r="O50" i="60"/>
  <c r="Q50" i="60"/>
  <c r="R50" i="60"/>
  <c r="K50" i="60"/>
  <c r="D50" i="60"/>
  <c r="AU50" i="60"/>
  <c r="P50" i="60"/>
  <c r="V50" i="60"/>
  <c r="N50" i="60"/>
  <c r="W50" i="60"/>
  <c r="G50" i="60"/>
  <c r="H50" i="60"/>
  <c r="AE50" i="60"/>
  <c r="X50" i="60"/>
  <c r="U50" i="60"/>
  <c r="AF50" i="60"/>
  <c r="T50" i="60"/>
  <c r="AU38" i="60"/>
  <c r="U38" i="60"/>
  <c r="N38" i="60"/>
  <c r="H38" i="60"/>
  <c r="AR38" i="60"/>
  <c r="AD38" i="60"/>
  <c r="T38" i="60"/>
  <c r="M38" i="60"/>
  <c r="AP38" i="60"/>
  <c r="R38" i="60"/>
  <c r="E38" i="60"/>
  <c r="J38" i="60"/>
  <c r="AV38" i="60"/>
  <c r="I38" i="60"/>
  <c r="P38" i="60"/>
  <c r="D38" i="60"/>
  <c r="X38" i="60"/>
  <c r="W38" i="60"/>
  <c r="G38" i="60"/>
  <c r="AF38" i="60"/>
  <c r="AT38" i="60"/>
  <c r="S38" i="60"/>
  <c r="L38" i="60"/>
  <c r="AQ38" i="60"/>
  <c r="O38" i="60"/>
  <c r="AO38" i="60"/>
  <c r="K38" i="60"/>
  <c r="Q38" i="60"/>
  <c r="AE38" i="60"/>
  <c r="V38" i="60"/>
  <c r="AT35" i="60"/>
  <c r="AP35" i="60"/>
  <c r="X35" i="60"/>
  <c r="P35" i="60"/>
  <c r="H35" i="60"/>
  <c r="AV35" i="60"/>
  <c r="U35" i="60"/>
  <c r="M35" i="60"/>
  <c r="AF35" i="60"/>
  <c r="L35" i="60"/>
  <c r="AU35" i="60"/>
  <c r="T35" i="60"/>
  <c r="E35" i="60"/>
  <c r="Q35" i="60"/>
  <c r="I35" i="60"/>
  <c r="AQ35" i="60"/>
  <c r="D35" i="60"/>
  <c r="V35" i="60"/>
  <c r="G35" i="60"/>
  <c r="W35" i="60"/>
  <c r="J35" i="60"/>
  <c r="AD35" i="60"/>
  <c r="K35" i="60"/>
  <c r="AE35" i="60"/>
  <c r="O35" i="60"/>
  <c r="N35" i="60"/>
  <c r="AO35" i="60"/>
  <c r="R35" i="60"/>
  <c r="AR35" i="60"/>
  <c r="S35" i="60"/>
  <c r="AO44" i="60"/>
  <c r="O44" i="60"/>
  <c r="Q44" i="60"/>
  <c r="R44" i="60"/>
  <c r="I44" i="60"/>
  <c r="P44" i="60"/>
  <c r="AV44" i="60"/>
  <c r="AE44" i="60"/>
  <c r="K44" i="60"/>
  <c r="V44" i="60"/>
  <c r="X44" i="60"/>
  <c r="N44" i="60"/>
  <c r="AU44" i="60"/>
  <c r="U44" i="60"/>
  <c r="W44" i="60"/>
  <c r="AF44" i="60"/>
  <c r="H44" i="60"/>
  <c r="E44" i="60"/>
  <c r="J44" i="60"/>
  <c r="T44" i="60"/>
  <c r="AT44" i="60"/>
  <c r="AR44" i="60"/>
  <c r="S44" i="60"/>
  <c r="AQ44" i="60"/>
  <c r="M44" i="60"/>
  <c r="D44" i="60"/>
  <c r="G44" i="60"/>
  <c r="AD44" i="60"/>
  <c r="L44" i="60"/>
  <c r="AP44" i="60"/>
  <c r="AF53" i="60"/>
  <c r="R53" i="60"/>
  <c r="H53" i="60"/>
  <c r="AU53" i="60"/>
  <c r="AD53" i="60"/>
  <c r="P53" i="60"/>
  <c r="T53" i="60"/>
  <c r="AP53" i="60"/>
  <c r="J53" i="60"/>
  <c r="AR53" i="60"/>
  <c r="L53" i="60"/>
  <c r="D53" i="60"/>
  <c r="X53" i="60"/>
  <c r="AT53" i="60"/>
  <c r="S53" i="60"/>
  <c r="AV53" i="60"/>
  <c r="U53" i="60"/>
  <c r="E53" i="60"/>
  <c r="AO53" i="60"/>
  <c r="AQ53" i="60"/>
  <c r="Q53" i="60"/>
  <c r="AE53" i="60"/>
  <c r="V53" i="60"/>
  <c r="O53" i="60"/>
  <c r="N53" i="60"/>
  <c r="K53" i="60"/>
  <c r="M53" i="60"/>
  <c r="W53" i="60"/>
  <c r="G53" i="60"/>
  <c r="I53" i="60"/>
  <c r="AT41" i="60"/>
  <c r="AF41" i="60"/>
  <c r="T41" i="60"/>
  <c r="N41" i="60"/>
  <c r="G41" i="60"/>
  <c r="AR41" i="60"/>
  <c r="AD41" i="60"/>
  <c r="S41" i="60"/>
  <c r="L41" i="60"/>
  <c r="X41" i="60"/>
  <c r="J41" i="60"/>
  <c r="D41" i="60"/>
  <c r="AU41" i="60"/>
  <c r="W41" i="60"/>
  <c r="H41" i="60"/>
  <c r="AO41" i="60"/>
  <c r="R41" i="60"/>
  <c r="O41" i="60"/>
  <c r="AQ41" i="60"/>
  <c r="Q41" i="60"/>
  <c r="K41" i="60"/>
  <c r="AP41" i="60"/>
  <c r="M41" i="60"/>
  <c r="P41" i="60"/>
  <c r="V41" i="60"/>
  <c r="AE41" i="60"/>
  <c r="I41" i="60"/>
  <c r="U41" i="60"/>
  <c r="AV41" i="60"/>
  <c r="E41" i="60"/>
  <c r="AP55" i="60"/>
  <c r="T55" i="60"/>
  <c r="N55" i="60"/>
  <c r="D55" i="60"/>
  <c r="AU55" i="60"/>
  <c r="H55" i="60"/>
  <c r="V55" i="60"/>
  <c r="X55" i="60"/>
  <c r="L55" i="60"/>
  <c r="AE55" i="60"/>
  <c r="K55" i="60"/>
  <c r="M55" i="60"/>
  <c r="AD55" i="60"/>
  <c r="W55" i="60"/>
  <c r="AV55" i="60"/>
  <c r="Q55" i="60"/>
  <c r="R55" i="60"/>
  <c r="S55" i="60"/>
  <c r="AQ55" i="60"/>
  <c r="J55" i="60"/>
  <c r="AT55" i="60"/>
  <c r="P55" i="60"/>
  <c r="I55" i="60"/>
  <c r="O55" i="60"/>
  <c r="E55" i="60"/>
  <c r="U55" i="60"/>
  <c r="AR55" i="60"/>
  <c r="AO55" i="60"/>
  <c r="G55" i="60"/>
  <c r="AF55" i="60"/>
  <c r="AO45" i="60"/>
  <c r="O45" i="60"/>
  <c r="AU45" i="60"/>
  <c r="J45" i="60"/>
  <c r="AD45" i="60"/>
  <c r="T45" i="60"/>
  <c r="D45" i="60"/>
  <c r="M45" i="60"/>
  <c r="AE45" i="60"/>
  <c r="K45" i="60"/>
  <c r="R45" i="60"/>
  <c r="X45" i="60"/>
  <c r="I45" i="60"/>
  <c r="V45" i="60"/>
  <c r="W45" i="60"/>
  <c r="H45" i="60"/>
  <c r="U45" i="60"/>
  <c r="AP45" i="60"/>
  <c r="G45" i="60"/>
  <c r="N45" i="60"/>
  <c r="AV45" i="60"/>
  <c r="AT45" i="60"/>
  <c r="P45" i="60"/>
  <c r="AR45" i="60"/>
  <c r="Q45" i="60"/>
  <c r="L45" i="60"/>
  <c r="S45" i="60"/>
  <c r="E45" i="60"/>
  <c r="AF45" i="60"/>
  <c r="AQ45" i="60"/>
  <c r="AQ52" i="60"/>
  <c r="W52" i="60"/>
  <c r="G52" i="60"/>
  <c r="X52" i="60"/>
  <c r="I52" i="60"/>
  <c r="E52" i="60"/>
  <c r="AD52" i="60"/>
  <c r="AT52" i="60"/>
  <c r="S52" i="60"/>
  <c r="L52" i="60"/>
  <c r="H52" i="60"/>
  <c r="N52" i="60"/>
  <c r="AU52" i="60"/>
  <c r="Q52" i="60"/>
  <c r="O52" i="60"/>
  <c r="M52" i="60"/>
  <c r="T52" i="60"/>
  <c r="P52" i="60"/>
  <c r="U52" i="60"/>
  <c r="AO52" i="60"/>
  <c r="AF52" i="60"/>
  <c r="D52" i="60"/>
  <c r="K52" i="60"/>
  <c r="R52" i="60"/>
  <c r="V52" i="60"/>
  <c r="AR52" i="60"/>
  <c r="AP52" i="60"/>
  <c r="AE52" i="60"/>
  <c r="J52" i="60"/>
  <c r="AV52" i="60"/>
  <c r="S43" i="60"/>
  <c r="H43" i="60"/>
  <c r="AU43" i="60"/>
  <c r="AD43" i="60"/>
  <c r="O43" i="60"/>
  <c r="X43" i="60"/>
  <c r="D43" i="60"/>
  <c r="AO43" i="60"/>
  <c r="J43" i="60"/>
  <c r="T43" i="60"/>
  <c r="AT43" i="60"/>
  <c r="N43" i="60"/>
  <c r="I43" i="60"/>
  <c r="V43" i="60"/>
  <c r="G43" i="60"/>
  <c r="AF43" i="60"/>
  <c r="AV43" i="60"/>
  <c r="U43" i="60"/>
  <c r="E43" i="60"/>
  <c r="AE43" i="60"/>
  <c r="L43" i="60"/>
  <c r="AR43" i="60"/>
  <c r="Q43" i="60"/>
  <c r="AP43" i="60"/>
  <c r="AQ43" i="60"/>
  <c r="R43" i="60"/>
  <c r="M43" i="60"/>
  <c r="K43" i="60"/>
  <c r="P43" i="60"/>
  <c r="W43" i="60"/>
  <c r="AU40" i="60"/>
  <c r="N40" i="60"/>
  <c r="E40" i="60"/>
  <c r="AP40" i="60"/>
  <c r="U40" i="60"/>
  <c r="J40" i="60"/>
  <c r="D40" i="60"/>
  <c r="I40" i="60"/>
  <c r="AV40" i="60"/>
  <c r="P40" i="60"/>
  <c r="AD40" i="60"/>
  <c r="T40" i="60"/>
  <c r="W40" i="60"/>
  <c r="G40" i="60"/>
  <c r="AQ40" i="60"/>
  <c r="X40" i="60"/>
  <c r="AT40" i="60"/>
  <c r="S40" i="60"/>
  <c r="V40" i="60"/>
  <c r="L40" i="60"/>
  <c r="H40" i="60"/>
  <c r="O40" i="60"/>
  <c r="Q40" i="60"/>
  <c r="M40" i="60"/>
  <c r="AE40" i="60"/>
  <c r="K40" i="60"/>
  <c r="AF40" i="60"/>
  <c r="R40" i="60"/>
  <c r="AO40" i="60"/>
  <c r="AR40" i="60"/>
  <c r="AU46" i="60"/>
  <c r="U46" i="60"/>
  <c r="N46" i="60"/>
  <c r="H46" i="60"/>
  <c r="AR46" i="60"/>
  <c r="AD46" i="60"/>
  <c r="T46" i="60"/>
  <c r="M46" i="60"/>
  <c r="P46" i="60"/>
  <c r="D46" i="60"/>
  <c r="J46" i="60"/>
  <c r="AV46" i="60"/>
  <c r="I46" i="60"/>
  <c r="R46" i="60"/>
  <c r="AP46" i="60"/>
  <c r="E46" i="60"/>
  <c r="X46" i="60"/>
  <c r="AO46" i="60"/>
  <c r="O46" i="60"/>
  <c r="Q46" i="60"/>
  <c r="AE46" i="60"/>
  <c r="G46" i="60"/>
  <c r="AQ46" i="60"/>
  <c r="W46" i="60"/>
  <c r="V46" i="60"/>
  <c r="L46" i="60"/>
  <c r="S46" i="60"/>
  <c r="AF46" i="60"/>
  <c r="AT46" i="60"/>
  <c r="K46" i="60"/>
  <c r="AU51" i="60"/>
  <c r="AD51" i="60"/>
  <c r="O51" i="60"/>
  <c r="AT51" i="60"/>
  <c r="X51" i="60"/>
  <c r="N51" i="60"/>
  <c r="D51" i="60"/>
  <c r="S51" i="60"/>
  <c r="AO51" i="60"/>
  <c r="J51" i="60"/>
  <c r="H51" i="60"/>
  <c r="T51" i="60"/>
  <c r="I51" i="60"/>
  <c r="V51" i="60"/>
  <c r="R51" i="60"/>
  <c r="AV51" i="60"/>
  <c r="U51" i="60"/>
  <c r="E51" i="60"/>
  <c r="AE51" i="60"/>
  <c r="AQ51" i="60"/>
  <c r="K51" i="60"/>
  <c r="W51" i="60"/>
  <c r="Q51" i="60"/>
  <c r="AR51" i="60"/>
  <c r="P51" i="60"/>
  <c r="AF51" i="60"/>
  <c r="AP51" i="60"/>
  <c r="G51" i="60"/>
  <c r="M51" i="60"/>
  <c r="L51" i="60"/>
  <c r="K28" i="60"/>
  <c r="AP28" i="60"/>
  <c r="N28" i="60"/>
  <c r="AE28" i="60"/>
  <c r="AT28" i="60"/>
  <c r="S28" i="60"/>
  <c r="AV28" i="60"/>
  <c r="AD28" i="60"/>
  <c r="V28" i="60"/>
  <c r="R28" i="60"/>
  <c r="T28" i="60"/>
  <c r="I28" i="60"/>
  <c r="AQ28" i="60"/>
  <c r="D28" i="60"/>
  <c r="E28" i="60"/>
  <c r="P28" i="60"/>
  <c r="AF28" i="60"/>
  <c r="Q28" i="60"/>
  <c r="U28" i="60"/>
  <c r="AU28" i="60"/>
  <c r="O28" i="60"/>
  <c r="J28" i="60"/>
  <c r="X28" i="60"/>
  <c r="AO28" i="60"/>
  <c r="M28" i="60"/>
  <c r="L28" i="60"/>
  <c r="H28" i="60"/>
  <c r="W28" i="60"/>
  <c r="G28" i="60"/>
  <c r="K29" i="60"/>
  <c r="L29" i="60"/>
  <c r="V29" i="60"/>
  <c r="U29" i="60"/>
  <c r="AV29" i="60"/>
  <c r="AU29" i="60"/>
  <c r="AO29" i="60"/>
  <c r="R29" i="60"/>
  <c r="O29" i="60"/>
  <c r="H29" i="60"/>
  <c r="AP29" i="60"/>
  <c r="S29" i="60"/>
  <c r="AT29" i="60"/>
  <c r="J29" i="60"/>
  <c r="I29" i="60"/>
  <c r="Q29" i="60"/>
  <c r="P29" i="60"/>
  <c r="M29" i="60"/>
  <c r="G29" i="60"/>
  <c r="AQ29" i="60"/>
  <c r="AF29" i="60"/>
  <c r="AE29" i="60"/>
  <c r="N29" i="60"/>
  <c r="X29" i="60"/>
  <c r="W29" i="60"/>
  <c r="AD29" i="60"/>
  <c r="E29" i="60"/>
  <c r="D29" i="60"/>
  <c r="T29" i="60"/>
  <c r="K31" i="60"/>
  <c r="U31" i="60"/>
  <c r="J31" i="60"/>
  <c r="M31" i="60"/>
  <c r="Q31" i="60"/>
  <c r="H31" i="60"/>
  <c r="P31" i="60"/>
  <c r="AQ31" i="60"/>
  <c r="G31" i="60"/>
  <c r="AE31" i="60"/>
  <c r="I31" i="60"/>
  <c r="O31" i="60"/>
  <c r="W31" i="60"/>
  <c r="E31" i="60"/>
  <c r="AF31" i="60"/>
  <c r="L31" i="60"/>
  <c r="R31" i="60"/>
  <c r="AU31" i="60"/>
  <c r="T31" i="60"/>
  <c r="AV31" i="60"/>
  <c r="AD31" i="60"/>
  <c r="D31" i="60"/>
  <c r="AO31" i="60"/>
  <c r="S31" i="60"/>
  <c r="AT31" i="60"/>
  <c r="X31" i="60"/>
  <c r="AP31" i="60"/>
  <c r="N31" i="60"/>
  <c r="V31" i="60"/>
  <c r="K30" i="60"/>
  <c r="S30" i="60"/>
  <c r="G30" i="60"/>
  <c r="AQ30" i="60"/>
  <c r="Q30" i="60"/>
  <c r="M30" i="60"/>
  <c r="AD30" i="60"/>
  <c r="L30" i="60"/>
  <c r="E30" i="60"/>
  <c r="N30" i="60"/>
  <c r="U30" i="60"/>
  <c r="P30" i="60"/>
  <c r="AP30" i="60"/>
  <c r="AU30" i="60"/>
  <c r="T30" i="60"/>
  <c r="AV30" i="60"/>
  <c r="I30" i="60"/>
  <c r="O30" i="60"/>
  <c r="D30" i="60"/>
  <c r="AF30" i="60"/>
  <c r="J30" i="60"/>
  <c r="AT30" i="60"/>
  <c r="H30" i="60"/>
  <c r="W30" i="60"/>
  <c r="V30" i="60"/>
  <c r="AE30" i="60"/>
  <c r="R30" i="60"/>
  <c r="AO30" i="60"/>
  <c r="X30" i="60"/>
  <c r="K27" i="60"/>
  <c r="Q27" i="60"/>
  <c r="AP27" i="60"/>
  <c r="V27" i="60"/>
  <c r="L27" i="60"/>
  <c r="J27" i="60"/>
  <c r="H27" i="60"/>
  <c r="M27" i="60"/>
  <c r="AT27" i="60"/>
  <c r="S27" i="60"/>
  <c r="AD27" i="60"/>
  <c r="O27" i="60"/>
  <c r="D27" i="60"/>
  <c r="T27" i="60"/>
  <c r="AE27" i="60"/>
  <c r="N27" i="60"/>
  <c r="AQ27" i="60"/>
  <c r="E27" i="60"/>
  <c r="U27" i="60"/>
  <c r="G27" i="60"/>
  <c r="R27" i="60"/>
  <c r="W27" i="60"/>
  <c r="AO27" i="60"/>
  <c r="I27" i="60"/>
  <c r="X27" i="60"/>
  <c r="AU27" i="60"/>
  <c r="P27" i="60"/>
  <c r="AF27" i="60"/>
  <c r="AV27" i="60"/>
  <c r="K25" i="60"/>
  <c r="D25" i="60"/>
  <c r="AU25" i="60"/>
  <c r="N25" i="60"/>
  <c r="AQ25" i="60"/>
  <c r="G25" i="60"/>
  <c r="X25" i="60"/>
  <c r="M25" i="60"/>
  <c r="AF25" i="60"/>
  <c r="U25" i="60"/>
  <c r="Q25" i="60"/>
  <c r="S25" i="60"/>
  <c r="E25" i="60"/>
  <c r="AE25" i="60"/>
  <c r="L25" i="60"/>
  <c r="W25" i="60"/>
  <c r="V25" i="60"/>
  <c r="O25" i="60"/>
  <c r="H25" i="60"/>
  <c r="AP25" i="60"/>
  <c r="AT25" i="60"/>
  <c r="AD25" i="60"/>
  <c r="J25" i="60"/>
  <c r="R25" i="60"/>
  <c r="T25" i="60"/>
  <c r="AO25" i="60"/>
  <c r="AV25" i="60"/>
  <c r="P25" i="60"/>
  <c r="I25" i="60"/>
  <c r="K24" i="60"/>
  <c r="X24" i="60"/>
  <c r="P24" i="60"/>
  <c r="AQ24" i="60"/>
  <c r="I24" i="60"/>
  <c r="T24" i="60"/>
  <c r="W24" i="60"/>
  <c r="D24" i="60"/>
  <c r="O24" i="60"/>
  <c r="S24" i="60"/>
  <c r="AT24" i="60"/>
  <c r="M24" i="60"/>
  <c r="N24" i="60"/>
  <c r="V24" i="60"/>
  <c r="AP24" i="60"/>
  <c r="U24" i="60"/>
  <c r="AF24" i="60"/>
  <c r="E24" i="60"/>
  <c r="J24" i="60"/>
  <c r="G24" i="60"/>
  <c r="AV24" i="60"/>
  <c r="R24" i="60"/>
  <c r="AO24" i="60"/>
  <c r="L24" i="60"/>
  <c r="AE24" i="60"/>
  <c r="AU24" i="60"/>
  <c r="H24" i="60"/>
  <c r="Q24" i="60"/>
  <c r="AD24" i="60"/>
  <c r="D718" i="66" l="1"/>
  <c r="V718" i="66" s="1"/>
  <c r="C741" i="66"/>
  <c r="A718" i="66"/>
  <c r="F863" i="43"/>
  <c r="G862" i="43"/>
  <c r="H861" i="43"/>
  <c r="F57" i="60"/>
  <c r="F56" i="60"/>
  <c r="AA56" i="60" l="1"/>
  <c r="Z56" i="60"/>
  <c r="AC56" i="60"/>
  <c r="Y56" i="60"/>
  <c r="AB56" i="60"/>
  <c r="Z57" i="60"/>
  <c r="AC57" i="60"/>
  <c r="Y57" i="60"/>
  <c r="AB57" i="60"/>
  <c r="AA57" i="60"/>
  <c r="D741" i="66"/>
  <c r="K58" i="66" a="1"/>
  <c r="K58" i="66" s="1"/>
  <c r="L55" i="66" a="1"/>
  <c r="L55" i="66" s="1"/>
  <c r="L52" i="66" a="1"/>
  <c r="L52" i="66" s="1"/>
  <c r="K71" i="66" a="1"/>
  <c r="K71" i="66" s="1"/>
  <c r="F64" i="66" a="1"/>
  <c r="F64" i="66" s="1"/>
  <c r="M64" i="66" s="1" a="1"/>
  <c r="M64" i="66" s="1"/>
  <c r="K66" i="66" a="1"/>
  <c r="K66" i="66" s="1"/>
  <c r="L53" i="66" a="1"/>
  <c r="L53" i="66" s="1"/>
  <c r="J51" i="66" a="1"/>
  <c r="J51" i="66" s="1"/>
  <c r="H50" i="66" a="1"/>
  <c r="H50" i="66" s="1"/>
  <c r="I67" i="66" a="1"/>
  <c r="I67" i="66" s="1"/>
  <c r="K54" i="66" a="1"/>
  <c r="K54" i="66" s="1"/>
  <c r="F59" i="66" a="1"/>
  <c r="F59" i="66" s="1"/>
  <c r="M59" i="66" s="1" a="1"/>
  <c r="M59" i="66" s="1"/>
  <c r="F70" i="66" a="1"/>
  <c r="F70" i="66" s="1"/>
  <c r="M70" i="66" s="1" a="1"/>
  <c r="M70" i="66" s="1"/>
  <c r="I65" i="66" a="1"/>
  <c r="I65" i="66" s="1"/>
  <c r="J61" i="66" a="1"/>
  <c r="J61" i="66" s="1"/>
  <c r="J59" i="66" a="1"/>
  <c r="J59" i="66" s="1"/>
  <c r="E58" i="66"/>
  <c r="E67" i="66"/>
  <c r="E61" i="66"/>
  <c r="H58" i="66" a="1"/>
  <c r="H58" i="66" s="1"/>
  <c r="I50" i="66" a="1"/>
  <c r="I50" i="66" s="1"/>
  <c r="L51" i="66" a="1"/>
  <c r="L51" i="66" s="1"/>
  <c r="K68" i="66" a="1"/>
  <c r="K68" i="66" s="1"/>
  <c r="K60" i="66" a="1"/>
  <c r="K60" i="66" s="1"/>
  <c r="I54" i="66" a="1"/>
  <c r="I54" i="66" s="1"/>
  <c r="H51" i="66" a="1"/>
  <c r="H51" i="66" s="1"/>
  <c r="H70" i="66" a="1"/>
  <c r="H70" i="66" s="1"/>
  <c r="K56" i="66" a="1"/>
  <c r="K56" i="66" s="1"/>
  <c r="F61" i="66" a="1"/>
  <c r="F61" i="66" s="1"/>
  <c r="M61" i="66" s="1" a="1"/>
  <c r="M61" i="66" s="1"/>
  <c r="J56" i="66" a="1"/>
  <c r="J56" i="66" s="1"/>
  <c r="J63" i="66" a="1"/>
  <c r="J63" i="66" s="1"/>
  <c r="G58" i="66" a="1"/>
  <c r="G58" i="66" s="1"/>
  <c r="J52" i="66" a="1"/>
  <c r="J52" i="66" s="1"/>
  <c r="H60" i="66" a="1"/>
  <c r="H60" i="66" s="1"/>
  <c r="H52" i="66" a="1"/>
  <c r="H52" i="66" s="1"/>
  <c r="L65" i="66" a="1"/>
  <c r="L65" i="66" s="1"/>
  <c r="K59" i="66" a="1"/>
  <c r="K59" i="66" s="1"/>
  <c r="L60" i="66" a="1"/>
  <c r="L60" i="66" s="1"/>
  <c r="L66" i="66" a="1"/>
  <c r="L66" i="66" s="1"/>
  <c r="L68" i="66" a="1"/>
  <c r="L68" i="66" s="1"/>
  <c r="L57" i="66" a="1"/>
  <c r="L57" i="66" s="1"/>
  <c r="L64" i="66" a="1"/>
  <c r="L64" i="66" s="1"/>
  <c r="L56" i="66" a="1"/>
  <c r="L56" i="66" s="1"/>
  <c r="L62" i="66" a="1"/>
  <c r="L62" i="66" s="1"/>
  <c r="I69" i="66" a="1"/>
  <c r="I69" i="66" s="1"/>
  <c r="G66" i="66" a="1"/>
  <c r="G66" i="66" s="1"/>
  <c r="F54" i="66" a="1"/>
  <c r="F54" i="66" s="1"/>
  <c r="M54" i="66" s="1" a="1"/>
  <c r="M54" i="66" s="1"/>
  <c r="L59" i="66" a="1"/>
  <c r="L59" i="66" s="1"/>
  <c r="L72" i="66" a="1"/>
  <c r="L72" i="66" s="1"/>
  <c r="K63" i="66" a="1"/>
  <c r="K63" i="66" s="1"/>
  <c r="G59" i="66" a="1"/>
  <c r="G59" i="66" s="1"/>
  <c r="E72" i="66"/>
  <c r="L63" i="66" a="1"/>
  <c r="L63" i="66" s="1"/>
  <c r="K67" i="66" a="1"/>
  <c r="K67" i="66" s="1"/>
  <c r="L69" i="66" a="1"/>
  <c r="L69" i="66" s="1"/>
  <c r="L61" i="66" a="1"/>
  <c r="L61" i="66" s="1"/>
  <c r="L70" i="66" a="1"/>
  <c r="L70" i="66" s="1"/>
  <c r="K52" i="66" a="1"/>
  <c r="K52" i="66" s="1"/>
  <c r="L67" i="66" a="1"/>
  <c r="L67" i="66" s="1"/>
  <c r="E51" i="66"/>
  <c r="I70" i="66" a="1"/>
  <c r="I70" i="66" s="1"/>
  <c r="L54" i="66" a="1"/>
  <c r="L54" i="66" s="1"/>
  <c r="K53" i="66" a="1"/>
  <c r="K53" i="66" s="1"/>
  <c r="L58" i="66" a="1"/>
  <c r="L58" i="66" s="1"/>
  <c r="K69" i="66" a="1"/>
  <c r="K69" i="66" s="1"/>
  <c r="L71" i="66" a="1"/>
  <c r="L71" i="66" s="1"/>
  <c r="K61" i="66" a="1"/>
  <c r="K61" i="66" s="1"/>
  <c r="I62" i="66" a="1"/>
  <c r="I62" i="66" s="1"/>
  <c r="K72" i="66" a="1"/>
  <c r="K72" i="66" s="1"/>
  <c r="H55" i="66" a="1"/>
  <c r="H55" i="66" s="1"/>
  <c r="G72" i="66" a="1"/>
  <c r="G72" i="66" s="1"/>
  <c r="J70" i="66" a="1"/>
  <c r="J70" i="66" s="1"/>
  <c r="K62" i="66" a="1"/>
  <c r="K62" i="66" s="1"/>
  <c r="E56" i="66"/>
  <c r="G70" i="66" a="1"/>
  <c r="G70" i="66" s="1"/>
  <c r="E71" i="66"/>
  <c r="F67" i="66" a="1"/>
  <c r="F67" i="66" s="1"/>
  <c r="M67" i="66" s="1" a="1"/>
  <c r="M67" i="66" s="1"/>
  <c r="I61" i="66" a="1"/>
  <c r="I61" i="66" s="1"/>
  <c r="H62" i="66" a="1"/>
  <c r="H62" i="66" s="1"/>
  <c r="G54" i="66" a="1"/>
  <c r="G54" i="66" s="1"/>
  <c r="I63" i="66" a="1"/>
  <c r="I63" i="66" s="1"/>
  <c r="I53" i="66" a="1"/>
  <c r="I53" i="66" s="1"/>
  <c r="J55" i="66" a="1"/>
  <c r="J55" i="66" s="1"/>
  <c r="E53" i="66"/>
  <c r="F58" i="66" a="1"/>
  <c r="F58" i="66" s="1"/>
  <c r="M58" i="66" s="1" a="1"/>
  <c r="M58" i="66" s="1"/>
  <c r="E62" i="66"/>
  <c r="K70" i="66" a="1"/>
  <c r="K70" i="66" s="1"/>
  <c r="H59" i="66" a="1"/>
  <c r="H59" i="66" s="1"/>
  <c r="J60" i="66" a="1"/>
  <c r="J60" i="66" s="1"/>
  <c r="F66" i="66" a="1"/>
  <c r="F66" i="66" s="1"/>
  <c r="M66" i="66" s="1" a="1"/>
  <c r="M66" i="66" s="1"/>
  <c r="G71" i="66" a="1"/>
  <c r="G71" i="66" s="1"/>
  <c r="H71" i="66" a="1"/>
  <c r="H71" i="66" s="1"/>
  <c r="G61" i="66" a="1"/>
  <c r="G61" i="66" s="1"/>
  <c r="I57" i="66" a="1"/>
  <c r="I57" i="66" s="1"/>
  <c r="H61" i="66" a="1"/>
  <c r="H61" i="66" s="1"/>
  <c r="E66" i="66"/>
  <c r="F55" i="66" a="1"/>
  <c r="F55" i="66" s="1"/>
  <c r="M55" i="66" s="1" a="1"/>
  <c r="M55" i="66" s="1"/>
  <c r="E63" i="66"/>
  <c r="F71" i="66" a="1"/>
  <c r="F71" i="66" s="1"/>
  <c r="M71" i="66" s="1" a="1"/>
  <c r="M71" i="66" s="1"/>
  <c r="G67" i="66" a="1"/>
  <c r="G67" i="66" s="1"/>
  <c r="J72" i="66" a="1"/>
  <c r="J72" i="66" s="1"/>
  <c r="G56" i="66" a="1"/>
  <c r="G56" i="66" s="1"/>
  <c r="E64" i="66"/>
  <c r="F69" i="66" a="1"/>
  <c r="F69" i="66" s="1"/>
  <c r="M69" i="66" s="1" a="1"/>
  <c r="M69" i="66" s="1"/>
  <c r="H72" i="66" a="1"/>
  <c r="H72" i="66" s="1"/>
  <c r="E68" i="66"/>
  <c r="G60" i="66" a="1"/>
  <c r="G60" i="66" s="1"/>
  <c r="G63" i="66" a="1"/>
  <c r="G63" i="66" s="1"/>
  <c r="G53" i="66" a="1"/>
  <c r="G53" i="66" s="1"/>
  <c r="H66" i="66" a="1"/>
  <c r="H66" i="66" s="1"/>
  <c r="I56" i="66" a="1"/>
  <c r="I56" i="66" s="1"/>
  <c r="F62" i="66" a="1"/>
  <c r="F62" i="66" s="1"/>
  <c r="M62" i="66" s="1" a="1"/>
  <c r="M62" i="66" s="1"/>
  <c r="E70" i="66"/>
  <c r="F63" i="66" a="1"/>
  <c r="F63" i="66" s="1"/>
  <c r="M63" i="66" s="1" a="1"/>
  <c r="M63" i="66" s="1"/>
  <c r="J58" i="66" a="1"/>
  <c r="J58" i="66" s="1"/>
  <c r="J67" i="66" a="1"/>
  <c r="J67" i="66" s="1"/>
  <c r="I60" i="66" a="1"/>
  <c r="I60" i="66" s="1"/>
  <c r="E60" i="66"/>
  <c r="J71" i="66" a="1"/>
  <c r="J71" i="66" s="1"/>
  <c r="F57" i="66" a="1"/>
  <c r="F57" i="66" s="1"/>
  <c r="M57" i="66" s="1" a="1"/>
  <c r="M57" i="66" s="1"/>
  <c r="K57" i="66" a="1"/>
  <c r="K57" i="66" s="1"/>
  <c r="I72" i="66" a="1"/>
  <c r="I72" i="66" s="1"/>
  <c r="G55" i="66" a="1"/>
  <c r="G55" i="66" s="1"/>
  <c r="J66" i="66" a="1"/>
  <c r="J66" i="66" s="1"/>
  <c r="J65" i="66" a="1"/>
  <c r="J65" i="66" s="1"/>
  <c r="G69" i="66" a="1"/>
  <c r="G69" i="66" s="1"/>
  <c r="I59" i="66" a="1"/>
  <c r="I59" i="66" s="1"/>
  <c r="I71" i="66" a="1"/>
  <c r="I71" i="66" s="1"/>
  <c r="H53" i="66" a="1"/>
  <c r="H53" i="66" s="1"/>
  <c r="H67" i="66" a="1"/>
  <c r="H67" i="66" s="1"/>
  <c r="H68" i="66" a="1"/>
  <c r="H68" i="66" s="1"/>
  <c r="G62" i="66" a="1"/>
  <c r="G62" i="66" s="1"/>
  <c r="G64" i="66" a="1"/>
  <c r="G64" i="66" s="1"/>
  <c r="J69" i="66" a="1"/>
  <c r="J69" i="66" s="1"/>
  <c r="I68" i="66" a="1"/>
  <c r="I68" i="66" s="1"/>
  <c r="E65" i="66"/>
  <c r="E59" i="66"/>
  <c r="F68" i="66" a="1"/>
  <c r="F68" i="66" s="1"/>
  <c r="M68" i="66" s="1" a="1"/>
  <c r="M68" i="66" s="1"/>
  <c r="F65" i="66" a="1"/>
  <c r="F65" i="66" s="1"/>
  <c r="M65" i="66" s="1" a="1"/>
  <c r="M65" i="66" s="1"/>
  <c r="I58" i="66" a="1"/>
  <c r="I58" i="66" s="1"/>
  <c r="J68" i="66" a="1"/>
  <c r="J68" i="66" s="1"/>
  <c r="H65" i="66" a="1"/>
  <c r="H65" i="66" s="1"/>
  <c r="G57" i="66" a="1"/>
  <c r="G57" i="66" s="1"/>
  <c r="G68" i="66" a="1"/>
  <c r="G68" i="66" s="1"/>
  <c r="H57" i="66" a="1"/>
  <c r="H57" i="66" s="1"/>
  <c r="H69" i="66" a="1"/>
  <c r="H69" i="66" s="1"/>
  <c r="H54" i="66" a="1"/>
  <c r="H54" i="66" s="1"/>
  <c r="I66" i="66" a="1"/>
  <c r="I66" i="66" s="1"/>
  <c r="I55" i="66" a="1"/>
  <c r="I55" i="66" s="1"/>
  <c r="F60" i="66" a="1"/>
  <c r="F60" i="66" s="1"/>
  <c r="M60" i="66" s="1" a="1"/>
  <c r="M60" i="66" s="1"/>
  <c r="F72" i="66" a="1"/>
  <c r="F72" i="66" s="1"/>
  <c r="M72" i="66" s="1" a="1"/>
  <c r="M72" i="66" s="1"/>
  <c r="J62" i="66" a="1"/>
  <c r="J62" i="66" s="1"/>
  <c r="E69" i="66"/>
  <c r="K55" i="66" a="1"/>
  <c r="K55" i="66" s="1"/>
  <c r="K64" i="66" a="1"/>
  <c r="K64" i="66" s="1"/>
  <c r="J53" i="66" a="1"/>
  <c r="J53" i="66" s="1"/>
  <c r="J57" i="66" a="1"/>
  <c r="J57" i="66" s="1"/>
  <c r="F53" i="66" a="1"/>
  <c r="F53" i="66" s="1"/>
  <c r="M53" i="66" s="1" a="1"/>
  <c r="M53" i="66" s="1"/>
  <c r="F56" i="66" a="1"/>
  <c r="F56" i="66" s="1"/>
  <c r="M56" i="66" s="1" a="1"/>
  <c r="M56" i="66" s="1"/>
  <c r="H64" i="66" a="1"/>
  <c r="H64" i="66" s="1"/>
  <c r="K65" i="66" a="1"/>
  <c r="K65" i="66" s="1"/>
  <c r="E54" i="66"/>
  <c r="J54" i="66" a="1"/>
  <c r="J54" i="66" s="1"/>
  <c r="H56" i="66" a="1"/>
  <c r="H56" i="66" s="1"/>
  <c r="E55" i="66"/>
  <c r="J64" i="66" a="1"/>
  <c r="J64" i="66" s="1"/>
  <c r="E57" i="66"/>
  <c r="H63" i="66" a="1"/>
  <c r="H63" i="66" s="1"/>
  <c r="I64" i="66" a="1"/>
  <c r="I64" i="66" s="1"/>
  <c r="G65" i="66" a="1"/>
  <c r="G65" i="66" s="1"/>
  <c r="A741" i="66"/>
  <c r="I3" i="66" s="1"/>
  <c r="AK57" i="60"/>
  <c r="AG57" i="60"/>
  <c r="AN57" i="60"/>
  <c r="AI57" i="60"/>
  <c r="AJ57" i="60"/>
  <c r="AM57" i="60"/>
  <c r="AH57" i="60"/>
  <c r="AL57" i="60"/>
  <c r="AK56" i="60"/>
  <c r="AG56" i="60"/>
  <c r="AL56" i="60"/>
  <c r="AJ56" i="60"/>
  <c r="AN56" i="60"/>
  <c r="AH56" i="60"/>
  <c r="AI56" i="60"/>
  <c r="AM56" i="60"/>
  <c r="H862" i="43"/>
  <c r="G863" i="43"/>
  <c r="F864" i="43"/>
  <c r="AU57" i="60"/>
  <c r="X57" i="60"/>
  <c r="AF57" i="60"/>
  <c r="T57" i="60"/>
  <c r="U57" i="60"/>
  <c r="N57" i="60"/>
  <c r="O57" i="60"/>
  <c r="I57" i="60"/>
  <c r="R57" i="60"/>
  <c r="AQ57" i="60"/>
  <c r="AD57" i="60"/>
  <c r="L57" i="60"/>
  <c r="H57" i="60"/>
  <c r="AT57" i="60"/>
  <c r="E57" i="60"/>
  <c r="K57" i="60"/>
  <c r="Q57" i="60"/>
  <c r="W57" i="60"/>
  <c r="J57" i="60"/>
  <c r="M57" i="60"/>
  <c r="P57" i="60"/>
  <c r="D57" i="60"/>
  <c r="AP57" i="60"/>
  <c r="S57" i="60"/>
  <c r="AO57" i="60"/>
  <c r="AE57" i="60"/>
  <c r="G57" i="60"/>
  <c r="AR57" i="60"/>
  <c r="AV57" i="60"/>
  <c r="V57" i="60"/>
  <c r="U56" i="60"/>
  <c r="H56" i="60"/>
  <c r="Q56" i="60"/>
  <c r="R56" i="60"/>
  <c r="X56" i="60"/>
  <c r="O56" i="60"/>
  <c r="AE56" i="60"/>
  <c r="I56" i="60"/>
  <c r="G56" i="60"/>
  <c r="AP56" i="60"/>
  <c r="E56" i="60"/>
  <c r="T56" i="60"/>
  <c r="AT56" i="60"/>
  <c r="D56" i="60"/>
  <c r="L56" i="60"/>
  <c r="P56" i="60"/>
  <c r="J56" i="60"/>
  <c r="AQ56" i="60"/>
  <c r="M56" i="60"/>
  <c r="AD56" i="60"/>
  <c r="W56" i="60"/>
  <c r="AR56" i="60"/>
  <c r="S56" i="60"/>
  <c r="N56" i="60"/>
  <c r="K56" i="60"/>
  <c r="AF56" i="60"/>
  <c r="V56" i="60"/>
  <c r="AV56" i="60"/>
  <c r="AO56" i="60"/>
  <c r="AU56" i="60"/>
  <c r="E52" i="66" l="1"/>
  <c r="V741" i="66"/>
  <c r="F865" i="43"/>
  <c r="G864" i="43"/>
  <c r="H863" i="43"/>
  <c r="F58" i="60"/>
  <c r="F59" i="60"/>
  <c r="AB59" i="60" l="1"/>
  <c r="AA59" i="60"/>
  <c r="Z59" i="60"/>
  <c r="AC59" i="60"/>
  <c r="Y59" i="60"/>
  <c r="AC58" i="60"/>
  <c r="Y58" i="60"/>
  <c r="AB58" i="60"/>
  <c r="AA58" i="60"/>
  <c r="Z58" i="60"/>
  <c r="AK58" i="60"/>
  <c r="AG58" i="60"/>
  <c r="AL58" i="60"/>
  <c r="AI58" i="60"/>
  <c r="AM58" i="60"/>
  <c r="AN58" i="60"/>
  <c r="AH58" i="60"/>
  <c r="AJ58" i="60"/>
  <c r="AK59" i="60"/>
  <c r="AG59" i="60"/>
  <c r="AN59" i="60"/>
  <c r="AI59" i="60"/>
  <c r="AH59" i="60"/>
  <c r="AL59" i="60"/>
  <c r="AM59" i="60"/>
  <c r="AJ59" i="60"/>
  <c r="H864" i="43"/>
  <c r="F866" i="43"/>
  <c r="G865" i="43"/>
  <c r="V58" i="60"/>
  <c r="G58" i="60"/>
  <c r="P58" i="60"/>
  <c r="AR58" i="60"/>
  <c r="L58" i="60"/>
  <c r="AD58" i="60"/>
  <c r="S58" i="60"/>
  <c r="AP58" i="60"/>
  <c r="AU58" i="60"/>
  <c r="X58" i="60"/>
  <c r="J58" i="60"/>
  <c r="H58" i="60"/>
  <c r="AT58" i="60"/>
  <c r="T58" i="60"/>
  <c r="AF58" i="60"/>
  <c r="AV58" i="60"/>
  <c r="AE58" i="60"/>
  <c r="W58" i="60"/>
  <c r="K58" i="60"/>
  <c r="AO58" i="60"/>
  <c r="R58" i="60"/>
  <c r="E58" i="60"/>
  <c r="M58" i="60"/>
  <c r="Q58" i="60"/>
  <c r="O58" i="60"/>
  <c r="U58" i="60"/>
  <c r="D58" i="60"/>
  <c r="N58" i="60"/>
  <c r="AQ58" i="60"/>
  <c r="I58" i="60"/>
  <c r="AR59" i="60"/>
  <c r="AV59" i="60"/>
  <c r="J59" i="60"/>
  <c r="P59" i="60"/>
  <c r="S59" i="60"/>
  <c r="AE59" i="60"/>
  <c r="U59" i="60"/>
  <c r="D59" i="60"/>
  <c r="M59" i="60"/>
  <c r="N59" i="60"/>
  <c r="X59" i="60"/>
  <c r="AF59" i="60"/>
  <c r="AP59" i="60"/>
  <c r="L59" i="60"/>
  <c r="R59" i="60"/>
  <c r="AO59" i="60"/>
  <c r="O59" i="60"/>
  <c r="AQ59" i="60"/>
  <c r="T59" i="60"/>
  <c r="K59" i="60"/>
  <c r="Q59" i="60"/>
  <c r="V59" i="60"/>
  <c r="AD59" i="60"/>
  <c r="AU59" i="60"/>
  <c r="H59" i="60"/>
  <c r="W59" i="60"/>
  <c r="I59" i="60"/>
  <c r="G59" i="60"/>
  <c r="AT59" i="60"/>
  <c r="E59" i="60"/>
  <c r="H865" i="43" l="1"/>
  <c r="G866" i="43"/>
  <c r="F867" i="43"/>
  <c r="F60" i="60"/>
  <c r="F61" i="60"/>
  <c r="J70" i="57"/>
  <c r="AB70" i="57"/>
  <c r="X70" i="57"/>
  <c r="AG70" i="57"/>
  <c r="M70" i="57"/>
  <c r="AE70" i="57"/>
  <c r="R70" i="57"/>
  <c r="T70" i="57"/>
  <c r="N70" i="57"/>
  <c r="W70" i="57"/>
  <c r="U70" i="57"/>
  <c r="Y70" i="57"/>
  <c r="AH70" i="57"/>
  <c r="O70" i="57"/>
  <c r="AD70" i="57"/>
  <c r="Q70" i="57"/>
  <c r="S70" i="57"/>
  <c r="P70" i="57"/>
  <c r="L70" i="57"/>
  <c r="Z70" i="57"/>
  <c r="AF70" i="57"/>
  <c r="AC70" i="57"/>
  <c r="V70" i="57"/>
  <c r="AA70" i="57"/>
  <c r="K70" i="57"/>
  <c r="C70" i="57"/>
  <c r="AA60" i="60" l="1"/>
  <c r="Z60" i="60"/>
  <c r="AC60" i="60"/>
  <c r="Y60" i="60"/>
  <c r="AB60" i="60"/>
  <c r="Z61" i="60"/>
  <c r="AC61" i="60"/>
  <c r="Y61" i="60"/>
  <c r="AB61" i="60"/>
  <c r="AA61" i="60"/>
  <c r="AK60" i="60"/>
  <c r="AG60" i="60"/>
  <c r="AL60" i="60"/>
  <c r="AN60" i="60"/>
  <c r="AH60" i="60"/>
  <c r="AJ60" i="60"/>
  <c r="AM60" i="60"/>
  <c r="AI60" i="60"/>
  <c r="AK61" i="60"/>
  <c r="AG61" i="60"/>
  <c r="AN61" i="60"/>
  <c r="AI61" i="60"/>
  <c r="AM61" i="60"/>
  <c r="AJ61" i="60"/>
  <c r="AL61" i="60"/>
  <c r="AH61" i="60"/>
  <c r="M68" i="57"/>
  <c r="F868" i="43"/>
  <c r="G867" i="43"/>
  <c r="H866" i="43"/>
  <c r="U61" i="60"/>
  <c r="O61" i="60"/>
  <c r="N61" i="60"/>
  <c r="AV61" i="60"/>
  <c r="R61" i="60"/>
  <c r="I61" i="60"/>
  <c r="X61" i="60"/>
  <c r="M61" i="60"/>
  <c r="W61" i="60"/>
  <c r="AQ61" i="60"/>
  <c r="AT61" i="60"/>
  <c r="Q61" i="60"/>
  <c r="S61" i="60"/>
  <c r="V61" i="60"/>
  <c r="AR61" i="60"/>
  <c r="AU61" i="60"/>
  <c r="H61" i="60"/>
  <c r="L61" i="60"/>
  <c r="D61" i="60"/>
  <c r="E61" i="60"/>
  <c r="AF61" i="60"/>
  <c r="P61" i="60"/>
  <c r="AP61" i="60"/>
  <c r="AD61" i="60"/>
  <c r="T61" i="60"/>
  <c r="J61" i="60"/>
  <c r="AE61" i="60"/>
  <c r="K61" i="60"/>
  <c r="G61" i="60"/>
  <c r="AO61" i="60"/>
  <c r="F62" i="60"/>
  <c r="R60" i="60"/>
  <c r="E60" i="60"/>
  <c r="AF60" i="60"/>
  <c r="U60" i="60"/>
  <c r="I60" i="60"/>
  <c r="X60" i="60"/>
  <c r="AU60" i="60"/>
  <c r="AO60" i="60"/>
  <c r="T60" i="60"/>
  <c r="P60" i="60"/>
  <c r="O60" i="60"/>
  <c r="AR60" i="60"/>
  <c r="N60" i="60"/>
  <c r="AE60" i="60"/>
  <c r="G60" i="60"/>
  <c r="L60" i="60"/>
  <c r="D60" i="60"/>
  <c r="H60" i="60"/>
  <c r="AV60" i="60"/>
  <c r="S60" i="60"/>
  <c r="AD60" i="60"/>
  <c r="M60" i="60"/>
  <c r="Q60" i="60"/>
  <c r="J60" i="60"/>
  <c r="AQ60" i="60"/>
  <c r="AT60" i="60"/>
  <c r="V60" i="60"/>
  <c r="AP60" i="60"/>
  <c r="W60" i="60"/>
  <c r="K60" i="60"/>
  <c r="Y68" i="38"/>
  <c r="Y67" i="38"/>
  <c r="AC62" i="60" l="1"/>
  <c r="Y62" i="60"/>
  <c r="AB62" i="60"/>
  <c r="AA62" i="60"/>
  <c r="Z62" i="60"/>
  <c r="AK62" i="60"/>
  <c r="AG62" i="60"/>
  <c r="AL62" i="60"/>
  <c r="AM62" i="60"/>
  <c r="AI62" i="60"/>
  <c r="AJ62" i="60"/>
  <c r="AN62" i="60"/>
  <c r="AH62" i="60"/>
  <c r="H867" i="43"/>
  <c r="F869" i="43"/>
  <c r="G868" i="43"/>
  <c r="AD62" i="60"/>
  <c r="AP62" i="60"/>
  <c r="O62" i="60"/>
  <c r="D62" i="60"/>
  <c r="U62" i="60"/>
  <c r="S62" i="60"/>
  <c r="E62" i="60"/>
  <c r="T62" i="60"/>
  <c r="R62" i="60"/>
  <c r="AV62" i="60"/>
  <c r="P62" i="60"/>
  <c r="V62" i="60"/>
  <c r="AE62" i="60"/>
  <c r="L62" i="60"/>
  <c r="H17" i="62" s="1"/>
  <c r="I17" i="62" s="1"/>
  <c r="J17" i="62" s="1"/>
  <c r="N62" i="60"/>
  <c r="M62" i="60"/>
  <c r="K62" i="60"/>
  <c r="H62" i="60"/>
  <c r="I62" i="60"/>
  <c r="G62" i="60"/>
  <c r="Q62" i="60"/>
  <c r="J62" i="60"/>
  <c r="AF62" i="60"/>
  <c r="X62" i="60"/>
  <c r="AT62" i="60"/>
  <c r="AU62" i="60"/>
  <c r="AQ62" i="60"/>
  <c r="AR62" i="60"/>
  <c r="AO62" i="60"/>
  <c r="W62" i="60"/>
  <c r="H868" i="43" l="1"/>
  <c r="F870" i="43"/>
  <c r="G869" i="43"/>
  <c r="H18" i="62"/>
  <c r="I18" i="62" s="1"/>
  <c r="J18" i="62" s="1"/>
  <c r="H15" i="62"/>
  <c r="H19" i="62"/>
  <c r="I19" i="62" s="1"/>
  <c r="J19" i="62" s="1"/>
  <c r="H16" i="62"/>
  <c r="I16" i="62" s="1"/>
  <c r="J16" i="62" s="1"/>
  <c r="H869" i="43" l="1"/>
  <c r="F871" i="43"/>
  <c r="G870" i="43"/>
  <c r="I15" i="62"/>
  <c r="J15" i="62" s="1"/>
  <c r="H870" i="43" l="1"/>
  <c r="G871" i="43"/>
  <c r="F872" i="43"/>
  <c r="H871" i="43" l="1"/>
  <c r="F873" i="43"/>
  <c r="G872" i="43"/>
  <c r="H872" i="43" l="1"/>
  <c r="F874" i="43"/>
  <c r="G873" i="43"/>
  <c r="H873" i="43" l="1"/>
  <c r="G874" i="43"/>
  <c r="F875" i="43"/>
  <c r="F876" i="43" l="1"/>
  <c r="G875" i="43"/>
  <c r="H874" i="43"/>
  <c r="H875" i="43" l="1"/>
  <c r="F877" i="43"/>
  <c r="G876" i="43"/>
  <c r="H876" i="43" l="1"/>
  <c r="F878" i="43"/>
  <c r="G877" i="43"/>
  <c r="H877" i="43" l="1"/>
  <c r="F879" i="43"/>
  <c r="G878" i="43"/>
  <c r="F880" i="43" l="1"/>
  <c r="G879" i="43"/>
  <c r="H878" i="43"/>
  <c r="H879" i="43" l="1"/>
  <c r="F881" i="43"/>
  <c r="G880" i="43"/>
  <c r="F882" i="43" l="1"/>
  <c r="G881" i="43"/>
  <c r="H880" i="43"/>
  <c r="H881" i="43" l="1"/>
  <c r="F883" i="43"/>
  <c r="G882" i="43"/>
  <c r="H882" i="43" l="1"/>
  <c r="F884" i="43"/>
  <c r="G883" i="43"/>
  <c r="H883" i="43" l="1"/>
  <c r="F885" i="43"/>
  <c r="G884" i="43"/>
  <c r="H884" i="43" l="1"/>
  <c r="G885" i="43"/>
  <c r="F886" i="43"/>
  <c r="G886" i="43" l="1"/>
  <c r="F887" i="43"/>
  <c r="H885" i="43"/>
  <c r="F888" i="43" l="1"/>
  <c r="G887" i="43"/>
  <c r="H886" i="43"/>
  <c r="H887" i="43" l="1"/>
  <c r="F889" i="43"/>
  <c r="G888" i="43"/>
  <c r="F890" i="43" l="1"/>
  <c r="G889" i="43"/>
  <c r="H888" i="43"/>
  <c r="H889" i="43" l="1"/>
  <c r="F891" i="43"/>
  <c r="G890" i="43"/>
  <c r="H890" i="43" l="1"/>
  <c r="F892" i="43"/>
  <c r="G891" i="43"/>
  <c r="F893" i="43" l="1"/>
  <c r="G892" i="43"/>
  <c r="H891" i="43"/>
  <c r="F894" i="43" l="1"/>
  <c r="G893" i="43"/>
  <c r="H892" i="43"/>
  <c r="F895" i="43" l="1"/>
  <c r="G894" i="43"/>
  <c r="H893" i="43"/>
  <c r="H894" i="43" l="1"/>
  <c r="G895" i="43"/>
  <c r="F896" i="43"/>
  <c r="F897" i="43" l="1"/>
  <c r="G896" i="43"/>
  <c r="H895" i="43"/>
  <c r="H896" i="43" l="1"/>
  <c r="G897" i="43"/>
  <c r="F898" i="43"/>
  <c r="G898" i="43" l="1"/>
  <c r="F899" i="43"/>
  <c r="H897" i="43"/>
  <c r="F900" i="43" l="1"/>
  <c r="G899" i="43"/>
  <c r="H898" i="43"/>
  <c r="H899" i="43" l="1"/>
  <c r="F901" i="43"/>
  <c r="G900" i="43"/>
  <c r="H900" i="43" l="1"/>
  <c r="G901" i="43"/>
  <c r="F902" i="43"/>
  <c r="H901" i="43" l="1"/>
  <c r="F903" i="43"/>
  <c r="G902" i="43"/>
  <c r="F904" i="43" l="1"/>
  <c r="G903" i="43"/>
  <c r="H902" i="43"/>
  <c r="H903" i="43" l="1"/>
  <c r="F905" i="43"/>
  <c r="G904" i="43"/>
  <c r="H904" i="43" l="1"/>
  <c r="F906" i="43"/>
  <c r="G905" i="43"/>
  <c r="H905" i="43" l="1"/>
  <c r="G906" i="43"/>
  <c r="F907" i="43"/>
  <c r="G907" i="43" l="1"/>
  <c r="F908" i="43"/>
  <c r="H906" i="43"/>
  <c r="F909" i="43" l="1"/>
  <c r="G908" i="43"/>
  <c r="H907" i="43"/>
  <c r="H908" i="43" l="1"/>
  <c r="F910" i="43"/>
  <c r="G909" i="43"/>
  <c r="H909" i="43" l="1"/>
  <c r="F911" i="43"/>
  <c r="G910" i="43"/>
  <c r="H910" i="43" l="1"/>
  <c r="G911" i="43"/>
  <c r="F912" i="43"/>
  <c r="H911" i="43" l="1"/>
  <c r="F913" i="43"/>
  <c r="G912" i="43"/>
  <c r="H912" i="43" l="1"/>
  <c r="G913" i="43"/>
  <c r="F914" i="43"/>
  <c r="F915" i="43" l="1"/>
  <c r="G914" i="43"/>
  <c r="H913" i="43"/>
  <c r="H914" i="43" l="1"/>
  <c r="F916" i="43"/>
  <c r="G915" i="43"/>
  <c r="H915" i="43" l="1"/>
  <c r="F917" i="43"/>
  <c r="G916" i="43"/>
  <c r="H916" i="43" l="1"/>
  <c r="G917" i="43"/>
  <c r="F918" i="43"/>
  <c r="H917" i="43" l="1"/>
  <c r="G918" i="43"/>
  <c r="F919" i="43"/>
  <c r="F920" i="43" l="1"/>
  <c r="G919" i="43"/>
  <c r="H918" i="43"/>
  <c r="H919" i="43" l="1"/>
  <c r="F921" i="43"/>
  <c r="G920" i="43"/>
  <c r="H920" i="43" l="1"/>
  <c r="F922" i="43"/>
  <c r="G921" i="43"/>
  <c r="H921" i="43" l="1"/>
  <c r="F923" i="43"/>
  <c r="G922" i="43"/>
  <c r="H922" i="43" l="1"/>
  <c r="G923" i="43"/>
  <c r="F924" i="43"/>
  <c r="H923" i="43" l="1"/>
  <c r="F925" i="43"/>
  <c r="G924" i="43"/>
  <c r="H924" i="43" l="1"/>
  <c r="F926" i="43"/>
  <c r="G925" i="43"/>
  <c r="H925" i="43" l="1"/>
  <c r="F927" i="43"/>
  <c r="G926" i="43"/>
  <c r="H926" i="43" l="1"/>
  <c r="G927" i="43"/>
  <c r="F928" i="43"/>
  <c r="F929" i="43" l="1"/>
  <c r="G928" i="43"/>
  <c r="H927" i="43"/>
  <c r="H928" i="43" l="1"/>
  <c r="F930" i="43"/>
  <c r="G929" i="43"/>
  <c r="H929" i="43" l="1"/>
  <c r="F931" i="43"/>
  <c r="G930" i="43"/>
  <c r="F932" i="43" l="1"/>
  <c r="G931" i="43"/>
  <c r="H930" i="43"/>
  <c r="H931" i="43" l="1"/>
  <c r="F933" i="43"/>
  <c r="G932" i="43"/>
  <c r="H932" i="43" l="1"/>
  <c r="F934" i="43"/>
  <c r="G933" i="43"/>
  <c r="F935" i="43" l="1"/>
  <c r="G934" i="43"/>
  <c r="H933" i="43"/>
  <c r="H934" i="43" l="1"/>
  <c r="G935" i="43"/>
  <c r="F936" i="43"/>
  <c r="H935" i="43" l="1"/>
  <c r="F937" i="43"/>
  <c r="G936" i="43"/>
  <c r="H936" i="43" l="1"/>
  <c r="F938" i="43"/>
  <c r="G937" i="43"/>
  <c r="H937" i="43" l="1"/>
  <c r="G938" i="43"/>
  <c r="F939" i="43"/>
  <c r="G939" i="43" l="1"/>
  <c r="F940" i="43"/>
  <c r="H938" i="43"/>
  <c r="F941" i="43" l="1"/>
  <c r="G940" i="43"/>
  <c r="H939" i="43"/>
  <c r="H940" i="43" l="1"/>
  <c r="F942" i="43"/>
  <c r="G941" i="43"/>
  <c r="F943" i="43" l="1"/>
  <c r="G942" i="43"/>
  <c r="H941" i="43"/>
  <c r="H942" i="43" l="1"/>
  <c r="G943" i="43"/>
  <c r="F944" i="43"/>
  <c r="F945" i="43" l="1"/>
  <c r="G944" i="43"/>
  <c r="H943" i="43"/>
  <c r="H944" i="43" l="1"/>
  <c r="F946" i="43"/>
  <c r="G945" i="43"/>
  <c r="H945" i="43" l="1"/>
  <c r="F947" i="43"/>
  <c r="G946" i="43"/>
  <c r="H946" i="43" l="1"/>
  <c r="F948" i="43"/>
  <c r="G947" i="43"/>
  <c r="H947" i="43" l="1"/>
  <c r="F949" i="43"/>
  <c r="G948" i="43"/>
  <c r="H948" i="43" l="1"/>
  <c r="G949" i="43"/>
  <c r="F950" i="43"/>
  <c r="G950" i="43" l="1"/>
  <c r="F951" i="43"/>
  <c r="H949" i="43"/>
  <c r="F952" i="43" l="1"/>
  <c r="G951" i="43"/>
  <c r="H950" i="43"/>
  <c r="H951" i="43" l="1"/>
  <c r="F953" i="43"/>
  <c r="G952" i="43"/>
  <c r="H952" i="43" l="1"/>
  <c r="F954" i="43"/>
  <c r="G953" i="43"/>
  <c r="H953" i="43" l="1"/>
  <c r="F955" i="43"/>
  <c r="G954" i="43"/>
  <c r="H954" i="43" l="1"/>
  <c r="F956" i="43"/>
  <c r="G955" i="43"/>
  <c r="H955" i="43" l="1"/>
  <c r="F957" i="43"/>
  <c r="G956" i="43"/>
  <c r="H956" i="43" l="1"/>
  <c r="F958" i="43"/>
  <c r="G957" i="43"/>
  <c r="H957" i="43" l="1"/>
  <c r="F959" i="43"/>
  <c r="G958" i="43"/>
  <c r="G959" i="43" l="1"/>
  <c r="F960" i="43"/>
  <c r="H958" i="43"/>
  <c r="F961" i="43" l="1"/>
  <c r="G960" i="43"/>
  <c r="H959" i="43"/>
  <c r="G961" i="43" l="1"/>
  <c r="F962" i="43"/>
  <c r="H960" i="43"/>
  <c r="H961" i="43" l="1"/>
  <c r="F963" i="43"/>
  <c r="G962" i="43"/>
  <c r="H962" i="43" l="1"/>
  <c r="F964" i="43"/>
  <c r="G963" i="43"/>
  <c r="H963" i="43" l="1"/>
  <c r="F965" i="43"/>
  <c r="G964" i="43"/>
  <c r="H964" i="43" l="1"/>
  <c r="F966" i="43"/>
  <c r="G965" i="43"/>
  <c r="F967" i="43" l="1"/>
  <c r="G966" i="43"/>
  <c r="H965" i="43"/>
  <c r="F968" i="43" l="1"/>
  <c r="G967" i="43"/>
  <c r="H966" i="43"/>
  <c r="F969" i="43" l="1"/>
  <c r="G968" i="43"/>
  <c r="H967" i="43"/>
  <c r="F970" i="43" l="1"/>
  <c r="G969" i="43"/>
  <c r="H968" i="43"/>
  <c r="G970" i="43" l="1"/>
  <c r="F971" i="43"/>
  <c r="H969" i="43"/>
  <c r="F972" i="43" l="1"/>
  <c r="G971" i="43"/>
  <c r="H970" i="43"/>
  <c r="F973" i="43" l="1"/>
  <c r="G972" i="43"/>
  <c r="H971" i="43"/>
  <c r="H972" i="43" l="1"/>
  <c r="F974" i="43"/>
  <c r="G973" i="43"/>
  <c r="F975" i="43" l="1"/>
  <c r="G974" i="43"/>
  <c r="H973" i="43"/>
  <c r="H974" i="43" l="1"/>
  <c r="F976" i="43"/>
  <c r="G975" i="43"/>
  <c r="F977" i="43" l="1"/>
  <c r="G976" i="43"/>
  <c r="H975" i="43"/>
  <c r="H976" i="43" l="1"/>
  <c r="F978" i="43"/>
  <c r="G977" i="43"/>
  <c r="H977" i="43" l="1"/>
  <c r="F979" i="43"/>
  <c r="G978" i="43"/>
  <c r="H978" i="43" l="1"/>
  <c r="F980" i="43"/>
  <c r="G979" i="43"/>
  <c r="H979" i="43" l="1"/>
  <c r="F981" i="43"/>
  <c r="G980" i="43"/>
  <c r="H980" i="43" l="1"/>
  <c r="G981" i="43"/>
  <c r="F982" i="43"/>
  <c r="G982" i="43" l="1"/>
  <c r="F983" i="43"/>
  <c r="H981" i="43"/>
  <c r="F984" i="43" l="1"/>
  <c r="G983" i="43"/>
  <c r="H982" i="43"/>
  <c r="H983" i="43" l="1"/>
  <c r="F985" i="43"/>
  <c r="G984" i="43"/>
  <c r="G985" i="43" l="1"/>
  <c r="F986" i="43"/>
  <c r="H984" i="43"/>
  <c r="G986" i="43" l="1"/>
  <c r="F987" i="43"/>
  <c r="H985" i="43"/>
  <c r="F988" i="43" l="1"/>
  <c r="G987" i="43"/>
  <c r="H986" i="43"/>
  <c r="H987" i="43" l="1"/>
  <c r="F989" i="43"/>
  <c r="G988" i="43"/>
  <c r="G989" i="43" l="1"/>
  <c r="F990" i="43"/>
  <c r="H988" i="43"/>
  <c r="G990" i="43" l="1"/>
  <c r="F991" i="43"/>
  <c r="H989" i="43"/>
  <c r="H990" i="43" l="1"/>
  <c r="G991" i="43"/>
  <c r="F992" i="43"/>
  <c r="F993" i="43" l="1"/>
  <c r="G992" i="43"/>
  <c r="H991" i="43"/>
  <c r="H992" i="43" l="1"/>
  <c r="G993" i="43"/>
  <c r="F994" i="43"/>
  <c r="F995" i="43" l="1"/>
  <c r="G994" i="43"/>
  <c r="H993" i="43"/>
  <c r="H994" i="43" l="1"/>
  <c r="G995" i="43"/>
  <c r="F996" i="43"/>
  <c r="F997" i="43" l="1"/>
  <c r="G996" i="43"/>
  <c r="H995" i="43"/>
  <c r="H996" i="43" l="1"/>
  <c r="G997" i="43"/>
  <c r="F998" i="43"/>
  <c r="G998" i="43" l="1"/>
  <c r="F999" i="43"/>
  <c r="H997" i="43"/>
  <c r="G999" i="43" l="1"/>
  <c r="F1000" i="43"/>
  <c r="H998" i="43"/>
  <c r="H999" i="43" l="1"/>
  <c r="F1001" i="43"/>
  <c r="G1000" i="43"/>
  <c r="F1002" i="43" l="1"/>
  <c r="G1001" i="43"/>
  <c r="H1000" i="43"/>
  <c r="H1001" i="43" l="1"/>
  <c r="G1002" i="43"/>
  <c r="F1003" i="43"/>
  <c r="G1003" i="43" l="1"/>
  <c r="F1004" i="43"/>
  <c r="H1002" i="43"/>
  <c r="F1005" i="43" l="1"/>
  <c r="G1004" i="43"/>
  <c r="H1003" i="43"/>
  <c r="F1006" i="43" l="1"/>
  <c r="G1005" i="43"/>
  <c r="H1004" i="43"/>
  <c r="H1005" i="43" l="1"/>
  <c r="F1007" i="43"/>
  <c r="G1006" i="43"/>
  <c r="H1006" i="43" l="1"/>
  <c r="F1008" i="43"/>
  <c r="G1007" i="43"/>
  <c r="H1007" i="43" l="1"/>
  <c r="F1009" i="43"/>
  <c r="G1008" i="43"/>
  <c r="H1008" i="43" l="1"/>
  <c r="G1009" i="43"/>
  <c r="F1010" i="43"/>
  <c r="F1011" i="43" l="1"/>
  <c r="G1010" i="43"/>
  <c r="H1009" i="43"/>
  <c r="H1010" i="43" l="1"/>
  <c r="F1012" i="43"/>
  <c r="G1011" i="43"/>
  <c r="F1013" i="43" l="1"/>
  <c r="G1012" i="43"/>
  <c r="H1011" i="43"/>
  <c r="H1012" i="43" l="1"/>
  <c r="G1013" i="43"/>
  <c r="F1014" i="43"/>
  <c r="F1015" i="43" l="1"/>
  <c r="G1014" i="43"/>
  <c r="H1013" i="43"/>
  <c r="H1014" i="43" l="1"/>
  <c r="F1016" i="43"/>
  <c r="G1015" i="43"/>
  <c r="H1015" i="43" l="1"/>
  <c r="F1017" i="43"/>
  <c r="G1016" i="43"/>
  <c r="H1016" i="43" l="1"/>
  <c r="F1018" i="43"/>
  <c r="G1017" i="43"/>
  <c r="H1017" i="43" l="1"/>
  <c r="F1019" i="43"/>
  <c r="G1018" i="43"/>
  <c r="H1018" i="43" l="1"/>
  <c r="F1020" i="43"/>
  <c r="G1019" i="43"/>
  <c r="H1019" i="43" l="1"/>
  <c r="F1021" i="43"/>
  <c r="G1020" i="43"/>
  <c r="H1020" i="43" l="1"/>
  <c r="G1021" i="43"/>
  <c r="F1022" i="43"/>
  <c r="F1023" i="43" l="1"/>
  <c r="G1022" i="43"/>
  <c r="H1021" i="43"/>
  <c r="H1022" i="43" l="1"/>
  <c r="G1023" i="43"/>
  <c r="F1024" i="43"/>
  <c r="F1025" i="43" l="1"/>
  <c r="G1024" i="43"/>
  <c r="H1023" i="43"/>
  <c r="H1024" i="43" l="1"/>
  <c r="F1026" i="43"/>
  <c r="G1025" i="43"/>
  <c r="G1026" i="43" l="1"/>
  <c r="F1027" i="43"/>
  <c r="H1025" i="43"/>
  <c r="F1028" i="43" l="1"/>
  <c r="G1027" i="43"/>
  <c r="H1026" i="43"/>
  <c r="H1027" i="43" l="1"/>
  <c r="F1029" i="43"/>
  <c r="G1028" i="43"/>
  <c r="G1029" i="43" l="1"/>
  <c r="F1030" i="43"/>
  <c r="H1028" i="43"/>
  <c r="F1031" i="43" l="1"/>
  <c r="G1030" i="43"/>
  <c r="H1029" i="43"/>
  <c r="F1032" i="43" l="1"/>
  <c r="G1031" i="43"/>
  <c r="H1030" i="43"/>
  <c r="F1033" i="43" l="1"/>
  <c r="G1032" i="43"/>
  <c r="H1031" i="43"/>
  <c r="H1032" i="43" l="1"/>
  <c r="F1034" i="43"/>
  <c r="G1033" i="43"/>
  <c r="G1034" i="43" l="1"/>
  <c r="F1035" i="43"/>
  <c r="H1033" i="43"/>
  <c r="G1035" i="43" l="1"/>
  <c r="F1036" i="43"/>
  <c r="H1034" i="43"/>
  <c r="F1037" i="43" l="1"/>
  <c r="G1036" i="43"/>
  <c r="H1035" i="43"/>
  <c r="H1036" i="43" l="1"/>
  <c r="F1038" i="43"/>
  <c r="G1037" i="43"/>
  <c r="H1037" i="43" l="1"/>
  <c r="F1039" i="43"/>
  <c r="G1038" i="43"/>
  <c r="G1039" i="43" l="1"/>
  <c r="F1040" i="43"/>
  <c r="H1038" i="43"/>
  <c r="F1041" i="43" l="1"/>
  <c r="G1040" i="43"/>
  <c r="H1039" i="43"/>
  <c r="H1040" i="43" l="1"/>
  <c r="F1042" i="43"/>
  <c r="G1041" i="43"/>
  <c r="G1042" i="43" l="1"/>
  <c r="F1043" i="43"/>
  <c r="H1041" i="43"/>
  <c r="F1044" i="43" l="1"/>
  <c r="G1043" i="43"/>
  <c r="H1042" i="43"/>
  <c r="H1043" i="43" l="1"/>
  <c r="F1045" i="43"/>
  <c r="G1044" i="43"/>
  <c r="G1045" i="43" l="1"/>
  <c r="H1044" i="43"/>
  <c r="M796" i="43"/>
  <c r="H1045" i="43" l="1"/>
  <c r="I1045" i="43" s="1"/>
  <c r="I1043" i="43" l="1"/>
  <c r="I1042" i="43"/>
  <c r="I800" i="43"/>
  <c r="I819" i="43"/>
  <c r="I826" i="43"/>
  <c r="I812" i="43"/>
  <c r="I810" i="43"/>
  <c r="I805" i="43"/>
  <c r="I831" i="43"/>
  <c r="I850" i="43"/>
  <c r="I818" i="43"/>
  <c r="I829" i="43"/>
  <c r="I845" i="43"/>
  <c r="I817" i="43"/>
  <c r="I823" i="43"/>
  <c r="I811" i="43"/>
  <c r="I839" i="43"/>
  <c r="I844" i="43"/>
  <c r="I804" i="43"/>
  <c r="I816" i="43"/>
  <c r="I820" i="43"/>
  <c r="I840" i="43"/>
  <c r="I809" i="43"/>
  <c r="I814" i="43"/>
  <c r="I799" i="43"/>
  <c r="I825" i="43"/>
  <c r="I834" i="43"/>
  <c r="I848" i="43"/>
  <c r="I846" i="43"/>
  <c r="I796" i="43"/>
  <c r="I806" i="43"/>
  <c r="I807" i="43"/>
  <c r="I802" i="43"/>
  <c r="I803" i="43"/>
  <c r="I835" i="43"/>
  <c r="I822" i="43"/>
  <c r="I830" i="43"/>
  <c r="I849" i="43"/>
  <c r="I832" i="43"/>
  <c r="I843" i="43"/>
  <c r="I837" i="43"/>
  <c r="I808" i="43"/>
  <c r="I824" i="43"/>
  <c r="I813" i="43"/>
  <c r="I815" i="43"/>
  <c r="I833" i="43"/>
  <c r="I838" i="43"/>
  <c r="I821" i="43"/>
  <c r="I797" i="43"/>
  <c r="I798" i="43"/>
  <c r="I827" i="43"/>
  <c r="I851" i="43"/>
  <c r="I828" i="43"/>
  <c r="I836" i="43"/>
  <c r="I841" i="43"/>
  <c r="I847" i="43"/>
  <c r="I852" i="43"/>
  <c r="I801" i="43"/>
  <c r="I842" i="43"/>
  <c r="I853" i="43"/>
  <c r="I856" i="43"/>
  <c r="I855" i="43"/>
  <c r="I854" i="43"/>
  <c r="I857" i="43"/>
  <c r="I858" i="43"/>
  <c r="I862" i="43"/>
  <c r="I859" i="43"/>
  <c r="I863" i="43"/>
  <c r="I860" i="43"/>
  <c r="I861" i="43"/>
  <c r="I864" i="43"/>
  <c r="I866" i="43"/>
  <c r="I865" i="43"/>
  <c r="I869" i="43"/>
  <c r="I867" i="43"/>
  <c r="I868" i="43"/>
  <c r="I870" i="43"/>
  <c r="I871" i="43"/>
  <c r="I872" i="43"/>
  <c r="I874" i="43"/>
  <c r="I875" i="43"/>
  <c r="I873" i="43"/>
  <c r="I876" i="43"/>
  <c r="I878" i="43"/>
  <c r="I877" i="43"/>
  <c r="I879" i="43"/>
  <c r="I881" i="43"/>
  <c r="I880" i="43"/>
  <c r="I882" i="43"/>
  <c r="I884" i="43"/>
  <c r="I883" i="43"/>
  <c r="I886" i="43"/>
  <c r="I885" i="43"/>
  <c r="I888" i="43"/>
  <c r="I889" i="43"/>
  <c r="I891" i="43"/>
  <c r="I887" i="43"/>
  <c r="I892" i="43"/>
  <c r="I890" i="43"/>
  <c r="I895" i="43"/>
  <c r="I893" i="43"/>
  <c r="I894" i="43"/>
  <c r="I896" i="43"/>
  <c r="I897" i="43"/>
  <c r="I899" i="43"/>
  <c r="I901" i="43"/>
  <c r="I898" i="43"/>
  <c r="I902" i="43"/>
  <c r="I900" i="43"/>
  <c r="I903" i="43"/>
  <c r="I904" i="43"/>
  <c r="I905" i="43"/>
  <c r="I906" i="43"/>
  <c r="I908" i="43"/>
  <c r="I907" i="43"/>
  <c r="I909" i="43"/>
  <c r="I914" i="43"/>
  <c r="I913" i="43"/>
  <c r="I910" i="43"/>
  <c r="I911" i="43"/>
  <c r="I912" i="43"/>
  <c r="I915" i="43"/>
  <c r="I916" i="43"/>
  <c r="I917" i="43"/>
  <c r="I918" i="43"/>
  <c r="I919" i="43"/>
  <c r="I920" i="43"/>
  <c r="I921" i="43"/>
  <c r="I922" i="43"/>
  <c r="I924" i="43"/>
  <c r="I923" i="43"/>
  <c r="I926" i="43"/>
  <c r="I925" i="43"/>
  <c r="I927" i="43"/>
  <c r="I928" i="43"/>
  <c r="I930" i="43"/>
  <c r="I929" i="43"/>
  <c r="I931" i="43"/>
  <c r="I933" i="43"/>
  <c r="I932" i="43"/>
  <c r="I934" i="43"/>
  <c r="I939" i="43"/>
  <c r="I935" i="43"/>
  <c r="I937" i="43"/>
  <c r="I936" i="43"/>
  <c r="I938" i="43"/>
  <c r="I941" i="43"/>
  <c r="I940" i="43"/>
  <c r="I942" i="43"/>
  <c r="I943" i="43"/>
  <c r="I944" i="43"/>
  <c r="I945" i="43"/>
  <c r="I946" i="43"/>
  <c r="I948" i="43"/>
  <c r="I947" i="43"/>
  <c r="I950" i="43"/>
  <c r="I949" i="43"/>
  <c r="I951" i="43"/>
  <c r="I954" i="43"/>
  <c r="I953" i="43"/>
  <c r="I952" i="43"/>
  <c r="I955" i="43"/>
  <c r="I956" i="43"/>
  <c r="I957" i="43"/>
  <c r="I958" i="43"/>
  <c r="I959" i="43"/>
  <c r="I960" i="43"/>
  <c r="I962" i="43"/>
  <c r="I961" i="43"/>
  <c r="I963" i="43"/>
  <c r="I965" i="43"/>
  <c r="I964" i="43"/>
  <c r="I967" i="43"/>
  <c r="I968" i="43"/>
  <c r="I966" i="43"/>
  <c r="I970" i="43"/>
  <c r="I969" i="43"/>
  <c r="I971" i="43"/>
  <c r="I972" i="43"/>
  <c r="I974" i="43"/>
  <c r="I973" i="43"/>
  <c r="I975" i="43"/>
  <c r="I976" i="43"/>
  <c r="I977" i="43"/>
  <c r="I979" i="43"/>
  <c r="I978" i="43"/>
  <c r="I981" i="43"/>
  <c r="I980" i="43"/>
  <c r="I983" i="43"/>
  <c r="I985" i="43"/>
  <c r="I982" i="43"/>
  <c r="I984" i="43"/>
  <c r="I986" i="43"/>
  <c r="I988" i="43"/>
  <c r="I987" i="43"/>
  <c r="I990" i="43"/>
  <c r="I989" i="43"/>
  <c r="I992" i="43"/>
  <c r="I991" i="43"/>
  <c r="I994" i="43"/>
  <c r="I998" i="43"/>
  <c r="I996" i="43"/>
  <c r="I995" i="43"/>
  <c r="I993" i="43"/>
  <c r="I997" i="43"/>
  <c r="I1000" i="43"/>
  <c r="I999" i="43"/>
  <c r="I1001" i="43"/>
  <c r="I1002" i="43"/>
  <c r="I1004" i="43"/>
  <c r="I1003" i="43"/>
  <c r="I1006" i="43"/>
  <c r="I1005" i="43"/>
  <c r="I1007" i="43"/>
  <c r="I1009" i="43"/>
  <c r="I1008" i="43"/>
  <c r="I1010" i="43"/>
  <c r="I1012" i="43"/>
  <c r="I1011" i="43"/>
  <c r="I1014" i="43"/>
  <c r="I1013" i="43"/>
  <c r="I1016" i="43"/>
  <c r="I1015" i="43"/>
  <c r="I1017" i="43"/>
  <c r="I1018" i="43"/>
  <c r="I1020" i="43"/>
  <c r="I1019" i="43"/>
  <c r="I1021" i="43"/>
  <c r="I1023" i="43"/>
  <c r="I1022" i="43"/>
  <c r="I1024" i="43"/>
  <c r="I1027" i="43"/>
  <c r="I1026" i="43"/>
  <c r="I1025" i="43"/>
  <c r="I1028" i="43"/>
  <c r="I1029" i="43"/>
  <c r="I1030" i="43"/>
  <c r="I1033" i="43"/>
  <c r="I1032" i="43"/>
  <c r="I1031" i="43"/>
  <c r="I1035" i="43"/>
  <c r="I1034" i="43"/>
  <c r="I1036" i="43"/>
  <c r="I1039" i="43"/>
  <c r="I1037" i="43"/>
  <c r="I1040" i="43"/>
  <c r="I1041" i="43"/>
  <c r="I1038" i="43"/>
  <c r="I1044" i="43"/>
  <c r="J90" i="66" l="1"/>
  <c r="J95" i="66" s="1"/>
  <c r="AL90" i="66"/>
  <c r="G95" i="66" l="1"/>
  <c r="J43" i="66" a="1"/>
  <c r="J43" i="66" s="1"/>
  <c r="H95" i="66"/>
  <c r="H43" i="66" l="1" a="1"/>
  <c r="H43" i="66" s="1"/>
  <c r="Q87" i="66"/>
  <c r="L69" i="50" s="1"/>
  <c r="Q86" i="66"/>
  <c r="L68" i="50" s="1"/>
  <c r="G43" i="66" a="1"/>
  <c r="G43" i="66" s="1"/>
  <c r="BC68" i="50" l="1"/>
  <c r="K68" i="50"/>
  <c r="AW68" i="50"/>
  <c r="AX68" i="50" s="1"/>
  <c r="AW69" i="50"/>
  <c r="AX69" i="50" s="1"/>
  <c r="K69" i="50"/>
  <c r="BC69" i="50"/>
  <c r="AV68" i="50" l="1"/>
  <c r="M68" i="50"/>
  <c r="AV69" i="50"/>
  <c r="M69" i="50"/>
  <c r="BH72" i="50" l="1"/>
  <c r="BG72" i="50" s="1"/>
  <c r="CJ60" i="50" s="1"/>
  <c r="AI13" i="60" s="1"/>
  <c r="J34" i="62" s="1"/>
  <c r="BH70" i="50"/>
  <c r="BG70" i="50" s="1"/>
  <c r="CH60" i="50" s="1"/>
  <c r="BH69" i="50"/>
  <c r="BG69" i="50" s="1"/>
  <c r="CG60" i="50" s="1"/>
  <c r="BH68" i="50"/>
  <c r="BG68" i="50" s="1"/>
  <c r="BH71" i="50"/>
  <c r="BG71" i="50" s="1"/>
  <c r="CI60" i="50" s="1"/>
  <c r="AH13" i="60" s="1"/>
  <c r="K32" i="62" s="1"/>
  <c r="BH73" i="50"/>
  <c r="BG73" i="50" s="1"/>
  <c r="CK60" i="50" s="1"/>
  <c r="AJ13" i="60" s="1"/>
  <c r="K34" i="62" s="1"/>
  <c r="BA69" i="50"/>
  <c r="BR60" i="50"/>
  <c r="BU60" i="50"/>
  <c r="BG75" i="50"/>
  <c r="BA68" i="50"/>
  <c r="BG77" i="50"/>
  <c r="BG81" i="50"/>
  <c r="CO60" i="50" s="1"/>
  <c r="AN13" i="60" s="1"/>
  <c r="AG13" i="60" l="1"/>
  <c r="J32" i="62" s="1"/>
  <c r="R63" i="50"/>
  <c r="AF13" i="60"/>
  <c r="K30" i="62" s="1"/>
  <c r="BH66" i="50"/>
  <c r="R66" i="50"/>
  <c r="CM60" i="50"/>
  <c r="AL13" i="60" s="1"/>
  <c r="CF60" i="50"/>
  <c r="N61" i="50"/>
  <c r="BG74" i="50"/>
  <c r="CN60" i="50"/>
  <c r="AM13" i="60" s="1"/>
  <c r="S84" i="66"/>
  <c r="S88" i="66"/>
  <c r="W90" i="66"/>
  <c r="T13" i="60"/>
  <c r="S86" i="66"/>
  <c r="Q13" i="60"/>
  <c r="S87" i="66"/>
  <c r="AE13" i="60" l="1"/>
  <c r="J30" i="62" s="1"/>
  <c r="K24" i="62"/>
  <c r="CP60" i="50"/>
  <c r="AR13" i="60" s="1"/>
  <c r="H25" i="62" s="1"/>
  <c r="BG66" i="50"/>
  <c r="CL60" i="50"/>
  <c r="AK13" i="60" s="1"/>
  <c r="I24" i="62" s="1"/>
  <c r="R65" i="50"/>
  <c r="CE60" i="50" l="1"/>
  <c r="N60" i="50"/>
  <c r="J24" i="62" l="1"/>
  <c r="S90" i="66"/>
  <c r="AD13" i="60"/>
  <c r="H24" i="62" s="1"/>
  <c r="J27" i="62" l="1"/>
  <c r="L24" i="6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Christian</author>
  </authors>
  <commentList>
    <comment ref="Y70" authorId="0" shapeId="0" xr:uid="{00000000-0006-0000-0400-000001000000}">
      <text>
        <r>
          <rPr>
            <b/>
            <sz val="9"/>
            <color indexed="81"/>
            <rFont val="Tahoma"/>
            <family val="2"/>
          </rPr>
          <t>Christian:</t>
        </r>
        <r>
          <rPr>
            <sz val="9"/>
            <color indexed="81"/>
            <rFont val="Tahoma"/>
            <family val="2"/>
          </rPr>
          <t xml:space="preserve">
NA if fossil</t>
        </r>
      </text>
    </comment>
    <comment ref="AS70" authorId="0" shapeId="0" xr:uid="{00000000-0006-0000-0400-000002000000}">
      <text>
        <r>
          <rPr>
            <b/>
            <sz val="9"/>
            <color indexed="81"/>
            <rFont val="Tahoma"/>
            <family val="2"/>
          </rPr>
          <t>Christian:</t>
        </r>
        <r>
          <rPr>
            <sz val="9"/>
            <color indexed="81"/>
            <rFont val="Tahoma"/>
            <family val="2"/>
          </rPr>
          <t xml:space="preserve">
Type I here related to MS specific</t>
        </r>
      </text>
    </comment>
    <comment ref="Y71" authorId="0" shapeId="0" xr:uid="{00000000-0006-0000-0400-000003000000}">
      <text>
        <r>
          <rPr>
            <b/>
            <sz val="9"/>
            <color indexed="81"/>
            <rFont val="Tahoma"/>
            <family val="2"/>
          </rPr>
          <t>Christian:</t>
        </r>
        <r>
          <rPr>
            <sz val="9"/>
            <color indexed="81"/>
            <rFont val="Tahoma"/>
            <family val="2"/>
          </rPr>
          <t xml:space="preserve">
NA if fossil</t>
        </r>
      </text>
    </comment>
    <comment ref="AS71" authorId="0" shapeId="0" xr:uid="{00000000-0006-0000-0400-000004000000}">
      <text>
        <r>
          <rPr>
            <b/>
            <sz val="9"/>
            <color indexed="81"/>
            <rFont val="Tahoma"/>
            <family val="2"/>
          </rPr>
          <t>Christian:</t>
        </r>
        <r>
          <rPr>
            <sz val="9"/>
            <color indexed="81"/>
            <rFont val="Tahoma"/>
            <family val="2"/>
          </rPr>
          <t xml:space="preserve">
Type I here related to MS specific</t>
        </r>
      </text>
    </comment>
    <comment ref="Y72" authorId="0" shapeId="0" xr:uid="{BFACD8D8-2433-47C4-AC44-D408F846C47A}">
      <text>
        <r>
          <rPr>
            <b/>
            <sz val="9"/>
            <color indexed="81"/>
            <rFont val="Tahoma"/>
            <family val="2"/>
          </rPr>
          <t>Christian:</t>
        </r>
        <r>
          <rPr>
            <sz val="9"/>
            <color indexed="81"/>
            <rFont val="Tahoma"/>
            <family val="2"/>
          </rPr>
          <t xml:space="preserve">
NA if fossil</t>
        </r>
      </text>
    </comment>
    <comment ref="AS72" authorId="0" shapeId="0" xr:uid="{082CF104-59DF-4DBC-8133-472498AC28A3}">
      <text>
        <r>
          <rPr>
            <b/>
            <sz val="9"/>
            <color indexed="81"/>
            <rFont val="Tahoma"/>
            <family val="2"/>
          </rPr>
          <t>Christian:</t>
        </r>
        <r>
          <rPr>
            <sz val="9"/>
            <color indexed="81"/>
            <rFont val="Tahoma"/>
            <family val="2"/>
          </rPr>
          <t xml:space="preserve">
Type I here related to MS specific</t>
        </r>
      </text>
    </comment>
    <comment ref="Y73" authorId="0" shapeId="0" xr:uid="{56FD8AF1-3C72-4B15-99CB-80E74C8F1FA9}">
      <text>
        <r>
          <rPr>
            <b/>
            <sz val="9"/>
            <color indexed="81"/>
            <rFont val="Tahoma"/>
            <family val="2"/>
          </rPr>
          <t>Christian:</t>
        </r>
        <r>
          <rPr>
            <sz val="9"/>
            <color indexed="81"/>
            <rFont val="Tahoma"/>
            <family val="2"/>
          </rPr>
          <t xml:space="preserve">
NA if fossil</t>
        </r>
      </text>
    </comment>
    <comment ref="AS73" authorId="0" shapeId="0" xr:uid="{CE74D853-1BBC-46C2-B0E4-7C4F3486DA76}">
      <text>
        <r>
          <rPr>
            <b/>
            <sz val="9"/>
            <color indexed="81"/>
            <rFont val="Tahoma"/>
            <family val="2"/>
          </rPr>
          <t>Christian:</t>
        </r>
        <r>
          <rPr>
            <sz val="9"/>
            <color indexed="81"/>
            <rFont val="Tahoma"/>
            <family val="2"/>
          </rPr>
          <t xml:space="preserve">
Type I here related to MS specific</t>
        </r>
      </text>
    </comment>
    <comment ref="Y74" authorId="0" shapeId="0" xr:uid="{60412E1D-A103-4519-A40C-058852BF631B}">
      <text>
        <r>
          <rPr>
            <b/>
            <sz val="9"/>
            <color indexed="81"/>
            <rFont val="Tahoma"/>
            <family val="2"/>
          </rPr>
          <t>Christian:</t>
        </r>
        <r>
          <rPr>
            <sz val="9"/>
            <color indexed="81"/>
            <rFont val="Tahoma"/>
            <family val="2"/>
          </rPr>
          <t xml:space="preserve">
NA if fossil</t>
        </r>
      </text>
    </comment>
    <comment ref="AS74" authorId="0" shapeId="0" xr:uid="{E06785C4-1A6D-47F4-BD15-328C13593B09}">
      <text>
        <r>
          <rPr>
            <b/>
            <sz val="9"/>
            <color indexed="81"/>
            <rFont val="Tahoma"/>
            <family val="2"/>
          </rPr>
          <t>Christian:</t>
        </r>
        <r>
          <rPr>
            <sz val="9"/>
            <color indexed="81"/>
            <rFont val="Tahoma"/>
            <family val="2"/>
          </rPr>
          <t xml:space="preserve">
Type I here related to MS specific</t>
        </r>
      </text>
    </comment>
    <comment ref="Y75" authorId="0" shapeId="0" xr:uid="{8E947620-C9BA-422E-89E8-D04F19172C13}">
      <text>
        <r>
          <rPr>
            <b/>
            <sz val="9"/>
            <color indexed="81"/>
            <rFont val="Tahoma"/>
            <family val="2"/>
          </rPr>
          <t>Christian:</t>
        </r>
        <r>
          <rPr>
            <sz val="9"/>
            <color indexed="81"/>
            <rFont val="Tahoma"/>
            <family val="2"/>
          </rPr>
          <t xml:space="preserve">
NA if fossil</t>
        </r>
      </text>
    </comment>
    <comment ref="AS75" authorId="0" shapeId="0" xr:uid="{3CD76A9A-E86B-4BF9-BBBC-978D087EB1FE}">
      <text>
        <r>
          <rPr>
            <b/>
            <sz val="9"/>
            <color indexed="81"/>
            <rFont val="Tahoma"/>
            <family val="2"/>
          </rPr>
          <t>Christian:</t>
        </r>
        <r>
          <rPr>
            <sz val="9"/>
            <color indexed="81"/>
            <rFont val="Tahoma"/>
            <family val="2"/>
          </rPr>
          <t xml:space="preserve">
Type I here related to MS specific</t>
        </r>
      </text>
    </comment>
    <comment ref="Y77" authorId="0" shapeId="0" xr:uid="{00000000-0006-0000-0400-000005000000}">
      <text>
        <r>
          <rPr>
            <b/>
            <sz val="9"/>
            <color indexed="81"/>
            <rFont val="Tahoma"/>
            <family val="2"/>
          </rPr>
          <t>Christian:</t>
        </r>
        <r>
          <rPr>
            <sz val="9"/>
            <color indexed="81"/>
            <rFont val="Tahoma"/>
            <family val="2"/>
          </rPr>
          <t xml:space="preserve">
NA if fossil</t>
        </r>
      </text>
    </comment>
    <comment ref="Y98" authorId="0" shapeId="0" xr:uid="{CE14168B-ED0E-448C-9DC8-6477D806F457}">
      <text>
        <r>
          <rPr>
            <b/>
            <sz val="9"/>
            <color indexed="81"/>
            <rFont val="Tahoma"/>
            <family val="2"/>
          </rPr>
          <t>Christian:</t>
        </r>
        <r>
          <rPr>
            <sz val="9"/>
            <color indexed="81"/>
            <rFont val="Tahoma"/>
            <family val="2"/>
          </rPr>
          <t xml:space="preserve">
NA if fossil</t>
        </r>
      </text>
    </comment>
    <comment ref="AS98" authorId="0" shapeId="0" xr:uid="{7144B1E5-9189-45C3-BB5E-664C33EFB488}">
      <text>
        <r>
          <rPr>
            <b/>
            <sz val="9"/>
            <color indexed="81"/>
            <rFont val="Tahoma"/>
            <family val="2"/>
          </rPr>
          <t>Christian:</t>
        </r>
        <r>
          <rPr>
            <sz val="9"/>
            <color indexed="81"/>
            <rFont val="Tahoma"/>
            <family val="2"/>
          </rPr>
          <t xml:space="preserve">
Type I here related to MS specific</t>
        </r>
      </text>
    </comment>
    <comment ref="Y99" authorId="0" shapeId="0" xr:uid="{589E232C-301C-4F3E-B8BB-4B514A6EE3FE}">
      <text>
        <r>
          <rPr>
            <b/>
            <sz val="9"/>
            <color indexed="81"/>
            <rFont val="Tahoma"/>
            <family val="2"/>
          </rPr>
          <t>Christian:</t>
        </r>
        <r>
          <rPr>
            <sz val="9"/>
            <color indexed="81"/>
            <rFont val="Tahoma"/>
            <family val="2"/>
          </rPr>
          <t xml:space="preserve">
NA if fossil</t>
        </r>
      </text>
    </comment>
    <comment ref="AS99" authorId="0" shapeId="0" xr:uid="{9A54FDA8-151D-4408-BBBA-CC9A0F99DD52}">
      <text>
        <r>
          <rPr>
            <b/>
            <sz val="9"/>
            <color indexed="81"/>
            <rFont val="Tahoma"/>
            <family val="2"/>
          </rPr>
          <t>Christian:</t>
        </r>
        <r>
          <rPr>
            <sz val="9"/>
            <color indexed="81"/>
            <rFont val="Tahoma"/>
            <family val="2"/>
          </rPr>
          <t xml:space="preserve">
Type I here related to MS specific</t>
        </r>
      </text>
    </comment>
    <comment ref="Y100" authorId="0" shapeId="0" xr:uid="{A40B1AB7-F4B5-44D6-9B2F-FBA06224D2E7}">
      <text>
        <r>
          <rPr>
            <b/>
            <sz val="9"/>
            <color indexed="81"/>
            <rFont val="Tahoma"/>
            <family val="2"/>
          </rPr>
          <t>Christian:</t>
        </r>
        <r>
          <rPr>
            <sz val="9"/>
            <color indexed="81"/>
            <rFont val="Tahoma"/>
            <family val="2"/>
          </rPr>
          <t xml:space="preserve">
NA if fossil</t>
        </r>
      </text>
    </comment>
    <comment ref="AS100" authorId="0" shapeId="0" xr:uid="{F0B629A3-10B1-4445-B18C-056287DA02F1}">
      <text>
        <r>
          <rPr>
            <b/>
            <sz val="9"/>
            <color indexed="81"/>
            <rFont val="Tahoma"/>
            <family val="2"/>
          </rPr>
          <t>Christian:</t>
        </r>
        <r>
          <rPr>
            <sz val="9"/>
            <color indexed="81"/>
            <rFont val="Tahoma"/>
            <family val="2"/>
          </rPr>
          <t xml:space="preserve">
Type I here related to MS specific</t>
        </r>
      </text>
    </comment>
    <comment ref="Y101" authorId="0" shapeId="0" xr:uid="{651BD4A4-B72D-484A-8161-565862D495A2}">
      <text>
        <r>
          <rPr>
            <b/>
            <sz val="9"/>
            <color indexed="81"/>
            <rFont val="Tahoma"/>
            <family val="2"/>
          </rPr>
          <t>Christian:</t>
        </r>
        <r>
          <rPr>
            <sz val="9"/>
            <color indexed="81"/>
            <rFont val="Tahoma"/>
            <family val="2"/>
          </rPr>
          <t xml:space="preserve">
NA if fossil</t>
        </r>
      </text>
    </comment>
    <comment ref="AS101" authorId="0" shapeId="0" xr:uid="{85B8CEE3-100A-4CAB-993A-88D4E58C39C6}">
      <text>
        <r>
          <rPr>
            <b/>
            <sz val="9"/>
            <color indexed="81"/>
            <rFont val="Tahoma"/>
            <family val="2"/>
          </rPr>
          <t>Christian:</t>
        </r>
        <r>
          <rPr>
            <sz val="9"/>
            <color indexed="81"/>
            <rFont val="Tahoma"/>
            <family val="2"/>
          </rPr>
          <t xml:space="preserve">
Type I here related to MS specific</t>
        </r>
      </text>
    </comment>
    <comment ref="Y102" authorId="0" shapeId="0" xr:uid="{A14A71F8-7365-47D3-A0C3-83EF24A8DA45}">
      <text>
        <r>
          <rPr>
            <b/>
            <sz val="9"/>
            <color indexed="81"/>
            <rFont val="Tahoma"/>
            <family val="2"/>
          </rPr>
          <t>Christian:</t>
        </r>
        <r>
          <rPr>
            <sz val="9"/>
            <color indexed="81"/>
            <rFont val="Tahoma"/>
            <family val="2"/>
          </rPr>
          <t xml:space="preserve">
NA if fossil</t>
        </r>
      </text>
    </comment>
    <comment ref="AS102" authorId="0" shapeId="0" xr:uid="{58EC67C6-2A5E-40BF-A25B-1CC69C1B32EC}">
      <text>
        <r>
          <rPr>
            <b/>
            <sz val="9"/>
            <color indexed="81"/>
            <rFont val="Tahoma"/>
            <family val="2"/>
          </rPr>
          <t>Christian:</t>
        </r>
        <r>
          <rPr>
            <sz val="9"/>
            <color indexed="81"/>
            <rFont val="Tahoma"/>
            <family val="2"/>
          </rPr>
          <t xml:space="preserve">
Type I here related to MS specific</t>
        </r>
      </text>
    </comment>
    <comment ref="Y103" authorId="0" shapeId="0" xr:uid="{FD8DEAC7-268C-4897-B1D7-0C33F6A005F2}">
      <text>
        <r>
          <rPr>
            <b/>
            <sz val="9"/>
            <color indexed="81"/>
            <rFont val="Tahoma"/>
            <family val="2"/>
          </rPr>
          <t>Christian:</t>
        </r>
        <r>
          <rPr>
            <sz val="9"/>
            <color indexed="81"/>
            <rFont val="Tahoma"/>
            <family val="2"/>
          </rPr>
          <t xml:space="preserve">
NA if fossil</t>
        </r>
      </text>
    </comment>
    <comment ref="AS103" authorId="0" shapeId="0" xr:uid="{38692113-8412-431C-B157-08194D972EAA}">
      <text>
        <r>
          <rPr>
            <b/>
            <sz val="9"/>
            <color indexed="81"/>
            <rFont val="Tahoma"/>
            <family val="2"/>
          </rPr>
          <t>Christian:</t>
        </r>
        <r>
          <rPr>
            <sz val="9"/>
            <color indexed="81"/>
            <rFont val="Tahoma"/>
            <family val="2"/>
          </rPr>
          <t xml:space="preserve">
Type I here related to MS specific</t>
        </r>
      </text>
    </comment>
    <comment ref="Y105" authorId="0" shapeId="0" xr:uid="{FB16AD03-A871-4B3E-BAFF-F09819256E0E}">
      <text>
        <r>
          <rPr>
            <b/>
            <sz val="9"/>
            <color indexed="81"/>
            <rFont val="Tahoma"/>
            <family val="2"/>
          </rPr>
          <t>Christian:</t>
        </r>
        <r>
          <rPr>
            <sz val="9"/>
            <color indexed="81"/>
            <rFont val="Tahoma"/>
            <family val="2"/>
          </rPr>
          <t xml:space="preserve">
NA if fossil</t>
        </r>
      </text>
    </comment>
    <comment ref="Y126" authorId="0" shapeId="0" xr:uid="{EE067852-4168-48CE-8257-25FD545DBEE6}">
      <text>
        <r>
          <rPr>
            <b/>
            <sz val="9"/>
            <color indexed="81"/>
            <rFont val="Tahoma"/>
            <family val="2"/>
          </rPr>
          <t>Christian:</t>
        </r>
        <r>
          <rPr>
            <sz val="9"/>
            <color indexed="81"/>
            <rFont val="Tahoma"/>
            <family val="2"/>
          </rPr>
          <t xml:space="preserve">
NA if fossil</t>
        </r>
      </text>
    </comment>
    <comment ref="AS126" authorId="0" shapeId="0" xr:uid="{3C838513-C70A-4651-91B6-22C9371E3E80}">
      <text>
        <r>
          <rPr>
            <b/>
            <sz val="9"/>
            <color indexed="81"/>
            <rFont val="Tahoma"/>
            <family val="2"/>
          </rPr>
          <t>Christian:</t>
        </r>
        <r>
          <rPr>
            <sz val="9"/>
            <color indexed="81"/>
            <rFont val="Tahoma"/>
            <family val="2"/>
          </rPr>
          <t xml:space="preserve">
Type I here related to MS specific</t>
        </r>
      </text>
    </comment>
    <comment ref="Y127" authorId="0" shapeId="0" xr:uid="{51546045-AB37-4791-9139-D477C468ADF6}">
      <text>
        <r>
          <rPr>
            <b/>
            <sz val="9"/>
            <color indexed="81"/>
            <rFont val="Tahoma"/>
            <family val="2"/>
          </rPr>
          <t>Christian:</t>
        </r>
        <r>
          <rPr>
            <sz val="9"/>
            <color indexed="81"/>
            <rFont val="Tahoma"/>
            <family val="2"/>
          </rPr>
          <t xml:space="preserve">
NA if fossil</t>
        </r>
      </text>
    </comment>
    <comment ref="AS127" authorId="0" shapeId="0" xr:uid="{6635DE74-0D34-48B0-A283-2B620BEB5542}">
      <text>
        <r>
          <rPr>
            <b/>
            <sz val="9"/>
            <color indexed="81"/>
            <rFont val="Tahoma"/>
            <family val="2"/>
          </rPr>
          <t>Christian:</t>
        </r>
        <r>
          <rPr>
            <sz val="9"/>
            <color indexed="81"/>
            <rFont val="Tahoma"/>
            <family val="2"/>
          </rPr>
          <t xml:space="preserve">
Type I here related to MS specific</t>
        </r>
      </text>
    </comment>
    <comment ref="Y128" authorId="0" shapeId="0" xr:uid="{32D20B8B-70CF-4731-9428-C9856098073B}">
      <text>
        <r>
          <rPr>
            <b/>
            <sz val="9"/>
            <color indexed="81"/>
            <rFont val="Tahoma"/>
            <family val="2"/>
          </rPr>
          <t>Christian:</t>
        </r>
        <r>
          <rPr>
            <sz val="9"/>
            <color indexed="81"/>
            <rFont val="Tahoma"/>
            <family val="2"/>
          </rPr>
          <t xml:space="preserve">
NA if fossil</t>
        </r>
      </text>
    </comment>
    <comment ref="AS128" authorId="0" shapeId="0" xr:uid="{98A315B2-1FBC-41ED-97EA-13637CE67389}">
      <text>
        <r>
          <rPr>
            <b/>
            <sz val="9"/>
            <color indexed="81"/>
            <rFont val="Tahoma"/>
            <family val="2"/>
          </rPr>
          <t>Christian:</t>
        </r>
        <r>
          <rPr>
            <sz val="9"/>
            <color indexed="81"/>
            <rFont val="Tahoma"/>
            <family val="2"/>
          </rPr>
          <t xml:space="preserve">
Type I here related to MS specific</t>
        </r>
      </text>
    </comment>
    <comment ref="Y129" authorId="0" shapeId="0" xr:uid="{20A0102C-F9A5-4E1A-B795-A5D781571999}">
      <text>
        <r>
          <rPr>
            <b/>
            <sz val="9"/>
            <color indexed="81"/>
            <rFont val="Tahoma"/>
            <family val="2"/>
          </rPr>
          <t>Christian:</t>
        </r>
        <r>
          <rPr>
            <sz val="9"/>
            <color indexed="81"/>
            <rFont val="Tahoma"/>
            <family val="2"/>
          </rPr>
          <t xml:space="preserve">
NA if fossil</t>
        </r>
      </text>
    </comment>
    <comment ref="AS129" authorId="0" shapeId="0" xr:uid="{369DDD88-F660-47FB-BA37-0C4E137B8A24}">
      <text>
        <r>
          <rPr>
            <b/>
            <sz val="9"/>
            <color indexed="81"/>
            <rFont val="Tahoma"/>
            <family val="2"/>
          </rPr>
          <t>Christian:</t>
        </r>
        <r>
          <rPr>
            <sz val="9"/>
            <color indexed="81"/>
            <rFont val="Tahoma"/>
            <family val="2"/>
          </rPr>
          <t xml:space="preserve">
Type I here related to MS specific</t>
        </r>
      </text>
    </comment>
    <comment ref="Y130" authorId="0" shapeId="0" xr:uid="{D8FCA242-FF0B-4128-A053-B322192B0188}">
      <text>
        <r>
          <rPr>
            <b/>
            <sz val="9"/>
            <color indexed="81"/>
            <rFont val="Tahoma"/>
            <family val="2"/>
          </rPr>
          <t>Christian:</t>
        </r>
        <r>
          <rPr>
            <sz val="9"/>
            <color indexed="81"/>
            <rFont val="Tahoma"/>
            <family val="2"/>
          </rPr>
          <t xml:space="preserve">
NA if fossil</t>
        </r>
      </text>
    </comment>
    <comment ref="AS130" authorId="0" shapeId="0" xr:uid="{1AA8167A-3C55-499F-BBD5-0269E6C99487}">
      <text>
        <r>
          <rPr>
            <b/>
            <sz val="9"/>
            <color indexed="81"/>
            <rFont val="Tahoma"/>
            <family val="2"/>
          </rPr>
          <t>Christian:</t>
        </r>
        <r>
          <rPr>
            <sz val="9"/>
            <color indexed="81"/>
            <rFont val="Tahoma"/>
            <family val="2"/>
          </rPr>
          <t xml:space="preserve">
Type I here related to MS specific</t>
        </r>
      </text>
    </comment>
    <comment ref="Y131" authorId="0" shapeId="0" xr:uid="{FF7F3EBE-806D-499F-AC32-76CB99AC4A36}">
      <text>
        <r>
          <rPr>
            <b/>
            <sz val="9"/>
            <color indexed="81"/>
            <rFont val="Tahoma"/>
            <family val="2"/>
          </rPr>
          <t>Christian:</t>
        </r>
        <r>
          <rPr>
            <sz val="9"/>
            <color indexed="81"/>
            <rFont val="Tahoma"/>
            <family val="2"/>
          </rPr>
          <t xml:space="preserve">
NA if fossil</t>
        </r>
      </text>
    </comment>
    <comment ref="AS131" authorId="0" shapeId="0" xr:uid="{99BF21C9-E10A-4985-A93E-967451B307D9}">
      <text>
        <r>
          <rPr>
            <b/>
            <sz val="9"/>
            <color indexed="81"/>
            <rFont val="Tahoma"/>
            <family val="2"/>
          </rPr>
          <t>Christian:</t>
        </r>
        <r>
          <rPr>
            <sz val="9"/>
            <color indexed="81"/>
            <rFont val="Tahoma"/>
            <family val="2"/>
          </rPr>
          <t xml:space="preserve">
Type I here related to MS specific</t>
        </r>
      </text>
    </comment>
    <comment ref="Y133" authorId="0" shapeId="0" xr:uid="{A6888AF2-7DCD-494D-BBE7-CB0056FC2D14}">
      <text>
        <r>
          <rPr>
            <b/>
            <sz val="9"/>
            <color indexed="81"/>
            <rFont val="Tahoma"/>
            <family val="2"/>
          </rPr>
          <t>Christian:</t>
        </r>
        <r>
          <rPr>
            <sz val="9"/>
            <color indexed="81"/>
            <rFont val="Tahoma"/>
            <family val="2"/>
          </rPr>
          <t xml:space="preserve">
NA if fossil</t>
        </r>
      </text>
    </comment>
    <comment ref="Y154" authorId="0" shapeId="0" xr:uid="{CB775C50-A81B-4060-8E44-BE80D2C2AAD1}">
      <text>
        <r>
          <rPr>
            <b/>
            <sz val="9"/>
            <color indexed="81"/>
            <rFont val="Tahoma"/>
            <family val="2"/>
          </rPr>
          <t>Christian:</t>
        </r>
        <r>
          <rPr>
            <sz val="9"/>
            <color indexed="81"/>
            <rFont val="Tahoma"/>
            <family val="2"/>
          </rPr>
          <t xml:space="preserve">
NA if fossil</t>
        </r>
      </text>
    </comment>
    <comment ref="AS154" authorId="0" shapeId="0" xr:uid="{BB871184-2869-4388-8E6A-4FCFD47118E0}">
      <text>
        <r>
          <rPr>
            <b/>
            <sz val="9"/>
            <color indexed="81"/>
            <rFont val="Tahoma"/>
            <family val="2"/>
          </rPr>
          <t>Christian:</t>
        </r>
        <r>
          <rPr>
            <sz val="9"/>
            <color indexed="81"/>
            <rFont val="Tahoma"/>
            <family val="2"/>
          </rPr>
          <t xml:space="preserve">
Type I here related to MS specific</t>
        </r>
      </text>
    </comment>
    <comment ref="Y155" authorId="0" shapeId="0" xr:uid="{83D6166D-8C11-4F2A-A2A0-ED8A51BA651A}">
      <text>
        <r>
          <rPr>
            <b/>
            <sz val="9"/>
            <color indexed="81"/>
            <rFont val="Tahoma"/>
            <family val="2"/>
          </rPr>
          <t>Christian:</t>
        </r>
        <r>
          <rPr>
            <sz val="9"/>
            <color indexed="81"/>
            <rFont val="Tahoma"/>
            <family val="2"/>
          </rPr>
          <t xml:space="preserve">
NA if fossil</t>
        </r>
      </text>
    </comment>
    <comment ref="AS155" authorId="0" shapeId="0" xr:uid="{6F709660-1987-4F0D-831F-32E07758E258}">
      <text>
        <r>
          <rPr>
            <b/>
            <sz val="9"/>
            <color indexed="81"/>
            <rFont val="Tahoma"/>
            <family val="2"/>
          </rPr>
          <t>Christian:</t>
        </r>
        <r>
          <rPr>
            <sz val="9"/>
            <color indexed="81"/>
            <rFont val="Tahoma"/>
            <family val="2"/>
          </rPr>
          <t xml:space="preserve">
Type I here related to MS specific</t>
        </r>
      </text>
    </comment>
    <comment ref="Y156" authorId="0" shapeId="0" xr:uid="{0394836C-352F-4544-A75E-3042F7969A4F}">
      <text>
        <r>
          <rPr>
            <b/>
            <sz val="9"/>
            <color indexed="81"/>
            <rFont val="Tahoma"/>
            <family val="2"/>
          </rPr>
          <t>Christian:</t>
        </r>
        <r>
          <rPr>
            <sz val="9"/>
            <color indexed="81"/>
            <rFont val="Tahoma"/>
            <family val="2"/>
          </rPr>
          <t xml:space="preserve">
NA if fossil</t>
        </r>
      </text>
    </comment>
    <comment ref="AS156" authorId="0" shapeId="0" xr:uid="{F4FB6A50-0362-4FB2-A378-C68D0338B013}">
      <text>
        <r>
          <rPr>
            <b/>
            <sz val="9"/>
            <color indexed="81"/>
            <rFont val="Tahoma"/>
            <family val="2"/>
          </rPr>
          <t>Christian:</t>
        </r>
        <r>
          <rPr>
            <sz val="9"/>
            <color indexed="81"/>
            <rFont val="Tahoma"/>
            <family val="2"/>
          </rPr>
          <t xml:space="preserve">
Type I here related to MS specific</t>
        </r>
      </text>
    </comment>
    <comment ref="Y157" authorId="0" shapeId="0" xr:uid="{7C637B67-49E5-4086-BC8D-7BA5662ADE24}">
      <text>
        <r>
          <rPr>
            <b/>
            <sz val="9"/>
            <color indexed="81"/>
            <rFont val="Tahoma"/>
            <family val="2"/>
          </rPr>
          <t>Christian:</t>
        </r>
        <r>
          <rPr>
            <sz val="9"/>
            <color indexed="81"/>
            <rFont val="Tahoma"/>
            <family val="2"/>
          </rPr>
          <t xml:space="preserve">
NA if fossil</t>
        </r>
      </text>
    </comment>
    <comment ref="AS157" authorId="0" shapeId="0" xr:uid="{EC54CE23-69E3-4EB9-802C-08E651D2416A}">
      <text>
        <r>
          <rPr>
            <b/>
            <sz val="9"/>
            <color indexed="81"/>
            <rFont val="Tahoma"/>
            <family val="2"/>
          </rPr>
          <t>Christian:</t>
        </r>
        <r>
          <rPr>
            <sz val="9"/>
            <color indexed="81"/>
            <rFont val="Tahoma"/>
            <family val="2"/>
          </rPr>
          <t xml:space="preserve">
Type I here related to MS specific</t>
        </r>
      </text>
    </comment>
    <comment ref="Y158" authorId="0" shapeId="0" xr:uid="{61106C8B-8BFE-4A54-86C8-4680CFE25E07}">
      <text>
        <r>
          <rPr>
            <b/>
            <sz val="9"/>
            <color indexed="81"/>
            <rFont val="Tahoma"/>
            <family val="2"/>
          </rPr>
          <t>Christian:</t>
        </r>
        <r>
          <rPr>
            <sz val="9"/>
            <color indexed="81"/>
            <rFont val="Tahoma"/>
            <family val="2"/>
          </rPr>
          <t xml:space="preserve">
NA if fossil</t>
        </r>
      </text>
    </comment>
    <comment ref="AS158" authorId="0" shapeId="0" xr:uid="{D155D59B-CF56-40B3-B07A-669C1B17D660}">
      <text>
        <r>
          <rPr>
            <b/>
            <sz val="9"/>
            <color indexed="81"/>
            <rFont val="Tahoma"/>
            <family val="2"/>
          </rPr>
          <t>Christian:</t>
        </r>
        <r>
          <rPr>
            <sz val="9"/>
            <color indexed="81"/>
            <rFont val="Tahoma"/>
            <family val="2"/>
          </rPr>
          <t xml:space="preserve">
Type I here related to MS specific</t>
        </r>
      </text>
    </comment>
    <comment ref="Y159" authorId="0" shapeId="0" xr:uid="{5274499C-A20E-43C3-85C3-B61A5C8E7E5E}">
      <text>
        <r>
          <rPr>
            <b/>
            <sz val="9"/>
            <color indexed="81"/>
            <rFont val="Tahoma"/>
            <family val="2"/>
          </rPr>
          <t>Christian:</t>
        </r>
        <r>
          <rPr>
            <sz val="9"/>
            <color indexed="81"/>
            <rFont val="Tahoma"/>
            <family val="2"/>
          </rPr>
          <t xml:space="preserve">
NA if fossil</t>
        </r>
      </text>
    </comment>
    <comment ref="AS159" authorId="0" shapeId="0" xr:uid="{0837F86C-5D41-4F3A-BEA3-EDB8BF7E24A6}">
      <text>
        <r>
          <rPr>
            <b/>
            <sz val="9"/>
            <color indexed="81"/>
            <rFont val="Tahoma"/>
            <family val="2"/>
          </rPr>
          <t>Christian:</t>
        </r>
        <r>
          <rPr>
            <sz val="9"/>
            <color indexed="81"/>
            <rFont val="Tahoma"/>
            <family val="2"/>
          </rPr>
          <t xml:space="preserve">
Type I here related to MS specific</t>
        </r>
      </text>
    </comment>
    <comment ref="Y161" authorId="0" shapeId="0" xr:uid="{64D41085-059A-4393-BD07-108DB4D53850}">
      <text>
        <r>
          <rPr>
            <b/>
            <sz val="9"/>
            <color indexed="81"/>
            <rFont val="Tahoma"/>
            <family val="2"/>
          </rPr>
          <t>Christian:</t>
        </r>
        <r>
          <rPr>
            <sz val="9"/>
            <color indexed="81"/>
            <rFont val="Tahoma"/>
            <family val="2"/>
          </rPr>
          <t xml:space="preserve">
NA if fossil</t>
        </r>
      </text>
    </comment>
    <comment ref="Y182" authorId="0" shapeId="0" xr:uid="{DD1C3A1E-B164-44A1-B1F5-7D3E3EACC4F8}">
      <text>
        <r>
          <rPr>
            <b/>
            <sz val="9"/>
            <color indexed="81"/>
            <rFont val="Tahoma"/>
            <family val="2"/>
          </rPr>
          <t>Christian:</t>
        </r>
        <r>
          <rPr>
            <sz val="9"/>
            <color indexed="81"/>
            <rFont val="Tahoma"/>
            <family val="2"/>
          </rPr>
          <t xml:space="preserve">
NA if fossil</t>
        </r>
      </text>
    </comment>
    <comment ref="AS182" authorId="0" shapeId="0" xr:uid="{06FD3A75-9033-4626-AC82-5B04230A86AE}">
      <text>
        <r>
          <rPr>
            <b/>
            <sz val="9"/>
            <color indexed="81"/>
            <rFont val="Tahoma"/>
            <family val="2"/>
          </rPr>
          <t>Christian:</t>
        </r>
        <r>
          <rPr>
            <sz val="9"/>
            <color indexed="81"/>
            <rFont val="Tahoma"/>
            <family val="2"/>
          </rPr>
          <t xml:space="preserve">
Type I here related to MS specific</t>
        </r>
      </text>
    </comment>
    <comment ref="Y183" authorId="0" shapeId="0" xr:uid="{02377CDB-F4ED-4AA3-8882-662E131BA6E2}">
      <text>
        <r>
          <rPr>
            <b/>
            <sz val="9"/>
            <color indexed="81"/>
            <rFont val="Tahoma"/>
            <family val="2"/>
          </rPr>
          <t>Christian:</t>
        </r>
        <r>
          <rPr>
            <sz val="9"/>
            <color indexed="81"/>
            <rFont val="Tahoma"/>
            <family val="2"/>
          </rPr>
          <t xml:space="preserve">
NA if fossil</t>
        </r>
      </text>
    </comment>
    <comment ref="AS183" authorId="0" shapeId="0" xr:uid="{DFC4A22B-8B5A-4EDE-8B8C-317DCF1F95C4}">
      <text>
        <r>
          <rPr>
            <b/>
            <sz val="9"/>
            <color indexed="81"/>
            <rFont val="Tahoma"/>
            <family val="2"/>
          </rPr>
          <t>Christian:</t>
        </r>
        <r>
          <rPr>
            <sz val="9"/>
            <color indexed="81"/>
            <rFont val="Tahoma"/>
            <family val="2"/>
          </rPr>
          <t xml:space="preserve">
Type I here related to MS specific</t>
        </r>
      </text>
    </comment>
    <comment ref="Y184" authorId="0" shapeId="0" xr:uid="{E929A9D2-CB46-46B6-85DB-4281CE7B0CC1}">
      <text>
        <r>
          <rPr>
            <b/>
            <sz val="9"/>
            <color indexed="81"/>
            <rFont val="Tahoma"/>
            <family val="2"/>
          </rPr>
          <t>Christian:</t>
        </r>
        <r>
          <rPr>
            <sz val="9"/>
            <color indexed="81"/>
            <rFont val="Tahoma"/>
            <family val="2"/>
          </rPr>
          <t xml:space="preserve">
NA if fossil</t>
        </r>
      </text>
    </comment>
    <comment ref="AS184" authorId="0" shapeId="0" xr:uid="{4AFE8CA7-CCDC-44AA-AD52-04AD15570573}">
      <text>
        <r>
          <rPr>
            <b/>
            <sz val="9"/>
            <color indexed="81"/>
            <rFont val="Tahoma"/>
            <family val="2"/>
          </rPr>
          <t>Christian:</t>
        </r>
        <r>
          <rPr>
            <sz val="9"/>
            <color indexed="81"/>
            <rFont val="Tahoma"/>
            <family val="2"/>
          </rPr>
          <t xml:space="preserve">
Type I here related to MS specific</t>
        </r>
      </text>
    </comment>
    <comment ref="Y185" authorId="0" shapeId="0" xr:uid="{68856507-1864-452D-88C4-F77C1D6FA260}">
      <text>
        <r>
          <rPr>
            <b/>
            <sz val="9"/>
            <color indexed="81"/>
            <rFont val="Tahoma"/>
            <family val="2"/>
          </rPr>
          <t>Christian:</t>
        </r>
        <r>
          <rPr>
            <sz val="9"/>
            <color indexed="81"/>
            <rFont val="Tahoma"/>
            <family val="2"/>
          </rPr>
          <t xml:space="preserve">
NA if fossil</t>
        </r>
      </text>
    </comment>
    <comment ref="AS185" authorId="0" shapeId="0" xr:uid="{F60C2570-61F8-4EE5-9C36-D10130CADF23}">
      <text>
        <r>
          <rPr>
            <b/>
            <sz val="9"/>
            <color indexed="81"/>
            <rFont val="Tahoma"/>
            <family val="2"/>
          </rPr>
          <t>Christian:</t>
        </r>
        <r>
          <rPr>
            <sz val="9"/>
            <color indexed="81"/>
            <rFont val="Tahoma"/>
            <family val="2"/>
          </rPr>
          <t xml:space="preserve">
Type I here related to MS specific</t>
        </r>
      </text>
    </comment>
    <comment ref="Y186" authorId="0" shapeId="0" xr:uid="{6CC29789-D985-4832-8962-4623501A15E2}">
      <text>
        <r>
          <rPr>
            <b/>
            <sz val="9"/>
            <color indexed="81"/>
            <rFont val="Tahoma"/>
            <family val="2"/>
          </rPr>
          <t>Christian:</t>
        </r>
        <r>
          <rPr>
            <sz val="9"/>
            <color indexed="81"/>
            <rFont val="Tahoma"/>
            <family val="2"/>
          </rPr>
          <t xml:space="preserve">
NA if fossil</t>
        </r>
      </text>
    </comment>
    <comment ref="AS186" authorId="0" shapeId="0" xr:uid="{A9B32879-BC77-4C93-8C9E-83DAF8E16C46}">
      <text>
        <r>
          <rPr>
            <b/>
            <sz val="9"/>
            <color indexed="81"/>
            <rFont val="Tahoma"/>
            <family val="2"/>
          </rPr>
          <t>Christian:</t>
        </r>
        <r>
          <rPr>
            <sz val="9"/>
            <color indexed="81"/>
            <rFont val="Tahoma"/>
            <family val="2"/>
          </rPr>
          <t xml:space="preserve">
Type I here related to MS specific</t>
        </r>
      </text>
    </comment>
    <comment ref="Y187" authorId="0" shapeId="0" xr:uid="{338CEE13-88AC-435A-AB1E-D104F32C8953}">
      <text>
        <r>
          <rPr>
            <b/>
            <sz val="9"/>
            <color indexed="81"/>
            <rFont val="Tahoma"/>
            <family val="2"/>
          </rPr>
          <t>Christian:</t>
        </r>
        <r>
          <rPr>
            <sz val="9"/>
            <color indexed="81"/>
            <rFont val="Tahoma"/>
            <family val="2"/>
          </rPr>
          <t xml:space="preserve">
NA if fossil</t>
        </r>
      </text>
    </comment>
    <comment ref="AS187" authorId="0" shapeId="0" xr:uid="{F315EC9C-F840-4783-B130-97EFEA877AB9}">
      <text>
        <r>
          <rPr>
            <b/>
            <sz val="9"/>
            <color indexed="81"/>
            <rFont val="Tahoma"/>
            <family val="2"/>
          </rPr>
          <t>Christian:</t>
        </r>
        <r>
          <rPr>
            <sz val="9"/>
            <color indexed="81"/>
            <rFont val="Tahoma"/>
            <family val="2"/>
          </rPr>
          <t xml:space="preserve">
Type I here related to MS specific</t>
        </r>
      </text>
    </comment>
    <comment ref="Y189" authorId="0" shapeId="0" xr:uid="{6D2C1F60-EB05-4859-8700-F3D622C15F2D}">
      <text>
        <r>
          <rPr>
            <b/>
            <sz val="9"/>
            <color indexed="81"/>
            <rFont val="Tahoma"/>
            <family val="2"/>
          </rPr>
          <t>Christian:</t>
        </r>
        <r>
          <rPr>
            <sz val="9"/>
            <color indexed="81"/>
            <rFont val="Tahoma"/>
            <family val="2"/>
          </rPr>
          <t xml:space="preserve">
NA if fossil</t>
        </r>
      </text>
    </comment>
    <comment ref="Y210" authorId="0" shapeId="0" xr:uid="{46464A28-68AA-4CCF-93E1-371BFB06F2B8}">
      <text>
        <r>
          <rPr>
            <b/>
            <sz val="9"/>
            <color indexed="81"/>
            <rFont val="Tahoma"/>
            <family val="2"/>
          </rPr>
          <t>Christian:</t>
        </r>
        <r>
          <rPr>
            <sz val="9"/>
            <color indexed="81"/>
            <rFont val="Tahoma"/>
            <family val="2"/>
          </rPr>
          <t xml:space="preserve">
NA if fossil</t>
        </r>
      </text>
    </comment>
    <comment ref="AS210" authorId="0" shapeId="0" xr:uid="{560654EB-3C6A-4E82-9ACE-3FD4A40BFE8A}">
      <text>
        <r>
          <rPr>
            <b/>
            <sz val="9"/>
            <color indexed="81"/>
            <rFont val="Tahoma"/>
            <family val="2"/>
          </rPr>
          <t>Christian:</t>
        </r>
        <r>
          <rPr>
            <sz val="9"/>
            <color indexed="81"/>
            <rFont val="Tahoma"/>
            <family val="2"/>
          </rPr>
          <t xml:space="preserve">
Type I here related to MS specific</t>
        </r>
      </text>
    </comment>
    <comment ref="Y211" authorId="0" shapeId="0" xr:uid="{FB7CF462-1C74-4C74-B166-ED4A41082C02}">
      <text>
        <r>
          <rPr>
            <b/>
            <sz val="9"/>
            <color indexed="81"/>
            <rFont val="Tahoma"/>
            <family val="2"/>
          </rPr>
          <t>Christian:</t>
        </r>
        <r>
          <rPr>
            <sz val="9"/>
            <color indexed="81"/>
            <rFont val="Tahoma"/>
            <family val="2"/>
          </rPr>
          <t xml:space="preserve">
NA if fossil</t>
        </r>
      </text>
    </comment>
    <comment ref="AS211" authorId="0" shapeId="0" xr:uid="{F3023C07-6A38-4BC9-A512-74B0F82B6BEA}">
      <text>
        <r>
          <rPr>
            <b/>
            <sz val="9"/>
            <color indexed="81"/>
            <rFont val="Tahoma"/>
            <family val="2"/>
          </rPr>
          <t>Christian:</t>
        </r>
        <r>
          <rPr>
            <sz val="9"/>
            <color indexed="81"/>
            <rFont val="Tahoma"/>
            <family val="2"/>
          </rPr>
          <t xml:space="preserve">
Type I here related to MS specific</t>
        </r>
      </text>
    </comment>
    <comment ref="Y212" authorId="0" shapeId="0" xr:uid="{F7657FF0-DE91-490C-B239-994D722B81CC}">
      <text>
        <r>
          <rPr>
            <b/>
            <sz val="9"/>
            <color indexed="81"/>
            <rFont val="Tahoma"/>
            <family val="2"/>
          </rPr>
          <t>Christian:</t>
        </r>
        <r>
          <rPr>
            <sz val="9"/>
            <color indexed="81"/>
            <rFont val="Tahoma"/>
            <family val="2"/>
          </rPr>
          <t xml:space="preserve">
NA if fossil</t>
        </r>
      </text>
    </comment>
    <comment ref="AS212" authorId="0" shapeId="0" xr:uid="{47360065-6681-4376-A573-3F8B38EE0F2C}">
      <text>
        <r>
          <rPr>
            <b/>
            <sz val="9"/>
            <color indexed="81"/>
            <rFont val="Tahoma"/>
            <family val="2"/>
          </rPr>
          <t>Christian:</t>
        </r>
        <r>
          <rPr>
            <sz val="9"/>
            <color indexed="81"/>
            <rFont val="Tahoma"/>
            <family val="2"/>
          </rPr>
          <t xml:space="preserve">
Type I here related to MS specific</t>
        </r>
      </text>
    </comment>
    <comment ref="Y213" authorId="0" shapeId="0" xr:uid="{EB8EF4AC-6DB5-48F8-BCB3-7167F37B3B5E}">
      <text>
        <r>
          <rPr>
            <b/>
            <sz val="9"/>
            <color indexed="81"/>
            <rFont val="Tahoma"/>
            <family val="2"/>
          </rPr>
          <t>Christian:</t>
        </r>
        <r>
          <rPr>
            <sz val="9"/>
            <color indexed="81"/>
            <rFont val="Tahoma"/>
            <family val="2"/>
          </rPr>
          <t xml:space="preserve">
NA if fossil</t>
        </r>
      </text>
    </comment>
    <comment ref="AS213" authorId="0" shapeId="0" xr:uid="{E6316F69-C1BF-4CCF-9EEC-62FC1F6157BB}">
      <text>
        <r>
          <rPr>
            <b/>
            <sz val="9"/>
            <color indexed="81"/>
            <rFont val="Tahoma"/>
            <family val="2"/>
          </rPr>
          <t>Christian:</t>
        </r>
        <r>
          <rPr>
            <sz val="9"/>
            <color indexed="81"/>
            <rFont val="Tahoma"/>
            <family val="2"/>
          </rPr>
          <t xml:space="preserve">
Type I here related to MS specific</t>
        </r>
      </text>
    </comment>
    <comment ref="Y214" authorId="0" shapeId="0" xr:uid="{E12D77E2-BA85-4152-87EC-7954A8BA2E29}">
      <text>
        <r>
          <rPr>
            <b/>
            <sz val="9"/>
            <color indexed="81"/>
            <rFont val="Tahoma"/>
            <family val="2"/>
          </rPr>
          <t>Christian:</t>
        </r>
        <r>
          <rPr>
            <sz val="9"/>
            <color indexed="81"/>
            <rFont val="Tahoma"/>
            <family val="2"/>
          </rPr>
          <t xml:space="preserve">
NA if fossil</t>
        </r>
      </text>
    </comment>
    <comment ref="AS214" authorId="0" shapeId="0" xr:uid="{7649777C-3A9E-4E75-B381-E4AACD5D4CFC}">
      <text>
        <r>
          <rPr>
            <b/>
            <sz val="9"/>
            <color indexed="81"/>
            <rFont val="Tahoma"/>
            <family val="2"/>
          </rPr>
          <t>Christian:</t>
        </r>
        <r>
          <rPr>
            <sz val="9"/>
            <color indexed="81"/>
            <rFont val="Tahoma"/>
            <family val="2"/>
          </rPr>
          <t xml:space="preserve">
Type I here related to MS specific</t>
        </r>
      </text>
    </comment>
    <comment ref="Y215" authorId="0" shapeId="0" xr:uid="{7112DB52-5B27-4BBA-86AD-A03E6A59A7B5}">
      <text>
        <r>
          <rPr>
            <b/>
            <sz val="9"/>
            <color indexed="81"/>
            <rFont val="Tahoma"/>
            <family val="2"/>
          </rPr>
          <t>Christian:</t>
        </r>
        <r>
          <rPr>
            <sz val="9"/>
            <color indexed="81"/>
            <rFont val="Tahoma"/>
            <family val="2"/>
          </rPr>
          <t xml:space="preserve">
NA if fossil</t>
        </r>
      </text>
    </comment>
    <comment ref="AS215" authorId="0" shapeId="0" xr:uid="{298BE9B2-8F1E-4DC8-A87B-EDE855DE5FD5}">
      <text>
        <r>
          <rPr>
            <b/>
            <sz val="9"/>
            <color indexed="81"/>
            <rFont val="Tahoma"/>
            <family val="2"/>
          </rPr>
          <t>Christian:</t>
        </r>
        <r>
          <rPr>
            <sz val="9"/>
            <color indexed="81"/>
            <rFont val="Tahoma"/>
            <family val="2"/>
          </rPr>
          <t xml:space="preserve">
Type I here related to MS specific</t>
        </r>
      </text>
    </comment>
    <comment ref="Y217" authorId="0" shapeId="0" xr:uid="{B558B60F-046B-4C90-B463-736A05667273}">
      <text>
        <r>
          <rPr>
            <b/>
            <sz val="9"/>
            <color indexed="81"/>
            <rFont val="Tahoma"/>
            <family val="2"/>
          </rPr>
          <t>Christian:</t>
        </r>
        <r>
          <rPr>
            <sz val="9"/>
            <color indexed="81"/>
            <rFont val="Tahoma"/>
            <family val="2"/>
          </rPr>
          <t xml:space="preserve">
NA if fossil</t>
        </r>
      </text>
    </comment>
    <comment ref="Y238" authorId="0" shapeId="0" xr:uid="{4E5CE677-D513-49FB-A597-3218E7F0B46F}">
      <text>
        <r>
          <rPr>
            <b/>
            <sz val="9"/>
            <color indexed="81"/>
            <rFont val="Tahoma"/>
            <family val="2"/>
          </rPr>
          <t>Christian:</t>
        </r>
        <r>
          <rPr>
            <sz val="9"/>
            <color indexed="81"/>
            <rFont val="Tahoma"/>
            <family val="2"/>
          </rPr>
          <t xml:space="preserve">
NA if fossil</t>
        </r>
      </text>
    </comment>
    <comment ref="AS238" authorId="0" shapeId="0" xr:uid="{3B9C5E42-A768-4609-A78F-B4D3E9EC845D}">
      <text>
        <r>
          <rPr>
            <b/>
            <sz val="9"/>
            <color indexed="81"/>
            <rFont val="Tahoma"/>
            <family val="2"/>
          </rPr>
          <t>Christian:</t>
        </r>
        <r>
          <rPr>
            <sz val="9"/>
            <color indexed="81"/>
            <rFont val="Tahoma"/>
            <family val="2"/>
          </rPr>
          <t xml:space="preserve">
Type I here related to MS specific</t>
        </r>
      </text>
    </comment>
    <comment ref="Y239" authorId="0" shapeId="0" xr:uid="{BF1DB517-BAF4-406A-8843-4D1019DD21A7}">
      <text>
        <r>
          <rPr>
            <b/>
            <sz val="9"/>
            <color indexed="81"/>
            <rFont val="Tahoma"/>
            <family val="2"/>
          </rPr>
          <t>Christian:</t>
        </r>
        <r>
          <rPr>
            <sz val="9"/>
            <color indexed="81"/>
            <rFont val="Tahoma"/>
            <family val="2"/>
          </rPr>
          <t xml:space="preserve">
NA if fossil</t>
        </r>
      </text>
    </comment>
    <comment ref="AS239" authorId="0" shapeId="0" xr:uid="{45175467-BD28-47AA-9FE3-4CEFFCBF8C64}">
      <text>
        <r>
          <rPr>
            <b/>
            <sz val="9"/>
            <color indexed="81"/>
            <rFont val="Tahoma"/>
            <family val="2"/>
          </rPr>
          <t>Christian:</t>
        </r>
        <r>
          <rPr>
            <sz val="9"/>
            <color indexed="81"/>
            <rFont val="Tahoma"/>
            <family val="2"/>
          </rPr>
          <t xml:space="preserve">
Type I here related to MS specific</t>
        </r>
      </text>
    </comment>
    <comment ref="Y240" authorId="0" shapeId="0" xr:uid="{03C98700-F159-4AC6-AEC8-3188A8494B40}">
      <text>
        <r>
          <rPr>
            <b/>
            <sz val="9"/>
            <color indexed="81"/>
            <rFont val="Tahoma"/>
            <family val="2"/>
          </rPr>
          <t>Christian:</t>
        </r>
        <r>
          <rPr>
            <sz val="9"/>
            <color indexed="81"/>
            <rFont val="Tahoma"/>
            <family val="2"/>
          </rPr>
          <t xml:space="preserve">
NA if fossil</t>
        </r>
      </text>
    </comment>
    <comment ref="AS240" authorId="0" shapeId="0" xr:uid="{64433951-61D1-468F-B461-1ACA61887D22}">
      <text>
        <r>
          <rPr>
            <b/>
            <sz val="9"/>
            <color indexed="81"/>
            <rFont val="Tahoma"/>
            <family val="2"/>
          </rPr>
          <t>Christian:</t>
        </r>
        <r>
          <rPr>
            <sz val="9"/>
            <color indexed="81"/>
            <rFont val="Tahoma"/>
            <family val="2"/>
          </rPr>
          <t xml:space="preserve">
Type I here related to MS specific</t>
        </r>
      </text>
    </comment>
    <comment ref="Y241" authorId="0" shapeId="0" xr:uid="{45E512E6-8CD5-4796-8F7D-A5CD82EE6E13}">
      <text>
        <r>
          <rPr>
            <b/>
            <sz val="9"/>
            <color indexed="81"/>
            <rFont val="Tahoma"/>
            <family val="2"/>
          </rPr>
          <t>Christian:</t>
        </r>
        <r>
          <rPr>
            <sz val="9"/>
            <color indexed="81"/>
            <rFont val="Tahoma"/>
            <family val="2"/>
          </rPr>
          <t xml:space="preserve">
NA if fossil</t>
        </r>
      </text>
    </comment>
    <comment ref="AS241" authorId="0" shapeId="0" xr:uid="{4352E1A5-0363-4FE1-9D50-26E388C36D90}">
      <text>
        <r>
          <rPr>
            <b/>
            <sz val="9"/>
            <color indexed="81"/>
            <rFont val="Tahoma"/>
            <family val="2"/>
          </rPr>
          <t>Christian:</t>
        </r>
        <r>
          <rPr>
            <sz val="9"/>
            <color indexed="81"/>
            <rFont val="Tahoma"/>
            <family val="2"/>
          </rPr>
          <t xml:space="preserve">
Type I here related to MS specific</t>
        </r>
      </text>
    </comment>
    <comment ref="Y242" authorId="0" shapeId="0" xr:uid="{8E996E1F-891B-425A-8BFD-FFD362AF83C1}">
      <text>
        <r>
          <rPr>
            <b/>
            <sz val="9"/>
            <color indexed="81"/>
            <rFont val="Tahoma"/>
            <family val="2"/>
          </rPr>
          <t>Christian:</t>
        </r>
        <r>
          <rPr>
            <sz val="9"/>
            <color indexed="81"/>
            <rFont val="Tahoma"/>
            <family val="2"/>
          </rPr>
          <t xml:space="preserve">
NA if fossil</t>
        </r>
      </text>
    </comment>
    <comment ref="AS242" authorId="0" shapeId="0" xr:uid="{8F0FF015-6B7F-4D78-ACB6-48DB52BEF9C8}">
      <text>
        <r>
          <rPr>
            <b/>
            <sz val="9"/>
            <color indexed="81"/>
            <rFont val="Tahoma"/>
            <family val="2"/>
          </rPr>
          <t>Christian:</t>
        </r>
        <r>
          <rPr>
            <sz val="9"/>
            <color indexed="81"/>
            <rFont val="Tahoma"/>
            <family val="2"/>
          </rPr>
          <t xml:space="preserve">
Type I here related to MS specific</t>
        </r>
      </text>
    </comment>
    <comment ref="Y243" authorId="0" shapeId="0" xr:uid="{ADAA2E00-E3C9-462A-99E3-CFBA03E19478}">
      <text>
        <r>
          <rPr>
            <b/>
            <sz val="9"/>
            <color indexed="81"/>
            <rFont val="Tahoma"/>
            <family val="2"/>
          </rPr>
          <t>Christian:</t>
        </r>
        <r>
          <rPr>
            <sz val="9"/>
            <color indexed="81"/>
            <rFont val="Tahoma"/>
            <family val="2"/>
          </rPr>
          <t xml:space="preserve">
NA if fossil</t>
        </r>
      </text>
    </comment>
    <comment ref="AS243" authorId="0" shapeId="0" xr:uid="{1A0970AD-0120-478E-9323-1DFE250ECC71}">
      <text>
        <r>
          <rPr>
            <b/>
            <sz val="9"/>
            <color indexed="81"/>
            <rFont val="Tahoma"/>
            <family val="2"/>
          </rPr>
          <t>Christian:</t>
        </r>
        <r>
          <rPr>
            <sz val="9"/>
            <color indexed="81"/>
            <rFont val="Tahoma"/>
            <family val="2"/>
          </rPr>
          <t xml:space="preserve">
Type I here related to MS specific</t>
        </r>
      </text>
    </comment>
    <comment ref="Y245" authorId="0" shapeId="0" xr:uid="{A01A1CA4-A889-43ED-B44E-24F7F16F2E2A}">
      <text>
        <r>
          <rPr>
            <b/>
            <sz val="9"/>
            <color indexed="81"/>
            <rFont val="Tahoma"/>
            <family val="2"/>
          </rPr>
          <t>Christian:</t>
        </r>
        <r>
          <rPr>
            <sz val="9"/>
            <color indexed="81"/>
            <rFont val="Tahoma"/>
            <family val="2"/>
          </rPr>
          <t xml:space="preserve">
NA if fossil</t>
        </r>
      </text>
    </comment>
    <comment ref="Y266" authorId="0" shapeId="0" xr:uid="{3E4035C0-9976-482B-9711-1139B6FB2B8B}">
      <text>
        <r>
          <rPr>
            <b/>
            <sz val="9"/>
            <color indexed="81"/>
            <rFont val="Tahoma"/>
            <family val="2"/>
          </rPr>
          <t>Christian:</t>
        </r>
        <r>
          <rPr>
            <sz val="9"/>
            <color indexed="81"/>
            <rFont val="Tahoma"/>
            <family val="2"/>
          </rPr>
          <t xml:space="preserve">
NA if fossil</t>
        </r>
      </text>
    </comment>
    <comment ref="AS266" authorId="0" shapeId="0" xr:uid="{E69762D1-0C36-49AB-BC73-855BCF174482}">
      <text>
        <r>
          <rPr>
            <b/>
            <sz val="9"/>
            <color indexed="81"/>
            <rFont val="Tahoma"/>
            <family val="2"/>
          </rPr>
          <t>Christian:</t>
        </r>
        <r>
          <rPr>
            <sz val="9"/>
            <color indexed="81"/>
            <rFont val="Tahoma"/>
            <family val="2"/>
          </rPr>
          <t xml:space="preserve">
Type I here related to MS specific</t>
        </r>
      </text>
    </comment>
    <comment ref="Y267" authorId="0" shapeId="0" xr:uid="{3ECAC833-DE7A-4A6E-97C9-A80DB0F65C57}">
      <text>
        <r>
          <rPr>
            <b/>
            <sz val="9"/>
            <color indexed="81"/>
            <rFont val="Tahoma"/>
            <family val="2"/>
          </rPr>
          <t>Christian:</t>
        </r>
        <r>
          <rPr>
            <sz val="9"/>
            <color indexed="81"/>
            <rFont val="Tahoma"/>
            <family val="2"/>
          </rPr>
          <t xml:space="preserve">
NA if fossil</t>
        </r>
      </text>
    </comment>
    <comment ref="AS267" authorId="0" shapeId="0" xr:uid="{E6C31340-AE53-49F1-96C0-82FBA84F240E}">
      <text>
        <r>
          <rPr>
            <b/>
            <sz val="9"/>
            <color indexed="81"/>
            <rFont val="Tahoma"/>
            <family val="2"/>
          </rPr>
          <t>Christian:</t>
        </r>
        <r>
          <rPr>
            <sz val="9"/>
            <color indexed="81"/>
            <rFont val="Tahoma"/>
            <family val="2"/>
          </rPr>
          <t xml:space="preserve">
Type I here related to MS specific</t>
        </r>
      </text>
    </comment>
    <comment ref="Y268" authorId="0" shapeId="0" xr:uid="{B743B7F3-0656-4D14-B22E-BF59D9DC03ED}">
      <text>
        <r>
          <rPr>
            <b/>
            <sz val="9"/>
            <color indexed="81"/>
            <rFont val="Tahoma"/>
            <family val="2"/>
          </rPr>
          <t>Christian:</t>
        </r>
        <r>
          <rPr>
            <sz val="9"/>
            <color indexed="81"/>
            <rFont val="Tahoma"/>
            <family val="2"/>
          </rPr>
          <t xml:space="preserve">
NA if fossil</t>
        </r>
      </text>
    </comment>
    <comment ref="AS268" authorId="0" shapeId="0" xr:uid="{E67A058B-84D3-4D9F-87CB-FC2AAED6787D}">
      <text>
        <r>
          <rPr>
            <b/>
            <sz val="9"/>
            <color indexed="81"/>
            <rFont val="Tahoma"/>
            <family val="2"/>
          </rPr>
          <t>Christian:</t>
        </r>
        <r>
          <rPr>
            <sz val="9"/>
            <color indexed="81"/>
            <rFont val="Tahoma"/>
            <family val="2"/>
          </rPr>
          <t xml:space="preserve">
Type I here related to MS specific</t>
        </r>
      </text>
    </comment>
    <comment ref="Y269" authorId="0" shapeId="0" xr:uid="{C99C06EE-B687-499B-9AD6-CFDC4EEA88CD}">
      <text>
        <r>
          <rPr>
            <b/>
            <sz val="9"/>
            <color indexed="81"/>
            <rFont val="Tahoma"/>
            <family val="2"/>
          </rPr>
          <t>Christian:</t>
        </r>
        <r>
          <rPr>
            <sz val="9"/>
            <color indexed="81"/>
            <rFont val="Tahoma"/>
            <family val="2"/>
          </rPr>
          <t xml:space="preserve">
NA if fossil</t>
        </r>
      </text>
    </comment>
    <comment ref="AS269" authorId="0" shapeId="0" xr:uid="{AB064684-7CA3-4BEC-99AF-433F6CF219E3}">
      <text>
        <r>
          <rPr>
            <b/>
            <sz val="9"/>
            <color indexed="81"/>
            <rFont val="Tahoma"/>
            <family val="2"/>
          </rPr>
          <t>Christian:</t>
        </r>
        <r>
          <rPr>
            <sz val="9"/>
            <color indexed="81"/>
            <rFont val="Tahoma"/>
            <family val="2"/>
          </rPr>
          <t xml:space="preserve">
Type I here related to MS specific</t>
        </r>
      </text>
    </comment>
    <comment ref="Y270" authorId="0" shapeId="0" xr:uid="{F4E8F0FB-1696-44C4-A2CB-2F4DA155A92A}">
      <text>
        <r>
          <rPr>
            <b/>
            <sz val="9"/>
            <color indexed="81"/>
            <rFont val="Tahoma"/>
            <family val="2"/>
          </rPr>
          <t>Christian:</t>
        </r>
        <r>
          <rPr>
            <sz val="9"/>
            <color indexed="81"/>
            <rFont val="Tahoma"/>
            <family val="2"/>
          </rPr>
          <t xml:space="preserve">
NA if fossil</t>
        </r>
      </text>
    </comment>
    <comment ref="AS270" authorId="0" shapeId="0" xr:uid="{945D3561-3A18-4679-9FD5-C0275BD42186}">
      <text>
        <r>
          <rPr>
            <b/>
            <sz val="9"/>
            <color indexed="81"/>
            <rFont val="Tahoma"/>
            <family val="2"/>
          </rPr>
          <t>Christian:</t>
        </r>
        <r>
          <rPr>
            <sz val="9"/>
            <color indexed="81"/>
            <rFont val="Tahoma"/>
            <family val="2"/>
          </rPr>
          <t xml:space="preserve">
Type I here related to MS specific</t>
        </r>
      </text>
    </comment>
    <comment ref="Y271" authorId="0" shapeId="0" xr:uid="{4A1CDA9E-C155-40D3-9869-5DF2D2948F49}">
      <text>
        <r>
          <rPr>
            <b/>
            <sz val="9"/>
            <color indexed="81"/>
            <rFont val="Tahoma"/>
            <family val="2"/>
          </rPr>
          <t>Christian:</t>
        </r>
        <r>
          <rPr>
            <sz val="9"/>
            <color indexed="81"/>
            <rFont val="Tahoma"/>
            <family val="2"/>
          </rPr>
          <t xml:space="preserve">
NA if fossil</t>
        </r>
      </text>
    </comment>
    <comment ref="AS271" authorId="0" shapeId="0" xr:uid="{725BCE87-696D-4DA5-8548-11F7A474CAD5}">
      <text>
        <r>
          <rPr>
            <b/>
            <sz val="9"/>
            <color indexed="81"/>
            <rFont val="Tahoma"/>
            <family val="2"/>
          </rPr>
          <t>Christian:</t>
        </r>
        <r>
          <rPr>
            <sz val="9"/>
            <color indexed="81"/>
            <rFont val="Tahoma"/>
            <family val="2"/>
          </rPr>
          <t xml:space="preserve">
Type I here related to MS specific</t>
        </r>
      </text>
    </comment>
    <comment ref="Y273" authorId="0" shapeId="0" xr:uid="{8DA844F0-1229-44E0-939C-CBB3E23ECF05}">
      <text>
        <r>
          <rPr>
            <b/>
            <sz val="9"/>
            <color indexed="81"/>
            <rFont val="Tahoma"/>
            <family val="2"/>
          </rPr>
          <t>Christian:</t>
        </r>
        <r>
          <rPr>
            <sz val="9"/>
            <color indexed="81"/>
            <rFont val="Tahoma"/>
            <family val="2"/>
          </rPr>
          <t xml:space="preserve">
NA if fossil</t>
        </r>
      </text>
    </comment>
    <comment ref="Y294" authorId="0" shapeId="0" xr:uid="{7BD94483-3E2A-406F-9770-B221A4C5902F}">
      <text>
        <r>
          <rPr>
            <b/>
            <sz val="9"/>
            <color indexed="81"/>
            <rFont val="Tahoma"/>
            <family val="2"/>
          </rPr>
          <t>Christian:</t>
        </r>
        <r>
          <rPr>
            <sz val="9"/>
            <color indexed="81"/>
            <rFont val="Tahoma"/>
            <family val="2"/>
          </rPr>
          <t xml:space="preserve">
NA if fossil</t>
        </r>
      </text>
    </comment>
    <comment ref="AS294" authorId="0" shapeId="0" xr:uid="{E4EA6567-D2C0-4771-A97A-AE57B0F14511}">
      <text>
        <r>
          <rPr>
            <b/>
            <sz val="9"/>
            <color indexed="81"/>
            <rFont val="Tahoma"/>
            <family val="2"/>
          </rPr>
          <t>Christian:</t>
        </r>
        <r>
          <rPr>
            <sz val="9"/>
            <color indexed="81"/>
            <rFont val="Tahoma"/>
            <family val="2"/>
          </rPr>
          <t xml:space="preserve">
Type I here related to MS specific</t>
        </r>
      </text>
    </comment>
    <comment ref="Y295" authorId="0" shapeId="0" xr:uid="{BD0607BE-8B94-4665-9CB0-4F2D441C6766}">
      <text>
        <r>
          <rPr>
            <b/>
            <sz val="9"/>
            <color indexed="81"/>
            <rFont val="Tahoma"/>
            <family val="2"/>
          </rPr>
          <t>Christian:</t>
        </r>
        <r>
          <rPr>
            <sz val="9"/>
            <color indexed="81"/>
            <rFont val="Tahoma"/>
            <family val="2"/>
          </rPr>
          <t xml:space="preserve">
NA if fossil</t>
        </r>
      </text>
    </comment>
    <comment ref="AS295" authorId="0" shapeId="0" xr:uid="{02221538-901F-4292-AD3C-AEEF9456B776}">
      <text>
        <r>
          <rPr>
            <b/>
            <sz val="9"/>
            <color indexed="81"/>
            <rFont val="Tahoma"/>
            <family val="2"/>
          </rPr>
          <t>Christian:</t>
        </r>
        <r>
          <rPr>
            <sz val="9"/>
            <color indexed="81"/>
            <rFont val="Tahoma"/>
            <family val="2"/>
          </rPr>
          <t xml:space="preserve">
Type I here related to MS specific</t>
        </r>
      </text>
    </comment>
    <comment ref="Y296" authorId="0" shapeId="0" xr:uid="{3EA7687F-F9CF-45E9-B47F-224FAAB61B3E}">
      <text>
        <r>
          <rPr>
            <b/>
            <sz val="9"/>
            <color indexed="81"/>
            <rFont val="Tahoma"/>
            <family val="2"/>
          </rPr>
          <t>Christian:</t>
        </r>
        <r>
          <rPr>
            <sz val="9"/>
            <color indexed="81"/>
            <rFont val="Tahoma"/>
            <family val="2"/>
          </rPr>
          <t xml:space="preserve">
NA if fossil</t>
        </r>
      </text>
    </comment>
    <comment ref="AS296" authorId="0" shapeId="0" xr:uid="{597060EE-3303-4EC9-B449-0F29DB228A63}">
      <text>
        <r>
          <rPr>
            <b/>
            <sz val="9"/>
            <color indexed="81"/>
            <rFont val="Tahoma"/>
            <family val="2"/>
          </rPr>
          <t>Christian:</t>
        </r>
        <r>
          <rPr>
            <sz val="9"/>
            <color indexed="81"/>
            <rFont val="Tahoma"/>
            <family val="2"/>
          </rPr>
          <t xml:space="preserve">
Type I here related to MS specific</t>
        </r>
      </text>
    </comment>
    <comment ref="Y297" authorId="0" shapeId="0" xr:uid="{B6724516-4202-49E7-B45B-79B39814CDC4}">
      <text>
        <r>
          <rPr>
            <b/>
            <sz val="9"/>
            <color indexed="81"/>
            <rFont val="Tahoma"/>
            <family val="2"/>
          </rPr>
          <t>Christian:</t>
        </r>
        <r>
          <rPr>
            <sz val="9"/>
            <color indexed="81"/>
            <rFont val="Tahoma"/>
            <family val="2"/>
          </rPr>
          <t xml:space="preserve">
NA if fossil</t>
        </r>
      </text>
    </comment>
    <comment ref="AS297" authorId="0" shapeId="0" xr:uid="{4203659D-F162-4E01-9A73-AB826FF216E3}">
      <text>
        <r>
          <rPr>
            <b/>
            <sz val="9"/>
            <color indexed="81"/>
            <rFont val="Tahoma"/>
            <family val="2"/>
          </rPr>
          <t>Christian:</t>
        </r>
        <r>
          <rPr>
            <sz val="9"/>
            <color indexed="81"/>
            <rFont val="Tahoma"/>
            <family val="2"/>
          </rPr>
          <t xml:space="preserve">
Type I here related to MS specific</t>
        </r>
      </text>
    </comment>
    <comment ref="Y298" authorId="0" shapeId="0" xr:uid="{966E41DB-E37C-4316-80C4-85BC33BA9538}">
      <text>
        <r>
          <rPr>
            <b/>
            <sz val="9"/>
            <color indexed="81"/>
            <rFont val="Tahoma"/>
            <family val="2"/>
          </rPr>
          <t>Christian:</t>
        </r>
        <r>
          <rPr>
            <sz val="9"/>
            <color indexed="81"/>
            <rFont val="Tahoma"/>
            <family val="2"/>
          </rPr>
          <t xml:space="preserve">
NA if fossil</t>
        </r>
      </text>
    </comment>
    <comment ref="AS298" authorId="0" shapeId="0" xr:uid="{69BBFA42-AAF7-4BB6-ACDF-3221A5852744}">
      <text>
        <r>
          <rPr>
            <b/>
            <sz val="9"/>
            <color indexed="81"/>
            <rFont val="Tahoma"/>
            <family val="2"/>
          </rPr>
          <t>Christian:</t>
        </r>
        <r>
          <rPr>
            <sz val="9"/>
            <color indexed="81"/>
            <rFont val="Tahoma"/>
            <family val="2"/>
          </rPr>
          <t xml:space="preserve">
Type I here related to MS specific</t>
        </r>
      </text>
    </comment>
    <comment ref="Y299" authorId="0" shapeId="0" xr:uid="{C494C6F1-8D8D-4F49-85F6-E0A269D5A1D7}">
      <text>
        <r>
          <rPr>
            <b/>
            <sz val="9"/>
            <color indexed="81"/>
            <rFont val="Tahoma"/>
            <family val="2"/>
          </rPr>
          <t>Christian:</t>
        </r>
        <r>
          <rPr>
            <sz val="9"/>
            <color indexed="81"/>
            <rFont val="Tahoma"/>
            <family val="2"/>
          </rPr>
          <t xml:space="preserve">
NA if fossil</t>
        </r>
      </text>
    </comment>
    <comment ref="AS299" authorId="0" shapeId="0" xr:uid="{8E388142-5E0C-459B-BB37-C31096467987}">
      <text>
        <r>
          <rPr>
            <b/>
            <sz val="9"/>
            <color indexed="81"/>
            <rFont val="Tahoma"/>
            <family val="2"/>
          </rPr>
          <t>Christian:</t>
        </r>
        <r>
          <rPr>
            <sz val="9"/>
            <color indexed="81"/>
            <rFont val="Tahoma"/>
            <family val="2"/>
          </rPr>
          <t xml:space="preserve">
Type I here related to MS specific</t>
        </r>
      </text>
    </comment>
    <comment ref="Y301" authorId="0" shapeId="0" xr:uid="{39B63438-A05E-4E86-B7C6-844E42D2AAE8}">
      <text>
        <r>
          <rPr>
            <b/>
            <sz val="9"/>
            <color indexed="81"/>
            <rFont val="Tahoma"/>
            <family val="2"/>
          </rPr>
          <t>Christian:</t>
        </r>
        <r>
          <rPr>
            <sz val="9"/>
            <color indexed="81"/>
            <rFont val="Tahoma"/>
            <family val="2"/>
          </rPr>
          <t xml:space="preserve">
NA if fossil</t>
        </r>
      </text>
    </comment>
    <comment ref="Y322" authorId="0" shapeId="0" xr:uid="{41BEC3C1-DCEE-4DDB-A06F-9A69E115B342}">
      <text>
        <r>
          <rPr>
            <b/>
            <sz val="9"/>
            <color indexed="81"/>
            <rFont val="Tahoma"/>
            <family val="2"/>
          </rPr>
          <t>Christian:</t>
        </r>
        <r>
          <rPr>
            <sz val="9"/>
            <color indexed="81"/>
            <rFont val="Tahoma"/>
            <family val="2"/>
          </rPr>
          <t xml:space="preserve">
NA if fossil</t>
        </r>
      </text>
    </comment>
    <comment ref="AS322" authorId="0" shapeId="0" xr:uid="{5125C05B-AD85-4FFA-AB41-B8B39B63B573}">
      <text>
        <r>
          <rPr>
            <b/>
            <sz val="9"/>
            <color indexed="81"/>
            <rFont val="Tahoma"/>
            <family val="2"/>
          </rPr>
          <t>Christian:</t>
        </r>
        <r>
          <rPr>
            <sz val="9"/>
            <color indexed="81"/>
            <rFont val="Tahoma"/>
            <family val="2"/>
          </rPr>
          <t xml:space="preserve">
Type I here related to MS specific</t>
        </r>
      </text>
    </comment>
    <comment ref="Y323" authorId="0" shapeId="0" xr:uid="{156FA054-58D7-45E8-B794-A544F56B053E}">
      <text>
        <r>
          <rPr>
            <b/>
            <sz val="9"/>
            <color indexed="81"/>
            <rFont val="Tahoma"/>
            <family val="2"/>
          </rPr>
          <t>Christian:</t>
        </r>
        <r>
          <rPr>
            <sz val="9"/>
            <color indexed="81"/>
            <rFont val="Tahoma"/>
            <family val="2"/>
          </rPr>
          <t xml:space="preserve">
NA if fossil</t>
        </r>
      </text>
    </comment>
    <comment ref="AS323" authorId="0" shapeId="0" xr:uid="{117627B1-7DFD-499B-99CA-DEB2E06C1089}">
      <text>
        <r>
          <rPr>
            <b/>
            <sz val="9"/>
            <color indexed="81"/>
            <rFont val="Tahoma"/>
            <family val="2"/>
          </rPr>
          <t>Christian:</t>
        </r>
        <r>
          <rPr>
            <sz val="9"/>
            <color indexed="81"/>
            <rFont val="Tahoma"/>
            <family val="2"/>
          </rPr>
          <t xml:space="preserve">
Type I here related to MS specific</t>
        </r>
      </text>
    </comment>
    <comment ref="Y324" authorId="0" shapeId="0" xr:uid="{28074399-8EE4-4F36-ADC3-B79CF85C462F}">
      <text>
        <r>
          <rPr>
            <b/>
            <sz val="9"/>
            <color indexed="81"/>
            <rFont val="Tahoma"/>
            <family val="2"/>
          </rPr>
          <t>Christian:</t>
        </r>
        <r>
          <rPr>
            <sz val="9"/>
            <color indexed="81"/>
            <rFont val="Tahoma"/>
            <family val="2"/>
          </rPr>
          <t xml:space="preserve">
NA if fossil</t>
        </r>
      </text>
    </comment>
    <comment ref="AS324" authorId="0" shapeId="0" xr:uid="{531CF3F5-5F0B-45F4-8F77-8F2E875AF7F8}">
      <text>
        <r>
          <rPr>
            <b/>
            <sz val="9"/>
            <color indexed="81"/>
            <rFont val="Tahoma"/>
            <family val="2"/>
          </rPr>
          <t>Christian:</t>
        </r>
        <r>
          <rPr>
            <sz val="9"/>
            <color indexed="81"/>
            <rFont val="Tahoma"/>
            <family val="2"/>
          </rPr>
          <t xml:space="preserve">
Type I here related to MS specific</t>
        </r>
      </text>
    </comment>
    <comment ref="Y325" authorId="0" shapeId="0" xr:uid="{AAB0232C-D9E6-4D2C-B7EE-B85EC63F30E5}">
      <text>
        <r>
          <rPr>
            <b/>
            <sz val="9"/>
            <color indexed="81"/>
            <rFont val="Tahoma"/>
            <family val="2"/>
          </rPr>
          <t>Christian:</t>
        </r>
        <r>
          <rPr>
            <sz val="9"/>
            <color indexed="81"/>
            <rFont val="Tahoma"/>
            <family val="2"/>
          </rPr>
          <t xml:space="preserve">
NA if fossil</t>
        </r>
      </text>
    </comment>
    <comment ref="AS325" authorId="0" shapeId="0" xr:uid="{AFD43C2D-092C-4313-8000-542A7FFDB3A7}">
      <text>
        <r>
          <rPr>
            <b/>
            <sz val="9"/>
            <color indexed="81"/>
            <rFont val="Tahoma"/>
            <family val="2"/>
          </rPr>
          <t>Christian:</t>
        </r>
        <r>
          <rPr>
            <sz val="9"/>
            <color indexed="81"/>
            <rFont val="Tahoma"/>
            <family val="2"/>
          </rPr>
          <t xml:space="preserve">
Type I here related to MS specific</t>
        </r>
      </text>
    </comment>
    <comment ref="Y326" authorId="0" shapeId="0" xr:uid="{8CFB4B77-32B0-45DD-9792-CF071046396A}">
      <text>
        <r>
          <rPr>
            <b/>
            <sz val="9"/>
            <color indexed="81"/>
            <rFont val="Tahoma"/>
            <family val="2"/>
          </rPr>
          <t>Christian:</t>
        </r>
        <r>
          <rPr>
            <sz val="9"/>
            <color indexed="81"/>
            <rFont val="Tahoma"/>
            <family val="2"/>
          </rPr>
          <t xml:space="preserve">
NA if fossil</t>
        </r>
      </text>
    </comment>
    <comment ref="AS326" authorId="0" shapeId="0" xr:uid="{94A5CC63-C302-46CB-A8A6-62112A31C4DE}">
      <text>
        <r>
          <rPr>
            <b/>
            <sz val="9"/>
            <color indexed="81"/>
            <rFont val="Tahoma"/>
            <family val="2"/>
          </rPr>
          <t>Christian:</t>
        </r>
        <r>
          <rPr>
            <sz val="9"/>
            <color indexed="81"/>
            <rFont val="Tahoma"/>
            <family val="2"/>
          </rPr>
          <t xml:space="preserve">
Type I here related to MS specific</t>
        </r>
      </text>
    </comment>
    <comment ref="Y327" authorId="0" shapeId="0" xr:uid="{3A33F540-3B9C-458B-8C40-BEB959FC94F4}">
      <text>
        <r>
          <rPr>
            <b/>
            <sz val="9"/>
            <color indexed="81"/>
            <rFont val="Tahoma"/>
            <family val="2"/>
          </rPr>
          <t>Christian:</t>
        </r>
        <r>
          <rPr>
            <sz val="9"/>
            <color indexed="81"/>
            <rFont val="Tahoma"/>
            <family val="2"/>
          </rPr>
          <t xml:space="preserve">
NA if fossil</t>
        </r>
      </text>
    </comment>
    <comment ref="AS327" authorId="0" shapeId="0" xr:uid="{7209421C-B3C1-42FB-BC60-C4917A1F7840}">
      <text>
        <r>
          <rPr>
            <b/>
            <sz val="9"/>
            <color indexed="81"/>
            <rFont val="Tahoma"/>
            <family val="2"/>
          </rPr>
          <t>Christian:</t>
        </r>
        <r>
          <rPr>
            <sz val="9"/>
            <color indexed="81"/>
            <rFont val="Tahoma"/>
            <family val="2"/>
          </rPr>
          <t xml:space="preserve">
Type I here related to MS specific</t>
        </r>
      </text>
    </comment>
    <comment ref="Y329" authorId="0" shapeId="0" xr:uid="{AE41D126-A24B-4730-B999-70C1ECB726BB}">
      <text>
        <r>
          <rPr>
            <b/>
            <sz val="9"/>
            <color indexed="81"/>
            <rFont val="Tahoma"/>
            <family val="2"/>
          </rPr>
          <t>Christian:</t>
        </r>
        <r>
          <rPr>
            <sz val="9"/>
            <color indexed="81"/>
            <rFont val="Tahoma"/>
            <family val="2"/>
          </rPr>
          <t xml:space="preserve">
NA if fossil</t>
        </r>
      </text>
    </comment>
    <comment ref="Y350" authorId="0" shapeId="0" xr:uid="{153C2E2E-9E97-4C99-B7B0-80CE357B6ADB}">
      <text>
        <r>
          <rPr>
            <b/>
            <sz val="9"/>
            <color indexed="81"/>
            <rFont val="Tahoma"/>
            <family val="2"/>
          </rPr>
          <t>Christian:</t>
        </r>
        <r>
          <rPr>
            <sz val="9"/>
            <color indexed="81"/>
            <rFont val="Tahoma"/>
            <family val="2"/>
          </rPr>
          <t xml:space="preserve">
NA if fossil</t>
        </r>
      </text>
    </comment>
    <comment ref="AS350" authorId="0" shapeId="0" xr:uid="{E8E7157C-7C0D-4D70-A77F-208518AB4FED}">
      <text>
        <r>
          <rPr>
            <b/>
            <sz val="9"/>
            <color indexed="81"/>
            <rFont val="Tahoma"/>
            <family val="2"/>
          </rPr>
          <t>Christian:</t>
        </r>
        <r>
          <rPr>
            <sz val="9"/>
            <color indexed="81"/>
            <rFont val="Tahoma"/>
            <family val="2"/>
          </rPr>
          <t xml:space="preserve">
Type I here related to MS specific</t>
        </r>
      </text>
    </comment>
    <comment ref="Y351" authorId="0" shapeId="0" xr:uid="{E810884C-3CD3-4873-A2D8-891F79DEEE9A}">
      <text>
        <r>
          <rPr>
            <b/>
            <sz val="9"/>
            <color indexed="81"/>
            <rFont val="Tahoma"/>
            <family val="2"/>
          </rPr>
          <t>Christian:</t>
        </r>
        <r>
          <rPr>
            <sz val="9"/>
            <color indexed="81"/>
            <rFont val="Tahoma"/>
            <family val="2"/>
          </rPr>
          <t xml:space="preserve">
NA if fossil</t>
        </r>
      </text>
    </comment>
    <comment ref="AS351" authorId="0" shapeId="0" xr:uid="{413363AC-783A-481D-A2DF-0E6E17B42E6D}">
      <text>
        <r>
          <rPr>
            <b/>
            <sz val="9"/>
            <color indexed="81"/>
            <rFont val="Tahoma"/>
            <family val="2"/>
          </rPr>
          <t>Christian:</t>
        </r>
        <r>
          <rPr>
            <sz val="9"/>
            <color indexed="81"/>
            <rFont val="Tahoma"/>
            <family val="2"/>
          </rPr>
          <t xml:space="preserve">
Type I here related to MS specific</t>
        </r>
      </text>
    </comment>
    <comment ref="Y352" authorId="0" shapeId="0" xr:uid="{A1194AA7-1FEC-4D1A-B1DD-48F22CE62323}">
      <text>
        <r>
          <rPr>
            <b/>
            <sz val="9"/>
            <color indexed="81"/>
            <rFont val="Tahoma"/>
            <family val="2"/>
          </rPr>
          <t>Christian:</t>
        </r>
        <r>
          <rPr>
            <sz val="9"/>
            <color indexed="81"/>
            <rFont val="Tahoma"/>
            <family val="2"/>
          </rPr>
          <t xml:space="preserve">
NA if fossil</t>
        </r>
      </text>
    </comment>
    <comment ref="AS352" authorId="0" shapeId="0" xr:uid="{87869C9C-B9F4-49A8-9784-1D977F4AED04}">
      <text>
        <r>
          <rPr>
            <b/>
            <sz val="9"/>
            <color indexed="81"/>
            <rFont val="Tahoma"/>
            <family val="2"/>
          </rPr>
          <t>Christian:</t>
        </r>
        <r>
          <rPr>
            <sz val="9"/>
            <color indexed="81"/>
            <rFont val="Tahoma"/>
            <family val="2"/>
          </rPr>
          <t xml:space="preserve">
Type I here related to MS specific</t>
        </r>
      </text>
    </comment>
    <comment ref="Y353" authorId="0" shapeId="0" xr:uid="{12EE2D3B-B176-47D6-8266-0AA4ABE8B2FD}">
      <text>
        <r>
          <rPr>
            <b/>
            <sz val="9"/>
            <color indexed="81"/>
            <rFont val="Tahoma"/>
            <family val="2"/>
          </rPr>
          <t>Christian:</t>
        </r>
        <r>
          <rPr>
            <sz val="9"/>
            <color indexed="81"/>
            <rFont val="Tahoma"/>
            <family val="2"/>
          </rPr>
          <t xml:space="preserve">
NA if fossil</t>
        </r>
      </text>
    </comment>
    <comment ref="AS353" authorId="0" shapeId="0" xr:uid="{33B1FB2C-C05E-436E-BE5C-F05E5F599633}">
      <text>
        <r>
          <rPr>
            <b/>
            <sz val="9"/>
            <color indexed="81"/>
            <rFont val="Tahoma"/>
            <family val="2"/>
          </rPr>
          <t>Christian:</t>
        </r>
        <r>
          <rPr>
            <sz val="9"/>
            <color indexed="81"/>
            <rFont val="Tahoma"/>
            <family val="2"/>
          </rPr>
          <t xml:space="preserve">
Type I here related to MS specific</t>
        </r>
      </text>
    </comment>
    <comment ref="Y354" authorId="0" shapeId="0" xr:uid="{19507D4D-47B0-4EAE-A713-BFE9C62410C0}">
      <text>
        <r>
          <rPr>
            <b/>
            <sz val="9"/>
            <color indexed="81"/>
            <rFont val="Tahoma"/>
            <family val="2"/>
          </rPr>
          <t>Christian:</t>
        </r>
        <r>
          <rPr>
            <sz val="9"/>
            <color indexed="81"/>
            <rFont val="Tahoma"/>
            <family val="2"/>
          </rPr>
          <t xml:space="preserve">
NA if fossil</t>
        </r>
      </text>
    </comment>
    <comment ref="AS354" authorId="0" shapeId="0" xr:uid="{EEF652F6-D8C1-4538-A482-09835AEF6BC0}">
      <text>
        <r>
          <rPr>
            <b/>
            <sz val="9"/>
            <color indexed="81"/>
            <rFont val="Tahoma"/>
            <family val="2"/>
          </rPr>
          <t>Christian:</t>
        </r>
        <r>
          <rPr>
            <sz val="9"/>
            <color indexed="81"/>
            <rFont val="Tahoma"/>
            <family val="2"/>
          </rPr>
          <t xml:space="preserve">
Type I here related to MS specific</t>
        </r>
      </text>
    </comment>
    <comment ref="Y355" authorId="0" shapeId="0" xr:uid="{83B0FEAA-9F70-43B6-969E-3219765013E3}">
      <text>
        <r>
          <rPr>
            <b/>
            <sz val="9"/>
            <color indexed="81"/>
            <rFont val="Tahoma"/>
            <family val="2"/>
          </rPr>
          <t>Christian:</t>
        </r>
        <r>
          <rPr>
            <sz val="9"/>
            <color indexed="81"/>
            <rFont val="Tahoma"/>
            <family val="2"/>
          </rPr>
          <t xml:space="preserve">
NA if fossil</t>
        </r>
      </text>
    </comment>
    <comment ref="AS355" authorId="0" shapeId="0" xr:uid="{C2D0F266-57F1-49C3-A27E-A489CC7DDDA1}">
      <text>
        <r>
          <rPr>
            <b/>
            <sz val="9"/>
            <color indexed="81"/>
            <rFont val="Tahoma"/>
            <family val="2"/>
          </rPr>
          <t>Christian:</t>
        </r>
        <r>
          <rPr>
            <sz val="9"/>
            <color indexed="81"/>
            <rFont val="Tahoma"/>
            <family val="2"/>
          </rPr>
          <t xml:space="preserve">
Type I here related to MS specific</t>
        </r>
      </text>
    </comment>
    <comment ref="Y357" authorId="0" shapeId="0" xr:uid="{6E6073A9-36DF-4D90-B224-68544246C03A}">
      <text>
        <r>
          <rPr>
            <b/>
            <sz val="9"/>
            <color indexed="81"/>
            <rFont val="Tahoma"/>
            <family val="2"/>
          </rPr>
          <t>Christian:</t>
        </r>
        <r>
          <rPr>
            <sz val="9"/>
            <color indexed="81"/>
            <rFont val="Tahoma"/>
            <family val="2"/>
          </rPr>
          <t xml:space="preserve">
NA if fossil</t>
        </r>
      </text>
    </comment>
    <comment ref="Y378" authorId="0" shapeId="0" xr:uid="{EBFCD4D0-FA5B-4216-81F0-175CCD0E432C}">
      <text>
        <r>
          <rPr>
            <b/>
            <sz val="9"/>
            <color indexed="81"/>
            <rFont val="Tahoma"/>
            <family val="2"/>
          </rPr>
          <t>Christian:</t>
        </r>
        <r>
          <rPr>
            <sz val="9"/>
            <color indexed="81"/>
            <rFont val="Tahoma"/>
            <family val="2"/>
          </rPr>
          <t xml:space="preserve">
NA if fossil</t>
        </r>
      </text>
    </comment>
    <comment ref="AS378" authorId="0" shapeId="0" xr:uid="{35848913-F96A-403A-97CF-2CAFDA9FA775}">
      <text>
        <r>
          <rPr>
            <b/>
            <sz val="9"/>
            <color indexed="81"/>
            <rFont val="Tahoma"/>
            <family val="2"/>
          </rPr>
          <t>Christian:</t>
        </r>
        <r>
          <rPr>
            <sz val="9"/>
            <color indexed="81"/>
            <rFont val="Tahoma"/>
            <family val="2"/>
          </rPr>
          <t xml:space="preserve">
Type I here related to MS specific</t>
        </r>
      </text>
    </comment>
    <comment ref="Y379" authorId="0" shapeId="0" xr:uid="{B699D85E-310C-4001-85E7-2B1023059B88}">
      <text>
        <r>
          <rPr>
            <b/>
            <sz val="9"/>
            <color indexed="81"/>
            <rFont val="Tahoma"/>
            <family val="2"/>
          </rPr>
          <t>Christian:</t>
        </r>
        <r>
          <rPr>
            <sz val="9"/>
            <color indexed="81"/>
            <rFont val="Tahoma"/>
            <family val="2"/>
          </rPr>
          <t xml:space="preserve">
NA if fossil</t>
        </r>
      </text>
    </comment>
    <comment ref="AS379" authorId="0" shapeId="0" xr:uid="{733D1725-C3A7-4480-941C-18846DBB08AC}">
      <text>
        <r>
          <rPr>
            <b/>
            <sz val="9"/>
            <color indexed="81"/>
            <rFont val="Tahoma"/>
            <family val="2"/>
          </rPr>
          <t>Christian:</t>
        </r>
        <r>
          <rPr>
            <sz val="9"/>
            <color indexed="81"/>
            <rFont val="Tahoma"/>
            <family val="2"/>
          </rPr>
          <t xml:space="preserve">
Type I here related to MS specific</t>
        </r>
      </text>
    </comment>
    <comment ref="Y380" authorId="0" shapeId="0" xr:uid="{1AAE9A33-9971-47B8-8CD6-A33D6B3FC04C}">
      <text>
        <r>
          <rPr>
            <b/>
            <sz val="9"/>
            <color indexed="81"/>
            <rFont val="Tahoma"/>
            <family val="2"/>
          </rPr>
          <t>Christian:</t>
        </r>
        <r>
          <rPr>
            <sz val="9"/>
            <color indexed="81"/>
            <rFont val="Tahoma"/>
            <family val="2"/>
          </rPr>
          <t xml:space="preserve">
NA if fossil</t>
        </r>
      </text>
    </comment>
    <comment ref="AS380" authorId="0" shapeId="0" xr:uid="{93D89BA0-3FD9-4AC8-BF6E-B840150049C2}">
      <text>
        <r>
          <rPr>
            <b/>
            <sz val="9"/>
            <color indexed="81"/>
            <rFont val="Tahoma"/>
            <family val="2"/>
          </rPr>
          <t>Christian:</t>
        </r>
        <r>
          <rPr>
            <sz val="9"/>
            <color indexed="81"/>
            <rFont val="Tahoma"/>
            <family val="2"/>
          </rPr>
          <t xml:space="preserve">
Type I here related to MS specific</t>
        </r>
      </text>
    </comment>
    <comment ref="Y381" authorId="0" shapeId="0" xr:uid="{48C913DD-DD1F-4A00-9BD8-8AC906F34FA4}">
      <text>
        <r>
          <rPr>
            <b/>
            <sz val="9"/>
            <color indexed="81"/>
            <rFont val="Tahoma"/>
            <family val="2"/>
          </rPr>
          <t>Christian:</t>
        </r>
        <r>
          <rPr>
            <sz val="9"/>
            <color indexed="81"/>
            <rFont val="Tahoma"/>
            <family val="2"/>
          </rPr>
          <t xml:space="preserve">
NA if fossil</t>
        </r>
      </text>
    </comment>
    <comment ref="AS381" authorId="0" shapeId="0" xr:uid="{01700714-ED0A-44E7-BC77-EF440D27E68C}">
      <text>
        <r>
          <rPr>
            <b/>
            <sz val="9"/>
            <color indexed="81"/>
            <rFont val="Tahoma"/>
            <family val="2"/>
          </rPr>
          <t>Christian:</t>
        </r>
        <r>
          <rPr>
            <sz val="9"/>
            <color indexed="81"/>
            <rFont val="Tahoma"/>
            <family val="2"/>
          </rPr>
          <t xml:space="preserve">
Type I here related to MS specific</t>
        </r>
      </text>
    </comment>
    <comment ref="Y382" authorId="0" shapeId="0" xr:uid="{8951298B-0319-4809-9665-DFC2CAAF7002}">
      <text>
        <r>
          <rPr>
            <b/>
            <sz val="9"/>
            <color indexed="81"/>
            <rFont val="Tahoma"/>
            <family val="2"/>
          </rPr>
          <t>Christian:</t>
        </r>
        <r>
          <rPr>
            <sz val="9"/>
            <color indexed="81"/>
            <rFont val="Tahoma"/>
            <family val="2"/>
          </rPr>
          <t xml:space="preserve">
NA if fossil</t>
        </r>
      </text>
    </comment>
    <comment ref="AS382" authorId="0" shapeId="0" xr:uid="{675B77CD-BB8A-4E52-ADBE-63524AAC30AD}">
      <text>
        <r>
          <rPr>
            <b/>
            <sz val="9"/>
            <color indexed="81"/>
            <rFont val="Tahoma"/>
            <family val="2"/>
          </rPr>
          <t>Christian:</t>
        </r>
        <r>
          <rPr>
            <sz val="9"/>
            <color indexed="81"/>
            <rFont val="Tahoma"/>
            <family val="2"/>
          </rPr>
          <t xml:space="preserve">
Type I here related to MS specific</t>
        </r>
      </text>
    </comment>
    <comment ref="Y383" authorId="0" shapeId="0" xr:uid="{9A004306-C127-4BC2-AB35-E5182CACEEBB}">
      <text>
        <r>
          <rPr>
            <b/>
            <sz val="9"/>
            <color indexed="81"/>
            <rFont val="Tahoma"/>
            <family val="2"/>
          </rPr>
          <t>Christian:</t>
        </r>
        <r>
          <rPr>
            <sz val="9"/>
            <color indexed="81"/>
            <rFont val="Tahoma"/>
            <family val="2"/>
          </rPr>
          <t xml:space="preserve">
NA if fossil</t>
        </r>
      </text>
    </comment>
    <comment ref="AS383" authorId="0" shapeId="0" xr:uid="{FB60397C-475D-451B-B0E3-3B6B5F56507B}">
      <text>
        <r>
          <rPr>
            <b/>
            <sz val="9"/>
            <color indexed="81"/>
            <rFont val="Tahoma"/>
            <family val="2"/>
          </rPr>
          <t>Christian:</t>
        </r>
        <r>
          <rPr>
            <sz val="9"/>
            <color indexed="81"/>
            <rFont val="Tahoma"/>
            <family val="2"/>
          </rPr>
          <t xml:space="preserve">
Type I here related to MS specific</t>
        </r>
      </text>
    </comment>
    <comment ref="Y385" authorId="0" shapeId="0" xr:uid="{DAFE36E1-8457-49EF-BB14-FDAA4D5FBB71}">
      <text>
        <r>
          <rPr>
            <b/>
            <sz val="9"/>
            <color indexed="81"/>
            <rFont val="Tahoma"/>
            <family val="2"/>
          </rPr>
          <t>Christian:</t>
        </r>
        <r>
          <rPr>
            <sz val="9"/>
            <color indexed="81"/>
            <rFont val="Tahoma"/>
            <family val="2"/>
          </rPr>
          <t xml:space="preserve">
NA if fossil</t>
        </r>
      </text>
    </comment>
    <comment ref="Y406" authorId="0" shapeId="0" xr:uid="{21CE08A6-7AAE-4B67-9ACE-CBBBF6F737F0}">
      <text>
        <r>
          <rPr>
            <b/>
            <sz val="9"/>
            <color indexed="81"/>
            <rFont val="Tahoma"/>
            <family val="2"/>
          </rPr>
          <t>Christian:</t>
        </r>
        <r>
          <rPr>
            <sz val="9"/>
            <color indexed="81"/>
            <rFont val="Tahoma"/>
            <family val="2"/>
          </rPr>
          <t xml:space="preserve">
NA if fossil</t>
        </r>
      </text>
    </comment>
    <comment ref="AS406" authorId="0" shapeId="0" xr:uid="{BCCED12C-C3BA-40D0-9012-0CB06815A89D}">
      <text>
        <r>
          <rPr>
            <b/>
            <sz val="9"/>
            <color indexed="81"/>
            <rFont val="Tahoma"/>
            <family val="2"/>
          </rPr>
          <t>Christian:</t>
        </r>
        <r>
          <rPr>
            <sz val="9"/>
            <color indexed="81"/>
            <rFont val="Tahoma"/>
            <family val="2"/>
          </rPr>
          <t xml:space="preserve">
Type I here related to MS specific</t>
        </r>
      </text>
    </comment>
    <comment ref="Y407" authorId="0" shapeId="0" xr:uid="{FBAD705C-4DAD-4A1D-B0F5-90D288C93408}">
      <text>
        <r>
          <rPr>
            <b/>
            <sz val="9"/>
            <color indexed="81"/>
            <rFont val="Tahoma"/>
            <family val="2"/>
          </rPr>
          <t>Christian:</t>
        </r>
        <r>
          <rPr>
            <sz val="9"/>
            <color indexed="81"/>
            <rFont val="Tahoma"/>
            <family val="2"/>
          </rPr>
          <t xml:space="preserve">
NA if fossil</t>
        </r>
      </text>
    </comment>
    <comment ref="AS407" authorId="0" shapeId="0" xr:uid="{B67CB979-25C8-42CF-BA2B-A1726266F807}">
      <text>
        <r>
          <rPr>
            <b/>
            <sz val="9"/>
            <color indexed="81"/>
            <rFont val="Tahoma"/>
            <family val="2"/>
          </rPr>
          <t>Christian:</t>
        </r>
        <r>
          <rPr>
            <sz val="9"/>
            <color indexed="81"/>
            <rFont val="Tahoma"/>
            <family val="2"/>
          </rPr>
          <t xml:space="preserve">
Type I here related to MS specific</t>
        </r>
      </text>
    </comment>
    <comment ref="Y408" authorId="0" shapeId="0" xr:uid="{0AA885B2-F5E7-413B-BFAD-B8BB081A75AF}">
      <text>
        <r>
          <rPr>
            <b/>
            <sz val="9"/>
            <color indexed="81"/>
            <rFont val="Tahoma"/>
            <family val="2"/>
          </rPr>
          <t>Christian:</t>
        </r>
        <r>
          <rPr>
            <sz val="9"/>
            <color indexed="81"/>
            <rFont val="Tahoma"/>
            <family val="2"/>
          </rPr>
          <t xml:space="preserve">
NA if fossil</t>
        </r>
      </text>
    </comment>
    <comment ref="AS408" authorId="0" shapeId="0" xr:uid="{82C4E2DA-4A2E-40FA-90F0-01E99DD211CD}">
      <text>
        <r>
          <rPr>
            <b/>
            <sz val="9"/>
            <color indexed="81"/>
            <rFont val="Tahoma"/>
            <family val="2"/>
          </rPr>
          <t>Christian:</t>
        </r>
        <r>
          <rPr>
            <sz val="9"/>
            <color indexed="81"/>
            <rFont val="Tahoma"/>
            <family val="2"/>
          </rPr>
          <t xml:space="preserve">
Type I here related to MS specific</t>
        </r>
      </text>
    </comment>
    <comment ref="Y409" authorId="0" shapeId="0" xr:uid="{BDFA34D5-802E-4623-B0D7-F70A7BDDFC6D}">
      <text>
        <r>
          <rPr>
            <b/>
            <sz val="9"/>
            <color indexed="81"/>
            <rFont val="Tahoma"/>
            <family val="2"/>
          </rPr>
          <t>Christian:</t>
        </r>
        <r>
          <rPr>
            <sz val="9"/>
            <color indexed="81"/>
            <rFont val="Tahoma"/>
            <family val="2"/>
          </rPr>
          <t xml:space="preserve">
NA if fossil</t>
        </r>
      </text>
    </comment>
    <comment ref="AS409" authorId="0" shapeId="0" xr:uid="{C42C0D5A-B5EC-41D4-981C-2DE274D7AEFB}">
      <text>
        <r>
          <rPr>
            <b/>
            <sz val="9"/>
            <color indexed="81"/>
            <rFont val="Tahoma"/>
            <family val="2"/>
          </rPr>
          <t>Christian:</t>
        </r>
        <r>
          <rPr>
            <sz val="9"/>
            <color indexed="81"/>
            <rFont val="Tahoma"/>
            <family val="2"/>
          </rPr>
          <t xml:space="preserve">
Type I here related to MS specific</t>
        </r>
      </text>
    </comment>
    <comment ref="Y410" authorId="0" shapeId="0" xr:uid="{B8D300DA-237A-44D6-A20F-DF76AFB65D1C}">
      <text>
        <r>
          <rPr>
            <b/>
            <sz val="9"/>
            <color indexed="81"/>
            <rFont val="Tahoma"/>
            <family val="2"/>
          </rPr>
          <t>Christian:</t>
        </r>
        <r>
          <rPr>
            <sz val="9"/>
            <color indexed="81"/>
            <rFont val="Tahoma"/>
            <family val="2"/>
          </rPr>
          <t xml:space="preserve">
NA if fossil</t>
        </r>
      </text>
    </comment>
    <comment ref="AS410" authorId="0" shapeId="0" xr:uid="{B4473585-B17C-4467-BC7C-A0FBF72DB781}">
      <text>
        <r>
          <rPr>
            <b/>
            <sz val="9"/>
            <color indexed="81"/>
            <rFont val="Tahoma"/>
            <family val="2"/>
          </rPr>
          <t>Christian:</t>
        </r>
        <r>
          <rPr>
            <sz val="9"/>
            <color indexed="81"/>
            <rFont val="Tahoma"/>
            <family val="2"/>
          </rPr>
          <t xml:space="preserve">
Type I here related to MS specific</t>
        </r>
      </text>
    </comment>
    <comment ref="Y411" authorId="0" shapeId="0" xr:uid="{9A5B50F2-DF7E-4B49-B7F4-864B590139AE}">
      <text>
        <r>
          <rPr>
            <b/>
            <sz val="9"/>
            <color indexed="81"/>
            <rFont val="Tahoma"/>
            <family val="2"/>
          </rPr>
          <t>Christian:</t>
        </r>
        <r>
          <rPr>
            <sz val="9"/>
            <color indexed="81"/>
            <rFont val="Tahoma"/>
            <family val="2"/>
          </rPr>
          <t xml:space="preserve">
NA if fossil</t>
        </r>
      </text>
    </comment>
    <comment ref="AS411" authorId="0" shapeId="0" xr:uid="{4393D808-2264-4F98-9EC9-51C70190DE67}">
      <text>
        <r>
          <rPr>
            <b/>
            <sz val="9"/>
            <color indexed="81"/>
            <rFont val="Tahoma"/>
            <family val="2"/>
          </rPr>
          <t>Christian:</t>
        </r>
        <r>
          <rPr>
            <sz val="9"/>
            <color indexed="81"/>
            <rFont val="Tahoma"/>
            <family val="2"/>
          </rPr>
          <t xml:space="preserve">
Type I here related to MS specific</t>
        </r>
      </text>
    </comment>
    <comment ref="Y413" authorId="0" shapeId="0" xr:uid="{7A5A0907-2B4D-4EDA-A448-03BF0900E503}">
      <text>
        <r>
          <rPr>
            <b/>
            <sz val="9"/>
            <color indexed="81"/>
            <rFont val="Tahoma"/>
            <family val="2"/>
          </rPr>
          <t>Christian:</t>
        </r>
        <r>
          <rPr>
            <sz val="9"/>
            <color indexed="81"/>
            <rFont val="Tahoma"/>
            <family val="2"/>
          </rPr>
          <t xml:space="preserve">
NA if fossil</t>
        </r>
      </text>
    </comment>
    <comment ref="Y434" authorId="0" shapeId="0" xr:uid="{91977BAE-2848-4344-A8C3-895FDA770913}">
      <text>
        <r>
          <rPr>
            <b/>
            <sz val="9"/>
            <color indexed="81"/>
            <rFont val="Tahoma"/>
            <family val="2"/>
          </rPr>
          <t>Christian:</t>
        </r>
        <r>
          <rPr>
            <sz val="9"/>
            <color indexed="81"/>
            <rFont val="Tahoma"/>
            <family val="2"/>
          </rPr>
          <t xml:space="preserve">
NA if fossil</t>
        </r>
      </text>
    </comment>
    <comment ref="AS434" authorId="0" shapeId="0" xr:uid="{204CB620-007D-4B69-BE5A-5630100D0014}">
      <text>
        <r>
          <rPr>
            <b/>
            <sz val="9"/>
            <color indexed="81"/>
            <rFont val="Tahoma"/>
            <family val="2"/>
          </rPr>
          <t>Christian:</t>
        </r>
        <r>
          <rPr>
            <sz val="9"/>
            <color indexed="81"/>
            <rFont val="Tahoma"/>
            <family val="2"/>
          </rPr>
          <t xml:space="preserve">
Type I here related to MS specific</t>
        </r>
      </text>
    </comment>
    <comment ref="Y435" authorId="0" shapeId="0" xr:uid="{6B870631-892D-49DE-8648-37F26D786522}">
      <text>
        <r>
          <rPr>
            <b/>
            <sz val="9"/>
            <color indexed="81"/>
            <rFont val="Tahoma"/>
            <family val="2"/>
          </rPr>
          <t>Christian:</t>
        </r>
        <r>
          <rPr>
            <sz val="9"/>
            <color indexed="81"/>
            <rFont val="Tahoma"/>
            <family val="2"/>
          </rPr>
          <t xml:space="preserve">
NA if fossil</t>
        </r>
      </text>
    </comment>
    <comment ref="AS435" authorId="0" shapeId="0" xr:uid="{BDC54B06-6D50-4224-898A-C216BDCC95CF}">
      <text>
        <r>
          <rPr>
            <b/>
            <sz val="9"/>
            <color indexed="81"/>
            <rFont val="Tahoma"/>
            <family val="2"/>
          </rPr>
          <t>Christian:</t>
        </r>
        <r>
          <rPr>
            <sz val="9"/>
            <color indexed="81"/>
            <rFont val="Tahoma"/>
            <family val="2"/>
          </rPr>
          <t xml:space="preserve">
Type I here related to MS specific</t>
        </r>
      </text>
    </comment>
    <comment ref="Y436" authorId="0" shapeId="0" xr:uid="{EF9DDDFD-CB7C-40A3-9D84-15FF2A36FA9A}">
      <text>
        <r>
          <rPr>
            <b/>
            <sz val="9"/>
            <color indexed="81"/>
            <rFont val="Tahoma"/>
            <family val="2"/>
          </rPr>
          <t>Christian:</t>
        </r>
        <r>
          <rPr>
            <sz val="9"/>
            <color indexed="81"/>
            <rFont val="Tahoma"/>
            <family val="2"/>
          </rPr>
          <t xml:space="preserve">
NA if fossil</t>
        </r>
      </text>
    </comment>
    <comment ref="AS436" authorId="0" shapeId="0" xr:uid="{D9B951F0-ED7D-4744-9F1A-8C1EBFC34E51}">
      <text>
        <r>
          <rPr>
            <b/>
            <sz val="9"/>
            <color indexed="81"/>
            <rFont val="Tahoma"/>
            <family val="2"/>
          </rPr>
          <t>Christian:</t>
        </r>
        <r>
          <rPr>
            <sz val="9"/>
            <color indexed="81"/>
            <rFont val="Tahoma"/>
            <family val="2"/>
          </rPr>
          <t xml:space="preserve">
Type I here related to MS specific</t>
        </r>
      </text>
    </comment>
    <comment ref="Y437" authorId="0" shapeId="0" xr:uid="{6D0B9CAB-2047-4779-B985-0DEADA0A104B}">
      <text>
        <r>
          <rPr>
            <b/>
            <sz val="9"/>
            <color indexed="81"/>
            <rFont val="Tahoma"/>
            <family val="2"/>
          </rPr>
          <t>Christian:</t>
        </r>
        <r>
          <rPr>
            <sz val="9"/>
            <color indexed="81"/>
            <rFont val="Tahoma"/>
            <family val="2"/>
          </rPr>
          <t xml:space="preserve">
NA if fossil</t>
        </r>
      </text>
    </comment>
    <comment ref="AS437" authorId="0" shapeId="0" xr:uid="{B6DBD4F1-45CF-4455-930B-64190E8D9DA6}">
      <text>
        <r>
          <rPr>
            <b/>
            <sz val="9"/>
            <color indexed="81"/>
            <rFont val="Tahoma"/>
            <family val="2"/>
          </rPr>
          <t>Christian:</t>
        </r>
        <r>
          <rPr>
            <sz val="9"/>
            <color indexed="81"/>
            <rFont val="Tahoma"/>
            <family val="2"/>
          </rPr>
          <t xml:space="preserve">
Type I here related to MS specific</t>
        </r>
      </text>
    </comment>
    <comment ref="Y438" authorId="0" shapeId="0" xr:uid="{D4FF5EF8-BE40-4AA0-A2D5-F4BF8B27BC2D}">
      <text>
        <r>
          <rPr>
            <b/>
            <sz val="9"/>
            <color indexed="81"/>
            <rFont val="Tahoma"/>
            <family val="2"/>
          </rPr>
          <t>Christian:</t>
        </r>
        <r>
          <rPr>
            <sz val="9"/>
            <color indexed="81"/>
            <rFont val="Tahoma"/>
            <family val="2"/>
          </rPr>
          <t xml:space="preserve">
NA if fossil</t>
        </r>
      </text>
    </comment>
    <comment ref="AS438" authorId="0" shapeId="0" xr:uid="{0DCE954F-2E5B-4420-8D53-D76477521D3A}">
      <text>
        <r>
          <rPr>
            <b/>
            <sz val="9"/>
            <color indexed="81"/>
            <rFont val="Tahoma"/>
            <family val="2"/>
          </rPr>
          <t>Christian:</t>
        </r>
        <r>
          <rPr>
            <sz val="9"/>
            <color indexed="81"/>
            <rFont val="Tahoma"/>
            <family val="2"/>
          </rPr>
          <t xml:space="preserve">
Type I here related to MS specific</t>
        </r>
      </text>
    </comment>
    <comment ref="Y439" authorId="0" shapeId="0" xr:uid="{527D6554-41BA-4C27-B9D3-5379B76AAC9A}">
      <text>
        <r>
          <rPr>
            <b/>
            <sz val="9"/>
            <color indexed="81"/>
            <rFont val="Tahoma"/>
            <family val="2"/>
          </rPr>
          <t>Christian:</t>
        </r>
        <r>
          <rPr>
            <sz val="9"/>
            <color indexed="81"/>
            <rFont val="Tahoma"/>
            <family val="2"/>
          </rPr>
          <t xml:space="preserve">
NA if fossil</t>
        </r>
      </text>
    </comment>
    <comment ref="AS439" authorId="0" shapeId="0" xr:uid="{E841F5F7-437B-45C2-82FC-6BD218F5DF8A}">
      <text>
        <r>
          <rPr>
            <b/>
            <sz val="9"/>
            <color indexed="81"/>
            <rFont val="Tahoma"/>
            <family val="2"/>
          </rPr>
          <t>Christian:</t>
        </r>
        <r>
          <rPr>
            <sz val="9"/>
            <color indexed="81"/>
            <rFont val="Tahoma"/>
            <family val="2"/>
          </rPr>
          <t xml:space="preserve">
Type I here related to MS specific</t>
        </r>
      </text>
    </comment>
    <comment ref="Y441" authorId="0" shapeId="0" xr:uid="{76CA09AC-4E2E-4CB4-A5C2-5972293EDC2A}">
      <text>
        <r>
          <rPr>
            <b/>
            <sz val="9"/>
            <color indexed="81"/>
            <rFont val="Tahoma"/>
            <family val="2"/>
          </rPr>
          <t>Christian:</t>
        </r>
        <r>
          <rPr>
            <sz val="9"/>
            <color indexed="81"/>
            <rFont val="Tahoma"/>
            <family val="2"/>
          </rPr>
          <t xml:space="preserve">
NA if fossil</t>
        </r>
      </text>
    </comment>
    <comment ref="Y462" authorId="0" shapeId="0" xr:uid="{8069E598-92F1-4931-A66C-3487A24E995C}">
      <text>
        <r>
          <rPr>
            <b/>
            <sz val="9"/>
            <color indexed="81"/>
            <rFont val="Tahoma"/>
            <family val="2"/>
          </rPr>
          <t>Christian:</t>
        </r>
        <r>
          <rPr>
            <sz val="9"/>
            <color indexed="81"/>
            <rFont val="Tahoma"/>
            <family val="2"/>
          </rPr>
          <t xml:space="preserve">
NA if fossil</t>
        </r>
      </text>
    </comment>
    <comment ref="AS462" authorId="0" shapeId="0" xr:uid="{A6B9D722-C5F2-4FCB-A697-90787756E0E8}">
      <text>
        <r>
          <rPr>
            <b/>
            <sz val="9"/>
            <color indexed="81"/>
            <rFont val="Tahoma"/>
            <family val="2"/>
          </rPr>
          <t>Christian:</t>
        </r>
        <r>
          <rPr>
            <sz val="9"/>
            <color indexed="81"/>
            <rFont val="Tahoma"/>
            <family val="2"/>
          </rPr>
          <t xml:space="preserve">
Type I here related to MS specific</t>
        </r>
      </text>
    </comment>
    <comment ref="Y463" authorId="0" shapeId="0" xr:uid="{23017A68-0ED0-424E-A5F7-2D98913A7C5D}">
      <text>
        <r>
          <rPr>
            <b/>
            <sz val="9"/>
            <color indexed="81"/>
            <rFont val="Tahoma"/>
            <family val="2"/>
          </rPr>
          <t>Christian:</t>
        </r>
        <r>
          <rPr>
            <sz val="9"/>
            <color indexed="81"/>
            <rFont val="Tahoma"/>
            <family val="2"/>
          </rPr>
          <t xml:space="preserve">
NA if fossil</t>
        </r>
      </text>
    </comment>
    <comment ref="AS463" authorId="0" shapeId="0" xr:uid="{8298B57B-DF6D-4F62-A5F7-F64F44D5BC3B}">
      <text>
        <r>
          <rPr>
            <b/>
            <sz val="9"/>
            <color indexed="81"/>
            <rFont val="Tahoma"/>
            <family val="2"/>
          </rPr>
          <t>Christian:</t>
        </r>
        <r>
          <rPr>
            <sz val="9"/>
            <color indexed="81"/>
            <rFont val="Tahoma"/>
            <family val="2"/>
          </rPr>
          <t xml:space="preserve">
Type I here related to MS specific</t>
        </r>
      </text>
    </comment>
    <comment ref="Y464" authorId="0" shapeId="0" xr:uid="{ADA1B22B-461A-4335-BDF4-A1179B6944BB}">
      <text>
        <r>
          <rPr>
            <b/>
            <sz val="9"/>
            <color indexed="81"/>
            <rFont val="Tahoma"/>
            <family val="2"/>
          </rPr>
          <t>Christian:</t>
        </r>
        <r>
          <rPr>
            <sz val="9"/>
            <color indexed="81"/>
            <rFont val="Tahoma"/>
            <family val="2"/>
          </rPr>
          <t xml:space="preserve">
NA if fossil</t>
        </r>
      </text>
    </comment>
    <comment ref="AS464" authorId="0" shapeId="0" xr:uid="{F87E6AD9-5ABB-4454-8A8A-C5167C3F77CD}">
      <text>
        <r>
          <rPr>
            <b/>
            <sz val="9"/>
            <color indexed="81"/>
            <rFont val="Tahoma"/>
            <family val="2"/>
          </rPr>
          <t>Christian:</t>
        </r>
        <r>
          <rPr>
            <sz val="9"/>
            <color indexed="81"/>
            <rFont val="Tahoma"/>
            <family val="2"/>
          </rPr>
          <t xml:space="preserve">
Type I here related to MS specific</t>
        </r>
      </text>
    </comment>
    <comment ref="Y465" authorId="0" shapeId="0" xr:uid="{84B81F76-6442-4EBD-8618-23BE5752CBBF}">
      <text>
        <r>
          <rPr>
            <b/>
            <sz val="9"/>
            <color indexed="81"/>
            <rFont val="Tahoma"/>
            <family val="2"/>
          </rPr>
          <t>Christian:</t>
        </r>
        <r>
          <rPr>
            <sz val="9"/>
            <color indexed="81"/>
            <rFont val="Tahoma"/>
            <family val="2"/>
          </rPr>
          <t xml:space="preserve">
NA if fossil</t>
        </r>
      </text>
    </comment>
    <comment ref="AS465" authorId="0" shapeId="0" xr:uid="{391354C0-6D9A-44FA-A611-2FC941AAE5B7}">
      <text>
        <r>
          <rPr>
            <b/>
            <sz val="9"/>
            <color indexed="81"/>
            <rFont val="Tahoma"/>
            <family val="2"/>
          </rPr>
          <t>Christian:</t>
        </r>
        <r>
          <rPr>
            <sz val="9"/>
            <color indexed="81"/>
            <rFont val="Tahoma"/>
            <family val="2"/>
          </rPr>
          <t xml:space="preserve">
Type I here related to MS specific</t>
        </r>
      </text>
    </comment>
    <comment ref="Y466" authorId="0" shapeId="0" xr:uid="{EB71B698-9850-4B51-A61F-F72282E19DFE}">
      <text>
        <r>
          <rPr>
            <b/>
            <sz val="9"/>
            <color indexed="81"/>
            <rFont val="Tahoma"/>
            <family val="2"/>
          </rPr>
          <t>Christian:</t>
        </r>
        <r>
          <rPr>
            <sz val="9"/>
            <color indexed="81"/>
            <rFont val="Tahoma"/>
            <family val="2"/>
          </rPr>
          <t xml:space="preserve">
NA if fossil</t>
        </r>
      </text>
    </comment>
    <comment ref="AS466" authorId="0" shapeId="0" xr:uid="{5E6E6A04-2CE0-42B5-BA3E-5F790507D810}">
      <text>
        <r>
          <rPr>
            <b/>
            <sz val="9"/>
            <color indexed="81"/>
            <rFont val="Tahoma"/>
            <family val="2"/>
          </rPr>
          <t>Christian:</t>
        </r>
        <r>
          <rPr>
            <sz val="9"/>
            <color indexed="81"/>
            <rFont val="Tahoma"/>
            <family val="2"/>
          </rPr>
          <t xml:space="preserve">
Type I here related to MS specific</t>
        </r>
      </text>
    </comment>
    <comment ref="Y467" authorId="0" shapeId="0" xr:uid="{CD52BC1E-F46D-4480-88DA-CA6926610195}">
      <text>
        <r>
          <rPr>
            <b/>
            <sz val="9"/>
            <color indexed="81"/>
            <rFont val="Tahoma"/>
            <family val="2"/>
          </rPr>
          <t>Christian:</t>
        </r>
        <r>
          <rPr>
            <sz val="9"/>
            <color indexed="81"/>
            <rFont val="Tahoma"/>
            <family val="2"/>
          </rPr>
          <t xml:space="preserve">
NA if fossil</t>
        </r>
      </text>
    </comment>
    <comment ref="AS467" authorId="0" shapeId="0" xr:uid="{51A05DCB-B31C-4E70-AAD7-67F42E08F700}">
      <text>
        <r>
          <rPr>
            <b/>
            <sz val="9"/>
            <color indexed="81"/>
            <rFont val="Tahoma"/>
            <family val="2"/>
          </rPr>
          <t>Christian:</t>
        </r>
        <r>
          <rPr>
            <sz val="9"/>
            <color indexed="81"/>
            <rFont val="Tahoma"/>
            <family val="2"/>
          </rPr>
          <t xml:space="preserve">
Type I here related to MS specific</t>
        </r>
      </text>
    </comment>
    <comment ref="Y469" authorId="0" shapeId="0" xr:uid="{1DC26E13-89CC-488E-88AD-03AF38874FED}">
      <text>
        <r>
          <rPr>
            <b/>
            <sz val="9"/>
            <color indexed="81"/>
            <rFont val="Tahoma"/>
            <family val="2"/>
          </rPr>
          <t>Christian:</t>
        </r>
        <r>
          <rPr>
            <sz val="9"/>
            <color indexed="81"/>
            <rFont val="Tahoma"/>
            <family val="2"/>
          </rPr>
          <t xml:space="preserve">
NA if fossil</t>
        </r>
      </text>
    </comment>
    <comment ref="Y490" authorId="0" shapeId="0" xr:uid="{EC3D14C3-725B-432E-AD4D-E4EBB82B13F1}">
      <text>
        <r>
          <rPr>
            <b/>
            <sz val="9"/>
            <color indexed="81"/>
            <rFont val="Tahoma"/>
            <family val="2"/>
          </rPr>
          <t>Christian:</t>
        </r>
        <r>
          <rPr>
            <sz val="9"/>
            <color indexed="81"/>
            <rFont val="Tahoma"/>
            <family val="2"/>
          </rPr>
          <t xml:space="preserve">
NA if fossil</t>
        </r>
      </text>
    </comment>
    <comment ref="AS490" authorId="0" shapeId="0" xr:uid="{E98249ED-A7D6-4EB4-844B-FB51C0C111B3}">
      <text>
        <r>
          <rPr>
            <b/>
            <sz val="9"/>
            <color indexed="81"/>
            <rFont val="Tahoma"/>
            <family val="2"/>
          </rPr>
          <t>Christian:</t>
        </r>
        <r>
          <rPr>
            <sz val="9"/>
            <color indexed="81"/>
            <rFont val="Tahoma"/>
            <family val="2"/>
          </rPr>
          <t xml:space="preserve">
Type I here related to MS specific</t>
        </r>
      </text>
    </comment>
    <comment ref="Y491" authorId="0" shapeId="0" xr:uid="{8353A3F6-2D3A-4AE4-9D73-A467E9313132}">
      <text>
        <r>
          <rPr>
            <b/>
            <sz val="9"/>
            <color indexed="81"/>
            <rFont val="Tahoma"/>
            <family val="2"/>
          </rPr>
          <t>Christian:</t>
        </r>
        <r>
          <rPr>
            <sz val="9"/>
            <color indexed="81"/>
            <rFont val="Tahoma"/>
            <family val="2"/>
          </rPr>
          <t xml:space="preserve">
NA if fossil</t>
        </r>
      </text>
    </comment>
    <comment ref="AS491" authorId="0" shapeId="0" xr:uid="{F0789599-050F-435F-A609-48AD6DE243B4}">
      <text>
        <r>
          <rPr>
            <b/>
            <sz val="9"/>
            <color indexed="81"/>
            <rFont val="Tahoma"/>
            <family val="2"/>
          </rPr>
          <t>Christian:</t>
        </r>
        <r>
          <rPr>
            <sz val="9"/>
            <color indexed="81"/>
            <rFont val="Tahoma"/>
            <family val="2"/>
          </rPr>
          <t xml:space="preserve">
Type I here related to MS specific</t>
        </r>
      </text>
    </comment>
    <comment ref="Y492" authorId="0" shapeId="0" xr:uid="{25B33C37-8047-4E45-B119-44DB7C07E2F1}">
      <text>
        <r>
          <rPr>
            <b/>
            <sz val="9"/>
            <color indexed="81"/>
            <rFont val="Tahoma"/>
            <family val="2"/>
          </rPr>
          <t>Christian:</t>
        </r>
        <r>
          <rPr>
            <sz val="9"/>
            <color indexed="81"/>
            <rFont val="Tahoma"/>
            <family val="2"/>
          </rPr>
          <t xml:space="preserve">
NA if fossil</t>
        </r>
      </text>
    </comment>
    <comment ref="AS492" authorId="0" shapeId="0" xr:uid="{99CD0054-6D3A-45C6-81A3-5B1F026AA120}">
      <text>
        <r>
          <rPr>
            <b/>
            <sz val="9"/>
            <color indexed="81"/>
            <rFont val="Tahoma"/>
            <family val="2"/>
          </rPr>
          <t>Christian:</t>
        </r>
        <r>
          <rPr>
            <sz val="9"/>
            <color indexed="81"/>
            <rFont val="Tahoma"/>
            <family val="2"/>
          </rPr>
          <t xml:space="preserve">
Type I here related to MS specific</t>
        </r>
      </text>
    </comment>
    <comment ref="Y493" authorId="0" shapeId="0" xr:uid="{D4827D5D-4B8D-48A0-9285-A756508AB15A}">
      <text>
        <r>
          <rPr>
            <b/>
            <sz val="9"/>
            <color indexed="81"/>
            <rFont val="Tahoma"/>
            <family val="2"/>
          </rPr>
          <t>Christian:</t>
        </r>
        <r>
          <rPr>
            <sz val="9"/>
            <color indexed="81"/>
            <rFont val="Tahoma"/>
            <family val="2"/>
          </rPr>
          <t xml:space="preserve">
NA if fossil</t>
        </r>
      </text>
    </comment>
    <comment ref="AS493" authorId="0" shapeId="0" xr:uid="{C9E7346F-F8A3-424F-8AF8-F1E2835C7ABF}">
      <text>
        <r>
          <rPr>
            <b/>
            <sz val="9"/>
            <color indexed="81"/>
            <rFont val="Tahoma"/>
            <family val="2"/>
          </rPr>
          <t>Christian:</t>
        </r>
        <r>
          <rPr>
            <sz val="9"/>
            <color indexed="81"/>
            <rFont val="Tahoma"/>
            <family val="2"/>
          </rPr>
          <t xml:space="preserve">
Type I here related to MS specific</t>
        </r>
      </text>
    </comment>
    <comment ref="Y494" authorId="0" shapeId="0" xr:uid="{ACF11BC1-39A2-45BC-9927-31498B866E66}">
      <text>
        <r>
          <rPr>
            <b/>
            <sz val="9"/>
            <color indexed="81"/>
            <rFont val="Tahoma"/>
            <family val="2"/>
          </rPr>
          <t>Christian:</t>
        </r>
        <r>
          <rPr>
            <sz val="9"/>
            <color indexed="81"/>
            <rFont val="Tahoma"/>
            <family val="2"/>
          </rPr>
          <t xml:space="preserve">
NA if fossil</t>
        </r>
      </text>
    </comment>
    <comment ref="AS494" authorId="0" shapeId="0" xr:uid="{4F61C512-5E31-45E3-AEEE-2B52645F10CF}">
      <text>
        <r>
          <rPr>
            <b/>
            <sz val="9"/>
            <color indexed="81"/>
            <rFont val="Tahoma"/>
            <family val="2"/>
          </rPr>
          <t>Christian:</t>
        </r>
        <r>
          <rPr>
            <sz val="9"/>
            <color indexed="81"/>
            <rFont val="Tahoma"/>
            <family val="2"/>
          </rPr>
          <t xml:space="preserve">
Type I here related to MS specific</t>
        </r>
      </text>
    </comment>
    <comment ref="Y495" authorId="0" shapeId="0" xr:uid="{CA7E4139-E4AD-48DB-9A55-8DEE1517D96C}">
      <text>
        <r>
          <rPr>
            <b/>
            <sz val="9"/>
            <color indexed="81"/>
            <rFont val="Tahoma"/>
            <family val="2"/>
          </rPr>
          <t>Christian:</t>
        </r>
        <r>
          <rPr>
            <sz val="9"/>
            <color indexed="81"/>
            <rFont val="Tahoma"/>
            <family val="2"/>
          </rPr>
          <t xml:space="preserve">
NA if fossil</t>
        </r>
      </text>
    </comment>
    <comment ref="AS495" authorId="0" shapeId="0" xr:uid="{088BDC99-D59C-4A26-BD31-2FBAF1BF0823}">
      <text>
        <r>
          <rPr>
            <b/>
            <sz val="9"/>
            <color indexed="81"/>
            <rFont val="Tahoma"/>
            <family val="2"/>
          </rPr>
          <t>Christian:</t>
        </r>
        <r>
          <rPr>
            <sz val="9"/>
            <color indexed="81"/>
            <rFont val="Tahoma"/>
            <family val="2"/>
          </rPr>
          <t xml:space="preserve">
Type I here related to MS specific</t>
        </r>
      </text>
    </comment>
    <comment ref="Y497" authorId="0" shapeId="0" xr:uid="{F666EDB2-EB68-4BD0-9623-C2844B83C0FB}">
      <text>
        <r>
          <rPr>
            <b/>
            <sz val="9"/>
            <color indexed="81"/>
            <rFont val="Tahoma"/>
            <family val="2"/>
          </rPr>
          <t>Christian:</t>
        </r>
        <r>
          <rPr>
            <sz val="9"/>
            <color indexed="81"/>
            <rFont val="Tahoma"/>
            <family val="2"/>
          </rPr>
          <t xml:space="preserve">
NA if fossil</t>
        </r>
      </text>
    </comment>
    <comment ref="Y518" authorId="0" shapeId="0" xr:uid="{84FE5D6F-30FC-429A-9B3B-2B3D737F0632}">
      <text>
        <r>
          <rPr>
            <b/>
            <sz val="9"/>
            <color indexed="81"/>
            <rFont val="Tahoma"/>
            <family val="2"/>
          </rPr>
          <t>Christian:</t>
        </r>
        <r>
          <rPr>
            <sz val="9"/>
            <color indexed="81"/>
            <rFont val="Tahoma"/>
            <family val="2"/>
          </rPr>
          <t xml:space="preserve">
NA if fossil</t>
        </r>
      </text>
    </comment>
    <comment ref="AS518" authorId="0" shapeId="0" xr:uid="{B25EFE37-4F43-421A-ACA8-8A59E26F109D}">
      <text>
        <r>
          <rPr>
            <b/>
            <sz val="9"/>
            <color indexed="81"/>
            <rFont val="Tahoma"/>
            <family val="2"/>
          </rPr>
          <t>Christian:</t>
        </r>
        <r>
          <rPr>
            <sz val="9"/>
            <color indexed="81"/>
            <rFont val="Tahoma"/>
            <family val="2"/>
          </rPr>
          <t xml:space="preserve">
Type I here related to MS specific</t>
        </r>
      </text>
    </comment>
    <comment ref="Y519" authorId="0" shapeId="0" xr:uid="{43D2B796-10F9-431F-9700-A7E17A1525D3}">
      <text>
        <r>
          <rPr>
            <b/>
            <sz val="9"/>
            <color indexed="81"/>
            <rFont val="Tahoma"/>
            <family val="2"/>
          </rPr>
          <t>Christian:</t>
        </r>
        <r>
          <rPr>
            <sz val="9"/>
            <color indexed="81"/>
            <rFont val="Tahoma"/>
            <family val="2"/>
          </rPr>
          <t xml:space="preserve">
NA if fossil</t>
        </r>
      </text>
    </comment>
    <comment ref="AS519" authorId="0" shapeId="0" xr:uid="{AC9D692A-2304-415A-AEF0-F541085CAA49}">
      <text>
        <r>
          <rPr>
            <b/>
            <sz val="9"/>
            <color indexed="81"/>
            <rFont val="Tahoma"/>
            <family val="2"/>
          </rPr>
          <t>Christian:</t>
        </r>
        <r>
          <rPr>
            <sz val="9"/>
            <color indexed="81"/>
            <rFont val="Tahoma"/>
            <family val="2"/>
          </rPr>
          <t xml:space="preserve">
Type I here related to MS specific</t>
        </r>
      </text>
    </comment>
    <comment ref="Y520" authorId="0" shapeId="0" xr:uid="{A731EDCF-2920-45FE-9C14-9C0A59C4C3E9}">
      <text>
        <r>
          <rPr>
            <b/>
            <sz val="9"/>
            <color indexed="81"/>
            <rFont val="Tahoma"/>
            <family val="2"/>
          </rPr>
          <t>Christian:</t>
        </r>
        <r>
          <rPr>
            <sz val="9"/>
            <color indexed="81"/>
            <rFont val="Tahoma"/>
            <family val="2"/>
          </rPr>
          <t xml:space="preserve">
NA if fossil</t>
        </r>
      </text>
    </comment>
    <comment ref="AS520" authorId="0" shapeId="0" xr:uid="{DA0593EC-9C7F-4628-9225-48E18CE2F11D}">
      <text>
        <r>
          <rPr>
            <b/>
            <sz val="9"/>
            <color indexed="81"/>
            <rFont val="Tahoma"/>
            <family val="2"/>
          </rPr>
          <t>Christian:</t>
        </r>
        <r>
          <rPr>
            <sz val="9"/>
            <color indexed="81"/>
            <rFont val="Tahoma"/>
            <family val="2"/>
          </rPr>
          <t xml:space="preserve">
Type I here related to MS specific</t>
        </r>
      </text>
    </comment>
    <comment ref="Y521" authorId="0" shapeId="0" xr:uid="{5758A101-25CB-4814-BBDC-62C54B8EB7CB}">
      <text>
        <r>
          <rPr>
            <b/>
            <sz val="9"/>
            <color indexed="81"/>
            <rFont val="Tahoma"/>
            <family val="2"/>
          </rPr>
          <t>Christian:</t>
        </r>
        <r>
          <rPr>
            <sz val="9"/>
            <color indexed="81"/>
            <rFont val="Tahoma"/>
            <family val="2"/>
          </rPr>
          <t xml:space="preserve">
NA if fossil</t>
        </r>
      </text>
    </comment>
    <comment ref="AS521" authorId="0" shapeId="0" xr:uid="{A113938B-AF47-44F7-A7BE-BA2745B8E15F}">
      <text>
        <r>
          <rPr>
            <b/>
            <sz val="9"/>
            <color indexed="81"/>
            <rFont val="Tahoma"/>
            <family val="2"/>
          </rPr>
          <t>Christian:</t>
        </r>
        <r>
          <rPr>
            <sz val="9"/>
            <color indexed="81"/>
            <rFont val="Tahoma"/>
            <family val="2"/>
          </rPr>
          <t xml:space="preserve">
Type I here related to MS specific</t>
        </r>
      </text>
    </comment>
    <comment ref="Y522" authorId="0" shapeId="0" xr:uid="{BD7CCDB4-34E3-4244-8DB2-08AA5044DA78}">
      <text>
        <r>
          <rPr>
            <b/>
            <sz val="9"/>
            <color indexed="81"/>
            <rFont val="Tahoma"/>
            <family val="2"/>
          </rPr>
          <t>Christian:</t>
        </r>
        <r>
          <rPr>
            <sz val="9"/>
            <color indexed="81"/>
            <rFont val="Tahoma"/>
            <family val="2"/>
          </rPr>
          <t xml:space="preserve">
NA if fossil</t>
        </r>
      </text>
    </comment>
    <comment ref="AS522" authorId="0" shapeId="0" xr:uid="{4D970BE3-A838-4C5A-8FB9-25DDC12CAA07}">
      <text>
        <r>
          <rPr>
            <b/>
            <sz val="9"/>
            <color indexed="81"/>
            <rFont val="Tahoma"/>
            <family val="2"/>
          </rPr>
          <t>Christian:</t>
        </r>
        <r>
          <rPr>
            <sz val="9"/>
            <color indexed="81"/>
            <rFont val="Tahoma"/>
            <family val="2"/>
          </rPr>
          <t xml:space="preserve">
Type I here related to MS specific</t>
        </r>
      </text>
    </comment>
    <comment ref="Y523" authorId="0" shapeId="0" xr:uid="{71EAE28C-0A31-4D51-8D95-37A8B8D1D4A4}">
      <text>
        <r>
          <rPr>
            <b/>
            <sz val="9"/>
            <color indexed="81"/>
            <rFont val="Tahoma"/>
            <family val="2"/>
          </rPr>
          <t>Christian:</t>
        </r>
        <r>
          <rPr>
            <sz val="9"/>
            <color indexed="81"/>
            <rFont val="Tahoma"/>
            <family val="2"/>
          </rPr>
          <t xml:space="preserve">
NA if fossil</t>
        </r>
      </text>
    </comment>
    <comment ref="AS523" authorId="0" shapeId="0" xr:uid="{D0961BA6-D08C-434F-950D-3619517D6915}">
      <text>
        <r>
          <rPr>
            <b/>
            <sz val="9"/>
            <color indexed="81"/>
            <rFont val="Tahoma"/>
            <family val="2"/>
          </rPr>
          <t>Christian:</t>
        </r>
        <r>
          <rPr>
            <sz val="9"/>
            <color indexed="81"/>
            <rFont val="Tahoma"/>
            <family val="2"/>
          </rPr>
          <t xml:space="preserve">
Type I here related to MS specific</t>
        </r>
      </text>
    </comment>
    <comment ref="Y525" authorId="0" shapeId="0" xr:uid="{1DCECB3F-D583-435A-8585-EF1F72F32B67}">
      <text>
        <r>
          <rPr>
            <b/>
            <sz val="9"/>
            <color indexed="81"/>
            <rFont val="Tahoma"/>
            <family val="2"/>
          </rPr>
          <t>Christian:</t>
        </r>
        <r>
          <rPr>
            <sz val="9"/>
            <color indexed="81"/>
            <rFont val="Tahoma"/>
            <family val="2"/>
          </rPr>
          <t xml:space="preserve">
NA if fossil</t>
        </r>
      </text>
    </comment>
    <comment ref="Y546" authorId="0" shapeId="0" xr:uid="{90420E22-14C6-4946-933F-444B06661E9D}">
      <text>
        <r>
          <rPr>
            <b/>
            <sz val="9"/>
            <color indexed="81"/>
            <rFont val="Tahoma"/>
            <family val="2"/>
          </rPr>
          <t>Christian:</t>
        </r>
        <r>
          <rPr>
            <sz val="9"/>
            <color indexed="81"/>
            <rFont val="Tahoma"/>
            <family val="2"/>
          </rPr>
          <t xml:space="preserve">
NA if fossil</t>
        </r>
      </text>
    </comment>
    <comment ref="AS546" authorId="0" shapeId="0" xr:uid="{165B735F-BF70-46F9-84EF-08C55C3C74B7}">
      <text>
        <r>
          <rPr>
            <b/>
            <sz val="9"/>
            <color indexed="81"/>
            <rFont val="Tahoma"/>
            <family val="2"/>
          </rPr>
          <t>Christian:</t>
        </r>
        <r>
          <rPr>
            <sz val="9"/>
            <color indexed="81"/>
            <rFont val="Tahoma"/>
            <family val="2"/>
          </rPr>
          <t xml:space="preserve">
Type I here related to MS specific</t>
        </r>
      </text>
    </comment>
    <comment ref="Y547" authorId="0" shapeId="0" xr:uid="{C45CBC48-8375-46F6-A5EC-B6831D203945}">
      <text>
        <r>
          <rPr>
            <b/>
            <sz val="9"/>
            <color indexed="81"/>
            <rFont val="Tahoma"/>
            <family val="2"/>
          </rPr>
          <t>Christian:</t>
        </r>
        <r>
          <rPr>
            <sz val="9"/>
            <color indexed="81"/>
            <rFont val="Tahoma"/>
            <family val="2"/>
          </rPr>
          <t xml:space="preserve">
NA if fossil</t>
        </r>
      </text>
    </comment>
    <comment ref="AS547" authorId="0" shapeId="0" xr:uid="{7B1AE589-46C8-4C7B-8A4A-743FF68E8A85}">
      <text>
        <r>
          <rPr>
            <b/>
            <sz val="9"/>
            <color indexed="81"/>
            <rFont val="Tahoma"/>
            <family val="2"/>
          </rPr>
          <t>Christian:</t>
        </r>
        <r>
          <rPr>
            <sz val="9"/>
            <color indexed="81"/>
            <rFont val="Tahoma"/>
            <family val="2"/>
          </rPr>
          <t xml:space="preserve">
Type I here related to MS specific</t>
        </r>
      </text>
    </comment>
    <comment ref="Y548" authorId="0" shapeId="0" xr:uid="{10FBFAA9-9626-42DC-B931-89496DC91B16}">
      <text>
        <r>
          <rPr>
            <b/>
            <sz val="9"/>
            <color indexed="81"/>
            <rFont val="Tahoma"/>
            <family val="2"/>
          </rPr>
          <t>Christian:</t>
        </r>
        <r>
          <rPr>
            <sz val="9"/>
            <color indexed="81"/>
            <rFont val="Tahoma"/>
            <family val="2"/>
          </rPr>
          <t xml:space="preserve">
NA if fossil</t>
        </r>
      </text>
    </comment>
    <comment ref="AS548" authorId="0" shapeId="0" xr:uid="{7B58DC38-3B5A-4A15-9FB7-F732AF56773C}">
      <text>
        <r>
          <rPr>
            <b/>
            <sz val="9"/>
            <color indexed="81"/>
            <rFont val="Tahoma"/>
            <family val="2"/>
          </rPr>
          <t>Christian:</t>
        </r>
        <r>
          <rPr>
            <sz val="9"/>
            <color indexed="81"/>
            <rFont val="Tahoma"/>
            <family val="2"/>
          </rPr>
          <t xml:space="preserve">
Type I here related to MS specific</t>
        </r>
      </text>
    </comment>
    <comment ref="Y549" authorId="0" shapeId="0" xr:uid="{7C45034C-E8A6-4DF0-9A25-2FA92861E3EA}">
      <text>
        <r>
          <rPr>
            <b/>
            <sz val="9"/>
            <color indexed="81"/>
            <rFont val="Tahoma"/>
            <family val="2"/>
          </rPr>
          <t>Christian:</t>
        </r>
        <r>
          <rPr>
            <sz val="9"/>
            <color indexed="81"/>
            <rFont val="Tahoma"/>
            <family val="2"/>
          </rPr>
          <t xml:space="preserve">
NA if fossil</t>
        </r>
      </text>
    </comment>
    <comment ref="AS549" authorId="0" shapeId="0" xr:uid="{D6FFA996-FFBD-4D59-B200-AEDE628C9228}">
      <text>
        <r>
          <rPr>
            <b/>
            <sz val="9"/>
            <color indexed="81"/>
            <rFont val="Tahoma"/>
            <family val="2"/>
          </rPr>
          <t>Christian:</t>
        </r>
        <r>
          <rPr>
            <sz val="9"/>
            <color indexed="81"/>
            <rFont val="Tahoma"/>
            <family val="2"/>
          </rPr>
          <t xml:space="preserve">
Type I here related to MS specific</t>
        </r>
      </text>
    </comment>
    <comment ref="Y550" authorId="0" shapeId="0" xr:uid="{F8E50543-C6BF-4EB9-8E87-2885F3D5630D}">
      <text>
        <r>
          <rPr>
            <b/>
            <sz val="9"/>
            <color indexed="81"/>
            <rFont val="Tahoma"/>
            <family val="2"/>
          </rPr>
          <t>Christian:</t>
        </r>
        <r>
          <rPr>
            <sz val="9"/>
            <color indexed="81"/>
            <rFont val="Tahoma"/>
            <family val="2"/>
          </rPr>
          <t xml:space="preserve">
NA if fossil</t>
        </r>
      </text>
    </comment>
    <comment ref="AS550" authorId="0" shapeId="0" xr:uid="{2B0172C9-DB1D-4B07-9DA2-68C2A4F7ABBA}">
      <text>
        <r>
          <rPr>
            <b/>
            <sz val="9"/>
            <color indexed="81"/>
            <rFont val="Tahoma"/>
            <family val="2"/>
          </rPr>
          <t>Christian:</t>
        </r>
        <r>
          <rPr>
            <sz val="9"/>
            <color indexed="81"/>
            <rFont val="Tahoma"/>
            <family val="2"/>
          </rPr>
          <t xml:space="preserve">
Type I here related to MS specific</t>
        </r>
      </text>
    </comment>
    <comment ref="Y551" authorId="0" shapeId="0" xr:uid="{5097A6FB-2311-49FC-BD5B-C9ED9D1CA72D}">
      <text>
        <r>
          <rPr>
            <b/>
            <sz val="9"/>
            <color indexed="81"/>
            <rFont val="Tahoma"/>
            <family val="2"/>
          </rPr>
          <t>Christian:</t>
        </r>
        <r>
          <rPr>
            <sz val="9"/>
            <color indexed="81"/>
            <rFont val="Tahoma"/>
            <family val="2"/>
          </rPr>
          <t xml:space="preserve">
NA if fossil</t>
        </r>
      </text>
    </comment>
    <comment ref="AS551" authorId="0" shapeId="0" xr:uid="{6112C03A-E0E2-49E9-81E7-DADDD8F56441}">
      <text>
        <r>
          <rPr>
            <b/>
            <sz val="9"/>
            <color indexed="81"/>
            <rFont val="Tahoma"/>
            <family val="2"/>
          </rPr>
          <t>Christian:</t>
        </r>
        <r>
          <rPr>
            <sz val="9"/>
            <color indexed="81"/>
            <rFont val="Tahoma"/>
            <family val="2"/>
          </rPr>
          <t xml:space="preserve">
Type I here related to MS specific</t>
        </r>
      </text>
    </comment>
    <comment ref="Y553" authorId="0" shapeId="0" xr:uid="{7FBFCF77-27E0-4F5E-AA6A-D24D333A82E7}">
      <text>
        <r>
          <rPr>
            <b/>
            <sz val="9"/>
            <color indexed="81"/>
            <rFont val="Tahoma"/>
            <family val="2"/>
          </rPr>
          <t>Christian:</t>
        </r>
        <r>
          <rPr>
            <sz val="9"/>
            <color indexed="81"/>
            <rFont val="Tahoma"/>
            <family val="2"/>
          </rPr>
          <t xml:space="preserve">
NA if fossil</t>
        </r>
      </text>
    </comment>
    <comment ref="Y574" authorId="0" shapeId="0" xr:uid="{B4B8EFFD-5A30-4E1E-93FA-434D15B28930}">
      <text>
        <r>
          <rPr>
            <b/>
            <sz val="9"/>
            <color indexed="81"/>
            <rFont val="Tahoma"/>
            <family val="2"/>
          </rPr>
          <t>Christian:</t>
        </r>
        <r>
          <rPr>
            <sz val="9"/>
            <color indexed="81"/>
            <rFont val="Tahoma"/>
            <family val="2"/>
          </rPr>
          <t xml:space="preserve">
NA if fossil</t>
        </r>
      </text>
    </comment>
    <comment ref="AS574" authorId="0" shapeId="0" xr:uid="{9381A26D-8CE4-4B23-A7A9-12865C096A78}">
      <text>
        <r>
          <rPr>
            <b/>
            <sz val="9"/>
            <color indexed="81"/>
            <rFont val="Tahoma"/>
            <family val="2"/>
          </rPr>
          <t>Christian:</t>
        </r>
        <r>
          <rPr>
            <sz val="9"/>
            <color indexed="81"/>
            <rFont val="Tahoma"/>
            <family val="2"/>
          </rPr>
          <t xml:space="preserve">
Type I here related to MS specific</t>
        </r>
      </text>
    </comment>
    <comment ref="Y575" authorId="0" shapeId="0" xr:uid="{F77E8BB4-FBEA-42E5-95E7-58CF8D4AA2DF}">
      <text>
        <r>
          <rPr>
            <b/>
            <sz val="9"/>
            <color indexed="81"/>
            <rFont val="Tahoma"/>
            <family val="2"/>
          </rPr>
          <t>Christian:</t>
        </r>
        <r>
          <rPr>
            <sz val="9"/>
            <color indexed="81"/>
            <rFont val="Tahoma"/>
            <family val="2"/>
          </rPr>
          <t xml:space="preserve">
NA if fossil</t>
        </r>
      </text>
    </comment>
    <comment ref="AS575" authorId="0" shapeId="0" xr:uid="{FAD9B946-AA40-4601-B2FA-59DD707841D0}">
      <text>
        <r>
          <rPr>
            <b/>
            <sz val="9"/>
            <color indexed="81"/>
            <rFont val="Tahoma"/>
            <family val="2"/>
          </rPr>
          <t>Christian:</t>
        </r>
        <r>
          <rPr>
            <sz val="9"/>
            <color indexed="81"/>
            <rFont val="Tahoma"/>
            <family val="2"/>
          </rPr>
          <t xml:space="preserve">
Type I here related to MS specific</t>
        </r>
      </text>
    </comment>
    <comment ref="Y576" authorId="0" shapeId="0" xr:uid="{4673B4C2-6E2F-405C-A097-D496A7CACDB0}">
      <text>
        <r>
          <rPr>
            <b/>
            <sz val="9"/>
            <color indexed="81"/>
            <rFont val="Tahoma"/>
            <family val="2"/>
          </rPr>
          <t>Christian:</t>
        </r>
        <r>
          <rPr>
            <sz val="9"/>
            <color indexed="81"/>
            <rFont val="Tahoma"/>
            <family val="2"/>
          </rPr>
          <t xml:space="preserve">
NA if fossil</t>
        </r>
      </text>
    </comment>
    <comment ref="AS576" authorId="0" shapeId="0" xr:uid="{29CD0B36-6E6F-4736-A6EF-43D09FD26B11}">
      <text>
        <r>
          <rPr>
            <b/>
            <sz val="9"/>
            <color indexed="81"/>
            <rFont val="Tahoma"/>
            <family val="2"/>
          </rPr>
          <t>Christian:</t>
        </r>
        <r>
          <rPr>
            <sz val="9"/>
            <color indexed="81"/>
            <rFont val="Tahoma"/>
            <family val="2"/>
          </rPr>
          <t xml:space="preserve">
Type I here related to MS specific</t>
        </r>
      </text>
    </comment>
    <comment ref="Y577" authorId="0" shapeId="0" xr:uid="{26DEB1DC-7750-40D4-90ED-6E3DC4FD1445}">
      <text>
        <r>
          <rPr>
            <b/>
            <sz val="9"/>
            <color indexed="81"/>
            <rFont val="Tahoma"/>
            <family val="2"/>
          </rPr>
          <t>Christian:</t>
        </r>
        <r>
          <rPr>
            <sz val="9"/>
            <color indexed="81"/>
            <rFont val="Tahoma"/>
            <family val="2"/>
          </rPr>
          <t xml:space="preserve">
NA if fossil</t>
        </r>
      </text>
    </comment>
    <comment ref="AS577" authorId="0" shapeId="0" xr:uid="{37484CB2-466C-4DA8-A3BA-B2FA7C9DE1C5}">
      <text>
        <r>
          <rPr>
            <b/>
            <sz val="9"/>
            <color indexed="81"/>
            <rFont val="Tahoma"/>
            <family val="2"/>
          </rPr>
          <t>Christian:</t>
        </r>
        <r>
          <rPr>
            <sz val="9"/>
            <color indexed="81"/>
            <rFont val="Tahoma"/>
            <family val="2"/>
          </rPr>
          <t xml:space="preserve">
Type I here related to MS specific</t>
        </r>
      </text>
    </comment>
    <comment ref="Y578" authorId="0" shapeId="0" xr:uid="{60D8E005-CCCF-4ABD-A036-253481CC0BD1}">
      <text>
        <r>
          <rPr>
            <b/>
            <sz val="9"/>
            <color indexed="81"/>
            <rFont val="Tahoma"/>
            <family val="2"/>
          </rPr>
          <t>Christian:</t>
        </r>
        <r>
          <rPr>
            <sz val="9"/>
            <color indexed="81"/>
            <rFont val="Tahoma"/>
            <family val="2"/>
          </rPr>
          <t xml:space="preserve">
NA if fossil</t>
        </r>
      </text>
    </comment>
    <comment ref="AS578" authorId="0" shapeId="0" xr:uid="{6FC9F0E1-3D9D-45CC-96F6-89D34B556958}">
      <text>
        <r>
          <rPr>
            <b/>
            <sz val="9"/>
            <color indexed="81"/>
            <rFont val="Tahoma"/>
            <family val="2"/>
          </rPr>
          <t>Christian:</t>
        </r>
        <r>
          <rPr>
            <sz val="9"/>
            <color indexed="81"/>
            <rFont val="Tahoma"/>
            <family val="2"/>
          </rPr>
          <t xml:space="preserve">
Type I here related to MS specific</t>
        </r>
      </text>
    </comment>
    <comment ref="Y579" authorId="0" shapeId="0" xr:uid="{11668F7A-DB82-445B-8D95-746E2431D8AC}">
      <text>
        <r>
          <rPr>
            <b/>
            <sz val="9"/>
            <color indexed="81"/>
            <rFont val="Tahoma"/>
            <family val="2"/>
          </rPr>
          <t>Christian:</t>
        </r>
        <r>
          <rPr>
            <sz val="9"/>
            <color indexed="81"/>
            <rFont val="Tahoma"/>
            <family val="2"/>
          </rPr>
          <t xml:space="preserve">
NA if fossil</t>
        </r>
      </text>
    </comment>
    <comment ref="AS579" authorId="0" shapeId="0" xr:uid="{5CEDA0CC-5644-4111-A67C-0C021A65A179}">
      <text>
        <r>
          <rPr>
            <b/>
            <sz val="9"/>
            <color indexed="81"/>
            <rFont val="Tahoma"/>
            <family val="2"/>
          </rPr>
          <t>Christian:</t>
        </r>
        <r>
          <rPr>
            <sz val="9"/>
            <color indexed="81"/>
            <rFont val="Tahoma"/>
            <family val="2"/>
          </rPr>
          <t xml:space="preserve">
Type I here related to MS specific</t>
        </r>
      </text>
    </comment>
    <comment ref="Y581" authorId="0" shapeId="0" xr:uid="{2719F3EB-7754-4B0A-86D9-C2BAEE2FE444}">
      <text>
        <r>
          <rPr>
            <b/>
            <sz val="9"/>
            <color indexed="81"/>
            <rFont val="Tahoma"/>
            <family val="2"/>
          </rPr>
          <t>Christian:</t>
        </r>
        <r>
          <rPr>
            <sz val="9"/>
            <color indexed="81"/>
            <rFont val="Tahoma"/>
            <family val="2"/>
          </rPr>
          <t xml:space="preserve">
NA if fossil</t>
        </r>
      </text>
    </comment>
    <comment ref="Y602" authorId="0" shapeId="0" xr:uid="{85AF4CB2-6E1C-4E1B-89EA-185948C4BF23}">
      <text>
        <r>
          <rPr>
            <b/>
            <sz val="9"/>
            <color indexed="81"/>
            <rFont val="Tahoma"/>
            <family val="2"/>
          </rPr>
          <t>Christian:</t>
        </r>
        <r>
          <rPr>
            <sz val="9"/>
            <color indexed="81"/>
            <rFont val="Tahoma"/>
            <family val="2"/>
          </rPr>
          <t xml:space="preserve">
NA if fossil</t>
        </r>
      </text>
    </comment>
    <comment ref="AS602" authorId="0" shapeId="0" xr:uid="{0D38F5D0-1535-4B1D-BD80-CAADE93DFAE5}">
      <text>
        <r>
          <rPr>
            <b/>
            <sz val="9"/>
            <color indexed="81"/>
            <rFont val="Tahoma"/>
            <family val="2"/>
          </rPr>
          <t>Christian:</t>
        </r>
        <r>
          <rPr>
            <sz val="9"/>
            <color indexed="81"/>
            <rFont val="Tahoma"/>
            <family val="2"/>
          </rPr>
          <t xml:space="preserve">
Type I here related to MS specific</t>
        </r>
      </text>
    </comment>
    <comment ref="Y603" authorId="0" shapeId="0" xr:uid="{8DB31618-7875-43B7-9F30-20580C4E912E}">
      <text>
        <r>
          <rPr>
            <b/>
            <sz val="9"/>
            <color indexed="81"/>
            <rFont val="Tahoma"/>
            <family val="2"/>
          </rPr>
          <t>Christian:</t>
        </r>
        <r>
          <rPr>
            <sz val="9"/>
            <color indexed="81"/>
            <rFont val="Tahoma"/>
            <family val="2"/>
          </rPr>
          <t xml:space="preserve">
NA if fossil</t>
        </r>
      </text>
    </comment>
    <comment ref="AS603" authorId="0" shapeId="0" xr:uid="{E6E179D9-FCF8-4176-91ED-401169712479}">
      <text>
        <r>
          <rPr>
            <b/>
            <sz val="9"/>
            <color indexed="81"/>
            <rFont val="Tahoma"/>
            <family val="2"/>
          </rPr>
          <t>Christian:</t>
        </r>
        <r>
          <rPr>
            <sz val="9"/>
            <color indexed="81"/>
            <rFont val="Tahoma"/>
            <family val="2"/>
          </rPr>
          <t xml:space="preserve">
Type I here related to MS specific</t>
        </r>
      </text>
    </comment>
    <comment ref="Y604" authorId="0" shapeId="0" xr:uid="{02301216-2624-4211-8727-8CED9E5FF1B9}">
      <text>
        <r>
          <rPr>
            <b/>
            <sz val="9"/>
            <color indexed="81"/>
            <rFont val="Tahoma"/>
            <family val="2"/>
          </rPr>
          <t>Christian:</t>
        </r>
        <r>
          <rPr>
            <sz val="9"/>
            <color indexed="81"/>
            <rFont val="Tahoma"/>
            <family val="2"/>
          </rPr>
          <t xml:space="preserve">
NA if fossil</t>
        </r>
      </text>
    </comment>
    <comment ref="AS604" authorId="0" shapeId="0" xr:uid="{2801D60C-851B-44CD-ABDD-5B87E44BE7A1}">
      <text>
        <r>
          <rPr>
            <b/>
            <sz val="9"/>
            <color indexed="81"/>
            <rFont val="Tahoma"/>
            <family val="2"/>
          </rPr>
          <t>Christian:</t>
        </r>
        <r>
          <rPr>
            <sz val="9"/>
            <color indexed="81"/>
            <rFont val="Tahoma"/>
            <family val="2"/>
          </rPr>
          <t xml:space="preserve">
Type I here related to MS specific</t>
        </r>
      </text>
    </comment>
    <comment ref="Y605" authorId="0" shapeId="0" xr:uid="{E2B792C1-B118-4145-9A03-1CDB4365A074}">
      <text>
        <r>
          <rPr>
            <b/>
            <sz val="9"/>
            <color indexed="81"/>
            <rFont val="Tahoma"/>
            <family val="2"/>
          </rPr>
          <t>Christian:</t>
        </r>
        <r>
          <rPr>
            <sz val="9"/>
            <color indexed="81"/>
            <rFont val="Tahoma"/>
            <family val="2"/>
          </rPr>
          <t xml:space="preserve">
NA if fossil</t>
        </r>
      </text>
    </comment>
    <comment ref="AS605" authorId="0" shapeId="0" xr:uid="{500652D5-D015-41B8-B130-AAAA1E2D8FBE}">
      <text>
        <r>
          <rPr>
            <b/>
            <sz val="9"/>
            <color indexed="81"/>
            <rFont val="Tahoma"/>
            <family val="2"/>
          </rPr>
          <t>Christian:</t>
        </r>
        <r>
          <rPr>
            <sz val="9"/>
            <color indexed="81"/>
            <rFont val="Tahoma"/>
            <family val="2"/>
          </rPr>
          <t xml:space="preserve">
Type I here related to MS specific</t>
        </r>
      </text>
    </comment>
    <comment ref="Y606" authorId="0" shapeId="0" xr:uid="{8950792F-9C04-4AC0-949E-B38D5AAD2FEC}">
      <text>
        <r>
          <rPr>
            <b/>
            <sz val="9"/>
            <color indexed="81"/>
            <rFont val="Tahoma"/>
            <family val="2"/>
          </rPr>
          <t>Christian:</t>
        </r>
        <r>
          <rPr>
            <sz val="9"/>
            <color indexed="81"/>
            <rFont val="Tahoma"/>
            <family val="2"/>
          </rPr>
          <t xml:space="preserve">
NA if fossil</t>
        </r>
      </text>
    </comment>
    <comment ref="AS606" authorId="0" shapeId="0" xr:uid="{039576F2-845D-428D-8229-40DD5B48175B}">
      <text>
        <r>
          <rPr>
            <b/>
            <sz val="9"/>
            <color indexed="81"/>
            <rFont val="Tahoma"/>
            <family val="2"/>
          </rPr>
          <t>Christian:</t>
        </r>
        <r>
          <rPr>
            <sz val="9"/>
            <color indexed="81"/>
            <rFont val="Tahoma"/>
            <family val="2"/>
          </rPr>
          <t xml:space="preserve">
Type I here related to MS specific</t>
        </r>
      </text>
    </comment>
    <comment ref="Y607" authorId="0" shapeId="0" xr:uid="{30750648-9C2E-4EA2-9638-FEE2C38DDA4C}">
      <text>
        <r>
          <rPr>
            <b/>
            <sz val="9"/>
            <color indexed="81"/>
            <rFont val="Tahoma"/>
            <family val="2"/>
          </rPr>
          <t>Christian:</t>
        </r>
        <r>
          <rPr>
            <sz val="9"/>
            <color indexed="81"/>
            <rFont val="Tahoma"/>
            <family val="2"/>
          </rPr>
          <t xml:space="preserve">
NA if fossil</t>
        </r>
      </text>
    </comment>
    <comment ref="AS607" authorId="0" shapeId="0" xr:uid="{29532166-C0EA-490F-A753-DAAF8978E4E3}">
      <text>
        <r>
          <rPr>
            <b/>
            <sz val="9"/>
            <color indexed="81"/>
            <rFont val="Tahoma"/>
            <family val="2"/>
          </rPr>
          <t>Christian:</t>
        </r>
        <r>
          <rPr>
            <sz val="9"/>
            <color indexed="81"/>
            <rFont val="Tahoma"/>
            <family val="2"/>
          </rPr>
          <t xml:space="preserve">
Type I here related to MS specific</t>
        </r>
      </text>
    </comment>
    <comment ref="Y609" authorId="0" shapeId="0" xr:uid="{88EBB185-C0CA-44B6-B5FB-73CA8EABD58D}">
      <text>
        <r>
          <rPr>
            <b/>
            <sz val="9"/>
            <color indexed="81"/>
            <rFont val="Tahoma"/>
            <family val="2"/>
          </rPr>
          <t>Christian:</t>
        </r>
        <r>
          <rPr>
            <sz val="9"/>
            <color indexed="81"/>
            <rFont val="Tahoma"/>
            <family val="2"/>
          </rPr>
          <t xml:space="preserve">
NA if fossil</t>
        </r>
      </text>
    </comment>
    <comment ref="Y630" authorId="0" shapeId="0" xr:uid="{75F7F467-95C7-43BD-905F-04D32B83D9EA}">
      <text>
        <r>
          <rPr>
            <b/>
            <sz val="9"/>
            <color indexed="81"/>
            <rFont val="Tahoma"/>
            <family val="2"/>
          </rPr>
          <t>Christian:</t>
        </r>
        <r>
          <rPr>
            <sz val="9"/>
            <color indexed="81"/>
            <rFont val="Tahoma"/>
            <family val="2"/>
          </rPr>
          <t xml:space="preserve">
NA if fossil</t>
        </r>
      </text>
    </comment>
    <comment ref="AS630" authorId="0" shapeId="0" xr:uid="{8D918B58-B578-4519-A6A9-492AA9C4ED34}">
      <text>
        <r>
          <rPr>
            <b/>
            <sz val="9"/>
            <color indexed="81"/>
            <rFont val="Tahoma"/>
            <family val="2"/>
          </rPr>
          <t>Christian:</t>
        </r>
        <r>
          <rPr>
            <sz val="9"/>
            <color indexed="81"/>
            <rFont val="Tahoma"/>
            <family val="2"/>
          </rPr>
          <t xml:space="preserve">
Type I here related to MS specific</t>
        </r>
      </text>
    </comment>
    <comment ref="Y631" authorId="0" shapeId="0" xr:uid="{478B6407-2C49-4DB0-B54C-D8EDE7EBCA7B}">
      <text>
        <r>
          <rPr>
            <b/>
            <sz val="9"/>
            <color indexed="81"/>
            <rFont val="Tahoma"/>
            <family val="2"/>
          </rPr>
          <t>Christian:</t>
        </r>
        <r>
          <rPr>
            <sz val="9"/>
            <color indexed="81"/>
            <rFont val="Tahoma"/>
            <family val="2"/>
          </rPr>
          <t xml:space="preserve">
NA if fossil</t>
        </r>
      </text>
    </comment>
    <comment ref="AS631" authorId="0" shapeId="0" xr:uid="{4A9FC672-B67F-4AA3-80C4-AA49692F51C2}">
      <text>
        <r>
          <rPr>
            <b/>
            <sz val="9"/>
            <color indexed="81"/>
            <rFont val="Tahoma"/>
            <family val="2"/>
          </rPr>
          <t>Christian:</t>
        </r>
        <r>
          <rPr>
            <sz val="9"/>
            <color indexed="81"/>
            <rFont val="Tahoma"/>
            <family val="2"/>
          </rPr>
          <t xml:space="preserve">
Type I here related to MS specific</t>
        </r>
      </text>
    </comment>
    <comment ref="Y632" authorId="0" shapeId="0" xr:uid="{3FDFAC26-5DD7-4FA2-A014-9B03EFC68D46}">
      <text>
        <r>
          <rPr>
            <b/>
            <sz val="9"/>
            <color indexed="81"/>
            <rFont val="Tahoma"/>
            <family val="2"/>
          </rPr>
          <t>Christian:</t>
        </r>
        <r>
          <rPr>
            <sz val="9"/>
            <color indexed="81"/>
            <rFont val="Tahoma"/>
            <family val="2"/>
          </rPr>
          <t xml:space="preserve">
NA if fossil</t>
        </r>
      </text>
    </comment>
    <comment ref="AS632" authorId="0" shapeId="0" xr:uid="{64527BA1-85AF-4415-8653-433718524B66}">
      <text>
        <r>
          <rPr>
            <b/>
            <sz val="9"/>
            <color indexed="81"/>
            <rFont val="Tahoma"/>
            <family val="2"/>
          </rPr>
          <t>Christian:</t>
        </r>
        <r>
          <rPr>
            <sz val="9"/>
            <color indexed="81"/>
            <rFont val="Tahoma"/>
            <family val="2"/>
          </rPr>
          <t xml:space="preserve">
Type I here related to MS specific</t>
        </r>
      </text>
    </comment>
    <comment ref="Y633" authorId="0" shapeId="0" xr:uid="{0E0239B9-048C-4B86-9F86-9FE169AC7B31}">
      <text>
        <r>
          <rPr>
            <b/>
            <sz val="9"/>
            <color indexed="81"/>
            <rFont val="Tahoma"/>
            <family val="2"/>
          </rPr>
          <t>Christian:</t>
        </r>
        <r>
          <rPr>
            <sz val="9"/>
            <color indexed="81"/>
            <rFont val="Tahoma"/>
            <family val="2"/>
          </rPr>
          <t xml:space="preserve">
NA if fossil</t>
        </r>
      </text>
    </comment>
    <comment ref="AS633" authorId="0" shapeId="0" xr:uid="{F0066FDC-E8FE-4669-B9E4-0F4A749862B9}">
      <text>
        <r>
          <rPr>
            <b/>
            <sz val="9"/>
            <color indexed="81"/>
            <rFont val="Tahoma"/>
            <family val="2"/>
          </rPr>
          <t>Christian:</t>
        </r>
        <r>
          <rPr>
            <sz val="9"/>
            <color indexed="81"/>
            <rFont val="Tahoma"/>
            <family val="2"/>
          </rPr>
          <t xml:space="preserve">
Type I here related to MS specific</t>
        </r>
      </text>
    </comment>
    <comment ref="Y634" authorId="0" shapeId="0" xr:uid="{BFA32186-553F-4C86-912C-F9300F43A1D8}">
      <text>
        <r>
          <rPr>
            <b/>
            <sz val="9"/>
            <color indexed="81"/>
            <rFont val="Tahoma"/>
            <family val="2"/>
          </rPr>
          <t>Christian:</t>
        </r>
        <r>
          <rPr>
            <sz val="9"/>
            <color indexed="81"/>
            <rFont val="Tahoma"/>
            <family val="2"/>
          </rPr>
          <t xml:space="preserve">
NA if fossil</t>
        </r>
      </text>
    </comment>
    <comment ref="AS634" authorId="0" shapeId="0" xr:uid="{C8E18341-E591-44A7-A99C-04776F59C9FA}">
      <text>
        <r>
          <rPr>
            <b/>
            <sz val="9"/>
            <color indexed="81"/>
            <rFont val="Tahoma"/>
            <family val="2"/>
          </rPr>
          <t>Christian:</t>
        </r>
        <r>
          <rPr>
            <sz val="9"/>
            <color indexed="81"/>
            <rFont val="Tahoma"/>
            <family val="2"/>
          </rPr>
          <t xml:space="preserve">
Type I here related to MS specific</t>
        </r>
      </text>
    </comment>
    <comment ref="Y635" authorId="0" shapeId="0" xr:uid="{2525DB54-D4C4-4773-A4AF-328FC240CEF0}">
      <text>
        <r>
          <rPr>
            <b/>
            <sz val="9"/>
            <color indexed="81"/>
            <rFont val="Tahoma"/>
            <family val="2"/>
          </rPr>
          <t>Christian:</t>
        </r>
        <r>
          <rPr>
            <sz val="9"/>
            <color indexed="81"/>
            <rFont val="Tahoma"/>
            <family val="2"/>
          </rPr>
          <t xml:space="preserve">
NA if fossil</t>
        </r>
      </text>
    </comment>
    <comment ref="AS635" authorId="0" shapeId="0" xr:uid="{C71F07B0-177B-409B-ACAA-7627FB0D4925}">
      <text>
        <r>
          <rPr>
            <b/>
            <sz val="9"/>
            <color indexed="81"/>
            <rFont val="Tahoma"/>
            <family val="2"/>
          </rPr>
          <t>Christian:</t>
        </r>
        <r>
          <rPr>
            <sz val="9"/>
            <color indexed="81"/>
            <rFont val="Tahoma"/>
            <family val="2"/>
          </rPr>
          <t xml:space="preserve">
Type I here related to MS specific</t>
        </r>
      </text>
    </comment>
    <comment ref="Y637" authorId="0" shapeId="0" xr:uid="{B1B6185F-2234-442F-A7C3-81169E5E25C3}">
      <text>
        <r>
          <rPr>
            <b/>
            <sz val="9"/>
            <color indexed="81"/>
            <rFont val="Tahoma"/>
            <family val="2"/>
          </rPr>
          <t>Christian:</t>
        </r>
        <r>
          <rPr>
            <sz val="9"/>
            <color indexed="81"/>
            <rFont val="Tahoma"/>
            <family val="2"/>
          </rPr>
          <t xml:space="preserve">
NA if fossil</t>
        </r>
      </text>
    </comment>
    <comment ref="Y658" authorId="0" shapeId="0" xr:uid="{FCAF7CC4-7234-42E7-BC46-21F84F0B3D89}">
      <text>
        <r>
          <rPr>
            <b/>
            <sz val="9"/>
            <color indexed="81"/>
            <rFont val="Tahoma"/>
            <family val="2"/>
          </rPr>
          <t>Christian:</t>
        </r>
        <r>
          <rPr>
            <sz val="9"/>
            <color indexed="81"/>
            <rFont val="Tahoma"/>
            <family val="2"/>
          </rPr>
          <t xml:space="preserve">
NA if fossil</t>
        </r>
      </text>
    </comment>
    <comment ref="AS658" authorId="0" shapeId="0" xr:uid="{42311AC3-454B-42AA-BC6B-7F7FD9F6D70D}">
      <text>
        <r>
          <rPr>
            <b/>
            <sz val="9"/>
            <color indexed="81"/>
            <rFont val="Tahoma"/>
            <family val="2"/>
          </rPr>
          <t>Christian:</t>
        </r>
        <r>
          <rPr>
            <sz val="9"/>
            <color indexed="81"/>
            <rFont val="Tahoma"/>
            <family val="2"/>
          </rPr>
          <t xml:space="preserve">
Type I here related to MS specific</t>
        </r>
      </text>
    </comment>
    <comment ref="Y659" authorId="0" shapeId="0" xr:uid="{AA0711B6-D899-4329-B3DC-EFDF54156C14}">
      <text>
        <r>
          <rPr>
            <b/>
            <sz val="9"/>
            <color indexed="81"/>
            <rFont val="Tahoma"/>
            <family val="2"/>
          </rPr>
          <t>Christian:</t>
        </r>
        <r>
          <rPr>
            <sz val="9"/>
            <color indexed="81"/>
            <rFont val="Tahoma"/>
            <family val="2"/>
          </rPr>
          <t xml:space="preserve">
NA if fossil</t>
        </r>
      </text>
    </comment>
    <comment ref="AS659" authorId="0" shapeId="0" xr:uid="{F8FA2C94-E46B-45C5-A7BC-C47C438F73A6}">
      <text>
        <r>
          <rPr>
            <b/>
            <sz val="9"/>
            <color indexed="81"/>
            <rFont val="Tahoma"/>
            <family val="2"/>
          </rPr>
          <t>Christian:</t>
        </r>
        <r>
          <rPr>
            <sz val="9"/>
            <color indexed="81"/>
            <rFont val="Tahoma"/>
            <family val="2"/>
          </rPr>
          <t xml:space="preserve">
Type I here related to MS specific</t>
        </r>
      </text>
    </comment>
    <comment ref="Y660" authorId="0" shapeId="0" xr:uid="{104B71EE-0173-4076-84EA-D4311A0C5EBE}">
      <text>
        <r>
          <rPr>
            <b/>
            <sz val="9"/>
            <color indexed="81"/>
            <rFont val="Tahoma"/>
            <family val="2"/>
          </rPr>
          <t>Christian:</t>
        </r>
        <r>
          <rPr>
            <sz val="9"/>
            <color indexed="81"/>
            <rFont val="Tahoma"/>
            <family val="2"/>
          </rPr>
          <t xml:space="preserve">
NA if fossil</t>
        </r>
      </text>
    </comment>
    <comment ref="AS660" authorId="0" shapeId="0" xr:uid="{CBEE2EF5-AC61-4C1B-922E-1075EF15ED4D}">
      <text>
        <r>
          <rPr>
            <b/>
            <sz val="9"/>
            <color indexed="81"/>
            <rFont val="Tahoma"/>
            <family val="2"/>
          </rPr>
          <t>Christian:</t>
        </r>
        <r>
          <rPr>
            <sz val="9"/>
            <color indexed="81"/>
            <rFont val="Tahoma"/>
            <family val="2"/>
          </rPr>
          <t xml:space="preserve">
Type I here related to MS specific</t>
        </r>
      </text>
    </comment>
    <comment ref="Y661" authorId="0" shapeId="0" xr:uid="{3B88128B-B06B-4D2B-AA4C-A8D9B3FB855B}">
      <text>
        <r>
          <rPr>
            <b/>
            <sz val="9"/>
            <color indexed="81"/>
            <rFont val="Tahoma"/>
            <family val="2"/>
          </rPr>
          <t>Christian:</t>
        </r>
        <r>
          <rPr>
            <sz val="9"/>
            <color indexed="81"/>
            <rFont val="Tahoma"/>
            <family val="2"/>
          </rPr>
          <t xml:space="preserve">
NA if fossil</t>
        </r>
      </text>
    </comment>
    <comment ref="AS661" authorId="0" shapeId="0" xr:uid="{3D25D1C3-2725-4297-840F-A147A7DF43D7}">
      <text>
        <r>
          <rPr>
            <b/>
            <sz val="9"/>
            <color indexed="81"/>
            <rFont val="Tahoma"/>
            <family val="2"/>
          </rPr>
          <t>Christian:</t>
        </r>
        <r>
          <rPr>
            <sz val="9"/>
            <color indexed="81"/>
            <rFont val="Tahoma"/>
            <family val="2"/>
          </rPr>
          <t xml:space="preserve">
Type I here related to MS specific</t>
        </r>
      </text>
    </comment>
    <comment ref="Y662" authorId="0" shapeId="0" xr:uid="{53617232-4FE8-46D6-96F8-E175FD0B6FD3}">
      <text>
        <r>
          <rPr>
            <b/>
            <sz val="9"/>
            <color indexed="81"/>
            <rFont val="Tahoma"/>
            <family val="2"/>
          </rPr>
          <t>Christian:</t>
        </r>
        <r>
          <rPr>
            <sz val="9"/>
            <color indexed="81"/>
            <rFont val="Tahoma"/>
            <family val="2"/>
          </rPr>
          <t xml:space="preserve">
NA if fossil</t>
        </r>
      </text>
    </comment>
    <comment ref="AS662" authorId="0" shapeId="0" xr:uid="{A356E54E-3E75-47F2-8ABF-28D4692F758A}">
      <text>
        <r>
          <rPr>
            <b/>
            <sz val="9"/>
            <color indexed="81"/>
            <rFont val="Tahoma"/>
            <family val="2"/>
          </rPr>
          <t>Christian:</t>
        </r>
        <r>
          <rPr>
            <sz val="9"/>
            <color indexed="81"/>
            <rFont val="Tahoma"/>
            <family val="2"/>
          </rPr>
          <t xml:space="preserve">
Type I here related to MS specific</t>
        </r>
      </text>
    </comment>
    <comment ref="Y663" authorId="0" shapeId="0" xr:uid="{31429D5D-A07A-4F96-A443-2535A29C14F9}">
      <text>
        <r>
          <rPr>
            <b/>
            <sz val="9"/>
            <color indexed="81"/>
            <rFont val="Tahoma"/>
            <family val="2"/>
          </rPr>
          <t>Christian:</t>
        </r>
        <r>
          <rPr>
            <sz val="9"/>
            <color indexed="81"/>
            <rFont val="Tahoma"/>
            <family val="2"/>
          </rPr>
          <t xml:space="preserve">
NA if fossil</t>
        </r>
      </text>
    </comment>
    <comment ref="AS663" authorId="0" shapeId="0" xr:uid="{70D64550-7736-4AE7-9EB7-54DD1CED67D8}">
      <text>
        <r>
          <rPr>
            <b/>
            <sz val="9"/>
            <color indexed="81"/>
            <rFont val="Tahoma"/>
            <family val="2"/>
          </rPr>
          <t>Christian:</t>
        </r>
        <r>
          <rPr>
            <sz val="9"/>
            <color indexed="81"/>
            <rFont val="Tahoma"/>
            <family val="2"/>
          </rPr>
          <t xml:space="preserve">
Type I here related to MS specific</t>
        </r>
      </text>
    </comment>
    <comment ref="Y665" authorId="0" shapeId="0" xr:uid="{0AB574D4-57D9-4543-8609-E8552D5AE211}">
      <text>
        <r>
          <rPr>
            <b/>
            <sz val="9"/>
            <color indexed="81"/>
            <rFont val="Tahoma"/>
            <family val="2"/>
          </rPr>
          <t>Christian:</t>
        </r>
        <r>
          <rPr>
            <sz val="9"/>
            <color indexed="81"/>
            <rFont val="Tahoma"/>
            <family val="2"/>
          </rPr>
          <t xml:space="preserve">
NA if fossil</t>
        </r>
      </text>
    </comment>
    <comment ref="Y686" authorId="0" shapeId="0" xr:uid="{B451E856-376D-4331-8D0D-0609027F9153}">
      <text>
        <r>
          <rPr>
            <b/>
            <sz val="9"/>
            <color indexed="81"/>
            <rFont val="Tahoma"/>
            <family val="2"/>
          </rPr>
          <t>Christian:</t>
        </r>
        <r>
          <rPr>
            <sz val="9"/>
            <color indexed="81"/>
            <rFont val="Tahoma"/>
            <family val="2"/>
          </rPr>
          <t xml:space="preserve">
NA if fossil</t>
        </r>
      </text>
    </comment>
    <comment ref="AS686" authorId="0" shapeId="0" xr:uid="{D5A262FB-64C7-4B17-9EEE-B24F97EB3888}">
      <text>
        <r>
          <rPr>
            <b/>
            <sz val="9"/>
            <color indexed="81"/>
            <rFont val="Tahoma"/>
            <family val="2"/>
          </rPr>
          <t>Christian:</t>
        </r>
        <r>
          <rPr>
            <sz val="9"/>
            <color indexed="81"/>
            <rFont val="Tahoma"/>
            <family val="2"/>
          </rPr>
          <t xml:space="preserve">
Type I here related to MS specific</t>
        </r>
      </text>
    </comment>
    <comment ref="Y687" authorId="0" shapeId="0" xr:uid="{EFAEEA5F-DC26-4F0D-BB4E-E17979589685}">
      <text>
        <r>
          <rPr>
            <b/>
            <sz val="9"/>
            <color indexed="81"/>
            <rFont val="Tahoma"/>
            <family val="2"/>
          </rPr>
          <t>Christian:</t>
        </r>
        <r>
          <rPr>
            <sz val="9"/>
            <color indexed="81"/>
            <rFont val="Tahoma"/>
            <family val="2"/>
          </rPr>
          <t xml:space="preserve">
NA if fossil</t>
        </r>
      </text>
    </comment>
    <comment ref="AS687" authorId="0" shapeId="0" xr:uid="{B55240CE-312C-4295-A85D-D5BE0AC5B630}">
      <text>
        <r>
          <rPr>
            <b/>
            <sz val="9"/>
            <color indexed="81"/>
            <rFont val="Tahoma"/>
            <family val="2"/>
          </rPr>
          <t>Christian:</t>
        </r>
        <r>
          <rPr>
            <sz val="9"/>
            <color indexed="81"/>
            <rFont val="Tahoma"/>
            <family val="2"/>
          </rPr>
          <t xml:space="preserve">
Type I here related to MS specific</t>
        </r>
      </text>
    </comment>
    <comment ref="Y688" authorId="0" shapeId="0" xr:uid="{B4037933-3B53-4A1C-813A-D2661C6B7A68}">
      <text>
        <r>
          <rPr>
            <b/>
            <sz val="9"/>
            <color indexed="81"/>
            <rFont val="Tahoma"/>
            <family val="2"/>
          </rPr>
          <t>Christian:</t>
        </r>
        <r>
          <rPr>
            <sz val="9"/>
            <color indexed="81"/>
            <rFont val="Tahoma"/>
            <family val="2"/>
          </rPr>
          <t xml:space="preserve">
NA if fossil</t>
        </r>
      </text>
    </comment>
    <comment ref="AS688" authorId="0" shapeId="0" xr:uid="{47A5CB72-720D-4D7A-8AF3-9B099D8D6B59}">
      <text>
        <r>
          <rPr>
            <b/>
            <sz val="9"/>
            <color indexed="81"/>
            <rFont val="Tahoma"/>
            <family val="2"/>
          </rPr>
          <t>Christian:</t>
        </r>
        <r>
          <rPr>
            <sz val="9"/>
            <color indexed="81"/>
            <rFont val="Tahoma"/>
            <family val="2"/>
          </rPr>
          <t xml:space="preserve">
Type I here related to MS specific</t>
        </r>
      </text>
    </comment>
    <comment ref="Y689" authorId="0" shapeId="0" xr:uid="{D2214C2C-A965-44DE-8A34-70471950990D}">
      <text>
        <r>
          <rPr>
            <b/>
            <sz val="9"/>
            <color indexed="81"/>
            <rFont val="Tahoma"/>
            <family val="2"/>
          </rPr>
          <t>Christian:</t>
        </r>
        <r>
          <rPr>
            <sz val="9"/>
            <color indexed="81"/>
            <rFont val="Tahoma"/>
            <family val="2"/>
          </rPr>
          <t xml:space="preserve">
NA if fossil</t>
        </r>
      </text>
    </comment>
    <comment ref="AS689" authorId="0" shapeId="0" xr:uid="{B3072112-57EF-403E-9B1A-4B9621BD7F3B}">
      <text>
        <r>
          <rPr>
            <b/>
            <sz val="9"/>
            <color indexed="81"/>
            <rFont val="Tahoma"/>
            <family val="2"/>
          </rPr>
          <t>Christian:</t>
        </r>
        <r>
          <rPr>
            <sz val="9"/>
            <color indexed="81"/>
            <rFont val="Tahoma"/>
            <family val="2"/>
          </rPr>
          <t xml:space="preserve">
Type I here related to MS specific</t>
        </r>
      </text>
    </comment>
    <comment ref="Y690" authorId="0" shapeId="0" xr:uid="{1575A8F1-79FE-42B3-9772-6DC50C65E5FB}">
      <text>
        <r>
          <rPr>
            <b/>
            <sz val="9"/>
            <color indexed="81"/>
            <rFont val="Tahoma"/>
            <family val="2"/>
          </rPr>
          <t>Christian:</t>
        </r>
        <r>
          <rPr>
            <sz val="9"/>
            <color indexed="81"/>
            <rFont val="Tahoma"/>
            <family val="2"/>
          </rPr>
          <t xml:space="preserve">
NA if fossil</t>
        </r>
      </text>
    </comment>
    <comment ref="AS690" authorId="0" shapeId="0" xr:uid="{F77927A4-4DEA-4781-8950-E50EDB3241D4}">
      <text>
        <r>
          <rPr>
            <b/>
            <sz val="9"/>
            <color indexed="81"/>
            <rFont val="Tahoma"/>
            <family val="2"/>
          </rPr>
          <t>Christian:</t>
        </r>
        <r>
          <rPr>
            <sz val="9"/>
            <color indexed="81"/>
            <rFont val="Tahoma"/>
            <family val="2"/>
          </rPr>
          <t xml:space="preserve">
Type I here related to MS specific</t>
        </r>
      </text>
    </comment>
    <comment ref="Y691" authorId="0" shapeId="0" xr:uid="{81768661-0547-4031-88C0-94C3655CABAE}">
      <text>
        <r>
          <rPr>
            <b/>
            <sz val="9"/>
            <color indexed="81"/>
            <rFont val="Tahoma"/>
            <family val="2"/>
          </rPr>
          <t>Christian:</t>
        </r>
        <r>
          <rPr>
            <sz val="9"/>
            <color indexed="81"/>
            <rFont val="Tahoma"/>
            <family val="2"/>
          </rPr>
          <t xml:space="preserve">
NA if fossil</t>
        </r>
      </text>
    </comment>
    <comment ref="AS691" authorId="0" shapeId="0" xr:uid="{197D6EBC-A79D-414B-9896-E326EAB49084}">
      <text>
        <r>
          <rPr>
            <b/>
            <sz val="9"/>
            <color indexed="81"/>
            <rFont val="Tahoma"/>
            <family val="2"/>
          </rPr>
          <t>Christian:</t>
        </r>
        <r>
          <rPr>
            <sz val="9"/>
            <color indexed="81"/>
            <rFont val="Tahoma"/>
            <family val="2"/>
          </rPr>
          <t xml:space="preserve">
Type I here related to MS specific</t>
        </r>
      </text>
    </comment>
    <comment ref="Y693" authorId="0" shapeId="0" xr:uid="{F03BA42D-BCD3-4D35-A8D0-ACB92B2E1208}">
      <text>
        <r>
          <rPr>
            <b/>
            <sz val="9"/>
            <color indexed="81"/>
            <rFont val="Tahoma"/>
            <family val="2"/>
          </rPr>
          <t>Christian:</t>
        </r>
        <r>
          <rPr>
            <sz val="9"/>
            <color indexed="81"/>
            <rFont val="Tahoma"/>
            <family val="2"/>
          </rPr>
          <t xml:space="preserve">
NA if fossil</t>
        </r>
      </text>
    </comment>
    <comment ref="Y714" authorId="0" shapeId="0" xr:uid="{401C3D48-9269-42BF-BE5C-99E76481545A}">
      <text>
        <r>
          <rPr>
            <b/>
            <sz val="9"/>
            <color indexed="81"/>
            <rFont val="Tahoma"/>
            <family val="2"/>
          </rPr>
          <t>Christian:</t>
        </r>
        <r>
          <rPr>
            <sz val="9"/>
            <color indexed="81"/>
            <rFont val="Tahoma"/>
            <family val="2"/>
          </rPr>
          <t xml:space="preserve">
NA if fossil</t>
        </r>
      </text>
    </comment>
    <comment ref="AS714" authorId="0" shapeId="0" xr:uid="{50F1D019-FA11-422D-AFF4-EDC9CAA8E771}">
      <text>
        <r>
          <rPr>
            <b/>
            <sz val="9"/>
            <color indexed="81"/>
            <rFont val="Tahoma"/>
            <family val="2"/>
          </rPr>
          <t>Christian:</t>
        </r>
        <r>
          <rPr>
            <sz val="9"/>
            <color indexed="81"/>
            <rFont val="Tahoma"/>
            <family val="2"/>
          </rPr>
          <t xml:space="preserve">
Type I here related to MS specific</t>
        </r>
      </text>
    </comment>
    <comment ref="Y715" authorId="0" shapeId="0" xr:uid="{1130129D-8B06-43B7-8108-5EDF9AB2E7E9}">
      <text>
        <r>
          <rPr>
            <b/>
            <sz val="9"/>
            <color indexed="81"/>
            <rFont val="Tahoma"/>
            <family val="2"/>
          </rPr>
          <t>Christian:</t>
        </r>
        <r>
          <rPr>
            <sz val="9"/>
            <color indexed="81"/>
            <rFont val="Tahoma"/>
            <family val="2"/>
          </rPr>
          <t xml:space="preserve">
NA if fossil</t>
        </r>
      </text>
    </comment>
    <comment ref="AS715" authorId="0" shapeId="0" xr:uid="{68F986AD-E8AD-4765-95A5-3760501BB9C8}">
      <text>
        <r>
          <rPr>
            <b/>
            <sz val="9"/>
            <color indexed="81"/>
            <rFont val="Tahoma"/>
            <family val="2"/>
          </rPr>
          <t>Christian:</t>
        </r>
        <r>
          <rPr>
            <sz val="9"/>
            <color indexed="81"/>
            <rFont val="Tahoma"/>
            <family val="2"/>
          </rPr>
          <t xml:space="preserve">
Type I here related to MS specific</t>
        </r>
      </text>
    </comment>
    <comment ref="Y716" authorId="0" shapeId="0" xr:uid="{88D8F462-0264-4F8F-B8CE-2B2E09CD5F7D}">
      <text>
        <r>
          <rPr>
            <b/>
            <sz val="9"/>
            <color indexed="81"/>
            <rFont val="Tahoma"/>
            <family val="2"/>
          </rPr>
          <t>Christian:</t>
        </r>
        <r>
          <rPr>
            <sz val="9"/>
            <color indexed="81"/>
            <rFont val="Tahoma"/>
            <family val="2"/>
          </rPr>
          <t xml:space="preserve">
NA if fossil</t>
        </r>
      </text>
    </comment>
    <comment ref="AS716" authorId="0" shapeId="0" xr:uid="{92237E27-E68C-4DEB-A3FE-062BF5228969}">
      <text>
        <r>
          <rPr>
            <b/>
            <sz val="9"/>
            <color indexed="81"/>
            <rFont val="Tahoma"/>
            <family val="2"/>
          </rPr>
          <t>Christian:</t>
        </r>
        <r>
          <rPr>
            <sz val="9"/>
            <color indexed="81"/>
            <rFont val="Tahoma"/>
            <family val="2"/>
          </rPr>
          <t xml:space="preserve">
Type I here related to MS specific</t>
        </r>
      </text>
    </comment>
    <comment ref="Y717" authorId="0" shapeId="0" xr:uid="{473C3351-33FD-4818-AB9E-4AB3B794D3B8}">
      <text>
        <r>
          <rPr>
            <b/>
            <sz val="9"/>
            <color indexed="81"/>
            <rFont val="Tahoma"/>
            <family val="2"/>
          </rPr>
          <t>Christian:</t>
        </r>
        <r>
          <rPr>
            <sz val="9"/>
            <color indexed="81"/>
            <rFont val="Tahoma"/>
            <family val="2"/>
          </rPr>
          <t xml:space="preserve">
NA if fossil</t>
        </r>
      </text>
    </comment>
    <comment ref="AS717" authorId="0" shapeId="0" xr:uid="{7D87008D-268C-469E-92A0-FAFFBB0D9789}">
      <text>
        <r>
          <rPr>
            <b/>
            <sz val="9"/>
            <color indexed="81"/>
            <rFont val="Tahoma"/>
            <family val="2"/>
          </rPr>
          <t>Christian:</t>
        </r>
        <r>
          <rPr>
            <sz val="9"/>
            <color indexed="81"/>
            <rFont val="Tahoma"/>
            <family val="2"/>
          </rPr>
          <t xml:space="preserve">
Type I here related to MS specific</t>
        </r>
      </text>
    </comment>
    <comment ref="Y718" authorId="0" shapeId="0" xr:uid="{FAA1A797-1A7A-4973-96F1-91FD9203E5AB}">
      <text>
        <r>
          <rPr>
            <b/>
            <sz val="9"/>
            <color indexed="81"/>
            <rFont val="Tahoma"/>
            <family val="2"/>
          </rPr>
          <t>Christian:</t>
        </r>
        <r>
          <rPr>
            <sz val="9"/>
            <color indexed="81"/>
            <rFont val="Tahoma"/>
            <family val="2"/>
          </rPr>
          <t xml:space="preserve">
NA if fossil</t>
        </r>
      </text>
    </comment>
    <comment ref="AS718" authorId="0" shapeId="0" xr:uid="{705BECE0-7987-465B-A80E-E9F6D4CA1879}">
      <text>
        <r>
          <rPr>
            <b/>
            <sz val="9"/>
            <color indexed="81"/>
            <rFont val="Tahoma"/>
            <family val="2"/>
          </rPr>
          <t>Christian:</t>
        </r>
        <r>
          <rPr>
            <sz val="9"/>
            <color indexed="81"/>
            <rFont val="Tahoma"/>
            <family val="2"/>
          </rPr>
          <t xml:space="preserve">
Type I here related to MS specific</t>
        </r>
      </text>
    </comment>
    <comment ref="Y719" authorId="0" shapeId="0" xr:uid="{12C92B5E-9CD0-4559-9258-903EBE582EC4}">
      <text>
        <r>
          <rPr>
            <b/>
            <sz val="9"/>
            <color indexed="81"/>
            <rFont val="Tahoma"/>
            <family val="2"/>
          </rPr>
          <t>Christian:</t>
        </r>
        <r>
          <rPr>
            <sz val="9"/>
            <color indexed="81"/>
            <rFont val="Tahoma"/>
            <family val="2"/>
          </rPr>
          <t xml:space="preserve">
NA if fossil</t>
        </r>
      </text>
    </comment>
    <comment ref="AS719" authorId="0" shapeId="0" xr:uid="{AA1480F6-B32D-4A70-AD5A-C1A93570C34E}">
      <text>
        <r>
          <rPr>
            <b/>
            <sz val="9"/>
            <color indexed="81"/>
            <rFont val="Tahoma"/>
            <family val="2"/>
          </rPr>
          <t>Christian:</t>
        </r>
        <r>
          <rPr>
            <sz val="9"/>
            <color indexed="81"/>
            <rFont val="Tahoma"/>
            <family val="2"/>
          </rPr>
          <t xml:space="preserve">
Type I here related to MS specific</t>
        </r>
      </text>
    </comment>
    <comment ref="Y721" authorId="0" shapeId="0" xr:uid="{4AA8C0CB-BBA0-4B85-A3E4-8B440FAB4DF9}">
      <text>
        <r>
          <rPr>
            <b/>
            <sz val="9"/>
            <color indexed="81"/>
            <rFont val="Tahoma"/>
            <family val="2"/>
          </rPr>
          <t>Christian:</t>
        </r>
        <r>
          <rPr>
            <sz val="9"/>
            <color indexed="81"/>
            <rFont val="Tahoma"/>
            <family val="2"/>
          </rPr>
          <t xml:space="preserve">
NA if fossil</t>
        </r>
      </text>
    </comment>
    <comment ref="Y742" authorId="0" shapeId="0" xr:uid="{E9477423-B101-4F0E-B99D-3092426D4552}">
      <text>
        <r>
          <rPr>
            <b/>
            <sz val="9"/>
            <color indexed="81"/>
            <rFont val="Tahoma"/>
            <family val="2"/>
          </rPr>
          <t>Christian:</t>
        </r>
        <r>
          <rPr>
            <sz val="9"/>
            <color indexed="81"/>
            <rFont val="Tahoma"/>
            <family val="2"/>
          </rPr>
          <t xml:space="preserve">
NA if fossil</t>
        </r>
      </text>
    </comment>
    <comment ref="AS742" authorId="0" shapeId="0" xr:uid="{2084A839-DF0E-4DF1-AA34-75D556C0ACEE}">
      <text>
        <r>
          <rPr>
            <b/>
            <sz val="9"/>
            <color indexed="81"/>
            <rFont val="Tahoma"/>
            <family val="2"/>
          </rPr>
          <t>Christian:</t>
        </r>
        <r>
          <rPr>
            <sz val="9"/>
            <color indexed="81"/>
            <rFont val="Tahoma"/>
            <family val="2"/>
          </rPr>
          <t xml:space="preserve">
Type I here related to MS specific</t>
        </r>
      </text>
    </comment>
    <comment ref="Y743" authorId="0" shapeId="0" xr:uid="{EE349CAA-6A31-4E9F-AE1C-F746F7D9FA01}">
      <text>
        <r>
          <rPr>
            <b/>
            <sz val="9"/>
            <color indexed="81"/>
            <rFont val="Tahoma"/>
            <family val="2"/>
          </rPr>
          <t>Christian:</t>
        </r>
        <r>
          <rPr>
            <sz val="9"/>
            <color indexed="81"/>
            <rFont val="Tahoma"/>
            <family val="2"/>
          </rPr>
          <t xml:space="preserve">
NA if fossil</t>
        </r>
      </text>
    </comment>
    <comment ref="AS743" authorId="0" shapeId="0" xr:uid="{BECC6E6A-1E53-40FF-AC65-CEFD559B3D56}">
      <text>
        <r>
          <rPr>
            <b/>
            <sz val="9"/>
            <color indexed="81"/>
            <rFont val="Tahoma"/>
            <family val="2"/>
          </rPr>
          <t>Christian:</t>
        </r>
        <r>
          <rPr>
            <sz val="9"/>
            <color indexed="81"/>
            <rFont val="Tahoma"/>
            <family val="2"/>
          </rPr>
          <t xml:space="preserve">
Type I here related to MS specific</t>
        </r>
      </text>
    </comment>
    <comment ref="Y744" authorId="0" shapeId="0" xr:uid="{FC6A7B8A-9216-41CA-B201-32181BC5549B}">
      <text>
        <r>
          <rPr>
            <b/>
            <sz val="9"/>
            <color indexed="81"/>
            <rFont val="Tahoma"/>
            <family val="2"/>
          </rPr>
          <t>Christian:</t>
        </r>
        <r>
          <rPr>
            <sz val="9"/>
            <color indexed="81"/>
            <rFont val="Tahoma"/>
            <family val="2"/>
          </rPr>
          <t xml:space="preserve">
NA if fossil</t>
        </r>
      </text>
    </comment>
    <comment ref="AS744" authorId="0" shapeId="0" xr:uid="{E19BFA09-3CE6-4819-B479-7E82C006090B}">
      <text>
        <r>
          <rPr>
            <b/>
            <sz val="9"/>
            <color indexed="81"/>
            <rFont val="Tahoma"/>
            <family val="2"/>
          </rPr>
          <t>Christian:</t>
        </r>
        <r>
          <rPr>
            <sz val="9"/>
            <color indexed="81"/>
            <rFont val="Tahoma"/>
            <family val="2"/>
          </rPr>
          <t xml:space="preserve">
Type I here related to MS specific</t>
        </r>
      </text>
    </comment>
    <comment ref="Y745" authorId="0" shapeId="0" xr:uid="{DCC807D2-9F93-40EF-8379-2D1695496341}">
      <text>
        <r>
          <rPr>
            <b/>
            <sz val="9"/>
            <color indexed="81"/>
            <rFont val="Tahoma"/>
            <family val="2"/>
          </rPr>
          <t>Christian:</t>
        </r>
        <r>
          <rPr>
            <sz val="9"/>
            <color indexed="81"/>
            <rFont val="Tahoma"/>
            <family val="2"/>
          </rPr>
          <t xml:space="preserve">
NA if fossil</t>
        </r>
      </text>
    </comment>
    <comment ref="AS745" authorId="0" shapeId="0" xr:uid="{9A005F83-BEB2-4EF3-8F1C-57C7289CB204}">
      <text>
        <r>
          <rPr>
            <b/>
            <sz val="9"/>
            <color indexed="81"/>
            <rFont val="Tahoma"/>
            <family val="2"/>
          </rPr>
          <t>Christian:</t>
        </r>
        <r>
          <rPr>
            <sz val="9"/>
            <color indexed="81"/>
            <rFont val="Tahoma"/>
            <family val="2"/>
          </rPr>
          <t xml:space="preserve">
Type I here related to MS specific</t>
        </r>
      </text>
    </comment>
    <comment ref="Y746" authorId="0" shapeId="0" xr:uid="{145ED739-F3AA-4F22-AEFF-67E674B8B336}">
      <text>
        <r>
          <rPr>
            <b/>
            <sz val="9"/>
            <color indexed="81"/>
            <rFont val="Tahoma"/>
            <family val="2"/>
          </rPr>
          <t>Christian:</t>
        </r>
        <r>
          <rPr>
            <sz val="9"/>
            <color indexed="81"/>
            <rFont val="Tahoma"/>
            <family val="2"/>
          </rPr>
          <t xml:space="preserve">
NA if fossil</t>
        </r>
      </text>
    </comment>
    <comment ref="AS746" authorId="0" shapeId="0" xr:uid="{0575A625-727C-4B89-B131-1E5549E6783F}">
      <text>
        <r>
          <rPr>
            <b/>
            <sz val="9"/>
            <color indexed="81"/>
            <rFont val="Tahoma"/>
            <family val="2"/>
          </rPr>
          <t>Christian:</t>
        </r>
        <r>
          <rPr>
            <sz val="9"/>
            <color indexed="81"/>
            <rFont val="Tahoma"/>
            <family val="2"/>
          </rPr>
          <t xml:space="preserve">
Type I here related to MS specific</t>
        </r>
      </text>
    </comment>
    <comment ref="Y747" authorId="0" shapeId="0" xr:uid="{2E529303-A7FA-4103-8224-15A868734AE1}">
      <text>
        <r>
          <rPr>
            <b/>
            <sz val="9"/>
            <color indexed="81"/>
            <rFont val="Tahoma"/>
            <family val="2"/>
          </rPr>
          <t>Christian:</t>
        </r>
        <r>
          <rPr>
            <sz val="9"/>
            <color indexed="81"/>
            <rFont val="Tahoma"/>
            <family val="2"/>
          </rPr>
          <t xml:space="preserve">
NA if fossil</t>
        </r>
      </text>
    </comment>
    <comment ref="AS747" authorId="0" shapeId="0" xr:uid="{D1225919-6294-4335-98CB-C8B0B5097B80}">
      <text>
        <r>
          <rPr>
            <b/>
            <sz val="9"/>
            <color indexed="81"/>
            <rFont val="Tahoma"/>
            <family val="2"/>
          </rPr>
          <t>Christian:</t>
        </r>
        <r>
          <rPr>
            <sz val="9"/>
            <color indexed="81"/>
            <rFont val="Tahoma"/>
            <family val="2"/>
          </rPr>
          <t xml:space="preserve">
Type I here related to MS specific</t>
        </r>
      </text>
    </comment>
    <comment ref="Y749" authorId="0" shapeId="0" xr:uid="{70ADE2EF-6DAF-4A61-A7D1-6C238BA4F0F8}">
      <text>
        <r>
          <rPr>
            <b/>
            <sz val="9"/>
            <color indexed="81"/>
            <rFont val="Tahoma"/>
            <family val="2"/>
          </rPr>
          <t>Christian:</t>
        </r>
        <r>
          <rPr>
            <sz val="9"/>
            <color indexed="81"/>
            <rFont val="Tahoma"/>
            <family val="2"/>
          </rPr>
          <t xml:space="preserve">
NA if fossil</t>
        </r>
      </text>
    </comment>
    <comment ref="Y770" authorId="0" shapeId="0" xr:uid="{7B4CC7FF-BAC1-42F5-9B89-50FA3BE8EB11}">
      <text>
        <r>
          <rPr>
            <b/>
            <sz val="9"/>
            <color indexed="81"/>
            <rFont val="Tahoma"/>
            <family val="2"/>
          </rPr>
          <t>Christian:</t>
        </r>
        <r>
          <rPr>
            <sz val="9"/>
            <color indexed="81"/>
            <rFont val="Tahoma"/>
            <family val="2"/>
          </rPr>
          <t xml:space="preserve">
NA if fossil</t>
        </r>
      </text>
    </comment>
    <comment ref="AS770" authorId="0" shapeId="0" xr:uid="{03DD111B-5816-4598-8036-722B7D11C288}">
      <text>
        <r>
          <rPr>
            <b/>
            <sz val="9"/>
            <color indexed="81"/>
            <rFont val="Tahoma"/>
            <family val="2"/>
          </rPr>
          <t>Christian:</t>
        </r>
        <r>
          <rPr>
            <sz val="9"/>
            <color indexed="81"/>
            <rFont val="Tahoma"/>
            <family val="2"/>
          </rPr>
          <t xml:space="preserve">
Type I here related to MS specific</t>
        </r>
      </text>
    </comment>
    <comment ref="Y771" authorId="0" shapeId="0" xr:uid="{618C0C78-605A-48B2-B193-40C12989DBAB}">
      <text>
        <r>
          <rPr>
            <b/>
            <sz val="9"/>
            <color indexed="81"/>
            <rFont val="Tahoma"/>
            <family val="2"/>
          </rPr>
          <t>Christian:</t>
        </r>
        <r>
          <rPr>
            <sz val="9"/>
            <color indexed="81"/>
            <rFont val="Tahoma"/>
            <family val="2"/>
          </rPr>
          <t xml:space="preserve">
NA if fossil</t>
        </r>
      </text>
    </comment>
    <comment ref="AS771" authorId="0" shapeId="0" xr:uid="{EF29B776-51E5-4424-B0F0-10338D3743AF}">
      <text>
        <r>
          <rPr>
            <b/>
            <sz val="9"/>
            <color indexed="81"/>
            <rFont val="Tahoma"/>
            <family val="2"/>
          </rPr>
          <t>Christian:</t>
        </r>
        <r>
          <rPr>
            <sz val="9"/>
            <color indexed="81"/>
            <rFont val="Tahoma"/>
            <family val="2"/>
          </rPr>
          <t xml:space="preserve">
Type I here related to MS specific</t>
        </r>
      </text>
    </comment>
    <comment ref="Y772" authorId="0" shapeId="0" xr:uid="{DC75A50F-0D47-4A88-8085-B251938B7E9D}">
      <text>
        <r>
          <rPr>
            <b/>
            <sz val="9"/>
            <color indexed="81"/>
            <rFont val="Tahoma"/>
            <family val="2"/>
          </rPr>
          <t>Christian:</t>
        </r>
        <r>
          <rPr>
            <sz val="9"/>
            <color indexed="81"/>
            <rFont val="Tahoma"/>
            <family val="2"/>
          </rPr>
          <t xml:space="preserve">
NA if fossil</t>
        </r>
      </text>
    </comment>
    <comment ref="AS772" authorId="0" shapeId="0" xr:uid="{3793A224-43A0-4DB0-AB86-A6399EC019E7}">
      <text>
        <r>
          <rPr>
            <b/>
            <sz val="9"/>
            <color indexed="81"/>
            <rFont val="Tahoma"/>
            <family val="2"/>
          </rPr>
          <t>Christian:</t>
        </r>
        <r>
          <rPr>
            <sz val="9"/>
            <color indexed="81"/>
            <rFont val="Tahoma"/>
            <family val="2"/>
          </rPr>
          <t xml:space="preserve">
Type I here related to MS specific</t>
        </r>
      </text>
    </comment>
    <comment ref="Y773" authorId="0" shapeId="0" xr:uid="{F12674AE-B3F7-4297-B50E-CDE0C6F91124}">
      <text>
        <r>
          <rPr>
            <b/>
            <sz val="9"/>
            <color indexed="81"/>
            <rFont val="Tahoma"/>
            <family val="2"/>
          </rPr>
          <t>Christian:</t>
        </r>
        <r>
          <rPr>
            <sz val="9"/>
            <color indexed="81"/>
            <rFont val="Tahoma"/>
            <family val="2"/>
          </rPr>
          <t xml:space="preserve">
NA if fossil</t>
        </r>
      </text>
    </comment>
    <comment ref="AS773" authorId="0" shapeId="0" xr:uid="{0FCF9CA2-7659-4530-AA46-BCC9DB78AF61}">
      <text>
        <r>
          <rPr>
            <b/>
            <sz val="9"/>
            <color indexed="81"/>
            <rFont val="Tahoma"/>
            <family val="2"/>
          </rPr>
          <t>Christian:</t>
        </r>
        <r>
          <rPr>
            <sz val="9"/>
            <color indexed="81"/>
            <rFont val="Tahoma"/>
            <family val="2"/>
          </rPr>
          <t xml:space="preserve">
Type I here related to MS specific</t>
        </r>
      </text>
    </comment>
    <comment ref="Y774" authorId="0" shapeId="0" xr:uid="{88605B27-84EC-4F4D-8D44-9FF2E4306856}">
      <text>
        <r>
          <rPr>
            <b/>
            <sz val="9"/>
            <color indexed="81"/>
            <rFont val="Tahoma"/>
            <family val="2"/>
          </rPr>
          <t>Christian:</t>
        </r>
        <r>
          <rPr>
            <sz val="9"/>
            <color indexed="81"/>
            <rFont val="Tahoma"/>
            <family val="2"/>
          </rPr>
          <t xml:space="preserve">
NA if fossil</t>
        </r>
      </text>
    </comment>
    <comment ref="AS774" authorId="0" shapeId="0" xr:uid="{7DB4C5B2-3142-486E-80FB-0CC7CD6E76D9}">
      <text>
        <r>
          <rPr>
            <b/>
            <sz val="9"/>
            <color indexed="81"/>
            <rFont val="Tahoma"/>
            <family val="2"/>
          </rPr>
          <t>Christian:</t>
        </r>
        <r>
          <rPr>
            <sz val="9"/>
            <color indexed="81"/>
            <rFont val="Tahoma"/>
            <family val="2"/>
          </rPr>
          <t xml:space="preserve">
Type I here related to MS specific</t>
        </r>
      </text>
    </comment>
    <comment ref="Y775" authorId="0" shapeId="0" xr:uid="{58F1523F-CC06-4913-90F2-0BF4587C5445}">
      <text>
        <r>
          <rPr>
            <b/>
            <sz val="9"/>
            <color indexed="81"/>
            <rFont val="Tahoma"/>
            <family val="2"/>
          </rPr>
          <t>Christian:</t>
        </r>
        <r>
          <rPr>
            <sz val="9"/>
            <color indexed="81"/>
            <rFont val="Tahoma"/>
            <family val="2"/>
          </rPr>
          <t xml:space="preserve">
NA if fossil</t>
        </r>
      </text>
    </comment>
    <comment ref="AS775" authorId="0" shapeId="0" xr:uid="{B55CB868-6431-4E9A-8CA8-B47B05B0D283}">
      <text>
        <r>
          <rPr>
            <b/>
            <sz val="9"/>
            <color indexed="81"/>
            <rFont val="Tahoma"/>
            <family val="2"/>
          </rPr>
          <t>Christian:</t>
        </r>
        <r>
          <rPr>
            <sz val="9"/>
            <color indexed="81"/>
            <rFont val="Tahoma"/>
            <family val="2"/>
          </rPr>
          <t xml:space="preserve">
Type I here related to MS specific</t>
        </r>
      </text>
    </comment>
    <comment ref="Y777" authorId="0" shapeId="0" xr:uid="{96A838EE-2B03-4741-9471-459DAF0A6E1D}">
      <text>
        <r>
          <rPr>
            <b/>
            <sz val="9"/>
            <color indexed="81"/>
            <rFont val="Tahoma"/>
            <family val="2"/>
          </rPr>
          <t>Christian:</t>
        </r>
        <r>
          <rPr>
            <sz val="9"/>
            <color indexed="81"/>
            <rFont val="Tahoma"/>
            <family val="2"/>
          </rPr>
          <t xml:space="preserve">
NA if fossil</t>
        </r>
      </text>
    </comment>
    <comment ref="Y798" authorId="0" shapeId="0" xr:uid="{72A8B362-9016-4CC0-884E-59B9CCCD5F82}">
      <text>
        <r>
          <rPr>
            <b/>
            <sz val="9"/>
            <color indexed="81"/>
            <rFont val="Tahoma"/>
            <family val="2"/>
          </rPr>
          <t>Christian:</t>
        </r>
        <r>
          <rPr>
            <sz val="9"/>
            <color indexed="81"/>
            <rFont val="Tahoma"/>
            <family val="2"/>
          </rPr>
          <t xml:space="preserve">
NA if fossil</t>
        </r>
      </text>
    </comment>
    <comment ref="AS798" authorId="0" shapeId="0" xr:uid="{A7A59F3B-041D-44EE-BF00-D4BB9C2C0A66}">
      <text>
        <r>
          <rPr>
            <b/>
            <sz val="9"/>
            <color indexed="81"/>
            <rFont val="Tahoma"/>
            <family val="2"/>
          </rPr>
          <t>Christian:</t>
        </r>
        <r>
          <rPr>
            <sz val="9"/>
            <color indexed="81"/>
            <rFont val="Tahoma"/>
            <family val="2"/>
          </rPr>
          <t xml:space="preserve">
Type I here related to MS specific</t>
        </r>
      </text>
    </comment>
    <comment ref="Y799" authorId="0" shapeId="0" xr:uid="{B3978EAC-DAEE-457E-AFDD-CCAC926601D9}">
      <text>
        <r>
          <rPr>
            <b/>
            <sz val="9"/>
            <color indexed="81"/>
            <rFont val="Tahoma"/>
            <family val="2"/>
          </rPr>
          <t>Christian:</t>
        </r>
        <r>
          <rPr>
            <sz val="9"/>
            <color indexed="81"/>
            <rFont val="Tahoma"/>
            <family val="2"/>
          </rPr>
          <t xml:space="preserve">
NA if fossil</t>
        </r>
      </text>
    </comment>
    <comment ref="AS799" authorId="0" shapeId="0" xr:uid="{0E01E319-3713-4D05-BC21-1072DE42092C}">
      <text>
        <r>
          <rPr>
            <b/>
            <sz val="9"/>
            <color indexed="81"/>
            <rFont val="Tahoma"/>
            <family val="2"/>
          </rPr>
          <t>Christian:</t>
        </r>
        <r>
          <rPr>
            <sz val="9"/>
            <color indexed="81"/>
            <rFont val="Tahoma"/>
            <family val="2"/>
          </rPr>
          <t xml:space="preserve">
Type I here related to MS specific</t>
        </r>
      </text>
    </comment>
    <comment ref="Y800" authorId="0" shapeId="0" xr:uid="{E832715A-0233-4F9E-9767-05AC0EF6C177}">
      <text>
        <r>
          <rPr>
            <b/>
            <sz val="9"/>
            <color indexed="81"/>
            <rFont val="Tahoma"/>
            <family val="2"/>
          </rPr>
          <t>Christian:</t>
        </r>
        <r>
          <rPr>
            <sz val="9"/>
            <color indexed="81"/>
            <rFont val="Tahoma"/>
            <family val="2"/>
          </rPr>
          <t xml:space="preserve">
NA if fossil</t>
        </r>
      </text>
    </comment>
    <comment ref="AS800" authorId="0" shapeId="0" xr:uid="{16BE179C-FA8A-4D1F-9B15-8A49F36B7F5C}">
      <text>
        <r>
          <rPr>
            <b/>
            <sz val="9"/>
            <color indexed="81"/>
            <rFont val="Tahoma"/>
            <family val="2"/>
          </rPr>
          <t>Christian:</t>
        </r>
        <r>
          <rPr>
            <sz val="9"/>
            <color indexed="81"/>
            <rFont val="Tahoma"/>
            <family val="2"/>
          </rPr>
          <t xml:space="preserve">
Type I here related to MS specific</t>
        </r>
      </text>
    </comment>
    <comment ref="Y801" authorId="0" shapeId="0" xr:uid="{94239128-EA85-45EE-8DCA-AED93697DB98}">
      <text>
        <r>
          <rPr>
            <b/>
            <sz val="9"/>
            <color indexed="81"/>
            <rFont val="Tahoma"/>
            <family val="2"/>
          </rPr>
          <t>Christian:</t>
        </r>
        <r>
          <rPr>
            <sz val="9"/>
            <color indexed="81"/>
            <rFont val="Tahoma"/>
            <family val="2"/>
          </rPr>
          <t xml:space="preserve">
NA if fossil</t>
        </r>
      </text>
    </comment>
    <comment ref="AS801" authorId="0" shapeId="0" xr:uid="{B329C2B8-0328-4748-AFC0-314D7BD1BC59}">
      <text>
        <r>
          <rPr>
            <b/>
            <sz val="9"/>
            <color indexed="81"/>
            <rFont val="Tahoma"/>
            <family val="2"/>
          </rPr>
          <t>Christian:</t>
        </r>
        <r>
          <rPr>
            <sz val="9"/>
            <color indexed="81"/>
            <rFont val="Tahoma"/>
            <family val="2"/>
          </rPr>
          <t xml:space="preserve">
Type I here related to MS specific</t>
        </r>
      </text>
    </comment>
    <comment ref="Y802" authorId="0" shapeId="0" xr:uid="{C84E9279-B590-421A-AAF8-C5D591EC189F}">
      <text>
        <r>
          <rPr>
            <b/>
            <sz val="9"/>
            <color indexed="81"/>
            <rFont val="Tahoma"/>
            <family val="2"/>
          </rPr>
          <t>Christian:</t>
        </r>
        <r>
          <rPr>
            <sz val="9"/>
            <color indexed="81"/>
            <rFont val="Tahoma"/>
            <family val="2"/>
          </rPr>
          <t xml:space="preserve">
NA if fossil</t>
        </r>
      </text>
    </comment>
    <comment ref="AS802" authorId="0" shapeId="0" xr:uid="{C569CBB3-4A8C-44F2-8B1D-44455BE848DF}">
      <text>
        <r>
          <rPr>
            <b/>
            <sz val="9"/>
            <color indexed="81"/>
            <rFont val="Tahoma"/>
            <family val="2"/>
          </rPr>
          <t>Christian:</t>
        </r>
        <r>
          <rPr>
            <sz val="9"/>
            <color indexed="81"/>
            <rFont val="Tahoma"/>
            <family val="2"/>
          </rPr>
          <t xml:space="preserve">
Type I here related to MS specific</t>
        </r>
      </text>
    </comment>
    <comment ref="Y803" authorId="0" shapeId="0" xr:uid="{31D5BC20-FCC1-43B3-9E8E-5DDB776D5CEF}">
      <text>
        <r>
          <rPr>
            <b/>
            <sz val="9"/>
            <color indexed="81"/>
            <rFont val="Tahoma"/>
            <family val="2"/>
          </rPr>
          <t>Christian:</t>
        </r>
        <r>
          <rPr>
            <sz val="9"/>
            <color indexed="81"/>
            <rFont val="Tahoma"/>
            <family val="2"/>
          </rPr>
          <t xml:space="preserve">
NA if fossil</t>
        </r>
      </text>
    </comment>
    <comment ref="AS803" authorId="0" shapeId="0" xr:uid="{FE7F54B2-70C2-468D-9629-C4C6198FE573}">
      <text>
        <r>
          <rPr>
            <b/>
            <sz val="9"/>
            <color indexed="81"/>
            <rFont val="Tahoma"/>
            <family val="2"/>
          </rPr>
          <t>Christian:</t>
        </r>
        <r>
          <rPr>
            <sz val="9"/>
            <color indexed="81"/>
            <rFont val="Tahoma"/>
            <family val="2"/>
          </rPr>
          <t xml:space="preserve">
Type I here related to MS specific</t>
        </r>
      </text>
    </comment>
    <comment ref="Y805" authorId="0" shapeId="0" xr:uid="{6EA03CDF-D405-4BEF-8064-2CA9AE8BD962}">
      <text>
        <r>
          <rPr>
            <b/>
            <sz val="9"/>
            <color indexed="81"/>
            <rFont val="Tahoma"/>
            <family val="2"/>
          </rPr>
          <t>Christian:</t>
        </r>
        <r>
          <rPr>
            <sz val="9"/>
            <color indexed="81"/>
            <rFont val="Tahoma"/>
            <family val="2"/>
          </rPr>
          <t xml:space="preserve">
NA if fossil</t>
        </r>
      </text>
    </comment>
    <comment ref="Y826" authorId="0" shapeId="0" xr:uid="{A72D15C6-8259-4AC7-AE9C-E6A06F3FF50A}">
      <text>
        <r>
          <rPr>
            <b/>
            <sz val="9"/>
            <color indexed="81"/>
            <rFont val="Tahoma"/>
            <family val="2"/>
          </rPr>
          <t>Christian:</t>
        </r>
        <r>
          <rPr>
            <sz val="9"/>
            <color indexed="81"/>
            <rFont val="Tahoma"/>
            <family val="2"/>
          </rPr>
          <t xml:space="preserve">
NA if fossil</t>
        </r>
      </text>
    </comment>
    <comment ref="AS826" authorId="0" shapeId="0" xr:uid="{F8F7A559-DC6B-4C7D-8FA5-0E25DC68F389}">
      <text>
        <r>
          <rPr>
            <b/>
            <sz val="9"/>
            <color indexed="81"/>
            <rFont val="Tahoma"/>
            <family val="2"/>
          </rPr>
          <t>Christian:</t>
        </r>
        <r>
          <rPr>
            <sz val="9"/>
            <color indexed="81"/>
            <rFont val="Tahoma"/>
            <family val="2"/>
          </rPr>
          <t xml:space="preserve">
Type I here related to MS specific</t>
        </r>
      </text>
    </comment>
    <comment ref="Y827" authorId="0" shapeId="0" xr:uid="{83916B32-AA2C-4DA7-8D27-521F280926B2}">
      <text>
        <r>
          <rPr>
            <b/>
            <sz val="9"/>
            <color indexed="81"/>
            <rFont val="Tahoma"/>
            <family val="2"/>
          </rPr>
          <t>Christian:</t>
        </r>
        <r>
          <rPr>
            <sz val="9"/>
            <color indexed="81"/>
            <rFont val="Tahoma"/>
            <family val="2"/>
          </rPr>
          <t xml:space="preserve">
NA if fossil</t>
        </r>
      </text>
    </comment>
    <comment ref="AS827" authorId="0" shapeId="0" xr:uid="{D3688C9D-D3C6-4D46-B183-F379BC5279C6}">
      <text>
        <r>
          <rPr>
            <b/>
            <sz val="9"/>
            <color indexed="81"/>
            <rFont val="Tahoma"/>
            <family val="2"/>
          </rPr>
          <t>Christian:</t>
        </r>
        <r>
          <rPr>
            <sz val="9"/>
            <color indexed="81"/>
            <rFont val="Tahoma"/>
            <family val="2"/>
          </rPr>
          <t xml:space="preserve">
Type I here related to MS specific</t>
        </r>
      </text>
    </comment>
    <comment ref="Y828" authorId="0" shapeId="0" xr:uid="{A1E9C27E-C7B6-46B4-884A-2633F7A7057E}">
      <text>
        <r>
          <rPr>
            <b/>
            <sz val="9"/>
            <color indexed="81"/>
            <rFont val="Tahoma"/>
            <family val="2"/>
          </rPr>
          <t>Christian:</t>
        </r>
        <r>
          <rPr>
            <sz val="9"/>
            <color indexed="81"/>
            <rFont val="Tahoma"/>
            <family val="2"/>
          </rPr>
          <t xml:space="preserve">
NA if fossil</t>
        </r>
      </text>
    </comment>
    <comment ref="AS828" authorId="0" shapeId="0" xr:uid="{D2BA80C7-40BE-4ACA-9CFF-71B1E4025D96}">
      <text>
        <r>
          <rPr>
            <b/>
            <sz val="9"/>
            <color indexed="81"/>
            <rFont val="Tahoma"/>
            <family val="2"/>
          </rPr>
          <t>Christian:</t>
        </r>
        <r>
          <rPr>
            <sz val="9"/>
            <color indexed="81"/>
            <rFont val="Tahoma"/>
            <family val="2"/>
          </rPr>
          <t xml:space="preserve">
Type I here related to MS specific</t>
        </r>
      </text>
    </comment>
    <comment ref="Y829" authorId="0" shapeId="0" xr:uid="{4D3C5F99-8A8D-42DB-B20B-3FED94DDB8CE}">
      <text>
        <r>
          <rPr>
            <b/>
            <sz val="9"/>
            <color indexed="81"/>
            <rFont val="Tahoma"/>
            <family val="2"/>
          </rPr>
          <t>Christian:</t>
        </r>
        <r>
          <rPr>
            <sz val="9"/>
            <color indexed="81"/>
            <rFont val="Tahoma"/>
            <family val="2"/>
          </rPr>
          <t xml:space="preserve">
NA if fossil</t>
        </r>
      </text>
    </comment>
    <comment ref="AS829" authorId="0" shapeId="0" xr:uid="{A4E9A9A7-7D8E-44EA-90A9-4EE5D586DE46}">
      <text>
        <r>
          <rPr>
            <b/>
            <sz val="9"/>
            <color indexed="81"/>
            <rFont val="Tahoma"/>
            <family val="2"/>
          </rPr>
          <t>Christian:</t>
        </r>
        <r>
          <rPr>
            <sz val="9"/>
            <color indexed="81"/>
            <rFont val="Tahoma"/>
            <family val="2"/>
          </rPr>
          <t xml:space="preserve">
Type I here related to MS specific</t>
        </r>
      </text>
    </comment>
    <comment ref="Y830" authorId="0" shapeId="0" xr:uid="{6A4D3CE5-6EB1-4BFD-AE09-6ACB8FDC6115}">
      <text>
        <r>
          <rPr>
            <b/>
            <sz val="9"/>
            <color indexed="81"/>
            <rFont val="Tahoma"/>
            <family val="2"/>
          </rPr>
          <t>Christian:</t>
        </r>
        <r>
          <rPr>
            <sz val="9"/>
            <color indexed="81"/>
            <rFont val="Tahoma"/>
            <family val="2"/>
          </rPr>
          <t xml:space="preserve">
NA if fossil</t>
        </r>
      </text>
    </comment>
    <comment ref="AS830" authorId="0" shapeId="0" xr:uid="{600BF91A-FE7D-49E6-9491-02F9A10A9A78}">
      <text>
        <r>
          <rPr>
            <b/>
            <sz val="9"/>
            <color indexed="81"/>
            <rFont val="Tahoma"/>
            <family val="2"/>
          </rPr>
          <t>Christian:</t>
        </r>
        <r>
          <rPr>
            <sz val="9"/>
            <color indexed="81"/>
            <rFont val="Tahoma"/>
            <family val="2"/>
          </rPr>
          <t xml:space="preserve">
Type I here related to MS specific</t>
        </r>
      </text>
    </comment>
    <comment ref="Y831" authorId="0" shapeId="0" xr:uid="{E3545F36-B8E1-4200-89F9-30E89748816B}">
      <text>
        <r>
          <rPr>
            <b/>
            <sz val="9"/>
            <color indexed="81"/>
            <rFont val="Tahoma"/>
            <family val="2"/>
          </rPr>
          <t>Christian:</t>
        </r>
        <r>
          <rPr>
            <sz val="9"/>
            <color indexed="81"/>
            <rFont val="Tahoma"/>
            <family val="2"/>
          </rPr>
          <t xml:space="preserve">
NA if fossil</t>
        </r>
      </text>
    </comment>
    <comment ref="AS831" authorId="0" shapeId="0" xr:uid="{2037FAE6-E7EE-414D-B86C-08B5F0F378AB}">
      <text>
        <r>
          <rPr>
            <b/>
            <sz val="9"/>
            <color indexed="81"/>
            <rFont val="Tahoma"/>
            <family val="2"/>
          </rPr>
          <t>Christian:</t>
        </r>
        <r>
          <rPr>
            <sz val="9"/>
            <color indexed="81"/>
            <rFont val="Tahoma"/>
            <family val="2"/>
          </rPr>
          <t xml:space="preserve">
Type I here related to MS specific</t>
        </r>
      </text>
    </comment>
    <comment ref="Y833" authorId="0" shapeId="0" xr:uid="{0D1876CF-1F87-4BCA-B55A-619A539A6C27}">
      <text>
        <r>
          <rPr>
            <b/>
            <sz val="9"/>
            <color indexed="81"/>
            <rFont val="Tahoma"/>
            <family val="2"/>
          </rPr>
          <t>Christian:</t>
        </r>
        <r>
          <rPr>
            <sz val="9"/>
            <color indexed="81"/>
            <rFont val="Tahoma"/>
            <family val="2"/>
          </rPr>
          <t xml:space="preserve">
NA if fossil</t>
        </r>
      </text>
    </comment>
    <comment ref="Y854" authorId="0" shapeId="0" xr:uid="{59B8F0F8-7E3E-4AC5-B137-3F85D11F7AFE}">
      <text>
        <r>
          <rPr>
            <b/>
            <sz val="9"/>
            <color indexed="81"/>
            <rFont val="Tahoma"/>
            <family val="2"/>
          </rPr>
          <t>Christian:</t>
        </r>
        <r>
          <rPr>
            <sz val="9"/>
            <color indexed="81"/>
            <rFont val="Tahoma"/>
            <family val="2"/>
          </rPr>
          <t xml:space="preserve">
NA if fossil</t>
        </r>
      </text>
    </comment>
    <comment ref="AS854" authorId="0" shapeId="0" xr:uid="{9466735A-5EA5-4F21-9B14-FEA2D0068446}">
      <text>
        <r>
          <rPr>
            <b/>
            <sz val="9"/>
            <color indexed="81"/>
            <rFont val="Tahoma"/>
            <family val="2"/>
          </rPr>
          <t>Christian:</t>
        </r>
        <r>
          <rPr>
            <sz val="9"/>
            <color indexed="81"/>
            <rFont val="Tahoma"/>
            <family val="2"/>
          </rPr>
          <t xml:space="preserve">
Type I here related to MS specific</t>
        </r>
      </text>
    </comment>
    <comment ref="Y855" authorId="0" shapeId="0" xr:uid="{4CF5370D-6E56-4D9D-B836-2382E9F83E5A}">
      <text>
        <r>
          <rPr>
            <b/>
            <sz val="9"/>
            <color indexed="81"/>
            <rFont val="Tahoma"/>
            <family val="2"/>
          </rPr>
          <t>Christian:</t>
        </r>
        <r>
          <rPr>
            <sz val="9"/>
            <color indexed="81"/>
            <rFont val="Tahoma"/>
            <family val="2"/>
          </rPr>
          <t xml:space="preserve">
NA if fossil</t>
        </r>
      </text>
    </comment>
    <comment ref="AS855" authorId="0" shapeId="0" xr:uid="{2161498D-7CEE-4EAA-8213-189B0BB1FF63}">
      <text>
        <r>
          <rPr>
            <b/>
            <sz val="9"/>
            <color indexed="81"/>
            <rFont val="Tahoma"/>
            <family val="2"/>
          </rPr>
          <t>Christian:</t>
        </r>
        <r>
          <rPr>
            <sz val="9"/>
            <color indexed="81"/>
            <rFont val="Tahoma"/>
            <family val="2"/>
          </rPr>
          <t xml:space="preserve">
Type I here related to MS specific</t>
        </r>
      </text>
    </comment>
    <comment ref="Y856" authorId="0" shapeId="0" xr:uid="{B9932132-10C4-4B9E-BF5F-974BC0E108AB}">
      <text>
        <r>
          <rPr>
            <b/>
            <sz val="9"/>
            <color indexed="81"/>
            <rFont val="Tahoma"/>
            <family val="2"/>
          </rPr>
          <t>Christian:</t>
        </r>
        <r>
          <rPr>
            <sz val="9"/>
            <color indexed="81"/>
            <rFont val="Tahoma"/>
            <family val="2"/>
          </rPr>
          <t xml:space="preserve">
NA if fossil</t>
        </r>
      </text>
    </comment>
    <comment ref="AS856" authorId="0" shapeId="0" xr:uid="{20354694-AD11-49BD-8092-B31D879C7977}">
      <text>
        <r>
          <rPr>
            <b/>
            <sz val="9"/>
            <color indexed="81"/>
            <rFont val="Tahoma"/>
            <family val="2"/>
          </rPr>
          <t>Christian:</t>
        </r>
        <r>
          <rPr>
            <sz val="9"/>
            <color indexed="81"/>
            <rFont val="Tahoma"/>
            <family val="2"/>
          </rPr>
          <t xml:space="preserve">
Type I here related to MS specific</t>
        </r>
      </text>
    </comment>
    <comment ref="Y857" authorId="0" shapeId="0" xr:uid="{13F7AEE7-0BD5-4975-80BB-E03A0B34F6C2}">
      <text>
        <r>
          <rPr>
            <b/>
            <sz val="9"/>
            <color indexed="81"/>
            <rFont val="Tahoma"/>
            <family val="2"/>
          </rPr>
          <t>Christian:</t>
        </r>
        <r>
          <rPr>
            <sz val="9"/>
            <color indexed="81"/>
            <rFont val="Tahoma"/>
            <family val="2"/>
          </rPr>
          <t xml:space="preserve">
NA if fossil</t>
        </r>
      </text>
    </comment>
    <comment ref="AS857" authorId="0" shapeId="0" xr:uid="{55ACCD3F-AD5D-4355-9F28-16F390E7753F}">
      <text>
        <r>
          <rPr>
            <b/>
            <sz val="9"/>
            <color indexed="81"/>
            <rFont val="Tahoma"/>
            <family val="2"/>
          </rPr>
          <t>Christian:</t>
        </r>
        <r>
          <rPr>
            <sz val="9"/>
            <color indexed="81"/>
            <rFont val="Tahoma"/>
            <family val="2"/>
          </rPr>
          <t xml:space="preserve">
Type I here related to MS specific</t>
        </r>
      </text>
    </comment>
    <comment ref="Y858" authorId="0" shapeId="0" xr:uid="{FF6B47E5-3ED0-41E3-A276-2651E3DD0725}">
      <text>
        <r>
          <rPr>
            <b/>
            <sz val="9"/>
            <color indexed="81"/>
            <rFont val="Tahoma"/>
            <family val="2"/>
          </rPr>
          <t>Christian:</t>
        </r>
        <r>
          <rPr>
            <sz val="9"/>
            <color indexed="81"/>
            <rFont val="Tahoma"/>
            <family val="2"/>
          </rPr>
          <t xml:space="preserve">
NA if fossil</t>
        </r>
      </text>
    </comment>
    <comment ref="AS858" authorId="0" shapeId="0" xr:uid="{6BA52A8B-1C1B-49EF-BB07-8C8B19084063}">
      <text>
        <r>
          <rPr>
            <b/>
            <sz val="9"/>
            <color indexed="81"/>
            <rFont val="Tahoma"/>
            <family val="2"/>
          </rPr>
          <t>Christian:</t>
        </r>
        <r>
          <rPr>
            <sz val="9"/>
            <color indexed="81"/>
            <rFont val="Tahoma"/>
            <family val="2"/>
          </rPr>
          <t xml:space="preserve">
Type I here related to MS specific</t>
        </r>
      </text>
    </comment>
    <comment ref="Y859" authorId="0" shapeId="0" xr:uid="{317D4038-E900-47D5-A0B2-8DDD8FB7B933}">
      <text>
        <r>
          <rPr>
            <b/>
            <sz val="9"/>
            <color indexed="81"/>
            <rFont val="Tahoma"/>
            <family val="2"/>
          </rPr>
          <t>Christian:</t>
        </r>
        <r>
          <rPr>
            <sz val="9"/>
            <color indexed="81"/>
            <rFont val="Tahoma"/>
            <family val="2"/>
          </rPr>
          <t xml:space="preserve">
NA if fossil</t>
        </r>
      </text>
    </comment>
    <comment ref="AS859" authorId="0" shapeId="0" xr:uid="{953D7899-BF5F-4E61-AD6E-AE1C89539F53}">
      <text>
        <r>
          <rPr>
            <b/>
            <sz val="9"/>
            <color indexed="81"/>
            <rFont val="Tahoma"/>
            <family val="2"/>
          </rPr>
          <t>Christian:</t>
        </r>
        <r>
          <rPr>
            <sz val="9"/>
            <color indexed="81"/>
            <rFont val="Tahoma"/>
            <family val="2"/>
          </rPr>
          <t xml:space="preserve">
Type I here related to MS specific</t>
        </r>
      </text>
    </comment>
    <comment ref="Y861" authorId="0" shapeId="0" xr:uid="{BEDB7135-5A04-44E2-A63F-6976F5E9605F}">
      <text>
        <r>
          <rPr>
            <b/>
            <sz val="9"/>
            <color indexed="81"/>
            <rFont val="Tahoma"/>
            <family val="2"/>
          </rPr>
          <t>Christian:</t>
        </r>
        <r>
          <rPr>
            <sz val="9"/>
            <color indexed="81"/>
            <rFont val="Tahoma"/>
            <family val="2"/>
          </rPr>
          <t xml:space="preserve">
NA if fossil</t>
        </r>
      </text>
    </comment>
    <comment ref="Y882" authorId="0" shapeId="0" xr:uid="{97C4401C-A787-4AA2-BC7C-6D66E4984F15}">
      <text>
        <r>
          <rPr>
            <b/>
            <sz val="9"/>
            <color indexed="81"/>
            <rFont val="Tahoma"/>
            <family val="2"/>
          </rPr>
          <t>Christian:</t>
        </r>
        <r>
          <rPr>
            <sz val="9"/>
            <color indexed="81"/>
            <rFont val="Tahoma"/>
            <family val="2"/>
          </rPr>
          <t xml:space="preserve">
NA if fossil</t>
        </r>
      </text>
    </comment>
    <comment ref="AS882" authorId="0" shapeId="0" xr:uid="{4BFA7789-A9EE-4A0A-8A85-929A143A69CD}">
      <text>
        <r>
          <rPr>
            <b/>
            <sz val="9"/>
            <color indexed="81"/>
            <rFont val="Tahoma"/>
            <family val="2"/>
          </rPr>
          <t>Christian:</t>
        </r>
        <r>
          <rPr>
            <sz val="9"/>
            <color indexed="81"/>
            <rFont val="Tahoma"/>
            <family val="2"/>
          </rPr>
          <t xml:space="preserve">
Type I here related to MS specific</t>
        </r>
      </text>
    </comment>
    <comment ref="Y883" authorId="0" shapeId="0" xr:uid="{6E6CFAF3-FF13-49AE-ADA1-4047ED8862AA}">
      <text>
        <r>
          <rPr>
            <b/>
            <sz val="9"/>
            <color indexed="81"/>
            <rFont val="Tahoma"/>
            <family val="2"/>
          </rPr>
          <t>Christian:</t>
        </r>
        <r>
          <rPr>
            <sz val="9"/>
            <color indexed="81"/>
            <rFont val="Tahoma"/>
            <family val="2"/>
          </rPr>
          <t xml:space="preserve">
NA if fossil</t>
        </r>
      </text>
    </comment>
    <comment ref="AS883" authorId="0" shapeId="0" xr:uid="{C57CA2A7-CA8F-4FFD-9154-B9B37FEB9C98}">
      <text>
        <r>
          <rPr>
            <b/>
            <sz val="9"/>
            <color indexed="81"/>
            <rFont val="Tahoma"/>
            <family val="2"/>
          </rPr>
          <t>Christian:</t>
        </r>
        <r>
          <rPr>
            <sz val="9"/>
            <color indexed="81"/>
            <rFont val="Tahoma"/>
            <family val="2"/>
          </rPr>
          <t xml:space="preserve">
Type I here related to MS specific</t>
        </r>
      </text>
    </comment>
    <comment ref="Y884" authorId="0" shapeId="0" xr:uid="{260FCEEB-C5A4-4F01-8124-F91CF6F52AD9}">
      <text>
        <r>
          <rPr>
            <b/>
            <sz val="9"/>
            <color indexed="81"/>
            <rFont val="Tahoma"/>
            <family val="2"/>
          </rPr>
          <t>Christian:</t>
        </r>
        <r>
          <rPr>
            <sz val="9"/>
            <color indexed="81"/>
            <rFont val="Tahoma"/>
            <family val="2"/>
          </rPr>
          <t xml:space="preserve">
NA if fossil</t>
        </r>
      </text>
    </comment>
    <comment ref="AS884" authorId="0" shapeId="0" xr:uid="{6187A19B-1FEE-41CA-97BB-E3FF8DAF5983}">
      <text>
        <r>
          <rPr>
            <b/>
            <sz val="9"/>
            <color indexed="81"/>
            <rFont val="Tahoma"/>
            <family val="2"/>
          </rPr>
          <t>Christian:</t>
        </r>
        <r>
          <rPr>
            <sz val="9"/>
            <color indexed="81"/>
            <rFont val="Tahoma"/>
            <family val="2"/>
          </rPr>
          <t xml:space="preserve">
Type I here related to MS specific</t>
        </r>
      </text>
    </comment>
    <comment ref="Y885" authorId="0" shapeId="0" xr:uid="{58A4FF8E-1189-45F3-83B7-A9D642EB3D46}">
      <text>
        <r>
          <rPr>
            <b/>
            <sz val="9"/>
            <color indexed="81"/>
            <rFont val="Tahoma"/>
            <family val="2"/>
          </rPr>
          <t>Christian:</t>
        </r>
        <r>
          <rPr>
            <sz val="9"/>
            <color indexed="81"/>
            <rFont val="Tahoma"/>
            <family val="2"/>
          </rPr>
          <t xml:space="preserve">
NA if fossil</t>
        </r>
      </text>
    </comment>
    <comment ref="AS885" authorId="0" shapeId="0" xr:uid="{14567AF3-F857-4525-9BB3-FA395477FA84}">
      <text>
        <r>
          <rPr>
            <b/>
            <sz val="9"/>
            <color indexed="81"/>
            <rFont val="Tahoma"/>
            <family val="2"/>
          </rPr>
          <t>Christian:</t>
        </r>
        <r>
          <rPr>
            <sz val="9"/>
            <color indexed="81"/>
            <rFont val="Tahoma"/>
            <family val="2"/>
          </rPr>
          <t xml:space="preserve">
Type I here related to MS specific</t>
        </r>
      </text>
    </comment>
    <comment ref="Y886" authorId="0" shapeId="0" xr:uid="{8B1618B2-66AB-46B6-A351-A0E41ABEBF26}">
      <text>
        <r>
          <rPr>
            <b/>
            <sz val="9"/>
            <color indexed="81"/>
            <rFont val="Tahoma"/>
            <family val="2"/>
          </rPr>
          <t>Christian:</t>
        </r>
        <r>
          <rPr>
            <sz val="9"/>
            <color indexed="81"/>
            <rFont val="Tahoma"/>
            <family val="2"/>
          </rPr>
          <t xml:space="preserve">
NA if fossil</t>
        </r>
      </text>
    </comment>
    <comment ref="AS886" authorId="0" shapeId="0" xr:uid="{22384B90-96F7-4BFC-963C-07C2A13D870D}">
      <text>
        <r>
          <rPr>
            <b/>
            <sz val="9"/>
            <color indexed="81"/>
            <rFont val="Tahoma"/>
            <family val="2"/>
          </rPr>
          <t>Christian:</t>
        </r>
        <r>
          <rPr>
            <sz val="9"/>
            <color indexed="81"/>
            <rFont val="Tahoma"/>
            <family val="2"/>
          </rPr>
          <t xml:space="preserve">
Type I here related to MS specific</t>
        </r>
      </text>
    </comment>
    <comment ref="Y887" authorId="0" shapeId="0" xr:uid="{A956F1A6-5624-42FA-887D-CE784C48E770}">
      <text>
        <r>
          <rPr>
            <b/>
            <sz val="9"/>
            <color indexed="81"/>
            <rFont val="Tahoma"/>
            <family val="2"/>
          </rPr>
          <t>Christian:</t>
        </r>
        <r>
          <rPr>
            <sz val="9"/>
            <color indexed="81"/>
            <rFont val="Tahoma"/>
            <family val="2"/>
          </rPr>
          <t xml:space="preserve">
NA if fossil</t>
        </r>
      </text>
    </comment>
    <comment ref="AS887" authorId="0" shapeId="0" xr:uid="{1143A563-4657-4628-A000-BC7DDF80B9B8}">
      <text>
        <r>
          <rPr>
            <b/>
            <sz val="9"/>
            <color indexed="81"/>
            <rFont val="Tahoma"/>
            <family val="2"/>
          </rPr>
          <t>Christian:</t>
        </r>
        <r>
          <rPr>
            <sz val="9"/>
            <color indexed="81"/>
            <rFont val="Tahoma"/>
            <family val="2"/>
          </rPr>
          <t xml:space="preserve">
Type I here related to MS specific</t>
        </r>
      </text>
    </comment>
    <comment ref="Y889" authorId="0" shapeId="0" xr:uid="{4D311F0D-F795-4B1E-84E5-F2B71E348251}">
      <text>
        <r>
          <rPr>
            <b/>
            <sz val="9"/>
            <color indexed="81"/>
            <rFont val="Tahoma"/>
            <family val="2"/>
          </rPr>
          <t>Christian:</t>
        </r>
        <r>
          <rPr>
            <sz val="9"/>
            <color indexed="81"/>
            <rFont val="Tahoma"/>
            <family val="2"/>
          </rPr>
          <t xml:space="preserve">
NA if fossil</t>
        </r>
      </text>
    </comment>
    <comment ref="Y910" authorId="0" shapeId="0" xr:uid="{0BD37B77-0CF7-435F-879F-36A7B204EBA3}">
      <text>
        <r>
          <rPr>
            <b/>
            <sz val="9"/>
            <color indexed="81"/>
            <rFont val="Tahoma"/>
            <family val="2"/>
          </rPr>
          <t>Christian:</t>
        </r>
        <r>
          <rPr>
            <sz val="9"/>
            <color indexed="81"/>
            <rFont val="Tahoma"/>
            <family val="2"/>
          </rPr>
          <t xml:space="preserve">
NA if fossil</t>
        </r>
      </text>
    </comment>
    <comment ref="AS910" authorId="0" shapeId="0" xr:uid="{1D8AD0FA-FD6A-41DE-BC6B-C657741AB0B2}">
      <text>
        <r>
          <rPr>
            <b/>
            <sz val="9"/>
            <color indexed="81"/>
            <rFont val="Tahoma"/>
            <family val="2"/>
          </rPr>
          <t>Christian:</t>
        </r>
        <r>
          <rPr>
            <sz val="9"/>
            <color indexed="81"/>
            <rFont val="Tahoma"/>
            <family val="2"/>
          </rPr>
          <t xml:space="preserve">
Type I here related to MS specific</t>
        </r>
      </text>
    </comment>
    <comment ref="Y911" authorId="0" shapeId="0" xr:uid="{5785F71B-F1AE-4174-B96F-3EB8929084F7}">
      <text>
        <r>
          <rPr>
            <b/>
            <sz val="9"/>
            <color indexed="81"/>
            <rFont val="Tahoma"/>
            <family val="2"/>
          </rPr>
          <t>Christian:</t>
        </r>
        <r>
          <rPr>
            <sz val="9"/>
            <color indexed="81"/>
            <rFont val="Tahoma"/>
            <family val="2"/>
          </rPr>
          <t xml:space="preserve">
NA if fossil</t>
        </r>
      </text>
    </comment>
    <comment ref="AS911" authorId="0" shapeId="0" xr:uid="{48B8EB7A-F9D2-4834-9EEF-C748E69C2BDA}">
      <text>
        <r>
          <rPr>
            <b/>
            <sz val="9"/>
            <color indexed="81"/>
            <rFont val="Tahoma"/>
            <family val="2"/>
          </rPr>
          <t>Christian:</t>
        </r>
        <r>
          <rPr>
            <sz val="9"/>
            <color indexed="81"/>
            <rFont val="Tahoma"/>
            <family val="2"/>
          </rPr>
          <t xml:space="preserve">
Type I here related to MS specific</t>
        </r>
      </text>
    </comment>
    <comment ref="Y912" authorId="0" shapeId="0" xr:uid="{1FB0DD85-CC82-47A8-BA78-6EFA24FEE010}">
      <text>
        <r>
          <rPr>
            <b/>
            <sz val="9"/>
            <color indexed="81"/>
            <rFont val="Tahoma"/>
            <family val="2"/>
          </rPr>
          <t>Christian:</t>
        </r>
        <r>
          <rPr>
            <sz val="9"/>
            <color indexed="81"/>
            <rFont val="Tahoma"/>
            <family val="2"/>
          </rPr>
          <t xml:space="preserve">
NA if fossil</t>
        </r>
      </text>
    </comment>
    <comment ref="AS912" authorId="0" shapeId="0" xr:uid="{A64F56BB-70D8-45B8-8B55-C8B2981D023B}">
      <text>
        <r>
          <rPr>
            <b/>
            <sz val="9"/>
            <color indexed="81"/>
            <rFont val="Tahoma"/>
            <family val="2"/>
          </rPr>
          <t>Christian:</t>
        </r>
        <r>
          <rPr>
            <sz val="9"/>
            <color indexed="81"/>
            <rFont val="Tahoma"/>
            <family val="2"/>
          </rPr>
          <t xml:space="preserve">
Type I here related to MS specific</t>
        </r>
      </text>
    </comment>
    <comment ref="Y913" authorId="0" shapeId="0" xr:uid="{AD9E02FA-5067-457D-ACA7-3136A21B241D}">
      <text>
        <r>
          <rPr>
            <b/>
            <sz val="9"/>
            <color indexed="81"/>
            <rFont val="Tahoma"/>
            <family val="2"/>
          </rPr>
          <t>Christian:</t>
        </r>
        <r>
          <rPr>
            <sz val="9"/>
            <color indexed="81"/>
            <rFont val="Tahoma"/>
            <family val="2"/>
          </rPr>
          <t xml:space="preserve">
NA if fossil</t>
        </r>
      </text>
    </comment>
    <comment ref="AS913" authorId="0" shapeId="0" xr:uid="{61D7F780-B8A0-47FD-A0FB-8F4A5728EF8E}">
      <text>
        <r>
          <rPr>
            <b/>
            <sz val="9"/>
            <color indexed="81"/>
            <rFont val="Tahoma"/>
            <family val="2"/>
          </rPr>
          <t>Christian:</t>
        </r>
        <r>
          <rPr>
            <sz val="9"/>
            <color indexed="81"/>
            <rFont val="Tahoma"/>
            <family val="2"/>
          </rPr>
          <t xml:space="preserve">
Type I here related to MS specific</t>
        </r>
      </text>
    </comment>
    <comment ref="Y914" authorId="0" shapeId="0" xr:uid="{090B3301-51D5-4E5D-B1AE-53D5EC316DEA}">
      <text>
        <r>
          <rPr>
            <b/>
            <sz val="9"/>
            <color indexed="81"/>
            <rFont val="Tahoma"/>
            <family val="2"/>
          </rPr>
          <t>Christian:</t>
        </r>
        <r>
          <rPr>
            <sz val="9"/>
            <color indexed="81"/>
            <rFont val="Tahoma"/>
            <family val="2"/>
          </rPr>
          <t xml:space="preserve">
NA if fossil</t>
        </r>
      </text>
    </comment>
    <comment ref="AS914" authorId="0" shapeId="0" xr:uid="{034E7715-C4FA-43BF-B350-E460D363D024}">
      <text>
        <r>
          <rPr>
            <b/>
            <sz val="9"/>
            <color indexed="81"/>
            <rFont val="Tahoma"/>
            <family val="2"/>
          </rPr>
          <t>Christian:</t>
        </r>
        <r>
          <rPr>
            <sz val="9"/>
            <color indexed="81"/>
            <rFont val="Tahoma"/>
            <family val="2"/>
          </rPr>
          <t xml:space="preserve">
Type I here related to MS specific</t>
        </r>
      </text>
    </comment>
    <comment ref="Y915" authorId="0" shapeId="0" xr:uid="{262A0AA2-710D-4E7E-BD08-063C6A8A2348}">
      <text>
        <r>
          <rPr>
            <b/>
            <sz val="9"/>
            <color indexed="81"/>
            <rFont val="Tahoma"/>
            <family val="2"/>
          </rPr>
          <t>Christian:</t>
        </r>
        <r>
          <rPr>
            <sz val="9"/>
            <color indexed="81"/>
            <rFont val="Tahoma"/>
            <family val="2"/>
          </rPr>
          <t xml:space="preserve">
NA if fossil</t>
        </r>
      </text>
    </comment>
    <comment ref="AS915" authorId="0" shapeId="0" xr:uid="{AA1B631B-9044-4262-BF78-11F839161010}">
      <text>
        <r>
          <rPr>
            <b/>
            <sz val="9"/>
            <color indexed="81"/>
            <rFont val="Tahoma"/>
            <family val="2"/>
          </rPr>
          <t>Christian:</t>
        </r>
        <r>
          <rPr>
            <sz val="9"/>
            <color indexed="81"/>
            <rFont val="Tahoma"/>
            <family val="2"/>
          </rPr>
          <t xml:space="preserve">
Type I here related to MS specific</t>
        </r>
      </text>
    </comment>
    <comment ref="Y917" authorId="0" shapeId="0" xr:uid="{494C57CE-F5E3-4EB1-97C7-AABA1ADBD312}">
      <text>
        <r>
          <rPr>
            <b/>
            <sz val="9"/>
            <color indexed="81"/>
            <rFont val="Tahoma"/>
            <family val="2"/>
          </rPr>
          <t>Christian:</t>
        </r>
        <r>
          <rPr>
            <sz val="9"/>
            <color indexed="81"/>
            <rFont val="Tahoma"/>
            <family val="2"/>
          </rPr>
          <t xml:space="preserve">
NA if fossil</t>
        </r>
      </text>
    </comment>
    <comment ref="Y938" authorId="0" shapeId="0" xr:uid="{0E8644D2-FE75-495A-89BC-F3548971AE72}">
      <text>
        <r>
          <rPr>
            <b/>
            <sz val="9"/>
            <color indexed="81"/>
            <rFont val="Tahoma"/>
            <family val="2"/>
          </rPr>
          <t>Christian:</t>
        </r>
        <r>
          <rPr>
            <sz val="9"/>
            <color indexed="81"/>
            <rFont val="Tahoma"/>
            <family val="2"/>
          </rPr>
          <t xml:space="preserve">
NA if fossil</t>
        </r>
      </text>
    </comment>
    <comment ref="AS938" authorId="0" shapeId="0" xr:uid="{8DE5459B-3B67-495E-85BC-D93E84D80155}">
      <text>
        <r>
          <rPr>
            <b/>
            <sz val="9"/>
            <color indexed="81"/>
            <rFont val="Tahoma"/>
            <family val="2"/>
          </rPr>
          <t>Christian:</t>
        </r>
        <r>
          <rPr>
            <sz val="9"/>
            <color indexed="81"/>
            <rFont val="Tahoma"/>
            <family val="2"/>
          </rPr>
          <t xml:space="preserve">
Type I here related to MS specific</t>
        </r>
      </text>
    </comment>
    <comment ref="Y939" authorId="0" shapeId="0" xr:uid="{F206B8E8-F500-444A-B61B-82DF3D7A2C40}">
      <text>
        <r>
          <rPr>
            <b/>
            <sz val="9"/>
            <color indexed="81"/>
            <rFont val="Tahoma"/>
            <family val="2"/>
          </rPr>
          <t>Christian:</t>
        </r>
        <r>
          <rPr>
            <sz val="9"/>
            <color indexed="81"/>
            <rFont val="Tahoma"/>
            <family val="2"/>
          </rPr>
          <t xml:space="preserve">
NA if fossil</t>
        </r>
      </text>
    </comment>
    <comment ref="AS939" authorId="0" shapeId="0" xr:uid="{2D078EBF-D4A6-4FA3-838B-933BC7158CD3}">
      <text>
        <r>
          <rPr>
            <b/>
            <sz val="9"/>
            <color indexed="81"/>
            <rFont val="Tahoma"/>
            <family val="2"/>
          </rPr>
          <t>Christian:</t>
        </r>
        <r>
          <rPr>
            <sz val="9"/>
            <color indexed="81"/>
            <rFont val="Tahoma"/>
            <family val="2"/>
          </rPr>
          <t xml:space="preserve">
Type I here related to MS specific</t>
        </r>
      </text>
    </comment>
    <comment ref="Y940" authorId="0" shapeId="0" xr:uid="{CA3BB80A-3BC6-4432-ADF2-5C7AED21214D}">
      <text>
        <r>
          <rPr>
            <b/>
            <sz val="9"/>
            <color indexed="81"/>
            <rFont val="Tahoma"/>
            <family val="2"/>
          </rPr>
          <t>Christian:</t>
        </r>
        <r>
          <rPr>
            <sz val="9"/>
            <color indexed="81"/>
            <rFont val="Tahoma"/>
            <family val="2"/>
          </rPr>
          <t xml:space="preserve">
NA if fossil</t>
        </r>
      </text>
    </comment>
    <comment ref="AS940" authorId="0" shapeId="0" xr:uid="{F8693DB9-25B7-448E-B831-1197F2887F60}">
      <text>
        <r>
          <rPr>
            <b/>
            <sz val="9"/>
            <color indexed="81"/>
            <rFont val="Tahoma"/>
            <family val="2"/>
          </rPr>
          <t>Christian:</t>
        </r>
        <r>
          <rPr>
            <sz val="9"/>
            <color indexed="81"/>
            <rFont val="Tahoma"/>
            <family val="2"/>
          </rPr>
          <t xml:space="preserve">
Type I here related to MS specific</t>
        </r>
      </text>
    </comment>
    <comment ref="Y941" authorId="0" shapeId="0" xr:uid="{92C31801-2889-4632-8F14-9C39F12E984B}">
      <text>
        <r>
          <rPr>
            <b/>
            <sz val="9"/>
            <color indexed="81"/>
            <rFont val="Tahoma"/>
            <family val="2"/>
          </rPr>
          <t>Christian:</t>
        </r>
        <r>
          <rPr>
            <sz val="9"/>
            <color indexed="81"/>
            <rFont val="Tahoma"/>
            <family val="2"/>
          </rPr>
          <t xml:space="preserve">
NA if fossil</t>
        </r>
      </text>
    </comment>
    <comment ref="AS941" authorId="0" shapeId="0" xr:uid="{0D5C9878-4461-4C3E-8177-FAE37D864CCD}">
      <text>
        <r>
          <rPr>
            <b/>
            <sz val="9"/>
            <color indexed="81"/>
            <rFont val="Tahoma"/>
            <family val="2"/>
          </rPr>
          <t>Christian:</t>
        </r>
        <r>
          <rPr>
            <sz val="9"/>
            <color indexed="81"/>
            <rFont val="Tahoma"/>
            <family val="2"/>
          </rPr>
          <t xml:space="preserve">
Type I here related to MS specific</t>
        </r>
      </text>
    </comment>
    <comment ref="Y942" authorId="0" shapeId="0" xr:uid="{49E31A93-B11E-4ED8-A875-B707EF7A9DDC}">
      <text>
        <r>
          <rPr>
            <b/>
            <sz val="9"/>
            <color indexed="81"/>
            <rFont val="Tahoma"/>
            <family val="2"/>
          </rPr>
          <t>Christian:</t>
        </r>
        <r>
          <rPr>
            <sz val="9"/>
            <color indexed="81"/>
            <rFont val="Tahoma"/>
            <family val="2"/>
          </rPr>
          <t xml:space="preserve">
NA if fossil</t>
        </r>
      </text>
    </comment>
    <comment ref="AS942" authorId="0" shapeId="0" xr:uid="{F708C55C-3B95-4658-8F34-831E4CC2C99D}">
      <text>
        <r>
          <rPr>
            <b/>
            <sz val="9"/>
            <color indexed="81"/>
            <rFont val="Tahoma"/>
            <family val="2"/>
          </rPr>
          <t>Christian:</t>
        </r>
        <r>
          <rPr>
            <sz val="9"/>
            <color indexed="81"/>
            <rFont val="Tahoma"/>
            <family val="2"/>
          </rPr>
          <t xml:space="preserve">
Type I here related to MS specific</t>
        </r>
      </text>
    </comment>
    <comment ref="Y943" authorId="0" shapeId="0" xr:uid="{71D4F997-51CC-4BED-AB02-4596F746547B}">
      <text>
        <r>
          <rPr>
            <b/>
            <sz val="9"/>
            <color indexed="81"/>
            <rFont val="Tahoma"/>
            <family val="2"/>
          </rPr>
          <t>Christian:</t>
        </r>
        <r>
          <rPr>
            <sz val="9"/>
            <color indexed="81"/>
            <rFont val="Tahoma"/>
            <family val="2"/>
          </rPr>
          <t xml:space="preserve">
NA if fossil</t>
        </r>
      </text>
    </comment>
    <comment ref="AS943" authorId="0" shapeId="0" xr:uid="{BE2DE556-38C4-4D78-946D-E3E78968FE65}">
      <text>
        <r>
          <rPr>
            <b/>
            <sz val="9"/>
            <color indexed="81"/>
            <rFont val="Tahoma"/>
            <family val="2"/>
          </rPr>
          <t>Christian:</t>
        </r>
        <r>
          <rPr>
            <sz val="9"/>
            <color indexed="81"/>
            <rFont val="Tahoma"/>
            <family val="2"/>
          </rPr>
          <t xml:space="preserve">
Type I here related to MS specific</t>
        </r>
      </text>
    </comment>
    <comment ref="Y945" authorId="0" shapeId="0" xr:uid="{9E22DFF7-1F24-4907-B694-5331F6E443BE}">
      <text>
        <r>
          <rPr>
            <b/>
            <sz val="9"/>
            <color indexed="81"/>
            <rFont val="Tahoma"/>
            <family val="2"/>
          </rPr>
          <t>Christian:</t>
        </r>
        <r>
          <rPr>
            <sz val="9"/>
            <color indexed="81"/>
            <rFont val="Tahoma"/>
            <family val="2"/>
          </rPr>
          <t xml:space="preserve">
NA if fossil</t>
        </r>
      </text>
    </comment>
    <comment ref="Y966" authorId="0" shapeId="0" xr:uid="{B2FCEF17-DA62-4E01-A85E-5FD7522728F3}">
      <text>
        <r>
          <rPr>
            <b/>
            <sz val="9"/>
            <color indexed="81"/>
            <rFont val="Tahoma"/>
            <family val="2"/>
          </rPr>
          <t>Christian:</t>
        </r>
        <r>
          <rPr>
            <sz val="9"/>
            <color indexed="81"/>
            <rFont val="Tahoma"/>
            <family val="2"/>
          </rPr>
          <t xml:space="preserve">
NA if fossil</t>
        </r>
      </text>
    </comment>
    <comment ref="AS966" authorId="0" shapeId="0" xr:uid="{3C0E8D31-2B09-40E5-BC88-466BA93C3F40}">
      <text>
        <r>
          <rPr>
            <b/>
            <sz val="9"/>
            <color indexed="81"/>
            <rFont val="Tahoma"/>
            <family val="2"/>
          </rPr>
          <t>Christian:</t>
        </r>
        <r>
          <rPr>
            <sz val="9"/>
            <color indexed="81"/>
            <rFont val="Tahoma"/>
            <family val="2"/>
          </rPr>
          <t xml:space="preserve">
Type I here related to MS specific</t>
        </r>
      </text>
    </comment>
    <comment ref="Y967" authorId="0" shapeId="0" xr:uid="{50B2F76F-B515-43A9-AB81-573D6017A9A7}">
      <text>
        <r>
          <rPr>
            <b/>
            <sz val="9"/>
            <color indexed="81"/>
            <rFont val="Tahoma"/>
            <family val="2"/>
          </rPr>
          <t>Christian:</t>
        </r>
        <r>
          <rPr>
            <sz val="9"/>
            <color indexed="81"/>
            <rFont val="Tahoma"/>
            <family val="2"/>
          </rPr>
          <t xml:space="preserve">
NA if fossil</t>
        </r>
      </text>
    </comment>
    <comment ref="AS967" authorId="0" shapeId="0" xr:uid="{68F156D7-1B37-4990-8F2B-62D7996C1C1A}">
      <text>
        <r>
          <rPr>
            <b/>
            <sz val="9"/>
            <color indexed="81"/>
            <rFont val="Tahoma"/>
            <family val="2"/>
          </rPr>
          <t>Christian:</t>
        </r>
        <r>
          <rPr>
            <sz val="9"/>
            <color indexed="81"/>
            <rFont val="Tahoma"/>
            <family val="2"/>
          </rPr>
          <t xml:space="preserve">
Type I here related to MS specific</t>
        </r>
      </text>
    </comment>
    <comment ref="Y968" authorId="0" shapeId="0" xr:uid="{57302587-8A8E-4ACE-8402-B1D0CF6BA50D}">
      <text>
        <r>
          <rPr>
            <b/>
            <sz val="9"/>
            <color indexed="81"/>
            <rFont val="Tahoma"/>
            <family val="2"/>
          </rPr>
          <t>Christian:</t>
        </r>
        <r>
          <rPr>
            <sz val="9"/>
            <color indexed="81"/>
            <rFont val="Tahoma"/>
            <family val="2"/>
          </rPr>
          <t xml:space="preserve">
NA if fossil</t>
        </r>
      </text>
    </comment>
    <comment ref="AS968" authorId="0" shapeId="0" xr:uid="{0D55A3E1-2BDE-4E7B-8834-6105B616251B}">
      <text>
        <r>
          <rPr>
            <b/>
            <sz val="9"/>
            <color indexed="81"/>
            <rFont val="Tahoma"/>
            <family val="2"/>
          </rPr>
          <t>Christian:</t>
        </r>
        <r>
          <rPr>
            <sz val="9"/>
            <color indexed="81"/>
            <rFont val="Tahoma"/>
            <family val="2"/>
          </rPr>
          <t xml:space="preserve">
Type I here related to MS specific</t>
        </r>
      </text>
    </comment>
    <comment ref="Y969" authorId="0" shapeId="0" xr:uid="{3717D2CF-FF1F-4D40-A848-A668B8FBEF63}">
      <text>
        <r>
          <rPr>
            <b/>
            <sz val="9"/>
            <color indexed="81"/>
            <rFont val="Tahoma"/>
            <family val="2"/>
          </rPr>
          <t>Christian:</t>
        </r>
        <r>
          <rPr>
            <sz val="9"/>
            <color indexed="81"/>
            <rFont val="Tahoma"/>
            <family val="2"/>
          </rPr>
          <t xml:space="preserve">
NA if fossil</t>
        </r>
      </text>
    </comment>
    <comment ref="AS969" authorId="0" shapeId="0" xr:uid="{1D6A0A31-6F55-4E9B-A1E7-4E8AB47D92CB}">
      <text>
        <r>
          <rPr>
            <b/>
            <sz val="9"/>
            <color indexed="81"/>
            <rFont val="Tahoma"/>
            <family val="2"/>
          </rPr>
          <t>Christian:</t>
        </r>
        <r>
          <rPr>
            <sz val="9"/>
            <color indexed="81"/>
            <rFont val="Tahoma"/>
            <family val="2"/>
          </rPr>
          <t xml:space="preserve">
Type I here related to MS specific</t>
        </r>
      </text>
    </comment>
    <comment ref="Y970" authorId="0" shapeId="0" xr:uid="{E29BCF63-F67D-46DD-A2E8-44486CC22547}">
      <text>
        <r>
          <rPr>
            <b/>
            <sz val="9"/>
            <color indexed="81"/>
            <rFont val="Tahoma"/>
            <family val="2"/>
          </rPr>
          <t>Christian:</t>
        </r>
        <r>
          <rPr>
            <sz val="9"/>
            <color indexed="81"/>
            <rFont val="Tahoma"/>
            <family val="2"/>
          </rPr>
          <t xml:space="preserve">
NA if fossil</t>
        </r>
      </text>
    </comment>
    <comment ref="AS970" authorId="0" shapeId="0" xr:uid="{6EAFB6CE-63C2-4335-8575-D83B85793679}">
      <text>
        <r>
          <rPr>
            <b/>
            <sz val="9"/>
            <color indexed="81"/>
            <rFont val="Tahoma"/>
            <family val="2"/>
          </rPr>
          <t>Christian:</t>
        </r>
        <r>
          <rPr>
            <sz val="9"/>
            <color indexed="81"/>
            <rFont val="Tahoma"/>
            <family val="2"/>
          </rPr>
          <t xml:space="preserve">
Type I here related to MS specific</t>
        </r>
      </text>
    </comment>
    <comment ref="Y971" authorId="0" shapeId="0" xr:uid="{4FF36F00-06B2-4912-8FD3-454FE8D29846}">
      <text>
        <r>
          <rPr>
            <b/>
            <sz val="9"/>
            <color indexed="81"/>
            <rFont val="Tahoma"/>
            <family val="2"/>
          </rPr>
          <t>Christian:</t>
        </r>
        <r>
          <rPr>
            <sz val="9"/>
            <color indexed="81"/>
            <rFont val="Tahoma"/>
            <family val="2"/>
          </rPr>
          <t xml:space="preserve">
NA if fossil</t>
        </r>
      </text>
    </comment>
    <comment ref="AS971" authorId="0" shapeId="0" xr:uid="{B165D16A-9D8A-4078-91B0-487A2917B2AB}">
      <text>
        <r>
          <rPr>
            <b/>
            <sz val="9"/>
            <color indexed="81"/>
            <rFont val="Tahoma"/>
            <family val="2"/>
          </rPr>
          <t>Christian:</t>
        </r>
        <r>
          <rPr>
            <sz val="9"/>
            <color indexed="81"/>
            <rFont val="Tahoma"/>
            <family val="2"/>
          </rPr>
          <t xml:space="preserve">
Type I here related to MS specific</t>
        </r>
      </text>
    </comment>
    <comment ref="Y973" authorId="0" shapeId="0" xr:uid="{85CCB0B6-C705-486C-AA33-F2585A001515}">
      <text>
        <r>
          <rPr>
            <b/>
            <sz val="9"/>
            <color indexed="81"/>
            <rFont val="Tahoma"/>
            <family val="2"/>
          </rPr>
          <t>Christian:</t>
        </r>
        <r>
          <rPr>
            <sz val="9"/>
            <color indexed="81"/>
            <rFont val="Tahoma"/>
            <family val="2"/>
          </rPr>
          <t xml:space="preserve">
NA if fossil</t>
        </r>
      </text>
    </comment>
    <comment ref="Y994" authorId="0" shapeId="0" xr:uid="{C388B86C-EA70-41A2-8DA0-5C8F41D470EF}">
      <text>
        <r>
          <rPr>
            <b/>
            <sz val="9"/>
            <color indexed="81"/>
            <rFont val="Tahoma"/>
            <family val="2"/>
          </rPr>
          <t>Christian:</t>
        </r>
        <r>
          <rPr>
            <sz val="9"/>
            <color indexed="81"/>
            <rFont val="Tahoma"/>
            <family val="2"/>
          </rPr>
          <t xml:space="preserve">
NA if fossil</t>
        </r>
      </text>
    </comment>
    <comment ref="AS994" authorId="0" shapeId="0" xr:uid="{05CF8DFE-3D8A-4606-B593-8ADC3FA99C86}">
      <text>
        <r>
          <rPr>
            <b/>
            <sz val="9"/>
            <color indexed="81"/>
            <rFont val="Tahoma"/>
            <family val="2"/>
          </rPr>
          <t>Christian:</t>
        </r>
        <r>
          <rPr>
            <sz val="9"/>
            <color indexed="81"/>
            <rFont val="Tahoma"/>
            <family val="2"/>
          </rPr>
          <t xml:space="preserve">
Type I here related to MS specific</t>
        </r>
      </text>
    </comment>
    <comment ref="Y995" authorId="0" shapeId="0" xr:uid="{D80AA004-6958-449A-A24C-B1B1DEB054F3}">
      <text>
        <r>
          <rPr>
            <b/>
            <sz val="9"/>
            <color indexed="81"/>
            <rFont val="Tahoma"/>
            <family val="2"/>
          </rPr>
          <t>Christian:</t>
        </r>
        <r>
          <rPr>
            <sz val="9"/>
            <color indexed="81"/>
            <rFont val="Tahoma"/>
            <family val="2"/>
          </rPr>
          <t xml:space="preserve">
NA if fossil</t>
        </r>
      </text>
    </comment>
    <comment ref="AS995" authorId="0" shapeId="0" xr:uid="{A2881E89-AA64-45BB-A551-B9534C5060A8}">
      <text>
        <r>
          <rPr>
            <b/>
            <sz val="9"/>
            <color indexed="81"/>
            <rFont val="Tahoma"/>
            <family val="2"/>
          </rPr>
          <t>Christian:</t>
        </r>
        <r>
          <rPr>
            <sz val="9"/>
            <color indexed="81"/>
            <rFont val="Tahoma"/>
            <family val="2"/>
          </rPr>
          <t xml:space="preserve">
Type I here related to MS specific</t>
        </r>
      </text>
    </comment>
    <comment ref="Y996" authorId="0" shapeId="0" xr:uid="{995EA507-76C1-409B-BCF5-7DC2BD13A6BB}">
      <text>
        <r>
          <rPr>
            <b/>
            <sz val="9"/>
            <color indexed="81"/>
            <rFont val="Tahoma"/>
            <family val="2"/>
          </rPr>
          <t>Christian:</t>
        </r>
        <r>
          <rPr>
            <sz val="9"/>
            <color indexed="81"/>
            <rFont val="Tahoma"/>
            <family val="2"/>
          </rPr>
          <t xml:space="preserve">
NA if fossil</t>
        </r>
      </text>
    </comment>
    <comment ref="AS996" authorId="0" shapeId="0" xr:uid="{0E9F5C49-A809-4719-8FA8-CF9107AC7127}">
      <text>
        <r>
          <rPr>
            <b/>
            <sz val="9"/>
            <color indexed="81"/>
            <rFont val="Tahoma"/>
            <family val="2"/>
          </rPr>
          <t>Christian:</t>
        </r>
        <r>
          <rPr>
            <sz val="9"/>
            <color indexed="81"/>
            <rFont val="Tahoma"/>
            <family val="2"/>
          </rPr>
          <t xml:space="preserve">
Type I here related to MS specific</t>
        </r>
      </text>
    </comment>
    <comment ref="Y997" authorId="0" shapeId="0" xr:uid="{BE61706A-11B2-47C0-A273-6194CF5F356A}">
      <text>
        <r>
          <rPr>
            <b/>
            <sz val="9"/>
            <color indexed="81"/>
            <rFont val="Tahoma"/>
            <family val="2"/>
          </rPr>
          <t>Christian:</t>
        </r>
        <r>
          <rPr>
            <sz val="9"/>
            <color indexed="81"/>
            <rFont val="Tahoma"/>
            <family val="2"/>
          </rPr>
          <t xml:space="preserve">
NA if fossil</t>
        </r>
      </text>
    </comment>
    <comment ref="AS997" authorId="0" shapeId="0" xr:uid="{DA13CB67-471A-4A0E-AB8F-BB40B68A24EF}">
      <text>
        <r>
          <rPr>
            <b/>
            <sz val="9"/>
            <color indexed="81"/>
            <rFont val="Tahoma"/>
            <family val="2"/>
          </rPr>
          <t>Christian:</t>
        </r>
        <r>
          <rPr>
            <sz val="9"/>
            <color indexed="81"/>
            <rFont val="Tahoma"/>
            <family val="2"/>
          </rPr>
          <t xml:space="preserve">
Type I here related to MS specific</t>
        </r>
      </text>
    </comment>
    <comment ref="Y998" authorId="0" shapeId="0" xr:uid="{4BF8923A-4C56-43BB-8449-A33F99EFBCCC}">
      <text>
        <r>
          <rPr>
            <b/>
            <sz val="9"/>
            <color indexed="81"/>
            <rFont val="Tahoma"/>
            <family val="2"/>
          </rPr>
          <t>Christian:</t>
        </r>
        <r>
          <rPr>
            <sz val="9"/>
            <color indexed="81"/>
            <rFont val="Tahoma"/>
            <family val="2"/>
          </rPr>
          <t xml:space="preserve">
NA if fossil</t>
        </r>
      </text>
    </comment>
    <comment ref="AS998" authorId="0" shapeId="0" xr:uid="{002EB264-D68B-4A4B-BBF3-8E8EBE333807}">
      <text>
        <r>
          <rPr>
            <b/>
            <sz val="9"/>
            <color indexed="81"/>
            <rFont val="Tahoma"/>
            <family val="2"/>
          </rPr>
          <t>Christian:</t>
        </r>
        <r>
          <rPr>
            <sz val="9"/>
            <color indexed="81"/>
            <rFont val="Tahoma"/>
            <family val="2"/>
          </rPr>
          <t xml:space="preserve">
Type I here related to MS specific</t>
        </r>
      </text>
    </comment>
    <comment ref="Y999" authorId="0" shapeId="0" xr:uid="{C76C9623-F04A-4586-B7AB-273B00FCCFC2}">
      <text>
        <r>
          <rPr>
            <b/>
            <sz val="9"/>
            <color indexed="81"/>
            <rFont val="Tahoma"/>
            <family val="2"/>
          </rPr>
          <t>Christian:</t>
        </r>
        <r>
          <rPr>
            <sz val="9"/>
            <color indexed="81"/>
            <rFont val="Tahoma"/>
            <family val="2"/>
          </rPr>
          <t xml:space="preserve">
NA if fossil</t>
        </r>
      </text>
    </comment>
    <comment ref="AS999" authorId="0" shapeId="0" xr:uid="{381389B0-5EAA-44EE-8E91-8B887448112D}">
      <text>
        <r>
          <rPr>
            <b/>
            <sz val="9"/>
            <color indexed="81"/>
            <rFont val="Tahoma"/>
            <family val="2"/>
          </rPr>
          <t>Christian:</t>
        </r>
        <r>
          <rPr>
            <sz val="9"/>
            <color indexed="81"/>
            <rFont val="Tahoma"/>
            <family val="2"/>
          </rPr>
          <t xml:space="preserve">
Type I here related to MS specific</t>
        </r>
      </text>
    </comment>
    <comment ref="Y1001" authorId="0" shapeId="0" xr:uid="{F9DDDBD8-3CFF-4567-9A67-EA3D3B7C1305}">
      <text>
        <r>
          <rPr>
            <b/>
            <sz val="9"/>
            <color indexed="81"/>
            <rFont val="Tahoma"/>
            <family val="2"/>
          </rPr>
          <t>Christian:</t>
        </r>
        <r>
          <rPr>
            <sz val="9"/>
            <color indexed="81"/>
            <rFont val="Tahoma"/>
            <family val="2"/>
          </rPr>
          <t xml:space="preserve">
NA if fossil</t>
        </r>
      </text>
    </comment>
    <comment ref="Y1022" authorId="0" shapeId="0" xr:uid="{2757279D-51EF-4FBE-92A3-9CF8732A414D}">
      <text>
        <r>
          <rPr>
            <b/>
            <sz val="9"/>
            <color indexed="81"/>
            <rFont val="Tahoma"/>
            <family val="2"/>
          </rPr>
          <t>Christian:</t>
        </r>
        <r>
          <rPr>
            <sz val="9"/>
            <color indexed="81"/>
            <rFont val="Tahoma"/>
            <family val="2"/>
          </rPr>
          <t xml:space="preserve">
NA if fossil</t>
        </r>
      </text>
    </comment>
    <comment ref="AS1022" authorId="0" shapeId="0" xr:uid="{2BEC60DD-278A-4245-A015-85F162913C4F}">
      <text>
        <r>
          <rPr>
            <b/>
            <sz val="9"/>
            <color indexed="81"/>
            <rFont val="Tahoma"/>
            <family val="2"/>
          </rPr>
          <t>Christian:</t>
        </r>
        <r>
          <rPr>
            <sz val="9"/>
            <color indexed="81"/>
            <rFont val="Tahoma"/>
            <family val="2"/>
          </rPr>
          <t xml:space="preserve">
Type I here related to MS specific</t>
        </r>
      </text>
    </comment>
    <comment ref="Y1023" authorId="0" shapeId="0" xr:uid="{226897C0-3715-4F99-A3F5-E74BB6A8EA26}">
      <text>
        <r>
          <rPr>
            <b/>
            <sz val="9"/>
            <color indexed="81"/>
            <rFont val="Tahoma"/>
            <family val="2"/>
          </rPr>
          <t>Christian:</t>
        </r>
        <r>
          <rPr>
            <sz val="9"/>
            <color indexed="81"/>
            <rFont val="Tahoma"/>
            <family val="2"/>
          </rPr>
          <t xml:space="preserve">
NA if fossil</t>
        </r>
      </text>
    </comment>
    <comment ref="AS1023" authorId="0" shapeId="0" xr:uid="{ACFD7EAF-D838-4FA4-B1FC-967B939DD474}">
      <text>
        <r>
          <rPr>
            <b/>
            <sz val="9"/>
            <color indexed="81"/>
            <rFont val="Tahoma"/>
            <family val="2"/>
          </rPr>
          <t>Christian:</t>
        </r>
        <r>
          <rPr>
            <sz val="9"/>
            <color indexed="81"/>
            <rFont val="Tahoma"/>
            <family val="2"/>
          </rPr>
          <t xml:space="preserve">
Type I here related to MS specific</t>
        </r>
      </text>
    </comment>
    <comment ref="Y1024" authorId="0" shapeId="0" xr:uid="{A9BB92A6-E009-4B28-8FDA-AA0F7E584B89}">
      <text>
        <r>
          <rPr>
            <b/>
            <sz val="9"/>
            <color indexed="81"/>
            <rFont val="Tahoma"/>
            <family val="2"/>
          </rPr>
          <t>Christian:</t>
        </r>
        <r>
          <rPr>
            <sz val="9"/>
            <color indexed="81"/>
            <rFont val="Tahoma"/>
            <family val="2"/>
          </rPr>
          <t xml:space="preserve">
NA if fossil</t>
        </r>
      </text>
    </comment>
    <comment ref="AS1024" authorId="0" shapeId="0" xr:uid="{BB6EE3CA-809F-41F9-8B3B-54DF583A0BDC}">
      <text>
        <r>
          <rPr>
            <b/>
            <sz val="9"/>
            <color indexed="81"/>
            <rFont val="Tahoma"/>
            <family val="2"/>
          </rPr>
          <t>Christian:</t>
        </r>
        <r>
          <rPr>
            <sz val="9"/>
            <color indexed="81"/>
            <rFont val="Tahoma"/>
            <family val="2"/>
          </rPr>
          <t xml:space="preserve">
Type I here related to MS specific</t>
        </r>
      </text>
    </comment>
    <comment ref="Y1025" authorId="0" shapeId="0" xr:uid="{71D5042A-A856-4D6D-ACD1-2FCB8B46C260}">
      <text>
        <r>
          <rPr>
            <b/>
            <sz val="9"/>
            <color indexed="81"/>
            <rFont val="Tahoma"/>
            <family val="2"/>
          </rPr>
          <t>Christian:</t>
        </r>
        <r>
          <rPr>
            <sz val="9"/>
            <color indexed="81"/>
            <rFont val="Tahoma"/>
            <family val="2"/>
          </rPr>
          <t xml:space="preserve">
NA if fossil</t>
        </r>
      </text>
    </comment>
    <comment ref="AS1025" authorId="0" shapeId="0" xr:uid="{2F33E481-5CAE-4103-8D28-E79BC6CAD873}">
      <text>
        <r>
          <rPr>
            <b/>
            <sz val="9"/>
            <color indexed="81"/>
            <rFont val="Tahoma"/>
            <family val="2"/>
          </rPr>
          <t>Christian:</t>
        </r>
        <r>
          <rPr>
            <sz val="9"/>
            <color indexed="81"/>
            <rFont val="Tahoma"/>
            <family val="2"/>
          </rPr>
          <t xml:space="preserve">
Type I here related to MS specific</t>
        </r>
      </text>
    </comment>
    <comment ref="Y1026" authorId="0" shapeId="0" xr:uid="{A9EDC23B-3148-4D10-BEDB-947307690090}">
      <text>
        <r>
          <rPr>
            <b/>
            <sz val="9"/>
            <color indexed="81"/>
            <rFont val="Tahoma"/>
            <family val="2"/>
          </rPr>
          <t>Christian:</t>
        </r>
        <r>
          <rPr>
            <sz val="9"/>
            <color indexed="81"/>
            <rFont val="Tahoma"/>
            <family val="2"/>
          </rPr>
          <t xml:space="preserve">
NA if fossil</t>
        </r>
      </text>
    </comment>
    <comment ref="AS1026" authorId="0" shapeId="0" xr:uid="{2B79961F-D4C5-497C-91A3-6B87C389516B}">
      <text>
        <r>
          <rPr>
            <b/>
            <sz val="9"/>
            <color indexed="81"/>
            <rFont val="Tahoma"/>
            <family val="2"/>
          </rPr>
          <t>Christian:</t>
        </r>
        <r>
          <rPr>
            <sz val="9"/>
            <color indexed="81"/>
            <rFont val="Tahoma"/>
            <family val="2"/>
          </rPr>
          <t xml:space="preserve">
Type I here related to MS specific</t>
        </r>
      </text>
    </comment>
    <comment ref="Y1027" authorId="0" shapeId="0" xr:uid="{571CE043-9003-460F-8C4B-EFF8C4FBEFA7}">
      <text>
        <r>
          <rPr>
            <b/>
            <sz val="9"/>
            <color indexed="81"/>
            <rFont val="Tahoma"/>
            <family val="2"/>
          </rPr>
          <t>Christian:</t>
        </r>
        <r>
          <rPr>
            <sz val="9"/>
            <color indexed="81"/>
            <rFont val="Tahoma"/>
            <family val="2"/>
          </rPr>
          <t xml:space="preserve">
NA if fossil</t>
        </r>
      </text>
    </comment>
    <comment ref="AS1027" authorId="0" shapeId="0" xr:uid="{B51E8C57-F3E5-4414-8C8A-0BFCE831D547}">
      <text>
        <r>
          <rPr>
            <b/>
            <sz val="9"/>
            <color indexed="81"/>
            <rFont val="Tahoma"/>
            <family val="2"/>
          </rPr>
          <t>Christian:</t>
        </r>
        <r>
          <rPr>
            <sz val="9"/>
            <color indexed="81"/>
            <rFont val="Tahoma"/>
            <family val="2"/>
          </rPr>
          <t xml:space="preserve">
Type I here related to MS specific</t>
        </r>
      </text>
    </comment>
    <comment ref="Y1029" authorId="0" shapeId="0" xr:uid="{503B6DCD-66F7-4B0E-81DF-675CE700668B}">
      <text>
        <r>
          <rPr>
            <b/>
            <sz val="9"/>
            <color indexed="81"/>
            <rFont val="Tahoma"/>
            <family val="2"/>
          </rPr>
          <t>Christian:</t>
        </r>
        <r>
          <rPr>
            <sz val="9"/>
            <color indexed="81"/>
            <rFont val="Tahoma"/>
            <family val="2"/>
          </rPr>
          <t xml:space="preserve">
NA if fossil</t>
        </r>
      </text>
    </comment>
    <comment ref="Y1050" authorId="0" shapeId="0" xr:uid="{1CF1AE59-24D8-4D59-97A8-15202DDE85AD}">
      <text>
        <r>
          <rPr>
            <b/>
            <sz val="9"/>
            <color indexed="81"/>
            <rFont val="Tahoma"/>
            <family val="2"/>
          </rPr>
          <t>Christian:</t>
        </r>
        <r>
          <rPr>
            <sz val="9"/>
            <color indexed="81"/>
            <rFont val="Tahoma"/>
            <family val="2"/>
          </rPr>
          <t xml:space="preserve">
NA if fossil</t>
        </r>
      </text>
    </comment>
    <comment ref="AS1050" authorId="0" shapeId="0" xr:uid="{A2D21E69-479A-4D3F-811D-68F7A1B20E79}">
      <text>
        <r>
          <rPr>
            <b/>
            <sz val="9"/>
            <color indexed="81"/>
            <rFont val="Tahoma"/>
            <family val="2"/>
          </rPr>
          <t>Christian:</t>
        </r>
        <r>
          <rPr>
            <sz val="9"/>
            <color indexed="81"/>
            <rFont val="Tahoma"/>
            <family val="2"/>
          </rPr>
          <t xml:space="preserve">
Type I here related to MS specific</t>
        </r>
      </text>
    </comment>
    <comment ref="Y1051" authorId="0" shapeId="0" xr:uid="{7F214B1F-DED1-44F6-AEDE-F8D3521D30AD}">
      <text>
        <r>
          <rPr>
            <b/>
            <sz val="9"/>
            <color indexed="81"/>
            <rFont val="Tahoma"/>
            <family val="2"/>
          </rPr>
          <t>Christian:</t>
        </r>
        <r>
          <rPr>
            <sz val="9"/>
            <color indexed="81"/>
            <rFont val="Tahoma"/>
            <family val="2"/>
          </rPr>
          <t xml:space="preserve">
NA if fossil</t>
        </r>
      </text>
    </comment>
    <comment ref="AS1051" authorId="0" shapeId="0" xr:uid="{0078F528-5D6F-4DFB-81C4-E6ED19EB0185}">
      <text>
        <r>
          <rPr>
            <b/>
            <sz val="9"/>
            <color indexed="81"/>
            <rFont val="Tahoma"/>
            <family val="2"/>
          </rPr>
          <t>Christian:</t>
        </r>
        <r>
          <rPr>
            <sz val="9"/>
            <color indexed="81"/>
            <rFont val="Tahoma"/>
            <family val="2"/>
          </rPr>
          <t xml:space="preserve">
Type I here related to MS specific</t>
        </r>
      </text>
    </comment>
    <comment ref="Y1052" authorId="0" shapeId="0" xr:uid="{315CD0FF-A71E-4AA2-877C-D66DC9CD5D6A}">
      <text>
        <r>
          <rPr>
            <b/>
            <sz val="9"/>
            <color indexed="81"/>
            <rFont val="Tahoma"/>
            <family val="2"/>
          </rPr>
          <t>Christian:</t>
        </r>
        <r>
          <rPr>
            <sz val="9"/>
            <color indexed="81"/>
            <rFont val="Tahoma"/>
            <family val="2"/>
          </rPr>
          <t xml:space="preserve">
NA if fossil</t>
        </r>
      </text>
    </comment>
    <comment ref="AS1052" authorId="0" shapeId="0" xr:uid="{51708882-8DBF-4DAF-9469-4A8E6B7F0C0B}">
      <text>
        <r>
          <rPr>
            <b/>
            <sz val="9"/>
            <color indexed="81"/>
            <rFont val="Tahoma"/>
            <family val="2"/>
          </rPr>
          <t>Christian:</t>
        </r>
        <r>
          <rPr>
            <sz val="9"/>
            <color indexed="81"/>
            <rFont val="Tahoma"/>
            <family val="2"/>
          </rPr>
          <t xml:space="preserve">
Type I here related to MS specific</t>
        </r>
      </text>
    </comment>
    <comment ref="Y1053" authorId="0" shapeId="0" xr:uid="{73327867-BAF0-42B6-8651-EC09671C4D14}">
      <text>
        <r>
          <rPr>
            <b/>
            <sz val="9"/>
            <color indexed="81"/>
            <rFont val="Tahoma"/>
            <family val="2"/>
          </rPr>
          <t>Christian:</t>
        </r>
        <r>
          <rPr>
            <sz val="9"/>
            <color indexed="81"/>
            <rFont val="Tahoma"/>
            <family val="2"/>
          </rPr>
          <t xml:space="preserve">
NA if fossil</t>
        </r>
      </text>
    </comment>
    <comment ref="AS1053" authorId="0" shapeId="0" xr:uid="{33859816-3F6A-43DC-88F2-AC60846F094E}">
      <text>
        <r>
          <rPr>
            <b/>
            <sz val="9"/>
            <color indexed="81"/>
            <rFont val="Tahoma"/>
            <family val="2"/>
          </rPr>
          <t>Christian:</t>
        </r>
        <r>
          <rPr>
            <sz val="9"/>
            <color indexed="81"/>
            <rFont val="Tahoma"/>
            <family val="2"/>
          </rPr>
          <t xml:space="preserve">
Type I here related to MS specific</t>
        </r>
      </text>
    </comment>
    <comment ref="Y1054" authorId="0" shapeId="0" xr:uid="{276AB2D8-5C83-4921-A472-A1F36114FA55}">
      <text>
        <r>
          <rPr>
            <b/>
            <sz val="9"/>
            <color indexed="81"/>
            <rFont val="Tahoma"/>
            <family val="2"/>
          </rPr>
          <t>Christian:</t>
        </r>
        <r>
          <rPr>
            <sz val="9"/>
            <color indexed="81"/>
            <rFont val="Tahoma"/>
            <family val="2"/>
          </rPr>
          <t xml:space="preserve">
NA if fossil</t>
        </r>
      </text>
    </comment>
    <comment ref="AS1054" authorId="0" shapeId="0" xr:uid="{C0ED04C2-240F-4162-9C92-1F7395CFFAAC}">
      <text>
        <r>
          <rPr>
            <b/>
            <sz val="9"/>
            <color indexed="81"/>
            <rFont val="Tahoma"/>
            <family val="2"/>
          </rPr>
          <t>Christian:</t>
        </r>
        <r>
          <rPr>
            <sz val="9"/>
            <color indexed="81"/>
            <rFont val="Tahoma"/>
            <family val="2"/>
          </rPr>
          <t xml:space="preserve">
Type I here related to MS specific</t>
        </r>
      </text>
    </comment>
    <comment ref="Y1055" authorId="0" shapeId="0" xr:uid="{634FB00D-E8FE-4C71-9FFD-FF67917C4752}">
      <text>
        <r>
          <rPr>
            <b/>
            <sz val="9"/>
            <color indexed="81"/>
            <rFont val="Tahoma"/>
            <family val="2"/>
          </rPr>
          <t>Christian:</t>
        </r>
        <r>
          <rPr>
            <sz val="9"/>
            <color indexed="81"/>
            <rFont val="Tahoma"/>
            <family val="2"/>
          </rPr>
          <t xml:space="preserve">
NA if fossil</t>
        </r>
      </text>
    </comment>
    <comment ref="AS1055" authorId="0" shapeId="0" xr:uid="{A02154F8-6E11-4FB0-9152-796C8E403CD7}">
      <text>
        <r>
          <rPr>
            <b/>
            <sz val="9"/>
            <color indexed="81"/>
            <rFont val="Tahoma"/>
            <family val="2"/>
          </rPr>
          <t>Christian:</t>
        </r>
        <r>
          <rPr>
            <sz val="9"/>
            <color indexed="81"/>
            <rFont val="Tahoma"/>
            <family val="2"/>
          </rPr>
          <t xml:space="preserve">
Type I here related to MS specific</t>
        </r>
      </text>
    </comment>
    <comment ref="Y1057" authorId="0" shapeId="0" xr:uid="{AC48879F-07F6-4ABB-8003-60762D8D5511}">
      <text>
        <r>
          <rPr>
            <b/>
            <sz val="9"/>
            <color indexed="81"/>
            <rFont val="Tahoma"/>
            <family val="2"/>
          </rPr>
          <t>Christian:</t>
        </r>
        <r>
          <rPr>
            <sz val="9"/>
            <color indexed="81"/>
            <rFont val="Tahoma"/>
            <family val="2"/>
          </rPr>
          <t xml:space="preserve">
NA if fossil</t>
        </r>
      </text>
    </comment>
    <comment ref="Y1078" authorId="0" shapeId="0" xr:uid="{F3915421-5020-44BB-9449-0333E1D3131E}">
      <text>
        <r>
          <rPr>
            <b/>
            <sz val="9"/>
            <color indexed="81"/>
            <rFont val="Tahoma"/>
            <family val="2"/>
          </rPr>
          <t>Christian:</t>
        </r>
        <r>
          <rPr>
            <sz val="9"/>
            <color indexed="81"/>
            <rFont val="Tahoma"/>
            <family val="2"/>
          </rPr>
          <t xml:space="preserve">
NA if fossil</t>
        </r>
      </text>
    </comment>
    <comment ref="AS1078" authorId="0" shapeId="0" xr:uid="{482D6054-2AF3-4815-AA7B-3F1106EE2C7C}">
      <text>
        <r>
          <rPr>
            <b/>
            <sz val="9"/>
            <color indexed="81"/>
            <rFont val="Tahoma"/>
            <family val="2"/>
          </rPr>
          <t>Christian:</t>
        </r>
        <r>
          <rPr>
            <sz val="9"/>
            <color indexed="81"/>
            <rFont val="Tahoma"/>
            <family val="2"/>
          </rPr>
          <t xml:space="preserve">
Type I here related to MS specific</t>
        </r>
      </text>
    </comment>
    <comment ref="Y1079" authorId="0" shapeId="0" xr:uid="{E22C54B9-6977-49D6-9CD3-1D710D19B344}">
      <text>
        <r>
          <rPr>
            <b/>
            <sz val="9"/>
            <color indexed="81"/>
            <rFont val="Tahoma"/>
            <family val="2"/>
          </rPr>
          <t>Christian:</t>
        </r>
        <r>
          <rPr>
            <sz val="9"/>
            <color indexed="81"/>
            <rFont val="Tahoma"/>
            <family val="2"/>
          </rPr>
          <t xml:space="preserve">
NA if fossil</t>
        </r>
      </text>
    </comment>
    <comment ref="AS1079" authorId="0" shapeId="0" xr:uid="{94B99861-03A5-4A94-8344-370E7B912E3B}">
      <text>
        <r>
          <rPr>
            <b/>
            <sz val="9"/>
            <color indexed="81"/>
            <rFont val="Tahoma"/>
            <family val="2"/>
          </rPr>
          <t>Christian:</t>
        </r>
        <r>
          <rPr>
            <sz val="9"/>
            <color indexed="81"/>
            <rFont val="Tahoma"/>
            <family val="2"/>
          </rPr>
          <t xml:space="preserve">
Type I here related to MS specific</t>
        </r>
      </text>
    </comment>
    <comment ref="Y1080" authorId="0" shapeId="0" xr:uid="{5CD4CF0E-AD71-459C-BA3C-7801D137F758}">
      <text>
        <r>
          <rPr>
            <b/>
            <sz val="9"/>
            <color indexed="81"/>
            <rFont val="Tahoma"/>
            <family val="2"/>
          </rPr>
          <t>Christian:</t>
        </r>
        <r>
          <rPr>
            <sz val="9"/>
            <color indexed="81"/>
            <rFont val="Tahoma"/>
            <family val="2"/>
          </rPr>
          <t xml:space="preserve">
NA if fossil</t>
        </r>
      </text>
    </comment>
    <comment ref="AS1080" authorId="0" shapeId="0" xr:uid="{99A074FB-A516-45D7-8435-47C282A5A021}">
      <text>
        <r>
          <rPr>
            <b/>
            <sz val="9"/>
            <color indexed="81"/>
            <rFont val="Tahoma"/>
            <family val="2"/>
          </rPr>
          <t>Christian:</t>
        </r>
        <r>
          <rPr>
            <sz val="9"/>
            <color indexed="81"/>
            <rFont val="Tahoma"/>
            <family val="2"/>
          </rPr>
          <t xml:space="preserve">
Type I here related to MS specific</t>
        </r>
      </text>
    </comment>
    <comment ref="Y1081" authorId="0" shapeId="0" xr:uid="{07A4AFB1-15A3-4497-BD2B-02927A26B7CC}">
      <text>
        <r>
          <rPr>
            <b/>
            <sz val="9"/>
            <color indexed="81"/>
            <rFont val="Tahoma"/>
            <family val="2"/>
          </rPr>
          <t>Christian:</t>
        </r>
        <r>
          <rPr>
            <sz val="9"/>
            <color indexed="81"/>
            <rFont val="Tahoma"/>
            <family val="2"/>
          </rPr>
          <t xml:space="preserve">
NA if fossil</t>
        </r>
      </text>
    </comment>
    <comment ref="AS1081" authorId="0" shapeId="0" xr:uid="{B60B348D-F387-4276-8B85-9EA189EE8116}">
      <text>
        <r>
          <rPr>
            <b/>
            <sz val="9"/>
            <color indexed="81"/>
            <rFont val="Tahoma"/>
            <family val="2"/>
          </rPr>
          <t>Christian:</t>
        </r>
        <r>
          <rPr>
            <sz val="9"/>
            <color indexed="81"/>
            <rFont val="Tahoma"/>
            <family val="2"/>
          </rPr>
          <t xml:space="preserve">
Type I here related to MS specific</t>
        </r>
      </text>
    </comment>
    <comment ref="Y1082" authorId="0" shapeId="0" xr:uid="{3B9CF93B-DF0C-4416-8125-ED139ACFBC66}">
      <text>
        <r>
          <rPr>
            <b/>
            <sz val="9"/>
            <color indexed="81"/>
            <rFont val="Tahoma"/>
            <family val="2"/>
          </rPr>
          <t>Christian:</t>
        </r>
        <r>
          <rPr>
            <sz val="9"/>
            <color indexed="81"/>
            <rFont val="Tahoma"/>
            <family val="2"/>
          </rPr>
          <t xml:space="preserve">
NA if fossil</t>
        </r>
      </text>
    </comment>
    <comment ref="AS1082" authorId="0" shapeId="0" xr:uid="{9273162B-7B4E-47AB-9FFF-759F10228D16}">
      <text>
        <r>
          <rPr>
            <b/>
            <sz val="9"/>
            <color indexed="81"/>
            <rFont val="Tahoma"/>
            <family val="2"/>
          </rPr>
          <t>Christian:</t>
        </r>
        <r>
          <rPr>
            <sz val="9"/>
            <color indexed="81"/>
            <rFont val="Tahoma"/>
            <family val="2"/>
          </rPr>
          <t xml:space="preserve">
Type I here related to MS specific</t>
        </r>
      </text>
    </comment>
    <comment ref="Y1083" authorId="0" shapeId="0" xr:uid="{67F17A90-00B4-4551-861F-3D5C3947F9D6}">
      <text>
        <r>
          <rPr>
            <b/>
            <sz val="9"/>
            <color indexed="81"/>
            <rFont val="Tahoma"/>
            <family val="2"/>
          </rPr>
          <t>Christian:</t>
        </r>
        <r>
          <rPr>
            <sz val="9"/>
            <color indexed="81"/>
            <rFont val="Tahoma"/>
            <family val="2"/>
          </rPr>
          <t xml:space="preserve">
NA if fossil</t>
        </r>
      </text>
    </comment>
    <comment ref="AS1083" authorId="0" shapeId="0" xr:uid="{812A018F-CA59-4231-A2E1-DFBDF506DED3}">
      <text>
        <r>
          <rPr>
            <b/>
            <sz val="9"/>
            <color indexed="81"/>
            <rFont val="Tahoma"/>
            <family val="2"/>
          </rPr>
          <t>Christian:</t>
        </r>
        <r>
          <rPr>
            <sz val="9"/>
            <color indexed="81"/>
            <rFont val="Tahoma"/>
            <family val="2"/>
          </rPr>
          <t xml:space="preserve">
Type I here related to MS specific</t>
        </r>
      </text>
    </comment>
    <comment ref="Y1085" authorId="0" shapeId="0" xr:uid="{DE7A61A4-3C19-4350-B1C6-EFD3E8E8ED48}">
      <text>
        <r>
          <rPr>
            <b/>
            <sz val="9"/>
            <color indexed="81"/>
            <rFont val="Tahoma"/>
            <family val="2"/>
          </rPr>
          <t>Christian:</t>
        </r>
        <r>
          <rPr>
            <sz val="9"/>
            <color indexed="81"/>
            <rFont val="Tahoma"/>
            <family val="2"/>
          </rPr>
          <t xml:space="preserve">
NA if fossil</t>
        </r>
      </text>
    </comment>
    <comment ref="Y1106" authorId="0" shapeId="0" xr:uid="{3960BBE0-EB83-48D5-AC61-F088859AC49D}">
      <text>
        <r>
          <rPr>
            <b/>
            <sz val="9"/>
            <color indexed="81"/>
            <rFont val="Tahoma"/>
            <family val="2"/>
          </rPr>
          <t>Christian:</t>
        </r>
        <r>
          <rPr>
            <sz val="9"/>
            <color indexed="81"/>
            <rFont val="Tahoma"/>
            <family val="2"/>
          </rPr>
          <t xml:space="preserve">
NA if fossil</t>
        </r>
      </text>
    </comment>
    <comment ref="AS1106" authorId="0" shapeId="0" xr:uid="{63A82028-0356-4F36-B1D8-3E4D65E280F9}">
      <text>
        <r>
          <rPr>
            <b/>
            <sz val="9"/>
            <color indexed="81"/>
            <rFont val="Tahoma"/>
            <family val="2"/>
          </rPr>
          <t>Christian:</t>
        </r>
        <r>
          <rPr>
            <sz val="9"/>
            <color indexed="81"/>
            <rFont val="Tahoma"/>
            <family val="2"/>
          </rPr>
          <t xml:space="preserve">
Type I here related to MS specific</t>
        </r>
      </text>
    </comment>
    <comment ref="Y1107" authorId="0" shapeId="0" xr:uid="{70013664-F5E2-4369-9FF1-03E63769379A}">
      <text>
        <r>
          <rPr>
            <b/>
            <sz val="9"/>
            <color indexed="81"/>
            <rFont val="Tahoma"/>
            <family val="2"/>
          </rPr>
          <t>Christian:</t>
        </r>
        <r>
          <rPr>
            <sz val="9"/>
            <color indexed="81"/>
            <rFont val="Tahoma"/>
            <family val="2"/>
          </rPr>
          <t xml:space="preserve">
NA if fossil</t>
        </r>
      </text>
    </comment>
    <comment ref="AS1107" authorId="0" shapeId="0" xr:uid="{53ACE4C8-B67B-4A3D-A705-F7DA0C3488A5}">
      <text>
        <r>
          <rPr>
            <b/>
            <sz val="9"/>
            <color indexed="81"/>
            <rFont val="Tahoma"/>
            <family val="2"/>
          </rPr>
          <t>Christian:</t>
        </r>
        <r>
          <rPr>
            <sz val="9"/>
            <color indexed="81"/>
            <rFont val="Tahoma"/>
            <family val="2"/>
          </rPr>
          <t xml:space="preserve">
Type I here related to MS specific</t>
        </r>
      </text>
    </comment>
    <comment ref="Y1108" authorId="0" shapeId="0" xr:uid="{51A00EA2-357C-4F15-8435-60C854530508}">
      <text>
        <r>
          <rPr>
            <b/>
            <sz val="9"/>
            <color indexed="81"/>
            <rFont val="Tahoma"/>
            <family val="2"/>
          </rPr>
          <t>Christian:</t>
        </r>
        <r>
          <rPr>
            <sz val="9"/>
            <color indexed="81"/>
            <rFont val="Tahoma"/>
            <family val="2"/>
          </rPr>
          <t xml:space="preserve">
NA if fossil</t>
        </r>
      </text>
    </comment>
    <comment ref="AS1108" authorId="0" shapeId="0" xr:uid="{0831D78F-6A3F-48D2-9280-2A344990BB83}">
      <text>
        <r>
          <rPr>
            <b/>
            <sz val="9"/>
            <color indexed="81"/>
            <rFont val="Tahoma"/>
            <family val="2"/>
          </rPr>
          <t>Christian:</t>
        </r>
        <r>
          <rPr>
            <sz val="9"/>
            <color indexed="81"/>
            <rFont val="Tahoma"/>
            <family val="2"/>
          </rPr>
          <t xml:space="preserve">
Type I here related to MS specific</t>
        </r>
      </text>
    </comment>
    <comment ref="Y1109" authorId="0" shapeId="0" xr:uid="{75FC027C-8189-41D4-A9F4-B2AFACB46827}">
      <text>
        <r>
          <rPr>
            <b/>
            <sz val="9"/>
            <color indexed="81"/>
            <rFont val="Tahoma"/>
            <family val="2"/>
          </rPr>
          <t>Christian:</t>
        </r>
        <r>
          <rPr>
            <sz val="9"/>
            <color indexed="81"/>
            <rFont val="Tahoma"/>
            <family val="2"/>
          </rPr>
          <t xml:space="preserve">
NA if fossil</t>
        </r>
      </text>
    </comment>
    <comment ref="AS1109" authorId="0" shapeId="0" xr:uid="{5D0E4D25-8458-4D17-B933-D3AC1EA5E713}">
      <text>
        <r>
          <rPr>
            <b/>
            <sz val="9"/>
            <color indexed="81"/>
            <rFont val="Tahoma"/>
            <family val="2"/>
          </rPr>
          <t>Christian:</t>
        </r>
        <r>
          <rPr>
            <sz val="9"/>
            <color indexed="81"/>
            <rFont val="Tahoma"/>
            <family val="2"/>
          </rPr>
          <t xml:space="preserve">
Type I here related to MS specific</t>
        </r>
      </text>
    </comment>
    <comment ref="Y1110" authorId="0" shapeId="0" xr:uid="{7CE81958-C0A8-4B1A-80BB-C667B5CFE5B5}">
      <text>
        <r>
          <rPr>
            <b/>
            <sz val="9"/>
            <color indexed="81"/>
            <rFont val="Tahoma"/>
            <family val="2"/>
          </rPr>
          <t>Christian:</t>
        </r>
        <r>
          <rPr>
            <sz val="9"/>
            <color indexed="81"/>
            <rFont val="Tahoma"/>
            <family val="2"/>
          </rPr>
          <t xml:space="preserve">
NA if fossil</t>
        </r>
      </text>
    </comment>
    <comment ref="AS1110" authorId="0" shapeId="0" xr:uid="{81814279-7904-4439-AA21-061A4AE5BEA9}">
      <text>
        <r>
          <rPr>
            <b/>
            <sz val="9"/>
            <color indexed="81"/>
            <rFont val="Tahoma"/>
            <family val="2"/>
          </rPr>
          <t>Christian:</t>
        </r>
        <r>
          <rPr>
            <sz val="9"/>
            <color indexed="81"/>
            <rFont val="Tahoma"/>
            <family val="2"/>
          </rPr>
          <t xml:space="preserve">
Type I here related to MS specific</t>
        </r>
      </text>
    </comment>
    <comment ref="Y1111" authorId="0" shapeId="0" xr:uid="{D54A5000-8516-440C-867C-95CDEAF8388E}">
      <text>
        <r>
          <rPr>
            <b/>
            <sz val="9"/>
            <color indexed="81"/>
            <rFont val="Tahoma"/>
            <family val="2"/>
          </rPr>
          <t>Christian:</t>
        </r>
        <r>
          <rPr>
            <sz val="9"/>
            <color indexed="81"/>
            <rFont val="Tahoma"/>
            <family val="2"/>
          </rPr>
          <t xml:space="preserve">
NA if fossil</t>
        </r>
      </text>
    </comment>
    <comment ref="AS1111" authorId="0" shapeId="0" xr:uid="{54F533B9-F028-460D-816F-61F073A378C1}">
      <text>
        <r>
          <rPr>
            <b/>
            <sz val="9"/>
            <color indexed="81"/>
            <rFont val="Tahoma"/>
            <family val="2"/>
          </rPr>
          <t>Christian:</t>
        </r>
        <r>
          <rPr>
            <sz val="9"/>
            <color indexed="81"/>
            <rFont val="Tahoma"/>
            <family val="2"/>
          </rPr>
          <t xml:space="preserve">
Type I here related to MS specific</t>
        </r>
      </text>
    </comment>
    <comment ref="Y1113" authorId="0" shapeId="0" xr:uid="{E68B3184-BDA5-4CE0-A100-33B19FEAF866}">
      <text>
        <r>
          <rPr>
            <b/>
            <sz val="9"/>
            <color indexed="81"/>
            <rFont val="Tahoma"/>
            <family val="2"/>
          </rPr>
          <t>Christian:</t>
        </r>
        <r>
          <rPr>
            <sz val="9"/>
            <color indexed="81"/>
            <rFont val="Tahoma"/>
            <family val="2"/>
          </rPr>
          <t xml:space="preserve">
NA if fossil</t>
        </r>
      </text>
    </comment>
    <comment ref="Y1134" authorId="0" shapeId="0" xr:uid="{B00123E2-6550-4DFF-9DA6-5B50ED1A7D4B}">
      <text>
        <r>
          <rPr>
            <b/>
            <sz val="9"/>
            <color indexed="81"/>
            <rFont val="Tahoma"/>
            <family val="2"/>
          </rPr>
          <t>Christian:</t>
        </r>
        <r>
          <rPr>
            <sz val="9"/>
            <color indexed="81"/>
            <rFont val="Tahoma"/>
            <family val="2"/>
          </rPr>
          <t xml:space="preserve">
NA if fossil</t>
        </r>
      </text>
    </comment>
    <comment ref="AS1134" authorId="0" shapeId="0" xr:uid="{16B9AF91-C703-4FCF-9655-FB88A3AC96BB}">
      <text>
        <r>
          <rPr>
            <b/>
            <sz val="9"/>
            <color indexed="81"/>
            <rFont val="Tahoma"/>
            <family val="2"/>
          </rPr>
          <t>Christian:</t>
        </r>
        <r>
          <rPr>
            <sz val="9"/>
            <color indexed="81"/>
            <rFont val="Tahoma"/>
            <family val="2"/>
          </rPr>
          <t xml:space="preserve">
Type I here related to MS specific</t>
        </r>
      </text>
    </comment>
    <comment ref="Y1135" authorId="0" shapeId="0" xr:uid="{5F9DB2E1-529D-4F73-B4AC-E5B8EDAEB959}">
      <text>
        <r>
          <rPr>
            <b/>
            <sz val="9"/>
            <color indexed="81"/>
            <rFont val="Tahoma"/>
            <family val="2"/>
          </rPr>
          <t>Christian:</t>
        </r>
        <r>
          <rPr>
            <sz val="9"/>
            <color indexed="81"/>
            <rFont val="Tahoma"/>
            <family val="2"/>
          </rPr>
          <t xml:space="preserve">
NA if fossil</t>
        </r>
      </text>
    </comment>
    <comment ref="AS1135" authorId="0" shapeId="0" xr:uid="{08056A18-67F1-4AAC-BFD4-0A294EFFDB0E}">
      <text>
        <r>
          <rPr>
            <b/>
            <sz val="9"/>
            <color indexed="81"/>
            <rFont val="Tahoma"/>
            <family val="2"/>
          </rPr>
          <t>Christian:</t>
        </r>
        <r>
          <rPr>
            <sz val="9"/>
            <color indexed="81"/>
            <rFont val="Tahoma"/>
            <family val="2"/>
          </rPr>
          <t xml:space="preserve">
Type I here related to MS specific</t>
        </r>
      </text>
    </comment>
    <comment ref="Y1136" authorId="0" shapeId="0" xr:uid="{0A9C6A37-C7F8-4182-BB0A-784DCA39587D}">
      <text>
        <r>
          <rPr>
            <b/>
            <sz val="9"/>
            <color indexed="81"/>
            <rFont val="Tahoma"/>
            <family val="2"/>
          </rPr>
          <t>Christian:</t>
        </r>
        <r>
          <rPr>
            <sz val="9"/>
            <color indexed="81"/>
            <rFont val="Tahoma"/>
            <family val="2"/>
          </rPr>
          <t xml:space="preserve">
NA if fossil</t>
        </r>
      </text>
    </comment>
    <comment ref="AS1136" authorId="0" shapeId="0" xr:uid="{7ADDFB97-2172-4312-9A00-A1824AE7E97F}">
      <text>
        <r>
          <rPr>
            <b/>
            <sz val="9"/>
            <color indexed="81"/>
            <rFont val="Tahoma"/>
            <family val="2"/>
          </rPr>
          <t>Christian:</t>
        </r>
        <r>
          <rPr>
            <sz val="9"/>
            <color indexed="81"/>
            <rFont val="Tahoma"/>
            <family val="2"/>
          </rPr>
          <t xml:space="preserve">
Type I here related to MS specific</t>
        </r>
      </text>
    </comment>
    <comment ref="Y1137" authorId="0" shapeId="0" xr:uid="{77F885CA-813F-46D2-B417-5F2BA1753390}">
      <text>
        <r>
          <rPr>
            <b/>
            <sz val="9"/>
            <color indexed="81"/>
            <rFont val="Tahoma"/>
            <family val="2"/>
          </rPr>
          <t>Christian:</t>
        </r>
        <r>
          <rPr>
            <sz val="9"/>
            <color indexed="81"/>
            <rFont val="Tahoma"/>
            <family val="2"/>
          </rPr>
          <t xml:space="preserve">
NA if fossil</t>
        </r>
      </text>
    </comment>
    <comment ref="AS1137" authorId="0" shapeId="0" xr:uid="{A5CC6E95-DED9-4CFF-966E-ECBAB03EFEC0}">
      <text>
        <r>
          <rPr>
            <b/>
            <sz val="9"/>
            <color indexed="81"/>
            <rFont val="Tahoma"/>
            <family val="2"/>
          </rPr>
          <t>Christian:</t>
        </r>
        <r>
          <rPr>
            <sz val="9"/>
            <color indexed="81"/>
            <rFont val="Tahoma"/>
            <family val="2"/>
          </rPr>
          <t xml:space="preserve">
Type I here related to MS specific</t>
        </r>
      </text>
    </comment>
    <comment ref="Y1138" authorId="0" shapeId="0" xr:uid="{DD24A04E-4684-4E7E-8F87-1BD832DF2E3B}">
      <text>
        <r>
          <rPr>
            <b/>
            <sz val="9"/>
            <color indexed="81"/>
            <rFont val="Tahoma"/>
            <family val="2"/>
          </rPr>
          <t>Christian:</t>
        </r>
        <r>
          <rPr>
            <sz val="9"/>
            <color indexed="81"/>
            <rFont val="Tahoma"/>
            <family val="2"/>
          </rPr>
          <t xml:space="preserve">
NA if fossil</t>
        </r>
      </text>
    </comment>
    <comment ref="AS1138" authorId="0" shapeId="0" xr:uid="{E98224D6-D6F9-4864-AA78-6489E458C578}">
      <text>
        <r>
          <rPr>
            <b/>
            <sz val="9"/>
            <color indexed="81"/>
            <rFont val="Tahoma"/>
            <family val="2"/>
          </rPr>
          <t>Christian:</t>
        </r>
        <r>
          <rPr>
            <sz val="9"/>
            <color indexed="81"/>
            <rFont val="Tahoma"/>
            <family val="2"/>
          </rPr>
          <t xml:space="preserve">
Type I here related to MS specific</t>
        </r>
      </text>
    </comment>
    <comment ref="Y1139" authorId="0" shapeId="0" xr:uid="{7A2163C7-69F9-4A47-8BDC-91F9DA7699D7}">
      <text>
        <r>
          <rPr>
            <b/>
            <sz val="9"/>
            <color indexed="81"/>
            <rFont val="Tahoma"/>
            <family val="2"/>
          </rPr>
          <t>Christian:</t>
        </r>
        <r>
          <rPr>
            <sz val="9"/>
            <color indexed="81"/>
            <rFont val="Tahoma"/>
            <family val="2"/>
          </rPr>
          <t xml:space="preserve">
NA if fossil</t>
        </r>
      </text>
    </comment>
    <comment ref="AS1139" authorId="0" shapeId="0" xr:uid="{F51DD142-44E2-4DEA-9305-63417B700FC1}">
      <text>
        <r>
          <rPr>
            <b/>
            <sz val="9"/>
            <color indexed="81"/>
            <rFont val="Tahoma"/>
            <family val="2"/>
          </rPr>
          <t>Christian:</t>
        </r>
        <r>
          <rPr>
            <sz val="9"/>
            <color indexed="81"/>
            <rFont val="Tahoma"/>
            <family val="2"/>
          </rPr>
          <t xml:space="preserve">
Type I here related to MS specific</t>
        </r>
      </text>
    </comment>
    <comment ref="Y1141" authorId="0" shapeId="0" xr:uid="{EC5DC17C-E6CE-4D3F-8C99-C1129ECD8EC7}">
      <text>
        <r>
          <rPr>
            <b/>
            <sz val="9"/>
            <color indexed="81"/>
            <rFont val="Tahoma"/>
            <family val="2"/>
          </rPr>
          <t>Christian:</t>
        </r>
        <r>
          <rPr>
            <sz val="9"/>
            <color indexed="81"/>
            <rFont val="Tahoma"/>
            <family val="2"/>
          </rPr>
          <t xml:space="preserve">
NA if fossil</t>
        </r>
      </text>
    </comment>
    <comment ref="Y1162" authorId="0" shapeId="0" xr:uid="{36C3528E-3E28-49B6-A547-D02CDE9A6EA9}">
      <text>
        <r>
          <rPr>
            <b/>
            <sz val="9"/>
            <color indexed="81"/>
            <rFont val="Tahoma"/>
            <family val="2"/>
          </rPr>
          <t>Christian:</t>
        </r>
        <r>
          <rPr>
            <sz val="9"/>
            <color indexed="81"/>
            <rFont val="Tahoma"/>
            <family val="2"/>
          </rPr>
          <t xml:space="preserve">
NA if fossil</t>
        </r>
      </text>
    </comment>
    <comment ref="AS1162" authorId="0" shapeId="0" xr:uid="{F6C34210-606D-4683-869F-CC9EC1EEA545}">
      <text>
        <r>
          <rPr>
            <b/>
            <sz val="9"/>
            <color indexed="81"/>
            <rFont val="Tahoma"/>
            <family val="2"/>
          </rPr>
          <t>Christian:</t>
        </r>
        <r>
          <rPr>
            <sz val="9"/>
            <color indexed="81"/>
            <rFont val="Tahoma"/>
            <family val="2"/>
          </rPr>
          <t xml:space="preserve">
Type I here related to MS specific</t>
        </r>
      </text>
    </comment>
    <comment ref="Y1163" authorId="0" shapeId="0" xr:uid="{E4B2EAC3-C538-4C5F-964F-2C7E5F13E2E7}">
      <text>
        <r>
          <rPr>
            <b/>
            <sz val="9"/>
            <color indexed="81"/>
            <rFont val="Tahoma"/>
            <family val="2"/>
          </rPr>
          <t>Christian:</t>
        </r>
        <r>
          <rPr>
            <sz val="9"/>
            <color indexed="81"/>
            <rFont val="Tahoma"/>
            <family val="2"/>
          </rPr>
          <t xml:space="preserve">
NA if fossil</t>
        </r>
      </text>
    </comment>
    <comment ref="AS1163" authorId="0" shapeId="0" xr:uid="{30399DD3-FAA9-4EB4-B7CC-FE6953B424EA}">
      <text>
        <r>
          <rPr>
            <b/>
            <sz val="9"/>
            <color indexed="81"/>
            <rFont val="Tahoma"/>
            <family val="2"/>
          </rPr>
          <t>Christian:</t>
        </r>
        <r>
          <rPr>
            <sz val="9"/>
            <color indexed="81"/>
            <rFont val="Tahoma"/>
            <family val="2"/>
          </rPr>
          <t xml:space="preserve">
Type I here related to MS specific</t>
        </r>
      </text>
    </comment>
    <comment ref="Y1164" authorId="0" shapeId="0" xr:uid="{CE901C64-FC40-48D4-A5D5-7A390FAFDB45}">
      <text>
        <r>
          <rPr>
            <b/>
            <sz val="9"/>
            <color indexed="81"/>
            <rFont val="Tahoma"/>
            <family val="2"/>
          </rPr>
          <t>Christian:</t>
        </r>
        <r>
          <rPr>
            <sz val="9"/>
            <color indexed="81"/>
            <rFont val="Tahoma"/>
            <family val="2"/>
          </rPr>
          <t xml:space="preserve">
NA if fossil</t>
        </r>
      </text>
    </comment>
    <comment ref="AS1164" authorId="0" shapeId="0" xr:uid="{FB5F93CD-7925-4C36-B353-8A8C48D9EEBA}">
      <text>
        <r>
          <rPr>
            <b/>
            <sz val="9"/>
            <color indexed="81"/>
            <rFont val="Tahoma"/>
            <family val="2"/>
          </rPr>
          <t>Christian:</t>
        </r>
        <r>
          <rPr>
            <sz val="9"/>
            <color indexed="81"/>
            <rFont val="Tahoma"/>
            <family val="2"/>
          </rPr>
          <t xml:space="preserve">
Type I here related to MS specific</t>
        </r>
      </text>
    </comment>
    <comment ref="Y1165" authorId="0" shapeId="0" xr:uid="{FE9F4F30-C132-4410-8A4B-5EB098C2D8D6}">
      <text>
        <r>
          <rPr>
            <b/>
            <sz val="9"/>
            <color indexed="81"/>
            <rFont val="Tahoma"/>
            <family val="2"/>
          </rPr>
          <t>Christian:</t>
        </r>
        <r>
          <rPr>
            <sz val="9"/>
            <color indexed="81"/>
            <rFont val="Tahoma"/>
            <family val="2"/>
          </rPr>
          <t xml:space="preserve">
NA if fossil</t>
        </r>
      </text>
    </comment>
    <comment ref="AS1165" authorId="0" shapeId="0" xr:uid="{D1603BA0-9570-4870-A89A-FB3DE33A026C}">
      <text>
        <r>
          <rPr>
            <b/>
            <sz val="9"/>
            <color indexed="81"/>
            <rFont val="Tahoma"/>
            <family val="2"/>
          </rPr>
          <t>Christian:</t>
        </r>
        <r>
          <rPr>
            <sz val="9"/>
            <color indexed="81"/>
            <rFont val="Tahoma"/>
            <family val="2"/>
          </rPr>
          <t xml:space="preserve">
Type I here related to MS specific</t>
        </r>
      </text>
    </comment>
    <comment ref="Y1166" authorId="0" shapeId="0" xr:uid="{4D6748DA-3DAD-4593-836F-2E2D32F012E1}">
      <text>
        <r>
          <rPr>
            <b/>
            <sz val="9"/>
            <color indexed="81"/>
            <rFont val="Tahoma"/>
            <family val="2"/>
          </rPr>
          <t>Christian:</t>
        </r>
        <r>
          <rPr>
            <sz val="9"/>
            <color indexed="81"/>
            <rFont val="Tahoma"/>
            <family val="2"/>
          </rPr>
          <t xml:space="preserve">
NA if fossil</t>
        </r>
      </text>
    </comment>
    <comment ref="AS1166" authorId="0" shapeId="0" xr:uid="{DAABDF4E-A90D-4D6E-B2D8-B6C29DB136AE}">
      <text>
        <r>
          <rPr>
            <b/>
            <sz val="9"/>
            <color indexed="81"/>
            <rFont val="Tahoma"/>
            <family val="2"/>
          </rPr>
          <t>Christian:</t>
        </r>
        <r>
          <rPr>
            <sz val="9"/>
            <color indexed="81"/>
            <rFont val="Tahoma"/>
            <family val="2"/>
          </rPr>
          <t xml:space="preserve">
Type I here related to MS specific</t>
        </r>
      </text>
    </comment>
    <comment ref="Y1167" authorId="0" shapeId="0" xr:uid="{114C8D21-37F8-4C4E-AA4F-1078DB1333F7}">
      <text>
        <r>
          <rPr>
            <b/>
            <sz val="9"/>
            <color indexed="81"/>
            <rFont val="Tahoma"/>
            <family val="2"/>
          </rPr>
          <t>Christian:</t>
        </r>
        <r>
          <rPr>
            <sz val="9"/>
            <color indexed="81"/>
            <rFont val="Tahoma"/>
            <family val="2"/>
          </rPr>
          <t xml:space="preserve">
NA if fossil</t>
        </r>
      </text>
    </comment>
    <comment ref="AS1167" authorId="0" shapeId="0" xr:uid="{234996C5-BACB-40B1-B7B6-3354439685EA}">
      <text>
        <r>
          <rPr>
            <b/>
            <sz val="9"/>
            <color indexed="81"/>
            <rFont val="Tahoma"/>
            <family val="2"/>
          </rPr>
          <t>Christian:</t>
        </r>
        <r>
          <rPr>
            <sz val="9"/>
            <color indexed="81"/>
            <rFont val="Tahoma"/>
            <family val="2"/>
          </rPr>
          <t xml:space="preserve">
Type I here related to MS specific</t>
        </r>
      </text>
    </comment>
    <comment ref="Y1169" authorId="0" shapeId="0" xr:uid="{AEE375B2-957C-40DF-88A7-021154EBF4AA}">
      <text>
        <r>
          <rPr>
            <b/>
            <sz val="9"/>
            <color indexed="81"/>
            <rFont val="Tahoma"/>
            <family val="2"/>
          </rPr>
          <t>Christian:</t>
        </r>
        <r>
          <rPr>
            <sz val="9"/>
            <color indexed="81"/>
            <rFont val="Tahoma"/>
            <family val="2"/>
          </rPr>
          <t xml:space="preserve">
NA if fossil</t>
        </r>
      </text>
    </comment>
    <comment ref="Y1190" authorId="0" shapeId="0" xr:uid="{A242C36D-250C-425B-BD9B-2DF9DDCE3D4A}">
      <text>
        <r>
          <rPr>
            <b/>
            <sz val="9"/>
            <color indexed="81"/>
            <rFont val="Tahoma"/>
            <family val="2"/>
          </rPr>
          <t>Christian:</t>
        </r>
        <r>
          <rPr>
            <sz val="9"/>
            <color indexed="81"/>
            <rFont val="Tahoma"/>
            <family val="2"/>
          </rPr>
          <t xml:space="preserve">
NA if fossil</t>
        </r>
      </text>
    </comment>
    <comment ref="AS1190" authorId="0" shapeId="0" xr:uid="{A211166A-0E14-4DA1-8656-84D99A06506E}">
      <text>
        <r>
          <rPr>
            <b/>
            <sz val="9"/>
            <color indexed="81"/>
            <rFont val="Tahoma"/>
            <family val="2"/>
          </rPr>
          <t>Christian:</t>
        </r>
        <r>
          <rPr>
            <sz val="9"/>
            <color indexed="81"/>
            <rFont val="Tahoma"/>
            <family val="2"/>
          </rPr>
          <t xml:space="preserve">
Type I here related to MS specific</t>
        </r>
      </text>
    </comment>
    <comment ref="Y1191" authorId="0" shapeId="0" xr:uid="{33323041-1B7A-42C0-8559-BF9DCF2DD086}">
      <text>
        <r>
          <rPr>
            <b/>
            <sz val="9"/>
            <color indexed="81"/>
            <rFont val="Tahoma"/>
            <family val="2"/>
          </rPr>
          <t>Christian:</t>
        </r>
        <r>
          <rPr>
            <sz val="9"/>
            <color indexed="81"/>
            <rFont val="Tahoma"/>
            <family val="2"/>
          </rPr>
          <t xml:space="preserve">
NA if fossil</t>
        </r>
      </text>
    </comment>
    <comment ref="AS1191" authorId="0" shapeId="0" xr:uid="{8565171B-0907-4D57-A06B-7C9176C46B3D}">
      <text>
        <r>
          <rPr>
            <b/>
            <sz val="9"/>
            <color indexed="81"/>
            <rFont val="Tahoma"/>
            <family val="2"/>
          </rPr>
          <t>Christian:</t>
        </r>
        <r>
          <rPr>
            <sz val="9"/>
            <color indexed="81"/>
            <rFont val="Tahoma"/>
            <family val="2"/>
          </rPr>
          <t xml:space="preserve">
Type I here related to MS specific</t>
        </r>
      </text>
    </comment>
    <comment ref="Y1192" authorId="0" shapeId="0" xr:uid="{C27F7147-176E-4730-ACCF-805F5702D5EA}">
      <text>
        <r>
          <rPr>
            <b/>
            <sz val="9"/>
            <color indexed="81"/>
            <rFont val="Tahoma"/>
            <family val="2"/>
          </rPr>
          <t>Christian:</t>
        </r>
        <r>
          <rPr>
            <sz val="9"/>
            <color indexed="81"/>
            <rFont val="Tahoma"/>
            <family val="2"/>
          </rPr>
          <t xml:space="preserve">
NA if fossil</t>
        </r>
      </text>
    </comment>
    <comment ref="AS1192" authorId="0" shapeId="0" xr:uid="{60879224-29A6-420A-9470-A662755879D5}">
      <text>
        <r>
          <rPr>
            <b/>
            <sz val="9"/>
            <color indexed="81"/>
            <rFont val="Tahoma"/>
            <family val="2"/>
          </rPr>
          <t>Christian:</t>
        </r>
        <r>
          <rPr>
            <sz val="9"/>
            <color indexed="81"/>
            <rFont val="Tahoma"/>
            <family val="2"/>
          </rPr>
          <t xml:space="preserve">
Type I here related to MS specific</t>
        </r>
      </text>
    </comment>
    <comment ref="Y1193" authorId="0" shapeId="0" xr:uid="{E4AA2F3D-4AF8-4D16-B691-8010C2521A6E}">
      <text>
        <r>
          <rPr>
            <b/>
            <sz val="9"/>
            <color indexed="81"/>
            <rFont val="Tahoma"/>
            <family val="2"/>
          </rPr>
          <t>Christian:</t>
        </r>
        <r>
          <rPr>
            <sz val="9"/>
            <color indexed="81"/>
            <rFont val="Tahoma"/>
            <family val="2"/>
          </rPr>
          <t xml:space="preserve">
NA if fossil</t>
        </r>
      </text>
    </comment>
    <comment ref="AS1193" authorId="0" shapeId="0" xr:uid="{8DE1B448-9B3E-4254-B8F8-B8D867931528}">
      <text>
        <r>
          <rPr>
            <b/>
            <sz val="9"/>
            <color indexed="81"/>
            <rFont val="Tahoma"/>
            <family val="2"/>
          </rPr>
          <t>Christian:</t>
        </r>
        <r>
          <rPr>
            <sz val="9"/>
            <color indexed="81"/>
            <rFont val="Tahoma"/>
            <family val="2"/>
          </rPr>
          <t xml:space="preserve">
Type I here related to MS specific</t>
        </r>
      </text>
    </comment>
    <comment ref="Y1194" authorId="0" shapeId="0" xr:uid="{D2A5A5B0-5DD6-4EAE-B44B-C64C1FE83AF1}">
      <text>
        <r>
          <rPr>
            <b/>
            <sz val="9"/>
            <color indexed="81"/>
            <rFont val="Tahoma"/>
            <family val="2"/>
          </rPr>
          <t>Christian:</t>
        </r>
        <r>
          <rPr>
            <sz val="9"/>
            <color indexed="81"/>
            <rFont val="Tahoma"/>
            <family val="2"/>
          </rPr>
          <t xml:space="preserve">
NA if fossil</t>
        </r>
      </text>
    </comment>
    <comment ref="AS1194" authorId="0" shapeId="0" xr:uid="{D8B3A869-4C11-43AD-AE7F-6678DAD5D526}">
      <text>
        <r>
          <rPr>
            <b/>
            <sz val="9"/>
            <color indexed="81"/>
            <rFont val="Tahoma"/>
            <family val="2"/>
          </rPr>
          <t>Christian:</t>
        </r>
        <r>
          <rPr>
            <sz val="9"/>
            <color indexed="81"/>
            <rFont val="Tahoma"/>
            <family val="2"/>
          </rPr>
          <t xml:space="preserve">
Type I here related to MS specific</t>
        </r>
      </text>
    </comment>
    <comment ref="Y1195" authorId="0" shapeId="0" xr:uid="{6373CB9A-B523-4DF6-AE6F-23F029BC6735}">
      <text>
        <r>
          <rPr>
            <b/>
            <sz val="9"/>
            <color indexed="81"/>
            <rFont val="Tahoma"/>
            <family val="2"/>
          </rPr>
          <t>Christian:</t>
        </r>
        <r>
          <rPr>
            <sz val="9"/>
            <color indexed="81"/>
            <rFont val="Tahoma"/>
            <family val="2"/>
          </rPr>
          <t xml:space="preserve">
NA if fossil</t>
        </r>
      </text>
    </comment>
    <comment ref="AS1195" authorId="0" shapeId="0" xr:uid="{92DE1E27-322B-4ED5-9B82-9685C95800B9}">
      <text>
        <r>
          <rPr>
            <b/>
            <sz val="9"/>
            <color indexed="81"/>
            <rFont val="Tahoma"/>
            <family val="2"/>
          </rPr>
          <t>Christian:</t>
        </r>
        <r>
          <rPr>
            <sz val="9"/>
            <color indexed="81"/>
            <rFont val="Tahoma"/>
            <family val="2"/>
          </rPr>
          <t xml:space="preserve">
Type I here related to MS specific</t>
        </r>
      </text>
    </comment>
    <comment ref="Y1197" authorId="0" shapeId="0" xr:uid="{7AE07129-550D-4399-BFB5-8E6C433C5036}">
      <text>
        <r>
          <rPr>
            <b/>
            <sz val="9"/>
            <color indexed="81"/>
            <rFont val="Tahoma"/>
            <family val="2"/>
          </rPr>
          <t>Christian:</t>
        </r>
        <r>
          <rPr>
            <sz val="9"/>
            <color indexed="81"/>
            <rFont val="Tahoma"/>
            <family val="2"/>
          </rPr>
          <t xml:space="preserve">
NA if fossil</t>
        </r>
      </text>
    </comment>
    <comment ref="Y1218" authorId="0" shapeId="0" xr:uid="{007D926C-7E93-4137-8132-F76A0FF995CC}">
      <text>
        <r>
          <rPr>
            <b/>
            <sz val="9"/>
            <color indexed="81"/>
            <rFont val="Tahoma"/>
            <family val="2"/>
          </rPr>
          <t>Christian:</t>
        </r>
        <r>
          <rPr>
            <sz val="9"/>
            <color indexed="81"/>
            <rFont val="Tahoma"/>
            <family val="2"/>
          </rPr>
          <t xml:space="preserve">
NA if fossil</t>
        </r>
      </text>
    </comment>
    <comment ref="AS1218" authorId="0" shapeId="0" xr:uid="{D6F906DD-5B04-438F-BC31-045DFE8970ED}">
      <text>
        <r>
          <rPr>
            <b/>
            <sz val="9"/>
            <color indexed="81"/>
            <rFont val="Tahoma"/>
            <family val="2"/>
          </rPr>
          <t>Christian:</t>
        </r>
        <r>
          <rPr>
            <sz val="9"/>
            <color indexed="81"/>
            <rFont val="Tahoma"/>
            <family val="2"/>
          </rPr>
          <t xml:space="preserve">
Type I here related to MS specific</t>
        </r>
      </text>
    </comment>
    <comment ref="Y1219" authorId="0" shapeId="0" xr:uid="{5F863EF2-816A-4E32-B545-B5BBD6BDCE28}">
      <text>
        <r>
          <rPr>
            <b/>
            <sz val="9"/>
            <color indexed="81"/>
            <rFont val="Tahoma"/>
            <family val="2"/>
          </rPr>
          <t>Christian:</t>
        </r>
        <r>
          <rPr>
            <sz val="9"/>
            <color indexed="81"/>
            <rFont val="Tahoma"/>
            <family val="2"/>
          </rPr>
          <t xml:space="preserve">
NA if fossil</t>
        </r>
      </text>
    </comment>
    <comment ref="AS1219" authorId="0" shapeId="0" xr:uid="{307949C3-6690-4DC2-9DB9-C714761AEB87}">
      <text>
        <r>
          <rPr>
            <b/>
            <sz val="9"/>
            <color indexed="81"/>
            <rFont val="Tahoma"/>
            <family val="2"/>
          </rPr>
          <t>Christian:</t>
        </r>
        <r>
          <rPr>
            <sz val="9"/>
            <color indexed="81"/>
            <rFont val="Tahoma"/>
            <family val="2"/>
          </rPr>
          <t xml:space="preserve">
Type I here related to MS specific</t>
        </r>
      </text>
    </comment>
    <comment ref="Y1220" authorId="0" shapeId="0" xr:uid="{BE29BE81-7E04-4516-9739-611E8B5A55FC}">
      <text>
        <r>
          <rPr>
            <b/>
            <sz val="9"/>
            <color indexed="81"/>
            <rFont val="Tahoma"/>
            <family val="2"/>
          </rPr>
          <t>Christian:</t>
        </r>
        <r>
          <rPr>
            <sz val="9"/>
            <color indexed="81"/>
            <rFont val="Tahoma"/>
            <family val="2"/>
          </rPr>
          <t xml:space="preserve">
NA if fossil</t>
        </r>
      </text>
    </comment>
    <comment ref="AS1220" authorId="0" shapeId="0" xr:uid="{00F663DA-54BE-4238-9487-2F2E121A9624}">
      <text>
        <r>
          <rPr>
            <b/>
            <sz val="9"/>
            <color indexed="81"/>
            <rFont val="Tahoma"/>
            <family val="2"/>
          </rPr>
          <t>Christian:</t>
        </r>
        <r>
          <rPr>
            <sz val="9"/>
            <color indexed="81"/>
            <rFont val="Tahoma"/>
            <family val="2"/>
          </rPr>
          <t xml:space="preserve">
Type I here related to MS specific</t>
        </r>
      </text>
    </comment>
    <comment ref="Y1221" authorId="0" shapeId="0" xr:uid="{39F95C70-CC5E-43FE-AFA6-DD34E5D91072}">
      <text>
        <r>
          <rPr>
            <b/>
            <sz val="9"/>
            <color indexed="81"/>
            <rFont val="Tahoma"/>
            <family val="2"/>
          </rPr>
          <t>Christian:</t>
        </r>
        <r>
          <rPr>
            <sz val="9"/>
            <color indexed="81"/>
            <rFont val="Tahoma"/>
            <family val="2"/>
          </rPr>
          <t xml:space="preserve">
NA if fossil</t>
        </r>
      </text>
    </comment>
    <comment ref="AS1221" authorId="0" shapeId="0" xr:uid="{B2732EB5-4558-40D8-8EEB-0315BF37188C}">
      <text>
        <r>
          <rPr>
            <b/>
            <sz val="9"/>
            <color indexed="81"/>
            <rFont val="Tahoma"/>
            <family val="2"/>
          </rPr>
          <t>Christian:</t>
        </r>
        <r>
          <rPr>
            <sz val="9"/>
            <color indexed="81"/>
            <rFont val="Tahoma"/>
            <family val="2"/>
          </rPr>
          <t xml:space="preserve">
Type I here related to MS specific</t>
        </r>
      </text>
    </comment>
    <comment ref="Y1222" authorId="0" shapeId="0" xr:uid="{8E401BA0-1641-4512-A32C-D4E8A812517D}">
      <text>
        <r>
          <rPr>
            <b/>
            <sz val="9"/>
            <color indexed="81"/>
            <rFont val="Tahoma"/>
            <family val="2"/>
          </rPr>
          <t>Christian:</t>
        </r>
        <r>
          <rPr>
            <sz val="9"/>
            <color indexed="81"/>
            <rFont val="Tahoma"/>
            <family val="2"/>
          </rPr>
          <t xml:space="preserve">
NA if fossil</t>
        </r>
      </text>
    </comment>
    <comment ref="AS1222" authorId="0" shapeId="0" xr:uid="{3286C45D-19B7-4524-A741-F4D64C88FE2E}">
      <text>
        <r>
          <rPr>
            <b/>
            <sz val="9"/>
            <color indexed="81"/>
            <rFont val="Tahoma"/>
            <family val="2"/>
          </rPr>
          <t>Christian:</t>
        </r>
        <r>
          <rPr>
            <sz val="9"/>
            <color indexed="81"/>
            <rFont val="Tahoma"/>
            <family val="2"/>
          </rPr>
          <t xml:space="preserve">
Type I here related to MS specific</t>
        </r>
      </text>
    </comment>
    <comment ref="Y1223" authorId="0" shapeId="0" xr:uid="{7AB52DD7-9C15-4BBA-9B10-68CECA79BC98}">
      <text>
        <r>
          <rPr>
            <b/>
            <sz val="9"/>
            <color indexed="81"/>
            <rFont val="Tahoma"/>
            <family val="2"/>
          </rPr>
          <t>Christian:</t>
        </r>
        <r>
          <rPr>
            <sz val="9"/>
            <color indexed="81"/>
            <rFont val="Tahoma"/>
            <family val="2"/>
          </rPr>
          <t xml:space="preserve">
NA if fossil</t>
        </r>
      </text>
    </comment>
    <comment ref="AS1223" authorId="0" shapeId="0" xr:uid="{581AFED7-B2BA-4652-93FD-ACE0E8C2F9A0}">
      <text>
        <r>
          <rPr>
            <b/>
            <sz val="9"/>
            <color indexed="81"/>
            <rFont val="Tahoma"/>
            <family val="2"/>
          </rPr>
          <t>Christian:</t>
        </r>
        <r>
          <rPr>
            <sz val="9"/>
            <color indexed="81"/>
            <rFont val="Tahoma"/>
            <family val="2"/>
          </rPr>
          <t xml:space="preserve">
Type I here related to MS specific</t>
        </r>
      </text>
    </comment>
    <comment ref="Y1225" authorId="0" shapeId="0" xr:uid="{D62A5F30-57DA-4901-83CC-D4DD4C445031}">
      <text>
        <r>
          <rPr>
            <b/>
            <sz val="9"/>
            <color indexed="81"/>
            <rFont val="Tahoma"/>
            <family val="2"/>
          </rPr>
          <t>Christian:</t>
        </r>
        <r>
          <rPr>
            <sz val="9"/>
            <color indexed="81"/>
            <rFont val="Tahoma"/>
            <family val="2"/>
          </rPr>
          <t xml:space="preserve">
NA if fossil</t>
        </r>
      </text>
    </comment>
    <comment ref="Y1246" authorId="0" shapeId="0" xr:uid="{BC4F2A03-5B39-4C8C-8D9E-D4E57A0CC42A}">
      <text>
        <r>
          <rPr>
            <b/>
            <sz val="9"/>
            <color indexed="81"/>
            <rFont val="Tahoma"/>
            <family val="2"/>
          </rPr>
          <t>Christian:</t>
        </r>
        <r>
          <rPr>
            <sz val="9"/>
            <color indexed="81"/>
            <rFont val="Tahoma"/>
            <family val="2"/>
          </rPr>
          <t xml:space="preserve">
NA if fossil</t>
        </r>
      </text>
    </comment>
    <comment ref="AS1246" authorId="0" shapeId="0" xr:uid="{A759FEC5-5500-428B-90B2-E3C6CD48BA45}">
      <text>
        <r>
          <rPr>
            <b/>
            <sz val="9"/>
            <color indexed="81"/>
            <rFont val="Tahoma"/>
            <family val="2"/>
          </rPr>
          <t>Christian:</t>
        </r>
        <r>
          <rPr>
            <sz val="9"/>
            <color indexed="81"/>
            <rFont val="Tahoma"/>
            <family val="2"/>
          </rPr>
          <t xml:space="preserve">
Type I here related to MS specific</t>
        </r>
      </text>
    </comment>
    <comment ref="Y1247" authorId="0" shapeId="0" xr:uid="{7187F003-AB89-40B0-A32E-CB2D1AA70D23}">
      <text>
        <r>
          <rPr>
            <b/>
            <sz val="9"/>
            <color indexed="81"/>
            <rFont val="Tahoma"/>
            <family val="2"/>
          </rPr>
          <t>Christian:</t>
        </r>
        <r>
          <rPr>
            <sz val="9"/>
            <color indexed="81"/>
            <rFont val="Tahoma"/>
            <family val="2"/>
          </rPr>
          <t xml:space="preserve">
NA if fossil</t>
        </r>
      </text>
    </comment>
    <comment ref="AS1247" authorId="0" shapeId="0" xr:uid="{7F8A2B3C-0502-401E-8005-C6697A081D90}">
      <text>
        <r>
          <rPr>
            <b/>
            <sz val="9"/>
            <color indexed="81"/>
            <rFont val="Tahoma"/>
            <family val="2"/>
          </rPr>
          <t>Christian:</t>
        </r>
        <r>
          <rPr>
            <sz val="9"/>
            <color indexed="81"/>
            <rFont val="Tahoma"/>
            <family val="2"/>
          </rPr>
          <t xml:space="preserve">
Type I here related to MS specific</t>
        </r>
      </text>
    </comment>
    <comment ref="Y1248" authorId="0" shapeId="0" xr:uid="{8C61DFB6-E817-45E3-B2B8-999308865E06}">
      <text>
        <r>
          <rPr>
            <b/>
            <sz val="9"/>
            <color indexed="81"/>
            <rFont val="Tahoma"/>
            <family val="2"/>
          </rPr>
          <t>Christian:</t>
        </r>
        <r>
          <rPr>
            <sz val="9"/>
            <color indexed="81"/>
            <rFont val="Tahoma"/>
            <family val="2"/>
          </rPr>
          <t xml:space="preserve">
NA if fossil</t>
        </r>
      </text>
    </comment>
    <comment ref="AS1248" authorId="0" shapeId="0" xr:uid="{978FA313-6DF0-40F1-B2D5-7CF049817593}">
      <text>
        <r>
          <rPr>
            <b/>
            <sz val="9"/>
            <color indexed="81"/>
            <rFont val="Tahoma"/>
            <family val="2"/>
          </rPr>
          <t>Christian:</t>
        </r>
        <r>
          <rPr>
            <sz val="9"/>
            <color indexed="81"/>
            <rFont val="Tahoma"/>
            <family val="2"/>
          </rPr>
          <t xml:space="preserve">
Type I here related to MS specific</t>
        </r>
      </text>
    </comment>
    <comment ref="Y1249" authorId="0" shapeId="0" xr:uid="{C73E6219-DF4B-4D50-AC31-065248C21E91}">
      <text>
        <r>
          <rPr>
            <b/>
            <sz val="9"/>
            <color indexed="81"/>
            <rFont val="Tahoma"/>
            <family val="2"/>
          </rPr>
          <t>Christian:</t>
        </r>
        <r>
          <rPr>
            <sz val="9"/>
            <color indexed="81"/>
            <rFont val="Tahoma"/>
            <family val="2"/>
          </rPr>
          <t xml:space="preserve">
NA if fossil</t>
        </r>
      </text>
    </comment>
    <comment ref="AS1249" authorId="0" shapeId="0" xr:uid="{D0F4E386-0AE6-4013-AAF6-989EBACF24B6}">
      <text>
        <r>
          <rPr>
            <b/>
            <sz val="9"/>
            <color indexed="81"/>
            <rFont val="Tahoma"/>
            <family val="2"/>
          </rPr>
          <t>Christian:</t>
        </r>
        <r>
          <rPr>
            <sz val="9"/>
            <color indexed="81"/>
            <rFont val="Tahoma"/>
            <family val="2"/>
          </rPr>
          <t xml:space="preserve">
Type I here related to MS specific</t>
        </r>
      </text>
    </comment>
    <comment ref="Y1250" authorId="0" shapeId="0" xr:uid="{E63B4289-1673-4981-BF66-9B92238B8C36}">
      <text>
        <r>
          <rPr>
            <b/>
            <sz val="9"/>
            <color indexed="81"/>
            <rFont val="Tahoma"/>
            <family val="2"/>
          </rPr>
          <t>Christian:</t>
        </r>
        <r>
          <rPr>
            <sz val="9"/>
            <color indexed="81"/>
            <rFont val="Tahoma"/>
            <family val="2"/>
          </rPr>
          <t xml:space="preserve">
NA if fossil</t>
        </r>
      </text>
    </comment>
    <comment ref="AS1250" authorId="0" shapeId="0" xr:uid="{39816494-D4A4-44D3-B7A9-13FA39FCCFF0}">
      <text>
        <r>
          <rPr>
            <b/>
            <sz val="9"/>
            <color indexed="81"/>
            <rFont val="Tahoma"/>
            <family val="2"/>
          </rPr>
          <t>Christian:</t>
        </r>
        <r>
          <rPr>
            <sz val="9"/>
            <color indexed="81"/>
            <rFont val="Tahoma"/>
            <family val="2"/>
          </rPr>
          <t xml:space="preserve">
Type I here related to MS specific</t>
        </r>
      </text>
    </comment>
    <comment ref="Y1251" authorId="0" shapeId="0" xr:uid="{6E85C938-359C-42B0-BDE6-C3869AC65425}">
      <text>
        <r>
          <rPr>
            <b/>
            <sz val="9"/>
            <color indexed="81"/>
            <rFont val="Tahoma"/>
            <family val="2"/>
          </rPr>
          <t>Christian:</t>
        </r>
        <r>
          <rPr>
            <sz val="9"/>
            <color indexed="81"/>
            <rFont val="Tahoma"/>
            <family val="2"/>
          </rPr>
          <t xml:space="preserve">
NA if fossil</t>
        </r>
      </text>
    </comment>
    <comment ref="AS1251" authorId="0" shapeId="0" xr:uid="{8D617605-6B91-413E-9DCF-688D2C9FA4CF}">
      <text>
        <r>
          <rPr>
            <b/>
            <sz val="9"/>
            <color indexed="81"/>
            <rFont val="Tahoma"/>
            <family val="2"/>
          </rPr>
          <t>Christian:</t>
        </r>
        <r>
          <rPr>
            <sz val="9"/>
            <color indexed="81"/>
            <rFont val="Tahoma"/>
            <family val="2"/>
          </rPr>
          <t xml:space="preserve">
Type I here related to MS specific</t>
        </r>
      </text>
    </comment>
    <comment ref="Y1253" authorId="0" shapeId="0" xr:uid="{40D53704-0373-41F6-8D2F-E05CC7E02C19}">
      <text>
        <r>
          <rPr>
            <b/>
            <sz val="9"/>
            <color indexed="81"/>
            <rFont val="Tahoma"/>
            <family val="2"/>
          </rPr>
          <t>Christian:</t>
        </r>
        <r>
          <rPr>
            <sz val="9"/>
            <color indexed="81"/>
            <rFont val="Tahoma"/>
            <family val="2"/>
          </rPr>
          <t xml:space="preserve">
NA if fossil</t>
        </r>
      </text>
    </comment>
    <comment ref="Y1274" authorId="0" shapeId="0" xr:uid="{6A22D494-D983-4524-96E6-218DC9E8BE65}">
      <text>
        <r>
          <rPr>
            <b/>
            <sz val="9"/>
            <color indexed="81"/>
            <rFont val="Tahoma"/>
            <family val="2"/>
          </rPr>
          <t>Christian:</t>
        </r>
        <r>
          <rPr>
            <sz val="9"/>
            <color indexed="81"/>
            <rFont val="Tahoma"/>
            <family val="2"/>
          </rPr>
          <t xml:space="preserve">
NA if fossil</t>
        </r>
      </text>
    </comment>
    <comment ref="AS1274" authorId="0" shapeId="0" xr:uid="{4F652F3F-C94D-4380-93A6-D51B9FD0C035}">
      <text>
        <r>
          <rPr>
            <b/>
            <sz val="9"/>
            <color indexed="81"/>
            <rFont val="Tahoma"/>
            <family val="2"/>
          </rPr>
          <t>Christian:</t>
        </r>
        <r>
          <rPr>
            <sz val="9"/>
            <color indexed="81"/>
            <rFont val="Tahoma"/>
            <family val="2"/>
          </rPr>
          <t xml:space="preserve">
Type I here related to MS specific</t>
        </r>
      </text>
    </comment>
    <comment ref="Y1275" authorId="0" shapeId="0" xr:uid="{85E8A2EA-B35B-417C-9268-7BF2B31E0685}">
      <text>
        <r>
          <rPr>
            <b/>
            <sz val="9"/>
            <color indexed="81"/>
            <rFont val="Tahoma"/>
            <family val="2"/>
          </rPr>
          <t>Christian:</t>
        </r>
        <r>
          <rPr>
            <sz val="9"/>
            <color indexed="81"/>
            <rFont val="Tahoma"/>
            <family val="2"/>
          </rPr>
          <t xml:space="preserve">
NA if fossil</t>
        </r>
      </text>
    </comment>
    <comment ref="AS1275" authorId="0" shapeId="0" xr:uid="{A5305F0D-F00E-47A9-96A3-32AF42A8C8CE}">
      <text>
        <r>
          <rPr>
            <b/>
            <sz val="9"/>
            <color indexed="81"/>
            <rFont val="Tahoma"/>
            <family val="2"/>
          </rPr>
          <t>Christian:</t>
        </r>
        <r>
          <rPr>
            <sz val="9"/>
            <color indexed="81"/>
            <rFont val="Tahoma"/>
            <family val="2"/>
          </rPr>
          <t xml:space="preserve">
Type I here related to MS specific</t>
        </r>
      </text>
    </comment>
    <comment ref="Y1276" authorId="0" shapeId="0" xr:uid="{D8BF9C0F-A06F-4B2B-9C1B-D60660E08461}">
      <text>
        <r>
          <rPr>
            <b/>
            <sz val="9"/>
            <color indexed="81"/>
            <rFont val="Tahoma"/>
            <family val="2"/>
          </rPr>
          <t>Christian:</t>
        </r>
        <r>
          <rPr>
            <sz val="9"/>
            <color indexed="81"/>
            <rFont val="Tahoma"/>
            <family val="2"/>
          </rPr>
          <t xml:space="preserve">
NA if fossil</t>
        </r>
      </text>
    </comment>
    <comment ref="AS1276" authorId="0" shapeId="0" xr:uid="{428AAF86-98C4-4ED6-8604-59784D1418A9}">
      <text>
        <r>
          <rPr>
            <b/>
            <sz val="9"/>
            <color indexed="81"/>
            <rFont val="Tahoma"/>
            <family val="2"/>
          </rPr>
          <t>Christian:</t>
        </r>
        <r>
          <rPr>
            <sz val="9"/>
            <color indexed="81"/>
            <rFont val="Tahoma"/>
            <family val="2"/>
          </rPr>
          <t xml:space="preserve">
Type I here related to MS specific</t>
        </r>
      </text>
    </comment>
    <comment ref="Y1277" authorId="0" shapeId="0" xr:uid="{3C7C9DB8-D941-4268-AF87-F47AFA658766}">
      <text>
        <r>
          <rPr>
            <b/>
            <sz val="9"/>
            <color indexed="81"/>
            <rFont val="Tahoma"/>
            <family val="2"/>
          </rPr>
          <t>Christian:</t>
        </r>
        <r>
          <rPr>
            <sz val="9"/>
            <color indexed="81"/>
            <rFont val="Tahoma"/>
            <family val="2"/>
          </rPr>
          <t xml:space="preserve">
NA if fossil</t>
        </r>
      </text>
    </comment>
    <comment ref="AS1277" authorId="0" shapeId="0" xr:uid="{24CDBCC5-4F2C-4110-AC7B-DD4EBDBA5DD7}">
      <text>
        <r>
          <rPr>
            <b/>
            <sz val="9"/>
            <color indexed="81"/>
            <rFont val="Tahoma"/>
            <family val="2"/>
          </rPr>
          <t>Christian:</t>
        </r>
        <r>
          <rPr>
            <sz val="9"/>
            <color indexed="81"/>
            <rFont val="Tahoma"/>
            <family val="2"/>
          </rPr>
          <t xml:space="preserve">
Type I here related to MS specific</t>
        </r>
      </text>
    </comment>
    <comment ref="Y1278" authorId="0" shapeId="0" xr:uid="{05F16FCF-7C1C-4EA2-A615-C698BDB9BFE8}">
      <text>
        <r>
          <rPr>
            <b/>
            <sz val="9"/>
            <color indexed="81"/>
            <rFont val="Tahoma"/>
            <family val="2"/>
          </rPr>
          <t>Christian:</t>
        </r>
        <r>
          <rPr>
            <sz val="9"/>
            <color indexed="81"/>
            <rFont val="Tahoma"/>
            <family val="2"/>
          </rPr>
          <t xml:space="preserve">
NA if fossil</t>
        </r>
      </text>
    </comment>
    <comment ref="AS1278" authorId="0" shapeId="0" xr:uid="{E86DC739-1DF2-4BD5-B01B-980586DB8491}">
      <text>
        <r>
          <rPr>
            <b/>
            <sz val="9"/>
            <color indexed="81"/>
            <rFont val="Tahoma"/>
            <family val="2"/>
          </rPr>
          <t>Christian:</t>
        </r>
        <r>
          <rPr>
            <sz val="9"/>
            <color indexed="81"/>
            <rFont val="Tahoma"/>
            <family val="2"/>
          </rPr>
          <t xml:space="preserve">
Type I here related to MS specific</t>
        </r>
      </text>
    </comment>
    <comment ref="Y1279" authorId="0" shapeId="0" xr:uid="{CC917606-7100-431A-86BD-F63D3DE378FA}">
      <text>
        <r>
          <rPr>
            <b/>
            <sz val="9"/>
            <color indexed="81"/>
            <rFont val="Tahoma"/>
            <family val="2"/>
          </rPr>
          <t>Christian:</t>
        </r>
        <r>
          <rPr>
            <sz val="9"/>
            <color indexed="81"/>
            <rFont val="Tahoma"/>
            <family val="2"/>
          </rPr>
          <t xml:space="preserve">
NA if fossil</t>
        </r>
      </text>
    </comment>
    <comment ref="AS1279" authorId="0" shapeId="0" xr:uid="{A64305F5-157B-49A1-B759-E12BF55FFE71}">
      <text>
        <r>
          <rPr>
            <b/>
            <sz val="9"/>
            <color indexed="81"/>
            <rFont val="Tahoma"/>
            <family val="2"/>
          </rPr>
          <t>Christian:</t>
        </r>
        <r>
          <rPr>
            <sz val="9"/>
            <color indexed="81"/>
            <rFont val="Tahoma"/>
            <family val="2"/>
          </rPr>
          <t xml:space="preserve">
Type I here related to MS specific</t>
        </r>
      </text>
    </comment>
    <comment ref="Y1281" authorId="0" shapeId="0" xr:uid="{853756C0-A2C7-4739-8ABE-8A3714993153}">
      <text>
        <r>
          <rPr>
            <b/>
            <sz val="9"/>
            <color indexed="81"/>
            <rFont val="Tahoma"/>
            <family val="2"/>
          </rPr>
          <t>Christian:</t>
        </r>
        <r>
          <rPr>
            <sz val="9"/>
            <color indexed="81"/>
            <rFont val="Tahoma"/>
            <family val="2"/>
          </rPr>
          <t xml:space="preserve">
NA if fossil</t>
        </r>
      </text>
    </comment>
    <comment ref="Y1302" authorId="0" shapeId="0" xr:uid="{AFA14DDF-8FA3-424D-B95A-403F337F8AE9}">
      <text>
        <r>
          <rPr>
            <b/>
            <sz val="9"/>
            <color indexed="81"/>
            <rFont val="Tahoma"/>
            <family val="2"/>
          </rPr>
          <t>Christian:</t>
        </r>
        <r>
          <rPr>
            <sz val="9"/>
            <color indexed="81"/>
            <rFont val="Tahoma"/>
            <family val="2"/>
          </rPr>
          <t xml:space="preserve">
NA if fossil</t>
        </r>
      </text>
    </comment>
    <comment ref="AS1302" authorId="0" shapeId="0" xr:uid="{19858B47-F65E-4F1E-A518-1F24B5C2CE41}">
      <text>
        <r>
          <rPr>
            <b/>
            <sz val="9"/>
            <color indexed="81"/>
            <rFont val="Tahoma"/>
            <family val="2"/>
          </rPr>
          <t>Christian:</t>
        </r>
        <r>
          <rPr>
            <sz val="9"/>
            <color indexed="81"/>
            <rFont val="Tahoma"/>
            <family val="2"/>
          </rPr>
          <t xml:space="preserve">
Type I here related to MS specific</t>
        </r>
      </text>
    </comment>
    <comment ref="Y1303" authorId="0" shapeId="0" xr:uid="{35473476-E3A3-478A-8217-995DCA7CCC98}">
      <text>
        <r>
          <rPr>
            <b/>
            <sz val="9"/>
            <color indexed="81"/>
            <rFont val="Tahoma"/>
            <family val="2"/>
          </rPr>
          <t>Christian:</t>
        </r>
        <r>
          <rPr>
            <sz val="9"/>
            <color indexed="81"/>
            <rFont val="Tahoma"/>
            <family val="2"/>
          </rPr>
          <t xml:space="preserve">
NA if fossil</t>
        </r>
      </text>
    </comment>
    <comment ref="AS1303" authorId="0" shapeId="0" xr:uid="{F23D4491-B701-4763-AF97-776A1A046BC7}">
      <text>
        <r>
          <rPr>
            <b/>
            <sz val="9"/>
            <color indexed="81"/>
            <rFont val="Tahoma"/>
            <family val="2"/>
          </rPr>
          <t>Christian:</t>
        </r>
        <r>
          <rPr>
            <sz val="9"/>
            <color indexed="81"/>
            <rFont val="Tahoma"/>
            <family val="2"/>
          </rPr>
          <t xml:space="preserve">
Type I here related to MS specific</t>
        </r>
      </text>
    </comment>
    <comment ref="Y1304" authorId="0" shapeId="0" xr:uid="{8C4B256E-FEB6-4851-9840-A4AC3932EE5D}">
      <text>
        <r>
          <rPr>
            <b/>
            <sz val="9"/>
            <color indexed="81"/>
            <rFont val="Tahoma"/>
            <family val="2"/>
          </rPr>
          <t>Christian:</t>
        </r>
        <r>
          <rPr>
            <sz val="9"/>
            <color indexed="81"/>
            <rFont val="Tahoma"/>
            <family val="2"/>
          </rPr>
          <t xml:space="preserve">
NA if fossil</t>
        </r>
      </text>
    </comment>
    <comment ref="AS1304" authorId="0" shapeId="0" xr:uid="{87BBEDC3-9053-4D77-A51A-EE8EA72185A9}">
      <text>
        <r>
          <rPr>
            <b/>
            <sz val="9"/>
            <color indexed="81"/>
            <rFont val="Tahoma"/>
            <family val="2"/>
          </rPr>
          <t>Christian:</t>
        </r>
        <r>
          <rPr>
            <sz val="9"/>
            <color indexed="81"/>
            <rFont val="Tahoma"/>
            <family val="2"/>
          </rPr>
          <t xml:space="preserve">
Type I here related to MS specific</t>
        </r>
      </text>
    </comment>
    <comment ref="Y1305" authorId="0" shapeId="0" xr:uid="{ECD30786-CC43-46C8-8B0B-FDDB3C072EC0}">
      <text>
        <r>
          <rPr>
            <b/>
            <sz val="9"/>
            <color indexed="81"/>
            <rFont val="Tahoma"/>
            <family val="2"/>
          </rPr>
          <t>Christian:</t>
        </r>
        <r>
          <rPr>
            <sz val="9"/>
            <color indexed="81"/>
            <rFont val="Tahoma"/>
            <family val="2"/>
          </rPr>
          <t xml:space="preserve">
NA if fossil</t>
        </r>
      </text>
    </comment>
    <comment ref="AS1305" authorId="0" shapeId="0" xr:uid="{F028DEE6-A754-4B46-9C2E-53F3D9A714BF}">
      <text>
        <r>
          <rPr>
            <b/>
            <sz val="9"/>
            <color indexed="81"/>
            <rFont val="Tahoma"/>
            <family val="2"/>
          </rPr>
          <t>Christian:</t>
        </r>
        <r>
          <rPr>
            <sz val="9"/>
            <color indexed="81"/>
            <rFont val="Tahoma"/>
            <family val="2"/>
          </rPr>
          <t xml:space="preserve">
Type I here related to MS specific</t>
        </r>
      </text>
    </comment>
    <comment ref="Y1306" authorId="0" shapeId="0" xr:uid="{2A81A3D3-9E62-48CE-B853-6913287A79B2}">
      <text>
        <r>
          <rPr>
            <b/>
            <sz val="9"/>
            <color indexed="81"/>
            <rFont val="Tahoma"/>
            <family val="2"/>
          </rPr>
          <t>Christian:</t>
        </r>
        <r>
          <rPr>
            <sz val="9"/>
            <color indexed="81"/>
            <rFont val="Tahoma"/>
            <family val="2"/>
          </rPr>
          <t xml:space="preserve">
NA if fossil</t>
        </r>
      </text>
    </comment>
    <comment ref="AS1306" authorId="0" shapeId="0" xr:uid="{2788FE1B-D241-461E-88DB-B26FF1C5CEDD}">
      <text>
        <r>
          <rPr>
            <b/>
            <sz val="9"/>
            <color indexed="81"/>
            <rFont val="Tahoma"/>
            <family val="2"/>
          </rPr>
          <t>Christian:</t>
        </r>
        <r>
          <rPr>
            <sz val="9"/>
            <color indexed="81"/>
            <rFont val="Tahoma"/>
            <family val="2"/>
          </rPr>
          <t xml:space="preserve">
Type I here related to MS specific</t>
        </r>
      </text>
    </comment>
    <comment ref="Y1307" authorId="0" shapeId="0" xr:uid="{93D79644-1CF3-4B52-A1DE-B38D99073DB2}">
      <text>
        <r>
          <rPr>
            <b/>
            <sz val="9"/>
            <color indexed="81"/>
            <rFont val="Tahoma"/>
            <family val="2"/>
          </rPr>
          <t>Christian:</t>
        </r>
        <r>
          <rPr>
            <sz val="9"/>
            <color indexed="81"/>
            <rFont val="Tahoma"/>
            <family val="2"/>
          </rPr>
          <t xml:space="preserve">
NA if fossil</t>
        </r>
      </text>
    </comment>
    <comment ref="AS1307" authorId="0" shapeId="0" xr:uid="{263AF80B-49F3-4318-B4B2-9EE1D77CF51F}">
      <text>
        <r>
          <rPr>
            <b/>
            <sz val="9"/>
            <color indexed="81"/>
            <rFont val="Tahoma"/>
            <family val="2"/>
          </rPr>
          <t>Christian:</t>
        </r>
        <r>
          <rPr>
            <sz val="9"/>
            <color indexed="81"/>
            <rFont val="Tahoma"/>
            <family val="2"/>
          </rPr>
          <t xml:space="preserve">
Type I here related to MS specific</t>
        </r>
      </text>
    </comment>
    <comment ref="Y1309" authorId="0" shapeId="0" xr:uid="{7C3AFCB4-589F-464D-8AEC-D77EED4205E6}">
      <text>
        <r>
          <rPr>
            <b/>
            <sz val="9"/>
            <color indexed="81"/>
            <rFont val="Tahoma"/>
            <family val="2"/>
          </rPr>
          <t>Christian:</t>
        </r>
        <r>
          <rPr>
            <sz val="9"/>
            <color indexed="81"/>
            <rFont val="Tahoma"/>
            <family val="2"/>
          </rPr>
          <t xml:space="preserve">
NA if fossil</t>
        </r>
      </text>
    </comment>
    <comment ref="Y1330" authorId="0" shapeId="0" xr:uid="{4822B782-3069-4689-BB81-F67932B7A9CB}">
      <text>
        <r>
          <rPr>
            <b/>
            <sz val="9"/>
            <color indexed="81"/>
            <rFont val="Tahoma"/>
            <family val="2"/>
          </rPr>
          <t>Christian:</t>
        </r>
        <r>
          <rPr>
            <sz val="9"/>
            <color indexed="81"/>
            <rFont val="Tahoma"/>
            <family val="2"/>
          </rPr>
          <t xml:space="preserve">
NA if fossil</t>
        </r>
      </text>
    </comment>
    <comment ref="AS1330" authorId="0" shapeId="0" xr:uid="{783D353E-4DA0-4ABC-8908-58D67F4E2846}">
      <text>
        <r>
          <rPr>
            <b/>
            <sz val="9"/>
            <color indexed="81"/>
            <rFont val="Tahoma"/>
            <family val="2"/>
          </rPr>
          <t>Christian:</t>
        </r>
        <r>
          <rPr>
            <sz val="9"/>
            <color indexed="81"/>
            <rFont val="Tahoma"/>
            <family val="2"/>
          </rPr>
          <t xml:space="preserve">
Type I here related to MS specific</t>
        </r>
      </text>
    </comment>
    <comment ref="Y1331" authorId="0" shapeId="0" xr:uid="{79CF830A-CF13-4478-BF64-ABCF0A7A9C71}">
      <text>
        <r>
          <rPr>
            <b/>
            <sz val="9"/>
            <color indexed="81"/>
            <rFont val="Tahoma"/>
            <family val="2"/>
          </rPr>
          <t>Christian:</t>
        </r>
        <r>
          <rPr>
            <sz val="9"/>
            <color indexed="81"/>
            <rFont val="Tahoma"/>
            <family val="2"/>
          </rPr>
          <t xml:space="preserve">
NA if fossil</t>
        </r>
      </text>
    </comment>
    <comment ref="AS1331" authorId="0" shapeId="0" xr:uid="{9F96666B-A1DA-4C2B-9CFB-80DDF6BB7127}">
      <text>
        <r>
          <rPr>
            <b/>
            <sz val="9"/>
            <color indexed="81"/>
            <rFont val="Tahoma"/>
            <family val="2"/>
          </rPr>
          <t>Christian:</t>
        </r>
        <r>
          <rPr>
            <sz val="9"/>
            <color indexed="81"/>
            <rFont val="Tahoma"/>
            <family val="2"/>
          </rPr>
          <t xml:space="preserve">
Type I here related to MS specific</t>
        </r>
      </text>
    </comment>
    <comment ref="Y1332" authorId="0" shapeId="0" xr:uid="{04E5713D-09CB-45F8-91DA-C4C91CF47EA2}">
      <text>
        <r>
          <rPr>
            <b/>
            <sz val="9"/>
            <color indexed="81"/>
            <rFont val="Tahoma"/>
            <family val="2"/>
          </rPr>
          <t>Christian:</t>
        </r>
        <r>
          <rPr>
            <sz val="9"/>
            <color indexed="81"/>
            <rFont val="Tahoma"/>
            <family val="2"/>
          </rPr>
          <t xml:space="preserve">
NA if fossil</t>
        </r>
      </text>
    </comment>
    <comment ref="AS1332" authorId="0" shapeId="0" xr:uid="{779AA4C9-2CDB-4313-8057-47FF6A342246}">
      <text>
        <r>
          <rPr>
            <b/>
            <sz val="9"/>
            <color indexed="81"/>
            <rFont val="Tahoma"/>
            <family val="2"/>
          </rPr>
          <t>Christian:</t>
        </r>
        <r>
          <rPr>
            <sz val="9"/>
            <color indexed="81"/>
            <rFont val="Tahoma"/>
            <family val="2"/>
          </rPr>
          <t xml:space="preserve">
Type I here related to MS specific</t>
        </r>
      </text>
    </comment>
    <comment ref="Y1333" authorId="0" shapeId="0" xr:uid="{C5A385DE-BBA0-4CD1-AEC2-2E540EA52B36}">
      <text>
        <r>
          <rPr>
            <b/>
            <sz val="9"/>
            <color indexed="81"/>
            <rFont val="Tahoma"/>
            <family val="2"/>
          </rPr>
          <t>Christian:</t>
        </r>
        <r>
          <rPr>
            <sz val="9"/>
            <color indexed="81"/>
            <rFont val="Tahoma"/>
            <family val="2"/>
          </rPr>
          <t xml:space="preserve">
NA if fossil</t>
        </r>
      </text>
    </comment>
    <comment ref="AS1333" authorId="0" shapeId="0" xr:uid="{CB82AB95-663C-4191-8FF8-94CC8C762D00}">
      <text>
        <r>
          <rPr>
            <b/>
            <sz val="9"/>
            <color indexed="81"/>
            <rFont val="Tahoma"/>
            <family val="2"/>
          </rPr>
          <t>Christian:</t>
        </r>
        <r>
          <rPr>
            <sz val="9"/>
            <color indexed="81"/>
            <rFont val="Tahoma"/>
            <family val="2"/>
          </rPr>
          <t xml:space="preserve">
Type I here related to MS specific</t>
        </r>
      </text>
    </comment>
    <comment ref="Y1334" authorId="0" shapeId="0" xr:uid="{2F6D3892-37E0-4F8B-AC4C-494954A4DDC6}">
      <text>
        <r>
          <rPr>
            <b/>
            <sz val="9"/>
            <color indexed="81"/>
            <rFont val="Tahoma"/>
            <family val="2"/>
          </rPr>
          <t>Christian:</t>
        </r>
        <r>
          <rPr>
            <sz val="9"/>
            <color indexed="81"/>
            <rFont val="Tahoma"/>
            <family val="2"/>
          </rPr>
          <t xml:space="preserve">
NA if fossil</t>
        </r>
      </text>
    </comment>
    <comment ref="AS1334" authorId="0" shapeId="0" xr:uid="{35C8234D-E95D-495D-95B6-5FDDF10DE6DE}">
      <text>
        <r>
          <rPr>
            <b/>
            <sz val="9"/>
            <color indexed="81"/>
            <rFont val="Tahoma"/>
            <family val="2"/>
          </rPr>
          <t>Christian:</t>
        </r>
        <r>
          <rPr>
            <sz val="9"/>
            <color indexed="81"/>
            <rFont val="Tahoma"/>
            <family val="2"/>
          </rPr>
          <t xml:space="preserve">
Type I here related to MS specific</t>
        </r>
      </text>
    </comment>
    <comment ref="Y1335" authorId="0" shapeId="0" xr:uid="{63616BBF-1C91-42DE-A349-5C0C6D4AC32F}">
      <text>
        <r>
          <rPr>
            <b/>
            <sz val="9"/>
            <color indexed="81"/>
            <rFont val="Tahoma"/>
            <family val="2"/>
          </rPr>
          <t>Christian:</t>
        </r>
        <r>
          <rPr>
            <sz val="9"/>
            <color indexed="81"/>
            <rFont val="Tahoma"/>
            <family val="2"/>
          </rPr>
          <t xml:space="preserve">
NA if fossil</t>
        </r>
      </text>
    </comment>
    <comment ref="AS1335" authorId="0" shapeId="0" xr:uid="{EE965FA9-2ED8-43D4-825E-6C6680985F64}">
      <text>
        <r>
          <rPr>
            <b/>
            <sz val="9"/>
            <color indexed="81"/>
            <rFont val="Tahoma"/>
            <family val="2"/>
          </rPr>
          <t>Christian:</t>
        </r>
        <r>
          <rPr>
            <sz val="9"/>
            <color indexed="81"/>
            <rFont val="Tahoma"/>
            <family val="2"/>
          </rPr>
          <t xml:space="preserve">
Type I here related to MS specific</t>
        </r>
      </text>
    </comment>
    <comment ref="Y1337" authorId="0" shapeId="0" xr:uid="{D92C9023-578C-4DA8-A343-B53FFD68758C}">
      <text>
        <r>
          <rPr>
            <b/>
            <sz val="9"/>
            <color indexed="81"/>
            <rFont val="Tahoma"/>
            <family val="2"/>
          </rPr>
          <t>Christian:</t>
        </r>
        <r>
          <rPr>
            <sz val="9"/>
            <color indexed="81"/>
            <rFont val="Tahoma"/>
            <family val="2"/>
          </rPr>
          <t xml:space="preserve">
NA if fossil</t>
        </r>
      </text>
    </comment>
    <comment ref="Y1358" authorId="0" shapeId="0" xr:uid="{9CF82EBA-4BA1-4D66-AA0E-7EAA7212D1BC}">
      <text>
        <r>
          <rPr>
            <b/>
            <sz val="9"/>
            <color indexed="81"/>
            <rFont val="Tahoma"/>
            <family val="2"/>
          </rPr>
          <t>Christian:</t>
        </r>
        <r>
          <rPr>
            <sz val="9"/>
            <color indexed="81"/>
            <rFont val="Tahoma"/>
            <family val="2"/>
          </rPr>
          <t xml:space="preserve">
NA if fossil</t>
        </r>
      </text>
    </comment>
    <comment ref="AS1358" authorId="0" shapeId="0" xr:uid="{05084975-4667-4289-B3A1-3A86018A1ED9}">
      <text>
        <r>
          <rPr>
            <b/>
            <sz val="9"/>
            <color indexed="81"/>
            <rFont val="Tahoma"/>
            <family val="2"/>
          </rPr>
          <t>Christian:</t>
        </r>
        <r>
          <rPr>
            <sz val="9"/>
            <color indexed="81"/>
            <rFont val="Tahoma"/>
            <family val="2"/>
          </rPr>
          <t xml:space="preserve">
Type I here related to MS specific</t>
        </r>
      </text>
    </comment>
    <comment ref="Y1359" authorId="0" shapeId="0" xr:uid="{734437EB-C0F8-4B58-8DCE-FDED5A2995D7}">
      <text>
        <r>
          <rPr>
            <b/>
            <sz val="9"/>
            <color indexed="81"/>
            <rFont val="Tahoma"/>
            <family val="2"/>
          </rPr>
          <t>Christian:</t>
        </r>
        <r>
          <rPr>
            <sz val="9"/>
            <color indexed="81"/>
            <rFont val="Tahoma"/>
            <family val="2"/>
          </rPr>
          <t xml:space="preserve">
NA if fossil</t>
        </r>
      </text>
    </comment>
    <comment ref="AS1359" authorId="0" shapeId="0" xr:uid="{6AE46B08-0929-4B8E-9EF1-77169744BD39}">
      <text>
        <r>
          <rPr>
            <b/>
            <sz val="9"/>
            <color indexed="81"/>
            <rFont val="Tahoma"/>
            <family val="2"/>
          </rPr>
          <t>Christian:</t>
        </r>
        <r>
          <rPr>
            <sz val="9"/>
            <color indexed="81"/>
            <rFont val="Tahoma"/>
            <family val="2"/>
          </rPr>
          <t xml:space="preserve">
Type I here related to MS specific</t>
        </r>
      </text>
    </comment>
    <comment ref="Y1360" authorId="0" shapeId="0" xr:uid="{C84CD45F-180C-439E-8684-A6DCA4ED8B67}">
      <text>
        <r>
          <rPr>
            <b/>
            <sz val="9"/>
            <color indexed="81"/>
            <rFont val="Tahoma"/>
            <family val="2"/>
          </rPr>
          <t>Christian:</t>
        </r>
        <r>
          <rPr>
            <sz val="9"/>
            <color indexed="81"/>
            <rFont val="Tahoma"/>
            <family val="2"/>
          </rPr>
          <t xml:space="preserve">
NA if fossil</t>
        </r>
      </text>
    </comment>
    <comment ref="AS1360" authorId="0" shapeId="0" xr:uid="{6F8718B1-1631-4C36-A8B8-C28EFC788423}">
      <text>
        <r>
          <rPr>
            <b/>
            <sz val="9"/>
            <color indexed="81"/>
            <rFont val="Tahoma"/>
            <family val="2"/>
          </rPr>
          <t>Christian:</t>
        </r>
        <r>
          <rPr>
            <sz val="9"/>
            <color indexed="81"/>
            <rFont val="Tahoma"/>
            <family val="2"/>
          </rPr>
          <t xml:space="preserve">
Type I here related to MS specific</t>
        </r>
      </text>
    </comment>
    <comment ref="Y1361" authorId="0" shapeId="0" xr:uid="{4F36E876-319F-4A4C-987A-A2D9ABCE7327}">
      <text>
        <r>
          <rPr>
            <b/>
            <sz val="9"/>
            <color indexed="81"/>
            <rFont val="Tahoma"/>
            <family val="2"/>
          </rPr>
          <t>Christian:</t>
        </r>
        <r>
          <rPr>
            <sz val="9"/>
            <color indexed="81"/>
            <rFont val="Tahoma"/>
            <family val="2"/>
          </rPr>
          <t xml:space="preserve">
NA if fossil</t>
        </r>
      </text>
    </comment>
    <comment ref="AS1361" authorId="0" shapeId="0" xr:uid="{E0D0AB77-7CF7-43DD-BB1A-36326E018570}">
      <text>
        <r>
          <rPr>
            <b/>
            <sz val="9"/>
            <color indexed="81"/>
            <rFont val="Tahoma"/>
            <family val="2"/>
          </rPr>
          <t>Christian:</t>
        </r>
        <r>
          <rPr>
            <sz val="9"/>
            <color indexed="81"/>
            <rFont val="Tahoma"/>
            <family val="2"/>
          </rPr>
          <t xml:space="preserve">
Type I here related to MS specific</t>
        </r>
      </text>
    </comment>
    <comment ref="Y1362" authorId="0" shapeId="0" xr:uid="{DAE6320A-69AD-4BEA-B4C0-125E4ED3B79C}">
      <text>
        <r>
          <rPr>
            <b/>
            <sz val="9"/>
            <color indexed="81"/>
            <rFont val="Tahoma"/>
            <family val="2"/>
          </rPr>
          <t>Christian:</t>
        </r>
        <r>
          <rPr>
            <sz val="9"/>
            <color indexed="81"/>
            <rFont val="Tahoma"/>
            <family val="2"/>
          </rPr>
          <t xml:space="preserve">
NA if fossil</t>
        </r>
      </text>
    </comment>
    <comment ref="AS1362" authorId="0" shapeId="0" xr:uid="{6583973D-8A51-4054-AF60-F5216E50503A}">
      <text>
        <r>
          <rPr>
            <b/>
            <sz val="9"/>
            <color indexed="81"/>
            <rFont val="Tahoma"/>
            <family val="2"/>
          </rPr>
          <t>Christian:</t>
        </r>
        <r>
          <rPr>
            <sz val="9"/>
            <color indexed="81"/>
            <rFont val="Tahoma"/>
            <family val="2"/>
          </rPr>
          <t xml:space="preserve">
Type I here related to MS specific</t>
        </r>
      </text>
    </comment>
    <comment ref="Y1363" authorId="0" shapeId="0" xr:uid="{41CB3E18-AB34-46D1-81B0-677635E4E1C9}">
      <text>
        <r>
          <rPr>
            <b/>
            <sz val="9"/>
            <color indexed="81"/>
            <rFont val="Tahoma"/>
            <family val="2"/>
          </rPr>
          <t>Christian:</t>
        </r>
        <r>
          <rPr>
            <sz val="9"/>
            <color indexed="81"/>
            <rFont val="Tahoma"/>
            <family val="2"/>
          </rPr>
          <t xml:space="preserve">
NA if fossil</t>
        </r>
      </text>
    </comment>
    <comment ref="AS1363" authorId="0" shapeId="0" xr:uid="{037DACFD-FBCB-4F12-94EE-85BE716C13E8}">
      <text>
        <r>
          <rPr>
            <b/>
            <sz val="9"/>
            <color indexed="81"/>
            <rFont val="Tahoma"/>
            <family val="2"/>
          </rPr>
          <t>Christian:</t>
        </r>
        <r>
          <rPr>
            <sz val="9"/>
            <color indexed="81"/>
            <rFont val="Tahoma"/>
            <family val="2"/>
          </rPr>
          <t xml:space="preserve">
Type I here related to MS specific</t>
        </r>
      </text>
    </comment>
    <comment ref="Y1365" authorId="0" shapeId="0" xr:uid="{3800A1B6-EFA6-4500-AB44-0927E8F63D21}">
      <text>
        <r>
          <rPr>
            <b/>
            <sz val="9"/>
            <color indexed="81"/>
            <rFont val="Tahoma"/>
            <family val="2"/>
          </rPr>
          <t>Christian:</t>
        </r>
        <r>
          <rPr>
            <sz val="9"/>
            <color indexed="81"/>
            <rFont val="Tahoma"/>
            <family val="2"/>
          </rPr>
          <t xml:space="preserve">
NA if fossil</t>
        </r>
      </text>
    </comment>
    <comment ref="Y1386" authorId="0" shapeId="0" xr:uid="{54D3EBD8-EF1C-49CA-A7D6-88E253CFE4E5}">
      <text>
        <r>
          <rPr>
            <b/>
            <sz val="9"/>
            <color indexed="81"/>
            <rFont val="Tahoma"/>
            <family val="2"/>
          </rPr>
          <t>Christian:</t>
        </r>
        <r>
          <rPr>
            <sz val="9"/>
            <color indexed="81"/>
            <rFont val="Tahoma"/>
            <family val="2"/>
          </rPr>
          <t xml:space="preserve">
NA if fossil</t>
        </r>
      </text>
    </comment>
    <comment ref="AS1386" authorId="0" shapeId="0" xr:uid="{64D5B035-D122-4CF0-8EEE-DD174EEE686E}">
      <text>
        <r>
          <rPr>
            <b/>
            <sz val="9"/>
            <color indexed="81"/>
            <rFont val="Tahoma"/>
            <family val="2"/>
          </rPr>
          <t>Christian:</t>
        </r>
        <r>
          <rPr>
            <sz val="9"/>
            <color indexed="81"/>
            <rFont val="Tahoma"/>
            <family val="2"/>
          </rPr>
          <t xml:space="preserve">
Type I here related to MS specific</t>
        </r>
      </text>
    </comment>
    <comment ref="Y1387" authorId="0" shapeId="0" xr:uid="{11473F3C-89CA-48E0-AEDF-E51BD6B2A05F}">
      <text>
        <r>
          <rPr>
            <b/>
            <sz val="9"/>
            <color indexed="81"/>
            <rFont val="Tahoma"/>
            <family val="2"/>
          </rPr>
          <t>Christian:</t>
        </r>
        <r>
          <rPr>
            <sz val="9"/>
            <color indexed="81"/>
            <rFont val="Tahoma"/>
            <family val="2"/>
          </rPr>
          <t xml:space="preserve">
NA if fossil</t>
        </r>
      </text>
    </comment>
    <comment ref="AS1387" authorId="0" shapeId="0" xr:uid="{9D9062A7-9ECB-4C04-8BF3-602BA73C05FC}">
      <text>
        <r>
          <rPr>
            <b/>
            <sz val="9"/>
            <color indexed="81"/>
            <rFont val="Tahoma"/>
            <family val="2"/>
          </rPr>
          <t>Christian:</t>
        </r>
        <r>
          <rPr>
            <sz val="9"/>
            <color indexed="81"/>
            <rFont val="Tahoma"/>
            <family val="2"/>
          </rPr>
          <t xml:space="preserve">
Type I here related to MS specific</t>
        </r>
      </text>
    </comment>
    <comment ref="Y1388" authorId="0" shapeId="0" xr:uid="{32A99AEF-7526-448C-882B-E33C9EE3261D}">
      <text>
        <r>
          <rPr>
            <b/>
            <sz val="9"/>
            <color indexed="81"/>
            <rFont val="Tahoma"/>
            <family val="2"/>
          </rPr>
          <t>Christian:</t>
        </r>
        <r>
          <rPr>
            <sz val="9"/>
            <color indexed="81"/>
            <rFont val="Tahoma"/>
            <family val="2"/>
          </rPr>
          <t xml:space="preserve">
NA if fossil</t>
        </r>
      </text>
    </comment>
    <comment ref="AS1388" authorId="0" shapeId="0" xr:uid="{75E72942-D7BB-4300-A10D-7545735F5D2F}">
      <text>
        <r>
          <rPr>
            <b/>
            <sz val="9"/>
            <color indexed="81"/>
            <rFont val="Tahoma"/>
            <family val="2"/>
          </rPr>
          <t>Christian:</t>
        </r>
        <r>
          <rPr>
            <sz val="9"/>
            <color indexed="81"/>
            <rFont val="Tahoma"/>
            <family val="2"/>
          </rPr>
          <t xml:space="preserve">
Type I here related to MS specific</t>
        </r>
      </text>
    </comment>
    <comment ref="Y1389" authorId="0" shapeId="0" xr:uid="{776194DC-3470-400E-A389-B19E7D6F29B9}">
      <text>
        <r>
          <rPr>
            <b/>
            <sz val="9"/>
            <color indexed="81"/>
            <rFont val="Tahoma"/>
            <family val="2"/>
          </rPr>
          <t>Christian:</t>
        </r>
        <r>
          <rPr>
            <sz val="9"/>
            <color indexed="81"/>
            <rFont val="Tahoma"/>
            <family val="2"/>
          </rPr>
          <t xml:space="preserve">
NA if fossil</t>
        </r>
      </text>
    </comment>
    <comment ref="AS1389" authorId="0" shapeId="0" xr:uid="{3C3EE64D-3C8F-417C-998D-ED879CF16A61}">
      <text>
        <r>
          <rPr>
            <b/>
            <sz val="9"/>
            <color indexed="81"/>
            <rFont val="Tahoma"/>
            <family val="2"/>
          </rPr>
          <t>Christian:</t>
        </r>
        <r>
          <rPr>
            <sz val="9"/>
            <color indexed="81"/>
            <rFont val="Tahoma"/>
            <family val="2"/>
          </rPr>
          <t xml:space="preserve">
Type I here related to MS specific</t>
        </r>
      </text>
    </comment>
    <comment ref="Y1390" authorId="0" shapeId="0" xr:uid="{B364EEAC-2DBB-40B0-9D61-AB3A5E0D34FA}">
      <text>
        <r>
          <rPr>
            <b/>
            <sz val="9"/>
            <color indexed="81"/>
            <rFont val="Tahoma"/>
            <family val="2"/>
          </rPr>
          <t>Christian:</t>
        </r>
        <r>
          <rPr>
            <sz val="9"/>
            <color indexed="81"/>
            <rFont val="Tahoma"/>
            <family val="2"/>
          </rPr>
          <t xml:space="preserve">
NA if fossil</t>
        </r>
      </text>
    </comment>
    <comment ref="AS1390" authorId="0" shapeId="0" xr:uid="{C148ED00-C3A3-423C-A7D8-BD8E1598B2CE}">
      <text>
        <r>
          <rPr>
            <b/>
            <sz val="9"/>
            <color indexed="81"/>
            <rFont val="Tahoma"/>
            <family val="2"/>
          </rPr>
          <t>Christian:</t>
        </r>
        <r>
          <rPr>
            <sz val="9"/>
            <color indexed="81"/>
            <rFont val="Tahoma"/>
            <family val="2"/>
          </rPr>
          <t xml:space="preserve">
Type I here related to MS specific</t>
        </r>
      </text>
    </comment>
    <comment ref="Y1391" authorId="0" shapeId="0" xr:uid="{91CDC23B-3FA6-43A1-A0F5-14E4E2D79161}">
      <text>
        <r>
          <rPr>
            <b/>
            <sz val="9"/>
            <color indexed="81"/>
            <rFont val="Tahoma"/>
            <family val="2"/>
          </rPr>
          <t>Christian:</t>
        </r>
        <r>
          <rPr>
            <sz val="9"/>
            <color indexed="81"/>
            <rFont val="Tahoma"/>
            <family val="2"/>
          </rPr>
          <t xml:space="preserve">
NA if fossil</t>
        </r>
      </text>
    </comment>
    <comment ref="AS1391" authorId="0" shapeId="0" xr:uid="{EB0D7713-67F5-44DB-9EA1-15372C2CE745}">
      <text>
        <r>
          <rPr>
            <b/>
            <sz val="9"/>
            <color indexed="81"/>
            <rFont val="Tahoma"/>
            <family val="2"/>
          </rPr>
          <t>Christian:</t>
        </r>
        <r>
          <rPr>
            <sz val="9"/>
            <color indexed="81"/>
            <rFont val="Tahoma"/>
            <family val="2"/>
          </rPr>
          <t xml:space="preserve">
Type I here related to MS specific</t>
        </r>
      </text>
    </comment>
    <comment ref="Y1393" authorId="0" shapeId="0" xr:uid="{5B5AC45C-72F0-4E3C-9B28-4E1ACD992169}">
      <text>
        <r>
          <rPr>
            <b/>
            <sz val="9"/>
            <color indexed="81"/>
            <rFont val="Tahoma"/>
            <family val="2"/>
          </rPr>
          <t>Christian:</t>
        </r>
        <r>
          <rPr>
            <sz val="9"/>
            <color indexed="81"/>
            <rFont val="Tahoma"/>
            <family val="2"/>
          </rPr>
          <t xml:space="preserve">
NA if fossil</t>
        </r>
      </text>
    </comment>
    <comment ref="Y1414" authorId="0" shapeId="0" xr:uid="{1E14BE6C-70B7-4454-8C4F-35F466F1D261}">
      <text>
        <r>
          <rPr>
            <b/>
            <sz val="9"/>
            <color indexed="81"/>
            <rFont val="Tahoma"/>
            <family val="2"/>
          </rPr>
          <t>Christian:</t>
        </r>
        <r>
          <rPr>
            <sz val="9"/>
            <color indexed="81"/>
            <rFont val="Tahoma"/>
            <family val="2"/>
          </rPr>
          <t xml:space="preserve">
NA if fossil</t>
        </r>
      </text>
    </comment>
    <comment ref="AS1414" authorId="0" shapeId="0" xr:uid="{94E1B17D-648C-481C-8928-417F91145531}">
      <text>
        <r>
          <rPr>
            <b/>
            <sz val="9"/>
            <color indexed="81"/>
            <rFont val="Tahoma"/>
            <family val="2"/>
          </rPr>
          <t>Christian:</t>
        </r>
        <r>
          <rPr>
            <sz val="9"/>
            <color indexed="81"/>
            <rFont val="Tahoma"/>
            <family val="2"/>
          </rPr>
          <t xml:space="preserve">
Type I here related to MS specific</t>
        </r>
      </text>
    </comment>
    <comment ref="Y1415" authorId="0" shapeId="0" xr:uid="{3F7C4EFF-C1C5-4A33-A766-C0F16CEA1B92}">
      <text>
        <r>
          <rPr>
            <b/>
            <sz val="9"/>
            <color indexed="81"/>
            <rFont val="Tahoma"/>
            <family val="2"/>
          </rPr>
          <t>Christian:</t>
        </r>
        <r>
          <rPr>
            <sz val="9"/>
            <color indexed="81"/>
            <rFont val="Tahoma"/>
            <family val="2"/>
          </rPr>
          <t xml:space="preserve">
NA if fossil</t>
        </r>
      </text>
    </comment>
    <comment ref="AS1415" authorId="0" shapeId="0" xr:uid="{A8A8D70B-2F0F-41BD-92F6-5E1D79A9C132}">
      <text>
        <r>
          <rPr>
            <b/>
            <sz val="9"/>
            <color indexed="81"/>
            <rFont val="Tahoma"/>
            <family val="2"/>
          </rPr>
          <t>Christian:</t>
        </r>
        <r>
          <rPr>
            <sz val="9"/>
            <color indexed="81"/>
            <rFont val="Tahoma"/>
            <family val="2"/>
          </rPr>
          <t xml:space="preserve">
Type I here related to MS specific</t>
        </r>
      </text>
    </comment>
    <comment ref="Y1416" authorId="0" shapeId="0" xr:uid="{DCF97BCF-7445-4D2C-A2D4-F1DC385B421B}">
      <text>
        <r>
          <rPr>
            <b/>
            <sz val="9"/>
            <color indexed="81"/>
            <rFont val="Tahoma"/>
            <family val="2"/>
          </rPr>
          <t>Christian:</t>
        </r>
        <r>
          <rPr>
            <sz val="9"/>
            <color indexed="81"/>
            <rFont val="Tahoma"/>
            <family val="2"/>
          </rPr>
          <t xml:space="preserve">
NA if fossil</t>
        </r>
      </text>
    </comment>
    <comment ref="AS1416" authorId="0" shapeId="0" xr:uid="{F287B5DD-9779-4415-ADB1-C41853B0D98D}">
      <text>
        <r>
          <rPr>
            <b/>
            <sz val="9"/>
            <color indexed="81"/>
            <rFont val="Tahoma"/>
            <family val="2"/>
          </rPr>
          <t>Christian:</t>
        </r>
        <r>
          <rPr>
            <sz val="9"/>
            <color indexed="81"/>
            <rFont val="Tahoma"/>
            <family val="2"/>
          </rPr>
          <t xml:space="preserve">
Type I here related to MS specific</t>
        </r>
      </text>
    </comment>
    <comment ref="Y1417" authorId="0" shapeId="0" xr:uid="{23278F91-771F-4145-B1EB-9C046384D1A9}">
      <text>
        <r>
          <rPr>
            <b/>
            <sz val="9"/>
            <color indexed="81"/>
            <rFont val="Tahoma"/>
            <family val="2"/>
          </rPr>
          <t>Christian:</t>
        </r>
        <r>
          <rPr>
            <sz val="9"/>
            <color indexed="81"/>
            <rFont val="Tahoma"/>
            <family val="2"/>
          </rPr>
          <t xml:space="preserve">
NA if fossil</t>
        </r>
      </text>
    </comment>
    <comment ref="AS1417" authorId="0" shapeId="0" xr:uid="{6F62D36A-4267-451A-A96D-552FE59CF87C}">
      <text>
        <r>
          <rPr>
            <b/>
            <sz val="9"/>
            <color indexed="81"/>
            <rFont val="Tahoma"/>
            <family val="2"/>
          </rPr>
          <t>Christian:</t>
        </r>
        <r>
          <rPr>
            <sz val="9"/>
            <color indexed="81"/>
            <rFont val="Tahoma"/>
            <family val="2"/>
          </rPr>
          <t xml:space="preserve">
Type I here related to MS specific</t>
        </r>
      </text>
    </comment>
    <comment ref="Y1418" authorId="0" shapeId="0" xr:uid="{B3089DC6-7211-4777-A691-A5394FCEEC7A}">
      <text>
        <r>
          <rPr>
            <b/>
            <sz val="9"/>
            <color indexed="81"/>
            <rFont val="Tahoma"/>
            <family val="2"/>
          </rPr>
          <t>Christian:</t>
        </r>
        <r>
          <rPr>
            <sz val="9"/>
            <color indexed="81"/>
            <rFont val="Tahoma"/>
            <family val="2"/>
          </rPr>
          <t xml:space="preserve">
NA if fossil</t>
        </r>
      </text>
    </comment>
    <comment ref="AS1418" authorId="0" shapeId="0" xr:uid="{BA7588EB-BC2B-46C7-82AC-2296D7C8F99F}">
      <text>
        <r>
          <rPr>
            <b/>
            <sz val="9"/>
            <color indexed="81"/>
            <rFont val="Tahoma"/>
            <family val="2"/>
          </rPr>
          <t>Christian:</t>
        </r>
        <r>
          <rPr>
            <sz val="9"/>
            <color indexed="81"/>
            <rFont val="Tahoma"/>
            <family val="2"/>
          </rPr>
          <t xml:space="preserve">
Type I here related to MS specific</t>
        </r>
      </text>
    </comment>
    <comment ref="Y1419" authorId="0" shapeId="0" xr:uid="{3C94B284-0F10-4A39-AFB8-0D18479FF7DC}">
      <text>
        <r>
          <rPr>
            <b/>
            <sz val="9"/>
            <color indexed="81"/>
            <rFont val="Tahoma"/>
            <family val="2"/>
          </rPr>
          <t>Christian:</t>
        </r>
        <r>
          <rPr>
            <sz val="9"/>
            <color indexed="81"/>
            <rFont val="Tahoma"/>
            <family val="2"/>
          </rPr>
          <t xml:space="preserve">
NA if fossil</t>
        </r>
      </text>
    </comment>
    <comment ref="AS1419" authorId="0" shapeId="0" xr:uid="{8353BB46-8804-481D-A513-B075BB16EA5F}">
      <text>
        <r>
          <rPr>
            <b/>
            <sz val="9"/>
            <color indexed="81"/>
            <rFont val="Tahoma"/>
            <family val="2"/>
          </rPr>
          <t>Christian:</t>
        </r>
        <r>
          <rPr>
            <sz val="9"/>
            <color indexed="81"/>
            <rFont val="Tahoma"/>
            <family val="2"/>
          </rPr>
          <t xml:space="preserve">
Type I here related to MS specific</t>
        </r>
      </text>
    </comment>
    <comment ref="Y1421" authorId="0" shapeId="0" xr:uid="{10E795ED-4DC4-41AD-9A25-DE32A0474A6F}">
      <text>
        <r>
          <rPr>
            <b/>
            <sz val="9"/>
            <color indexed="81"/>
            <rFont val="Tahoma"/>
            <family val="2"/>
          </rPr>
          <t>Christian:</t>
        </r>
        <r>
          <rPr>
            <sz val="9"/>
            <color indexed="81"/>
            <rFont val="Tahoma"/>
            <family val="2"/>
          </rPr>
          <t xml:space="preserve">
NA if fossil</t>
        </r>
      </text>
    </comment>
    <comment ref="Y1442" authorId="0" shapeId="0" xr:uid="{EF07E46D-4DB4-46FF-8F49-4A3F3110BDEA}">
      <text>
        <r>
          <rPr>
            <b/>
            <sz val="9"/>
            <color indexed="81"/>
            <rFont val="Tahoma"/>
            <family val="2"/>
          </rPr>
          <t>Christian:</t>
        </r>
        <r>
          <rPr>
            <sz val="9"/>
            <color indexed="81"/>
            <rFont val="Tahoma"/>
            <family val="2"/>
          </rPr>
          <t xml:space="preserve">
NA if fossil</t>
        </r>
      </text>
    </comment>
    <comment ref="AS1442" authorId="0" shapeId="0" xr:uid="{B5D01D55-2C00-4C66-96FC-2B2CFBC10F08}">
      <text>
        <r>
          <rPr>
            <b/>
            <sz val="9"/>
            <color indexed="81"/>
            <rFont val="Tahoma"/>
            <family val="2"/>
          </rPr>
          <t>Christian:</t>
        </r>
        <r>
          <rPr>
            <sz val="9"/>
            <color indexed="81"/>
            <rFont val="Tahoma"/>
            <family val="2"/>
          </rPr>
          <t xml:space="preserve">
Type I here related to MS specific</t>
        </r>
      </text>
    </comment>
    <comment ref="Y1443" authorId="0" shapeId="0" xr:uid="{F158DBF7-1038-4433-AFF4-54A191FAC60B}">
      <text>
        <r>
          <rPr>
            <b/>
            <sz val="9"/>
            <color indexed="81"/>
            <rFont val="Tahoma"/>
            <family val="2"/>
          </rPr>
          <t>Christian:</t>
        </r>
        <r>
          <rPr>
            <sz val="9"/>
            <color indexed="81"/>
            <rFont val="Tahoma"/>
            <family val="2"/>
          </rPr>
          <t xml:space="preserve">
NA if fossil</t>
        </r>
      </text>
    </comment>
    <comment ref="AS1443" authorId="0" shapeId="0" xr:uid="{EB70B089-3609-4703-9B17-8134295576B7}">
      <text>
        <r>
          <rPr>
            <b/>
            <sz val="9"/>
            <color indexed="81"/>
            <rFont val="Tahoma"/>
            <family val="2"/>
          </rPr>
          <t>Christian:</t>
        </r>
        <r>
          <rPr>
            <sz val="9"/>
            <color indexed="81"/>
            <rFont val="Tahoma"/>
            <family val="2"/>
          </rPr>
          <t xml:space="preserve">
Type I here related to MS specific</t>
        </r>
      </text>
    </comment>
    <comment ref="Y1444" authorId="0" shapeId="0" xr:uid="{5CD7736F-8F5E-4D44-A5C6-B36F7274C177}">
      <text>
        <r>
          <rPr>
            <b/>
            <sz val="9"/>
            <color indexed="81"/>
            <rFont val="Tahoma"/>
            <family val="2"/>
          </rPr>
          <t>Christian:</t>
        </r>
        <r>
          <rPr>
            <sz val="9"/>
            <color indexed="81"/>
            <rFont val="Tahoma"/>
            <family val="2"/>
          </rPr>
          <t xml:space="preserve">
NA if fossil</t>
        </r>
      </text>
    </comment>
    <comment ref="AS1444" authorId="0" shapeId="0" xr:uid="{ECC8B505-6AC9-4CD8-A25D-564F4F693C8F}">
      <text>
        <r>
          <rPr>
            <b/>
            <sz val="9"/>
            <color indexed="81"/>
            <rFont val="Tahoma"/>
            <family val="2"/>
          </rPr>
          <t>Christian:</t>
        </r>
        <r>
          <rPr>
            <sz val="9"/>
            <color indexed="81"/>
            <rFont val="Tahoma"/>
            <family val="2"/>
          </rPr>
          <t xml:space="preserve">
Type I here related to MS specific</t>
        </r>
      </text>
    </comment>
    <comment ref="Y1445" authorId="0" shapeId="0" xr:uid="{B9CC87D7-CB27-47B6-90A9-3EA76729BB63}">
      <text>
        <r>
          <rPr>
            <b/>
            <sz val="9"/>
            <color indexed="81"/>
            <rFont val="Tahoma"/>
            <family val="2"/>
          </rPr>
          <t>Christian:</t>
        </r>
        <r>
          <rPr>
            <sz val="9"/>
            <color indexed="81"/>
            <rFont val="Tahoma"/>
            <family val="2"/>
          </rPr>
          <t xml:space="preserve">
NA if fossil</t>
        </r>
      </text>
    </comment>
    <comment ref="AS1445" authorId="0" shapeId="0" xr:uid="{6A870A1F-A071-4972-8B64-51FEF2A2C200}">
      <text>
        <r>
          <rPr>
            <b/>
            <sz val="9"/>
            <color indexed="81"/>
            <rFont val="Tahoma"/>
            <family val="2"/>
          </rPr>
          <t>Christian:</t>
        </r>
        <r>
          <rPr>
            <sz val="9"/>
            <color indexed="81"/>
            <rFont val="Tahoma"/>
            <family val="2"/>
          </rPr>
          <t xml:space="preserve">
Type I here related to MS specific</t>
        </r>
      </text>
    </comment>
    <comment ref="Y1446" authorId="0" shapeId="0" xr:uid="{98ABD425-93A8-4727-AB5F-8EEB4D2CC327}">
      <text>
        <r>
          <rPr>
            <b/>
            <sz val="9"/>
            <color indexed="81"/>
            <rFont val="Tahoma"/>
            <family val="2"/>
          </rPr>
          <t>Christian:</t>
        </r>
        <r>
          <rPr>
            <sz val="9"/>
            <color indexed="81"/>
            <rFont val="Tahoma"/>
            <family val="2"/>
          </rPr>
          <t xml:space="preserve">
NA if fossil</t>
        </r>
      </text>
    </comment>
    <comment ref="AS1446" authorId="0" shapeId="0" xr:uid="{84E8EB32-5BFB-47A6-AD7E-F7E2D05D25BB}">
      <text>
        <r>
          <rPr>
            <b/>
            <sz val="9"/>
            <color indexed="81"/>
            <rFont val="Tahoma"/>
            <family val="2"/>
          </rPr>
          <t>Christian:</t>
        </r>
        <r>
          <rPr>
            <sz val="9"/>
            <color indexed="81"/>
            <rFont val="Tahoma"/>
            <family val="2"/>
          </rPr>
          <t xml:space="preserve">
Type I here related to MS specific</t>
        </r>
      </text>
    </comment>
    <comment ref="Y1447" authorId="0" shapeId="0" xr:uid="{E8FA80AE-87EE-4A4A-A175-EC052531D0D4}">
      <text>
        <r>
          <rPr>
            <b/>
            <sz val="9"/>
            <color indexed="81"/>
            <rFont val="Tahoma"/>
            <family val="2"/>
          </rPr>
          <t>Christian:</t>
        </r>
        <r>
          <rPr>
            <sz val="9"/>
            <color indexed="81"/>
            <rFont val="Tahoma"/>
            <family val="2"/>
          </rPr>
          <t xml:space="preserve">
NA if fossil</t>
        </r>
      </text>
    </comment>
    <comment ref="AS1447" authorId="0" shapeId="0" xr:uid="{26B1286B-3226-4FE4-B991-FFCE99D54619}">
      <text>
        <r>
          <rPr>
            <b/>
            <sz val="9"/>
            <color indexed="81"/>
            <rFont val="Tahoma"/>
            <family val="2"/>
          </rPr>
          <t>Christian:</t>
        </r>
        <r>
          <rPr>
            <sz val="9"/>
            <color indexed="81"/>
            <rFont val="Tahoma"/>
            <family val="2"/>
          </rPr>
          <t xml:space="preserve">
Type I here related to MS specific</t>
        </r>
      </text>
    </comment>
    <comment ref="Y1449" authorId="0" shapeId="0" xr:uid="{F8C17DE6-D145-485E-880D-8FF11C4EAF30}">
      <text>
        <r>
          <rPr>
            <b/>
            <sz val="9"/>
            <color indexed="81"/>
            <rFont val="Tahoma"/>
            <family val="2"/>
          </rPr>
          <t>Christian:</t>
        </r>
        <r>
          <rPr>
            <sz val="9"/>
            <color indexed="81"/>
            <rFont val="Tahoma"/>
            <family val="2"/>
          </rPr>
          <t xml:space="preserve">
NA if fossil</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<sst xmlns="http://schemas.openxmlformats.org/spreadsheetml/2006/main" count="8304" uniqueCount="1468">
  <si>
    <t>ausblenden</t>
  </si>
  <si>
    <t>Print area:</t>
  </si>
  <si>
    <t>Name of this sheet</t>
  </si>
  <si>
    <t>PRINT</t>
  </si>
  <si>
    <t>https://eur-lex.europa.eu/eli/dir/2003/87/2024-03-01</t>
  </si>
  <si>
    <t>https://eur-lex.europa.eu/eli/reg_impl/2018/2066/2024-01-01</t>
  </si>
  <si>
    <t>(a)</t>
  </si>
  <si>
    <t>(b)</t>
  </si>
  <si>
    <t>(c)</t>
  </si>
  <si>
    <t>(d)</t>
  </si>
  <si>
    <t>CNTR_ReportingYear</t>
  </si>
  <si>
    <t xml:space="preserve">(c) </t>
  </si>
  <si>
    <t>i.</t>
  </si>
  <si>
    <t>ii.</t>
  </si>
  <si>
    <t>iii.</t>
  </si>
  <si>
    <t>iv.</t>
  </si>
  <si>
    <t>v.</t>
  </si>
  <si>
    <t>vi.</t>
  </si>
  <si>
    <t>End</t>
  </si>
  <si>
    <t>Sorting</t>
  </si>
  <si>
    <t>MR01</t>
  </si>
  <si>
    <t>MR02</t>
  </si>
  <si>
    <t>CNTR_ListMeans</t>
  </si>
  <si>
    <t>MR1</t>
  </si>
  <si>
    <t>MR2</t>
  </si>
  <si>
    <t>MR3</t>
  </si>
  <si>
    <t>MR4</t>
  </si>
  <si>
    <t>MR5</t>
  </si>
  <si>
    <t>MR6</t>
  </si>
  <si>
    <t>MR7</t>
  </si>
  <si>
    <t>MR8</t>
  </si>
  <si>
    <t>MR9</t>
  </si>
  <si>
    <t>MR10</t>
  </si>
  <si>
    <t>IP01</t>
  </si>
  <si>
    <t>IP02</t>
  </si>
  <si>
    <t>CNTR_ListIntermediaries</t>
  </si>
  <si>
    <t>IP1</t>
  </si>
  <si>
    <t>IP2</t>
  </si>
  <si>
    <t>IP3</t>
  </si>
  <si>
    <t>IP4</t>
  </si>
  <si>
    <t>IP5</t>
  </si>
  <si>
    <t>IP6</t>
  </si>
  <si>
    <t>IP7</t>
  </si>
  <si>
    <t>IP8</t>
  </si>
  <si>
    <t>IP9</t>
  </si>
  <si>
    <t>IP10</t>
  </si>
  <si>
    <t>-</t>
  </si>
  <si>
    <t>ID</t>
  </si>
  <si>
    <t>F01</t>
  </si>
  <si>
    <t>F02</t>
  </si>
  <si>
    <t>Name optional?</t>
  </si>
  <si>
    <t>Source for category</t>
  </si>
  <si>
    <t>Name</t>
  </si>
  <si>
    <t>duplicate?</t>
  </si>
  <si>
    <t>F1</t>
  </si>
  <si>
    <t>F2</t>
  </si>
  <si>
    <t>F3</t>
  </si>
  <si>
    <t>F4</t>
  </si>
  <si>
    <t>F5</t>
  </si>
  <si>
    <t>F6</t>
  </si>
  <si>
    <t>F7</t>
  </si>
  <si>
    <t>F8</t>
  </si>
  <si>
    <t>F9</t>
  </si>
  <si>
    <t>F10</t>
  </si>
  <si>
    <t>F11</t>
  </si>
  <si>
    <t>F12</t>
  </si>
  <si>
    <t>F13</t>
  </si>
  <si>
    <t>F14</t>
  </si>
  <si>
    <t>F15</t>
  </si>
  <si>
    <t>F16</t>
  </si>
  <si>
    <t>F17</t>
  </si>
  <si>
    <t>F18</t>
  </si>
  <si>
    <t>F19</t>
  </si>
  <si>
    <t>F20</t>
  </si>
  <si>
    <t>F21</t>
  </si>
  <si>
    <t>F22</t>
  </si>
  <si>
    <t>F23</t>
  </si>
  <si>
    <t>F24</t>
  </si>
  <si>
    <t>F25</t>
  </si>
  <si>
    <t>F26</t>
  </si>
  <si>
    <t>F27</t>
  </si>
  <si>
    <t>F28</t>
  </si>
  <si>
    <t>F29</t>
  </si>
  <si>
    <t>F30</t>
  </si>
  <si>
    <t>F31</t>
  </si>
  <si>
    <t>F32</t>
  </si>
  <si>
    <t>F33</t>
  </si>
  <si>
    <t>F34</t>
  </si>
  <si>
    <t>F35</t>
  </si>
  <si>
    <t>F36</t>
  </si>
  <si>
    <t>F37</t>
  </si>
  <si>
    <t>F38</t>
  </si>
  <si>
    <t>F39</t>
  </si>
  <si>
    <t>F40</t>
  </si>
  <si>
    <t>F41</t>
  </si>
  <si>
    <t>F42</t>
  </si>
  <si>
    <t>F43</t>
  </si>
  <si>
    <t>F44</t>
  </si>
  <si>
    <t>F45</t>
  </si>
  <si>
    <t>F46</t>
  </si>
  <si>
    <t>F47</t>
  </si>
  <si>
    <t>F48</t>
  </si>
  <si>
    <t>F49</t>
  </si>
  <si>
    <t>F50</t>
  </si>
  <si>
    <t>has entry?</t>
  </si>
  <si>
    <t>cond. Form.</t>
  </si>
  <si>
    <t>https://climate.ec.europa.eu/eu-action/eu-emissions-trading-system-eu-ets/ets2-buildings-road-transport-and-additional-sectors_en#guidance-and-support</t>
  </si>
  <si>
    <t>cond. form.</t>
  </si>
  <si>
    <t>Units</t>
  </si>
  <si>
    <t>Values</t>
  </si>
  <si>
    <t>Errors</t>
  </si>
  <si>
    <t>Calculation</t>
  </si>
  <si>
    <t>Accounting</t>
  </si>
  <si>
    <t>Bio</t>
  </si>
  <si>
    <t>NonSustBio</t>
  </si>
  <si>
    <t>RFNBO</t>
  </si>
  <si>
    <t>NonSustRFNBO</t>
  </si>
  <si>
    <t>SustSLCF</t>
  </si>
  <si>
    <t>NonSustSLCF</t>
  </si>
  <si>
    <t>CO2 non-zero</t>
  </si>
  <si>
    <t>CO2 bio</t>
  </si>
  <si>
    <t>CO2e RFNBO (t)</t>
  </si>
  <si>
    <t>CO2e non-sust RFNBO (t)</t>
  </si>
  <si>
    <t>CO2e SLCF (t)</t>
  </si>
  <si>
    <t>CO2e non-sust SLCF (t)</t>
  </si>
  <si>
    <t>Energy content (non-zero), TJ</t>
  </si>
  <si>
    <t>Energy content RFNBO (TJ)</t>
  </si>
  <si>
    <t>Energy content SLCF (TJ)</t>
  </si>
  <si>
    <t>CO2 before SF</t>
  </si>
  <si>
    <t>CRF</t>
  </si>
  <si>
    <t>Category from Sheet A</t>
  </si>
  <si>
    <t>tier required</t>
  </si>
  <si>
    <t>text tier</t>
  </si>
  <si>
    <t>entries sheet A complete?</t>
  </si>
  <si>
    <t>typeII</t>
  </si>
  <si>
    <t>typeI</t>
  </si>
  <si>
    <t>default type</t>
  </si>
  <si>
    <t>default unit</t>
  </si>
  <si>
    <t>Unit used</t>
  </si>
  <si>
    <t>cond. Form?</t>
  </si>
  <si>
    <t>Unit consistent?</t>
  </si>
  <si>
    <t>default Value</t>
  </si>
  <si>
    <t>Value used</t>
  </si>
  <si>
    <t>EF Units?</t>
  </si>
  <si>
    <t>with SF</t>
  </si>
  <si>
    <t>without SF</t>
  </si>
  <si>
    <t>is fossil?</t>
  </si>
  <si>
    <t>Unit after RFA:</t>
  </si>
  <si>
    <t>def val available?</t>
  </si>
  <si>
    <t>def val used?</t>
  </si>
  <si>
    <t>inconsistent entries?</t>
  </si>
  <si>
    <t>Unit after UCF:</t>
  </si>
  <si>
    <t>CO2 biogenic</t>
  </si>
  <si>
    <t>EF consistent with RFA:</t>
  </si>
  <si>
    <t>CO2 biogenic (non-sust)</t>
  </si>
  <si>
    <t>EF consistent with UCF:</t>
  </si>
  <si>
    <t>CO2 RFNBO</t>
  </si>
  <si>
    <t>CO2 RFNBO (non-sust)</t>
  </si>
  <si>
    <t>n.a.</t>
  </si>
  <si>
    <t>RNFBOC_Value</t>
  </si>
  <si>
    <t>CO2 SLCF</t>
  </si>
  <si>
    <t>vii.</t>
  </si>
  <si>
    <t>CO2 SLCF (non-sust)</t>
  </si>
  <si>
    <t>viii.</t>
  </si>
  <si>
    <t>Energy fossil</t>
  </si>
  <si>
    <t>ix.</t>
  </si>
  <si>
    <t>Energy bio</t>
  </si>
  <si>
    <t>x.</t>
  </si>
  <si>
    <t>Energy RFNBO/RCF</t>
  </si>
  <si>
    <t>Energy SLCF</t>
  </si>
  <si>
    <t>UCF Tier</t>
  </si>
  <si>
    <t>UCF</t>
  </si>
  <si>
    <t>UCF Unit</t>
  </si>
  <si>
    <t>Bio Tier</t>
  </si>
  <si>
    <t>sust. RFNBO/RCF:</t>
  </si>
  <si>
    <t>non-sust. SLCF:</t>
  </si>
  <si>
    <t>Emissions:</t>
  </si>
  <si>
    <t>Belgium</t>
  </si>
  <si>
    <t>Netherlands</t>
  </si>
  <si>
    <t>Indicator</t>
  </si>
  <si>
    <t>Total RFA</t>
  </si>
  <si>
    <t>CO2 fossil (bf SF, to ETS1)</t>
  </si>
  <si>
    <t>t</t>
  </si>
  <si>
    <t>end</t>
  </si>
  <si>
    <t>Numbering</t>
  </si>
  <si>
    <t>Grey out?</t>
  </si>
  <si>
    <t>Mandatory?</t>
  </si>
  <si>
    <t>GJ</t>
  </si>
  <si>
    <t>t CO2</t>
  </si>
  <si>
    <t>Inconsistent?</t>
  </si>
  <si>
    <t>Emissions (fossil, before SF)</t>
  </si>
  <si>
    <t>Emissions (bio, before SF)</t>
  </si>
  <si>
    <t>After UCF</t>
  </si>
  <si>
    <t/>
  </si>
  <si>
    <t>Zero-rated F</t>
  </si>
  <si>
    <t>Energy or other</t>
  </si>
  <si>
    <t>Result to be entered in sheet C</t>
  </si>
  <si>
    <t>#</t>
  </si>
  <si>
    <t>Type</t>
  </si>
  <si>
    <t>Category</t>
  </si>
  <si>
    <t>EUconst_TrueFalse</t>
  </si>
  <si>
    <t>EUconst_ReportingYear</t>
  </si>
  <si>
    <t>EUconst_Fuel</t>
  </si>
  <si>
    <t>EUconst_CNTR_ActivityData</t>
  </si>
  <si>
    <t>ActivityData_</t>
  </si>
  <si>
    <t>EUconst_CNTR_UCF</t>
  </si>
  <si>
    <t>UCF_</t>
  </si>
  <si>
    <t>EUconst_CNTR_EF</t>
  </si>
  <si>
    <t>EF_</t>
  </si>
  <si>
    <t>EUconst_CNTR_BiomassContent</t>
  </si>
  <si>
    <t>BioC_</t>
  </si>
  <si>
    <t>EUconst_CNTR_RFNBOetcContent</t>
  </si>
  <si>
    <t>RNFBOC_</t>
  </si>
  <si>
    <t>EUconst_Value</t>
  </si>
  <si>
    <t>EUconst_Unit</t>
  </si>
  <si>
    <t>EUconst_t</t>
  </si>
  <si>
    <t>EUconst_kNm3</t>
  </si>
  <si>
    <t>1000Nm³</t>
  </si>
  <si>
    <t>EUconst_litres</t>
  </si>
  <si>
    <t>1000litres</t>
  </si>
  <si>
    <t>EUconst_GJ</t>
  </si>
  <si>
    <t>EUconst_TJ</t>
  </si>
  <si>
    <t>TJ</t>
  </si>
  <si>
    <t>EUconst_GWhgross</t>
  </si>
  <si>
    <t>EUconst_tCO2</t>
  </si>
  <si>
    <t>tCO2</t>
  </si>
  <si>
    <t>EUconst_DefaultValues</t>
  </si>
  <si>
    <t>EUconst_DefaultValuesBio</t>
  </si>
  <si>
    <t>EUconst_SumCO2</t>
  </si>
  <si>
    <t>SUM_CO2</t>
  </si>
  <si>
    <t>EUconst_SumBioCO2</t>
  </si>
  <si>
    <t>SUM_bioCO2</t>
  </si>
  <si>
    <t>EUconst_SumNonSustBioCO2</t>
  </si>
  <si>
    <t>SUM_bioNonSustCO2</t>
  </si>
  <si>
    <t>EUconst_SumEnergyIN</t>
  </si>
  <si>
    <t>SUM_EnergyIN</t>
  </si>
  <si>
    <t>EUconst_SumBioEnergyIN</t>
  </si>
  <si>
    <t>SUM_BioEnergyIN</t>
  </si>
  <si>
    <t>EUconst_CNTR_SourceCategory</t>
  </si>
  <si>
    <t>SourceCategory_</t>
  </si>
  <si>
    <t>EUconst_CNTR_SourceStreamName</t>
  </si>
  <si>
    <t>SourceStreamName_</t>
  </si>
  <si>
    <t>EUconst_CNTR_SourceStreamClass</t>
  </si>
  <si>
    <t>SourceStreamClass_</t>
  </si>
  <si>
    <t>EUconst_CNTR_SmallEmitter</t>
  </si>
  <si>
    <t>SmallEmitter_</t>
  </si>
  <si>
    <t>EUconst_CNTR_NoSmallEmitter</t>
  </si>
  <si>
    <t>NoSmallEmitter_</t>
  </si>
  <si>
    <t>EUconst_MsgNextSheet</t>
  </si>
  <si>
    <t>EUconst_FuelStream</t>
  </si>
  <si>
    <t>EUconst_OwnerInstrument</t>
  </si>
  <si>
    <t>EUconst_ActivityDeterminationMethod</t>
  </si>
  <si>
    <t>EUconst_FurtherGuidancePoint1</t>
  </si>
  <si>
    <t>EUconst_NA</t>
  </si>
  <si>
    <t>EUconst_Relevant</t>
  </si>
  <si>
    <t>EUconst_NotRelevant</t>
  </si>
  <si>
    <t>EUconst_NotApplicable</t>
  </si>
  <si>
    <t>EUconst_ToolBestEstimate</t>
  </si>
  <si>
    <t>EUconst_ToolActualAmounts</t>
  </si>
  <si>
    <t>EUconst_ERR_Incomplete</t>
  </si>
  <si>
    <t>EUconst_ERR_Inconsistent</t>
  </si>
  <si>
    <t>EUconst_MsgTierActivityLevel</t>
  </si>
  <si>
    <t>EUconst_MsgEnterThisSection</t>
  </si>
  <si>
    <t>EUconst_MsgGoOn</t>
  </si>
  <si>
    <t>EUconst_MsgSmallEmitters</t>
  </si>
  <si>
    <t>EUconst_PreviousSheet</t>
  </si>
  <si>
    <t>EUconst_NextSheet</t>
  </si>
  <si>
    <t>EUconst_NoTier</t>
  </si>
  <si>
    <t>EUconst_MsgDeMinimis</t>
  </si>
  <si>
    <t>EUconst_ERR_ThreshholdDeminimis</t>
  </si>
  <si>
    <t>EUconst_ERR_CheckEstimatedEmissions</t>
  </si>
  <si>
    <t>Euconst_VersionTracking</t>
  </si>
  <si>
    <t>EUconst_MSlist</t>
  </si>
  <si>
    <t>EUconst_MSlistISOcodes</t>
  </si>
  <si>
    <t>AT</t>
  </si>
  <si>
    <t>BE</t>
  </si>
  <si>
    <t>BG</t>
  </si>
  <si>
    <t>HR</t>
  </si>
  <si>
    <t>CY</t>
  </si>
  <si>
    <t>CZ</t>
  </si>
  <si>
    <t>DK</t>
  </si>
  <si>
    <t>EE</t>
  </si>
  <si>
    <t>FI</t>
  </si>
  <si>
    <t>FR</t>
  </si>
  <si>
    <t>DE</t>
  </si>
  <si>
    <t>EL</t>
  </si>
  <si>
    <t>HU</t>
  </si>
  <si>
    <t>IS</t>
  </si>
  <si>
    <t>IE</t>
  </si>
  <si>
    <t>IT</t>
  </si>
  <si>
    <t>LV</t>
  </si>
  <si>
    <t>LI</t>
  </si>
  <si>
    <t>LT</t>
  </si>
  <si>
    <t>LU</t>
  </si>
  <si>
    <t>MT</t>
  </si>
  <si>
    <t>NL</t>
  </si>
  <si>
    <t>NO</t>
  </si>
  <si>
    <t>PL</t>
  </si>
  <si>
    <t>PT</t>
  </si>
  <si>
    <t>RO</t>
  </si>
  <si>
    <t>SK</t>
  </si>
  <si>
    <t>SI</t>
  </si>
  <si>
    <t>ES</t>
  </si>
  <si>
    <t>SE</t>
  </si>
  <si>
    <t>Euconst_MPReferenceDateTypes</t>
  </si>
  <si>
    <t>EUconst_IRMonth</t>
  </si>
  <si>
    <t>EUconst_CNTR_ScopeFactor</t>
  </si>
  <si>
    <t>ScopeFactor_</t>
  </si>
  <si>
    <t>MeansReleased</t>
  </si>
  <si>
    <t>MeansIntermediaries</t>
  </si>
  <si>
    <t>ScopeTiers</t>
  </si>
  <si>
    <t>ScopeAddress</t>
  </si>
  <si>
    <t>ScopeMethods</t>
  </si>
  <si>
    <t>ScopeMethodsDetails</t>
  </si>
  <si>
    <t>ZeroRatingTiers</t>
  </si>
  <si>
    <t>RFNBOTiers</t>
  </si>
  <si>
    <t>ActivityDataTiers</t>
  </si>
  <si>
    <t>NCVTiers</t>
  </si>
  <si>
    <t>2a</t>
  </si>
  <si>
    <t>EFTiers</t>
  </si>
  <si>
    <t>consistent units RFA with UCF:</t>
  </si>
  <si>
    <t>RFAUnits</t>
  </si>
  <si>
    <t>UCFUnits</t>
  </si>
  <si>
    <t>conversion with EF to t CO2:</t>
  </si>
  <si>
    <t>EFUnits</t>
  </si>
  <si>
    <t>PctUnits</t>
  </si>
  <si>
    <t>%</t>
  </si>
  <si>
    <t>Default values</t>
  </si>
  <si>
    <t>1=default value, 2=lab</t>
  </si>
  <si>
    <t>2a/2b</t>
  </si>
  <si>
    <t>RNFBO/RCF/SLCF</t>
  </si>
  <si>
    <t>CRF categories</t>
  </si>
  <si>
    <t>EUconst_ListCRF</t>
  </si>
  <si>
    <t>&lt;END of list&gt;</t>
  </si>
  <si>
    <t>MS are free to use this sheet</t>
  </si>
  <si>
    <t>1. MS Fuel Category list</t>
  </si>
  <si>
    <t>Please note: When this list is amended by the MS competent authority, the following technicalities are to be respected:</t>
  </si>
  <si>
    <t>For each "fuel stream type" selected in B.1.a the corresponding line in light yellow contains the fuels that can then be selected in the same section under "fuel stream category".</t>
  </si>
  <si>
    <t>1. Only cells in the light yellow area below should be changed. No empty cells should be contained in the light yellow area (otherwise the operator can enter values which are not contained in the list)</t>
  </si>
  <si>
    <t>2. Consider to also add those additional fuels in the table below to attribute properties such as standard calculation factors or if the should be considered as purely fossil by default, where relevant.</t>
  </si>
  <si>
    <t>3. Attribute them to one (usually) or two fuel stream types (entries then used automatically for the table in section 2 below). For example, if natural gas can be demonstrated to be a "national standard fuel" (Article 75k(2)), it should be categories as such and not under "Other gaseous &amp; liquid fuels".</t>
  </si>
  <si>
    <t>4. Indicate whether providing further names (column L in B.2.a) can be made optional (column K in the table below) and whether the fuel is always fossil (column L in the table below, biomass fraction will automatically be greyed out in sheet C).</t>
  </si>
  <si>
    <t>5. Make sure all entries under Tier 2a in the table below are 1) consistent with the (disaggregated) values used in your national GHG inventory and 2) units for released fuel amounts, unit conversion factor and emission factor are consistent.</t>
  </si>
  <si>
    <t>Tier 1</t>
  </si>
  <si>
    <t>Tier 2a</t>
  </si>
  <si>
    <t>MSPara_ToolBlendingMandatory</t>
  </si>
  <si>
    <t>Factors according to Annex VI MRR</t>
  </si>
  <si>
    <t xml:space="preserve">Factors for Articles 31 (b) and (c) </t>
  </si>
  <si>
    <t>Select TRUE if you want to make completion of the "Tool Blending" mandatory</t>
  </si>
  <si>
    <t>Fuel category description</t>
  </si>
  <si>
    <t>Fuel stream type 1</t>
  </si>
  <si>
    <t>Fuel stream type 2</t>
  </si>
  <si>
    <t>BioC</t>
  </si>
  <si>
    <t>Value (-)</t>
  </si>
  <si>
    <t>MSPara_SourceStreamCategory</t>
  </si>
  <si>
    <t>Source</t>
  </si>
  <si>
    <t>MSPara_NameOptional</t>
  </si>
  <si>
    <t>MSPara_IsFossil</t>
  </si>
  <si>
    <t>MSPara_CalcFactors</t>
  </si>
  <si>
    <t>Should this component be listed in the "Tool Blending"?</t>
  </si>
  <si>
    <t>MSPara_ListBlendingComponents</t>
  </si>
  <si>
    <t>Annex VI MRR</t>
  </si>
  <si>
    <t>GJ/1000litres</t>
  </si>
  <si>
    <t>tCO2/TJ</t>
  </si>
  <si>
    <t>GJ/t</t>
  </si>
  <si>
    <t>GJ/1000Nm³</t>
  </si>
  <si>
    <t>tCO2/t</t>
  </si>
  <si>
    <t>2. Fuel stream category list for each fuel stream type</t>
  </si>
  <si>
    <t>MSPara_CategoryAddress</t>
  </si>
  <si>
    <t>MSPara_CategoryMatrix</t>
  </si>
  <si>
    <t>Number</t>
  </si>
  <si>
    <t>TEXT (Language Version)</t>
  </si>
  <si>
    <t>English Version (Original)</t>
  </si>
  <si>
    <t xml:space="preserve">Contact details </t>
  </si>
  <si>
    <t>Comments</t>
  </si>
  <si>
    <t>Information about this file:</t>
  </si>
  <si>
    <t>Date</t>
  </si>
  <si>
    <t>Name and Signature of 
legally responsible person</t>
  </si>
  <si>
    <t>Template version information:</t>
  </si>
  <si>
    <t>Template provided by:</t>
  </si>
  <si>
    <t>Publication date:</t>
  </si>
  <si>
    <t>Language version:</t>
  </si>
  <si>
    <t>Reference filename:</t>
  </si>
  <si>
    <t>b.
Guide-lines</t>
  </si>
  <si>
    <t>Navigation area:</t>
  </si>
  <si>
    <t>; 'E_DataGaps'!$E$2; 'H_Summary'!$E$2</t>
  </si>
  <si>
    <t>Table of contents</t>
  </si>
  <si>
    <t>Previous sheet</t>
  </si>
  <si>
    <t>Next sheet</t>
  </si>
  <si>
    <t>GUIDELINES AND CONDITIONS</t>
  </si>
  <si>
    <t>The Directive can be downloaded from:</t>
  </si>
  <si>
    <t>All Commission guidance documents on the Monitoring and Reporting Regulation can be found at:</t>
  </si>
  <si>
    <t>Before you use this file, please carry out the following steps:</t>
  </si>
  <si>
    <t>Read carefully the instructions below for filling this template.</t>
  </si>
  <si>
    <t>Check the CA's webpage or directly contact the CA in order to find out if you have the correct version of the template. The template version (in particular the reference file name) is clearly indicated on the cover page of this file.</t>
  </si>
  <si>
    <t>Some Member States may require you to use an alternative system, such as internet-based form instead of a spreadsheet. Check your Member State requirements. In this case the CA will provide further information to you.</t>
  </si>
  <si>
    <t>Detail address to be provided by the Member State</t>
  </si>
  <si>
    <t>Information sources:</t>
  </si>
  <si>
    <t>EU Websites:</t>
  </si>
  <si>
    <t>EU-Legislation:</t>
  </si>
  <si>
    <t xml:space="preserve">http://eur-lex.europa.eu/en/index.htm </t>
  </si>
  <si>
    <t>EU ETS general:</t>
  </si>
  <si>
    <t xml:space="preserve">Monitoring and Reporting in the EU ETS: </t>
  </si>
  <si>
    <t>Other Websites:</t>
  </si>
  <si>
    <t>&lt;to be provided by Member State&gt;</t>
  </si>
  <si>
    <t>Helpdesk:</t>
  </si>
  <si>
    <t>&lt;to be provided by Member State, if relevant&gt;</t>
  </si>
  <si>
    <t>How to use this file:</t>
  </si>
  <si>
    <t>In several fields you can choose from predefined inputs. For selecting from such a "drop-down list" either click with the mouse on the small arrow appearing at the right border of the cell, or press "Alt-CursorDown" when you have selected the cell. Some fields allow you to input your own text even if such drop-down list exists. This is the case when drop-down lists contain empty list entries.</t>
  </si>
  <si>
    <t>Colour codes and fonts:</t>
  </si>
  <si>
    <t>Black bold text:</t>
  </si>
  <si>
    <t>This is text provided by the Commission template. It should be kept as it is.</t>
  </si>
  <si>
    <t>Smaller italic text:</t>
  </si>
  <si>
    <t>This text gives further explanations. Member States may add further explanations in MS specific versions of the template.</t>
  </si>
  <si>
    <t>Light yellow fields indicate that an input is optional.</t>
  </si>
  <si>
    <t>Green fields show automatically calculated results. Red text indicates error messages (missing data etc).</t>
  </si>
  <si>
    <t>Shaded fields indicate that an input in another field makes the input here irrelevant.</t>
  </si>
  <si>
    <t>Light grey areas are dedicated for navigation and hyperlinks.</t>
  </si>
  <si>
    <t>This template has been locked against data entry except for yellow fields. However, for transparency reasons, no password has been set. This allows for complete viewing of all formulae. When using this file for data entry, it is recommended to keep the protection in force. The sheets should only be unprotected for checking the validity of formulae. It is recommended to do this in a separate file.</t>
  </si>
  <si>
    <t>In order to protect formulae against unintended modifications, which usually lead to wrong and misleading results, 
it is of utmost importance NOT TO USE the CUT &amp; PASTE function.
If you want to move data, first COPY and PASTE them, and thereafter delete the unwanted data in the old (wrong) place.</t>
  </si>
  <si>
    <t>Member State-specific guidance is listed here:</t>
  </si>
  <si>
    <t>submitted to competent authority</t>
  </si>
  <si>
    <t>returned with remarks</t>
  </si>
  <si>
    <t>approved by competent authority</t>
  </si>
  <si>
    <t>Competent Authority</t>
  </si>
  <si>
    <t>Member State</t>
  </si>
  <si>
    <t>; 'D_ETS1Amounts'!$E$16; 'D_ETS1Amounts'!$E$27</t>
  </si>
  <si>
    <t>Emissions trading permit number</t>
  </si>
  <si>
    <t>member state/CA prefix</t>
  </si>
  <si>
    <t>Address Line 1:</t>
  </si>
  <si>
    <t>Address Line 2:</t>
  </si>
  <si>
    <t>City:</t>
  </si>
  <si>
    <t>; 'A_EntityID'!$E$97</t>
  </si>
  <si>
    <t>State/Province/Region:</t>
  </si>
  <si>
    <t>Postcode/ZIP:</t>
  </si>
  <si>
    <t>Country:</t>
  </si>
  <si>
    <t>; 'A_EntityID'!$E$99</t>
  </si>
  <si>
    <t>Who can we contact about your monitoring plan?</t>
  </si>
  <si>
    <t>Primary contact:</t>
  </si>
  <si>
    <t>Title:</t>
  </si>
  <si>
    <t>First Name:</t>
  </si>
  <si>
    <t>Surname:</t>
  </si>
  <si>
    <t>Job title:</t>
  </si>
  <si>
    <t>Telephone number:</t>
  </si>
  <si>
    <t>; 'A_EntityID'!$E$105</t>
  </si>
  <si>
    <t>Email address:</t>
  </si>
  <si>
    <t>; 'A_EntityID'!$E$104</t>
  </si>
  <si>
    <t>Alternative contact:</t>
  </si>
  <si>
    <t>Parameter</t>
  </si>
  <si>
    <t>Type I default values</t>
  </si>
  <si>
    <t>; 'EUwideConstants'!$B$18</t>
  </si>
  <si>
    <t>Type I biomass fraction</t>
  </si>
  <si>
    <t>; 'EUwideConstants'!$B$19</t>
  </si>
  <si>
    <t>Type II biomass fraction</t>
  </si>
  <si>
    <t>; 'EUwideConstants'!$C$19</t>
  </si>
  <si>
    <t>Laboratory analyses</t>
  </si>
  <si>
    <t>Type II default values</t>
  </si>
  <si>
    <t>; 'EUwideConstants'!$C$18</t>
  </si>
  <si>
    <t>Space for further Comments:</t>
  </si>
  <si>
    <t xml:space="preserve">&lt;&lt;&lt; Click here to proceed to next sheet &gt;&gt;&gt; </t>
  </si>
  <si>
    <t>Trade partner</t>
  </si>
  <si>
    <t xml:space="preserve">Detailed instructions for data entries in this tool can be found at the top of this sheet. </t>
  </si>
  <si>
    <t>relevant</t>
  </si>
  <si>
    <t>not relevant</t>
  </si>
  <si>
    <t>not applicable!</t>
  </si>
  <si>
    <t>Uncertainty shall not be more than</t>
  </si>
  <si>
    <t>Please enter data in this section</t>
  </si>
  <si>
    <t>Please go to the next points below</t>
  </si>
  <si>
    <t>Please justify why historic data is not available or inappropriate</t>
  </si>
  <si>
    <t>No tier</t>
  </si>
  <si>
    <t>De-minimis threshold exceeded!</t>
  </si>
  <si>
    <t>Use by Competent Authority only</t>
  </si>
  <si>
    <t>To be filled in by operator</t>
  </si>
  <si>
    <t>Austria</t>
  </si>
  <si>
    <t>Bulgaria</t>
  </si>
  <si>
    <t>Croatia</t>
  </si>
  <si>
    <t>Cyprus</t>
  </si>
  <si>
    <t>Denmark</t>
  </si>
  <si>
    <t>Estonia</t>
  </si>
  <si>
    <t>Finland</t>
  </si>
  <si>
    <t>France</t>
  </si>
  <si>
    <t>Germany</t>
  </si>
  <si>
    <t>Greece</t>
  </si>
  <si>
    <t>Hungary</t>
  </si>
  <si>
    <t>Iceland</t>
  </si>
  <si>
    <t>Ireland</t>
  </si>
  <si>
    <t>Italy</t>
  </si>
  <si>
    <t>Latvia</t>
  </si>
  <si>
    <t>Liechtenstein</t>
  </si>
  <si>
    <t>Lithuania</t>
  </si>
  <si>
    <t>Luxembourg</t>
  </si>
  <si>
    <t>Malta</t>
  </si>
  <si>
    <t>Norway</t>
  </si>
  <si>
    <t>Poland</t>
  </si>
  <si>
    <t>Portugal</t>
  </si>
  <si>
    <t>Romania</t>
  </si>
  <si>
    <t>Slovakia</t>
  </si>
  <si>
    <t>Slovenia</t>
  </si>
  <si>
    <t>Spain</t>
  </si>
  <si>
    <t>Sweden</t>
  </si>
  <si>
    <t>rejected by competent authority</t>
  </si>
  <si>
    <t>working draft</t>
  </si>
  <si>
    <t>BiomassTiers</t>
  </si>
  <si>
    <t>2b</t>
  </si>
  <si>
    <t>Activity data</t>
  </si>
  <si>
    <t>Tier</t>
  </si>
  <si>
    <t>; 'C_FuelStreams'!$F$52; 'C_FuelStreams'!$F$76; 'C_FuelStreams'!$F$100; 'C_FuelStreams'!$F$124; 'C_FuelStreams'!$F$148; 'C_FuelStreams'!$F$172; 'C_FuelStreams'!$F$196; 'C_FuelStreams'!$F$220; 'C_FuelStreams'!$F$244; 'C_FuelStreams'!$F$268; 'C_FuelStreams'!$F$292; 'C_FuelStreams'!$F$316; 'C_FuelStreams'!$F$340; 'C_FuelStreams'!$F$364; 'C_FuelStreams'!$F$388; 'C_FuelStreams'!$F$412; 'C_FuelStreams'!$F$436; 'C_FuelStreams'!$F$460; 'C_FuelStreams'!$F$484; 'C_FuelStreams'!$F$508; 'C_FuelStreams'!$F$532; 'C_FuelStreams'!$F$556; 'C_FuelStreams'!$F$580; 'C_FuelStreams'!$F$604; 'C_FuelStreams'!$F$628</t>
  </si>
  <si>
    <t>Short name</t>
  </si>
  <si>
    <t>Sub-activity</t>
  </si>
  <si>
    <t>Minimum</t>
  </si>
  <si>
    <t>Highest</t>
  </si>
  <si>
    <t>make grey?</t>
  </si>
  <si>
    <t>Combustion</t>
  </si>
  <si>
    <t>Commercial standard fuels</t>
  </si>
  <si>
    <t>± 7,5%</t>
  </si>
  <si>
    <t>± 5,0%</t>
  </si>
  <si>
    <t>± 2,5%</t>
  </si>
  <si>
    <t>± 1,5%</t>
  </si>
  <si>
    <t>Other gaseous &amp; liquid fuels</t>
  </si>
  <si>
    <t>Solid fuels</t>
  </si>
  <si>
    <t>Emission factor</t>
  </si>
  <si>
    <t>Established proxies (if applicable)</t>
  </si>
  <si>
    <t>Tiers</t>
  </si>
  <si>
    <t>; 'C_FuelStreams'!$Y$48; 'C_FuelStreams'!$Y$72; 'C_FuelStreams'!$Y$96; 'C_FuelStreams'!$Y$120; 'C_FuelStreams'!$Y$144; 'C_FuelStreams'!$Y$168; 'C_FuelStreams'!$Y$192; 'C_FuelStreams'!$Y$216; 'C_FuelStreams'!$Y$240; 'C_FuelStreams'!$Y$264; 'C_FuelStreams'!$Y$288; 'C_FuelStreams'!$Y$312; 'C_FuelStreams'!$Y$336; 'C_FuelStreams'!$Y$360; 'C_FuelStreams'!$Y$384; 'C_FuelStreams'!$Y$408; 'C_FuelStreams'!$Y$432; 'C_FuelStreams'!$Y$456; 'C_FuelStreams'!$Y$480; 'C_FuelStreams'!$Y$504; 'C_FuelStreams'!$Y$528; 'C_FuelStreams'!$Y$552; 'C_FuelStreams'!$Y$576; 'C_FuelStreams'!$Y$600; 'C_FuelStreams'!$Y$624</t>
  </si>
  <si>
    <t>The Monitoring and Reporting Regulation (Commission Regulation (EU) No 2018/2066, as amended, hereinafter the "MRR"), defines further requirements for monitoring and reporting. The MRR can be downloaded from:</t>
  </si>
  <si>
    <t>Type I default values (tier 1):</t>
  </si>
  <si>
    <t>Type I default values include either of the following methods:</t>
  </si>
  <si>
    <t xml:space="preserve">Use standard factors listed in Annex VI (i.e. in principle IPCC values), or </t>
  </si>
  <si>
    <t>Use other constant values in accordance with point (e) of Article 31(1) where such standard factors are not available, i.e. analyses carried out in the past but still valid.</t>
  </si>
  <si>
    <t>Type II default values include either of the following methods, which are considered equivalent:</t>
  </si>
  <si>
    <t xml:space="preserve">Use country specific emission factors in accordance with point (b) of Article 31(1), i.e. values used for the national GHG inventory, or </t>
  </si>
  <si>
    <t xml:space="preserve">Established proxies (tier 2b): </t>
  </si>
  <si>
    <t xml:space="preserve">Purchasing records (tier 2b): </t>
  </si>
  <si>
    <t xml:space="preserve">Laboratory analyses (highest tier): </t>
  </si>
  <si>
    <t>Type I biomass fraction (tier 1):</t>
  </si>
  <si>
    <t>One of the following methods has to be applied, which are considered equivalent:</t>
  </si>
  <si>
    <t>Use values in accordance with Article 31(1), i.e. a "Type I default value".</t>
  </si>
  <si>
    <t>Application of Articles 39(3) and 39(4) in case of natural gas grids, into which biogas is injected, i.e. where the competent authority allows the biomass fraction to be determined using purchase records of biogas of equivalent energy content.</t>
  </si>
  <si>
    <t>Type II biomass fraction (tier 2):</t>
  </si>
  <si>
    <t>Analyse biomass fraction (tier 3a):</t>
  </si>
  <si>
    <t>General information</t>
  </si>
  <si>
    <t>June</t>
  </si>
  <si>
    <t>July</t>
  </si>
  <si>
    <t>August</t>
  </si>
  <si>
    <t>September</t>
  </si>
  <si>
    <t>Biomass fraction</t>
  </si>
  <si>
    <t>Tier conversion</t>
  </si>
  <si>
    <t>a. Table of contents</t>
  </si>
  <si>
    <t>TABLE OF CONTENTS</t>
  </si>
  <si>
    <t>Regulated entity name</t>
  </si>
  <si>
    <t>Unique ETS2 entity identifier:</t>
  </si>
  <si>
    <t>https://eur-lex.europa.eu/eli/reg_impl/2018/2066/2022-08-28</t>
  </si>
  <si>
    <t>Member States may require the [regulated entity] to use electronic templates or specific file formats for submission of monitoring plans and changes to the monitoring plan, as well as for submission of annual emissions reports,...verification reports and improvement reports. 
Those templates or file format specifications established by the Member States shall, at least, contain the information contained in electronic templates or file format specifications published by the Commission.</t>
  </si>
  <si>
    <t>https://climate.ec.europa.eu/eu-action/eu-emissions-trading-system-eu-ets/monitoring-reporting-and-verification-eu-ets-emissions_en</t>
  </si>
  <si>
    <t>; 'C_FuelStreams'!$F$21; 'C_FuelStreams'!$F$25</t>
  </si>
  <si>
    <t>Identify the Competent Authority (CA) of the Member States responsible for you. Note that "Member State" here means all States which are participating in the EU ETS, not only EU Member States.</t>
  </si>
  <si>
    <t>https://climate.ec.europa.eu/eu-action/eu-emissions-trading-system-eu-ets_en</t>
  </si>
  <si>
    <t>Yellow fields indicate mandatory inputs. However, if a topic is not relevant for the entity no input is required.</t>
  </si>
  <si>
    <t>DISCLAIMER: All formulae have been developed carefully and thoroughly. However, mistakes cannot be fully excluded.
As described above, full transparency for checking the validity of calculations is ensured. Neither the authors of this file nor the European Commission can be held liable for eventual damages resulting from wrong or misleading results of the provided calculations. 
It is the full responsibility of the user of this file (i.e. the ETS2 regulated entity) to ensure that correct data is reported to the competent authority.</t>
  </si>
  <si>
    <t>About the regulated entity</t>
  </si>
  <si>
    <t>Regulated entity details</t>
  </si>
  <si>
    <t>Name of the regulated entity and the site on which it is physically located (head quarters, storage facilities, etc.):</t>
  </si>
  <si>
    <t>Regulated entity name:</t>
  </si>
  <si>
    <t>; 'H_Summary'!$E$10</t>
  </si>
  <si>
    <t>Unique ID of the regulated entity:</t>
  </si>
  <si>
    <t>; 'H_Summary'!$E$11; 'I_Accounting'!$E$12</t>
  </si>
  <si>
    <t>Please contact the compentent authority for any guidance.</t>
  </si>
  <si>
    <t>Include any Member State specific guidance on naming of regulated entities.</t>
  </si>
  <si>
    <t>Excise number, if applicable:</t>
  </si>
  <si>
    <t>This is the excise number pursuant to Regulation (EU) No 389/2012 or the national excise registration and identification number issued by the relevant authority pursuant to national legislation transposing Directive 2003/96/EC, used for reporting for tax purposes pursuant to national legislation transposing Directives 2003/96/EC and (EU) 2020/262.</t>
  </si>
  <si>
    <t>Address / location of the regulated entity:</t>
  </si>
  <si>
    <t xml:space="preserve">It will help us to have someone who we can contact directly with any questions about your monitoring plan. The person you name should have the authority to act on behalf of the regulated entity- </t>
  </si>
  <si>
    <t>Organisation name (if different from the regulated entity):</t>
  </si>
  <si>
    <t>Means through which fuels are released for consumption</t>
  </si>
  <si>
    <t>Means for release</t>
  </si>
  <si>
    <t>Means through which fuels are released for consumption (physical means of transport):</t>
  </si>
  <si>
    <t>Means for release MR1, MR2,...</t>
  </si>
  <si>
    <t>Short name or ID</t>
  </si>
  <si>
    <t>Detailed description</t>
  </si>
  <si>
    <t>Pipelines</t>
  </si>
  <si>
    <t>Pipelines connected to the local gas grid</t>
  </si>
  <si>
    <t>Trucks</t>
  </si>
  <si>
    <t>Trucks owned by trading partners</t>
  </si>
  <si>
    <t>Means through which fuels are released for consumption (intermediary parties, e.g. fuel traders):</t>
  </si>
  <si>
    <t>Intermediary parties, IP1, IP2,…</t>
  </si>
  <si>
    <t>Fuel stations for road transport vehicles</t>
  </si>
  <si>
    <t>Directly connected to end consumers</t>
  </si>
  <si>
    <t>Direct contractual arrangements with end consumers</t>
  </si>
  <si>
    <t>Relevant fuel streams</t>
  </si>
  <si>
    <t>Relevant fuel streams:</t>
  </si>
  <si>
    <t>Fuel stream type</t>
  </si>
  <si>
    <t>Means through which released for consumption</t>
  </si>
  <si>
    <t>Intermediary party through which released for consumption</t>
  </si>
  <si>
    <t>MR1: Pipelines</t>
  </si>
  <si>
    <t>MR2: Trucks</t>
  </si>
  <si>
    <t>Fuel stream full name (name + type)</t>
  </si>
  <si>
    <t>fuel stream</t>
  </si>
  <si>
    <t>fuel stream name</t>
  </si>
  <si>
    <t>(a): Methods consistent with ETD/ED regime</t>
  </si>
  <si>
    <t>Regulated entity</t>
  </si>
  <si>
    <t>; 'I_Accounting'!$E$6</t>
  </si>
  <si>
    <t>Scope factor</t>
  </si>
  <si>
    <t>Tier 2 methods</t>
  </si>
  <si>
    <t>Chain-of-custody</t>
  </si>
  <si>
    <t xml:space="preserve">Chain of traceable contractual arrangements and invoices </t>
  </si>
  <si>
    <t>Type II default values (tier 2a):</t>
  </si>
  <si>
    <t>Use other values published by the CA for more disaggregated fuel types in accordance with point (c) of Article 31(1), or other literature values which are agreed with the CA.</t>
  </si>
  <si>
    <t>This is the most common method to be applied for all commercial standard fuels, fuels meeting equivalent criteria at the national or regional level (Article 75k(2)) and category A entities.</t>
  </si>
  <si>
    <t>These are methods based on empirical correlations to derive emission factors for the fuel based on net calorific value for specific coal types. The empirical correlation is determined at least once per year in accordance with Articles 32 to 35 and 75m.</t>
  </si>
  <si>
    <t>The net calorific value may be derived from the purchasing records provided by the fuel trading partner, provided it has been derived based on accepted national or international standards.</t>
  </si>
  <si>
    <t xml:space="preserve">In this case the requirements of Article 32 to 35 on analyses are fully applicable, including the use of the 'established proxies', if applicable and where the uncertainty of the empirical correlation does not exceed 1/3 of the uncertainty value associated with the applicable tier for released fuel amounts. </t>
  </si>
  <si>
    <t xml:space="preserve">Alternatively, the regulated entity can always assume a fossil fraction of 100%. This is considered a "No tier" methodology and a default value of 0% biomass fraction is applied. </t>
  </si>
  <si>
    <t>The biomass fraction is determined based on an estimation method in accordance with the second subparagraph of Article 75m(3), second subparagraph, submitted to the competent authority for approval.</t>
  </si>
  <si>
    <t>In this case laboratory analyses are to be carried out, in accordance with the first sub-paragraph of Article 75m(3) and Articles 32 to 35.</t>
  </si>
  <si>
    <t>Biomass mass balance (tier 3b):</t>
  </si>
  <si>
    <t>For fuels originating from a production process with defined and traceable input streams, the regulated entity may base the estimation on a mass balance of fossil and biomass carbon entering and leaving the process, such as the mass balance system in accordance with Article 30(1) of Directive (EU) 2018/2001.</t>
  </si>
  <si>
    <t>Unit conversion factor</t>
  </si>
  <si>
    <t>This sheet summarises the main information at entity and fuel stream level and aims to support the regulated entity, the verifier and the competent authority with understanding the entity's ETS2 activities as well as with exporting data into databases.</t>
  </si>
  <si>
    <t>Fuel streams</t>
  </si>
  <si>
    <t>Fuel Stream</t>
  </si>
  <si>
    <t>; 'C_FuelStreams'!$I$651; 'F_Timing'!$I$107</t>
  </si>
  <si>
    <t>(b): Batch metering</t>
  </si>
  <si>
    <t>(c): Continual metering</t>
  </si>
  <si>
    <t>Purchase records or invoices</t>
  </si>
  <si>
    <t>Sum not within 5% of annual emissions (section C.1.c)!</t>
  </si>
  <si>
    <t>Road vehicles (e.g. trucks)</t>
  </si>
  <si>
    <t>Trains</t>
  </si>
  <si>
    <t>Ships</t>
  </si>
  <si>
    <t>Fuel stations</t>
  </si>
  <si>
    <t>Fuel traders</t>
  </si>
  <si>
    <t>Default value = 1</t>
  </si>
  <si>
    <t>Default value &lt; 1</t>
  </si>
  <si>
    <t>National marking</t>
  </si>
  <si>
    <t>Indirect methods</t>
  </si>
  <si>
    <t>Physical distinction</t>
  </si>
  <si>
    <t>Chemical distinction</t>
  </si>
  <si>
    <t>Euromarker</t>
  </si>
  <si>
    <t>ETS1 AER</t>
  </si>
  <si>
    <t>Physical distinction of fuel flows</t>
  </si>
  <si>
    <t>Methods based on the chemical properties of fuels</t>
  </si>
  <si>
    <t>Use of fiscal marker in accordance with the Euromarker Directive</t>
  </si>
  <si>
    <t>Information from ETS1 verified annual emissions report</t>
  </si>
  <si>
    <t>Use of national markers or colours (dyes)</t>
  </si>
  <si>
    <t>Indirect methods and correlations</t>
  </si>
  <si>
    <t>Default scope factor of 1</t>
  </si>
  <si>
    <t>Default scope factor lower than 1</t>
  </si>
  <si>
    <t>3a</t>
  </si>
  <si>
    <t>3b</t>
  </si>
  <si>
    <t>Amount of fuel [t], [Nm3], or [TJ]</t>
  </si>
  <si>
    <t>Fuels equivalent to commercial standard fuels (Art. 75k(2))</t>
  </si>
  <si>
    <t>Tier 3 methods</t>
  </si>
  <si>
    <t>Estimation on a mass balance of fossil and biomass carbon</t>
  </si>
  <si>
    <t>3a/3b</t>
  </si>
  <si>
    <t>ETS2 ANNUAL EMISSIONS REPORT</t>
  </si>
  <si>
    <t>a_Contents'!$C$6</t>
  </si>
  <si>
    <t>Version Number of this report:</t>
  </si>
  <si>
    <t>a_Contents'!$C$47</t>
  </si>
  <si>
    <t>If your competent authority requires you to hand in a signed paper copy of the annual emissions report, please use the space below for signature:</t>
  </si>
  <si>
    <t>a_Contents'!$C$49</t>
  </si>
  <si>
    <t>Directive 2003/87/EC (the "ETS Directive") introduces a separate ETS for buildings, road transport and additional sectors (the "ETS2") and requires regulated entities to hold a valid GHG emissions permit issued by the relevant Competent Authority, to monitor and report their emissions, and have the reports verified by an independent and accredited verifier.</t>
  </si>
  <si>
    <t>b_Guidelines and conditions'!$D$8</t>
  </si>
  <si>
    <t>Article 75p of the MRR sets out specific requirements for the content and submission of the verified annual emissions report.</t>
  </si>
  <si>
    <t>b_Guidelines and conditions'!$D$14</t>
  </si>
  <si>
    <t>Article 75p(2): "The annual emissions reports referred to in paragraph 1 shall contain at least the information listed in Annex X."</t>
  </si>
  <si>
    <t>b_Guidelines and conditions'!$D$15</t>
  </si>
  <si>
    <t>Furthermore, Articles 74(1) and 75u state:</t>
  </si>
  <si>
    <t>b_Guidelines and conditions'!$D$16</t>
  </si>
  <si>
    <t xml:space="preserve">This file constitutes the reporting template developed by the Commission services and includes the requirements defined in Annex X as well as further requirements to assist the operator in demonstrating compliance with the MRR. Under certain conditions as described below, it may have been amended to a limited extent by a Member State's competent authority. </t>
  </si>
  <si>
    <t>b_Guidelines and conditions'!$D$18</t>
  </si>
  <si>
    <t xml:space="preserve">This reporting template represents the views of the Commission services at the time of publication. </t>
  </si>
  <si>
    <t>b_Guidelines and conditions'!$D$19</t>
  </si>
  <si>
    <t>This is the final version of the annual emissions report template for ETS2 regulated entities of the EU ETS. Updated version of 12 December 2024.</t>
  </si>
  <si>
    <t>b_Guidelines and conditions'!$D$20</t>
  </si>
  <si>
    <t>After completing this annual emissions report template, the following steps have to be carried out:</t>
  </si>
  <si>
    <t>b_Guidelines and conditions'!$D$22</t>
  </si>
  <si>
    <t>send the report to a verifier for the purpose of verification in accordance with Article 75p(1) of the MRR,</t>
  </si>
  <si>
    <t>b_Guidelines and conditions'!$E$23</t>
  </si>
  <si>
    <t>the version verified by a verifier in accordance with Regulation (EU) 2018/2067 shall be submitted to the competent authority by 30 April of each year unless the competent authority requires submitting the verified annual emission report earlier.</t>
  </si>
  <si>
    <t>b_Guidelines and conditions'!$E$24</t>
  </si>
  <si>
    <t>It is recommended to read the "General MRR Guidance for ETS2 entities".</t>
  </si>
  <si>
    <t>b_Guidelines and conditions'!$D$28</t>
  </si>
  <si>
    <t>This reporting template must be submitted to your competent authority at the following address:</t>
  </si>
  <si>
    <t>b_Guidelines and conditions'!$D$36</t>
  </si>
  <si>
    <t>Contact your CA if you need assistance to complete your Annual Report. Some Member States have produced guidance documents which you may find useful in addition to the Commission's guidance mentioned above.</t>
  </si>
  <si>
    <t>b_Guidelines and conditions'!$D$47</t>
  </si>
  <si>
    <t>Confidentiality statement- The information submitted in respect of this report may be subject to public access to information requirements, including Directive 2003/4/EC on public access to environmental information. If you consider that any information you provide in connection with your application should be treated as commercially confidential, please let your CA know. You should be aware that under the provisions Directive 2003/4/EC, the CA may be obliged to disclose information even where the applicant requests that it is kept confidential.</t>
  </si>
  <si>
    <t>b_Guidelines and conditions'!$D$48</t>
  </si>
  <si>
    <t>This template has been developed to accommodate the minimum content of an annual emissions report required by the MRR. Operators should therefore refer to the MRR and additional Member State requirements (if any) when completing.</t>
  </si>
  <si>
    <t>b_Guidelines and conditions'!$D$64</t>
  </si>
  <si>
    <t>It is recommended that you go through the file from start to end. There are a few functions which will guide you through the form and which depend on previous input, such as cells changing colour if an input is not needed (see colour codes below).</t>
  </si>
  <si>
    <t>b_Guidelines and conditions'!$D$65</t>
  </si>
  <si>
    <t>Grey shaded areas should be filled by Member States before publishing customised version of the template.</t>
  </si>
  <si>
    <t>b_Guidelines and conditions'!$G$74</t>
  </si>
  <si>
    <t>Navigation panels at the top of each sheet provide hyperlinks for quick jumps to individual input sections. The first line ("Table of contents", "Previous sheet", "Next sheet", "Accounting sheet"). Depending on the sheet, further menu items are added.</t>
  </si>
  <si>
    <t>b_Guidelines and conditions'!$D$77</t>
  </si>
  <si>
    <t>Data fields have not been optimised for specific numerical and other formats. However, sheet protection has been limited so as to allow you to use your own formats. In particular, you may decide about the number of decimal places displayed. The number of places is in principle independent from the precision of the calculation. In principle the option "Precision as displayed" of MS Excel should be deactivated. For more details, consult MS Excel's "Help" function on this topic.</t>
  </si>
  <si>
    <t>b_Guidelines and conditions'!$D$80</t>
  </si>
  <si>
    <t>A. Entity ID</t>
  </si>
  <si>
    <t>A_EntityID'!$B$2</t>
  </si>
  <si>
    <t>A. Regulated entity identification</t>
  </si>
  <si>
    <t>A_EntityID'!$C$6</t>
  </si>
  <si>
    <t>Reporting year</t>
  </si>
  <si>
    <t>A_EntityID'!$D$9</t>
  </si>
  <si>
    <t>Please note that - subject to the administrative practice in the Member State - changes regarding the name or identity of the regulated entity, or other information relevant for the permit will require a formal notification to the competent authority pursuant to Article 7 of the EU ETS Directive.</t>
  </si>
  <si>
    <t>A_EntityID'!$D$12</t>
  </si>
  <si>
    <t>Reporting of such changes in this sheet will usually not be sufficient. However, the most recent data has to be filled in here.</t>
  </si>
  <si>
    <t>A_EntityID'!$D$13</t>
  </si>
  <si>
    <t>Include any Member State specific guidance</t>
  </si>
  <si>
    <t>A_EntityID'!$D$14</t>
  </si>
  <si>
    <t>Monitoring &amp; Reporting details</t>
  </si>
  <si>
    <t>A_EntityID'!$D$68</t>
  </si>
  <si>
    <t>Monitoring plan</t>
  </si>
  <si>
    <t>A_EntityID'!$E$70</t>
  </si>
  <si>
    <t>Competent Authority for permitting</t>
  </si>
  <si>
    <t>A_EntityID'!$E$72</t>
  </si>
  <si>
    <t>Latest approved version number of the monitoring plan</t>
  </si>
  <si>
    <t>A_EntityID'!$E$74</t>
  </si>
  <si>
    <t>Have there been changes in monitoring plan compared to previous year?</t>
  </si>
  <si>
    <t>A_EntityID'!$E$76</t>
  </si>
  <si>
    <t>Annual emissions report version numbering</t>
  </si>
  <si>
    <t>A_EntityID'!$E$78</t>
  </si>
  <si>
    <t>Version number in this reporting year:</t>
  </si>
  <si>
    <t>A_EntityID'!$E$80</t>
  </si>
  <si>
    <t>Unique version identifier:</t>
  </si>
  <si>
    <t>A_EntityID'!$E$81</t>
  </si>
  <si>
    <t>Comments:</t>
  </si>
  <si>
    <t>A_EntityID'!$E$83; 'C_FuelStreams'!$F$68; 'C_FuelStreams'!$F$92; 'C_FuelStreams'!$F$116; 'C_FuelStreams'!$F$140; 'C_FuelStreams'!$F$164; 'C_FuelStreams'!$F$188; 'C_FuelStreams'!$F$212; 'C_FuelStreams'!$F$236; 'C_FuelStreams'!$F$260; 'C_FuelStreams'!$F$284; 'C_FuelStreams'!$F$308; 'C_FuelStreams'!$F$332; 'C_FuelStreams'!$F$356; 'C_FuelStreams'!$F$380; 'C_FuelStreams'!$F$404; 'C_FuelStreams'!$F$428; 'C_FuelStreams'!$F$452; 'C_FuelStreams'!$F$476; 'C_FuelStreams'!$F$500; 'C_FuelStreams'!$F$524; 'C_FuelStreams'!$F$548; 'C_FuelStreams'!$F$572; 'C_FuelStreams'!$F$596; 'C_FuelStreams'!$F$620; 'C_FuelStreams'!$F$644</t>
  </si>
  <si>
    <t>If there have been any relevant changes in the operations of an entity or changes or temporary deviations that occurred during the reporting period to the monitoring plan approved by the competent authority, including temporary or permanent changes of tiers, please describe those and provide reasons, the starting date for the changes, and starting and ending dates of temporary changes.</t>
  </si>
  <si>
    <t>A_EntityID'!$E$84</t>
  </si>
  <si>
    <t>Please note that comments related to any changes here cannot be regarded as an official application for changing the monitoring plan. All changes and deviations listed here need to be notified to the CA via the regular procedures.</t>
  </si>
  <si>
    <t>A_EntityID'!$E$85</t>
  </si>
  <si>
    <t>Verifier contact</t>
  </si>
  <si>
    <t>A_EntityID'!$D$92</t>
  </si>
  <si>
    <t>Name and address of the verifier:</t>
  </si>
  <si>
    <t>A_EntityID'!$E$94</t>
  </si>
  <si>
    <t>Company Name:</t>
  </si>
  <si>
    <t>A_EntityID'!$E$95</t>
  </si>
  <si>
    <t>Street, Number:</t>
  </si>
  <si>
    <t>A_EntityID'!$E$96</t>
  </si>
  <si>
    <t>Post code:</t>
  </si>
  <si>
    <t>A_EntityID'!$E$98</t>
  </si>
  <si>
    <t>Contact person for the verifier:</t>
  </si>
  <si>
    <t>A_EntityID'!$E$101</t>
  </si>
  <si>
    <t>The nominated person should be familiar with this report. This person must be the lead EU ETS auditor.</t>
  </si>
  <si>
    <t>A_EntityID'!$E$102</t>
  </si>
  <si>
    <t>Name:</t>
  </si>
  <si>
    <t>A_EntityID'!$E$103</t>
  </si>
  <si>
    <t>Information about the verifier's accreditation or certification:</t>
  </si>
  <si>
    <t>A_EntityID'!$E$107</t>
  </si>
  <si>
    <t>Note that pursuant to Article 55(2) of the "AVR" (Accreditation and Verification Regulation; Regulation (EU) 2018/2067), a Member State may choose to entrust certification of natural persons as verifiers to a national authority other than the national accreditation body.</t>
  </si>
  <si>
    <t>A_EntityID'!$E$108</t>
  </si>
  <si>
    <t>In such cases, "accreditation" should be read as "certification", and "accreditation body" as "national authority".</t>
  </si>
  <si>
    <t>A_EntityID'!$E$109</t>
  </si>
  <si>
    <t>The availability of such registration information may depend on the administering Member State's practice of accreditation of verifiers.</t>
  </si>
  <si>
    <t>A_EntityID'!$E$110</t>
  </si>
  <si>
    <t>Accreditation Member State:</t>
  </si>
  <si>
    <t>A_EntityID'!$E$111</t>
  </si>
  <si>
    <t>Registration number issued by the Accreditation body:</t>
  </si>
  <si>
    <t>A_EntityID'!$E$112</t>
  </si>
  <si>
    <t>B. Identify fuel streams</t>
  </si>
  <si>
    <t>B_IdentifyFuelStreams'!$B$2</t>
  </si>
  <si>
    <t>B. Identification of relevant fuel streams and related details</t>
  </si>
  <si>
    <t>B_IdentifyFuelStreams'!$C$6</t>
  </si>
  <si>
    <t>Annex X requires the annual emissions report to include a description of the means through which the fuels are released for consumption.</t>
  </si>
  <si>
    <t>B_IdentifyFuelStreams'!$E$11</t>
  </si>
  <si>
    <t>The list entered here will be available as a drop-down list for fuel streams (section 2.b) where a reference to the relevant means is needed. Please therefore provide a short name or ID (either from drop-down list or enter free text) for easier reference, accompanied by a more detailed description.</t>
  </si>
  <si>
    <t>B_IdentifyFuelStreams'!$E$12; 'B_IdentifyFuelStreams'!$E$31</t>
  </si>
  <si>
    <t>The first two lines show examples for how this section should be completed. Please ensure consistency with the relevant sections in the monitoring plan.</t>
  </si>
  <si>
    <t>B_IdentifyFuelStreams'!$E$13; 'B_IdentifyFuelStreams'!$E$32; 'B_IdentifyFuelStreams'!$E$95</t>
  </si>
  <si>
    <t>Further to the means under a) above, please list here the relevant (intermediary) consumers downstream to which you directly supply fuels next in the supply chain, to the extent known. This could be that you are 'directly connected to end consumers' or intermediary fuel traders are involved or 'fuel stations'. Where not feasible to list all parties without unreasonable effort and subject to the applied methods for the scope factor, please list at least the first type of intermediary party directly downstream to you.</t>
  </si>
  <si>
    <t>B_IdentifyFuelStreams'!$E$30</t>
  </si>
  <si>
    <t>Please list here all relevant fuel streams in your regulated entity. For definition of the term "fuel stream" please see the "General guidance for ETS2 regulated entities".</t>
  </si>
  <si>
    <t>B_IdentifyFuelStreams'!$E$51</t>
  </si>
  <si>
    <t>Each fuel stream should be identified by the following steps:</t>
  </si>
  <si>
    <t>B_IdentifyFuelStreams'!$E$52</t>
  </si>
  <si>
    <t>Choose the fuel stream type from the drop-down list</t>
  </si>
  <si>
    <t>B_IdentifyFuelStreams'!$F$53</t>
  </si>
  <si>
    <t>The fuel stream type is to be understood as a set of rules to be used according to the MRR. This classification is the basis for further obligations, e.g. tiers to be applied.</t>
  </si>
  <si>
    <t>B_IdentifyFuelStreams'!$F$54</t>
  </si>
  <si>
    <t>Choose a fuel stream category from the drop-down list</t>
  </si>
  <si>
    <t>B_IdentifyFuelStreams'!$F$55</t>
  </si>
  <si>
    <t>The fuel stream category depends on the fuel stream type chosen and may be e.g. "Gaseous - Natural Gas", "Liquid - Heavy Fuel Oil",..</t>
  </si>
  <si>
    <t>B_IdentifyFuelStreams'!$F$56</t>
  </si>
  <si>
    <t>Important! Please note that there will always be "other" fuels available in the drop-down list. For consistency reasons please make sure that those "others" are only selected if there really is no suitable fuel available from the drop-down list. Furthermore, the list in your Member State specific template may contain different names than the EU template. Please therefore always use the version as required by your competent authority.</t>
  </si>
  <si>
    <t>B_IdentifyFuelStreams'!$F$57</t>
  </si>
  <si>
    <t>Enter a further name or detail, if appropriate</t>
  </si>
  <si>
    <t>B_IdentifyFuelStreams'!$F$58</t>
  </si>
  <si>
    <t>If the fuel stream category still represents a class of more aggregate fuels, you may further specify the fuel stream by entering a name (e.g. there might be specific names to identify a certain grade of the same fuel stream category). Depending on the fuel stream category this input field will be mandatory or optional.</t>
  </si>
  <si>
    <t>B_IdentifyFuelStreams'!$F$59</t>
  </si>
  <si>
    <t>Where different scope factor methods are used for the same fuel stream category, you should split the total fuel amount into separate fuel streams. For example, if scope factor Tier 3 (ETS1 Annual Emissions Reports) is applied to identify amounts released to ETS1 and scope factor Tier 2 (chain-of-custody) is applied to identify for all other consumers whether they fall under the scope of ETS2, two distinct fuel streams should be established.</t>
  </si>
  <si>
    <t>B_IdentifyFuelStreams'!$F$60</t>
  </si>
  <si>
    <t>The first three lines show examples for how this section should be completed.</t>
  </si>
  <si>
    <t>B_IdentifyFuelStreams'!$E$61</t>
  </si>
  <si>
    <t>Fuel stream category</t>
  </si>
  <si>
    <t>B_IdentifyFuelStreams'!$I$63</t>
  </si>
  <si>
    <t>Further name or detail</t>
  </si>
  <si>
    <t>B_IdentifyFuelStreams'!$L$63</t>
  </si>
  <si>
    <t>Error</t>
  </si>
  <si>
    <t>B_IdentifyFuelStreams'!$N$63</t>
  </si>
  <si>
    <t>Liquid - Motor Gasoline</t>
  </si>
  <si>
    <t>B_IdentifyFuelStreams'!$I$64; 'F.a.Tool_Blending'!$E$21</t>
  </si>
  <si>
    <t>Gaseous - Natural Gas</t>
  </si>
  <si>
    <t>B_IdentifyFuelStreams'!$I$65; 'B_IdentifyFuelStreams'!$I$66</t>
  </si>
  <si>
    <t>NG - ETS1 consumers</t>
  </si>
  <si>
    <t>B_IdentifyFuelStreams'!$L$65</t>
  </si>
  <si>
    <t>F03</t>
  </si>
  <si>
    <t>B_IdentifyFuelStreams'!$D$66</t>
  </si>
  <si>
    <t>NG - Other consumers</t>
  </si>
  <si>
    <t>B_IdentifyFuelStreams'!$L$66</t>
  </si>
  <si>
    <t>Attributing means through which fuels are released for consumption to fuel streams</t>
  </si>
  <si>
    <t>B_IdentifyFuelStreams'!$E$93</t>
  </si>
  <si>
    <t>Please select from the respective drop-down lists the relevant means through which fuels are released for consumption: the physical means (pipelines, trucks, etc.) as well as the types of intermediary consumers (fuel traders, etc.), as provided under sections 1.a and 1.b. If more than one means is relevant, please enter e.g. "MR1, MR2", "IP3, IP5", respectively.</t>
  </si>
  <si>
    <t>B_IdentifyFuelStreams'!$E$94</t>
  </si>
  <si>
    <t>F1. Gaseous - Natural Gas</t>
  </si>
  <si>
    <t>B_IdentifyFuelStreams'!$E$98; 'D_ETS1Amounts'!$H$55</t>
  </si>
  <si>
    <t>IP6: Directly connected to end consumers</t>
  </si>
  <si>
    <t>B_IdentifyFuelStreams'!$M$98</t>
  </si>
  <si>
    <t>F3. Liquid - Motor Gasoline</t>
  </si>
  <si>
    <t>B_IdentifyFuelStreams'!$E$99</t>
  </si>
  <si>
    <t>IP1, IP2</t>
  </si>
  <si>
    <t>B_IdentifyFuelStreams'!$M$99</t>
  </si>
  <si>
    <t>C. Fuel streams</t>
  </si>
  <si>
    <t>C_FuelStreams'!$B$2</t>
  </si>
  <si>
    <t>C. Fuel Streams</t>
  </si>
  <si>
    <t>C_FuelStreams'!$C$8</t>
  </si>
  <si>
    <t>Emissions from fuel streams</t>
  </si>
  <si>
    <t>C_FuelStreams'!$D$10</t>
  </si>
  <si>
    <t>Abbreviations:</t>
  </si>
  <si>
    <t>C_FuelStreams'!$E$12; 'D_ETS1Amounts'!$E$15; 'E_DataGaps'!$E$10; 'F_Timing'!$E$15</t>
  </si>
  <si>
    <t>RFA:</t>
  </si>
  <si>
    <t>C_FuelStreams'!$E$13; 'C_FuelStreams'!$D$53; 'C_FuelStreams'!$D$77; 'C_FuelStreams'!$D$101; 'C_FuelStreams'!$D$125; 'C_FuelStreams'!$D$149; 'C_FuelStreams'!$D$173; 'C_FuelStreams'!$D$197; 'C_FuelStreams'!$D$221; 'C_FuelStreams'!$D$245; 'C_FuelStreams'!$D$269; 'C_FuelStreams'!$D$293; 'C_FuelStreams'!$D$317; 'C_FuelStreams'!$D$341; 'C_FuelStreams'!$D$365; 'C_FuelStreams'!$D$389; 'C_FuelStreams'!$D$413; 'C_FuelStreams'!$D$437; 'C_FuelStreams'!$D$461; 'C_FuelStreams'!$D$485; 'C_FuelStreams'!$D$509; 'C_FuelStreams'!$D$533; 'C_FuelStreams'!$D$557; 'C_FuelStreams'!$D$581; 'C_FuelStreams'!$D$605; 'C_FuelStreams'!$D$629</t>
  </si>
  <si>
    <t>The released fuel amount is the amount of fuels released for consumption.</t>
  </si>
  <si>
    <t>C_FuelStreams'!$F$13</t>
  </si>
  <si>
    <t>(prelim) EF:</t>
  </si>
  <si>
    <t>C_FuelStreams'!$E$14; 'C_FuelStreams'!$D$56; 'C_FuelStreams'!$D$80; 'C_FuelStreams'!$D$104; 'C_FuelStreams'!$D$128; 'C_FuelStreams'!$D$152; 'C_FuelStreams'!$D$176; 'C_FuelStreams'!$D$200; 'C_FuelStreams'!$D$224; 'C_FuelStreams'!$D$248; 'C_FuelStreams'!$D$272; 'C_FuelStreams'!$D$296; 'C_FuelStreams'!$D$320; 'C_FuelStreams'!$D$344; 'C_FuelStreams'!$D$368; 'C_FuelStreams'!$D$392; 'C_FuelStreams'!$D$416; 'C_FuelStreams'!$D$440; 'C_FuelStreams'!$D$464; 'C_FuelStreams'!$D$488; 'C_FuelStreams'!$D$512; 'C_FuelStreams'!$D$536; 'C_FuelStreams'!$D$560; 'C_FuelStreams'!$D$584; 'C_FuelStreams'!$D$608; 'C_FuelStreams'!$D$632</t>
  </si>
  <si>
    <t>The "preliminary" emission factor is the assumed total emission factor of fuel based on the total carbon content composed of biomass fraction and fossil fraction before multiplying it with the fossil fraction to result in the emission factor.</t>
  </si>
  <si>
    <t>C_FuelStreams'!$F$14</t>
  </si>
  <si>
    <t>UCF:</t>
  </si>
  <si>
    <t>C_FuelStreams'!$E$15; 'C_FuelStreams'!$D$55; 'C_FuelStreams'!$D$79; 'C_FuelStreams'!$D$103; 'C_FuelStreams'!$D$127; 'C_FuelStreams'!$D$151; 'C_FuelStreams'!$D$175; 'C_FuelStreams'!$D$199; 'C_FuelStreams'!$D$223; 'C_FuelStreams'!$D$247; 'C_FuelStreams'!$D$271; 'C_FuelStreams'!$D$295; 'C_FuelStreams'!$D$319; 'C_FuelStreams'!$D$343; 'C_FuelStreams'!$D$367; 'C_FuelStreams'!$D$391; 'C_FuelStreams'!$D$415; 'C_FuelStreams'!$D$439; 'C_FuelStreams'!$D$463; 'C_FuelStreams'!$D$487; 'C_FuelStreams'!$D$511; 'C_FuelStreams'!$D$535; 'C_FuelStreams'!$D$559; 'C_FuelStreams'!$D$583; 'C_FuelStreams'!$D$607; 'C_FuelStreams'!$D$631</t>
  </si>
  <si>
    <t>The unit conversion factor converting the unit in which released fuel amounts are expressed, into amounts expressed as energy in TJ, mass in tonnes or volume in Nm³, where appropriate. It comprises all relevant factors such as the density, the net calorific value or (for gases) the conversion from gross calorific value to net calorific value, as applicable.</t>
  </si>
  <si>
    <t>C_FuelStreams'!$F$15</t>
  </si>
  <si>
    <t>BioF:</t>
  </si>
  <si>
    <t>C_FuelStreams'!$E$16; 'C_FuelStreams'!$D$57; 'C_FuelStreams'!$D$81; 'C_FuelStreams'!$D$105; 'C_FuelStreams'!$D$129; 'C_FuelStreams'!$D$153; 'C_FuelStreams'!$D$177; 'C_FuelStreams'!$D$201; 'C_FuelStreams'!$D$225; 'C_FuelStreams'!$D$249; 'C_FuelStreams'!$D$273; 'C_FuelStreams'!$D$297; 'C_FuelStreams'!$D$321; 'C_FuelStreams'!$D$345; 'C_FuelStreams'!$D$369; 'C_FuelStreams'!$D$393; 'C_FuelStreams'!$D$417; 'C_FuelStreams'!$D$441; 'C_FuelStreams'!$D$465; 'C_FuelStreams'!$D$489; 'C_FuelStreams'!$D$513; 'C_FuelStreams'!$D$537; 'C_FuelStreams'!$D$561; 'C_FuelStreams'!$D$585; 'C_FuelStreams'!$D$609; 'C_FuelStreams'!$D$633</t>
  </si>
  <si>
    <t>The biomass fraction is the ratio of carbon stemming from biomass to the total carbon content of a fuel, expressed as a fraction.</t>
  </si>
  <si>
    <t>C_FuelStreams'!$F$16</t>
  </si>
  <si>
    <t>This value should relate to all biomass for which the following conditions are satisfied:</t>
  </si>
  <si>
    <t>C_FuelStreams'!$F$17</t>
  </si>
  <si>
    <t>sustainability criteria (Article 38(5)) are not applicable, OR</t>
  </si>
  <si>
    <t>C_FuelStreams'!$G$18</t>
  </si>
  <si>
    <t>sustainability criteria (Article 38(5)) are to be applied and those criteria are satisfied.</t>
  </si>
  <si>
    <t>C_FuelStreams'!$G$19</t>
  </si>
  <si>
    <t>Further guidance can be found in Guidance Document 3 on "Biomass issues" (see link below)</t>
  </si>
  <si>
    <t>C_FuelStreams'!$F$20; 'C_FuelStreams'!$F$24</t>
  </si>
  <si>
    <t>non-sust. BioF:</t>
  </si>
  <si>
    <t>C_FuelStreams'!$E$22; 'C_FuelStreams'!$D$58; 'C_FuelStreams'!$D$82; 'C_FuelStreams'!$D$106; 'C_FuelStreams'!$D$130; 'C_FuelStreams'!$D$154; 'C_FuelStreams'!$D$178; 'C_FuelStreams'!$D$202; 'C_FuelStreams'!$D$226; 'C_FuelStreams'!$D$250; 'C_FuelStreams'!$D$274; 'C_FuelStreams'!$D$298; 'C_FuelStreams'!$D$322; 'C_FuelStreams'!$D$346; 'C_FuelStreams'!$D$370; 'C_FuelStreams'!$D$394; 'C_FuelStreams'!$D$418; 'C_FuelStreams'!$D$442; 'C_FuelStreams'!$D$466; 'C_FuelStreams'!$D$490; 'C_FuelStreams'!$D$514; 'C_FuelStreams'!$D$538; 'C_FuelStreams'!$D$562; 'C_FuelStreams'!$D$586; 'C_FuelStreams'!$D$610; 'C_FuelStreams'!$D$634</t>
  </si>
  <si>
    <t>The "non-sustainable" biomass fraction is the ratio of carbon stemming from "non-sustainable" biomass to the total carbon content of a fuel, expressed as a fraction.</t>
  </si>
  <si>
    <t>C_FuelStreams'!$F$22</t>
  </si>
  <si>
    <t>This value should relate only to biomass for which sustainability criteria are to be applied, but where those criteria are not satisfied.</t>
  </si>
  <si>
    <t>C_FuelStreams'!$F$23</t>
  </si>
  <si>
    <t>Use values from those published by the competent authority or the Commission for this type of fuel.</t>
  </si>
  <si>
    <t>C_FuelStreams'!$G$37</t>
  </si>
  <si>
    <t>Consumers' CRF category:</t>
  </si>
  <si>
    <t>C_FuelStreams'!$E$44; 'C_FuelStreams'!$D$64; 'C_FuelStreams'!$D$88; 'C_FuelStreams'!$D$112; 'C_FuelStreams'!$D$136; 'C_FuelStreams'!$D$160; 'C_FuelStreams'!$D$184; 'C_FuelStreams'!$D$208; 'C_FuelStreams'!$D$232; 'C_FuelStreams'!$D$256; 'C_FuelStreams'!$D$280; 'C_FuelStreams'!$D$304; 'C_FuelStreams'!$D$328; 'C_FuelStreams'!$D$352; 'C_FuelStreams'!$D$376; 'C_FuelStreams'!$D$400; 'C_FuelStreams'!$D$424; 'C_FuelStreams'!$D$448; 'C_FuelStreams'!$D$472; 'C_FuelStreams'!$D$496; 'C_FuelStreams'!$D$520; 'C_FuelStreams'!$D$544; 'C_FuelStreams'!$D$568; 'C_FuelStreams'!$D$592; 'C_FuelStreams'!$D$616; 'C_FuelStreams'!$D$640</t>
  </si>
  <si>
    <t>CRF category of the consumers. CRF categories only need to be specified for consumers outside of the ETS2 (when the scope factor is lower than 1).</t>
  </si>
  <si>
    <t>C_FuelStreams'!$F$44</t>
  </si>
  <si>
    <t>CO2 fossil:</t>
  </si>
  <si>
    <t>C_FuelStreams'!$M$47; 'C_FuelStreams'!$M$71; 'C_FuelStreams'!$M$95; 'C_FuelStreams'!$M$119; 'C_FuelStreams'!$M$143; 'C_FuelStreams'!$M$167; 'C_FuelStreams'!$M$191; 'C_FuelStreams'!$M$215; 'C_FuelStreams'!$M$239; 'C_FuelStreams'!$M$263; 'C_FuelStreams'!$M$287; 'C_FuelStreams'!$M$311; 'C_FuelStreams'!$M$335; 'C_FuelStreams'!$M$359; 'C_FuelStreams'!$M$383; 'C_FuelStreams'!$M$407; 'C_FuelStreams'!$M$431; 'C_FuelStreams'!$M$455; 'C_FuelStreams'!$M$479; 'C_FuelStreams'!$M$503; 'C_FuelStreams'!$M$527; 'C_FuelStreams'!$M$551; 'C_FuelStreams'!$M$575; 'C_FuelStreams'!$M$599; 'C_FuelStreams'!$M$623</t>
  </si>
  <si>
    <t>CO2 bio:</t>
  </si>
  <si>
    <t>C_FuelStreams'!$M$48; 'C_FuelStreams'!$M$72; 'C_FuelStreams'!$M$96; 'C_FuelStreams'!$M$120; 'C_FuelStreams'!$M$144; 'C_FuelStreams'!$M$168; 'C_FuelStreams'!$M$192; 'C_FuelStreams'!$M$216; 'C_FuelStreams'!$M$240; 'C_FuelStreams'!$M$264; 'C_FuelStreams'!$M$288; 'C_FuelStreams'!$M$312; 'C_FuelStreams'!$M$336; 'C_FuelStreams'!$M$360; 'C_FuelStreams'!$M$384; 'C_FuelStreams'!$M$408; 'C_FuelStreams'!$M$432; 'C_FuelStreams'!$M$456; 'C_FuelStreams'!$M$480; 'C_FuelStreams'!$M$504; 'C_FuelStreams'!$M$528; 'C_FuelStreams'!$M$552; 'C_FuelStreams'!$M$576; 'C_FuelStreams'!$M$600; 'C_FuelStreams'!$M$624</t>
  </si>
  <si>
    <t>RFA Tier</t>
  </si>
  <si>
    <t>C_FuelStreams'!$BJ$48; 'C_FuelStreams'!$BJ$72; 'C_FuelStreams'!$BJ$96; 'C_FuelStreams'!$BJ$120; 'C_FuelStreams'!$BJ$144; 'C_FuelStreams'!$BJ$168; 'C_FuelStreams'!$BJ$192; 'C_FuelStreams'!$BJ$216; 'C_FuelStreams'!$BJ$240; 'C_FuelStreams'!$BJ$264; 'C_FuelStreams'!$BJ$288; 'C_FuelStreams'!$BJ$312; 'C_FuelStreams'!$BJ$336; 'C_FuelStreams'!$BJ$360; 'C_FuelStreams'!$BJ$384; 'C_FuelStreams'!$BJ$408; 'C_FuelStreams'!$BJ$432; 'C_FuelStreams'!$BJ$456; 'C_FuelStreams'!$BJ$480; 'C_FuelStreams'!$BJ$504; 'C_FuelStreams'!$BJ$528; 'C_FuelStreams'!$BJ$552; 'C_FuelStreams'!$BJ$576; 'C_FuelStreams'!$BJ$600; 'C_FuelStreams'!$BJ$624; 'I_Accounting'!$I$12; 'C_FuelStreams'!$BJ$61; 'C_FuelStreams'!$BJ$89; 'C_FuelStreams'!$BJ$117; 'C_FuelStreams'!$BJ$145; 'C_FuelStreams'!$BJ$173; 'C_FuelStreams'!$BJ$201; 'C_FuelStreams'!$BJ$229; 'C_FuelStreams'!$BJ$257; 'C_FuelStreams'!$BJ$285; 'C_FuelStreams'!$BJ$313; 'C_FuelStreams'!$BJ$341; 'C_FuelStreams'!$BJ$369; 'C_FuelStreams'!$BJ$397; 'C_FuelStreams'!$BJ$425; 'C_FuelStreams'!$BJ$453; 'C_FuelStreams'!$BJ$481; 'C_FuelStreams'!$BJ$509; 'C_FuelStreams'!$BJ$537; 'C_FuelStreams'!$BJ$565; 'C_FuelStreams'!$BJ$593; 'C_FuelStreams'!$BJ$621; 'C_FuelStreams'!$BJ$649; 'C_FuelStreams'!$BJ$677; 'C_FuelStreams'!$BJ$705; 'C_FuelStreams'!$BJ$733; 'C_FuelStreams'!$BJ$761; 'C_FuelStreams'!$BJ$789; 'C_FuelStreams'!$BJ$817; 'C_FuelStreams'!$BJ$845; 'C_FuelStreams'!$BJ$873; 'C_FuelStreams'!$BJ$901; 'C_FuelStreams'!$BJ$929; 'C_FuelStreams'!$BJ$957; 'C_FuelStreams'!$BJ$985; 'C_FuelStreams'!$BJ$1013; 'C_FuelStreams'!$BJ$1041; 'C_FuelStreams'!$BJ$1069; 'C_FuelStreams'!$BJ$1097; 'C_FuelStreams'!$BJ$1125; 'C_FuelStreams'!$BJ$1153; 'C_FuelStreams'!$BJ$1181; 'C_FuelStreams'!$BJ$1209; 'C_FuelStreams'!$BJ$1237; 'C_FuelStreams'!$BJ$1265; 'C_FuelStreams'!$BJ$1293; 'C_FuelStreams'!$BJ$1321; 'C_FuelStreams'!$BJ$1349; 'C_FuelStreams'!$BJ$1377; 'C_FuelStreams'!$BJ$1405; 'C_FuelStreams'!$BJ$1433</t>
  </si>
  <si>
    <t>RFA</t>
  </si>
  <si>
    <t>C_FuelStreams'!$BK$48; 'C_FuelStreams'!$BK$72; 'C_FuelStreams'!$BK$96; 'C_FuelStreams'!$BK$120; 'C_FuelStreams'!$BK$144; 'C_FuelStreams'!$BK$168; 'C_FuelStreams'!$BK$192; 'C_FuelStreams'!$BK$216; 'C_FuelStreams'!$BK$240; 'C_FuelStreams'!$BK$264; 'C_FuelStreams'!$BK$288; 'C_FuelStreams'!$BK$312; 'C_FuelStreams'!$BK$336; 'C_FuelStreams'!$BK$360; 'C_FuelStreams'!$BK$384; 'C_FuelStreams'!$BK$408; 'C_FuelStreams'!$BK$432; 'C_FuelStreams'!$BK$456; 'C_FuelStreams'!$BK$480; 'C_FuelStreams'!$BK$504; 'C_FuelStreams'!$BK$528; 'C_FuelStreams'!$BK$552; 'C_FuelStreams'!$BK$576; 'C_FuelStreams'!$BK$600; 'C_FuelStreams'!$BK$624; 'I_Accounting'!$J$12; 'MSParameters'!$M$16; 'C_FuelStreams'!$BK$61; 'C_FuelStreams'!$BK$89; 'C_FuelStreams'!$BK$117; 'C_FuelStreams'!$BK$145; 'C_FuelStreams'!$BK$173; 'C_FuelStreams'!$BK$201; 'C_FuelStreams'!$BK$229; 'C_FuelStreams'!$BK$257; 'C_FuelStreams'!$BK$285; 'C_FuelStreams'!$BK$313; 'C_FuelStreams'!$BK$341; 'C_FuelStreams'!$BK$369; 'C_FuelStreams'!$BK$397; 'C_FuelStreams'!$BK$425; 'C_FuelStreams'!$BK$453; 'C_FuelStreams'!$BK$481; 'C_FuelStreams'!$BK$509; 'C_FuelStreams'!$BK$537; 'C_FuelStreams'!$BK$565; 'C_FuelStreams'!$BK$593; 'C_FuelStreams'!$BK$621; 'C_FuelStreams'!$BK$649; 'C_FuelStreams'!$BK$677; 'C_FuelStreams'!$BK$705; 'C_FuelStreams'!$BK$733; 'C_FuelStreams'!$BK$761; 'C_FuelStreams'!$BK$789; 'C_FuelStreams'!$BK$817; 'C_FuelStreams'!$BK$845; 'C_FuelStreams'!$BK$873; 'C_FuelStreams'!$BK$901; 'C_FuelStreams'!$BK$929; 'C_FuelStreams'!$BK$957; 'C_FuelStreams'!$BK$985; 'C_FuelStreams'!$BK$1013; 'C_FuelStreams'!$BK$1041; 'C_FuelStreams'!$BK$1069; 'C_FuelStreams'!$BK$1097; 'C_FuelStreams'!$BK$1125; 'C_FuelStreams'!$BK$1153; 'C_FuelStreams'!$BK$1181; 'C_FuelStreams'!$BK$1209; 'C_FuelStreams'!$BK$1237; 'C_FuelStreams'!$BK$1265; 'C_FuelStreams'!$BK$1293; 'C_FuelStreams'!$BK$1321; 'C_FuelStreams'!$BK$1349; 'C_FuelStreams'!$BK$1377; 'C_FuelStreams'!$BK$1405; 'C_FuelStreams'!$BK$1433; 'F.a.Tool_Blending'!$F$18; 'F.a.Tool_Blending'!$W$19; 'F.a.Tool_Blending'!$F$41; 'F.a.Tool_Blending'!$F$77; 'F.a.Tool_Blending'!$W$78; 'F.a.Tool_Blending'!$F$100; 'F.a.Tool_Blending'!$W$101; 'F.a.Tool_Blending'!$F$123; 'F.a.Tool_Blending'!$W$124; 'F.a.Tool_Blending'!$F$146; 'F.a.Tool_Blending'!$W$147; 'F.a.Tool_Blending'!$F$169; 'F.a.Tool_Blending'!$W$170; 'F.a.Tool_Blending'!$F$192; 'F.a.Tool_Blending'!$W$193; 'F.a.Tool_Blending'!$F$215; 'F.a.Tool_Blending'!$W$216; 'F.a.Tool_Blending'!$F$238; 'F.a.Tool_Blending'!$W$239; 'F.a.Tool_Blending'!$F$261; 'F.a.Tool_Blending'!$W$262; 'F.a.Tool_Blending'!$F$284; 'F.a.Tool_Blending'!$W$285; 'F.a.Tool_Blending'!$F$307; 'F.a.Tool_Blending'!$W$308; 'F.a.Tool_Blending'!$F$330; 'F.a.Tool_Blending'!$W$331; 'F.a.Tool_Blending'!$F$353; 'F.a.Tool_Blending'!$W$354; 'F.a.Tool_Blending'!$F$376; 'F.a.Tool_Blending'!$W$377; 'F.a.Tool_Blending'!$F$399; 'F.a.Tool_Blending'!$W$400; 'F.a.Tool_Blending'!$F$422; 'F.a.Tool_Blending'!$W$423; 'F.a.Tool_Blending'!$F$445; 'F.a.Tool_Blending'!$W$446; 'F.a.Tool_Blending'!$F$468; 'F.a.Tool_Blending'!$W$469; 'F.a.Tool_Blending'!$F$491; 'F.a.Tool_Blending'!$W$492; 'F.a.Tool_Blending'!$F$514; 'F.a.Tool_Blending'!$W$515; 'F.a.Tool_Blending'!$F$537; 'F.a.Tool_Blending'!$W$538; 'F.a.Tool_Blending'!$F$560; 'F.a.Tool_Blending'!$W$561; 'F.a.Tool_Blending'!$F$583; 'F.a.Tool_Blending'!$W$584; 'F.a.Tool_Blending'!$F$606; 'F.a.Tool_Blending'!$W$607; 'F.a.Tool_Blending'!$F$629; 'F.a.Tool_Blending'!$W$630; 'F.a.Tool_Blending'!$F$652; 'F.a.Tool_Blending'!$W$653; 'F.a.Tool_Blending'!$F$675; 'F.a.Tool_Blending'!$W$676; 'F.a.Tool_Blending'!$F$698; 'F.a.Tool_Blending'!$W$699; 'F.a.Tool_Blending'!$F$721; 'F.a.Tool_Blending'!$W$722; 'F.a.Tool_Blending'!$F$744; 'F.a.Tool_Blending'!$W$745</t>
  </si>
  <si>
    <t>RFA (in scope)</t>
  </si>
  <si>
    <t>C_FuelStreams'!$BL$48; 'C_FuelStreams'!$BL$72; 'C_FuelStreams'!$BL$96; 'C_FuelStreams'!$BL$120; 'C_FuelStreams'!$BL$144; 'C_FuelStreams'!$BL$168; 'C_FuelStreams'!$BL$192; 'C_FuelStreams'!$BL$216; 'C_FuelStreams'!$BL$240; 'C_FuelStreams'!$BL$264; 'C_FuelStreams'!$BL$288; 'C_FuelStreams'!$BL$312; 'C_FuelStreams'!$BL$336; 'C_FuelStreams'!$BL$360; 'C_FuelStreams'!$BL$384; 'C_FuelStreams'!$BL$408; 'C_FuelStreams'!$BL$432; 'C_FuelStreams'!$BL$456; 'C_FuelStreams'!$BL$480; 'C_FuelStreams'!$BL$504; 'C_FuelStreams'!$BL$528; 'C_FuelStreams'!$BL$552; 'C_FuelStreams'!$BL$576; 'C_FuelStreams'!$BL$600; 'C_FuelStreams'!$BL$624; 'I_Accounting'!$K$12; 'C_FuelStreams'!$BL$61; 'C_FuelStreams'!$BL$89; 'C_FuelStreams'!$BL$117; 'C_FuelStreams'!$BL$145; 'C_FuelStreams'!$BL$173; 'C_FuelStreams'!$BL$201; 'C_FuelStreams'!$BL$229; 'C_FuelStreams'!$BL$257; 'C_FuelStreams'!$BL$285; 'C_FuelStreams'!$BL$313; 'C_FuelStreams'!$BL$341; 'C_FuelStreams'!$BL$369; 'C_FuelStreams'!$BL$397; 'C_FuelStreams'!$BL$425; 'C_FuelStreams'!$BL$453; 'C_FuelStreams'!$BL$481; 'C_FuelStreams'!$BL$509; 'C_FuelStreams'!$BL$537; 'C_FuelStreams'!$BL$565; 'C_FuelStreams'!$BL$593; 'C_FuelStreams'!$BL$621; 'C_FuelStreams'!$BL$649; 'C_FuelStreams'!$BL$677; 'C_FuelStreams'!$BL$705; 'C_FuelStreams'!$BL$733; 'C_FuelStreams'!$BL$761; 'C_FuelStreams'!$BL$789; 'C_FuelStreams'!$BL$817; 'C_FuelStreams'!$BL$845; 'C_FuelStreams'!$BL$873; 'C_FuelStreams'!$BL$901; 'C_FuelStreams'!$BL$929; 'C_FuelStreams'!$BL$957; 'C_FuelStreams'!$BL$985; 'C_FuelStreams'!$BL$1013; 'C_FuelStreams'!$BL$1041; 'C_FuelStreams'!$BL$1069; 'C_FuelStreams'!$BL$1097; 'C_FuelStreams'!$BL$1125; 'C_FuelStreams'!$BL$1153; 'C_FuelStreams'!$BL$1181; 'C_FuelStreams'!$BL$1209; 'C_FuelStreams'!$BL$1237; 'C_FuelStreams'!$BL$1265; 'C_FuelStreams'!$BL$1293; 'C_FuelStreams'!$BL$1321; 'C_FuelStreams'!$BL$1349; 'C_FuelStreams'!$BL$1377; 'C_FuelStreams'!$BL$1405; 'C_FuelStreams'!$BL$1433</t>
  </si>
  <si>
    <t>RFA Unit</t>
  </si>
  <si>
    <t>C_FuelStreams'!$BM$48; 'C_FuelStreams'!$BM$72; 'C_FuelStreams'!$BM$96; 'C_FuelStreams'!$BM$120; 'C_FuelStreams'!$BM$144; 'C_FuelStreams'!$BM$168; 'C_FuelStreams'!$BM$192; 'C_FuelStreams'!$BM$216; 'C_FuelStreams'!$BM$240; 'C_FuelStreams'!$BM$264; 'C_FuelStreams'!$BM$288; 'C_FuelStreams'!$BM$312; 'C_FuelStreams'!$BM$336; 'C_FuelStreams'!$BM$360; 'C_FuelStreams'!$BM$384; 'C_FuelStreams'!$BM$408; 'C_FuelStreams'!$BM$432; 'C_FuelStreams'!$BM$456; 'C_FuelStreams'!$BM$480; 'C_FuelStreams'!$BM$504; 'C_FuelStreams'!$BM$528; 'C_FuelStreams'!$BM$552; 'C_FuelStreams'!$BM$576; 'C_FuelStreams'!$BM$600; 'C_FuelStreams'!$BM$624; 'I_Accounting'!$L$12; 'C_FuelStreams'!$BM$61; 'C_FuelStreams'!$BM$89; 'C_FuelStreams'!$BM$117; 'C_FuelStreams'!$BM$145; 'C_FuelStreams'!$BM$173; 'C_FuelStreams'!$BM$201; 'C_FuelStreams'!$BM$229; 'C_FuelStreams'!$BM$257; 'C_FuelStreams'!$BM$285; 'C_FuelStreams'!$BM$313; 'C_FuelStreams'!$BM$341; 'C_FuelStreams'!$BM$369; 'C_FuelStreams'!$BM$397; 'C_FuelStreams'!$BM$425; 'C_FuelStreams'!$BM$453; 'C_FuelStreams'!$BM$481; 'C_FuelStreams'!$BM$509; 'C_FuelStreams'!$BM$537; 'C_FuelStreams'!$BM$565; 'C_FuelStreams'!$BM$593; 'C_FuelStreams'!$BM$621; 'C_FuelStreams'!$BM$649; 'C_FuelStreams'!$BM$677; 'C_FuelStreams'!$BM$705; 'C_FuelStreams'!$BM$733; 'C_FuelStreams'!$BM$761; 'C_FuelStreams'!$BM$789; 'C_FuelStreams'!$BM$817; 'C_FuelStreams'!$BM$845; 'C_FuelStreams'!$BM$873; 'C_FuelStreams'!$BM$901; 'C_FuelStreams'!$BM$929; 'C_FuelStreams'!$BM$957; 'C_FuelStreams'!$BM$985; 'C_FuelStreams'!$BM$1013; 'C_FuelStreams'!$BM$1041; 'C_FuelStreams'!$BM$1069; 'C_FuelStreams'!$BM$1097; 'C_FuelStreams'!$BM$1125; 'C_FuelStreams'!$BM$1153; 'C_FuelStreams'!$BM$1181; 'C_FuelStreams'!$BM$1209; 'C_FuelStreams'!$BM$1237; 'C_FuelStreams'!$BM$1265; 'C_FuelStreams'!$BM$1293; 'C_FuelStreams'!$BM$1321; 'C_FuelStreams'!$BM$1349; 'C_FuelStreams'!$BM$1377; 'C_FuelStreams'!$BM$1405; 'C_FuelStreams'!$BM$1433</t>
  </si>
  <si>
    <t>SF Tier</t>
  </si>
  <si>
    <t>C_FuelStreams'!$BN$48; 'C_FuelStreams'!$BO$48; 'C_FuelStreams'!$BN$72; 'C_FuelStreams'!$BO$72; 'C_FuelStreams'!$BN$96; 'C_FuelStreams'!$BO$96; 'C_FuelStreams'!$BN$120; 'C_FuelStreams'!$BO$120; 'C_FuelStreams'!$BN$144; 'C_FuelStreams'!$BO$144; 'C_FuelStreams'!$BN$168; 'C_FuelStreams'!$BO$168; 'C_FuelStreams'!$BN$192; 'C_FuelStreams'!$BO$192; 'C_FuelStreams'!$BN$216; 'C_FuelStreams'!$BO$216; 'C_FuelStreams'!$BN$240; 'C_FuelStreams'!$BO$240; 'C_FuelStreams'!$BN$264; 'C_FuelStreams'!$BO$264; 'C_FuelStreams'!$BN$288; 'C_FuelStreams'!$BO$288; 'C_FuelStreams'!$BN$312; 'C_FuelStreams'!$BO$312; 'C_FuelStreams'!$BN$336; 'C_FuelStreams'!$BO$336; 'C_FuelStreams'!$BN$360; 'C_FuelStreams'!$BO$360; 'C_FuelStreams'!$BN$384; 'C_FuelStreams'!$BO$384; 'C_FuelStreams'!$BN$408; 'C_FuelStreams'!$BO$408; 'C_FuelStreams'!$BN$432; 'C_FuelStreams'!$BO$432; 'C_FuelStreams'!$BN$456; 'C_FuelStreams'!$BO$456; 'C_FuelStreams'!$BN$480; 'C_FuelStreams'!$BO$480; 'C_FuelStreams'!$BN$504; 'C_FuelStreams'!$BO$504; 'C_FuelStreams'!$BN$528; 'C_FuelStreams'!$BO$528; 'C_FuelStreams'!$BN$552; 'C_FuelStreams'!$BO$552; 'C_FuelStreams'!$BN$576; 'C_FuelStreams'!$BO$576; 'C_FuelStreams'!$BN$600; 'C_FuelStreams'!$BO$600; 'C_FuelStreams'!$BN$624; 'C_FuelStreams'!$BO$624; 'I_Accounting'!$M$12; 'I_Accounting'!$N$12; 'C_FuelStreams'!$BN$61; 'C_FuelStreams'!$BO$61; 'C_FuelStreams'!$BN$89; 'C_FuelStreams'!$BO$89; 'C_FuelStreams'!$BN$117; 'C_FuelStreams'!$BO$117; 'C_FuelStreams'!$BN$145; 'C_FuelStreams'!$BO$145; 'C_FuelStreams'!$BN$173; 'C_FuelStreams'!$BO$173; 'C_FuelStreams'!$BN$201; 'C_FuelStreams'!$BO$201; 'C_FuelStreams'!$BN$229; 'C_FuelStreams'!$BO$229; 'C_FuelStreams'!$BN$257; 'C_FuelStreams'!$BO$257; 'C_FuelStreams'!$BN$285; 'C_FuelStreams'!$BO$285; 'C_FuelStreams'!$BN$313; 'C_FuelStreams'!$BO$313; 'C_FuelStreams'!$BN$341; 'C_FuelStreams'!$BO$341; 'C_FuelStreams'!$BN$369; 'C_FuelStreams'!$BO$369; 'C_FuelStreams'!$BN$397; 'C_FuelStreams'!$BO$397; 'C_FuelStreams'!$BN$425; 'C_FuelStreams'!$BO$425; 'C_FuelStreams'!$BN$453; 'C_FuelStreams'!$BO$453; 'C_FuelStreams'!$BN$481; 'C_FuelStreams'!$BO$481; 'C_FuelStreams'!$BN$509; 'C_FuelStreams'!$BO$509; 'C_FuelStreams'!$BN$537; 'C_FuelStreams'!$BO$537; 'C_FuelStreams'!$BN$565; 'C_FuelStreams'!$BO$565; 'C_FuelStreams'!$BN$593; 'C_FuelStreams'!$BO$593; 'C_FuelStreams'!$BN$621; 'C_FuelStreams'!$BO$621; 'C_FuelStreams'!$BN$649; 'C_FuelStreams'!$BO$649; 'C_FuelStreams'!$BN$677; 'C_FuelStreams'!$BO$677; 'C_FuelStreams'!$BN$705; 'C_FuelStreams'!$BO$705; 'C_FuelStreams'!$BN$733; 'C_FuelStreams'!$BO$733; 'C_FuelStreams'!$BN$761; 'C_FuelStreams'!$BO$761; 'C_FuelStreams'!$BN$789; 'C_FuelStreams'!$BO$789; 'C_FuelStreams'!$BN$817; 'C_FuelStreams'!$BO$817; 'C_FuelStreams'!$BN$845; 'C_FuelStreams'!$BO$845; 'C_FuelStreams'!$BN$873; 'C_FuelStreams'!$BO$873; 'C_FuelStreams'!$BN$901; 'C_FuelStreams'!$BO$901; 'C_FuelStreams'!$BN$929; 'C_FuelStreams'!$BO$929; 'C_FuelStreams'!$BN$957; 'C_FuelStreams'!$BO$957; 'C_FuelStreams'!$BN$985; 'C_FuelStreams'!$BO$985; 'C_FuelStreams'!$BN$1013; 'C_FuelStreams'!$BO$1013; 'C_FuelStreams'!$BN$1041; 'C_FuelStreams'!$BO$1041; 'C_FuelStreams'!$BN$1069; 'C_FuelStreams'!$BO$1069; 'C_FuelStreams'!$BN$1097; 'C_FuelStreams'!$BO$1097; 'C_FuelStreams'!$BN$1125; 'C_FuelStreams'!$BO$1125; 'C_FuelStreams'!$BN$1153; 'C_FuelStreams'!$BO$1153; 'C_FuelStreams'!$BN$1181; 'C_FuelStreams'!$BO$1181; 'C_FuelStreams'!$BN$1209; 'C_FuelStreams'!$BO$1209; 'C_FuelStreams'!$BN$1237; 'C_FuelStreams'!$BO$1237; 'C_FuelStreams'!$BN$1265; 'C_FuelStreams'!$BO$1265; 'C_FuelStreams'!$BN$1293; 'C_FuelStreams'!$BO$1293; 'C_FuelStreams'!$BN$1321; 'C_FuelStreams'!$BO$1321; 'C_FuelStreams'!$BN$1349; 'C_FuelStreams'!$BO$1349; 'C_FuelStreams'!$BN$1377; 'C_FuelStreams'!$BO$1377; 'C_FuelStreams'!$BN$1405; 'C_FuelStreams'!$BO$1405; 'C_FuelStreams'!$BN$1433; 'C_FuelStreams'!$BO$1433</t>
  </si>
  <si>
    <t>SF</t>
  </si>
  <si>
    <t>C_FuelStreams'!$BP$48; 'C_FuelStreams'!$BP$72; 'C_FuelStreams'!$BP$96; 'C_FuelStreams'!$BP$120; 'C_FuelStreams'!$BP$144; 'C_FuelStreams'!$BP$168; 'C_FuelStreams'!$BP$192; 'C_FuelStreams'!$BP$216; 'C_FuelStreams'!$BP$240; 'C_FuelStreams'!$BP$264; 'C_FuelStreams'!$BP$288; 'C_FuelStreams'!$BP$312; 'C_FuelStreams'!$BP$336; 'C_FuelStreams'!$BP$360; 'C_FuelStreams'!$BP$384; 'C_FuelStreams'!$BP$408; 'C_FuelStreams'!$BP$432; 'C_FuelStreams'!$BP$456; 'C_FuelStreams'!$BP$480; 'C_FuelStreams'!$BP$504; 'C_FuelStreams'!$BP$528; 'C_FuelStreams'!$BP$552; 'C_FuelStreams'!$BP$576; 'C_FuelStreams'!$BP$600; 'C_FuelStreams'!$BP$624; 'I_Accounting'!$O$12; 'C_FuelStreams'!$BP$61; 'C_FuelStreams'!$BP$89; 'C_FuelStreams'!$BP$117; 'C_FuelStreams'!$BP$145; 'C_FuelStreams'!$BP$173; 'C_FuelStreams'!$BP$201; 'C_FuelStreams'!$BP$229; 'C_FuelStreams'!$BP$257; 'C_FuelStreams'!$BP$285; 'C_FuelStreams'!$BP$313; 'C_FuelStreams'!$BP$341; 'C_FuelStreams'!$BP$369; 'C_FuelStreams'!$BP$397; 'C_FuelStreams'!$BP$425; 'C_FuelStreams'!$BP$453; 'C_FuelStreams'!$BP$481; 'C_FuelStreams'!$BP$509; 'C_FuelStreams'!$BP$537; 'C_FuelStreams'!$BP$565; 'C_FuelStreams'!$BP$593; 'C_FuelStreams'!$BP$621; 'C_FuelStreams'!$BP$649; 'C_FuelStreams'!$BP$677; 'C_FuelStreams'!$BP$705; 'C_FuelStreams'!$BP$733; 'C_FuelStreams'!$BP$761; 'C_FuelStreams'!$BP$789; 'C_FuelStreams'!$BP$817; 'C_FuelStreams'!$BP$845; 'C_FuelStreams'!$BP$873; 'C_FuelStreams'!$BP$901; 'C_FuelStreams'!$BP$929; 'C_FuelStreams'!$BP$957; 'C_FuelStreams'!$BP$985; 'C_FuelStreams'!$BP$1013; 'C_FuelStreams'!$BP$1041; 'C_FuelStreams'!$BP$1069; 'C_FuelStreams'!$BP$1097; 'C_FuelStreams'!$BP$1125; 'C_FuelStreams'!$BP$1153; 'C_FuelStreams'!$BP$1181; 'C_FuelStreams'!$BP$1209; 'C_FuelStreams'!$BP$1237; 'C_FuelStreams'!$BP$1265; 'C_FuelStreams'!$BP$1293; 'C_FuelStreams'!$BP$1321; 'C_FuelStreams'!$BP$1349; 'C_FuelStreams'!$BP$1377; 'C_FuelStreams'!$BP$1405; 'C_FuelStreams'!$BP$1433</t>
  </si>
  <si>
    <t>EF Tier</t>
  </si>
  <si>
    <t>C_FuelStreams'!$BQ$48; 'C_FuelStreams'!$BQ$72; 'C_FuelStreams'!$BQ$96; 'C_FuelStreams'!$BQ$120; 'C_FuelStreams'!$BQ$144; 'C_FuelStreams'!$BQ$168; 'C_FuelStreams'!$BQ$192; 'C_FuelStreams'!$BQ$216; 'C_FuelStreams'!$BQ$240; 'C_FuelStreams'!$BQ$264; 'C_FuelStreams'!$BQ$288; 'C_FuelStreams'!$BQ$312; 'C_FuelStreams'!$BQ$336; 'C_FuelStreams'!$BQ$360; 'C_FuelStreams'!$BQ$384; 'C_FuelStreams'!$BQ$408; 'C_FuelStreams'!$BQ$432; 'C_FuelStreams'!$BQ$456; 'C_FuelStreams'!$BQ$480; 'C_FuelStreams'!$BQ$504; 'C_FuelStreams'!$BQ$528; 'C_FuelStreams'!$BQ$552; 'C_FuelStreams'!$BQ$576; 'C_FuelStreams'!$BQ$600; 'C_FuelStreams'!$BQ$624; 'I_Accounting'!$P$12; 'C_FuelStreams'!$BQ$61; 'C_FuelStreams'!$BQ$89; 'C_FuelStreams'!$BQ$117; 'C_FuelStreams'!$BQ$145; 'C_FuelStreams'!$BQ$173; 'C_FuelStreams'!$BQ$201; 'C_FuelStreams'!$BQ$229; 'C_FuelStreams'!$BQ$257; 'C_FuelStreams'!$BQ$285; 'C_FuelStreams'!$BQ$313; 'C_FuelStreams'!$BQ$341; 'C_FuelStreams'!$BQ$369; 'C_FuelStreams'!$BQ$397; 'C_FuelStreams'!$BQ$425; 'C_FuelStreams'!$BQ$453; 'C_FuelStreams'!$BQ$481; 'C_FuelStreams'!$BQ$509; 'C_FuelStreams'!$BQ$537; 'C_FuelStreams'!$BQ$565; 'C_FuelStreams'!$BQ$593; 'C_FuelStreams'!$BQ$621; 'C_FuelStreams'!$BQ$649; 'C_FuelStreams'!$BQ$677; 'C_FuelStreams'!$BQ$705; 'C_FuelStreams'!$BQ$733; 'C_FuelStreams'!$BQ$761; 'C_FuelStreams'!$BQ$789; 'C_FuelStreams'!$BQ$817; 'C_FuelStreams'!$BQ$845; 'C_FuelStreams'!$BQ$873; 'C_FuelStreams'!$BQ$901; 'C_FuelStreams'!$BQ$929; 'C_FuelStreams'!$BQ$957; 'C_FuelStreams'!$BQ$985; 'C_FuelStreams'!$BQ$1013; 'C_FuelStreams'!$BQ$1041; 'C_FuelStreams'!$BQ$1069; 'C_FuelStreams'!$BQ$1097; 'C_FuelStreams'!$BQ$1125; 'C_FuelStreams'!$BQ$1153; 'C_FuelStreams'!$BQ$1181; 'C_FuelStreams'!$BQ$1209; 'C_FuelStreams'!$BQ$1237; 'C_FuelStreams'!$BQ$1265; 'C_FuelStreams'!$BQ$1293; 'C_FuelStreams'!$BQ$1321; 'C_FuelStreams'!$BQ$1349; 'C_FuelStreams'!$BQ$1377; 'C_FuelStreams'!$BQ$1405; 'C_FuelStreams'!$BQ$1433</t>
  </si>
  <si>
    <t>EF</t>
  </si>
  <si>
    <t>C_FuelStreams'!$BR$48; 'C_FuelStreams'!$BR$72; 'C_FuelStreams'!$BR$96; 'C_FuelStreams'!$BR$120; 'C_FuelStreams'!$BR$144; 'C_FuelStreams'!$BR$168; 'C_FuelStreams'!$BR$192; 'C_FuelStreams'!$BR$216; 'C_FuelStreams'!$BR$240; 'C_FuelStreams'!$BR$264; 'C_FuelStreams'!$BR$288; 'C_FuelStreams'!$BR$312; 'C_FuelStreams'!$BR$336; 'C_FuelStreams'!$BR$360; 'C_FuelStreams'!$BR$384; 'C_FuelStreams'!$BR$408; 'C_FuelStreams'!$BR$432; 'C_FuelStreams'!$BR$456; 'C_FuelStreams'!$BR$480; 'C_FuelStreams'!$BR$504; 'C_FuelStreams'!$BR$528; 'C_FuelStreams'!$BR$552; 'C_FuelStreams'!$BR$576; 'C_FuelStreams'!$BR$600; 'C_FuelStreams'!$BR$624; 'I_Accounting'!$Q$12; 'MSParameters'!$F$16; 'MSParameters'!$P$16; 'C_FuelStreams'!$BR$61; 'C_FuelStreams'!$BR$89; 'C_FuelStreams'!$BR$117; 'C_FuelStreams'!$BR$145; 'C_FuelStreams'!$BR$173; 'C_FuelStreams'!$BR$201; 'C_FuelStreams'!$BR$229; 'C_FuelStreams'!$BR$257; 'C_FuelStreams'!$BR$285; 'C_FuelStreams'!$BR$313; 'C_FuelStreams'!$BR$341; 'C_FuelStreams'!$BR$369; 'C_FuelStreams'!$BR$397; 'C_FuelStreams'!$BR$425; 'C_FuelStreams'!$BR$453; 'C_FuelStreams'!$BR$481; 'C_FuelStreams'!$BR$509; 'C_FuelStreams'!$BR$537; 'C_FuelStreams'!$BR$565; 'C_FuelStreams'!$BR$593; 'C_FuelStreams'!$BR$621; 'C_FuelStreams'!$BR$649; 'C_FuelStreams'!$BR$677; 'C_FuelStreams'!$BR$705; 'C_FuelStreams'!$BR$733; 'C_FuelStreams'!$BR$761; 'C_FuelStreams'!$BR$789; 'C_FuelStreams'!$BR$817; 'C_FuelStreams'!$BR$845; 'C_FuelStreams'!$BR$873; 'C_FuelStreams'!$BR$901; 'C_FuelStreams'!$BR$929; 'C_FuelStreams'!$BR$957; 'C_FuelStreams'!$BR$985; 'C_FuelStreams'!$BR$1013; 'C_FuelStreams'!$BR$1041; 'C_FuelStreams'!$BR$1069; 'C_FuelStreams'!$BR$1097; 'C_FuelStreams'!$BR$1125; 'C_FuelStreams'!$BR$1153; 'C_FuelStreams'!$BR$1181; 'C_FuelStreams'!$BR$1209; 'C_FuelStreams'!$BR$1237; 'C_FuelStreams'!$BR$1265; 'C_FuelStreams'!$BR$1293; 'C_FuelStreams'!$BR$1321; 'C_FuelStreams'!$BR$1349; 'C_FuelStreams'!$BR$1377; 'C_FuelStreams'!$BR$1405; 'C_FuelStreams'!$BR$1433; 'F.a.Tool_Blending'!$H$18; 'F.a.Tool_Blending'!$Z$19; 'F.a.Tool_Blending'!$H$41; 'F.a.Tool_Blending'!$H$77; 'F.a.Tool_Blending'!$Z$78; 'F.a.Tool_Blending'!$H$100; 'F.a.Tool_Blending'!$Z$101; 'F.a.Tool_Blending'!$H$123; 'F.a.Tool_Blending'!$Z$124; 'F.a.Tool_Blending'!$H$146; 'F.a.Tool_Blending'!$Z$147; 'F.a.Tool_Blending'!$H$169; 'F.a.Tool_Blending'!$Z$170; 'F.a.Tool_Blending'!$H$192; 'F.a.Tool_Blending'!$Z$193; 'F.a.Tool_Blending'!$H$215; 'F.a.Tool_Blending'!$Z$216; 'F.a.Tool_Blending'!$H$238; 'F.a.Tool_Blending'!$Z$239; 'F.a.Tool_Blending'!$H$261; 'F.a.Tool_Blending'!$Z$262; 'F.a.Tool_Blending'!$H$284; 'F.a.Tool_Blending'!$Z$285; 'F.a.Tool_Blending'!$H$307; 'F.a.Tool_Blending'!$Z$308; 'F.a.Tool_Blending'!$H$330; 'F.a.Tool_Blending'!$Z$331; 'F.a.Tool_Blending'!$H$353; 'F.a.Tool_Blending'!$Z$354; 'F.a.Tool_Blending'!$H$376; 'F.a.Tool_Blending'!$Z$377; 'F.a.Tool_Blending'!$H$399; 'F.a.Tool_Blending'!$Z$400; 'F.a.Tool_Blending'!$H$422; 'F.a.Tool_Blending'!$Z$423; 'F.a.Tool_Blending'!$H$445; 'F.a.Tool_Blending'!$Z$446; 'F.a.Tool_Blending'!$H$468; 'F.a.Tool_Blending'!$Z$469; 'F.a.Tool_Blending'!$H$491; 'F.a.Tool_Blending'!$Z$492; 'F.a.Tool_Blending'!$H$514; 'F.a.Tool_Blending'!$Z$515; 'F.a.Tool_Blending'!$H$537; 'F.a.Tool_Blending'!$Z$538; 'F.a.Tool_Blending'!$H$560; 'F.a.Tool_Blending'!$Z$561; 'F.a.Tool_Blending'!$H$583; 'F.a.Tool_Blending'!$Z$584; 'F.a.Tool_Blending'!$H$606; 'F.a.Tool_Blending'!$Z$607; 'F.a.Tool_Blending'!$H$629; 'F.a.Tool_Blending'!$Z$630; 'F.a.Tool_Blending'!$H$652; 'F.a.Tool_Blending'!$Z$653; 'F.a.Tool_Blending'!$H$675; 'F.a.Tool_Blending'!$Z$676; 'F.a.Tool_Blending'!$H$698; 'F.a.Tool_Blending'!$Z$699; 'F.a.Tool_Blending'!$H$721; 'F.a.Tool_Blending'!$Z$722; 'F.a.Tool_Blending'!$H$744; 'F.a.Tool_Blending'!$Z$745</t>
  </si>
  <si>
    <t>EF Unit</t>
  </si>
  <si>
    <t>C_FuelStreams'!$BS$48; 'C_FuelStreams'!$BS$72; 'C_FuelStreams'!$BS$96; 'C_FuelStreams'!$BS$120; 'C_FuelStreams'!$BS$144; 'C_FuelStreams'!$BS$168; 'C_FuelStreams'!$BS$192; 'C_FuelStreams'!$BS$216; 'C_FuelStreams'!$BS$240; 'C_FuelStreams'!$BS$264; 'C_FuelStreams'!$BS$288; 'C_FuelStreams'!$BS$312; 'C_FuelStreams'!$BS$336; 'C_FuelStreams'!$BS$360; 'C_FuelStreams'!$BS$384; 'C_FuelStreams'!$BS$408; 'C_FuelStreams'!$BS$432; 'C_FuelStreams'!$BS$456; 'C_FuelStreams'!$BS$480; 'C_FuelStreams'!$BS$504; 'C_FuelStreams'!$BS$528; 'C_FuelStreams'!$BS$552; 'C_FuelStreams'!$BS$576; 'C_FuelStreams'!$BS$600; 'C_FuelStreams'!$BS$624; 'I_Accounting'!$R$12; 'C_FuelStreams'!$BS$61; 'C_FuelStreams'!$BS$89; 'C_FuelStreams'!$BS$117; 'C_FuelStreams'!$BS$145; 'C_FuelStreams'!$BS$173; 'C_FuelStreams'!$BS$201; 'C_FuelStreams'!$BS$229; 'C_FuelStreams'!$BS$257; 'C_FuelStreams'!$BS$285; 'C_FuelStreams'!$BS$313; 'C_FuelStreams'!$BS$341; 'C_FuelStreams'!$BS$369; 'C_FuelStreams'!$BS$397; 'C_FuelStreams'!$BS$425; 'C_FuelStreams'!$BS$453; 'C_FuelStreams'!$BS$481; 'C_FuelStreams'!$BS$509; 'C_FuelStreams'!$BS$537; 'C_FuelStreams'!$BS$565; 'C_FuelStreams'!$BS$593; 'C_FuelStreams'!$BS$621; 'C_FuelStreams'!$BS$649; 'C_FuelStreams'!$BS$677; 'C_FuelStreams'!$BS$705; 'C_FuelStreams'!$BS$733; 'C_FuelStreams'!$BS$761; 'C_FuelStreams'!$BS$789; 'C_FuelStreams'!$BS$817; 'C_FuelStreams'!$BS$845; 'C_FuelStreams'!$BS$873; 'C_FuelStreams'!$BS$901; 'C_FuelStreams'!$BS$929; 'C_FuelStreams'!$BS$957; 'C_FuelStreams'!$BS$985; 'C_FuelStreams'!$BS$1013; 'C_FuelStreams'!$BS$1041; 'C_FuelStreams'!$BS$1069; 'C_FuelStreams'!$BS$1097; 'C_FuelStreams'!$BS$1125; 'C_FuelStreams'!$BS$1153; 'C_FuelStreams'!$BS$1181; 'C_FuelStreams'!$BS$1209; 'C_FuelStreams'!$BS$1237; 'C_FuelStreams'!$BS$1265; 'C_FuelStreams'!$BS$1293; 'C_FuelStreams'!$BS$1321; 'C_FuelStreams'!$BS$1349; 'C_FuelStreams'!$BS$1377; 'C_FuelStreams'!$BS$1405; 'C_FuelStreams'!$BS$1433</t>
  </si>
  <si>
    <t>C_FuelStreams'!$BT$48; 'C_FuelStreams'!$BT$72; 'C_FuelStreams'!$BT$96; 'C_FuelStreams'!$BT$120; 'C_FuelStreams'!$BT$144; 'C_FuelStreams'!$BT$168; 'C_FuelStreams'!$BT$192; 'C_FuelStreams'!$BT$216; 'C_FuelStreams'!$BT$240; 'C_FuelStreams'!$BT$264; 'C_FuelStreams'!$BT$288; 'C_FuelStreams'!$BT$312; 'C_FuelStreams'!$BT$336; 'C_FuelStreams'!$BT$360; 'C_FuelStreams'!$BT$384; 'C_FuelStreams'!$BT$408; 'C_FuelStreams'!$BT$432; 'C_FuelStreams'!$BT$456; 'C_FuelStreams'!$BT$480; 'C_FuelStreams'!$BT$504; 'C_FuelStreams'!$BT$528; 'C_FuelStreams'!$BT$552; 'C_FuelStreams'!$BT$576; 'C_FuelStreams'!$BT$600; 'C_FuelStreams'!$BT$624; 'I_Accounting'!$S$12; 'C_FuelStreams'!$BT$61; 'C_FuelStreams'!$BT$89; 'C_FuelStreams'!$BT$117; 'C_FuelStreams'!$BT$145; 'C_FuelStreams'!$BT$173; 'C_FuelStreams'!$BT$201; 'C_FuelStreams'!$BT$229; 'C_FuelStreams'!$BT$257; 'C_FuelStreams'!$BT$285; 'C_FuelStreams'!$BT$313; 'C_FuelStreams'!$BT$341; 'C_FuelStreams'!$BT$369; 'C_FuelStreams'!$BT$397; 'C_FuelStreams'!$BT$425; 'C_FuelStreams'!$BT$453; 'C_FuelStreams'!$BT$481; 'C_FuelStreams'!$BT$509; 'C_FuelStreams'!$BT$537; 'C_FuelStreams'!$BT$565; 'C_FuelStreams'!$BT$593; 'C_FuelStreams'!$BT$621; 'C_FuelStreams'!$BT$649; 'C_FuelStreams'!$BT$677; 'C_FuelStreams'!$BT$705; 'C_FuelStreams'!$BT$733; 'C_FuelStreams'!$BT$761; 'C_FuelStreams'!$BT$789; 'C_FuelStreams'!$BT$817; 'C_FuelStreams'!$BT$845; 'C_FuelStreams'!$BT$873; 'C_FuelStreams'!$BT$901; 'C_FuelStreams'!$BT$929; 'C_FuelStreams'!$BT$957; 'C_FuelStreams'!$BT$985; 'C_FuelStreams'!$BT$1013; 'C_FuelStreams'!$BT$1041; 'C_FuelStreams'!$BT$1069; 'C_FuelStreams'!$BT$1097; 'C_FuelStreams'!$BT$1125; 'C_FuelStreams'!$BT$1153; 'C_FuelStreams'!$BT$1181; 'C_FuelStreams'!$BT$1209; 'C_FuelStreams'!$BT$1237; 'C_FuelStreams'!$BT$1265; 'C_FuelStreams'!$BT$1293; 'C_FuelStreams'!$BT$1321; 'C_FuelStreams'!$BT$1349; 'C_FuelStreams'!$BT$1377; 'C_FuelStreams'!$BT$1405; 'C_FuelStreams'!$BT$1433</t>
  </si>
  <si>
    <t>C_FuelStreams'!$BU$48; 'C_FuelStreams'!$BU$72; 'C_FuelStreams'!$BU$96; 'C_FuelStreams'!$BU$120; 'C_FuelStreams'!$BU$144; 'C_FuelStreams'!$BU$168; 'C_FuelStreams'!$BU$192; 'C_FuelStreams'!$BU$216; 'C_FuelStreams'!$BU$240; 'C_FuelStreams'!$BU$264; 'C_FuelStreams'!$BU$288; 'C_FuelStreams'!$BU$312; 'C_FuelStreams'!$BU$336; 'C_FuelStreams'!$BU$360; 'C_FuelStreams'!$BU$384; 'C_FuelStreams'!$BU$408; 'C_FuelStreams'!$BU$432; 'C_FuelStreams'!$BU$456; 'C_FuelStreams'!$BU$480; 'C_FuelStreams'!$BU$504; 'C_FuelStreams'!$BU$528; 'C_FuelStreams'!$BU$552; 'C_FuelStreams'!$BU$576; 'C_FuelStreams'!$BU$600; 'C_FuelStreams'!$BU$624; 'I_Accounting'!$T$12; 'MSParameters'!$H$16; 'MSParameters'!$N$16; 'C_FuelStreams'!$BU$61; 'C_FuelStreams'!$BU$89; 'C_FuelStreams'!$BU$117; 'C_FuelStreams'!$BU$145; 'C_FuelStreams'!$BU$173; 'C_FuelStreams'!$BU$201; 'C_FuelStreams'!$BU$229; 'C_FuelStreams'!$BU$257; 'C_FuelStreams'!$BU$285; 'C_FuelStreams'!$BU$313; 'C_FuelStreams'!$BU$341; 'C_FuelStreams'!$BU$369; 'C_FuelStreams'!$BU$397; 'C_FuelStreams'!$BU$425; 'C_FuelStreams'!$BU$453; 'C_FuelStreams'!$BU$481; 'C_FuelStreams'!$BU$509; 'C_FuelStreams'!$BU$537; 'C_FuelStreams'!$BU$565; 'C_FuelStreams'!$BU$593; 'C_FuelStreams'!$BU$621; 'C_FuelStreams'!$BU$649; 'C_FuelStreams'!$BU$677; 'C_FuelStreams'!$BU$705; 'C_FuelStreams'!$BU$733; 'C_FuelStreams'!$BU$761; 'C_FuelStreams'!$BU$789; 'C_FuelStreams'!$BU$817; 'C_FuelStreams'!$BU$845; 'C_FuelStreams'!$BU$873; 'C_FuelStreams'!$BU$901; 'C_FuelStreams'!$BU$929; 'C_FuelStreams'!$BU$957; 'C_FuelStreams'!$BU$985; 'C_FuelStreams'!$BU$1013; 'C_FuelStreams'!$BU$1041; 'C_FuelStreams'!$BU$1069; 'C_FuelStreams'!$BU$1097; 'C_FuelStreams'!$BU$1125; 'C_FuelStreams'!$BU$1153; 'C_FuelStreams'!$BU$1181; 'C_FuelStreams'!$BU$1209; 'C_FuelStreams'!$BU$1237; 'C_FuelStreams'!$BU$1265; 'C_FuelStreams'!$BU$1293; 'C_FuelStreams'!$BU$1321; 'C_FuelStreams'!$BU$1349; 'C_FuelStreams'!$BU$1377; 'C_FuelStreams'!$BU$1405; 'C_FuelStreams'!$BU$1433; 'F.a.Tool_Blending'!$G$18; 'F.a.Tool_Blending'!$X$19; 'F.a.Tool_Blending'!$G$41; 'F.a.Tool_Blending'!$G$77; 'F.a.Tool_Blending'!$X$78; 'F.a.Tool_Blending'!$G$100; 'F.a.Tool_Blending'!$X$101; 'F.a.Tool_Blending'!$G$123; 'F.a.Tool_Blending'!$X$124; 'F.a.Tool_Blending'!$G$146; 'F.a.Tool_Blending'!$X$147; 'F.a.Tool_Blending'!$G$169; 'F.a.Tool_Blending'!$X$170; 'F.a.Tool_Blending'!$G$192; 'F.a.Tool_Blending'!$X$193; 'F.a.Tool_Blending'!$G$215; 'F.a.Tool_Blending'!$X$216; 'F.a.Tool_Blending'!$G$238; 'F.a.Tool_Blending'!$X$239; 'F.a.Tool_Blending'!$G$261; 'F.a.Tool_Blending'!$X$262; 'F.a.Tool_Blending'!$G$284; 'F.a.Tool_Blending'!$X$285; 'F.a.Tool_Blending'!$G$307; 'F.a.Tool_Blending'!$X$308; 'F.a.Tool_Blending'!$G$330; 'F.a.Tool_Blending'!$X$331; 'F.a.Tool_Blending'!$G$353; 'F.a.Tool_Blending'!$X$354; 'F.a.Tool_Blending'!$G$376; 'F.a.Tool_Blending'!$X$377; 'F.a.Tool_Blending'!$G$399; 'F.a.Tool_Blending'!$X$400; 'F.a.Tool_Blending'!$G$422; 'F.a.Tool_Blending'!$X$423; 'F.a.Tool_Blending'!$G$445; 'F.a.Tool_Blending'!$X$446; 'F.a.Tool_Blending'!$G$468; 'F.a.Tool_Blending'!$X$469; 'F.a.Tool_Blending'!$G$491; 'F.a.Tool_Blending'!$X$492; 'F.a.Tool_Blending'!$G$514; 'F.a.Tool_Blending'!$X$515; 'F.a.Tool_Blending'!$G$537; 'F.a.Tool_Blending'!$X$538; 'F.a.Tool_Blending'!$G$560; 'F.a.Tool_Blending'!$X$561; 'F.a.Tool_Blending'!$G$583; 'F.a.Tool_Blending'!$X$584; 'F.a.Tool_Blending'!$G$606; 'F.a.Tool_Blending'!$X$607; 'F.a.Tool_Blending'!$G$629; 'F.a.Tool_Blending'!$X$630; 'F.a.Tool_Blending'!$G$652; 'F.a.Tool_Blending'!$X$653; 'F.a.Tool_Blending'!$G$675; 'F.a.Tool_Blending'!$X$676; 'F.a.Tool_Blending'!$G$698; 'F.a.Tool_Blending'!$X$699; 'F.a.Tool_Blending'!$G$721; 'F.a.Tool_Blending'!$X$722; 'F.a.Tool_Blending'!$G$744; 'F.a.Tool_Blending'!$X$745</t>
  </si>
  <si>
    <t>C_FuelStreams'!$BV$48; 'C_FuelStreams'!$BV$72; 'C_FuelStreams'!$BV$96; 'C_FuelStreams'!$BV$120; 'C_FuelStreams'!$BV$144; 'C_FuelStreams'!$BV$168; 'C_FuelStreams'!$BV$192; 'C_FuelStreams'!$BV$216; 'C_FuelStreams'!$BV$240; 'C_FuelStreams'!$BV$264; 'C_FuelStreams'!$BV$288; 'C_FuelStreams'!$BV$312; 'C_FuelStreams'!$BV$336; 'C_FuelStreams'!$BV$360; 'C_FuelStreams'!$BV$384; 'C_FuelStreams'!$BV$408; 'C_FuelStreams'!$BV$432; 'C_FuelStreams'!$BV$456; 'C_FuelStreams'!$BV$480; 'C_FuelStreams'!$BV$504; 'C_FuelStreams'!$BV$528; 'C_FuelStreams'!$BV$552; 'C_FuelStreams'!$BV$576; 'C_FuelStreams'!$BV$600; 'C_FuelStreams'!$BV$624; 'I_Accounting'!$U$12; 'C_FuelStreams'!$BV$61; 'C_FuelStreams'!$BV$89; 'C_FuelStreams'!$BV$117; 'C_FuelStreams'!$BV$145; 'C_FuelStreams'!$BV$173; 'C_FuelStreams'!$BV$201; 'C_FuelStreams'!$BV$229; 'C_FuelStreams'!$BV$257; 'C_FuelStreams'!$BV$285; 'C_FuelStreams'!$BV$313; 'C_FuelStreams'!$BV$341; 'C_FuelStreams'!$BV$369; 'C_FuelStreams'!$BV$397; 'C_FuelStreams'!$BV$425; 'C_FuelStreams'!$BV$453; 'C_FuelStreams'!$BV$481; 'C_FuelStreams'!$BV$509; 'C_FuelStreams'!$BV$537; 'C_FuelStreams'!$BV$565; 'C_FuelStreams'!$BV$593; 'C_FuelStreams'!$BV$621; 'C_FuelStreams'!$BV$649; 'C_FuelStreams'!$BV$677; 'C_FuelStreams'!$BV$705; 'C_FuelStreams'!$BV$733; 'C_FuelStreams'!$BV$761; 'C_FuelStreams'!$BV$789; 'C_FuelStreams'!$BV$817; 'C_FuelStreams'!$BV$845; 'C_FuelStreams'!$BV$873; 'C_FuelStreams'!$BV$901; 'C_FuelStreams'!$BV$929; 'C_FuelStreams'!$BV$957; 'C_FuelStreams'!$BV$985; 'C_FuelStreams'!$BV$1013; 'C_FuelStreams'!$BV$1041; 'C_FuelStreams'!$BV$1069; 'C_FuelStreams'!$BV$1097; 'C_FuelStreams'!$BV$1125; 'C_FuelStreams'!$BV$1153; 'C_FuelStreams'!$BV$1181; 'C_FuelStreams'!$BV$1209; 'C_FuelStreams'!$BV$1237; 'C_FuelStreams'!$BV$1265; 'C_FuelStreams'!$BV$1293; 'C_FuelStreams'!$BV$1321; 'C_FuelStreams'!$BV$1349; 'C_FuelStreams'!$BV$1377; 'C_FuelStreams'!$BV$1405; 'C_FuelStreams'!$BV$1433</t>
  </si>
  <si>
    <t>C_FuelStreams'!$BW$48; 'C_FuelStreams'!$BW$72; 'C_FuelStreams'!$BW$96; 'C_FuelStreams'!$BW$120; 'C_FuelStreams'!$BW$144; 'C_FuelStreams'!$BW$168; 'C_FuelStreams'!$BW$192; 'C_FuelStreams'!$BW$216; 'C_FuelStreams'!$BW$240; 'C_FuelStreams'!$BW$264; 'C_FuelStreams'!$BW$288; 'C_FuelStreams'!$BW$312; 'C_FuelStreams'!$BW$336; 'C_FuelStreams'!$BW$360; 'C_FuelStreams'!$BW$384; 'C_FuelStreams'!$BW$408; 'C_FuelStreams'!$BW$432; 'C_FuelStreams'!$BW$456; 'C_FuelStreams'!$BW$480; 'C_FuelStreams'!$BW$504; 'C_FuelStreams'!$BW$528; 'C_FuelStreams'!$BW$552; 'C_FuelStreams'!$BW$576; 'C_FuelStreams'!$BW$600; 'C_FuelStreams'!$BW$624; 'C_FuelStreams'!$BW$61; 'C_FuelStreams'!$BW$89; 'C_FuelStreams'!$BW$117; 'C_FuelStreams'!$BW$145; 'C_FuelStreams'!$BW$173; 'C_FuelStreams'!$BW$201; 'C_FuelStreams'!$BW$229; 'C_FuelStreams'!$BW$257; 'C_FuelStreams'!$BW$285; 'C_FuelStreams'!$BW$313; 'C_FuelStreams'!$BW$341; 'C_FuelStreams'!$BW$369; 'C_FuelStreams'!$BW$397; 'C_FuelStreams'!$BW$425; 'C_FuelStreams'!$BW$453; 'C_FuelStreams'!$BW$481; 'C_FuelStreams'!$BW$509; 'C_FuelStreams'!$BW$537; 'C_FuelStreams'!$BW$565; 'C_FuelStreams'!$BW$593; 'C_FuelStreams'!$BW$621; 'C_FuelStreams'!$BW$649; 'C_FuelStreams'!$BW$677; 'C_FuelStreams'!$BW$705; 'C_FuelStreams'!$BW$733; 'C_FuelStreams'!$BW$761; 'C_FuelStreams'!$BW$789; 'C_FuelStreams'!$BW$817; 'C_FuelStreams'!$BW$845; 'C_FuelStreams'!$BW$873; 'C_FuelStreams'!$BW$901; 'C_FuelStreams'!$BW$929; 'C_FuelStreams'!$BW$957; 'C_FuelStreams'!$BW$985; 'C_FuelStreams'!$BW$1013; 'C_FuelStreams'!$BW$1041; 'C_FuelStreams'!$BW$1069; 'C_FuelStreams'!$BW$1097; 'C_FuelStreams'!$BW$1125; 'C_FuelStreams'!$BW$1153; 'C_FuelStreams'!$BW$1181; 'C_FuelStreams'!$BW$1209; 'C_FuelStreams'!$BW$1237; 'C_FuelStreams'!$BW$1265; 'C_FuelStreams'!$BW$1293; 'C_FuelStreams'!$BW$1321; 'C_FuelStreams'!$BW$1349; 'C_FuelStreams'!$BW$1377; 'C_FuelStreams'!$BW$1405; 'C_FuelStreams'!$BW$1433</t>
  </si>
  <si>
    <t>NonSustBio Tier</t>
  </si>
  <si>
    <t>C_FuelStreams'!$BY$48; 'C_FuelStreams'!$BY$72; 'C_FuelStreams'!$BY$96; 'C_FuelStreams'!$BY$120; 'C_FuelStreams'!$BY$144; 'C_FuelStreams'!$BY$168; 'C_FuelStreams'!$BY$192; 'C_FuelStreams'!$BY$216; 'C_FuelStreams'!$BY$240; 'C_FuelStreams'!$BY$264; 'C_FuelStreams'!$BY$288; 'C_FuelStreams'!$BY$312; 'C_FuelStreams'!$BY$336; 'C_FuelStreams'!$BY$360; 'C_FuelStreams'!$BY$384; 'C_FuelStreams'!$BY$408; 'C_FuelStreams'!$BY$432; 'C_FuelStreams'!$BY$456; 'C_FuelStreams'!$BY$480; 'C_FuelStreams'!$BY$504; 'C_FuelStreams'!$BY$528; 'C_FuelStreams'!$BY$552; 'C_FuelStreams'!$BY$576; 'C_FuelStreams'!$BY$600; 'C_FuelStreams'!$BY$624; 'C_FuelStreams'!$BY$61; 'C_FuelStreams'!$BY$89; 'C_FuelStreams'!$BY$117; 'C_FuelStreams'!$BY$145; 'C_FuelStreams'!$BY$173; 'C_FuelStreams'!$BY$201; 'C_FuelStreams'!$BY$229; 'C_FuelStreams'!$BY$257; 'C_FuelStreams'!$BY$285; 'C_FuelStreams'!$BY$313; 'C_FuelStreams'!$BY$341; 'C_FuelStreams'!$BY$369; 'C_FuelStreams'!$BY$397; 'C_FuelStreams'!$BY$425; 'C_FuelStreams'!$BY$453; 'C_FuelStreams'!$BY$481; 'C_FuelStreams'!$BY$509; 'C_FuelStreams'!$BY$537; 'C_FuelStreams'!$BY$565; 'C_FuelStreams'!$BY$593; 'C_FuelStreams'!$BY$621; 'C_FuelStreams'!$BY$649; 'C_FuelStreams'!$BY$677; 'C_FuelStreams'!$BY$705; 'C_FuelStreams'!$BY$733; 'C_FuelStreams'!$BY$761; 'C_FuelStreams'!$BY$789; 'C_FuelStreams'!$BY$817; 'C_FuelStreams'!$BY$845; 'C_FuelStreams'!$BY$873; 'C_FuelStreams'!$BY$901; 'C_FuelStreams'!$BY$929; 'C_FuelStreams'!$BY$957; 'C_FuelStreams'!$BY$985; 'C_FuelStreams'!$BY$1013; 'C_FuelStreams'!$BY$1041; 'C_FuelStreams'!$BY$1069; 'C_FuelStreams'!$BY$1097; 'C_FuelStreams'!$BY$1125; 'C_FuelStreams'!$BY$1153; 'C_FuelStreams'!$BY$1181; 'C_FuelStreams'!$BY$1209; 'C_FuelStreams'!$BY$1237; 'C_FuelStreams'!$BY$1265; 'C_FuelStreams'!$BY$1293; 'C_FuelStreams'!$BY$1321; 'C_FuelStreams'!$BY$1349; 'C_FuelStreams'!$BY$1377; 'C_FuelStreams'!$BY$1405; 'C_FuelStreams'!$BY$1433</t>
  </si>
  <si>
    <t>CO2 fossil</t>
  </si>
  <si>
    <t>C_FuelStreams'!$CA$48; 'C_FuelStreams'!$BF$53; 'C_FuelStreams'!$CA$72; 'C_FuelStreams'!$BF$77; 'C_FuelStreams'!$CA$96; 'C_FuelStreams'!$BF$101; 'C_FuelStreams'!$CA$120; 'C_FuelStreams'!$BF$125; 'C_FuelStreams'!$CA$144; 'C_FuelStreams'!$BF$149; 'C_FuelStreams'!$CA$168; 'C_FuelStreams'!$BF$173; 'C_FuelStreams'!$CA$192; 'C_FuelStreams'!$BF$197; 'C_FuelStreams'!$CA$216; 'C_FuelStreams'!$BF$221; 'C_FuelStreams'!$CA$240; 'C_FuelStreams'!$BF$245; 'C_FuelStreams'!$CA$264; 'C_FuelStreams'!$BF$269; 'C_FuelStreams'!$CA$288; 'C_FuelStreams'!$BF$293; 'C_FuelStreams'!$CA$312; 'C_FuelStreams'!$BF$317; 'C_FuelStreams'!$CA$336; 'C_FuelStreams'!$BF$341; 'C_FuelStreams'!$CA$360; 'C_FuelStreams'!$BF$365; 'C_FuelStreams'!$CA$384; 'C_FuelStreams'!$BF$389; 'C_FuelStreams'!$CA$408; 'C_FuelStreams'!$BF$413; 'C_FuelStreams'!$CA$432; 'C_FuelStreams'!$BF$437; 'C_FuelStreams'!$CA$456; 'C_FuelStreams'!$BF$461; 'C_FuelStreams'!$CA$480; 'C_FuelStreams'!$BF$485; 'C_FuelStreams'!$CA$504; 'C_FuelStreams'!$BF$509; 'C_FuelStreams'!$CA$528; 'C_FuelStreams'!$BF$533; 'C_FuelStreams'!$CA$552; 'C_FuelStreams'!$BF$557; 'C_FuelStreams'!$CA$576; 'C_FuelStreams'!$BF$581; 'C_FuelStreams'!$CA$600; 'C_FuelStreams'!$BF$605; 'C_FuelStreams'!$CA$624; 'C_FuelStreams'!$BF$629; 'D_ETS1Amounts'!$S$54</t>
  </si>
  <si>
    <t>C_FuelStreams'!$CB$48; 'C_FuelStreams'!$CB$72; 'C_FuelStreams'!$CB$96; 'C_FuelStreams'!$CB$120; 'C_FuelStreams'!$CB$144; 'C_FuelStreams'!$CB$168; 'C_FuelStreams'!$CB$192; 'C_FuelStreams'!$CB$216; 'C_FuelStreams'!$CB$240; 'C_FuelStreams'!$CB$264; 'C_FuelStreams'!$CB$288; 'C_FuelStreams'!$CB$312; 'C_FuelStreams'!$CB$336; 'C_FuelStreams'!$CB$360; 'C_FuelStreams'!$CB$384; 'C_FuelStreams'!$CB$408; 'C_FuelStreams'!$CB$432; 'C_FuelStreams'!$CB$456; 'C_FuelStreams'!$CB$480; 'C_FuelStreams'!$CB$504; 'C_FuelStreams'!$CB$528; 'C_FuelStreams'!$CB$552; 'C_FuelStreams'!$CB$576; 'C_FuelStreams'!$CB$600; 'C_FuelStreams'!$CB$624</t>
  </si>
  <si>
    <t>CO2 non-sust</t>
  </si>
  <si>
    <t>C_FuelStreams'!$CC$48; 'C_FuelStreams'!$CC$72; 'C_FuelStreams'!$CC$96; 'C_FuelStreams'!$CC$120; 'C_FuelStreams'!$CC$144; 'C_FuelStreams'!$CC$168; 'C_FuelStreams'!$CC$192; 'C_FuelStreams'!$CC$216; 'C_FuelStreams'!$CC$240; 'C_FuelStreams'!$CC$264; 'C_FuelStreams'!$CC$288; 'C_FuelStreams'!$CC$312; 'C_FuelStreams'!$CC$336; 'C_FuelStreams'!$CC$360; 'C_FuelStreams'!$CC$384; 'C_FuelStreams'!$CC$408; 'C_FuelStreams'!$CC$432; 'C_FuelStreams'!$CC$456; 'C_FuelStreams'!$CC$480; 'C_FuelStreams'!$CC$504; 'C_FuelStreams'!$CC$528; 'C_FuelStreams'!$CC$552; 'C_FuelStreams'!$CC$576; 'C_FuelStreams'!$CC$600; 'C_FuelStreams'!$CC$624; 'C_FuelStreams'!$CC$61; 'C_FuelStreams'!$CC$89; 'C_FuelStreams'!$CC$117; 'C_FuelStreams'!$CC$145; 'C_FuelStreams'!$CC$173; 'C_FuelStreams'!$CC$201; 'C_FuelStreams'!$CC$229; 'C_FuelStreams'!$CC$257; 'C_FuelStreams'!$CC$285; 'C_FuelStreams'!$CC$313; 'C_FuelStreams'!$CC$341; 'C_FuelStreams'!$CC$369; 'C_FuelStreams'!$CC$397; 'C_FuelStreams'!$CC$425; 'C_FuelStreams'!$CC$453; 'C_FuelStreams'!$CC$481; 'C_FuelStreams'!$CC$509; 'C_FuelStreams'!$CC$537; 'C_FuelStreams'!$CC$565; 'C_FuelStreams'!$CC$593; 'C_FuelStreams'!$CC$621; 'C_FuelStreams'!$CC$649; 'C_FuelStreams'!$CC$677; 'C_FuelStreams'!$CC$705; 'C_FuelStreams'!$CC$733; 'C_FuelStreams'!$CC$761; 'C_FuelStreams'!$CC$789; 'C_FuelStreams'!$CC$817; 'C_FuelStreams'!$CC$845; 'C_FuelStreams'!$CC$873; 'C_FuelStreams'!$CC$901; 'C_FuelStreams'!$CC$929; 'C_FuelStreams'!$CC$957; 'C_FuelStreams'!$CC$985; 'C_FuelStreams'!$CC$1013; 'C_FuelStreams'!$CC$1041; 'C_FuelStreams'!$CC$1069; 'C_FuelStreams'!$CC$1097; 'C_FuelStreams'!$CC$1125; 'C_FuelStreams'!$CC$1153; 'C_FuelStreams'!$CC$1181; 'C_FuelStreams'!$CC$1209; 'C_FuelStreams'!$CC$1237; 'C_FuelStreams'!$CC$1265; 'C_FuelStreams'!$CC$1293; 'C_FuelStreams'!$CC$1321; 'C_FuelStreams'!$CC$1349; 'C_FuelStreams'!$CC$1377; 'C_FuelStreams'!$CC$1405; 'C_FuelStreams'!$CC$1433</t>
  </si>
  <si>
    <t>tier description</t>
  </si>
  <si>
    <t>C_FuelStreams'!$G$52; 'C_FuelStreams'!$G$76; 'C_FuelStreams'!$G$100; 'C_FuelStreams'!$G$124; 'C_FuelStreams'!$G$148; 'C_FuelStreams'!$G$172; 'C_FuelStreams'!$G$196; 'C_FuelStreams'!$G$220; 'C_FuelStreams'!$G$244; 'C_FuelStreams'!$G$268; 'C_FuelStreams'!$G$292; 'C_FuelStreams'!$G$316; 'C_FuelStreams'!$G$340; 'C_FuelStreams'!$G$364; 'C_FuelStreams'!$G$388; 'C_FuelStreams'!$G$412; 'C_FuelStreams'!$G$436; 'C_FuelStreams'!$G$460; 'C_FuelStreams'!$G$484; 'C_FuelStreams'!$G$508; 'C_FuelStreams'!$G$532; 'C_FuelStreams'!$G$556; 'C_FuelStreams'!$G$580; 'C_FuelStreams'!$G$604; 'C_FuelStreams'!$G$628</t>
  </si>
  <si>
    <t>Unit</t>
  </si>
  <si>
    <t>C_FuelStreams'!$I$52; 'C_FuelStreams'!$I$76; 'C_FuelStreams'!$I$100; 'C_FuelStreams'!$I$124; 'C_FuelStreams'!$I$148; 'C_FuelStreams'!$I$172; 'C_FuelStreams'!$I$196; 'C_FuelStreams'!$I$220; 'C_FuelStreams'!$I$244; 'C_FuelStreams'!$I$268; 'C_FuelStreams'!$I$292; 'C_FuelStreams'!$I$316; 'C_FuelStreams'!$I$340; 'C_FuelStreams'!$I$364; 'C_FuelStreams'!$I$388; 'C_FuelStreams'!$I$412; 'C_FuelStreams'!$I$436; 'C_FuelStreams'!$I$460; 'C_FuelStreams'!$I$484; 'C_FuelStreams'!$I$508; 'C_FuelStreams'!$I$532; 'C_FuelStreams'!$I$556; 'C_FuelStreams'!$I$580; 'C_FuelStreams'!$I$604; 'C_FuelStreams'!$I$628; 'H_Summary'!$I$28; 'EUwideConstants'!$B$10; 'MSParameters'!$E$17; 'MSParameters'!$G$17; 'MSParameters'!$I$17; 'MSParameters'!$M$17; 'MSParameters'!$O$17; 'MSParameters'!$Q$17; 'F.a.Tool_Blending'!$N$24; 'F.a.Tool_Blending'!$N$83; 'F.a.Tool_Blending'!$N$106; 'F.a.Tool_Blending'!$N$129; 'F.a.Tool_Blending'!$N$152; 'F.a.Tool_Blending'!$N$175; 'F.a.Tool_Blending'!$N$198; 'F.a.Tool_Blending'!$N$221; 'F.a.Tool_Blending'!$N$244; 'F.a.Tool_Blending'!$N$267; 'F.a.Tool_Blending'!$N$290; 'F.a.Tool_Blending'!$N$313; 'F.a.Tool_Blending'!$N$336; 'F.a.Tool_Blending'!$N$359; 'F.a.Tool_Blending'!$N$382; 'F.a.Tool_Blending'!$N$405; 'F.a.Tool_Blending'!$N$428; 'F.a.Tool_Blending'!$N$451; 'F.a.Tool_Blending'!$N$474; 'F.a.Tool_Blending'!$N$497; 'F.a.Tool_Blending'!$N$520; 'F.a.Tool_Blending'!$N$543; 'F.a.Tool_Blending'!$N$566; 'F.a.Tool_Blending'!$N$589; 'F.a.Tool_Blending'!$N$612; 'F.a.Tool_Blending'!$N$635; 'F.a.Tool_Blending'!$N$658; 'F.a.Tool_Blending'!$N$681; 'F.a.Tool_Blending'!$N$704; 'F.a.Tool_Blending'!$N$727; 'F.a.Tool_Blending'!$N$750</t>
  </si>
  <si>
    <t>Value</t>
  </si>
  <si>
    <t>C_FuelStreams'!$K$52; 'C_FuelStreams'!$K$76; 'C_FuelStreams'!$K$100; 'C_FuelStreams'!$K$124; 'C_FuelStreams'!$K$148; 'C_FuelStreams'!$K$172; 'C_FuelStreams'!$K$196; 'C_FuelStreams'!$K$220; 'C_FuelStreams'!$K$244; 'C_FuelStreams'!$K$268; 'C_FuelStreams'!$K$292; 'C_FuelStreams'!$K$316; 'C_FuelStreams'!$K$340; 'C_FuelStreams'!$K$364; 'C_FuelStreams'!$K$388; 'C_FuelStreams'!$K$412; 'C_FuelStreams'!$K$436; 'C_FuelStreams'!$K$460; 'C_FuelStreams'!$K$484; 'C_FuelStreams'!$K$508; 'C_FuelStreams'!$K$532; 'C_FuelStreams'!$K$556; 'C_FuelStreams'!$K$580; 'C_FuelStreams'!$K$604; 'C_FuelStreams'!$K$628; 'EUwideConstants'!$B$9; 'MSParameters'!$F$17; 'MSParameters'!$H$17; 'MSParameters'!$N$17; 'MSParameters'!$P$17; 'F.a.Tool_Blending'!$P$24; 'F.a.Tool_Blending'!$P$83; 'F.a.Tool_Blending'!$P$106; 'F.a.Tool_Blending'!$P$129; 'F.a.Tool_Blending'!$P$152; 'F.a.Tool_Blending'!$P$175; 'F.a.Tool_Blending'!$P$198; 'F.a.Tool_Blending'!$P$221; 'F.a.Tool_Blending'!$P$244; 'F.a.Tool_Blending'!$P$267; 'F.a.Tool_Blending'!$P$290; 'F.a.Tool_Blending'!$P$313; 'F.a.Tool_Blending'!$P$336; 'F.a.Tool_Blending'!$P$359; 'F.a.Tool_Blending'!$P$382; 'F.a.Tool_Blending'!$P$405; 'F.a.Tool_Blending'!$P$428; 'F.a.Tool_Blending'!$P$451; 'F.a.Tool_Blending'!$P$474; 'F.a.Tool_Blending'!$P$497; 'F.a.Tool_Blending'!$P$520; 'F.a.Tool_Blending'!$P$543; 'F.a.Tool_Blending'!$P$566; 'F.a.Tool_Blending'!$P$589; 'F.a.Tool_Blending'!$P$612; 'F.a.Tool_Blending'!$P$635; 'F.a.Tool_Blending'!$P$658; 'F.a.Tool_Blending'!$P$681; 'F.a.Tool_Blending'!$P$704; 'F.a.Tool_Blending'!$P$727; 'F.a.Tool_Blending'!$P$750</t>
  </si>
  <si>
    <t>error</t>
  </si>
  <si>
    <t>C_FuelStreams'!$M$52; 'C_FuelStreams'!$M$76; 'C_FuelStreams'!$M$100; 'C_FuelStreams'!$M$124; 'C_FuelStreams'!$M$148; 'C_FuelStreams'!$M$172; 'C_FuelStreams'!$M$196; 'C_FuelStreams'!$M$220; 'C_FuelStreams'!$M$244; 'C_FuelStreams'!$M$268; 'C_FuelStreams'!$M$292; 'C_FuelStreams'!$M$316; 'C_FuelStreams'!$M$340; 'C_FuelStreams'!$M$364; 'C_FuelStreams'!$M$388; 'C_FuelStreams'!$M$412; 'C_FuelStreams'!$M$436; 'C_FuelStreams'!$M$460; 'C_FuelStreams'!$M$484; 'C_FuelStreams'!$M$508; 'C_FuelStreams'!$M$532; 'C_FuelStreams'!$M$556; 'C_FuelStreams'!$M$580; 'C_FuelStreams'!$M$604; 'C_FuelStreams'!$M$628</t>
  </si>
  <si>
    <t xml:space="preserve"> </t>
  </si>
  <si>
    <t>C_FuelStreams'!$H$54; 'C_FuelStreams'!$H$78; 'C_FuelStreams'!$H$102; 'C_FuelStreams'!$H$126; 'C_FuelStreams'!$H$150; 'C_FuelStreams'!$H$174; 'C_FuelStreams'!$H$198; 'C_FuelStreams'!$H$222; 'C_FuelStreams'!$H$246; 'C_FuelStreams'!$H$270; 'C_FuelStreams'!$H$294; 'C_FuelStreams'!$H$318; 'C_FuelStreams'!$H$342; 'C_FuelStreams'!$H$366; 'C_FuelStreams'!$H$390; 'C_FuelStreams'!$H$414; 'C_FuelStreams'!$H$438; 'C_FuelStreams'!$H$462; 'C_FuelStreams'!$H$486; 'C_FuelStreams'!$H$510; 'C_FuelStreams'!$H$534; 'C_FuelStreams'!$H$558; 'C_FuelStreams'!$H$582; 'C_FuelStreams'!$H$606; 'C_FuelStreams'!$H$630</t>
  </si>
  <si>
    <t>Scope factor:</t>
  </si>
  <si>
    <t>C_FuelStreams'!$D$60; 'C_FuelStreams'!$D$84; 'C_FuelStreams'!$D$108; 'C_FuelStreams'!$D$132; 'C_FuelStreams'!$D$156; 'C_FuelStreams'!$D$180; 'C_FuelStreams'!$D$204; 'C_FuelStreams'!$D$228; 'C_FuelStreams'!$D$252; 'C_FuelStreams'!$D$276; 'C_FuelStreams'!$D$300; 'C_FuelStreams'!$D$324; 'C_FuelStreams'!$D$348; 'C_FuelStreams'!$D$372; 'C_FuelStreams'!$D$396; 'C_FuelStreams'!$D$420; 'C_FuelStreams'!$D$444; 'C_FuelStreams'!$D$468; 'C_FuelStreams'!$D$492; 'C_FuelStreams'!$D$516; 'C_FuelStreams'!$D$540; 'C_FuelStreams'!$D$564; 'C_FuelStreams'!$D$588; 'C_FuelStreams'!$D$612; 'C_FuelStreams'!$D$636; 'F.a.Tool_Blending'!$V$31; 'F.a.Tool_Blending'!$V$90; 'F.a.Tool_Blending'!$V$113; 'F.a.Tool_Blending'!$V$136; 'F.a.Tool_Blending'!$V$159; 'F.a.Tool_Blending'!$V$182; 'F.a.Tool_Blending'!$V$205; 'F.a.Tool_Blending'!$V$228; 'F.a.Tool_Blending'!$V$251; 'F.a.Tool_Blending'!$V$274; 'F.a.Tool_Blending'!$V$297; 'F.a.Tool_Blending'!$V$320; 'F.a.Tool_Blending'!$V$343; 'F.a.Tool_Blending'!$V$366; 'F.a.Tool_Blending'!$V$389; 'F.a.Tool_Blending'!$V$412; 'F.a.Tool_Blending'!$V$435; 'F.a.Tool_Blending'!$V$458; 'F.a.Tool_Blending'!$V$481; 'F.a.Tool_Blending'!$V$504; 'F.a.Tool_Blending'!$V$527; 'F.a.Tool_Blending'!$V$550; 'F.a.Tool_Blending'!$V$573; 'F.a.Tool_Blending'!$V$596; 'F.a.Tool_Blending'!$V$619; 'F.a.Tool_Blending'!$V$642; 'F.a.Tool_Blending'!$V$665; 'F.a.Tool_Blending'!$V$688; 'F.a.Tool_Blending'!$V$711; 'F.a.Tool_Blending'!$V$734; 'F.a.Tool_Blending'!$V$757</t>
  </si>
  <si>
    <t>Tiers valid from:</t>
  </si>
  <si>
    <t>C_FuelStreams'!$D$66; 'C_FuelStreams'!$D$90; 'C_FuelStreams'!$D$114; 'C_FuelStreams'!$D$138; 'C_FuelStreams'!$D$162; 'C_FuelStreams'!$D$186; 'C_FuelStreams'!$D$210; 'C_FuelStreams'!$D$234; 'C_FuelStreams'!$D$258; 'C_FuelStreams'!$D$282; 'C_FuelStreams'!$D$306; 'C_FuelStreams'!$D$330; 'C_FuelStreams'!$D$354; 'C_FuelStreams'!$D$378; 'C_FuelStreams'!$D$402; 'C_FuelStreams'!$D$426; 'C_FuelStreams'!$D$450; 'C_FuelStreams'!$D$474; 'C_FuelStreams'!$D$498; 'C_FuelStreams'!$D$522; 'C_FuelStreams'!$D$546; 'C_FuelStreams'!$D$570; 'C_FuelStreams'!$D$594; 'C_FuelStreams'!$D$618; 'C_FuelStreams'!$D$642</t>
  </si>
  <si>
    <t>until:</t>
  </si>
  <si>
    <t>C_FuelStreams'!$H$66; 'C_FuelStreams'!$H$90; 'C_FuelStreams'!$H$114; 'C_FuelStreams'!$H$138; 'C_FuelStreams'!$H$162; 'C_FuelStreams'!$H$186; 'C_FuelStreams'!$H$210; 'C_FuelStreams'!$H$234; 'C_FuelStreams'!$H$258; 'C_FuelStreams'!$H$282; 'C_FuelStreams'!$H$306; 'C_FuelStreams'!$H$330; 'C_FuelStreams'!$H$354; 'C_FuelStreams'!$H$378; 'C_FuelStreams'!$H$402; 'C_FuelStreams'!$H$426; 'C_FuelStreams'!$H$450; 'C_FuelStreams'!$H$474; 'C_FuelStreams'!$H$498; 'C_FuelStreams'!$H$522; 'C_FuelStreams'!$H$546; 'C_FuelStreams'!$H$570; 'C_FuelStreams'!$H$594; 'C_FuelStreams'!$H$618; 'C_FuelStreams'!$H$642</t>
  </si>
  <si>
    <t>ID used in the monitoring plan for this fuel stream:</t>
  </si>
  <si>
    <t>C_FuelStreams'!$M$66; 'C_FuelStreams'!$M$90; 'C_FuelStreams'!$M$114; 'C_FuelStreams'!$M$138; 'C_FuelStreams'!$M$162; 'C_FuelStreams'!$M$186; 'C_FuelStreams'!$M$210; 'C_FuelStreams'!$M$234; 'C_FuelStreams'!$M$258; 'C_FuelStreams'!$M$282; 'C_FuelStreams'!$M$306; 'C_FuelStreams'!$M$330; 'C_FuelStreams'!$M$354; 'C_FuelStreams'!$M$378; 'C_FuelStreams'!$M$402; 'C_FuelStreams'!$M$426; 'C_FuelStreams'!$M$450; 'C_FuelStreams'!$M$474; 'C_FuelStreams'!$M$498; 'C_FuelStreams'!$M$522; 'C_FuelStreams'!$M$546; 'C_FuelStreams'!$M$570; 'C_FuelStreams'!$M$594; 'C_FuelStreams'!$M$618; 'C_FuelStreams'!$M$642</t>
  </si>
  <si>
    <t>Range</t>
  </si>
  <si>
    <t>C_FuelStreams'!$M$651; 'D_ETS1Amounts'!$M$120; 'E_DataGaps'!$M$47; 'F_Timing'!$M$107</t>
  </si>
  <si>
    <t>D. ETS1 amounts</t>
  </si>
  <si>
    <t>D_ETS1Amounts'!$B$2</t>
  </si>
  <si>
    <t>D. Fuel amounts supplied to ETS1 installations, aircraft operators and shipping companies</t>
  </si>
  <si>
    <t>D_ETS1Amounts'!$C$6</t>
  </si>
  <si>
    <t>Fuel amounts supplied to ETS1 operators</t>
  </si>
  <si>
    <t>D_ETS1Amounts'!$D$8</t>
  </si>
  <si>
    <t>ETS1 amounts</t>
  </si>
  <si>
    <t>D_ETS1Amounts'!$Q$8</t>
  </si>
  <si>
    <t>Article 75v(3) and Annex Xb require you to report on released fuel amounts to each installation, aircraft operator and shipping company, which are covered by Annex I of the EU ETS Directive (i.e. to an ETS1 entity). This sheet is structured as follows:</t>
  </si>
  <si>
    <t>D_ETS1Amounts'!$E$10</t>
  </si>
  <si>
    <t>Section a)</t>
  </si>
  <si>
    <t>D_ETS1Amounts'!$E$11</t>
  </si>
  <si>
    <t>This section is for the identification of each relevant ETS1 entity to which fuels were supplied.</t>
  </si>
  <si>
    <t>D_ETS1Amounts'!$F$11</t>
  </si>
  <si>
    <t>Section b)</t>
  </si>
  <si>
    <t>D_ETS1Amounts'!$E$12</t>
  </si>
  <si>
    <t>This section is for reporting the actual fuel amounts sold to ETS1 entities and used for ETS1 activities.</t>
  </si>
  <si>
    <t>D_ETS1Amounts'!$F$12</t>
  </si>
  <si>
    <t>Section c)</t>
  </si>
  <si>
    <t>D_ETS1Amounts'!$E$13</t>
  </si>
  <si>
    <t>This section is for identifying any intermediate consumers of the fuel, from direct buyer down to the ETS1 entity, including their name and address, where this would not cause disproportionate administrative burden.</t>
  </si>
  <si>
    <t>D_ETS1Amounts'!$F$13</t>
  </si>
  <si>
    <t>This is the Member State in which the ETS1 entity is located to which fuel was supplied.</t>
  </si>
  <si>
    <t>D_ETS1Amounts'!$F$16</t>
  </si>
  <si>
    <t>ETS1 Unique ID</t>
  </si>
  <si>
    <t>D_ETS1Amounts'!$E$17; 'D_ETS1Amounts'!$F$27; 'D_ETS1Amounts'!$E$54; 'D_ETS1Amounts'!$E$80; 'H_Summary'!$E$28</t>
  </si>
  <si>
    <t>This is the unique EU ETS ID of the ETS1 entity the fuel was supplied to. It is usually a natural number, i.e. a code different from the Permit identifier used in the Registry (EUTL). Together with the Member State selected, this Registry ID (unique ID) will result in the Unique ID displayed automatically in (b) below. E.g. if the installation with Registry ID 123456 is situated in Belgium, entry of "123456" here will result in "BE000000000123456" under (b).The EUTL can be accessed via the following link:</t>
  </si>
  <si>
    <t>D_ETS1Amounts'!$F$17</t>
  </si>
  <si>
    <t>https://ec.europa.eu/clima/ets/oha.do?languageCode=en</t>
  </si>
  <si>
    <t>D_ETS1Amounts'!$F$18</t>
  </si>
  <si>
    <t>Name and address</t>
  </si>
  <si>
    <t>D_ETS1Amounts'!$E$19</t>
  </si>
  <si>
    <t>The name and address can also be found under the link above.</t>
  </si>
  <si>
    <t>D_ETS1Amounts'!$F$19</t>
  </si>
  <si>
    <t>Fuel stream</t>
  </si>
  <si>
    <t>D_ETS1Amounts'!$E$20; 'D_ETS1Amounts'!$H$54; 'D_ETS1Amounts'!$F$80; 'H_Summary'!$H$28; 'H_Summary'!$E$51</t>
  </si>
  <si>
    <t>Those are the fuel streams reported in sheet C.</t>
  </si>
  <si>
    <t>D_ETS1Amounts'!$F$20</t>
  </si>
  <si>
    <t>RFA sold</t>
  </si>
  <si>
    <t>D_ETS1Amounts'!$E$21; 'D_ETS1Amounts'!$L$54</t>
  </si>
  <si>
    <t>This is the released fuel amount sold to the relevant ETS1 entity during the report period.</t>
  </si>
  <si>
    <t>D_ETS1Amounts'!$F$21</t>
  </si>
  <si>
    <t>RFA used</t>
  </si>
  <si>
    <t>D_ETS1Amounts'!$E$22; 'D_ETS1Amounts'!$M$54</t>
  </si>
  <si>
    <t>This is the released fuel amount used by the relevant ETS1 entity for activities covered by Annex I of the EU ETS Directive. This amount can be obtained from the ETS1 operator reporting pursuant to Annex Xa of the MRR as part of its annual emissions report. E.g. RFA used will be lower than RFA sold where amounts sold are not used (consumed) in the same year. It will be higher where amounts are used that were put on stock in the previous year.</t>
  </si>
  <si>
    <t>D_ETS1Amounts'!$F$22</t>
  </si>
  <si>
    <t>Available RFA</t>
  </si>
  <si>
    <t>D_ETS1Amounts'!$E$23; 'D_ETS1Amounts'!$K$54</t>
  </si>
  <si>
    <t>Based on the entries in sheet C, the available released fuel amounts are displayed automatically. Those are the amounts released for consumption of the specific fuel stream for which the scope factor is zero, calculated via RFA = (1 - scope factor) x RFA. If the amounts cumulatively entered as solde or used, respectively, exceed the available amounts, an indicator message will be prompted (for the reasons mentioned under "RFA used" above, this is not necessarily an error).</t>
  </si>
  <si>
    <t>D_ETS1Amounts'!$F$23</t>
  </si>
  <si>
    <t>Identification of ETS1 operators fuel was supplied to</t>
  </si>
  <si>
    <t>D_ETS1Amounts'!$E$25</t>
  </si>
  <si>
    <t>The first two lines show examples for how this section should be completed.</t>
  </si>
  <si>
    <t>D_ETS1Amounts'!$E$26; 'D_ETS1Amounts'!$E$53</t>
  </si>
  <si>
    <t>Name of the ETS1 entity</t>
  </si>
  <si>
    <t>D_ETS1Amounts'!$G$27</t>
  </si>
  <si>
    <t>ETS1 entity address</t>
  </si>
  <si>
    <t>D_ETS1Amounts'!$J$27</t>
  </si>
  <si>
    <t>Ex.1</t>
  </si>
  <si>
    <t>D_ETS1Amounts'!$D$28; 'D_ETS1Amounts'!$D$55</t>
  </si>
  <si>
    <t>ACME chemical plant</t>
  </si>
  <si>
    <t>D_ETS1Amounts'!$G$28</t>
  </si>
  <si>
    <t>Chemical road 42, Antwerp, BE</t>
  </si>
  <si>
    <t>D_ETS1Amounts'!$J$28</t>
  </si>
  <si>
    <t>Ex.2</t>
  </si>
  <si>
    <t>D_ETS1Amounts'!$D$29; 'D_ETS1Amounts'!$D$56</t>
  </si>
  <si>
    <t>Superman Steel</t>
  </si>
  <si>
    <t>D_ETS1Amounts'!$G$29</t>
  </si>
  <si>
    <t>Steel avenue 1, The Hague, NL</t>
  </si>
  <si>
    <t>D_ETS1Amounts'!$J$29</t>
  </si>
  <si>
    <t>Amount of fuel sold to ETS1 operators and used for Annex I activities</t>
  </si>
  <si>
    <t>D_ETS1Amounts'!$E$51</t>
  </si>
  <si>
    <t>Where more than one fuel stream is supplied to the same ETS1 operator, multiple selections of the same ETS1 unique ID are possible in the first column.</t>
  </si>
  <si>
    <t>D_ETS1Amounts'!$E$52</t>
  </si>
  <si>
    <t>BE000000000006563</t>
  </si>
  <si>
    <t>D_ETS1Amounts'!$E$55</t>
  </si>
  <si>
    <t>NL000000000002012</t>
  </si>
  <si>
    <t>D_ETS1Amounts'!$E$56</t>
  </si>
  <si>
    <t>F2. Liquid - Heavy Fuel Oil</t>
  </si>
  <si>
    <t>D_ETS1Amounts'!$H$56</t>
  </si>
  <si>
    <t>Name and address of intermediary consumers, if relevant and available</t>
  </si>
  <si>
    <t>D_ETS1Amounts'!$E$78</t>
  </si>
  <si>
    <t>Name and address; intermediary consumer 1</t>
  </si>
  <si>
    <t>D_ETS1Amounts'!$H$80; 'H_Summary'!$F$51</t>
  </si>
  <si>
    <t>Name and address; intermediary consumer 2</t>
  </si>
  <si>
    <t>D_ETS1Amounts'!$I$80; 'H_Summary'!$G$51</t>
  </si>
  <si>
    <t>Name and address; intermediary consumer 3</t>
  </si>
  <si>
    <t>D_ETS1Amounts'!$J$80; 'H_Summary'!$H$51</t>
  </si>
  <si>
    <t>Name and address; intermediary consumer 4</t>
  </si>
  <si>
    <t>D_ETS1Amounts'!$K$80; 'H_Summary'!$I$51</t>
  </si>
  <si>
    <t>Name and address; intermediary consumer 5</t>
  </si>
  <si>
    <t>D_ETS1Amounts'!$L$80; 'H_Summary'!$J$51</t>
  </si>
  <si>
    <t>Name and address; intermediary consumer 6</t>
  </si>
  <si>
    <t>D_ETS1Amounts'!$M$80; 'H_Summary'!$K$51</t>
  </si>
  <si>
    <t>Name and address; intermediary consumer 7</t>
  </si>
  <si>
    <t>D_ETS1Amounts'!$N$80; 'H_Summary'!$L$51</t>
  </si>
  <si>
    <t>EUTL ID</t>
  </si>
  <si>
    <t>D_ETS1Amounts'!$I$120</t>
  </si>
  <si>
    <t>E. Data Gaps</t>
  </si>
  <si>
    <t>E_DataGaps'!$B$2; 'E_DataGaps'!$C$6</t>
  </si>
  <si>
    <t>Data Gaps identified during the reporting year</t>
  </si>
  <si>
    <t>E_DataGaps'!$D$8</t>
  </si>
  <si>
    <t>Fuel stream name and ID</t>
  </si>
  <si>
    <t>E_DataGaps'!$E$11; 'E_DataGaps'!$D$18</t>
  </si>
  <si>
    <t>Please select the fuel stream from the drop-down list to identify to which fuel the data gap applies.</t>
  </si>
  <si>
    <t>E_DataGaps'!$F$11</t>
  </si>
  <si>
    <t>from/until</t>
  </si>
  <si>
    <t>E_DataGaps'!$E$12</t>
  </si>
  <si>
    <t>Please enter here the start and the end date of each data gap.</t>
  </si>
  <si>
    <t>E_DataGaps'!$F$12</t>
  </si>
  <si>
    <t>Description, reasons and methods</t>
  </si>
  <si>
    <t>E_DataGaps'!$E$13; 'E_DataGaps'!$J$18</t>
  </si>
  <si>
    <t>Please briefly describe here what kind of data gaps have occurred, provide the reasons for their occurrence and describe how those data gaps have been closed in accordance with Article 66(1). If more space is required you may enter further reasons and descriptions in sheet G_AdditionalInformation providing a clear cross reference to the data gap number in the table below.</t>
  </si>
  <si>
    <t>E_DataGaps'!$F$13</t>
  </si>
  <si>
    <t>Where the estimation method for surrogate data has not yet been included in the monitoring plan, please provide a detailed description of the estimation method including evidence that the methodology used does not lead to an underestimation of emissions for the respective time period.</t>
  </si>
  <si>
    <t>E_DataGaps'!$F$14</t>
  </si>
  <si>
    <t>Estimated emissions</t>
  </si>
  <si>
    <t>E_DataGaps'!$E$15</t>
  </si>
  <si>
    <t>Please enter here the emissions calculated based on surrogate data. Please note that the estimated emissions entered here will just be used as memo-items and will not be added to the emissions in other sheets. This means that the emissions entered in the previous sheets must INCLUDE the surrogate data.</t>
  </si>
  <si>
    <t>E_DataGaps'!$F$15</t>
  </si>
  <si>
    <t>Example: For one batch of a fuel stream data for EF has been lost. The surrogate EF for this batch has been determined based on conservative estimates. In sheet C_FuelStreams the EF entered will be the weighted average of EFs from all batches including the one batch for which data is missing. Furthermore the estimated emissions entered here under "data gaps" only relates to the batch with missing data. I.e. emissions (data gap) = Fuel amounts (batch size for which data is missing) x EF (which has been calculated based on surrogate data).</t>
  </si>
  <si>
    <t>E_DataGaps'!$F$16</t>
  </si>
  <si>
    <t>from</t>
  </si>
  <si>
    <t>E_DataGaps'!$H$18</t>
  </si>
  <si>
    <t>until</t>
  </si>
  <si>
    <t>E_DataGaps'!$I$18</t>
  </si>
  <si>
    <t>Estimated emissions (t CO2e)</t>
  </si>
  <si>
    <t>E_DataGaps'!$N$18</t>
  </si>
  <si>
    <t>F. Tool for timing</t>
  </si>
  <si>
    <t>F_Timing'!$B$2</t>
  </si>
  <si>
    <t>F. Tool for determining released fuel amounts, where Article 75j(2) is relevant</t>
  </si>
  <si>
    <t>F_Timing'!$C$6</t>
  </si>
  <si>
    <t>Introduction to the tool</t>
  </si>
  <si>
    <t>F_Timing'!$D$8</t>
  </si>
  <si>
    <t>Theoretically, the cut-off time for annual amounts would have to be determined at midnight on 31 December every year, which may not be possible in practice. Therefore, Article 75j(2) allows for choosing the next most appropriate day to separate one reporting year from the following one.</t>
  </si>
  <si>
    <t>F_Timing'!$E$10</t>
  </si>
  <si>
    <t>There may even be cases where the cut-off time for annual amounts is even later than the day on which the annual emissions report is being verified. A common example for such a case would be natural gas suppliers who receive the results of the meter reading performed by distribution system operators for the previous year's consumption levels (for at least part of the released amounts) only after the day on which the annual emissions report is being verified.</t>
  </si>
  <si>
    <t>F_Timing'!$E$11</t>
  </si>
  <si>
    <t>The tools in this sheet support you with reconciling annual released fuel amounts where exactly such case arises, i.e. the cut-off time for at least some amounts is after the day on which the annual emissions report is verified. You may use each tool below for one specfic fuel stream's released fuel amounts.</t>
  </si>
  <si>
    <t>F_Timing'!$E$12</t>
  </si>
  <si>
    <t>Please note that the results of this tool will have to be entered manually in sheet C! They are not automatically transferred and are for transparency purposes only.</t>
  </si>
  <si>
    <t>F_Timing'!$E$13</t>
  </si>
  <si>
    <t>This is the best estimate released fuel amounts for the reporting year, i.e. the best estimate for the amounts released in year Y-1 that you have to report by 30 April Y.</t>
  </si>
  <si>
    <t>F_Timing'!$F$16</t>
  </si>
  <si>
    <t>This is the actual amount of fuel released for year Y-1, i.e. the final number which will only be known after the verification of this year's annual emissions report took place. The actual amount will therefore only be known for the annual emissions report due by 30 April Y+1, which reports on emissions in year Y.</t>
  </si>
  <si>
    <t>F_Timing'!$F$17</t>
  </si>
  <si>
    <t>These are the released fuel amounts to be reported for the relevant fuel stream in this year Y for amounts released during Y-1, based on the entries for best estimates and correcting for balance (see below) between reported and actual amounts outstanding from Y-1.</t>
  </si>
  <si>
    <t>F_Timing'!$F$18</t>
  </si>
  <si>
    <t>This is the difference between the released fuel amounts reported and the actual amounts.</t>
  </si>
  <si>
    <t>F_Timing'!$F$19</t>
  </si>
  <si>
    <t>Example (based on the corresponding example in section 5.3.2 of the General guidance for ETS2 regulated entities):</t>
  </si>
  <si>
    <t>F_Timing'!$E$21</t>
  </si>
  <si>
    <t>A natural gas supplier (the ETS2 regulated entity in this example) has direct contractual relationships with households. The annual natural gas consumption is measured once per year on 15 May with a flow meter that is owned and read by the natural gas distribution system operator (DSO).</t>
  </si>
  <si>
    <t>F_Timing'!$E$22</t>
  </si>
  <si>
    <t>Based on historical consumption levels and forecasts, you expect released fuel amounts of 2 500 kWh as the best available information to estimate the released fuel amounts for the total calendar year 2024 and report this figure in the annual emissions report due by 30 April 2025. Entries would therefore look as follows:</t>
  </si>
  <si>
    <t>F_Timing'!$F$23</t>
  </si>
  <si>
    <t>Entries in the tool for the report due by 30 April 2025 will look as follows:</t>
  </si>
  <si>
    <t>F_Timing'!$F$24</t>
  </si>
  <si>
    <t>Best estimate</t>
  </si>
  <si>
    <t>F_Timing'!$G$25; 'EUwideConstants'!$B$39</t>
  </si>
  <si>
    <t>Actual released amounts</t>
  </si>
  <si>
    <t>F_Timing'!$I$25; 'EUwideConstants'!$B$40</t>
  </si>
  <si>
    <t>Reportable amounts</t>
  </si>
  <si>
    <t>F_Timing'!$K$25; 'F_Timing'!$K$33; 'F_Timing'!$K$46; 'F_Timing'!$K$75</t>
  </si>
  <si>
    <t>Balance</t>
  </si>
  <si>
    <t>F_Timing'!$M$25; 'F_Timing'!$M$33; 'F_Timing'!$M$46; 'F_Timing'!$M$75</t>
  </si>
  <si>
    <t xml:space="preserve"> (for year Y-1)</t>
  </si>
  <si>
    <t>F_Timing'!$G$26; 'F_Timing'!$G$34; 'F_Timing'!$G$47; 'F_Timing'!$G$76</t>
  </si>
  <si>
    <t>(in year Y-1)</t>
  </si>
  <si>
    <t>F_Timing'!$I$26; 'F_Timing'!$I$34; 'F_Timing'!$I$47; 'F_Timing'!$I$76</t>
  </si>
  <si>
    <t>(in year Y for Y-1)</t>
  </si>
  <si>
    <t>F_Timing'!$K$26; 'F_Timing'!$K$34; 'F_Timing'!$K$47; 'F_Timing'!$K$76</t>
  </si>
  <si>
    <t>(reported - actual)</t>
  </si>
  <si>
    <t>F_Timing'!$M$26; 'F_Timing'!$M$34; 'F_Timing'!$M$47; 'F_Timing'!$M$76</t>
  </si>
  <si>
    <t>Best estimate 2024</t>
  </si>
  <si>
    <t>F_Timing'!$E$27</t>
  </si>
  <si>
    <t>Actual released amounts 2024</t>
  </si>
  <si>
    <t>F_Timing'!$E$28</t>
  </si>
  <si>
    <t>After the submission of the report for 2024 emissions, on 15 May 2025 the DSO reports to the regulated entity actual consumption between 15 May 2024 and 15 May 2025 to have been 2 300 kWh. For reporting on emissions during 2025 due by 30 April 2026, the best available data for released fuel amounts is therefore 2 300 kWh. However, in order to correct for the over-reporting in the previous year, the regulated entity has to deduct the 2 500 kWh – 2 300 kWh = 200 kWh which will lead to reporting released fuel amounts of 2 100 kWh for 2025.</t>
  </si>
  <si>
    <t>F_Timing'!$F$30</t>
  </si>
  <si>
    <t>For reporting on emissions during 2025 due by 30 April 2026, the best available data for released fuel amounts is therefore 2 300 kWh. However, in order to correct for the over-reporting in the previous year, you have to deduct the 2 500 kWh – 2 300 kWh = 200 kWh which will lead to reporting released fuel amounts of 2 100 kWh for 2025.</t>
  </si>
  <si>
    <t>F_Timing'!$F$31</t>
  </si>
  <si>
    <t>Entries in the tool for the report due by 30 April 2026 will look as follows:</t>
  </si>
  <si>
    <t>F_Timing'!$F$32</t>
  </si>
  <si>
    <t>The above steps would be reported for subsequent years as well</t>
  </si>
  <si>
    <t>F_Timing'!$F$40</t>
  </si>
  <si>
    <t>Tool 1</t>
  </si>
  <si>
    <t>F_Timing'!$D$42</t>
  </si>
  <si>
    <t>Fuel stream to which entries in this tool relate:</t>
  </si>
  <si>
    <t>F_Timing'!$H$44; 'F_Timing'!$H$73</t>
  </si>
  <si>
    <t>Units:</t>
  </si>
  <si>
    <t>F_Timing'!$E$46; 'F_Timing'!$E$75; 'F.a.Tool_Blending'!$V$17; 'F.a.Tool_Blending'!$V$76; 'F.a.Tool_Blending'!$V$99; 'F.a.Tool_Blending'!$V$122; 'F.a.Tool_Blending'!$V$145; 'F.a.Tool_Blending'!$V$168; 'F.a.Tool_Blending'!$V$191; 'F.a.Tool_Blending'!$V$214; 'F.a.Tool_Blending'!$V$237; 'F.a.Tool_Blending'!$V$260; 'F.a.Tool_Blending'!$V$283; 'F.a.Tool_Blending'!$V$306; 'F.a.Tool_Blending'!$V$329; 'F.a.Tool_Blending'!$V$352; 'F.a.Tool_Blending'!$V$375; 'F.a.Tool_Blending'!$V$398; 'F.a.Tool_Blending'!$V$421; 'F.a.Tool_Blending'!$V$444; 'F.a.Tool_Blending'!$V$467; 'F.a.Tool_Blending'!$V$490; 'F.a.Tool_Blending'!$V$513; 'F.a.Tool_Blending'!$V$536; 'F.a.Tool_Blending'!$V$559; 'F.a.Tool_Blending'!$V$582; 'F.a.Tool_Blending'!$V$605; 'F.a.Tool_Blending'!$V$628; 'F.a.Tool_Blending'!$V$651; 'F.a.Tool_Blending'!$V$674; 'F.a.Tool_Blending'!$V$697; 'F.a.Tool_Blending'!$V$720; 'F.a.Tool_Blending'!$V$743</t>
  </si>
  <si>
    <t>Tool 2</t>
  </si>
  <si>
    <t>F_Timing'!$D$71</t>
  </si>
  <si>
    <t>G. Additional information</t>
  </si>
  <si>
    <t>G_AdditionalInformation'!$A$1</t>
  </si>
  <si>
    <t>G. Further Information on this report</t>
  </si>
  <si>
    <t>G_AdditionalInformation'!$B$5</t>
  </si>
  <si>
    <t>List of definitions and abbreviations used</t>
  </si>
  <si>
    <t>G_AdditionalInformation'!$C$7</t>
  </si>
  <si>
    <t>Please list any abbreviations, acronyms or definitions that you have used in completing this annual emissions report.</t>
  </si>
  <si>
    <t>G_AdditionalInformation'!$C$9</t>
  </si>
  <si>
    <t>Abbreviation</t>
  </si>
  <si>
    <t>G_AdditionalInformation'!$C$11</t>
  </si>
  <si>
    <t>Definition</t>
  </si>
  <si>
    <t>G_AdditionalInformation'!$E$11</t>
  </si>
  <si>
    <t>Additional information</t>
  </si>
  <si>
    <t>G_AdditionalInformation'!$C$23</t>
  </si>
  <si>
    <t>If you are providing any other information that you wish us to take into account in considering your report, tell us here. Please provide this information in an electronic format wherever possible. You can provide information as Microsoft Word, Excel, or Adobe Acrobat formats.</t>
  </si>
  <si>
    <t>G_AdditionalInformation'!$C$25</t>
  </si>
  <si>
    <t>You are advised to avoid supplying non-relevant information as it can slow down the process. Additional documentation provided should be clearly referenced below, using file name(s) (if in an electronic format) or document reference number(s) (if hard copy). If needed, check with your competent authority.</t>
  </si>
  <si>
    <t>G_AdditionalInformation'!$C$26</t>
  </si>
  <si>
    <t>File name/Reference</t>
  </si>
  <si>
    <t>G_AdditionalInformation'!$C$28</t>
  </si>
  <si>
    <t>Document description</t>
  </si>
  <si>
    <t>G_AdditionalInformation'!$E$28</t>
  </si>
  <si>
    <t>H. Summary</t>
  </si>
  <si>
    <t>H_Summary'!$B$2</t>
  </si>
  <si>
    <t>Summary of the annual emissions of the Regulated Entity</t>
  </si>
  <si>
    <t>H_Summary'!$C$6</t>
  </si>
  <si>
    <t>Reporting Year:</t>
  </si>
  <si>
    <t>H_Summary'!$J$8</t>
  </si>
  <si>
    <t>Version of this report:</t>
  </si>
  <si>
    <t>H_Summary'!$E$12</t>
  </si>
  <si>
    <t>Released fuel amounts (by units)</t>
  </si>
  <si>
    <t>H_Summary'!$E$14</t>
  </si>
  <si>
    <t>Released fuel amounts</t>
  </si>
  <si>
    <t>H_Summary'!$H$14; 'H_Summary'!$J$28; 'H_Summary'!$K$28; 'H_Summary'!$L$28</t>
  </si>
  <si>
    <t>Released fuel amounts (after scope factor)</t>
  </si>
  <si>
    <t>H_Summary'!$I$14</t>
  </si>
  <si>
    <t>Aggregated scope factor</t>
  </si>
  <si>
    <t>H_Summary'!$J$14</t>
  </si>
  <si>
    <t>Released fuel amounts (sold to ETS1)</t>
  </si>
  <si>
    <t>H_Summary'!$K$14</t>
  </si>
  <si>
    <t>Released fuel amounts (used in ETS1)</t>
  </si>
  <si>
    <t>H_Summary'!$L$14</t>
  </si>
  <si>
    <t>Memo-Items:</t>
  </si>
  <si>
    <t>H_Summary'!$J$21</t>
  </si>
  <si>
    <t>Emissions (fossil)</t>
  </si>
  <si>
    <t>H_Summary'!$H$22; 'F.a.Tool_Blending'!$K$18; 'F.a.Tool_Blending'!$K$41; 'F.a.Tool_Blending'!$K$77; 'F.a.Tool_Blending'!$K$100; 'F.a.Tool_Blending'!$K$123; 'F.a.Tool_Blending'!$K$146; 'F.a.Tool_Blending'!$K$169; 'F.a.Tool_Blending'!$K$192; 'F.a.Tool_Blending'!$K$215; 'F.a.Tool_Blending'!$K$238; 'F.a.Tool_Blending'!$K$261; 'F.a.Tool_Blending'!$K$284; 'F.a.Tool_Blending'!$K$307; 'F.a.Tool_Blending'!$K$330; 'F.a.Tool_Blending'!$K$353; 'F.a.Tool_Blending'!$K$376; 'F.a.Tool_Blending'!$K$399; 'F.a.Tool_Blending'!$K$422; 'F.a.Tool_Blending'!$K$445; 'F.a.Tool_Blending'!$K$468; 'F.a.Tool_Blending'!$K$491; 'F.a.Tool_Blending'!$K$514; 'F.a.Tool_Blending'!$K$537; 'F.a.Tool_Blending'!$K$560; 'F.a.Tool_Blending'!$K$583; 'F.a.Tool_Blending'!$K$606; 'F.a.Tool_Blending'!$K$629; 'F.a.Tool_Blending'!$K$652; 'F.a.Tool_Blending'!$K$675; 'F.a.Tool_Blending'!$K$698; 'F.a.Tool_Blending'!$K$721; 'F.a.Tool_Blending'!$K$744</t>
  </si>
  <si>
    <t>Energy content (fossil)</t>
  </si>
  <si>
    <t>H_Summary'!$I$22</t>
  </si>
  <si>
    <t>Emissions (biomass)</t>
  </si>
  <si>
    <t>H_Summary'!$J$22</t>
  </si>
  <si>
    <t>Energy content (biomass)</t>
  </si>
  <si>
    <t>H_Summary'!$K$22</t>
  </si>
  <si>
    <t>Emissions (non-sust.bio.)</t>
  </si>
  <si>
    <t>H_Summary'!$L$22</t>
  </si>
  <si>
    <t>All fuel streams</t>
  </si>
  <si>
    <t>H_Summary'!$E$24</t>
  </si>
  <si>
    <t>Total annual emissions from the entity:</t>
  </si>
  <si>
    <t>H_Summary'!$E$26</t>
  </si>
  <si>
    <t>ETS1 name</t>
  </si>
  <si>
    <t>H_Summary'!$G$28</t>
  </si>
  <si>
    <t>(sold to ETS1)</t>
  </si>
  <si>
    <t>H_Summary'!$J$29</t>
  </si>
  <si>
    <t>(used in ETS1)</t>
  </si>
  <si>
    <t>H_Summary'!$K$29</t>
  </si>
  <si>
    <t>(sold to ETS1, t CO2)</t>
  </si>
  <si>
    <t>H_Summary'!$L$29</t>
  </si>
  <si>
    <t>I Accounting sheet</t>
  </si>
  <si>
    <t>I_Accounting'!$C$3</t>
  </si>
  <si>
    <t>Verifier</t>
  </si>
  <si>
    <t>I_Accounting'!$T$6</t>
  </si>
  <si>
    <t>Released fuel amounts (RFA)</t>
  </si>
  <si>
    <t>I_Accounting'!$I$11</t>
  </si>
  <si>
    <t>Scope factor (SF)</t>
  </si>
  <si>
    <t>I_Accounting'!$M$11</t>
  </si>
  <si>
    <t>Emission factor (EF)</t>
  </si>
  <si>
    <t>I_Accounting'!$P$11</t>
  </si>
  <si>
    <t>Unit conversion factor (UCF)</t>
  </si>
  <si>
    <t>I_Accounting'!$S$11</t>
  </si>
  <si>
    <t>Biomass fraction (BF)</t>
  </si>
  <si>
    <t>I_Accounting'!$V$11</t>
  </si>
  <si>
    <t>Non-sust. biomass fraction</t>
  </si>
  <si>
    <t>I_Accounting'!$X$11</t>
  </si>
  <si>
    <t>Reporting Year</t>
  </si>
  <si>
    <t>I_Accounting'!$D$12</t>
  </si>
  <si>
    <t>Means released</t>
  </si>
  <si>
    <t>I_Accounting'!$G$12</t>
  </si>
  <si>
    <t>Means (intermediate) parties</t>
  </si>
  <si>
    <t>I_Accounting'!$H$12</t>
  </si>
  <si>
    <t>BF Tier</t>
  </si>
  <si>
    <t>I_Accounting'!$V$12</t>
  </si>
  <si>
    <t>NonSustBF Tier</t>
  </si>
  <si>
    <t>I_Accounting'!$X$12</t>
  </si>
  <si>
    <t>NonSustBF</t>
  </si>
  <si>
    <t>I_Accounting'!$Y$12</t>
  </si>
  <si>
    <t>CO2e fossil (t)</t>
  </si>
  <si>
    <t>I_Accounting'!$Z$12</t>
  </si>
  <si>
    <t>CO2e bio (t)</t>
  </si>
  <si>
    <t>I_Accounting'!$AA$12</t>
  </si>
  <si>
    <t>CO2e non-sust. bio (t)</t>
  </si>
  <si>
    <t>I_Accounting'!$AB$12</t>
  </si>
  <si>
    <t>Energy content (fossil), TJ</t>
  </si>
  <si>
    <t>I_Accounting'!$AC$12; 'I_Accounting'!$AD$12</t>
  </si>
  <si>
    <t>Energy content (bio), TJ</t>
  </si>
  <si>
    <t>; 'C_FuelStreams'!$CI$61; 'C_FuelStreams'!$CI$89; 'C_FuelStreams'!$CI$117; 'C_FuelStreams'!$CI$145; 'C_FuelStreams'!$CI$173; 'C_FuelStreams'!$CI$201; 'C_FuelStreams'!$CI$229; 'C_FuelStreams'!$CI$257; 'C_FuelStreams'!$CI$285; 'C_FuelStreams'!$CI$313; 'C_FuelStreams'!$CI$341; 'C_FuelStreams'!$CI$369; 'C_FuelStreams'!$CI$397; 'C_FuelStreams'!$CI$425; 'C_FuelStreams'!$CI$453; 'C_FuelStreams'!$CI$481; 'C_FuelStreams'!$CI$509; 'C_FuelStreams'!$CI$537; 'C_FuelStreams'!$CI$565; 'C_FuelStreams'!$CI$593; 'C_FuelStreams'!$CI$621; 'C_FuelStreams'!$CI$649; 'C_FuelStreams'!$CI$677; 'C_FuelStreams'!$CI$705; 'C_FuelStreams'!$CI$733; 'C_FuelStreams'!$CI$761; 'C_FuelStreams'!$CI$789; 'C_FuelStreams'!$CI$817; 'C_FuelStreams'!$CI$845; 'C_FuelStreams'!$CI$873; 'C_FuelStreams'!$CI$901; 'C_FuelStreams'!$CI$929; 'C_FuelStreams'!$CI$957; 'C_FuelStreams'!$CI$985; 'C_FuelStreams'!$CI$1013; 'C_FuelStreams'!$CI$1041; 'C_FuelStreams'!$CI$1069; 'C_FuelStreams'!$CI$1097; 'C_FuelStreams'!$CI$1125; 'C_FuelStreams'!$CI$1153; 'C_FuelStreams'!$CI$1181; 'C_FuelStreams'!$CI$1209; 'C_FuelStreams'!$CI$1237; 'C_FuelStreams'!$CI$1265; 'C_FuelStreams'!$CI$1293; 'C_FuelStreams'!$CI$1321; 'C_FuelStreams'!$CI$1349; 'C_FuelStreams'!$CI$1377; 'C_FuelStreams'!$CI$1405; 'C_FuelStreams'!$CI$1433</t>
  </si>
  <si>
    <t>CRF category 1</t>
  </si>
  <si>
    <t>I_Accounting'!$AE$12</t>
  </si>
  <si>
    <t>CRF category 2</t>
  </si>
  <si>
    <t>I_Accounting'!$AF$12</t>
  </si>
  <si>
    <t>CRF category 3</t>
  </si>
  <si>
    <t>I_Accounting'!$AG$12</t>
  </si>
  <si>
    <t>litres</t>
  </si>
  <si>
    <t>EUwideConstants'!$B$13</t>
  </si>
  <si>
    <t>GWh(gross)</t>
  </si>
  <si>
    <t>EUwideConstants'!$B$16</t>
  </si>
  <si>
    <t>incomplete!</t>
  </si>
  <si>
    <t>EUwideConstants'!$B$41</t>
  </si>
  <si>
    <t>inconsistent!</t>
  </si>
  <si>
    <t>EUwideConstants'!$B$42</t>
  </si>
  <si>
    <t>Czechia</t>
  </si>
  <si>
    <t>EUwideConstants'!$G$55</t>
  </si>
  <si>
    <t>1A3a - Domestic Aviation</t>
  </si>
  <si>
    <t>EUwideConstants'!$B$195</t>
  </si>
  <si>
    <t>1A3c - Railways</t>
  </si>
  <si>
    <t>EUwideConstants'!$B$196</t>
  </si>
  <si>
    <t>1A3d - Domestic Navigation</t>
  </si>
  <si>
    <t>EUwideConstants'!$B$197</t>
  </si>
  <si>
    <t>1A4c - Agriculture/Forestry/Fishing</t>
  </si>
  <si>
    <t>EUwideConstants'!$B$198</t>
  </si>
  <si>
    <t>1A5a - Energy - Stationary combustion</t>
  </si>
  <si>
    <t>EUwideConstants'!$B$199</t>
  </si>
  <si>
    <t>1A5b - Energy - Mobile combustion</t>
  </si>
  <si>
    <t>EUwideConstants'!$B$200</t>
  </si>
  <si>
    <t>Other categories</t>
  </si>
  <si>
    <t>EUwideConstants'!$B$201</t>
  </si>
  <si>
    <t>Unknown</t>
  </si>
  <si>
    <t>EUwideConstants'!$B$202</t>
  </si>
  <si>
    <t>ETS1 categories</t>
  </si>
  <si>
    <t>Liquid - Gas/Diesel Oil</t>
  </si>
  <si>
    <t>Liquid - Motor Gasoline (E5)</t>
  </si>
  <si>
    <t>Liquid - Motor Gasoline (E10)</t>
  </si>
  <si>
    <t>Liquid - Diesel oil (B7)</t>
  </si>
  <si>
    <t>Liquid - Light Fuel Oil</t>
  </si>
  <si>
    <t>Liquid - Medium Fuel Oil</t>
  </si>
  <si>
    <t>Liquid - Heavy Fuel Oil</t>
  </si>
  <si>
    <t>Liquid - Liquefied Petroleum Gases</t>
  </si>
  <si>
    <t>Liquid - Kerosene</t>
  </si>
  <si>
    <t>Liquid - Natural Gas Liquids</t>
  </si>
  <si>
    <t>Liquid - Aviation gasoline (AvGas)</t>
  </si>
  <si>
    <t>Liquid - Jet gasoline (Jet B)</t>
  </si>
  <si>
    <t>Liquid - Jet kerosene (jet A1 or jet A)</t>
  </si>
  <si>
    <t>Liquid - Shale Oil</t>
  </si>
  <si>
    <t>Liquid - Biogasoline</t>
  </si>
  <si>
    <t>Liquid - Biodiesels</t>
  </si>
  <si>
    <t>Liquid - Waste Oils</t>
  </si>
  <si>
    <t>Liquid - Other liquid fuels</t>
  </si>
  <si>
    <t>Gaseous - Landfill Gas</t>
  </si>
  <si>
    <t>Gaseous - Sludge Gas</t>
  </si>
  <si>
    <t>Gaseous - Ethane</t>
  </si>
  <si>
    <t>Gaseous - Propane</t>
  </si>
  <si>
    <t>Gaseous - Butane</t>
  </si>
  <si>
    <t>Gaseous - Other gaseous fuels</t>
  </si>
  <si>
    <t>Solid - Lignite</t>
  </si>
  <si>
    <t>Solid - Anthracite</t>
  </si>
  <si>
    <t>Solid - Coking Coal</t>
  </si>
  <si>
    <t>Solid - Charcoal</t>
  </si>
  <si>
    <t>Solid - Sub-Bituminous Coal</t>
  </si>
  <si>
    <t>Solid - Other Bituminous Coal</t>
  </si>
  <si>
    <t>Solid - Petroleum Coke</t>
  </si>
  <si>
    <t>Solid - Other solid fuels</t>
  </si>
  <si>
    <t>This is the final version of the annual emissions report template for ETS2 regulated entities of the EU ETS, updated version of 18 November 2025.</t>
  </si>
  <si>
    <t>zero-rated F:</t>
  </si>
  <si>
    <t>Further guidance can also be found in Guidance Document 3 on "Zero-rating" (see link below).</t>
  </si>
  <si>
    <t>Further guidance can be found in the ETS2 General Guidance in section 5.6.3 on "zero-rating" (see link below).</t>
  </si>
  <si>
    <t>For biomass, this means that zero-rating is only possible when Tier 3b is applied for determining the biomass fraction (see "biomass fraction" tier descriptions below). Only in cases where the RED II criteria do not apply (i.e. below the RED II thresholds), other tiers can be used to zero-rate biomass emissions.</t>
  </si>
  <si>
    <t>For RFNBO and RCF, there is only one tier (Tier 1) available, which contains equivalent provisions as Tier 3b for biomass.</t>
  </si>
  <si>
    <t>This is the unique EU ETS ID of the ETS1 entity the fuel was supplied to. It is usually a natural number used in the Union Registry. Together with the Member State selected, this Registry ID (unique ID) will result in the Unique ID displayed automatically in (b) below. E.g. if the installation with Registry ID 123456 is situated in Belgium, entry of "123456" here will result in "BE000000000123456" under (b).The EUTL can be accessed via the following link:</t>
  </si>
  <si>
    <t>C_FuelStreams'!$E$27; 'C_FuelStreams'!$D$72; 'C_FuelStreams'!$D$100; 'C_FuelStreams'!$D$128; 'C_FuelStreams'!$D$156; 'C_FuelStreams'!$D$184; 'C_FuelStreams'!$D$212; 'C_FuelStreams'!$D$240; 'C_FuelStreams'!$D$268; 'C_FuelStreams'!$D$296; 'C_FuelStreams'!$D$324; 'C_FuelStreams'!$D$352; 'C_FuelStreams'!$D$380; 'C_FuelStreams'!$D$408; 'C_FuelStreams'!$D$436; 'C_FuelStreams'!$D$464; 'C_FuelStreams'!$D$492; 'C_FuelStreams'!$D$520; 'C_FuelStreams'!$D$548; 'C_FuelStreams'!$D$576; 'C_FuelStreams'!$D$604; 'C_FuelStreams'!$D$632; 'C_FuelStreams'!$D$660; 'C_FuelStreams'!$D$688; 'C_FuelStreams'!$D$716; 'C_FuelStreams'!$D$744; 'C_FuelStreams'!$D$772; 'C_FuelStreams'!$D$800; 'C_FuelStreams'!$D$828; 'C_FuelStreams'!$D$856; 'C_FuelStreams'!$D$884; 'C_FuelStreams'!$D$912; 'C_FuelStreams'!$D$940; 'C_FuelStreams'!$D$968; 'C_FuelStreams'!$D$996; 'C_FuelStreams'!$D$1024; 'C_FuelStreams'!$D$1052; 'C_FuelStreams'!$D$1080; 'C_FuelStreams'!$D$1108; 'C_FuelStreams'!$D$1136; 'C_FuelStreams'!$D$1164; 'C_FuelStreams'!$D$1192; 'C_FuelStreams'!$D$1220; 'C_FuelStreams'!$D$1248; 'C_FuelStreams'!$D$1276; 'C_FuelStreams'!$D$1304; 'C_FuelStreams'!$D$1332; 'C_FuelStreams'!$D$1360; 'C_FuelStreams'!$D$1388; 'C_FuelStreams'!$D$1416; 'C_FuelStreams'!$D$1444</t>
  </si>
  <si>
    <t>The zero-rated RFNBO (renewable fuels of non-biological origin) / RCF (recycled carbon fuel) fraction is the ratio of carbon stemming from RFNBO/RCF to the total carbon content of a fuel or material, expressed as a fraction.</t>
  </si>
  <si>
    <t>C_FuelStreams'!$F$27</t>
  </si>
  <si>
    <t>Since this fraction can be expected to be only relevant in a few cases for the time being, the fraction is set to "n.a." by default to avoid confusion. If however relevant, please select Tier 1 and provide the relevant value for the fraction.</t>
  </si>
  <si>
    <t>C_FuelStreams'!$F$29; 'C_FuelStreams'!$F$31; 'C_FuelStreams'!$F$34; 'C_FuelStreams'!$F$36</t>
  </si>
  <si>
    <t>non-sust. RFNBO/RCF:</t>
  </si>
  <si>
    <t>C_FuelStreams'!$E$30; 'C_FuelStreams'!$D$73; 'C_FuelStreams'!$D$101; 'C_FuelStreams'!$D$129; 'C_FuelStreams'!$D$157; 'C_FuelStreams'!$D$185; 'C_FuelStreams'!$D$213; 'C_FuelStreams'!$D$241; 'C_FuelStreams'!$D$269; 'C_FuelStreams'!$D$297; 'C_FuelStreams'!$D$325; 'C_FuelStreams'!$D$353; 'C_FuelStreams'!$D$381; 'C_FuelStreams'!$D$409; 'C_FuelStreams'!$D$437; 'C_FuelStreams'!$D$465; 'C_FuelStreams'!$D$493; 'C_FuelStreams'!$D$521; 'C_FuelStreams'!$D$549; 'C_FuelStreams'!$D$577; 'C_FuelStreams'!$D$605; 'C_FuelStreams'!$D$633; 'C_FuelStreams'!$D$661; 'C_FuelStreams'!$D$689; 'C_FuelStreams'!$D$717; 'C_FuelStreams'!$D$745; 'C_FuelStreams'!$D$773; 'C_FuelStreams'!$D$801; 'C_FuelStreams'!$D$829; 'C_FuelStreams'!$D$857; 'C_FuelStreams'!$D$885; 'C_FuelStreams'!$D$913; 'C_FuelStreams'!$D$941; 'C_FuelStreams'!$D$969; 'C_FuelStreams'!$D$997; 'C_FuelStreams'!$D$1025; 'C_FuelStreams'!$D$1053; 'C_FuelStreams'!$D$1081; 'C_FuelStreams'!$D$1109; 'C_FuelStreams'!$D$1137; 'C_FuelStreams'!$D$1165; 'C_FuelStreams'!$D$1193; 'C_FuelStreams'!$D$1221; 'C_FuelStreams'!$D$1249; 'C_FuelStreams'!$D$1277; 'C_FuelStreams'!$D$1305; 'C_FuelStreams'!$D$1333; 'C_FuelStreams'!$D$1361; 'C_FuelStreams'!$D$1389; 'C_FuelStreams'!$D$1417; 'C_FuelStreams'!$D$1445</t>
  </si>
  <si>
    <t>The non-sustainable RFNBO (renewable fuels of non-biological origin) / RCF (recycled carbon fuel) fraction is the similar ratio as above, but the RED II compliance could not be demonstrated.</t>
  </si>
  <si>
    <t>C_FuelStreams'!$F$30</t>
  </si>
  <si>
    <t>sust. SLCF:</t>
  </si>
  <si>
    <t>C_FuelStreams'!$E$32; 'C_FuelStreams'!$D$74; 'C_FuelStreams'!$D$102; 'C_FuelStreams'!$D$130; 'C_FuelStreams'!$D$158; 'C_FuelStreams'!$D$186; 'C_FuelStreams'!$D$214; 'C_FuelStreams'!$D$242; 'C_FuelStreams'!$D$270; 'C_FuelStreams'!$D$298; 'C_FuelStreams'!$D$326; 'C_FuelStreams'!$D$354; 'C_FuelStreams'!$D$382; 'C_FuelStreams'!$D$410; 'C_FuelStreams'!$D$438; 'C_FuelStreams'!$D$466; 'C_FuelStreams'!$D$494; 'C_FuelStreams'!$D$522; 'C_FuelStreams'!$D$550; 'C_FuelStreams'!$D$578; 'C_FuelStreams'!$D$606; 'C_FuelStreams'!$D$634; 'C_FuelStreams'!$D$662; 'C_FuelStreams'!$D$690; 'C_FuelStreams'!$D$718; 'C_FuelStreams'!$D$746; 'C_FuelStreams'!$D$774; 'C_FuelStreams'!$D$802; 'C_FuelStreams'!$D$830; 'C_FuelStreams'!$D$858; 'C_FuelStreams'!$D$886; 'C_FuelStreams'!$D$914; 'C_FuelStreams'!$D$942; 'C_FuelStreams'!$D$970; 'C_FuelStreams'!$D$998; 'C_FuelStreams'!$D$1026; 'C_FuelStreams'!$D$1054; 'C_FuelStreams'!$D$1082; 'C_FuelStreams'!$D$1110; 'C_FuelStreams'!$D$1138; 'C_FuelStreams'!$D$1166; 'C_FuelStreams'!$D$1194; 'C_FuelStreams'!$D$1222; 'C_FuelStreams'!$D$1250; 'C_FuelStreams'!$D$1278; 'C_FuelStreams'!$D$1306; 'C_FuelStreams'!$D$1334; 'C_FuelStreams'!$D$1362; 'C_FuelStreams'!$D$1390; 'C_FuelStreams'!$D$1418; 'C_FuelStreams'!$D$1446</t>
  </si>
  <si>
    <t>The SLCF (sustainable low-carbon fuels) fraction is the ratio of carbon stemming from SLCF to the total carbon content of a fuel or material, expressed as a fraction.</t>
  </si>
  <si>
    <t>C_FuelStreams'!$F$32</t>
  </si>
  <si>
    <t>For SLCF, there is only one tier (Tier 1) available, which contains equivalent provisions as Tier 3b for biomass.</t>
  </si>
  <si>
    <t>C_FuelStreams'!$F$33</t>
  </si>
  <si>
    <t>C_FuelStreams'!$E$35; 'C_FuelStreams'!$D$75; 'C_FuelStreams'!$D$103; 'C_FuelStreams'!$D$131; 'C_FuelStreams'!$D$159; 'C_FuelStreams'!$D$187; 'C_FuelStreams'!$D$215; 'C_FuelStreams'!$D$243; 'C_FuelStreams'!$D$271; 'C_FuelStreams'!$D$299; 'C_FuelStreams'!$D$327; 'C_FuelStreams'!$D$355; 'C_FuelStreams'!$D$383; 'C_FuelStreams'!$D$411; 'C_FuelStreams'!$D$439; 'C_FuelStreams'!$D$467; 'C_FuelStreams'!$D$495; 'C_FuelStreams'!$D$523; 'C_FuelStreams'!$D$551; 'C_FuelStreams'!$D$579; 'C_FuelStreams'!$D$607; 'C_FuelStreams'!$D$635; 'C_FuelStreams'!$D$663; 'C_FuelStreams'!$D$691; 'C_FuelStreams'!$D$719; 'C_FuelStreams'!$D$747; 'C_FuelStreams'!$D$775; 'C_FuelStreams'!$D$803; 'C_FuelStreams'!$D$831; 'C_FuelStreams'!$D$859; 'C_FuelStreams'!$D$887; 'C_FuelStreams'!$D$915; 'C_FuelStreams'!$D$943; 'C_FuelStreams'!$D$971; 'C_FuelStreams'!$D$999; 'C_FuelStreams'!$D$1027; 'C_FuelStreams'!$D$1055; 'C_FuelStreams'!$D$1083; 'C_FuelStreams'!$D$1111; 'C_FuelStreams'!$D$1139; 'C_FuelStreams'!$D$1167; 'C_FuelStreams'!$D$1195; 'C_FuelStreams'!$D$1223; 'C_FuelStreams'!$D$1251; 'C_FuelStreams'!$D$1279; 'C_FuelStreams'!$D$1307; 'C_FuelStreams'!$D$1335; 'C_FuelStreams'!$D$1363; 'C_FuelStreams'!$D$1391; 'C_FuelStreams'!$D$1419; 'C_FuelStreams'!$D$1447</t>
  </si>
  <si>
    <t>The non-sustainable SLCF fraction is the similar ratio as above, but the applicable sustainability crteria are not met.</t>
  </si>
  <si>
    <t>C_FuelStreams'!$F$35</t>
  </si>
  <si>
    <t>For blended fuels, the tool in sheet “F.a.Tool_Blending” can help you with the calculation of the UCF, (prelim) EF and zero-rated F.</t>
  </si>
  <si>
    <t>C_FuelStreams'!$E$57</t>
  </si>
  <si>
    <t>C_FuelStreams'!$M$60; 'C_FuelStreams'!$M$88; 'C_FuelStreams'!$M$116; 'C_FuelStreams'!$M$144; 'C_FuelStreams'!$M$172; 'C_FuelStreams'!$M$200; 'C_FuelStreams'!$M$228; 'C_FuelStreams'!$M$256; 'C_FuelStreams'!$M$284; 'C_FuelStreams'!$M$312; 'C_FuelStreams'!$M$340; 'C_FuelStreams'!$M$368; 'C_FuelStreams'!$M$396; 'C_FuelStreams'!$M$424; 'C_FuelStreams'!$M$452; 'C_FuelStreams'!$M$480; 'C_FuelStreams'!$M$508; 'C_FuelStreams'!$M$536; 'C_FuelStreams'!$M$564; 'C_FuelStreams'!$M$592; 'C_FuelStreams'!$M$620; 'C_FuelStreams'!$M$648; 'C_FuelStreams'!$M$676; 'C_FuelStreams'!$M$704; 'C_FuelStreams'!$M$732; 'C_FuelStreams'!$M$760; 'C_FuelStreams'!$M$788; 'C_FuelStreams'!$M$816; 'C_FuelStreams'!$M$844; 'C_FuelStreams'!$M$872; 'C_FuelStreams'!$M$900; 'C_FuelStreams'!$M$928; 'C_FuelStreams'!$M$956; 'C_FuelStreams'!$M$984; 'C_FuelStreams'!$M$1012; 'C_FuelStreams'!$M$1040; 'C_FuelStreams'!$M$1068; 'C_FuelStreams'!$M$1096; 'C_FuelStreams'!$M$1124; 'C_FuelStreams'!$M$1152; 'C_FuelStreams'!$M$1180; 'C_FuelStreams'!$M$1208; 'C_FuelStreams'!$M$1236; 'C_FuelStreams'!$M$1264; 'C_FuelStreams'!$M$1292; 'C_FuelStreams'!$M$1320; 'C_FuelStreams'!$M$1348; 'C_FuelStreams'!$M$1376; 'C_FuelStreams'!$M$1404; 'C_FuelStreams'!$M$1432</t>
  </si>
  <si>
    <t>zero-rated:</t>
  </si>
  <si>
    <t>C_FuelStreams'!$M$61; 'C_FuelStreams'!$M$89; 'C_FuelStreams'!$M$117; 'C_FuelStreams'!$M$145; 'C_FuelStreams'!$M$173; 'C_FuelStreams'!$M$201; 'C_FuelStreams'!$M$229; 'C_FuelStreams'!$M$257; 'C_FuelStreams'!$M$285; 'C_FuelStreams'!$M$313; 'C_FuelStreams'!$M$341; 'C_FuelStreams'!$M$369; 'C_FuelStreams'!$M$397; 'C_FuelStreams'!$M$425; 'C_FuelStreams'!$M$453; 'C_FuelStreams'!$M$481; 'C_FuelStreams'!$M$509; 'C_FuelStreams'!$M$537; 'C_FuelStreams'!$M$565; 'C_FuelStreams'!$M$593; 'C_FuelStreams'!$M$621; 'C_FuelStreams'!$M$649; 'C_FuelStreams'!$M$677; 'C_FuelStreams'!$M$705; 'C_FuelStreams'!$M$733; 'C_FuelStreams'!$M$761; 'C_FuelStreams'!$M$789; 'C_FuelStreams'!$M$817; 'C_FuelStreams'!$M$845; 'C_FuelStreams'!$M$873; 'C_FuelStreams'!$M$901; 'C_FuelStreams'!$M$929; 'C_FuelStreams'!$M$957; 'C_FuelStreams'!$M$985; 'C_FuelStreams'!$M$1013; 'C_FuelStreams'!$M$1041; 'C_FuelStreams'!$M$1069; 'C_FuelStreams'!$M$1097; 'C_FuelStreams'!$M$1125; 'C_FuelStreams'!$M$1153; 'C_FuelStreams'!$M$1181; 'C_FuelStreams'!$M$1209; 'C_FuelStreams'!$M$1237; 'C_FuelStreams'!$M$1265; 'C_FuelStreams'!$M$1293; 'C_FuelStreams'!$M$1321; 'C_FuelStreams'!$M$1349; 'C_FuelStreams'!$M$1377; 'C_FuelStreams'!$M$1405; 'C_FuelStreams'!$M$1433</t>
  </si>
  <si>
    <t>F.a. Tool Blending</t>
  </si>
  <si>
    <t>F.a.Tool_Blending'!$B$2</t>
  </si>
  <si>
    <t>F.a. Tool for calculating calculation factors of blended fuel streams</t>
  </si>
  <si>
    <t>F.a.Tool_Blending'!$C$6</t>
  </si>
  <si>
    <t>Common transport fuels are usually 'commercial standard fuels' and you can therefore apply Tier 2a national default values for the unit conversion and the emission factor (see section 5.7 of the General Guidance on ETS2).</t>
  </si>
  <si>
    <t>F.a.Tool_Blending'!$E$10</t>
  </si>
  <si>
    <t>They typically comprise a main fossil component, a biogenic component, and small amounts of additives. At the point of their release for consumption, they can either be released individually (prior to blending performed downstream), or already in their blended form.</t>
  </si>
  <si>
    <t>F.a.Tool_Blending'!$E$11</t>
  </si>
  <si>
    <t>For already blended fuel streams, the default values need to take into account the actual share of each component to calculate the correct weighted averages.</t>
  </si>
  <si>
    <t>F.a.Tool_Blending'!$E$12</t>
  </si>
  <si>
    <t>The tools in this sheet support you, as well as your verifier and your CA, with calculating the weighted values of each blended fuel stream released for consumption. For each fuel stream (e.g. E5, E10) a separate tool (table) below needs to be completed. The results of the tool must then be transferred manually into sheet C.</t>
  </si>
  <si>
    <t>F.a.Tool_Blending'!$E$13</t>
  </si>
  <si>
    <t>The table below shows a simplified example for how the calculation for an E10 fuel stream could look like. From the drop-down list in column E of the first 10 rows you can select relevant compontents for which the applicable units and default values for the unit conversion factor and emission factor will be displayed automatically. The last 5 rows are for any components for which your competent authority has not entered the relevant Tier 2a values in this template. In this case you have to enter all data manually. In any case, consistency of all relevant units has to be ensured.</t>
  </si>
  <si>
    <t>F.a.Tool_Blending'!$E$14</t>
  </si>
  <si>
    <t>Any row highlighted in red font indicates inconsistencies with the units shown in the table header. Furthermore, fuel streams can be selected from the drop-down list in column P to check consistency with the values entered in sheet C.</t>
  </si>
  <si>
    <t>F.a.Tool_Blending'!$E$15</t>
  </si>
  <si>
    <t>Component</t>
  </si>
  <si>
    <t>F.a.Tool_Blending'!$D$17; 'F.a.Tool_Blending'!$D$76; 'F.a.Tool_Blending'!$D$99; 'F.a.Tool_Blending'!$D$122; 'F.a.Tool_Blending'!$D$145; 'F.a.Tool_Blending'!$D$168; 'F.a.Tool_Blending'!$D$191; 'F.a.Tool_Blending'!$D$214; 'F.a.Tool_Blending'!$D$237; 'F.a.Tool_Blending'!$D$260; 'F.a.Tool_Blending'!$D$283; 'F.a.Tool_Blending'!$D$306; 'F.a.Tool_Blending'!$D$329; 'F.a.Tool_Blending'!$D$352; 'F.a.Tool_Blending'!$D$375; 'F.a.Tool_Blending'!$D$398; 'F.a.Tool_Blending'!$D$421; 'F.a.Tool_Blending'!$D$444; 'F.a.Tool_Blending'!$D$467; 'F.a.Tool_Blending'!$D$490; 'F.a.Tool_Blending'!$D$513; 'F.a.Tool_Blending'!$D$536; 'F.a.Tool_Blending'!$D$559; 'F.a.Tool_Blending'!$D$582; 'F.a.Tool_Blending'!$D$605; 'F.a.Tool_Blending'!$D$628; 'F.a.Tool_Blending'!$D$651; 'F.a.Tool_Blending'!$D$674; 'F.a.Tool_Blending'!$D$697; 'F.a.Tool_Blending'!$D$720; 'F.a.Tool_Blending'!$D$743</t>
  </si>
  <si>
    <t>F.a.Tool_Blending'!$I$18; 'F.a.Tool_Blending'!$I$41; 'F.a.Tool_Blending'!$I$77; 'F.a.Tool_Blending'!$I$100; 'F.a.Tool_Blending'!$I$123; 'F.a.Tool_Blending'!$I$146; 'F.a.Tool_Blending'!$I$169; 'F.a.Tool_Blending'!$I$192; 'F.a.Tool_Blending'!$I$215; 'F.a.Tool_Blending'!$I$238; 'F.a.Tool_Blending'!$I$261; 'F.a.Tool_Blending'!$I$284; 'F.a.Tool_Blending'!$I$307; 'F.a.Tool_Blending'!$I$330; 'F.a.Tool_Blending'!$I$353; 'F.a.Tool_Blending'!$I$376; 'F.a.Tool_Blending'!$I$399; 'F.a.Tool_Blending'!$I$422; 'F.a.Tool_Blending'!$I$445; 'F.a.Tool_Blending'!$I$468; 'F.a.Tool_Blending'!$I$491; 'F.a.Tool_Blending'!$I$514; 'F.a.Tool_Blending'!$I$537; 'F.a.Tool_Blending'!$I$560; 'F.a.Tool_Blending'!$I$583; 'F.a.Tool_Blending'!$I$606; 'F.a.Tool_Blending'!$I$629; 'F.a.Tool_Blending'!$I$652; 'F.a.Tool_Blending'!$I$675; 'F.a.Tool_Blending'!$I$698; 'F.a.Tool_Blending'!$I$721; 'F.a.Tool_Blending'!$I$744</t>
  </si>
  <si>
    <t>Energy</t>
  </si>
  <si>
    <t>F.a.Tool_Blending'!$J$18</t>
  </si>
  <si>
    <t>Emissions (bio)</t>
  </si>
  <si>
    <t>F.a.Tool_Blending'!$L$18; 'F.a.Tool_Blending'!$L$41; 'F.a.Tool_Blending'!$L$77; 'F.a.Tool_Blending'!$L$100; 'F.a.Tool_Blending'!$L$123; 'F.a.Tool_Blending'!$L$146; 'F.a.Tool_Blending'!$L$169; 'F.a.Tool_Blending'!$L$192; 'F.a.Tool_Blending'!$L$215; 'F.a.Tool_Blending'!$L$238; 'F.a.Tool_Blending'!$L$261; 'F.a.Tool_Blending'!$L$284; 'F.a.Tool_Blending'!$L$307; 'F.a.Tool_Blending'!$L$330; 'F.a.Tool_Blending'!$L$353; 'F.a.Tool_Blending'!$L$376; 'F.a.Tool_Blending'!$L$399; 'F.a.Tool_Blending'!$L$422; 'F.a.Tool_Blending'!$L$445; 'F.a.Tool_Blending'!$L$468; 'F.a.Tool_Blending'!$L$491; 'F.a.Tool_Blending'!$L$514; 'F.a.Tool_Blending'!$L$537; 'F.a.Tool_Blending'!$L$560; 'F.a.Tool_Blending'!$L$583; 'F.a.Tool_Blending'!$L$606; 'F.a.Tool_Blending'!$L$629; 'F.a.Tool_Blending'!$L$652; 'F.a.Tool_Blending'!$L$675; 'F.a.Tool_Blending'!$L$698; 'F.a.Tool_Blending'!$L$721; 'F.a.Tool_Blending'!$L$744</t>
  </si>
  <si>
    <t>F.a.Tool_Blending'!$N$19; 'F.a.Tool_Blending'!$N$78; 'F.a.Tool_Blending'!$N$101; 'F.a.Tool_Blending'!$N$124; 'F.a.Tool_Blending'!$N$147; 'F.a.Tool_Blending'!$N$170; 'F.a.Tool_Blending'!$N$193; 'F.a.Tool_Blending'!$N$216; 'F.a.Tool_Blending'!$N$239; 'F.a.Tool_Blending'!$N$262; 'F.a.Tool_Blending'!$N$285; 'F.a.Tool_Blending'!$N$308; 'F.a.Tool_Blending'!$N$331; 'F.a.Tool_Blending'!$N$354; 'F.a.Tool_Blending'!$N$377; 'F.a.Tool_Blending'!$N$400; 'F.a.Tool_Blending'!$N$423; 'F.a.Tool_Blending'!$N$446; 'F.a.Tool_Blending'!$N$469; 'F.a.Tool_Blending'!$N$492; 'F.a.Tool_Blending'!$N$515; 'F.a.Tool_Blending'!$N$538; 'F.a.Tool_Blending'!$N$561; 'F.a.Tool_Blending'!$N$584; 'F.a.Tool_Blending'!$N$607; 'F.a.Tool_Blending'!$N$630; 'F.a.Tool_Blending'!$N$653; 'F.a.Tool_Blending'!$N$676; 'F.a.Tool_Blending'!$N$699; 'F.a.Tool_Blending'!$N$722; 'F.a.Tool_Blending'!$N$745</t>
  </si>
  <si>
    <t>The results of this tool are the relevant (weighted average) values below. Each value has to be entered manually in sheet C for the respective fuel stream. Select fuel stream below for comparison.</t>
  </si>
  <si>
    <t>F.a.Tool_Blending'!$N$20; 'F.a.Tool_Blending'!$N$79; 'F.a.Tool_Blending'!$N$102; 'F.a.Tool_Blending'!$N$125; 'F.a.Tool_Blending'!$N$148; 'F.a.Tool_Blending'!$N$171; 'F.a.Tool_Blending'!$N$194; 'F.a.Tool_Blending'!$N$217; 'F.a.Tool_Blending'!$N$240; 'F.a.Tool_Blending'!$N$263; 'F.a.Tool_Blending'!$N$286; 'F.a.Tool_Blending'!$N$309; 'F.a.Tool_Blending'!$N$332; 'F.a.Tool_Blending'!$N$355; 'F.a.Tool_Blending'!$N$378; 'F.a.Tool_Blending'!$N$401; 'F.a.Tool_Blending'!$N$424; 'F.a.Tool_Blending'!$N$447; 'F.a.Tool_Blending'!$N$470; 'F.a.Tool_Blending'!$N$493; 'F.a.Tool_Blending'!$N$516; 'F.a.Tool_Blending'!$N$539; 'F.a.Tool_Blending'!$N$562; 'F.a.Tool_Blending'!$N$585; 'F.a.Tool_Blending'!$N$608; 'F.a.Tool_Blending'!$N$631; 'F.a.Tool_Blending'!$N$654; 'F.a.Tool_Blending'!$N$677; 'F.a.Tool_Blending'!$N$700; 'F.a.Tool_Blending'!$N$723; 'F.a.Tool_Blending'!$N$746</t>
  </si>
  <si>
    <t>Default compontents provided by the CA</t>
  </si>
  <si>
    <t>F.a.Tool_Blending'!$D$21; 'F.a.Tool_Blending'!$D$80; 'F.a.Tool_Blending'!$D$103; 'F.a.Tool_Blending'!$D$126; 'F.a.Tool_Blending'!$D$149; 'F.a.Tool_Blending'!$D$172; 'F.a.Tool_Blending'!$D$195; 'F.a.Tool_Blending'!$D$218; 'F.a.Tool_Blending'!$D$241; 'F.a.Tool_Blending'!$D$264; 'F.a.Tool_Blending'!$D$287; 'F.a.Tool_Blending'!$D$310; 'F.a.Tool_Blending'!$D$333; 'F.a.Tool_Blending'!$D$356; 'F.a.Tool_Blending'!$D$379; 'F.a.Tool_Blending'!$D$402; 'F.a.Tool_Blending'!$D$425; 'F.a.Tool_Blending'!$D$448; 'F.a.Tool_Blending'!$D$471; 'F.a.Tool_Blending'!$D$494; 'F.a.Tool_Blending'!$D$517; 'F.a.Tool_Blending'!$D$540; 'F.a.Tool_Blending'!$D$563; 'F.a.Tool_Blending'!$D$586; 'F.a.Tool_Blending'!$D$609; 'F.a.Tool_Blending'!$D$632; 'F.a.Tool_Blending'!$D$655; 'F.a.Tool_Blending'!$D$678; 'F.a.Tool_Blending'!$D$701; 'F.a.Tool_Blending'!$D$724; 'F.a.Tool_Blending'!$D$747</t>
  </si>
  <si>
    <t>Liquid - Bioethanol</t>
  </si>
  <si>
    <t>F.a.Tool_Blending'!$E$22</t>
  </si>
  <si>
    <t>Fuel stream:</t>
  </si>
  <si>
    <t>F.a.Tool_Blending'!$O$22; 'F.a.Tool_Blending'!$O$81; 'F.a.Tool_Blending'!$O$104; 'F.a.Tool_Blending'!$O$127; 'F.a.Tool_Blending'!$O$150; 'F.a.Tool_Blending'!$O$173; 'F.a.Tool_Blending'!$O$196; 'F.a.Tool_Blending'!$O$219; 'F.a.Tool_Blending'!$O$242; 'F.a.Tool_Blending'!$O$265; 'F.a.Tool_Blending'!$O$288; 'F.a.Tool_Blending'!$O$311; 'F.a.Tool_Blending'!$O$334; 'F.a.Tool_Blending'!$O$357; 'F.a.Tool_Blending'!$O$380; 'F.a.Tool_Blending'!$O$403; 'F.a.Tool_Blending'!$O$426; 'F.a.Tool_Blending'!$O$449; 'F.a.Tool_Blending'!$O$472; 'F.a.Tool_Blending'!$O$495; 'F.a.Tool_Blending'!$O$518; 'F.a.Tool_Blending'!$O$541; 'F.a.Tool_Blending'!$O$564; 'F.a.Tool_Blending'!$O$587; 'F.a.Tool_Blending'!$O$610; 'F.a.Tool_Blending'!$O$633; 'F.a.Tool_Blending'!$O$656; 'F.a.Tool_Blending'!$O$679; 'F.a.Tool_Blending'!$O$702; 'F.a.Tool_Blending'!$O$725; 'F.a.Tool_Blending'!$O$748</t>
  </si>
  <si>
    <t>F2. Liquid - Motor Gasoline (E10)</t>
  </si>
  <si>
    <t>F.a.Tool_Blending'!$P$22</t>
  </si>
  <si>
    <t>Liquid - MTBE</t>
  </si>
  <si>
    <t>F.a.Tool_Blending'!$E$23</t>
  </si>
  <si>
    <t>Sheet C values</t>
  </si>
  <si>
    <t>F.a.Tool_Blending'!$S$24; 'F.a.Tool_Blending'!$S$83; 'F.a.Tool_Blending'!$S$106; 'F.a.Tool_Blending'!$S$129; 'F.a.Tool_Blending'!$S$152; 'F.a.Tool_Blending'!$S$175; 'F.a.Tool_Blending'!$S$198; 'F.a.Tool_Blending'!$S$221; 'F.a.Tool_Blending'!$S$244; 'F.a.Tool_Blending'!$S$267; 'F.a.Tool_Blending'!$S$290; 'F.a.Tool_Blending'!$S$313; 'F.a.Tool_Blending'!$S$336; 'F.a.Tool_Blending'!$S$359; 'F.a.Tool_Blending'!$S$382; 'F.a.Tool_Blending'!$S$405; 'F.a.Tool_Blending'!$S$428; 'F.a.Tool_Blending'!$S$451; 'F.a.Tool_Blending'!$S$474; 'F.a.Tool_Blending'!$S$497; 'F.a.Tool_Blending'!$S$520; 'F.a.Tool_Blending'!$S$543; 'F.a.Tool_Blending'!$S$566; 'F.a.Tool_Blending'!$S$589; 'F.a.Tool_Blending'!$S$612; 'F.a.Tool_Blending'!$S$635; 'F.a.Tool_Blending'!$S$658; 'F.a.Tool_Blending'!$S$681; 'F.a.Tool_Blending'!$S$704; 'F.a.Tool_Blending'!$S$727; 'F.a.Tool_Blending'!$S$750</t>
  </si>
  <si>
    <t>Customised components</t>
  </si>
  <si>
    <t>F.a.Tool_Blending'!$D$31; 'F.a.Tool_Blending'!$D$90; 'F.a.Tool_Blending'!$D$113; 'F.a.Tool_Blending'!$D$136; 'F.a.Tool_Blending'!$D$159; 'F.a.Tool_Blending'!$D$182; 'F.a.Tool_Blending'!$D$205; 'F.a.Tool_Blending'!$D$228; 'F.a.Tool_Blending'!$D$251; 'F.a.Tool_Blending'!$D$274; 'F.a.Tool_Blending'!$D$297; 'F.a.Tool_Blending'!$D$320; 'F.a.Tool_Blending'!$D$343; 'F.a.Tool_Blending'!$D$366; 'F.a.Tool_Blending'!$D$389; 'F.a.Tool_Blending'!$D$412; 'F.a.Tool_Blending'!$D$435; 'F.a.Tool_Blending'!$D$458; 'F.a.Tool_Blending'!$D$481; 'F.a.Tool_Blending'!$D$504; 'F.a.Tool_Blending'!$D$527; 'F.a.Tool_Blending'!$D$550; 'F.a.Tool_Blending'!$D$573; 'F.a.Tool_Blending'!$D$596; 'F.a.Tool_Blending'!$D$619; 'F.a.Tool_Blending'!$D$642; 'F.a.Tool_Blending'!$D$665; 'F.a.Tool_Blending'!$D$688; 'F.a.Tool_Blending'!$D$711; 'F.a.Tool_Blending'!$D$734; 'F.a.Tool_Blending'!$D$757</t>
  </si>
  <si>
    <t>CO2 fossil (before scope factor):</t>
  </si>
  <si>
    <t>F.a.Tool_Blending'!$P$31; 'F.a.Tool_Blending'!$P$90; 'F.a.Tool_Blending'!$P$113; 'F.a.Tool_Blending'!$P$136; 'F.a.Tool_Blending'!$P$159; 'F.a.Tool_Blending'!$P$182; 'F.a.Tool_Blending'!$P$205; 'F.a.Tool_Blending'!$P$228; 'F.a.Tool_Blending'!$P$251; 'F.a.Tool_Blending'!$P$274; 'F.a.Tool_Blending'!$P$297; 'F.a.Tool_Blending'!$P$320; 'F.a.Tool_Blending'!$P$343; 'F.a.Tool_Blending'!$P$366; 'F.a.Tool_Blending'!$P$389; 'F.a.Tool_Blending'!$P$412; 'F.a.Tool_Blending'!$P$435; 'F.a.Tool_Blending'!$P$458; 'F.a.Tool_Blending'!$P$481; 'F.a.Tool_Blending'!$P$504; 'F.a.Tool_Blending'!$P$527; 'F.a.Tool_Blending'!$P$550; 'F.a.Tool_Blending'!$P$573; 'F.a.Tool_Blending'!$P$596; 'F.a.Tool_Blending'!$P$619; 'F.a.Tool_Blending'!$P$642; 'F.a.Tool_Blending'!$P$665; 'F.a.Tool_Blending'!$P$688; 'F.a.Tool_Blending'!$P$711; 'F.a.Tool_Blending'!$P$734; 'F.a.Tool_Blending'!$P$757</t>
  </si>
  <si>
    <t>TOTALS</t>
  </si>
  <si>
    <t>F.a.Tool_Blending'!$E$36; 'F.a.Tool_Blending'!$E$95; 'F.a.Tool_Blending'!$E$118; 'F.a.Tool_Blending'!$E$141; 'F.a.Tool_Blending'!$E$164; 'F.a.Tool_Blending'!$E$187; 'F.a.Tool_Blending'!$E$210; 'F.a.Tool_Blending'!$E$233; 'F.a.Tool_Blending'!$E$256; 'F.a.Tool_Blending'!$E$279; 'F.a.Tool_Blending'!$E$302; 'F.a.Tool_Blending'!$E$325; 'F.a.Tool_Blending'!$E$348; 'F.a.Tool_Blending'!$E$371; 'F.a.Tool_Blending'!$E$394; 'F.a.Tool_Blending'!$E$417; 'F.a.Tool_Blending'!$E$440; 'F.a.Tool_Blending'!$E$463; 'F.a.Tool_Blending'!$E$486; 'F.a.Tool_Blending'!$E$509; 'F.a.Tool_Blending'!$E$532; 'F.a.Tool_Blending'!$E$555; 'F.a.Tool_Blending'!$E$578; 'F.a.Tool_Blending'!$E$601; 'F.a.Tool_Blending'!$E$624; 'F.a.Tool_Blending'!$E$647; 'F.a.Tool_Blending'!$E$670; 'F.a.Tool_Blending'!$E$693; 'F.a.Tool_Blending'!$E$716; 'F.a.Tool_Blending'!$E$739; 'F.a.Tool_Blending'!$E$762</t>
  </si>
  <si>
    <t>sum of the above</t>
  </si>
  <si>
    <t>F.a.Tool_Blending'!$F$37; 'F.a.Tool_Blending'!$J$37; 'F.a.Tool_Blending'!$K$37; 'F.a.Tool_Blending'!$L$37</t>
  </si>
  <si>
    <t>weighted average (5./1.)</t>
  </si>
  <si>
    <t>F.a.Tool_Blending'!$G$37</t>
  </si>
  <si>
    <t>weighted average ((6.+7.)/5.)</t>
  </si>
  <si>
    <t>F.a.Tool_Blending'!$H$37</t>
  </si>
  <si>
    <t>weighted average (7./(6.+7.))</t>
  </si>
  <si>
    <t>F.a.Tool_Blending'!$I$37</t>
  </si>
  <si>
    <t>Summary of the results of all tools of this sheet</t>
  </si>
  <si>
    <t>F.a.Tool_Blending'!$D$39</t>
  </si>
  <si>
    <t>Tool number</t>
  </si>
  <si>
    <t>F.a.Tool_Blending'!$E$41</t>
  </si>
  <si>
    <t>F.a.Tool_Blending'!$J$41; 'F.a.Tool_Blending'!$J$77; 'F.a.Tool_Blending'!$J$100; 'F.a.Tool_Blending'!$J$123; 'F.a.Tool_Blending'!$J$146; 'F.a.Tool_Blending'!$J$169; 'F.a.Tool_Blending'!$J$192; 'F.a.Tool_Blending'!$J$215; 'F.a.Tool_Blending'!$J$238; 'F.a.Tool_Blending'!$J$261; 'F.a.Tool_Blending'!$J$284; 'F.a.Tool_Blending'!$J$307; 'F.a.Tool_Blending'!$J$330; 'F.a.Tool_Blending'!$J$353; 'F.a.Tool_Blending'!$J$376; 'F.a.Tool_Blending'!$J$399; 'F.a.Tool_Blending'!$J$422; 'F.a.Tool_Blending'!$J$445; 'F.a.Tool_Blending'!$J$468; 'F.a.Tool_Blending'!$J$491; 'F.a.Tool_Blending'!$J$514; 'F.a.Tool_Blending'!$J$537; 'F.a.Tool_Blending'!$J$560; 'F.a.Tool_Blending'!$J$583; 'F.a.Tool_Blending'!$J$606; 'F.a.Tool_Blending'!$J$629; 'F.a.Tool_Blending'!$J$652; 'F.a.Tool_Blending'!$J$675; 'F.a.Tool_Blending'!$J$698; 'F.a.Tool_Blending'!$J$721; 'F.a.Tool_Blending'!$J$744</t>
  </si>
  <si>
    <t>Fuel stream, if relevant</t>
  </si>
  <si>
    <t>F.a.Tool_Blending'!$M$41</t>
  </si>
  <si>
    <t>This table provides a summary of the results of each of the tools below, in order to check for completeness and consistency. Since units applied may differ across tools, only values are shown in this summary table. In order to keep the table short, summary for only the first 10 tools is shown. If needed, tools 11-30 can be shown by unhiding the hidden rows at the bottom of this table.</t>
  </si>
  <si>
    <t>F.a.Tool_Blending'!$Q$41</t>
  </si>
  <si>
    <t>Liquid - ETBE</t>
  </si>
  <si>
    <t>Liquid - HVO</t>
  </si>
  <si>
    <t>Liquid - FAME</t>
  </si>
  <si>
    <t>Liquid - Motor Gasoline (E85)</t>
  </si>
  <si>
    <t>Memo-item: before scope factor</t>
  </si>
  <si>
    <t>Memo-Item: Total biomass emissions</t>
  </si>
  <si>
    <t>Memo-Item: Total RFNBO/RCF emissions</t>
  </si>
  <si>
    <t>Memo-Item: Total SLCF emissions</t>
  </si>
  <si>
    <t>Memo: CO2e fossil (t) (before SF)</t>
  </si>
  <si>
    <t>I_Accounting'!$AN$12</t>
  </si>
  <si>
    <t>Zero-rated emissions</t>
  </si>
  <si>
    <t>Energy content (zero-rated)</t>
  </si>
  <si>
    <t>Emissions (non-sust.)</t>
  </si>
  <si>
    <t>RFNBO/RCF F</t>
  </si>
  <si>
    <t>NonSustRFNBO F</t>
  </si>
  <si>
    <t>SLCF F</t>
  </si>
  <si>
    <t>NonSustSLCF F</t>
  </si>
  <si>
    <t>RFNBO or RCF fraction</t>
  </si>
  <si>
    <t>SLCF fraction</t>
  </si>
  <si>
    <t>sustainable</t>
  </si>
  <si>
    <t>non-sustainable</t>
  </si>
  <si>
    <t>Info for automatic Version detection</t>
  </si>
  <si>
    <t>Template type:</t>
  </si>
  <si>
    <t>ETS2 Report annual emissions</t>
  </si>
  <si>
    <t>Version:</t>
  </si>
  <si>
    <t>Issued by:</t>
  </si>
  <si>
    <t>European Commission</t>
  </si>
  <si>
    <t>Language:</t>
  </si>
  <si>
    <t>English</t>
  </si>
  <si>
    <t>Type list:</t>
  </si>
  <si>
    <t>Monitoring plan ETS2 annual emissions</t>
  </si>
  <si>
    <t>MP ETS2</t>
  </si>
  <si>
    <t>AER ETS2</t>
  </si>
  <si>
    <t>Version list</t>
  </si>
  <si>
    <t>Reference File Name</t>
  </si>
  <si>
    <t>Version comments</t>
  </si>
  <si>
    <t>Final version</t>
  </si>
  <si>
    <t>Some small bug fixes</t>
  </si>
  <si>
    <t>Update including the "Blending Tool", RFNBO/RCF/SLCF</t>
  </si>
  <si>
    <t>COM</t>
  </si>
  <si>
    <t>Umweltbundesamt</t>
  </si>
  <si>
    <t>UBA</t>
  </si>
  <si>
    <t>Czech Republic</t>
  </si>
  <si>
    <t>IC</t>
  </si>
  <si>
    <t>United Kingdom</t>
  </si>
  <si>
    <t>UK</t>
  </si>
  <si>
    <t>Languages list</t>
  </si>
  <si>
    <t>Bulgarian</t>
  </si>
  <si>
    <t>bg</t>
  </si>
  <si>
    <t>Spanish</t>
  </si>
  <si>
    <t>es</t>
  </si>
  <si>
    <t>Croatian</t>
  </si>
  <si>
    <t>hr</t>
  </si>
  <si>
    <t>Czech</t>
  </si>
  <si>
    <t>cs</t>
  </si>
  <si>
    <t>Danish</t>
  </si>
  <si>
    <t>da</t>
  </si>
  <si>
    <t>German</t>
  </si>
  <si>
    <t>de</t>
  </si>
  <si>
    <t>Estonian</t>
  </si>
  <si>
    <t>et</t>
  </si>
  <si>
    <t>Greek</t>
  </si>
  <si>
    <t>el</t>
  </si>
  <si>
    <t>en</t>
  </si>
  <si>
    <t>French</t>
  </si>
  <si>
    <t>fr</t>
  </si>
  <si>
    <t>Icelandic</t>
  </si>
  <si>
    <t>ic</t>
  </si>
  <si>
    <t>Italian</t>
  </si>
  <si>
    <t>it</t>
  </si>
  <si>
    <t>Latvian</t>
  </si>
  <si>
    <t>lv</t>
  </si>
  <si>
    <t>Lithuanian</t>
  </si>
  <si>
    <t>lt</t>
  </si>
  <si>
    <t>Hungarian</t>
  </si>
  <si>
    <t>hu</t>
  </si>
  <si>
    <t>Maltese</t>
  </si>
  <si>
    <t>mt</t>
  </si>
  <si>
    <t>Norwegian</t>
  </si>
  <si>
    <t>no</t>
  </si>
  <si>
    <t>Dutch</t>
  </si>
  <si>
    <t>nl</t>
  </si>
  <si>
    <t>Polish</t>
  </si>
  <si>
    <t>pl</t>
  </si>
  <si>
    <t>Portuguese</t>
  </si>
  <si>
    <t>pt</t>
  </si>
  <si>
    <t>Romanian</t>
  </si>
  <si>
    <t>ro</t>
  </si>
  <si>
    <t>Slovak</t>
  </si>
  <si>
    <t>sk</t>
  </si>
  <si>
    <t>Slovenian</t>
  </si>
  <si>
    <t>sl</t>
  </si>
  <si>
    <t>Finnish</t>
  </si>
  <si>
    <t>fi</t>
  </si>
  <si>
    <t>Swedish</t>
  </si>
  <si>
    <t>sv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</si>
</sst>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_ ;[Red]\-#,##0\ "/>
    <numFmt numFmtId="165" formatCode="#,##0_);[Red]\-#,##0_)"/>
    <numFmt numFmtId="166" formatCode="dd/mm/yyyy;@"/>
    <numFmt numFmtId="167" formatCode="#,##0.0##"/>
    <numFmt numFmtId="168" formatCode="dd/mm/yy;@"/>
    <numFmt numFmtId="169" formatCode="0.000"/>
    <numFmt numFmtId="170" formatCode="#,##0.0####"/>
    <numFmt numFmtId="171" formatCode="#,##0.00###"/>
    <numFmt numFmtId="172" formatCode="[&gt;10]#,##0.0#;[&gt;1]0.0##;0.0####"/>
    <numFmt numFmtId="173" formatCode="0.0"/>
    <numFmt numFmtId="174" formatCode="#,##0.0###"/>
    <numFmt numFmtId="175" formatCode="[&gt;10]#,##0.0;[&gt;1]0.0#;0.0###"/>
    <numFmt numFmtId="176" formatCode="#,##0.0"/>
  </numFmts>
  <fonts count="107" x14ac:knownFonts="1">
    <font>
      <sz val="10"/>
      <name val="Arial"/>
    </font>
    <font>
      <sz val="11"/>
      <color indexed="8"/>
      <name val="Calibri"/>
      <family val="2"/>
    </font>
    <font>
      <sz val="10"/>
      <name val="Arial"/>
      <family val="2"/>
    </font>
    <font>
      <b/>
      <sz val="12"/>
      <color indexed="9"/>
      <name val="Arial"/>
      <family val="2"/>
    </font>
    <font>
      <b/>
      <sz val="10"/>
      <name val="Arial"/>
      <family val="2"/>
    </font>
    <font>
      <i/>
      <sz val="8"/>
      <color indexed="18"/>
      <name val="Arial"/>
      <family val="2"/>
    </font>
    <font>
      <sz val="8"/>
      <name val="Arial"/>
      <family val="2"/>
    </font>
    <font>
      <b/>
      <sz val="8"/>
      <name val="Arial"/>
      <family val="2"/>
    </font>
    <font>
      <u/>
      <sz val="10"/>
      <color indexed="12"/>
      <name val="Arial"/>
      <family val="2"/>
    </font>
    <font>
      <sz val="8"/>
      <name val="Arial"/>
      <family val="2"/>
    </font>
    <font>
      <b/>
      <sz val="14"/>
      <name val="Arial"/>
      <family val="2"/>
    </font>
    <font>
      <i/>
      <sz val="8"/>
      <color indexed="62"/>
      <name val="Arial"/>
      <family val="2"/>
    </font>
    <font>
      <sz val="11"/>
      <color indexed="9"/>
      <name val="Calibri"/>
      <family val="2"/>
    </font>
    <font>
      <sz val="11"/>
      <color indexed="20"/>
      <name val="Calibri"/>
      <family val="2"/>
    </font>
    <font>
      <b/>
      <sz val="11"/>
      <color indexed="9"/>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b/>
      <sz val="18"/>
      <color indexed="56"/>
      <name val="Cambria"/>
      <family val="2"/>
    </font>
    <font>
      <b/>
      <sz val="11"/>
      <color indexed="8"/>
      <name val="Calibri"/>
      <family val="2"/>
    </font>
    <font>
      <sz val="10"/>
      <color indexed="12"/>
      <name val="Arial"/>
      <family val="2"/>
    </font>
    <font>
      <b/>
      <sz val="9"/>
      <name val="Arial"/>
      <family val="2"/>
    </font>
    <font>
      <b/>
      <sz val="12"/>
      <name val="Times New Roman"/>
      <family val="1"/>
    </font>
    <font>
      <b/>
      <u/>
      <sz val="20"/>
      <color indexed="62"/>
      <name val="Arial"/>
      <family val="2"/>
    </font>
    <font>
      <b/>
      <u/>
      <sz val="10"/>
      <color indexed="62"/>
      <name val="Arial"/>
      <family val="2"/>
    </font>
    <font>
      <i/>
      <sz val="10"/>
      <name val="Arial"/>
      <family val="2"/>
    </font>
    <font>
      <b/>
      <sz val="12"/>
      <name val="Arial"/>
      <family val="2"/>
    </font>
    <font>
      <b/>
      <sz val="10"/>
      <color indexed="10"/>
      <name val="Arial"/>
      <family val="2"/>
    </font>
    <font>
      <sz val="10"/>
      <color indexed="10"/>
      <name val="Arial"/>
      <family val="2"/>
    </font>
    <font>
      <sz val="8"/>
      <name val="Arial"/>
      <family val="2"/>
    </font>
    <font>
      <sz val="9"/>
      <name val="Arial"/>
      <family val="2"/>
    </font>
    <font>
      <i/>
      <sz val="8"/>
      <name val="Arial"/>
      <family val="2"/>
    </font>
    <font>
      <b/>
      <sz val="10"/>
      <name val="Arial"/>
      <family val="2"/>
    </font>
    <font>
      <sz val="10"/>
      <color indexed="48"/>
      <name val="Arial"/>
      <family val="2"/>
    </font>
    <font>
      <i/>
      <sz val="9"/>
      <color indexed="62"/>
      <name val="Arial"/>
      <family val="2"/>
    </font>
    <font>
      <i/>
      <sz val="9"/>
      <color indexed="18"/>
      <name val="Arial"/>
      <family val="2"/>
    </font>
    <font>
      <b/>
      <sz val="11"/>
      <color indexed="18"/>
      <name val="Arial"/>
      <family val="2"/>
    </font>
    <font>
      <b/>
      <sz val="11"/>
      <name val="Arial"/>
      <family val="2"/>
    </font>
    <font>
      <sz val="10"/>
      <name val="Arial"/>
      <family val="2"/>
    </font>
    <font>
      <sz val="10"/>
      <color indexed="8"/>
      <name val="Arial"/>
      <family val="2"/>
    </font>
    <font>
      <sz val="10"/>
      <color indexed="9"/>
      <name val="Arial"/>
      <family val="2"/>
    </font>
    <font>
      <b/>
      <sz val="10"/>
      <color indexed="9"/>
      <name val="Arial"/>
      <family val="2"/>
    </font>
    <font>
      <sz val="8"/>
      <name val="Arial"/>
      <family val="2"/>
    </font>
    <font>
      <sz val="10"/>
      <color indexed="17"/>
      <name val="Arial"/>
      <family val="2"/>
    </font>
    <font>
      <b/>
      <sz val="18"/>
      <name val="Arial"/>
      <family val="2"/>
    </font>
    <font>
      <b/>
      <i/>
      <sz val="8"/>
      <color indexed="18"/>
      <name val="Arial"/>
      <family val="2"/>
    </font>
    <font>
      <sz val="8"/>
      <name val="Arial"/>
      <family val="2"/>
    </font>
    <font>
      <b/>
      <sz val="10"/>
      <color indexed="62"/>
      <name val="Arial"/>
      <family val="2"/>
    </font>
    <font>
      <sz val="10"/>
      <color indexed="62"/>
      <name val="Arial"/>
      <family val="2"/>
    </font>
    <font>
      <b/>
      <i/>
      <sz val="8"/>
      <color indexed="62"/>
      <name val="Arial"/>
      <family val="2"/>
    </font>
    <font>
      <i/>
      <sz val="10"/>
      <color indexed="62"/>
      <name val="Arial"/>
      <family val="2"/>
    </font>
    <font>
      <u/>
      <sz val="10"/>
      <color indexed="62"/>
      <name val="Arial"/>
      <family val="2"/>
    </font>
    <font>
      <b/>
      <sz val="11"/>
      <color indexed="62"/>
      <name val="Arial"/>
      <family val="2"/>
    </font>
    <font>
      <b/>
      <sz val="12"/>
      <color indexed="62"/>
      <name val="Arial"/>
      <family val="2"/>
    </font>
    <font>
      <sz val="10"/>
      <color indexed="18"/>
      <name val="Arial"/>
      <family val="2"/>
    </font>
    <font>
      <sz val="10"/>
      <name val="Arial"/>
      <family val="2"/>
    </font>
    <font>
      <b/>
      <u/>
      <sz val="10"/>
      <color indexed="12"/>
      <name val="Arial"/>
      <family val="2"/>
    </font>
    <font>
      <b/>
      <sz val="20"/>
      <name val="Arial"/>
      <family val="2"/>
    </font>
    <font>
      <b/>
      <sz val="20"/>
      <color indexed="62"/>
      <name val="Arial"/>
      <family val="2"/>
    </font>
    <font>
      <b/>
      <sz val="10"/>
      <color indexed="13"/>
      <name val="Arial"/>
      <family val="2"/>
    </font>
    <font>
      <b/>
      <sz val="9"/>
      <color indexed="81"/>
      <name val="Tahoma"/>
      <family val="2"/>
    </font>
    <font>
      <sz val="9"/>
      <color indexed="81"/>
      <name val="Tahoma"/>
      <family val="2"/>
    </font>
    <font>
      <sz val="12"/>
      <color indexed="10"/>
      <name val="Arial"/>
      <family val="2"/>
    </font>
    <font>
      <b/>
      <sz val="12"/>
      <color indexed="13"/>
      <name val="Arial"/>
      <family val="2"/>
    </font>
    <font>
      <sz val="12"/>
      <name val="Arial"/>
      <family val="2"/>
    </font>
    <font>
      <b/>
      <sz val="9"/>
      <color indexed="13"/>
      <name val="Arial"/>
      <family val="2"/>
    </font>
    <font>
      <u/>
      <sz val="8"/>
      <color indexed="12"/>
      <name val="Arial"/>
      <family val="2"/>
    </font>
    <font>
      <i/>
      <sz val="11"/>
      <name val="Arial"/>
      <family val="2"/>
    </font>
    <font>
      <b/>
      <sz val="16"/>
      <color indexed="9"/>
      <name val="Arial"/>
      <family val="2"/>
    </font>
    <font>
      <b/>
      <sz val="14"/>
      <color indexed="9"/>
      <name val="Arial"/>
      <family val="2"/>
    </font>
    <font>
      <b/>
      <sz val="16"/>
      <name val="Arial"/>
      <family val="2"/>
    </font>
    <font>
      <i/>
      <sz val="8"/>
      <color indexed="14"/>
      <name val="Arial"/>
      <family val="2"/>
    </font>
    <font>
      <i/>
      <sz val="9"/>
      <name val="Arial"/>
      <family val="2"/>
    </font>
    <font>
      <sz val="10"/>
      <color rgb="FFFF0000"/>
      <name val="Arial"/>
      <family val="2"/>
    </font>
    <font>
      <sz val="10"/>
      <color theme="1"/>
      <name val="Arial"/>
      <family val="2"/>
    </font>
    <font>
      <i/>
      <sz val="8"/>
      <color theme="1" tint="0.499984740745262"/>
      <name val="Arial"/>
      <family val="2"/>
    </font>
    <font>
      <b/>
      <sz val="12"/>
      <color theme="1"/>
      <name val="Arial"/>
      <family val="2"/>
    </font>
    <font>
      <b/>
      <sz val="10"/>
      <color theme="1"/>
      <name val="Arial"/>
      <family val="2"/>
    </font>
    <font>
      <b/>
      <sz val="10"/>
      <color theme="3" tint="-0.499984740745262"/>
      <name val="Arial"/>
      <family val="2"/>
    </font>
    <font>
      <sz val="10"/>
      <color theme="3" tint="-0.499984740745262"/>
      <name val="Arial"/>
      <family val="2"/>
    </font>
    <font>
      <i/>
      <sz val="10"/>
      <color theme="1" tint="0.499984740745262"/>
      <name val="Arial"/>
      <family val="2"/>
    </font>
    <font>
      <sz val="10"/>
      <color theme="1" tint="0.499984740745262"/>
      <name val="Arial"/>
      <family val="2"/>
    </font>
    <font>
      <b/>
      <sz val="10"/>
      <color rgb="FF000080"/>
      <name val="Arial"/>
      <family val="2"/>
    </font>
    <font>
      <sz val="8"/>
      <color rgb="FFFF0000"/>
      <name val="Arial"/>
      <family val="2"/>
    </font>
    <font>
      <sz val="9"/>
      <color theme="0" tint="-0.499984740745262"/>
      <name val="Arial"/>
      <family val="2"/>
    </font>
    <font>
      <b/>
      <sz val="10"/>
      <color rgb="FFFF0000"/>
      <name val="Arial"/>
      <family val="2"/>
    </font>
    <font>
      <i/>
      <sz val="8"/>
      <color theme="0" tint="-0.499984740745262"/>
      <name val="Arial"/>
      <family val="2"/>
    </font>
    <font>
      <sz val="8"/>
      <color theme="1" tint="0.499984740745262"/>
      <name val="Arial"/>
      <family val="2"/>
    </font>
    <font>
      <sz val="14"/>
      <color rgb="FFFF0000"/>
      <name val="Arial"/>
      <family val="2"/>
    </font>
    <font>
      <b/>
      <i/>
      <sz val="8"/>
      <color rgb="FF000080"/>
      <name val="Arial"/>
      <family val="2"/>
    </font>
    <font>
      <b/>
      <sz val="9"/>
      <color theme="1" tint="0.499984740745262"/>
      <name val="Arial"/>
      <family val="2"/>
    </font>
    <font>
      <sz val="10"/>
      <color rgb="FF000080"/>
      <name val="Arial"/>
      <family val="2"/>
    </font>
    <font>
      <sz val="8"/>
      <color theme="1"/>
      <name val="Arial"/>
      <family val="2"/>
    </font>
    <font>
      <sz val="10"/>
      <color theme="0" tint="-0.34998626667073579"/>
      <name val="Arial"/>
      <family val="2"/>
    </font>
    <font>
      <b/>
      <sz val="8"/>
      <color rgb="FF000080"/>
      <name val="Arial"/>
      <family val="2"/>
    </font>
    <font>
      <b/>
      <sz val="8"/>
      <color indexed="18"/>
      <name val="Arial"/>
      <family val="2"/>
    </font>
    <font>
      <b/>
      <sz val="10"/>
      <color theme="1" tint="0.34998626667073579"/>
      <name val="Arial"/>
      <family val="2"/>
    </font>
    <font>
      <sz val="10"/>
      <color theme="1" tint="0.34998626667073579"/>
      <name val="Arial"/>
      <family val="2"/>
    </font>
    <font>
      <b/>
      <sz val="11"/>
      <color theme="1" tint="0.34998626667073579"/>
      <name val="Arial"/>
      <family val="2"/>
    </font>
    <font>
      <i/>
      <sz val="8"/>
      <color theme="1" tint="0.34998626667073579"/>
      <name val="Arial"/>
      <family val="2"/>
    </font>
    <font>
      <b/>
      <sz val="9"/>
      <color theme="1" tint="0.34998626667073579"/>
      <name val="Arial"/>
      <family val="2"/>
    </font>
    <font>
      <sz val="9"/>
      <color theme="1" tint="0.34998626667073579"/>
      <name val="Arial"/>
      <family val="2"/>
    </font>
    <font>
      <sz val="8"/>
      <color theme="0" tint="-0.499984740745262"/>
      <name val="Arial"/>
      <family val="2"/>
    </font>
    <font>
      <sz val="11"/>
      <name val="Arial"/>
      <family val="2"/>
    </font>
  </fonts>
  <fills count="39">
    <fill>
      <patternFill patternType="none"/>
    </fill>
    <fill>
      <patternFill patternType="gray125"/>
    </fill>
    <fill>
      <patternFill patternType="solid">
        <fgColor indexed="45"/>
      </patternFill>
    </fill>
    <fill>
      <patternFill patternType="solid">
        <fgColor indexed="42"/>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41"/>
        <bgColor indexed="64"/>
      </patternFill>
    </fill>
    <fill>
      <patternFill patternType="solid">
        <fgColor indexed="27"/>
        <bgColor indexed="64"/>
      </patternFill>
    </fill>
    <fill>
      <patternFill patternType="solid">
        <fgColor indexed="50"/>
        <bgColor indexed="64"/>
      </patternFill>
    </fill>
    <fill>
      <patternFill patternType="solid">
        <fgColor indexed="12"/>
        <bgColor indexed="64"/>
      </patternFill>
    </fill>
    <fill>
      <patternFill patternType="solid">
        <fgColor indexed="42"/>
        <bgColor indexed="64"/>
      </patternFill>
    </fill>
    <fill>
      <patternFill patternType="solid">
        <fgColor indexed="44"/>
        <bgColor indexed="64"/>
      </patternFill>
    </fill>
    <fill>
      <patternFill patternType="solid">
        <fgColor indexed="22"/>
        <bgColor indexed="64"/>
      </patternFill>
    </fill>
    <fill>
      <patternFill patternType="solid">
        <fgColor indexed="43"/>
        <bgColor indexed="64"/>
      </patternFill>
    </fill>
    <fill>
      <patternFill patternType="solid">
        <fgColor indexed="57"/>
        <bgColor indexed="64"/>
      </patternFill>
    </fill>
    <fill>
      <patternFill patternType="solid">
        <fgColor indexed="51"/>
        <bgColor indexed="64"/>
      </patternFill>
    </fill>
    <fill>
      <patternFill patternType="solid">
        <fgColor indexed="11"/>
        <bgColor indexed="64"/>
      </patternFill>
    </fill>
    <fill>
      <patternFill patternType="solid">
        <fgColor indexed="13"/>
        <bgColor indexed="64"/>
      </patternFill>
    </fill>
    <fill>
      <patternFill patternType="solid">
        <fgColor indexed="26"/>
        <bgColor indexed="64"/>
      </patternFill>
    </fill>
    <fill>
      <patternFill patternType="solid">
        <fgColor indexed="55"/>
        <bgColor indexed="64"/>
      </patternFill>
    </fill>
    <fill>
      <patternFill patternType="lightUp">
        <bgColor indexed="9"/>
      </patternFill>
    </fill>
    <fill>
      <patternFill patternType="solid">
        <fgColor rgb="FFCCFFFF"/>
        <bgColor indexed="64"/>
      </patternFill>
    </fill>
    <fill>
      <patternFill patternType="solid">
        <fgColor theme="0"/>
        <bgColor indexed="64"/>
      </patternFill>
    </fill>
    <fill>
      <patternFill patternType="solid">
        <fgColor rgb="FFFF9999"/>
        <bgColor indexed="64"/>
      </patternFill>
    </fill>
    <fill>
      <patternFill patternType="solid">
        <fgColor theme="0" tint="-0.499984740745262"/>
        <bgColor indexed="64"/>
      </patternFill>
    </fill>
    <fill>
      <patternFill patternType="solid">
        <fgColor rgb="FFCCFFCC"/>
        <bgColor indexed="64"/>
      </patternFill>
    </fill>
    <fill>
      <patternFill patternType="solid">
        <fgColor rgb="FFFFFFCC"/>
        <bgColor indexed="64"/>
      </patternFill>
    </fill>
    <fill>
      <patternFill patternType="solid">
        <fgColor rgb="FFFFFF00"/>
        <bgColor indexed="64"/>
      </patternFill>
    </fill>
    <fill>
      <patternFill patternType="solid">
        <fgColor theme="9"/>
        <bgColor indexed="64"/>
      </patternFill>
    </fill>
    <fill>
      <patternFill patternType="solid">
        <fgColor theme="0" tint="-0.249977111117893"/>
        <bgColor indexed="64"/>
      </patternFill>
    </fill>
    <fill>
      <patternFill patternType="solid">
        <fgColor rgb="FFFFC000"/>
        <bgColor indexed="64"/>
      </patternFill>
    </fill>
  </fills>
  <borders count="146">
    <border>
      <left/>
      <right/>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12"/>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hair">
        <color indexed="64"/>
      </bottom>
      <diagonal/>
    </border>
    <border>
      <left/>
      <right/>
      <top style="hair">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top style="hair">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medium">
        <color indexed="64"/>
      </right>
      <top/>
      <bottom/>
      <diagonal/>
    </border>
    <border>
      <left style="medium">
        <color indexed="64"/>
      </left>
      <right/>
      <top/>
      <bottom/>
      <diagonal/>
    </border>
    <border>
      <left/>
      <right/>
      <top/>
      <bottom style="medium">
        <color indexed="1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medium">
        <color indexed="64"/>
      </right>
      <top style="medium">
        <color indexed="64"/>
      </top>
      <bottom/>
      <diagonal/>
    </border>
    <border>
      <left style="thin">
        <color indexed="64"/>
      </left>
      <right style="medium">
        <color indexed="64"/>
      </right>
      <top/>
      <bottom/>
      <diagonal/>
    </border>
    <border>
      <left/>
      <right style="thin">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style="hair">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right style="medium">
        <color indexed="64"/>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medium">
        <color indexed="64"/>
      </top>
      <bottom style="hair">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style="medium">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medium">
        <color indexed="64"/>
      </top>
      <bottom style="hair">
        <color indexed="64"/>
      </bottom>
      <diagonal/>
    </border>
    <border>
      <left/>
      <right style="hair">
        <color indexed="64"/>
      </right>
      <top style="medium">
        <color indexed="64"/>
      </top>
      <bottom style="hair">
        <color indexed="64"/>
      </bottom>
      <diagonal/>
    </border>
    <border>
      <left/>
      <right style="thin">
        <color indexed="64"/>
      </right>
      <top style="medium">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diagonal/>
    </border>
    <border>
      <left/>
      <right style="medium">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style="thin">
        <color indexed="64"/>
      </bottom>
      <diagonal/>
    </border>
    <border>
      <left style="medium">
        <color indexed="64"/>
      </left>
      <right style="hair">
        <color indexed="64"/>
      </right>
      <top style="hair">
        <color indexed="64"/>
      </top>
      <bottom style="thin">
        <color indexed="64"/>
      </bottom>
      <diagonal/>
    </border>
    <border diagonalDown="1">
      <left style="thin">
        <color indexed="64"/>
      </left>
      <right/>
      <top/>
      <bottom/>
      <diagonal style="thin">
        <color indexed="64"/>
      </diagonal>
    </border>
    <border diagonalUp="1">
      <left style="thin">
        <color indexed="64"/>
      </left>
      <right/>
      <top/>
      <bottom/>
      <diagonal style="thin">
        <color indexed="64"/>
      </diagonal>
    </border>
    <border>
      <left style="medium">
        <color indexed="64"/>
      </left>
      <right style="medium">
        <color indexed="64"/>
      </right>
      <top style="thin">
        <color indexed="64"/>
      </top>
      <bottom/>
      <diagonal/>
    </border>
    <border>
      <left style="medium">
        <color indexed="64"/>
      </left>
      <right style="hair">
        <color indexed="64"/>
      </right>
      <top style="hair">
        <color indexed="64"/>
      </top>
      <bottom/>
      <diagonal/>
    </border>
    <border>
      <left style="hair">
        <color indexed="64"/>
      </left>
      <right style="medium">
        <color indexed="64"/>
      </right>
      <top style="hair">
        <color indexed="64"/>
      </top>
      <bottom/>
      <diagonal/>
    </border>
    <border>
      <left style="medium">
        <color indexed="64"/>
      </left>
      <right/>
      <top style="hair">
        <color indexed="64"/>
      </top>
      <bottom/>
      <diagonal/>
    </border>
    <border>
      <left style="medium">
        <color indexed="64"/>
      </left>
      <right style="medium">
        <color indexed="64"/>
      </right>
      <top style="hair">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s>
  <cellStyleXfs count="22">
    <xf numFmtId="0" fontId="0" fillId="0" borderId="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9" borderId="0" applyNumberFormat="0" applyBorder="0" applyAlignment="0" applyProtection="0"/>
    <xf numFmtId="0" fontId="13" fillId="2" borderId="0" applyNumberFormat="0" applyBorder="0" applyAlignment="0" applyProtection="0"/>
    <xf numFmtId="0" fontId="14" fillId="10" borderId="1" applyNumberFormat="0" applyAlignment="0" applyProtection="0"/>
    <xf numFmtId="0" fontId="15" fillId="3" borderId="0" applyNumberFormat="0" applyBorder="0" applyAlignment="0" applyProtection="0"/>
    <xf numFmtId="0" fontId="16" fillId="0" borderId="2" applyNumberFormat="0" applyFill="0" applyAlignment="0" applyProtection="0"/>
    <xf numFmtId="0" fontId="17" fillId="0" borderId="3" applyNumberFormat="0" applyFill="0" applyAlignment="0" applyProtection="0"/>
    <xf numFmtId="0" fontId="18" fillId="0" borderId="4" applyNumberFormat="0" applyFill="0" applyAlignment="0" applyProtection="0"/>
    <xf numFmtId="0" fontId="18" fillId="0" borderId="0" applyNumberFormat="0" applyFill="0" applyBorder="0" applyAlignment="0" applyProtection="0"/>
    <xf numFmtId="0" fontId="8" fillId="0" borderId="0" applyNumberFormat="0" applyFill="0" applyBorder="0" applyAlignment="0" applyProtection="0">
      <alignment vertical="top"/>
      <protection locked="0"/>
    </xf>
    <xf numFmtId="0" fontId="19" fillId="0" borderId="5" applyNumberFormat="0" applyFill="0" applyAlignment="0" applyProtection="0"/>
    <xf numFmtId="0" fontId="20" fillId="11" borderId="0" applyNumberFormat="0" applyBorder="0" applyAlignment="0" applyProtection="0"/>
    <xf numFmtId="0" fontId="2" fillId="12" borderId="6" applyNumberFormat="0" applyFont="0" applyAlignment="0" applyProtection="0"/>
    <xf numFmtId="9" fontId="2" fillId="0" borderId="0" applyFont="0" applyFill="0" applyBorder="0" applyAlignment="0" applyProtection="0"/>
    <xf numFmtId="0" fontId="2" fillId="0" borderId="0"/>
    <xf numFmtId="0" fontId="1" fillId="0" borderId="0"/>
    <xf numFmtId="0" fontId="21" fillId="0" borderId="0" applyNumberFormat="0" applyFill="0" applyBorder="0" applyAlignment="0" applyProtection="0"/>
  </cellStyleXfs>
  <cellXfs count="1503">
    <xf numFmtId="0" fontId="0" fillId="0" borderId="0" xfId="0"/>
    <xf numFmtId="0" fontId="27" fillId="13" borderId="0" xfId="14" applyFont="1" applyFill="1" applyAlignment="1" applyProtection="1">
      <alignment horizontal="left" vertical="top" wrapText="1"/>
    </xf>
    <xf numFmtId="0" fontId="8" fillId="30" borderId="0" xfId="14" quotePrefix="1" applyFill="1" applyBorder="1" applyAlignment="1" applyProtection="1">
      <alignment vertical="center"/>
    </xf>
    <xf numFmtId="0" fontId="8" fillId="13" borderId="0" xfId="14" applyFill="1" applyAlignment="1" applyProtection="1">
      <alignment horizontal="left" vertical="top" wrapText="1"/>
    </xf>
    <xf numFmtId="0" fontId="8" fillId="0" borderId="0" xfId="14" applyAlignment="1" applyProtection="1">
      <alignment horizontal="left"/>
    </xf>
    <xf numFmtId="0" fontId="8" fillId="13" borderId="0" xfId="14" applyFill="1" applyAlignment="1" applyProtection="1">
      <alignment horizontal="left"/>
    </xf>
    <xf numFmtId="0" fontId="2" fillId="25" borderId="10" xfId="0" applyFont="1" applyFill="1" applyBorder="1" applyAlignment="1" applyProtection="1">
      <alignment horizontal="center" vertical="center"/>
      <protection locked="0"/>
    </xf>
    <xf numFmtId="0" fontId="2" fillId="26" borderId="15" xfId="0" applyFont="1" applyFill="1" applyBorder="1" applyAlignment="1" applyProtection="1">
      <alignment horizontal="center" vertical="center" shrinkToFit="1"/>
      <protection locked="0"/>
    </xf>
    <xf numFmtId="166" fontId="2" fillId="26" borderId="13" xfId="0" applyNumberFormat="1" applyFont="1" applyFill="1" applyBorder="1" applyAlignment="1" applyProtection="1">
      <alignment horizontal="center" vertical="center"/>
      <protection locked="0"/>
    </xf>
    <xf numFmtId="0" fontId="2" fillId="26" borderId="13" xfId="0" applyFont="1" applyFill="1" applyBorder="1" applyAlignment="1" applyProtection="1">
      <alignment horizontal="center" vertical="center"/>
      <protection locked="0"/>
    </xf>
    <xf numFmtId="0" fontId="2" fillId="25" borderId="88" xfId="0" applyFont="1" applyFill="1" applyBorder="1" applyAlignment="1" applyProtection="1">
      <alignment horizontal="center" vertical="center"/>
      <protection locked="0"/>
    </xf>
    <xf numFmtId="0" fontId="0" fillId="26" borderId="90" xfId="0" applyFill="1" applyBorder="1" applyAlignment="1" applyProtection="1">
      <alignment horizontal="center" vertical="center" shrinkToFit="1"/>
      <protection locked="0"/>
    </xf>
    <xf numFmtId="0" fontId="2" fillId="25" borderId="13" xfId="0" applyFont="1" applyFill="1" applyBorder="1" applyAlignment="1" applyProtection="1">
      <alignment vertical="top" wrapText="1"/>
      <protection locked="0"/>
    </xf>
    <xf numFmtId="10" fontId="0" fillId="13" borderId="13" xfId="18" applyNumberFormat="1" applyFont="1" applyFill="1" applyBorder="1" applyAlignment="1" applyProtection="1">
      <alignment horizontal="center"/>
    </xf>
    <xf numFmtId="168" fontId="2" fillId="34" borderId="13" xfId="0" applyNumberFormat="1" applyFont="1" applyFill="1" applyBorder="1" applyAlignment="1" applyProtection="1">
      <alignment horizontal="center" vertical="center"/>
      <protection locked="0"/>
    </xf>
    <xf numFmtId="3" fontId="2" fillId="34" borderId="13" xfId="0" applyNumberFormat="1" applyFont="1" applyFill="1" applyBorder="1" applyAlignment="1" applyProtection="1">
      <alignment horizontal="right" vertical="center"/>
      <protection locked="0"/>
    </xf>
    <xf numFmtId="169" fontId="2" fillId="25" borderId="15" xfId="0" applyNumberFormat="1" applyFont="1" applyFill="1" applyBorder="1" applyAlignment="1" applyProtection="1">
      <alignment horizontal="center" vertical="center"/>
      <protection locked="0"/>
    </xf>
    <xf numFmtId="169" fontId="2" fillId="33" borderId="13" xfId="18" applyNumberFormat="1" applyFill="1" applyBorder="1" applyAlignment="1" applyProtection="1">
      <alignment horizontal="center"/>
    </xf>
    <xf numFmtId="169" fontId="0" fillId="13" borderId="13" xfId="18" applyNumberFormat="1" applyFont="1" applyFill="1" applyBorder="1" applyAlignment="1" applyProtection="1">
      <alignment horizontal="center"/>
    </xf>
    <xf numFmtId="0" fontId="2" fillId="25" borderId="93" xfId="0" applyFont="1" applyFill="1" applyBorder="1" applyAlignment="1" applyProtection="1">
      <alignment horizontal="center" vertical="center"/>
      <protection locked="0"/>
    </xf>
    <xf numFmtId="0" fontId="2" fillId="25" borderId="105" xfId="0" applyFont="1" applyFill="1" applyBorder="1" applyAlignment="1" applyProtection="1">
      <alignment horizontal="center" vertical="center"/>
      <protection locked="0"/>
    </xf>
    <xf numFmtId="10" fontId="2" fillId="25" borderId="24" xfId="0" applyNumberFormat="1" applyFont="1" applyFill="1" applyBorder="1" applyAlignment="1" applyProtection="1">
      <alignment horizontal="center" vertical="center"/>
      <protection locked="0"/>
    </xf>
    <xf numFmtId="0" fontId="0" fillId="26" borderId="106" xfId="0" applyFill="1" applyBorder="1" applyAlignment="1" applyProtection="1">
      <alignment horizontal="center" vertical="center" shrinkToFit="1"/>
      <protection locked="0"/>
    </xf>
    <xf numFmtId="167" fontId="0" fillId="25" borderId="108" xfId="0" applyNumberFormat="1" applyFill="1" applyBorder="1" applyAlignment="1" applyProtection="1">
      <alignment horizontal="center" vertical="center"/>
      <protection locked="0"/>
    </xf>
    <xf numFmtId="0" fontId="8" fillId="29" borderId="0" xfId="14" applyFill="1" applyAlignment="1" applyProtection="1"/>
    <xf numFmtId="0" fontId="6" fillId="35" borderId="13" xfId="0" applyFont="1" applyFill="1" applyBorder="1" applyAlignment="1" applyProtection="1">
      <alignment horizontal="left" vertical="top"/>
      <protection locked="0"/>
    </xf>
    <xf numFmtId="0" fontId="6" fillId="35" borderId="13" xfId="0" applyFont="1" applyFill="1" applyBorder="1" applyAlignment="1" applyProtection="1">
      <alignment horizontal="center" vertical="top"/>
      <protection locked="0"/>
    </xf>
    <xf numFmtId="0" fontId="6" fillId="35" borderId="13" xfId="0" applyFont="1" applyFill="1" applyBorder="1" applyAlignment="1" applyProtection="1">
      <alignment vertical="top"/>
      <protection locked="0"/>
    </xf>
    <xf numFmtId="3" fontId="6" fillId="35" borderId="13" xfId="0" applyNumberFormat="1" applyFont="1" applyFill="1" applyBorder="1" applyAlignment="1" applyProtection="1">
      <alignment horizontal="center" vertical="top"/>
      <protection locked="0"/>
    </xf>
    <xf numFmtId="0" fontId="33" fillId="34" borderId="46" xfId="0" applyFont="1" applyFill="1" applyBorder="1" applyAlignment="1" applyProtection="1">
      <alignment horizontal="left" vertical="top"/>
      <protection locked="0"/>
    </xf>
    <xf numFmtId="0" fontId="33" fillId="34" borderId="13" xfId="0" applyFont="1" applyFill="1" applyBorder="1" applyAlignment="1" applyProtection="1">
      <alignment horizontal="left" vertical="top"/>
      <protection locked="0"/>
    </xf>
    <xf numFmtId="0" fontId="33" fillId="34" borderId="48" xfId="0" applyFont="1" applyFill="1" applyBorder="1" applyAlignment="1" applyProtection="1">
      <alignment horizontal="center"/>
      <protection locked="0"/>
    </xf>
    <xf numFmtId="0" fontId="33" fillId="34" borderId="77" xfId="0" applyFont="1" applyFill="1" applyBorder="1" applyAlignment="1" applyProtection="1">
      <alignment horizontal="center"/>
      <protection locked="0"/>
    </xf>
    <xf numFmtId="0" fontId="33" fillId="34" borderId="13" xfId="0" applyFont="1" applyFill="1" applyBorder="1" applyAlignment="1" applyProtection="1">
      <alignment horizontal="center"/>
      <protection locked="0"/>
    </xf>
    <xf numFmtId="0" fontId="33" fillId="34" borderId="78" xfId="0" applyFont="1" applyFill="1" applyBorder="1" applyAlignment="1" applyProtection="1">
      <alignment horizontal="center"/>
      <protection locked="0"/>
    </xf>
    <xf numFmtId="9" fontId="33" fillId="34" borderId="78" xfId="0" applyNumberFormat="1" applyFont="1" applyFill="1" applyBorder="1" applyAlignment="1" applyProtection="1">
      <alignment horizontal="center"/>
      <protection locked="0"/>
    </xf>
    <xf numFmtId="3" fontId="6" fillId="34" borderId="13" xfId="0" applyNumberFormat="1" applyFont="1" applyFill="1" applyBorder="1" applyAlignment="1" applyProtection="1">
      <alignment horizontal="left" vertical="top"/>
      <protection locked="0"/>
    </xf>
    <xf numFmtId="0" fontId="69" fillId="13" borderId="50" xfId="14" applyFont="1" applyFill="1" applyBorder="1" applyAlignment="1" applyProtection="1">
      <alignment horizontal="left" vertical="top" wrapText="1"/>
    </xf>
    <xf numFmtId="0" fontId="33" fillId="34" borderId="13" xfId="0" applyFont="1" applyFill="1" applyBorder="1" applyAlignment="1" applyProtection="1">
      <alignment horizontal="center" vertical="top"/>
      <protection locked="0"/>
    </xf>
    <xf numFmtId="0" fontId="0" fillId="34" borderId="13" xfId="0" applyFill="1" applyBorder="1" applyProtection="1">
      <protection locked="0"/>
    </xf>
    <xf numFmtId="0" fontId="8" fillId="13" borderId="0" xfId="14" applyFill="1" applyAlignment="1" applyProtection="1">
      <alignment vertical="center"/>
    </xf>
    <xf numFmtId="0" fontId="8" fillId="20" borderId="115" xfId="14" applyFill="1" applyBorder="1" applyAlignment="1" applyProtection="1">
      <alignment vertical="top" wrapText="1"/>
    </xf>
    <xf numFmtId="0" fontId="77" fillId="34" borderId="69" xfId="0" applyFont="1" applyFill="1" applyBorder="1" applyProtection="1">
      <protection locked="0"/>
    </xf>
    <xf numFmtId="0" fontId="77" fillId="34" borderId="8" xfId="0" applyFont="1" applyFill="1" applyBorder="1" applyProtection="1">
      <protection locked="0"/>
    </xf>
    <xf numFmtId="0" fontId="77" fillId="34" borderId="70" xfId="0" applyFont="1" applyFill="1" applyBorder="1" applyProtection="1">
      <protection locked="0"/>
    </xf>
    <xf numFmtId="3" fontId="77" fillId="34" borderId="69" xfId="0" applyNumberFormat="1" applyFont="1" applyFill="1" applyBorder="1" applyAlignment="1" applyProtection="1">
      <alignment horizontal="center" shrinkToFit="1"/>
      <protection locked="0"/>
    </xf>
    <xf numFmtId="10" fontId="77" fillId="34" borderId="69" xfId="0" applyNumberFormat="1" applyFont="1" applyFill="1" applyBorder="1" applyAlignment="1" applyProtection="1">
      <alignment horizontal="center" shrinkToFit="1"/>
      <protection locked="0"/>
    </xf>
    <xf numFmtId="3" fontId="77" fillId="34" borderId="8" xfId="0" applyNumberFormat="1" applyFont="1" applyFill="1" applyBorder="1" applyAlignment="1" applyProtection="1">
      <alignment horizontal="center" shrinkToFit="1"/>
      <protection locked="0"/>
    </xf>
    <xf numFmtId="10" fontId="77" fillId="34" borderId="8" xfId="0" applyNumberFormat="1" applyFont="1" applyFill="1" applyBorder="1" applyAlignment="1" applyProtection="1">
      <alignment horizontal="center" shrinkToFit="1"/>
      <protection locked="0"/>
    </xf>
    <xf numFmtId="173" fontId="77" fillId="34" borderId="69" xfId="0" applyNumberFormat="1" applyFont="1" applyFill="1" applyBorder="1" applyAlignment="1" applyProtection="1">
      <alignment horizontal="center" shrinkToFit="1"/>
      <protection locked="0"/>
    </xf>
    <xf numFmtId="173" fontId="77" fillId="34" borderId="8" xfId="0" applyNumberFormat="1" applyFont="1" applyFill="1" applyBorder="1" applyAlignment="1" applyProtection="1">
      <alignment horizontal="center" shrinkToFit="1"/>
      <protection locked="0"/>
    </xf>
    <xf numFmtId="3" fontId="77" fillId="34" borderId="70" xfId="0" applyNumberFormat="1" applyFont="1" applyFill="1" applyBorder="1" applyAlignment="1" applyProtection="1">
      <alignment horizontal="center" shrinkToFit="1"/>
      <protection locked="0"/>
    </xf>
    <xf numFmtId="173" fontId="77" fillId="34" borderId="70" xfId="0" applyNumberFormat="1" applyFont="1" applyFill="1" applyBorder="1" applyAlignment="1" applyProtection="1">
      <alignment horizontal="center" shrinkToFit="1"/>
      <protection locked="0"/>
    </xf>
    <xf numFmtId="10" fontId="77" fillId="34" borderId="70" xfId="0" applyNumberFormat="1" applyFont="1" applyFill="1" applyBorder="1" applyAlignment="1" applyProtection="1">
      <alignment horizontal="center" shrinkToFit="1"/>
      <protection locked="0"/>
    </xf>
    <xf numFmtId="10" fontId="100" fillId="13" borderId="0" xfId="18" applyNumberFormat="1" applyFont="1" applyFill="1" applyAlignment="1" applyProtection="1">
      <alignment horizontal="center"/>
    </xf>
    <xf numFmtId="10" fontId="2" fillId="25" borderId="88" xfId="0" applyNumberFormat="1" applyFont="1" applyFill="1" applyBorder="1" applyAlignment="1" applyProtection="1">
      <alignment horizontal="center" vertical="center"/>
      <protection locked="0"/>
    </xf>
    <xf numFmtId="10" fontId="2" fillId="25" borderId="105" xfId="0" applyNumberFormat="1" applyFont="1" applyFill="1" applyBorder="1" applyAlignment="1" applyProtection="1">
      <alignment horizontal="center" vertical="center"/>
      <protection locked="0"/>
    </xf>
    <xf numFmtId="10" fontId="2" fillId="25" borderId="93" xfId="0" applyNumberFormat="1" applyFont="1" applyFill="1" applyBorder="1" applyAlignment="1" applyProtection="1">
      <alignment horizontal="center" vertical="center"/>
      <protection locked="0"/>
    </xf>
    <xf numFmtId="172" fontId="0" fillId="25" borderId="139" xfId="0" applyNumberFormat="1" applyFill="1" applyBorder="1" applyAlignment="1" applyProtection="1">
      <alignment horizontal="center" vertical="center"/>
      <protection locked="0"/>
    </xf>
    <xf numFmtId="0" fontId="2" fillId="25" borderId="141" xfId="0" applyFont="1" applyFill="1" applyBorder="1" applyAlignment="1" applyProtection="1">
      <alignment horizontal="center" vertical="center"/>
      <protection locked="0"/>
    </xf>
    <xf numFmtId="10" fontId="2" fillId="25" borderId="108" xfId="0" applyNumberFormat="1" applyFont="1" applyFill="1" applyBorder="1" applyAlignment="1" applyProtection="1">
      <alignment horizontal="center" vertical="center"/>
      <protection locked="0"/>
    </xf>
    <xf numFmtId="0" fontId="77" fillId="29" borderId="0" xfId="0" applyFont="1" applyFill="1" applyAlignment="1">
      <alignment vertical="center"/>
    </xf>
    <xf numFmtId="0" fontId="0" fillId="29" borderId="0" xfId="0" applyFill="1" applyAlignment="1">
      <alignment vertical="center"/>
    </xf>
    <xf numFmtId="0" fontId="0" fillId="29" borderId="71" xfId="0" applyFill="1" applyBorder="1" applyAlignment="1">
      <alignment vertical="center"/>
    </xf>
    <xf numFmtId="0" fontId="0" fillId="13" borderId="71" xfId="0" applyFill="1" applyBorder="1" applyAlignment="1">
      <alignment vertical="center"/>
    </xf>
    <xf numFmtId="0" fontId="77" fillId="30" borderId="0" xfId="0" applyFont="1" applyFill="1" applyAlignment="1">
      <alignment vertical="center"/>
    </xf>
    <xf numFmtId="0" fontId="77" fillId="31" borderId="10" xfId="0" applyFont="1" applyFill="1" applyBorder="1" applyAlignment="1">
      <alignment horizontal="center" vertical="center"/>
    </xf>
    <xf numFmtId="0" fontId="77" fillId="29" borderId="13" xfId="0" applyFont="1" applyFill="1" applyBorder="1" applyAlignment="1">
      <alignment vertical="center"/>
    </xf>
    <xf numFmtId="0" fontId="0" fillId="13" borderId="0" xfId="0" applyFill="1" applyAlignment="1">
      <alignment vertical="center"/>
    </xf>
    <xf numFmtId="0" fontId="0" fillId="30" borderId="0" xfId="0" applyFill="1" applyAlignment="1">
      <alignment vertical="center"/>
    </xf>
    <xf numFmtId="0" fontId="26" fillId="30" borderId="0" xfId="0" applyFont="1" applyFill="1" applyAlignment="1">
      <alignment vertical="center"/>
    </xf>
    <xf numFmtId="0" fontId="79" fillId="30" borderId="0" xfId="0" applyFont="1" applyFill="1" applyAlignment="1">
      <alignment vertical="center"/>
    </xf>
    <xf numFmtId="0" fontId="79" fillId="29" borderId="0" xfId="0" applyFont="1" applyFill="1" applyAlignment="1">
      <alignment vertical="center"/>
    </xf>
    <xf numFmtId="0" fontId="27" fillId="30" borderId="0" xfId="0" applyFont="1" applyFill="1" applyAlignment="1">
      <alignment vertical="center"/>
    </xf>
    <xf numFmtId="0" fontId="2" fillId="30" borderId="0" xfId="0" applyFont="1" applyFill="1" applyAlignment="1">
      <alignment vertical="center"/>
    </xf>
    <xf numFmtId="0" fontId="29" fillId="30" borderId="0" xfId="0" applyFont="1" applyFill="1" applyAlignment="1">
      <alignment vertical="center"/>
    </xf>
    <xf numFmtId="0" fontId="2" fillId="13" borderId="0" xfId="0" applyFont="1" applyFill="1" applyAlignment="1">
      <alignment vertical="center"/>
    </xf>
    <xf numFmtId="0" fontId="80" fillId="30" borderId="0" xfId="0" applyFont="1" applyFill="1" applyAlignment="1">
      <alignment vertical="center"/>
    </xf>
    <xf numFmtId="0" fontId="81" fillId="30" borderId="0" xfId="0" applyFont="1" applyFill="1" applyAlignment="1">
      <alignment horizontal="right" vertical="center"/>
    </xf>
    <xf numFmtId="0" fontId="80" fillId="29" borderId="13" xfId="0" applyFont="1" applyFill="1" applyBorder="1" applyAlignment="1">
      <alignment horizontal="right" vertical="center"/>
    </xf>
    <xf numFmtId="0" fontId="80" fillId="29" borderId="0" xfId="0" applyFont="1" applyFill="1" applyAlignment="1">
      <alignment vertical="center"/>
    </xf>
    <xf numFmtId="0" fontId="82" fillId="30" borderId="0" xfId="0" applyFont="1" applyFill="1" applyAlignment="1">
      <alignment horizontal="center" vertical="center"/>
    </xf>
    <xf numFmtId="0" fontId="77" fillId="29" borderId="13" xfId="0" applyFont="1" applyFill="1" applyBorder="1" applyAlignment="1">
      <alignment horizontal="right" vertical="center"/>
    </xf>
    <xf numFmtId="0" fontId="77" fillId="30" borderId="0" xfId="0" applyFont="1" applyFill="1" applyAlignment="1">
      <alignment horizontal="center" vertical="center"/>
    </xf>
    <xf numFmtId="0" fontId="23" fillId="30" borderId="0" xfId="0" applyFont="1" applyFill="1" applyAlignment="1">
      <alignment vertical="center"/>
    </xf>
    <xf numFmtId="0" fontId="4" fillId="13" borderId="0" xfId="0" applyFont="1" applyFill="1" applyAlignment="1">
      <alignment vertical="center"/>
    </xf>
    <xf numFmtId="0" fontId="4" fillId="18" borderId="45" xfId="0" applyFont="1" applyFill="1" applyBorder="1" applyAlignment="1">
      <alignment horizontal="left" vertical="center"/>
    </xf>
    <xf numFmtId="0" fontId="0" fillId="18" borderId="36" xfId="0" applyFill="1" applyBorder="1" applyAlignment="1">
      <alignment vertical="center"/>
    </xf>
    <xf numFmtId="0" fontId="0" fillId="18" borderId="37" xfId="0" applyFill="1" applyBorder="1" applyAlignment="1">
      <alignment vertical="center"/>
    </xf>
    <xf numFmtId="0" fontId="4" fillId="18" borderId="46" xfId="0" applyFont="1" applyFill="1" applyBorder="1" applyAlignment="1">
      <alignment horizontal="left" vertical="center"/>
    </xf>
    <xf numFmtId="0" fontId="0" fillId="18" borderId="26" xfId="0" applyFill="1" applyBorder="1" applyAlignment="1">
      <alignment vertical="center"/>
    </xf>
    <xf numFmtId="0" fontId="0" fillId="18" borderId="38" xfId="0" applyFill="1" applyBorder="1" applyAlignment="1">
      <alignment vertical="center"/>
    </xf>
    <xf numFmtId="0" fontId="4" fillId="18" borderId="62" xfId="0" applyFont="1" applyFill="1" applyBorder="1" applyAlignment="1">
      <alignment horizontal="left" vertical="center"/>
    </xf>
    <xf numFmtId="0" fontId="0" fillId="18" borderId="39" xfId="0" applyFill="1" applyBorder="1" applyAlignment="1">
      <alignment vertical="center"/>
    </xf>
    <xf numFmtId="0" fontId="0" fillId="18" borderId="40" xfId="0" applyFill="1" applyBorder="1" applyAlignment="1">
      <alignment vertical="center"/>
    </xf>
    <xf numFmtId="0" fontId="0" fillId="13" borderId="0" xfId="0" applyFill="1" applyAlignment="1">
      <alignment vertical="top" wrapText="1"/>
    </xf>
    <xf numFmtId="0" fontId="0" fillId="13" borderId="0" xfId="0" applyFill="1" applyAlignment="1">
      <alignment vertical="center" wrapText="1"/>
    </xf>
    <xf numFmtId="0" fontId="0" fillId="13" borderId="41" xfId="0" applyFill="1" applyBorder="1" applyAlignment="1">
      <alignment vertical="center"/>
    </xf>
    <xf numFmtId="0" fontId="0" fillId="13" borderId="42" xfId="0" applyFill="1" applyBorder="1" applyAlignment="1">
      <alignment vertical="center"/>
    </xf>
    <xf numFmtId="0" fontId="0" fillId="13" borderId="43" xfId="0" applyFill="1" applyBorder="1" applyAlignment="1">
      <alignment vertical="center"/>
    </xf>
    <xf numFmtId="0" fontId="0" fillId="13" borderId="36" xfId="0" applyFill="1" applyBorder="1" applyAlignment="1">
      <alignment vertical="center"/>
    </xf>
    <xf numFmtId="0" fontId="0" fillId="13" borderId="37" xfId="0" applyFill="1" applyBorder="1" applyAlignment="1">
      <alignment vertical="center"/>
    </xf>
    <xf numFmtId="14" fontId="0" fillId="13" borderId="25" xfId="0" applyNumberFormat="1" applyFill="1" applyBorder="1" applyAlignment="1">
      <alignment horizontal="left" vertical="center"/>
    </xf>
    <xf numFmtId="0" fontId="0" fillId="13" borderId="26" xfId="0" applyFill="1" applyBorder="1" applyAlignment="1">
      <alignment vertical="center"/>
    </xf>
    <xf numFmtId="0" fontId="0" fillId="13" borderId="38" xfId="0" applyFill="1" applyBorder="1" applyAlignment="1">
      <alignment vertical="center"/>
    </xf>
    <xf numFmtId="0" fontId="0" fillId="13" borderId="25" xfId="0" applyFill="1" applyBorder="1" applyAlignment="1">
      <alignment vertical="center"/>
    </xf>
    <xf numFmtId="0" fontId="0" fillId="13" borderId="44" xfId="0" applyFill="1" applyBorder="1" applyAlignment="1">
      <alignment vertical="center"/>
    </xf>
    <xf numFmtId="0" fontId="0" fillId="13" borderId="39" xfId="0" applyFill="1" applyBorder="1" applyAlignment="1">
      <alignment vertical="center"/>
    </xf>
    <xf numFmtId="0" fontId="0" fillId="13" borderId="40" xfId="0" applyFill="1" applyBorder="1" applyAlignment="1">
      <alignment vertical="center"/>
    </xf>
    <xf numFmtId="0" fontId="2" fillId="29" borderId="0" xfId="0" applyFont="1" applyFill="1" applyAlignment="1">
      <alignment vertical="center"/>
    </xf>
    <xf numFmtId="0" fontId="2" fillId="29" borderId="0" xfId="0" applyFont="1" applyFill="1"/>
    <xf numFmtId="0" fontId="2" fillId="29" borderId="0" xfId="0" applyFont="1" applyFill="1" applyAlignment="1">
      <alignment vertical="top"/>
    </xf>
    <xf numFmtId="0" fontId="2" fillId="29" borderId="71" xfId="0" applyFont="1" applyFill="1" applyBorder="1" applyAlignment="1">
      <alignment vertical="top"/>
    </xf>
    <xf numFmtId="0" fontId="0" fillId="29" borderId="0" xfId="0" applyFill="1"/>
    <xf numFmtId="0" fontId="2" fillId="13" borderId="71" xfId="0" applyFont="1" applyFill="1" applyBorder="1"/>
    <xf numFmtId="0" fontId="0" fillId="13" borderId="0" xfId="0" applyFill="1"/>
    <xf numFmtId="0" fontId="2" fillId="13" borderId="0" xfId="0" applyFont="1" applyFill="1" applyAlignment="1">
      <alignment vertical="top"/>
    </xf>
    <xf numFmtId="0" fontId="2" fillId="13" borderId="71" xfId="0" applyFont="1" applyFill="1" applyBorder="1" applyAlignment="1">
      <alignment vertical="top"/>
    </xf>
    <xf numFmtId="0" fontId="50" fillId="13" borderId="0" xfId="0" applyFont="1" applyFill="1" applyAlignment="1">
      <alignment horizontal="center" vertical="top"/>
    </xf>
    <xf numFmtId="0" fontId="51" fillId="13" borderId="0" xfId="0" applyFont="1" applyFill="1" applyAlignment="1">
      <alignment horizontal="left" vertical="top"/>
    </xf>
    <xf numFmtId="0" fontId="50" fillId="13" borderId="0" xfId="0" applyFont="1" applyFill="1" applyAlignment="1">
      <alignment vertical="top" wrapText="1"/>
    </xf>
    <xf numFmtId="0" fontId="53" fillId="13" borderId="0" xfId="0" applyFont="1" applyFill="1" applyAlignment="1">
      <alignment horizontal="left" vertical="top" wrapText="1" indent="2"/>
    </xf>
    <xf numFmtId="0" fontId="91" fillId="14" borderId="0" xfId="0" applyFont="1" applyFill="1" applyAlignment="1">
      <alignment horizontal="left" vertical="top" wrapText="1"/>
    </xf>
    <xf numFmtId="0" fontId="85" fillId="13" borderId="0" xfId="0" applyFont="1" applyFill="1" applyAlignment="1">
      <alignment horizontal="center" vertical="top" wrapText="1"/>
    </xf>
    <xf numFmtId="0" fontId="51" fillId="13" borderId="0" xfId="0" applyFont="1" applyFill="1" applyAlignment="1">
      <alignment vertical="top" wrapText="1"/>
    </xf>
    <xf numFmtId="0" fontId="50" fillId="13" borderId="0" xfId="0" applyFont="1" applyFill="1" applyAlignment="1">
      <alignment horizontal="left" vertical="top" wrapText="1"/>
    </xf>
    <xf numFmtId="0" fontId="51" fillId="13" borderId="0" xfId="0" applyFont="1" applyFill="1"/>
    <xf numFmtId="0" fontId="51" fillId="13" borderId="0" xfId="0" applyFont="1" applyFill="1" applyAlignment="1">
      <alignment horizontal="center" vertical="top" wrapText="1"/>
    </xf>
    <xf numFmtId="0" fontId="51" fillId="13" borderId="0" xfId="0" applyFont="1" applyFill="1" applyAlignment="1">
      <alignment vertical="top"/>
    </xf>
    <xf numFmtId="0" fontId="55" fillId="13" borderId="0" xfId="0" applyFont="1" applyFill="1" applyAlignment="1">
      <alignment horizontal="left" vertical="top" wrapText="1"/>
    </xf>
    <xf numFmtId="0" fontId="50" fillId="13" borderId="0" xfId="0" applyFont="1" applyFill="1"/>
    <xf numFmtId="0" fontId="51" fillId="13" borderId="0" xfId="0" applyFont="1" applyFill="1" applyAlignment="1">
      <alignment horizontal="left"/>
    </xf>
    <xf numFmtId="0" fontId="2" fillId="13" borderId="0" xfId="0" applyFont="1" applyFill="1"/>
    <xf numFmtId="0" fontId="56" fillId="13" borderId="0" xfId="0" applyFont="1" applyFill="1" applyAlignment="1">
      <alignment horizontal="left" vertical="top" wrapText="1"/>
    </xf>
    <xf numFmtId="0" fontId="31" fillId="13" borderId="0" xfId="0" applyFont="1" applyFill="1" applyAlignment="1">
      <alignment horizontal="left" vertical="top" wrapText="1"/>
    </xf>
    <xf numFmtId="0" fontId="57" fillId="13" borderId="0" xfId="0" applyFont="1" applyFill="1" applyAlignment="1">
      <alignment horizontal="left" vertical="top" wrapText="1"/>
    </xf>
    <xf numFmtId="0" fontId="4" fillId="24" borderId="18" xfId="0" applyFont="1" applyFill="1" applyBorder="1" applyAlignment="1">
      <alignment horizontal="left" vertical="center" wrapText="1" indent="1"/>
    </xf>
    <xf numFmtId="0" fontId="2" fillId="14" borderId="0" xfId="0" applyFont="1" applyFill="1"/>
    <xf numFmtId="0" fontId="0" fillId="15" borderId="0" xfId="0" applyFill="1"/>
    <xf numFmtId="0" fontId="0" fillId="15" borderId="0" xfId="0" applyFill="1" applyAlignment="1">
      <alignment horizontal="left"/>
    </xf>
    <xf numFmtId="0" fontId="6" fillId="15" borderId="0" xfId="0" applyFont="1" applyFill="1" applyAlignment="1">
      <alignment horizontal="left"/>
    </xf>
    <xf numFmtId="0" fontId="0" fillId="15" borderId="0" xfId="0" applyFill="1" applyAlignment="1">
      <alignment horizontal="center"/>
    </xf>
    <xf numFmtId="0" fontId="0" fillId="30" borderId="71" xfId="0" applyFill="1" applyBorder="1"/>
    <xf numFmtId="0" fontId="58" fillId="13" borderId="0" xfId="0" applyFont="1" applyFill="1" applyAlignment="1">
      <alignment vertical="top"/>
    </xf>
    <xf numFmtId="0" fontId="58" fillId="29" borderId="0" xfId="0" applyFont="1" applyFill="1" applyAlignment="1">
      <alignment vertical="top"/>
    </xf>
    <xf numFmtId="0" fontId="77" fillId="29" borderId="29" xfId="0" applyFont="1" applyFill="1" applyBorder="1" applyAlignment="1">
      <alignment horizontal="center" vertical="center"/>
    </xf>
    <xf numFmtId="0" fontId="77" fillId="29" borderId="64" xfId="0" applyFont="1" applyFill="1" applyBorder="1" applyAlignment="1">
      <alignment horizontal="center" vertical="center"/>
    </xf>
    <xf numFmtId="0" fontId="77" fillId="29" borderId="30" xfId="0" applyFont="1" applyFill="1" applyBorder="1" applyAlignment="1">
      <alignment horizontal="center" vertical="center"/>
    </xf>
    <xf numFmtId="0" fontId="77" fillId="29" borderId="32" xfId="0" applyFont="1" applyFill="1" applyBorder="1" applyAlignment="1">
      <alignment horizontal="center" vertical="center"/>
    </xf>
    <xf numFmtId="0" fontId="77" fillId="29" borderId="0" xfId="0" applyFont="1" applyFill="1" applyAlignment="1">
      <alignment horizontal="center" vertical="center"/>
    </xf>
    <xf numFmtId="0" fontId="77" fillId="29" borderId="33" xfId="0" applyFont="1" applyFill="1" applyBorder="1" applyAlignment="1">
      <alignment horizontal="center" vertical="center"/>
    </xf>
    <xf numFmtId="0" fontId="0" fillId="14" borderId="0" xfId="0" applyFill="1"/>
    <xf numFmtId="0" fontId="0" fillId="14" borderId="0" xfId="0" applyFill="1" applyAlignment="1">
      <alignment vertical="center"/>
    </xf>
    <xf numFmtId="0" fontId="10" fillId="13" borderId="0" xfId="0" applyFont="1" applyFill="1" applyAlignment="1">
      <alignment horizontal="center" vertical="center" wrapText="1"/>
    </xf>
    <xf numFmtId="0" fontId="10" fillId="13" borderId="0" xfId="0" applyFont="1" applyFill="1" applyAlignment="1">
      <alignment horizontal="left" vertical="center" wrapText="1"/>
    </xf>
    <xf numFmtId="0" fontId="71" fillId="17" borderId="0" xfId="0" applyFont="1" applyFill="1" applyAlignment="1">
      <alignment horizontal="center" vertical="center"/>
    </xf>
    <xf numFmtId="0" fontId="71" fillId="17" borderId="0" xfId="0" applyFont="1" applyFill="1" applyAlignment="1">
      <alignment horizontal="left" vertical="center"/>
    </xf>
    <xf numFmtId="0" fontId="72" fillId="17" borderId="0" xfId="0" applyFont="1" applyFill="1" applyAlignment="1">
      <alignment horizontal="center" vertical="center"/>
    </xf>
    <xf numFmtId="0" fontId="72" fillId="17" borderId="0" xfId="0" applyFont="1" applyFill="1" applyAlignment="1">
      <alignment horizontal="left" vertical="center"/>
    </xf>
    <xf numFmtId="0" fontId="3" fillId="17" borderId="0" xfId="0" applyFont="1" applyFill="1" applyAlignment="1">
      <alignment vertical="center"/>
    </xf>
    <xf numFmtId="0" fontId="2" fillId="13" borderId="71" xfId="0" applyFont="1" applyFill="1" applyBorder="1" applyAlignment="1">
      <alignment vertical="center"/>
    </xf>
    <xf numFmtId="0" fontId="0" fillId="29" borderId="13" xfId="0" applyFill="1" applyBorder="1" applyAlignment="1">
      <alignment vertical="center"/>
    </xf>
    <xf numFmtId="0" fontId="2" fillId="13" borderId="0" xfId="0" applyFont="1" applyFill="1" applyAlignment="1">
      <alignment horizontal="center" vertical="center"/>
    </xf>
    <xf numFmtId="0" fontId="0" fillId="13" borderId="0" xfId="0" applyFill="1" applyAlignment="1">
      <alignment horizontal="center" vertical="center"/>
    </xf>
    <xf numFmtId="0" fontId="92" fillId="30" borderId="0" xfId="0" applyFont="1" applyFill="1" applyAlignment="1">
      <alignment horizontal="left" vertical="top" wrapText="1"/>
    </xf>
    <xf numFmtId="0" fontId="88" fillId="13" borderId="71" xfId="0" applyFont="1" applyFill="1" applyBorder="1" applyAlignment="1">
      <alignment vertical="top"/>
    </xf>
    <xf numFmtId="0" fontId="92" fillId="13" borderId="0" xfId="0" applyFont="1" applyFill="1" applyAlignment="1">
      <alignment horizontal="left" vertical="top" wrapText="1"/>
    </xf>
    <xf numFmtId="0" fontId="0" fillId="14" borderId="13" xfId="0" applyFill="1" applyBorder="1" applyAlignment="1">
      <alignment horizontal="center" vertical="center"/>
    </xf>
    <xf numFmtId="0" fontId="3" fillId="17" borderId="0" xfId="0" applyFont="1" applyFill="1" applyAlignment="1">
      <alignment horizontal="left"/>
    </xf>
    <xf numFmtId="0" fontId="0" fillId="14" borderId="13" xfId="0" applyFill="1" applyBorder="1" applyAlignment="1">
      <alignment horizontal="left" vertical="center"/>
    </xf>
    <xf numFmtId="0" fontId="0" fillId="13" borderId="0" xfId="0" applyFill="1" applyAlignment="1">
      <alignment horizontal="left"/>
    </xf>
    <xf numFmtId="0" fontId="4" fillId="13" borderId="0" xfId="0" applyFont="1" applyFill="1" applyAlignment="1">
      <alignment horizontal="left" vertical="top"/>
    </xf>
    <xf numFmtId="0" fontId="0" fillId="13" borderId="51" xfId="0" applyFill="1" applyBorder="1"/>
    <xf numFmtId="0" fontId="6" fillId="13" borderId="0" xfId="0" applyFont="1" applyFill="1" applyAlignment="1">
      <alignment horizontal="left" vertical="top"/>
    </xf>
    <xf numFmtId="0" fontId="24" fillId="13" borderId="0" xfId="0" applyFont="1" applyFill="1" applyAlignment="1">
      <alignment horizontal="left" vertical="top" wrapText="1"/>
    </xf>
    <xf numFmtId="0" fontId="0" fillId="13" borderId="71" xfId="0" applyFill="1" applyBorder="1" applyAlignment="1">
      <alignment vertical="top"/>
    </xf>
    <xf numFmtId="0" fontId="0" fillId="13" borderId="0" xfId="0" applyFill="1" applyAlignment="1">
      <alignment vertical="top"/>
    </xf>
    <xf numFmtId="0" fontId="3" fillId="17" borderId="0" xfId="0" quotePrefix="1" applyFont="1" applyFill="1" applyAlignment="1">
      <alignment horizontal="left"/>
    </xf>
    <xf numFmtId="0" fontId="5" fillId="13" borderId="0" xfId="0" applyFont="1" applyFill="1" applyAlignment="1">
      <alignment horizontal="left" vertical="top" wrapText="1"/>
    </xf>
    <xf numFmtId="0" fontId="5" fillId="13" borderId="0" xfId="0" applyFont="1" applyFill="1" applyAlignment="1">
      <alignment vertical="top" wrapText="1"/>
    </xf>
    <xf numFmtId="0" fontId="25" fillId="14" borderId="0" xfId="0" applyFont="1" applyFill="1" applyAlignment="1">
      <alignment vertical="center"/>
    </xf>
    <xf numFmtId="0" fontId="25" fillId="13" borderId="0" xfId="0" applyFont="1" applyFill="1" applyAlignment="1">
      <alignment horizontal="left" vertical="center"/>
    </xf>
    <xf numFmtId="0" fontId="4" fillId="13" borderId="0" xfId="0" applyFont="1" applyFill="1" applyAlignment="1">
      <alignment horizontal="left" vertical="center"/>
    </xf>
    <xf numFmtId="0" fontId="0" fillId="13" borderId="0" xfId="0" applyFill="1" applyAlignment="1">
      <alignment horizontal="right" vertical="center" wrapText="1"/>
    </xf>
    <xf numFmtId="0" fontId="31" fillId="13" borderId="0" xfId="0" applyFont="1" applyFill="1" applyAlignment="1">
      <alignment vertical="center"/>
    </xf>
    <xf numFmtId="0" fontId="0" fillId="13" borderId="0" xfId="0" applyFill="1" applyAlignment="1">
      <alignment wrapText="1"/>
    </xf>
    <xf numFmtId="0" fontId="36" fillId="13" borderId="0" xfId="0" applyFont="1" applyFill="1"/>
    <xf numFmtId="0" fontId="2" fillId="13" borderId="0" xfId="0" applyFont="1" applyFill="1" applyAlignment="1">
      <alignment horizontal="right"/>
    </xf>
    <xf numFmtId="0" fontId="4" fillId="13" borderId="0" xfId="0" applyFont="1" applyFill="1" applyAlignment="1">
      <alignment horizontal="left"/>
    </xf>
    <xf numFmtId="0" fontId="4" fillId="13" borderId="0" xfId="0" applyFont="1" applyFill="1" applyAlignment="1">
      <alignment wrapText="1"/>
    </xf>
    <xf numFmtId="0" fontId="0" fillId="30" borderId="0" xfId="0" applyFill="1" applyAlignment="1">
      <alignment wrapText="1"/>
    </xf>
    <xf numFmtId="0" fontId="2" fillId="13" borderId="0" xfId="0" applyFont="1" applyFill="1" applyAlignment="1">
      <alignment horizontal="left" vertical="top"/>
    </xf>
    <xf numFmtId="0" fontId="0" fillId="13" borderId="71" xfId="0" applyFill="1" applyBorder="1"/>
    <xf numFmtId="0" fontId="30" fillId="13" borderId="0" xfId="0" applyFont="1" applyFill="1" applyAlignment="1">
      <alignment horizontal="left" vertical="top"/>
    </xf>
    <xf numFmtId="0" fontId="4" fillId="13" borderId="0" xfId="0" applyFont="1" applyFill="1" applyAlignment="1">
      <alignment vertical="top"/>
    </xf>
    <xf numFmtId="0" fontId="4" fillId="13" borderId="51" xfId="0" applyFont="1" applyFill="1" applyBorder="1" applyAlignment="1">
      <alignment horizontal="left" vertical="top"/>
    </xf>
    <xf numFmtId="0" fontId="4" fillId="13" borderId="51" xfId="0" applyFont="1" applyFill="1" applyBorder="1" applyAlignment="1">
      <alignment vertical="top"/>
    </xf>
    <xf numFmtId="0" fontId="58" fillId="14" borderId="0" xfId="0" applyFont="1" applyFill="1" applyAlignment="1">
      <alignment vertical="top"/>
    </xf>
    <xf numFmtId="0" fontId="3" fillId="17" borderId="0" xfId="0" applyFont="1" applyFill="1" applyAlignment="1">
      <alignment horizontal="center" vertical="center"/>
    </xf>
    <xf numFmtId="0" fontId="2" fillId="13" borderId="0" xfId="0" applyFont="1" applyFill="1" applyAlignment="1">
      <alignment horizontal="right" vertical="center"/>
    </xf>
    <xf numFmtId="0" fontId="2" fillId="13" borderId="51" xfId="0" applyFont="1" applyFill="1" applyBorder="1" applyAlignment="1">
      <alignment horizontal="left" wrapText="1"/>
    </xf>
    <xf numFmtId="0" fontId="11" fillId="13" borderId="0" xfId="0" applyFont="1" applyFill="1" applyAlignment="1">
      <alignment vertical="top" wrapText="1"/>
    </xf>
    <xf numFmtId="0" fontId="2" fillId="13" borderId="0" xfId="0" applyFont="1" applyFill="1" applyAlignment="1">
      <alignment horizontal="left" vertical="center"/>
    </xf>
    <xf numFmtId="0" fontId="4" fillId="13" borderId="0" xfId="0" applyFont="1" applyFill="1" applyAlignment="1">
      <alignment horizontal="left" vertical="top" wrapText="1"/>
    </xf>
    <xf numFmtId="0" fontId="11" fillId="13" borderId="0" xfId="0" applyFont="1" applyFill="1" applyAlignment="1">
      <alignment horizontal="left" vertical="top" wrapText="1"/>
    </xf>
    <xf numFmtId="0" fontId="4" fillId="13" borderId="0" xfId="0" applyFont="1" applyFill="1" applyAlignment="1">
      <alignment horizontal="center" vertical="center"/>
    </xf>
    <xf numFmtId="0" fontId="52" fillId="13" borderId="0" xfId="0" applyFont="1" applyFill="1" applyAlignment="1">
      <alignment horizontal="left" vertical="top" wrapText="1"/>
    </xf>
    <xf numFmtId="0" fontId="2" fillId="13" borderId="61" xfId="0" applyFont="1" applyFill="1" applyBorder="1" applyAlignment="1">
      <alignment horizontal="left" wrapText="1"/>
    </xf>
    <xf numFmtId="0" fontId="0" fillId="13" borderId="0" xfId="0" applyFill="1" applyAlignment="1">
      <alignment horizontal="right" vertical="center"/>
    </xf>
    <xf numFmtId="0" fontId="2" fillId="0" borderId="0" xfId="0" applyFont="1" applyAlignment="1">
      <alignment vertical="top"/>
    </xf>
    <xf numFmtId="0" fontId="74" fillId="13" borderId="0" xfId="0" applyFont="1" applyFill="1" applyAlignment="1">
      <alignment horizontal="right" vertical="center"/>
    </xf>
    <xf numFmtId="0" fontId="0" fillId="29" borderId="71" xfId="0" applyFill="1" applyBorder="1"/>
    <xf numFmtId="0" fontId="58" fillId="13" borderId="71" xfId="0" applyFont="1" applyFill="1" applyBorder="1" applyAlignment="1">
      <alignment vertical="top"/>
    </xf>
    <xf numFmtId="0" fontId="6" fillId="15" borderId="0" xfId="0" applyFont="1" applyFill="1"/>
    <xf numFmtId="0" fontId="6" fillId="13" borderId="0" xfId="0" applyFont="1" applyFill="1"/>
    <xf numFmtId="0" fontId="0" fillId="13" borderId="0" xfId="0" applyFill="1" applyAlignment="1">
      <alignment horizontal="center"/>
    </xf>
    <xf numFmtId="0" fontId="3" fillId="17" borderId="0" xfId="0" applyFont="1" applyFill="1" applyAlignment="1">
      <alignment horizontal="left" vertical="center"/>
    </xf>
    <xf numFmtId="0" fontId="0" fillId="14" borderId="13" xfId="0" applyFill="1" applyBorder="1"/>
    <xf numFmtId="0" fontId="0" fillId="13" borderId="0" xfId="0" applyFill="1" applyAlignment="1">
      <alignment horizontal="left" vertical="center"/>
    </xf>
    <xf numFmtId="0" fontId="3" fillId="14" borderId="0" xfId="0" applyFont="1" applyFill="1" applyAlignment="1">
      <alignment horizontal="left" vertical="center"/>
    </xf>
    <xf numFmtId="0" fontId="0" fillId="14" borderId="0" xfId="0" applyFill="1" applyAlignment="1">
      <alignment vertical="top"/>
    </xf>
    <xf numFmtId="0" fontId="48" fillId="13" borderId="0" xfId="0" applyFont="1" applyFill="1" applyAlignment="1">
      <alignment horizontal="left" vertical="top" wrapText="1"/>
    </xf>
    <xf numFmtId="0" fontId="7" fillId="13" borderId="0" xfId="0" applyFont="1" applyFill="1" applyAlignment="1">
      <alignment horizontal="left" vertical="center"/>
    </xf>
    <xf numFmtId="0" fontId="7" fillId="13" borderId="13" xfId="0" applyFont="1" applyFill="1" applyBorder="1" applyAlignment="1">
      <alignment horizontal="center" vertical="top" wrapText="1"/>
    </xf>
    <xf numFmtId="0" fontId="7" fillId="13" borderId="25" xfId="0" applyFont="1" applyFill="1" applyBorder="1" applyAlignment="1">
      <alignment horizontal="left" vertical="top" wrapText="1"/>
    </xf>
    <xf numFmtId="0" fontId="4" fillId="14" borderId="0" xfId="0" applyFont="1" applyFill="1"/>
    <xf numFmtId="0" fontId="78" fillId="13" borderId="69" xfId="0" applyFont="1" applyFill="1" applyBorder="1" applyAlignment="1">
      <alignment horizontal="center" vertical="center" wrapText="1"/>
    </xf>
    <xf numFmtId="0" fontId="78" fillId="13" borderId="110" xfId="0" applyFont="1" applyFill="1" applyBorder="1" applyAlignment="1">
      <alignment horizontal="left" vertical="top" wrapText="1"/>
    </xf>
    <xf numFmtId="0" fontId="78" fillId="13" borderId="70" xfId="0" applyFont="1" applyFill="1" applyBorder="1" applyAlignment="1">
      <alignment horizontal="center" vertical="center" wrapText="1"/>
    </xf>
    <xf numFmtId="0" fontId="78" fillId="13" borderId="111" xfId="0" applyFont="1" applyFill="1" applyBorder="1" applyAlignment="1">
      <alignment horizontal="left" vertical="top" wrapText="1"/>
    </xf>
    <xf numFmtId="0" fontId="2" fillId="29" borderId="0" xfId="0" applyFont="1" applyFill="1" applyAlignment="1">
      <alignment horizontal="right" vertical="top"/>
    </xf>
    <xf numFmtId="0" fontId="2" fillId="29" borderId="13" xfId="0" applyFont="1" applyFill="1" applyBorder="1" applyAlignment="1">
      <alignment horizontal="left" vertical="top"/>
    </xf>
    <xf numFmtId="0" fontId="6" fillId="13" borderId="13" xfId="0" applyFont="1" applyFill="1" applyBorder="1" applyAlignment="1">
      <alignment horizontal="center" vertical="center" wrapText="1"/>
    </xf>
    <xf numFmtId="0" fontId="0" fillId="14" borderId="13" xfId="0" applyFill="1" applyBorder="1" applyAlignment="1">
      <alignment horizontal="center"/>
    </xf>
    <xf numFmtId="0" fontId="0" fillId="14" borderId="25" xfId="0" applyFill="1" applyBorder="1" applyAlignment="1">
      <alignment horizontal="center"/>
    </xf>
    <xf numFmtId="0" fontId="0" fillId="14" borderId="47" xfId="0" applyFill="1" applyBorder="1" applyAlignment="1">
      <alignment horizontal="left"/>
    </xf>
    <xf numFmtId="0" fontId="0" fillId="14" borderId="48" xfId="0" applyFill="1" applyBorder="1" applyAlignment="1">
      <alignment horizontal="left"/>
    </xf>
    <xf numFmtId="0" fontId="0" fillId="14" borderId="49" xfId="0" applyFill="1" applyBorder="1" applyAlignment="1">
      <alignment horizontal="left"/>
    </xf>
    <xf numFmtId="0" fontId="4" fillId="13" borderId="0" xfId="0" applyFont="1" applyFill="1" applyAlignment="1">
      <alignment vertical="center" wrapText="1"/>
    </xf>
    <xf numFmtId="0" fontId="4" fillId="30" borderId="0" xfId="0" applyFont="1" applyFill="1" applyAlignment="1">
      <alignment horizontal="left" vertical="top" wrapText="1"/>
    </xf>
    <xf numFmtId="0" fontId="2" fillId="14" borderId="0" xfId="0" quotePrefix="1" applyFont="1" applyFill="1" applyAlignment="1">
      <alignment vertical="top" wrapText="1"/>
    </xf>
    <xf numFmtId="0" fontId="5" fillId="13" borderId="0" xfId="0" quotePrefix="1" applyFont="1" applyFill="1" applyAlignment="1">
      <alignment horizontal="right" vertical="top" wrapText="1"/>
    </xf>
    <xf numFmtId="0" fontId="5" fillId="13" borderId="0" xfId="0" applyFont="1" applyFill="1" applyAlignment="1">
      <alignment horizontal="right" vertical="top" wrapText="1"/>
    </xf>
    <xf numFmtId="0" fontId="46" fillId="13" borderId="0" xfId="0" applyFont="1" applyFill="1"/>
    <xf numFmtId="0" fontId="7" fillId="13" borderId="13" xfId="0" applyFont="1" applyFill="1" applyBorder="1" applyAlignment="1">
      <alignment horizontal="center" vertical="top"/>
    </xf>
    <xf numFmtId="0" fontId="7" fillId="13" borderId="13" xfId="0" applyFont="1" applyFill="1" applyBorder="1" applyAlignment="1">
      <alignment horizontal="left" vertical="top" wrapText="1"/>
    </xf>
    <xf numFmtId="0" fontId="7" fillId="13" borderId="13" xfId="0" applyFont="1" applyFill="1" applyBorder="1" applyAlignment="1">
      <alignment vertical="top" wrapText="1"/>
    </xf>
    <xf numFmtId="0" fontId="90" fillId="0" borderId="69" xfId="0" applyFont="1" applyBorder="1" applyAlignment="1">
      <alignment vertical="top" wrapText="1"/>
    </xf>
    <xf numFmtId="0" fontId="78" fillId="13" borderId="8" xfId="0" applyFont="1" applyFill="1" applyBorder="1" applyAlignment="1">
      <alignment horizontal="center" vertical="center" wrapText="1"/>
    </xf>
    <xf numFmtId="0" fontId="90" fillId="0" borderId="8" xfId="0" applyFont="1" applyBorder="1" applyAlignment="1">
      <alignment vertical="top" wrapText="1"/>
    </xf>
    <xf numFmtId="0" fontId="90" fillId="0" borderId="70" xfId="0" applyFont="1" applyBorder="1" applyAlignment="1">
      <alignment vertical="top" wrapText="1"/>
    </xf>
    <xf numFmtId="0" fontId="86" fillId="33" borderId="13" xfId="0" applyFont="1" applyFill="1" applyBorder="1" applyAlignment="1">
      <alignment horizontal="center" vertical="top" wrapText="1"/>
    </xf>
    <xf numFmtId="0" fontId="38" fillId="13" borderId="0" xfId="0" applyFont="1" applyFill="1" applyAlignment="1">
      <alignment vertical="top"/>
    </xf>
    <xf numFmtId="0" fontId="38" fillId="13" borderId="0" xfId="0" applyFont="1" applyFill="1" applyAlignment="1">
      <alignment vertical="top" wrapText="1"/>
    </xf>
    <xf numFmtId="0" fontId="38" fillId="13" borderId="12" xfId="0" applyFont="1" applyFill="1" applyBorder="1" applyAlignment="1">
      <alignment vertical="top" wrapText="1"/>
    </xf>
    <xf numFmtId="0" fontId="2" fillId="14" borderId="0" xfId="0" applyFont="1" applyFill="1" applyAlignment="1">
      <alignment horizontal="center"/>
    </xf>
    <xf numFmtId="0" fontId="78" fillId="13" borderId="69" xfId="0" applyFont="1" applyFill="1" applyBorder="1" applyAlignment="1">
      <alignment horizontal="center" vertical="top" wrapText="1"/>
    </xf>
    <xf numFmtId="1" fontId="78" fillId="13" borderId="69" xfId="0" applyNumberFormat="1" applyFont="1" applyFill="1" applyBorder="1" applyAlignment="1">
      <alignment horizontal="left" vertical="top" wrapText="1"/>
    </xf>
    <xf numFmtId="0" fontId="78" fillId="13" borderId="70" xfId="0" applyFont="1" applyFill="1" applyBorder="1" applyAlignment="1">
      <alignment horizontal="center" vertical="top" wrapText="1"/>
    </xf>
    <xf numFmtId="1" fontId="78" fillId="13" borderId="70" xfId="0" applyNumberFormat="1" applyFont="1" applyFill="1" applyBorder="1" applyAlignment="1">
      <alignment horizontal="left" vertical="top" wrapText="1"/>
    </xf>
    <xf numFmtId="0" fontId="6" fillId="18" borderId="13" xfId="0" applyFont="1" applyFill="1" applyBorder="1" applyAlignment="1">
      <alignment horizontal="center" vertical="center" wrapText="1"/>
    </xf>
    <xf numFmtId="0" fontId="2" fillId="14" borderId="13" xfId="0" applyFont="1" applyFill="1" applyBorder="1"/>
    <xf numFmtId="0" fontId="0" fillId="14" borderId="47" xfId="0" applyFill="1" applyBorder="1" applyAlignment="1">
      <alignment horizontal="center"/>
    </xf>
    <xf numFmtId="0" fontId="0" fillId="14" borderId="48" xfId="0" applyFill="1" applyBorder="1" applyAlignment="1">
      <alignment horizontal="center"/>
    </xf>
    <xf numFmtId="165" fontId="0" fillId="14" borderId="0" xfId="0" applyNumberFormat="1" applyFill="1"/>
    <xf numFmtId="0" fontId="2" fillId="14" borderId="71" xfId="0" applyFont="1" applyFill="1" applyBorder="1"/>
    <xf numFmtId="0" fontId="2" fillId="29" borderId="0" xfId="0" applyFont="1" applyFill="1" applyAlignment="1">
      <alignment horizontal="center" vertical="top"/>
    </xf>
    <xf numFmtId="0" fontId="2" fillId="13" borderId="52" xfId="0" applyFont="1" applyFill="1" applyBorder="1" applyAlignment="1">
      <alignment horizontal="center" vertical="top"/>
    </xf>
    <xf numFmtId="0" fontId="2" fillId="13" borderId="53" xfId="0" applyFont="1" applyFill="1" applyBorder="1" applyAlignment="1">
      <alignment vertical="top"/>
    </xf>
    <xf numFmtId="0" fontId="2" fillId="13" borderId="54" xfId="0" applyFont="1" applyFill="1" applyBorder="1" applyAlignment="1">
      <alignment vertical="top"/>
    </xf>
    <xf numFmtId="0" fontId="2" fillId="13" borderId="55" xfId="0" applyFont="1" applyFill="1" applyBorder="1" applyAlignment="1">
      <alignment horizontal="center" vertical="top"/>
    </xf>
    <xf numFmtId="0" fontId="2" fillId="13" borderId="7" xfId="0" applyFont="1" applyFill="1" applyBorder="1" applyAlignment="1">
      <alignment vertical="top"/>
    </xf>
    <xf numFmtId="0" fontId="2" fillId="16" borderId="7" xfId="0" applyFont="1" applyFill="1" applyBorder="1" applyAlignment="1">
      <alignment vertical="top"/>
    </xf>
    <xf numFmtId="0" fontId="2" fillId="13" borderId="56" xfId="0" applyFont="1" applyFill="1" applyBorder="1" applyAlignment="1">
      <alignment vertical="top"/>
    </xf>
    <xf numFmtId="0" fontId="2" fillId="13" borderId="57" xfId="0" applyFont="1" applyFill="1" applyBorder="1" applyAlignment="1">
      <alignment horizontal="center" vertical="top"/>
    </xf>
    <xf numFmtId="0" fontId="2" fillId="13" borderId="8" xfId="0" applyFont="1" applyFill="1" applyBorder="1" applyAlignment="1">
      <alignment vertical="top"/>
    </xf>
    <xf numFmtId="0" fontId="2" fillId="16" borderId="8" xfId="0" applyFont="1" applyFill="1" applyBorder="1" applyAlignment="1">
      <alignment vertical="top"/>
    </xf>
    <xf numFmtId="0" fontId="2" fillId="13" borderId="58" xfId="0" applyFont="1" applyFill="1" applyBorder="1" applyAlignment="1">
      <alignment vertical="top"/>
    </xf>
    <xf numFmtId="0" fontId="2" fillId="13" borderId="66" xfId="0" applyFont="1" applyFill="1" applyBorder="1" applyAlignment="1">
      <alignment horizontal="center" vertical="top"/>
    </xf>
    <xf numFmtId="0" fontId="2" fillId="13" borderId="67" xfId="0" applyFont="1" applyFill="1" applyBorder="1" applyAlignment="1">
      <alignment vertical="top"/>
    </xf>
    <xf numFmtId="0" fontId="2" fillId="16" borderId="67" xfId="0" applyFont="1" applyFill="1" applyBorder="1" applyAlignment="1">
      <alignment vertical="top"/>
    </xf>
    <xf numFmtId="0" fontId="2" fillId="13" borderId="68" xfId="0" applyFont="1" applyFill="1" applyBorder="1" applyAlignment="1">
      <alignment vertical="top"/>
    </xf>
    <xf numFmtId="0" fontId="2" fillId="13" borderId="59" xfId="0" applyFont="1" applyFill="1" applyBorder="1" applyAlignment="1">
      <alignment horizontal="center" vertical="top"/>
    </xf>
    <xf numFmtId="0" fontId="2" fillId="13" borderId="9" xfId="0" applyFont="1" applyFill="1" applyBorder="1" applyAlignment="1">
      <alignment vertical="top"/>
    </xf>
    <xf numFmtId="0" fontId="2" fillId="16" borderId="9" xfId="0" applyFont="1" applyFill="1" applyBorder="1" applyAlignment="1">
      <alignment vertical="top"/>
    </xf>
    <xf numFmtId="0" fontId="2" fillId="13" borderId="60" xfId="0" applyFont="1" applyFill="1" applyBorder="1" applyAlignment="1">
      <alignment vertical="top"/>
    </xf>
    <xf numFmtId="0" fontId="2" fillId="15" borderId="0" xfId="0" applyFont="1" applyFill="1"/>
    <xf numFmtId="0" fontId="2" fillId="14" borderId="0" xfId="0" applyFont="1" applyFill="1" applyAlignment="1">
      <alignment vertical="top"/>
    </xf>
    <xf numFmtId="0" fontId="2" fillId="14" borderId="0" xfId="0" applyFont="1" applyFill="1" applyAlignment="1">
      <alignment horizontal="center" vertical="top"/>
    </xf>
    <xf numFmtId="0" fontId="2" fillId="14" borderId="0" xfId="0" applyFont="1" applyFill="1" applyAlignment="1">
      <alignment horizontal="right" vertical="top"/>
    </xf>
    <xf numFmtId="0" fontId="77" fillId="29" borderId="34" xfId="0" applyFont="1" applyFill="1" applyBorder="1" applyAlignment="1">
      <alignment horizontal="center" vertical="center"/>
    </xf>
    <xf numFmtId="0" fontId="77" fillId="29" borderId="12" xfId="0" applyFont="1" applyFill="1" applyBorder="1" applyAlignment="1">
      <alignment horizontal="center" vertical="center"/>
    </xf>
    <xf numFmtId="0" fontId="77" fillId="29" borderId="35" xfId="0" applyFont="1" applyFill="1" applyBorder="1" applyAlignment="1">
      <alignment horizontal="center" vertical="center"/>
    </xf>
    <xf numFmtId="0" fontId="0" fillId="15" borderId="0" xfId="0" applyFill="1" applyAlignment="1">
      <alignment vertical="center"/>
    </xf>
    <xf numFmtId="0" fontId="35" fillId="13" borderId="0" xfId="0" applyFont="1" applyFill="1" applyAlignment="1">
      <alignment vertical="center" wrapText="1"/>
    </xf>
    <xf numFmtId="0" fontId="4" fillId="13" borderId="0" xfId="0" applyFont="1" applyFill="1" applyAlignment="1">
      <alignment horizontal="center" vertical="top"/>
    </xf>
    <xf numFmtId="0" fontId="4" fillId="13" borderId="0" xfId="0" applyFont="1" applyFill="1" applyAlignment="1">
      <alignment horizontal="right" vertical="top"/>
    </xf>
    <xf numFmtId="0" fontId="2" fillId="15" borderId="0" xfId="0" applyFont="1" applyFill="1" applyAlignment="1">
      <alignment vertical="top"/>
    </xf>
    <xf numFmtId="0" fontId="41" fillId="13" borderId="0" xfId="0" applyFont="1" applyFill="1" applyAlignment="1">
      <alignment vertical="top"/>
    </xf>
    <xf numFmtId="0" fontId="48" fillId="13" borderId="0" xfId="0" quotePrefix="1" applyFont="1" applyFill="1" applyAlignment="1">
      <alignment horizontal="right" vertical="top" wrapText="1"/>
    </xf>
    <xf numFmtId="0" fontId="33" fillId="15" borderId="0" xfId="0" applyFont="1" applyFill="1" applyAlignment="1">
      <alignment vertical="top" wrapText="1"/>
    </xf>
    <xf numFmtId="0" fontId="38" fillId="15" borderId="0" xfId="0" applyFont="1" applyFill="1" applyAlignment="1">
      <alignment vertical="top" wrapText="1"/>
    </xf>
    <xf numFmtId="0" fontId="0" fillId="0" borderId="0" xfId="0" applyAlignment="1">
      <alignment horizontal="right" vertical="top" wrapText="1"/>
    </xf>
    <xf numFmtId="0" fontId="97" fillId="13" borderId="0" xfId="0" applyFont="1" applyFill="1" applyAlignment="1">
      <alignment vertical="center" textRotation="90" wrapText="1"/>
    </xf>
    <xf numFmtId="0" fontId="48" fillId="13" borderId="50" xfId="0" quotePrefix="1" applyFont="1" applyFill="1" applyBorder="1" applyAlignment="1">
      <alignment horizontal="right" vertical="top" wrapText="1"/>
    </xf>
    <xf numFmtId="0" fontId="5" fillId="13" borderId="50" xfId="0" applyFont="1" applyFill="1" applyBorder="1" applyAlignment="1">
      <alignment horizontal="left" vertical="top" wrapText="1"/>
    </xf>
    <xf numFmtId="0" fontId="98" fillId="13" borderId="0" xfId="0" applyFont="1" applyFill="1" applyAlignment="1">
      <alignment horizontal="left" vertical="center" wrapText="1"/>
    </xf>
    <xf numFmtId="0" fontId="0" fillId="15" borderId="72" xfId="0" applyFill="1" applyBorder="1" applyAlignment="1">
      <alignment vertical="center"/>
    </xf>
    <xf numFmtId="0" fontId="2" fillId="13" borderId="73" xfId="0" applyFont="1" applyFill="1" applyBorder="1" applyAlignment="1">
      <alignment vertical="center"/>
    </xf>
    <xf numFmtId="0" fontId="4" fillId="13" borderId="73" xfId="0" applyFont="1" applyFill="1" applyBorder="1" applyAlignment="1">
      <alignment horizontal="center" vertical="center"/>
    </xf>
    <xf numFmtId="0" fontId="4" fillId="13" borderId="73" xfId="0" applyFont="1" applyFill="1" applyBorder="1" applyAlignment="1">
      <alignment horizontal="right" vertical="center"/>
    </xf>
    <xf numFmtId="0" fontId="0" fillId="13" borderId="73" xfId="0" applyFill="1" applyBorder="1" applyAlignment="1">
      <alignment vertical="center" wrapText="1"/>
    </xf>
    <xf numFmtId="0" fontId="2" fillId="15" borderId="0" xfId="0" applyFont="1" applyFill="1" applyAlignment="1">
      <alignment vertical="center"/>
    </xf>
    <xf numFmtId="0" fontId="0" fillId="15" borderId="0" xfId="0" applyFill="1" applyAlignment="1">
      <alignment horizontal="center" vertical="center"/>
    </xf>
    <xf numFmtId="0" fontId="2" fillId="14" borderId="0" xfId="0" applyFont="1" applyFill="1" applyAlignment="1">
      <alignment vertical="center"/>
    </xf>
    <xf numFmtId="0" fontId="2" fillId="15" borderId="72" xfId="0" applyFont="1" applyFill="1" applyBorder="1" applyAlignment="1">
      <alignment vertical="center"/>
    </xf>
    <xf numFmtId="0" fontId="4" fillId="13" borderId="0" xfId="0" applyFont="1" applyFill="1" applyAlignment="1">
      <alignment horizontal="right" vertical="center"/>
    </xf>
    <xf numFmtId="0" fontId="4" fillId="14" borderId="10" xfId="0" applyFont="1" applyFill="1" applyBorder="1" applyAlignment="1">
      <alignment horizontal="center" vertical="center"/>
    </xf>
    <xf numFmtId="0" fontId="40" fillId="15" borderId="10" xfId="0" applyFont="1" applyFill="1" applyBorder="1" applyAlignment="1">
      <alignment horizontal="center" vertical="center"/>
    </xf>
    <xf numFmtId="0" fontId="2" fillId="14" borderId="0" xfId="0" applyFont="1" applyFill="1" applyAlignment="1">
      <alignment horizontal="center" vertical="center"/>
    </xf>
    <xf numFmtId="0" fontId="0" fillId="15" borderId="13" xfId="0" applyFill="1" applyBorder="1" applyAlignment="1">
      <alignment vertical="center"/>
    </xf>
    <xf numFmtId="0" fontId="40" fillId="13" borderId="10" xfId="0" applyFont="1" applyFill="1" applyBorder="1" applyAlignment="1">
      <alignment horizontal="center" vertical="center"/>
    </xf>
    <xf numFmtId="164" fontId="40" fillId="18" borderId="10" xfId="0" applyNumberFormat="1" applyFont="1" applyFill="1" applyBorder="1" applyAlignment="1">
      <alignment horizontal="right" vertical="center"/>
    </xf>
    <xf numFmtId="0" fontId="4" fillId="13" borderId="71" xfId="0" applyFont="1" applyFill="1" applyBorder="1" applyAlignment="1">
      <alignment vertical="center"/>
    </xf>
    <xf numFmtId="0" fontId="2" fillId="29" borderId="48" xfId="0" applyFont="1" applyFill="1" applyBorder="1" applyAlignment="1">
      <alignment horizontal="center" vertical="center"/>
    </xf>
    <xf numFmtId="0" fontId="4" fillId="15" borderId="10" xfId="0" applyFont="1" applyFill="1" applyBorder="1" applyAlignment="1">
      <alignment vertical="center"/>
    </xf>
    <xf numFmtId="0" fontId="6" fillId="14" borderId="0" xfId="0" applyFont="1" applyFill="1" applyAlignment="1">
      <alignment vertical="center"/>
    </xf>
    <xf numFmtId="0" fontId="2" fillId="14" borderId="13" xfId="0" applyFont="1" applyFill="1" applyBorder="1" applyAlignment="1">
      <alignment horizontal="left" vertical="center"/>
    </xf>
    <xf numFmtId="0" fontId="2" fillId="14" borderId="13" xfId="0" applyFont="1" applyFill="1" applyBorder="1" applyAlignment="1">
      <alignment horizontal="center" vertical="center"/>
    </xf>
    <xf numFmtId="3" fontId="2" fillId="14" borderId="13" xfId="0" applyNumberFormat="1" applyFont="1" applyFill="1" applyBorder="1" applyAlignment="1">
      <alignment horizontal="center" vertical="center" shrinkToFit="1"/>
    </xf>
    <xf numFmtId="167" fontId="2" fillId="14" borderId="13" xfId="0" applyNumberFormat="1" applyFont="1" applyFill="1" applyBorder="1" applyAlignment="1">
      <alignment horizontal="center" vertical="center"/>
    </xf>
    <xf numFmtId="0" fontId="2" fillId="14" borderId="10" xfId="0" applyFont="1" applyFill="1" applyBorder="1" applyAlignment="1">
      <alignment horizontal="center" vertical="center"/>
    </xf>
    <xf numFmtId="0" fontId="28" fillId="13" borderId="0" xfId="0" applyFont="1" applyFill="1" applyAlignment="1">
      <alignment horizontal="right" vertical="center"/>
    </xf>
    <xf numFmtId="164" fontId="28" fillId="33" borderId="65" xfId="0" applyNumberFormat="1" applyFont="1" applyFill="1" applyBorder="1" applyAlignment="1">
      <alignment horizontal="right" vertical="center"/>
    </xf>
    <xf numFmtId="0" fontId="28" fillId="13" borderId="71" xfId="0" applyFont="1" applyFill="1" applyBorder="1" applyAlignment="1">
      <alignment vertical="center"/>
    </xf>
    <xf numFmtId="0" fontId="4" fillId="14" borderId="0" xfId="0" applyFont="1" applyFill="1" applyAlignment="1">
      <alignment vertical="center"/>
    </xf>
    <xf numFmtId="0" fontId="4" fillId="14" borderId="0" xfId="0" applyFont="1" applyFill="1" applyAlignment="1">
      <alignment horizontal="center" vertical="center"/>
    </xf>
    <xf numFmtId="3" fontId="2" fillId="29" borderId="13" xfId="0" applyNumberFormat="1" applyFont="1" applyFill="1" applyBorder="1" applyAlignment="1">
      <alignment horizontal="center" vertical="center"/>
    </xf>
    <xf numFmtId="0" fontId="4" fillId="13" borderId="0" xfId="0" applyFont="1" applyFill="1" applyAlignment="1">
      <alignment horizontal="center" vertical="center" wrapText="1"/>
    </xf>
    <xf numFmtId="0" fontId="2" fillId="29" borderId="0" xfId="0" applyFont="1" applyFill="1" applyAlignment="1">
      <alignment horizontal="left" vertical="center"/>
    </xf>
    <xf numFmtId="4" fontId="2" fillId="29" borderId="13" xfId="0" applyNumberFormat="1" applyFont="1" applyFill="1" applyBorder="1" applyAlignment="1">
      <alignment horizontal="center" vertical="center"/>
    </xf>
    <xf numFmtId="0" fontId="4" fillId="15" borderId="0" xfId="0" applyFont="1" applyFill="1" applyAlignment="1">
      <alignment horizontal="center" vertical="center"/>
    </xf>
    <xf numFmtId="0" fontId="2" fillId="14" borderId="0" xfId="0" applyFont="1" applyFill="1" applyAlignment="1">
      <alignment vertical="center" wrapText="1"/>
    </xf>
    <xf numFmtId="0" fontId="2" fillId="14" borderId="0" xfId="0" applyFont="1" applyFill="1" applyAlignment="1">
      <alignment horizontal="left" vertical="center"/>
    </xf>
    <xf numFmtId="0" fontId="2" fillId="13" borderId="51" xfId="0" applyFont="1" applyFill="1" applyBorder="1" applyAlignment="1">
      <alignment horizontal="left" vertical="center"/>
    </xf>
    <xf numFmtId="0" fontId="2" fillId="13" borderId="51" xfId="0" applyFont="1" applyFill="1" applyBorder="1" applyAlignment="1">
      <alignment vertical="center"/>
    </xf>
    <xf numFmtId="0" fontId="0" fillId="18" borderId="18" xfId="0" applyFill="1" applyBorder="1" applyAlignment="1">
      <alignment horizontal="center" vertical="center" shrinkToFit="1"/>
    </xf>
    <xf numFmtId="0" fontId="31" fillId="18" borderId="21" xfId="0" applyFont="1" applyFill="1" applyBorder="1" applyAlignment="1">
      <alignment horizontal="center" vertical="center" shrinkToFit="1"/>
    </xf>
    <xf numFmtId="0" fontId="30" fillId="29" borderId="0" xfId="0" applyFont="1" applyFill="1" applyAlignment="1">
      <alignment vertical="center"/>
    </xf>
    <xf numFmtId="0" fontId="0" fillId="15" borderId="10" xfId="0" applyFill="1" applyBorder="1" applyAlignment="1">
      <alignment vertical="center"/>
    </xf>
    <xf numFmtId="0" fontId="2" fillId="14" borderId="52" xfId="0" applyFont="1" applyFill="1" applyBorder="1" applyAlignment="1">
      <alignment horizontal="center" vertical="center"/>
    </xf>
    <xf numFmtId="0" fontId="2" fillId="14" borderId="54" xfId="0" applyFont="1" applyFill="1" applyBorder="1" applyAlignment="1">
      <alignment vertical="center"/>
    </xf>
    <xf numFmtId="0" fontId="4" fillId="14" borderId="0" xfId="0" applyFont="1" applyFill="1" applyAlignment="1">
      <alignment horizontal="right" vertical="center"/>
    </xf>
    <xf numFmtId="0" fontId="0" fillId="15" borderId="74" xfId="0" applyFill="1" applyBorder="1" applyAlignment="1">
      <alignment vertical="center"/>
    </xf>
    <xf numFmtId="0" fontId="2" fillId="14" borderId="75" xfId="0" applyFont="1" applyFill="1" applyBorder="1" applyAlignment="1">
      <alignment horizontal="center" vertical="center"/>
    </xf>
    <xf numFmtId="0" fontId="2" fillId="14" borderId="43" xfId="0" applyFont="1" applyFill="1" applyBorder="1" applyAlignment="1">
      <alignment horizontal="center" vertical="center"/>
    </xf>
    <xf numFmtId="0" fontId="2" fillId="14" borderId="54" xfId="0" applyFont="1" applyFill="1" applyBorder="1" applyAlignment="1">
      <alignment horizontal="center" vertical="center"/>
    </xf>
    <xf numFmtId="0" fontId="2" fillId="14" borderId="20" xfId="0" applyFont="1" applyFill="1" applyBorder="1" applyAlignment="1">
      <alignment vertical="center"/>
    </xf>
    <xf numFmtId="0" fontId="6" fillId="14" borderId="0" xfId="0" applyFont="1" applyFill="1" applyAlignment="1">
      <alignment horizontal="right" vertical="center"/>
    </xf>
    <xf numFmtId="0" fontId="6" fillId="14" borderId="13" xfId="0" applyFont="1" applyFill="1" applyBorder="1" applyAlignment="1">
      <alignment horizontal="center" vertical="center"/>
    </xf>
    <xf numFmtId="0" fontId="2" fillId="14" borderId="10" xfId="0" applyFont="1" applyFill="1" applyBorder="1" applyAlignment="1">
      <alignment vertical="center"/>
    </xf>
    <xf numFmtId="0" fontId="2" fillId="14" borderId="52" xfId="0" applyFont="1" applyFill="1" applyBorder="1" applyAlignment="1">
      <alignment vertical="center"/>
    </xf>
    <xf numFmtId="3" fontId="2" fillId="14" borderId="54" xfId="0" applyNumberFormat="1" applyFont="1" applyFill="1" applyBorder="1" applyAlignment="1">
      <alignment vertical="center"/>
    </xf>
    <xf numFmtId="0" fontId="31" fillId="13" borderId="0" xfId="0" applyFont="1" applyFill="1" applyAlignment="1">
      <alignment horizontal="center" vertical="center" shrinkToFit="1"/>
    </xf>
    <xf numFmtId="3" fontId="2" fillId="14" borderId="0" xfId="0" applyNumberFormat="1" applyFont="1" applyFill="1" applyAlignment="1">
      <alignment vertical="center"/>
    </xf>
    <xf numFmtId="0" fontId="0" fillId="18" borderId="89" xfId="0" applyFill="1" applyBorder="1" applyAlignment="1">
      <alignment horizontal="center" vertical="center" shrinkToFit="1"/>
    </xf>
    <xf numFmtId="167" fontId="0" fillId="18" borderId="107" xfId="0" applyNumberFormat="1" applyFill="1" applyBorder="1" applyAlignment="1">
      <alignment horizontal="center" vertical="center"/>
    </xf>
    <xf numFmtId="170" fontId="2" fillId="13" borderId="0" xfId="0" applyNumberFormat="1" applyFont="1" applyFill="1" applyAlignment="1">
      <alignment vertical="center"/>
    </xf>
    <xf numFmtId="0" fontId="0" fillId="15" borderId="47" xfId="0" applyFill="1" applyBorder="1" applyAlignment="1">
      <alignment vertical="center"/>
    </xf>
    <xf numFmtId="0" fontId="2" fillId="14" borderId="47" xfId="0" applyFont="1" applyFill="1" applyBorder="1" applyAlignment="1">
      <alignment vertical="center"/>
    </xf>
    <xf numFmtId="0" fontId="2" fillId="15" borderId="45" xfId="0" applyFont="1" applyFill="1" applyBorder="1" applyAlignment="1">
      <alignment horizontal="center" vertical="center"/>
    </xf>
    <xf numFmtId="0" fontId="2" fillId="15" borderId="47" xfId="0" applyFont="1" applyFill="1" applyBorder="1" applyAlignment="1">
      <alignment vertical="center"/>
    </xf>
    <xf numFmtId="0" fontId="0" fillId="15" borderId="37" xfId="0" applyFill="1" applyBorder="1" applyAlignment="1">
      <alignment horizontal="center" vertical="center"/>
    </xf>
    <xf numFmtId="0" fontId="2" fillId="14" borderId="47" xfId="0" applyFont="1" applyFill="1" applyBorder="1" applyAlignment="1">
      <alignment horizontal="center" vertical="center"/>
    </xf>
    <xf numFmtId="0" fontId="2" fillId="15" borderId="75" xfId="0" applyFont="1" applyFill="1" applyBorder="1" applyAlignment="1">
      <alignment horizontal="center" vertical="center"/>
    </xf>
    <xf numFmtId="0" fontId="2" fillId="15" borderId="43" xfId="0" applyFont="1" applyFill="1" applyBorder="1" applyAlignment="1">
      <alignment horizontal="center" vertical="center"/>
    </xf>
    <xf numFmtId="0" fontId="0" fillId="15" borderId="45" xfId="0" applyFill="1" applyBorder="1" applyAlignment="1">
      <alignment vertical="center"/>
    </xf>
    <xf numFmtId="0" fontId="0" fillId="15" borderId="74" xfId="0" applyFill="1" applyBorder="1" applyAlignment="1">
      <alignment horizontal="center" vertical="center"/>
    </xf>
    <xf numFmtId="0" fontId="0" fillId="15" borderId="76" xfId="0" applyFill="1" applyBorder="1" applyAlignment="1">
      <alignment horizontal="center" vertical="center"/>
    </xf>
    <xf numFmtId="0" fontId="2" fillId="14" borderId="36" xfId="0" applyFont="1" applyFill="1" applyBorder="1" applyAlignment="1">
      <alignment horizontal="center" vertical="center"/>
    </xf>
    <xf numFmtId="0" fontId="2" fillId="15" borderId="47" xfId="0" applyFont="1" applyFill="1" applyBorder="1" applyAlignment="1">
      <alignment horizontal="center" vertical="center"/>
    </xf>
    <xf numFmtId="0" fontId="2" fillId="14" borderId="37" xfId="0" applyFont="1" applyFill="1" applyBorder="1" applyAlignment="1">
      <alignment vertical="center"/>
    </xf>
    <xf numFmtId="0" fontId="2" fillId="14" borderId="74" xfId="0" applyFont="1" applyFill="1" applyBorder="1" applyAlignment="1">
      <alignment vertical="center"/>
    </xf>
    <xf numFmtId="0" fontId="2" fillId="14" borderId="76" xfId="0" applyFont="1" applyFill="1" applyBorder="1" applyAlignment="1">
      <alignment vertical="center"/>
    </xf>
    <xf numFmtId="3" fontId="2" fillId="14" borderId="76" xfId="0" applyNumberFormat="1" applyFont="1" applyFill="1" applyBorder="1" applyAlignment="1">
      <alignment vertical="center"/>
    </xf>
    <xf numFmtId="0" fontId="0" fillId="18" borderId="140" xfId="0" applyFill="1" applyBorder="1" applyAlignment="1">
      <alignment horizontal="center" vertical="center" shrinkToFit="1"/>
    </xf>
    <xf numFmtId="167" fontId="0" fillId="18" borderId="138" xfId="0" applyNumberFormat="1" applyFill="1" applyBorder="1" applyAlignment="1">
      <alignment horizontal="center" vertical="center"/>
    </xf>
    <xf numFmtId="171" fontId="2" fillId="13" borderId="0" xfId="0" applyNumberFormat="1" applyFont="1" applyFill="1" applyAlignment="1">
      <alignment vertical="top"/>
    </xf>
    <xf numFmtId="0" fontId="0" fillId="15" borderId="48" xfId="0" applyFill="1" applyBorder="1" applyAlignment="1">
      <alignment vertical="center"/>
    </xf>
    <xf numFmtId="0" fontId="2" fillId="14" borderId="137" xfId="0" applyFont="1" applyFill="1" applyBorder="1" applyAlignment="1">
      <alignment vertical="center"/>
    </xf>
    <xf numFmtId="0" fontId="2" fillId="15" borderId="85" xfId="0" applyFont="1" applyFill="1" applyBorder="1" applyAlignment="1">
      <alignment horizontal="center" vertical="center"/>
    </xf>
    <xf numFmtId="0" fontId="2" fillId="15" borderId="137" xfId="0" applyFont="1" applyFill="1" applyBorder="1" applyAlignment="1">
      <alignment vertical="center"/>
    </xf>
    <xf numFmtId="0" fontId="0" fillId="15" borderId="144" xfId="0" applyFill="1" applyBorder="1" applyAlignment="1">
      <alignment horizontal="center" vertical="center"/>
    </xf>
    <xf numFmtId="0" fontId="2" fillId="14" borderId="137" xfId="0" applyFont="1" applyFill="1" applyBorder="1" applyAlignment="1">
      <alignment horizontal="center" vertical="center"/>
    </xf>
    <xf numFmtId="0" fontId="0" fillId="15" borderId="77" xfId="0" applyFill="1" applyBorder="1" applyAlignment="1">
      <alignment vertical="center"/>
    </xf>
    <xf numFmtId="0" fontId="2" fillId="15" borderId="13" xfId="0" applyFont="1" applyFill="1" applyBorder="1" applyAlignment="1">
      <alignment horizontal="center" vertical="center"/>
    </xf>
    <xf numFmtId="0" fontId="2" fillId="15" borderId="25" xfId="0" applyFont="1" applyFill="1" applyBorder="1" applyAlignment="1">
      <alignment horizontal="center" vertical="center"/>
    </xf>
    <xf numFmtId="0" fontId="2" fillId="14" borderId="48" xfId="0" applyFont="1" applyFill="1" applyBorder="1" applyAlignment="1">
      <alignment horizontal="center" vertical="center"/>
    </xf>
    <xf numFmtId="0" fontId="2" fillId="14" borderId="48" xfId="0" applyFont="1" applyFill="1" applyBorder="1" applyAlignment="1">
      <alignment vertical="center"/>
    </xf>
    <xf numFmtId="0" fontId="0" fillId="15" borderId="85" xfId="0" applyFill="1" applyBorder="1" applyAlignment="1">
      <alignment vertical="center"/>
    </xf>
    <xf numFmtId="0" fontId="0" fillId="15" borderId="86" xfId="0" applyFill="1" applyBorder="1" applyAlignment="1">
      <alignment horizontal="center" vertical="center"/>
    </xf>
    <xf numFmtId="0" fontId="0" fillId="15" borderId="145" xfId="0" applyFill="1" applyBorder="1" applyAlignment="1">
      <alignment horizontal="center" vertical="center"/>
    </xf>
    <xf numFmtId="0" fontId="2" fillId="14" borderId="64" xfId="0" applyFont="1" applyFill="1" applyBorder="1" applyAlignment="1">
      <alignment horizontal="center" vertical="center"/>
    </xf>
    <xf numFmtId="0" fontId="2" fillId="15" borderId="137" xfId="0" applyFont="1" applyFill="1" applyBorder="1" applyAlignment="1">
      <alignment horizontal="center" vertical="center"/>
    </xf>
    <xf numFmtId="0" fontId="2" fillId="14" borderId="144" xfId="0" applyFont="1" applyFill="1" applyBorder="1" applyAlignment="1">
      <alignment vertical="center"/>
    </xf>
    <xf numFmtId="0" fontId="2" fillId="14" borderId="86" xfId="0" applyFont="1" applyFill="1" applyBorder="1" applyAlignment="1">
      <alignment vertical="center"/>
    </xf>
    <xf numFmtId="0" fontId="2" fillId="14" borderId="145" xfId="0" applyFont="1" applyFill="1" applyBorder="1" applyAlignment="1">
      <alignment vertical="center"/>
    </xf>
    <xf numFmtId="0" fontId="2" fillId="14" borderId="49" xfId="0" applyFont="1" applyFill="1" applyBorder="1" applyAlignment="1">
      <alignment vertical="center"/>
    </xf>
    <xf numFmtId="0" fontId="2" fillId="14" borderId="80" xfId="0" applyFont="1" applyFill="1" applyBorder="1" applyAlignment="1">
      <alignment vertical="center"/>
    </xf>
    <xf numFmtId="3" fontId="2" fillId="14" borderId="79" xfId="0" applyNumberFormat="1" applyFont="1" applyFill="1" applyBorder="1" applyAlignment="1">
      <alignment vertical="center"/>
    </xf>
    <xf numFmtId="0" fontId="2" fillId="18" borderId="88" xfId="0" applyFont="1" applyFill="1" applyBorder="1" applyAlignment="1">
      <alignment horizontal="center" vertical="center" shrinkToFit="1"/>
    </xf>
    <xf numFmtId="0" fontId="2" fillId="13" borderId="91" xfId="0" applyFont="1" applyFill="1" applyBorder="1" applyAlignment="1">
      <alignment vertical="center"/>
    </xf>
    <xf numFmtId="10" fontId="0" fillId="18" borderId="107" xfId="0" applyNumberFormat="1" applyFill="1" applyBorder="1" applyAlignment="1">
      <alignment horizontal="center" vertical="center"/>
    </xf>
    <xf numFmtId="0" fontId="30" fillId="15" borderId="0" xfId="0" applyFont="1" applyFill="1" applyAlignment="1">
      <alignment vertical="center"/>
    </xf>
    <xf numFmtId="0" fontId="0" fillId="29" borderId="37" xfId="0" applyFill="1" applyBorder="1" applyAlignment="1">
      <alignment horizontal="center" vertical="center"/>
    </xf>
    <xf numFmtId="0" fontId="2" fillId="13" borderId="77" xfId="0" applyFont="1" applyFill="1" applyBorder="1" applyAlignment="1">
      <alignment vertical="center"/>
    </xf>
    <xf numFmtId="0" fontId="2" fillId="13" borderId="13" xfId="0" applyFont="1" applyFill="1" applyBorder="1" applyAlignment="1">
      <alignment vertical="center"/>
    </xf>
    <xf numFmtId="0" fontId="2" fillId="13" borderId="25" xfId="0" applyFont="1" applyFill="1" applyBorder="1" applyAlignment="1">
      <alignment vertical="center"/>
    </xf>
    <xf numFmtId="0" fontId="2" fillId="13" borderId="48" xfId="0" applyFont="1" applyFill="1" applyBorder="1" applyAlignment="1">
      <alignment horizontal="center" vertical="center"/>
    </xf>
    <xf numFmtId="0" fontId="2" fillId="13" borderId="48" xfId="0" applyFont="1" applyFill="1" applyBorder="1" applyAlignment="1">
      <alignment vertical="center"/>
    </xf>
    <xf numFmtId="0" fontId="2" fillId="13" borderId="74" xfId="0" applyFont="1" applyFill="1" applyBorder="1" applyAlignment="1">
      <alignment vertical="center"/>
    </xf>
    <xf numFmtId="0" fontId="2" fillId="13" borderId="36" xfId="0" applyFont="1" applyFill="1" applyBorder="1" applyAlignment="1">
      <alignment horizontal="center" vertical="center"/>
    </xf>
    <xf numFmtId="0" fontId="2" fillId="18" borderId="105" xfId="0" applyFont="1" applyFill="1" applyBorder="1" applyAlignment="1">
      <alignment horizontal="center" vertical="center" shrinkToFit="1"/>
    </xf>
    <xf numFmtId="0" fontId="2" fillId="13" borderId="92" xfId="0" applyFont="1" applyFill="1" applyBorder="1" applyAlignment="1">
      <alignment vertical="center"/>
    </xf>
    <xf numFmtId="10" fontId="0" fillId="18" borderId="23" xfId="0" applyNumberFormat="1" applyFill="1" applyBorder="1" applyAlignment="1">
      <alignment horizontal="center" vertical="center"/>
    </xf>
    <xf numFmtId="0" fontId="0" fillId="15" borderId="49" xfId="0" applyFill="1" applyBorder="1" applyAlignment="1">
      <alignment vertical="center"/>
    </xf>
    <xf numFmtId="0" fontId="2" fillId="15" borderId="62" xfId="0" applyFont="1" applyFill="1" applyBorder="1" applyAlignment="1">
      <alignment horizontal="center" vertical="center"/>
    </xf>
    <xf numFmtId="0" fontId="2" fillId="15" borderId="49" xfId="0" applyFont="1" applyFill="1" applyBorder="1" applyAlignment="1">
      <alignment vertical="center"/>
    </xf>
    <xf numFmtId="0" fontId="0" fillId="29" borderId="40" xfId="0" applyFill="1" applyBorder="1" applyAlignment="1">
      <alignment horizontal="center" vertical="center"/>
    </xf>
    <xf numFmtId="0" fontId="2" fillId="14" borderId="49" xfId="0" applyFont="1" applyFill="1" applyBorder="1" applyAlignment="1">
      <alignment horizontal="center" vertical="center"/>
    </xf>
    <xf numFmtId="0" fontId="2" fillId="13" borderId="80" xfId="0" applyFont="1" applyFill="1" applyBorder="1" applyAlignment="1">
      <alignment vertical="center"/>
    </xf>
    <xf numFmtId="0" fontId="2" fillId="13" borderId="87" xfId="0" applyFont="1" applyFill="1" applyBorder="1" applyAlignment="1">
      <alignment vertical="center"/>
    </xf>
    <xf numFmtId="0" fontId="2" fillId="13" borderId="44" xfId="0" applyFont="1" applyFill="1" applyBorder="1" applyAlignment="1">
      <alignment vertical="center"/>
    </xf>
    <xf numFmtId="0" fontId="2" fillId="13" borderId="49" xfId="0" applyFont="1" applyFill="1" applyBorder="1" applyAlignment="1">
      <alignment horizontal="center" vertical="center"/>
    </xf>
    <xf numFmtId="0" fontId="2" fillId="13" borderId="49" xfId="0" applyFont="1" applyFill="1" applyBorder="1" applyAlignment="1">
      <alignment vertical="center"/>
    </xf>
    <xf numFmtId="0" fontId="0" fillId="15" borderId="62" xfId="0" applyFill="1" applyBorder="1" applyAlignment="1">
      <alignment vertical="center"/>
    </xf>
    <xf numFmtId="0" fontId="0" fillId="15" borderId="79" xfId="0" applyFill="1" applyBorder="1" applyAlignment="1">
      <alignment horizontal="center" vertical="center"/>
    </xf>
    <xf numFmtId="0" fontId="2" fillId="13" borderId="39" xfId="0" applyFont="1" applyFill="1" applyBorder="1" applyAlignment="1">
      <alignment horizontal="center" vertical="center"/>
    </xf>
    <xf numFmtId="0" fontId="2" fillId="15" borderId="49" xfId="0" applyFont="1" applyFill="1" applyBorder="1" applyAlignment="1">
      <alignment horizontal="center" vertical="center"/>
    </xf>
    <xf numFmtId="0" fontId="2" fillId="14" borderId="40" xfId="0" applyFont="1" applyFill="1" applyBorder="1" applyAlignment="1">
      <alignment vertical="center"/>
    </xf>
    <xf numFmtId="0" fontId="2" fillId="14" borderId="79" xfId="0" applyFont="1" applyFill="1" applyBorder="1" applyAlignment="1">
      <alignment vertical="center"/>
    </xf>
    <xf numFmtId="0" fontId="2" fillId="13" borderId="129" xfId="0" applyFont="1" applyFill="1" applyBorder="1" applyAlignment="1">
      <alignment vertical="center"/>
    </xf>
    <xf numFmtId="0" fontId="2" fillId="18" borderId="93" xfId="0" applyFont="1" applyFill="1" applyBorder="1" applyAlignment="1">
      <alignment horizontal="center" vertical="center" shrinkToFit="1"/>
    </xf>
    <xf numFmtId="0" fontId="2" fillId="13" borderId="50" xfId="0" applyFont="1" applyFill="1" applyBorder="1" applyAlignment="1">
      <alignment vertical="center"/>
    </xf>
    <xf numFmtId="0" fontId="0" fillId="15" borderId="46" xfId="0" applyFill="1" applyBorder="1" applyAlignment="1">
      <alignment vertical="center"/>
    </xf>
    <xf numFmtId="0" fontId="0" fillId="15" borderId="78" xfId="0" applyFill="1" applyBorder="1" applyAlignment="1">
      <alignment horizontal="center" vertical="center"/>
    </xf>
    <xf numFmtId="0" fontId="2" fillId="13" borderId="26" xfId="0" applyFont="1" applyFill="1" applyBorder="1" applyAlignment="1">
      <alignment horizontal="center" vertical="center"/>
    </xf>
    <xf numFmtId="0" fontId="2" fillId="15" borderId="48" xfId="0" applyFont="1" applyFill="1" applyBorder="1" applyAlignment="1">
      <alignment horizontal="center" vertical="center"/>
    </xf>
    <xf numFmtId="0" fontId="2" fillId="14" borderId="38" xfId="0" applyFont="1" applyFill="1" applyBorder="1" applyAlignment="1">
      <alignment vertical="center"/>
    </xf>
    <xf numFmtId="0" fontId="2" fillId="14" borderId="77" xfId="0" applyFont="1" applyFill="1" applyBorder="1" applyAlignment="1">
      <alignment vertical="center"/>
    </xf>
    <xf numFmtId="0" fontId="2" fillId="14" borderId="78" xfId="0" applyFont="1" applyFill="1" applyBorder="1" applyAlignment="1">
      <alignment vertical="center"/>
    </xf>
    <xf numFmtId="0" fontId="2" fillId="14" borderId="142" xfId="0" applyFont="1" applyFill="1" applyBorder="1" applyAlignment="1">
      <alignment vertical="center"/>
    </xf>
    <xf numFmtId="3" fontId="2" fillId="14" borderId="143" xfId="0" applyNumberFormat="1" applyFont="1" applyFill="1" applyBorder="1" applyAlignment="1">
      <alignment vertical="center"/>
    </xf>
    <xf numFmtId="0" fontId="2" fillId="13" borderId="0" xfId="0" applyFont="1" applyFill="1" applyAlignment="1">
      <alignment vertical="center" shrinkToFit="1"/>
    </xf>
    <xf numFmtId="0" fontId="0" fillId="13" borderId="51" xfId="0" applyFill="1" applyBorder="1" applyAlignment="1">
      <alignment vertical="center"/>
    </xf>
    <xf numFmtId="0" fontId="2" fillId="30" borderId="10" xfId="0" quotePrefix="1" applyFont="1" applyFill="1" applyBorder="1" applyAlignment="1">
      <alignment horizontal="center" vertical="center" shrinkToFit="1"/>
    </xf>
    <xf numFmtId="0" fontId="2" fillId="13" borderId="93" xfId="0" applyFont="1" applyFill="1" applyBorder="1" applyAlignment="1">
      <alignment vertical="center"/>
    </xf>
    <xf numFmtId="169" fontId="0" fillId="18" borderId="14" xfId="0" applyNumberFormat="1" applyFill="1" applyBorder="1" applyAlignment="1">
      <alignment horizontal="center" vertical="center"/>
    </xf>
    <xf numFmtId="0" fontId="31" fillId="33" borderId="21" xfId="0" applyFont="1" applyFill="1" applyBorder="1" applyAlignment="1">
      <alignment horizontal="center" vertical="center" shrinkToFit="1"/>
    </xf>
    <xf numFmtId="0" fontId="0" fillId="15" borderId="13" xfId="0" applyFill="1" applyBorder="1"/>
    <xf numFmtId="0" fontId="2" fillId="15" borderId="18" xfId="0" applyFont="1" applyFill="1" applyBorder="1" applyAlignment="1">
      <alignment horizontal="center" vertical="center"/>
    </xf>
    <xf numFmtId="0" fontId="2" fillId="15" borderId="10" xfId="0" applyFont="1" applyFill="1" applyBorder="1" applyAlignment="1">
      <alignment vertical="center"/>
    </xf>
    <xf numFmtId="0" fontId="2" fillId="14" borderId="72" xfId="0" applyFont="1" applyFill="1" applyBorder="1" applyAlignment="1">
      <alignment vertical="center"/>
    </xf>
    <xf numFmtId="0" fontId="31" fillId="18" borderId="104" xfId="0" applyFont="1" applyFill="1" applyBorder="1" applyAlignment="1">
      <alignment horizontal="center" vertical="center" shrinkToFit="1"/>
    </xf>
    <xf numFmtId="0" fontId="2" fillId="14" borderId="13" xfId="0" applyFont="1" applyFill="1" applyBorder="1" applyAlignment="1">
      <alignment vertical="center"/>
    </xf>
    <xf numFmtId="0" fontId="76" fillId="14" borderId="0" xfId="0" applyFont="1" applyFill="1" applyAlignment="1">
      <alignment vertical="center"/>
    </xf>
    <xf numFmtId="0" fontId="4" fillId="13" borderId="33" xfId="0" applyFont="1" applyFill="1" applyBorder="1" applyAlignment="1">
      <alignment vertical="center"/>
    </xf>
    <xf numFmtId="0" fontId="2" fillId="13" borderId="11" xfId="0" applyFont="1" applyFill="1" applyBorder="1" applyAlignment="1">
      <alignment vertical="top"/>
    </xf>
    <xf numFmtId="0" fontId="4" fillId="13" borderId="11" xfId="0" applyFont="1" applyFill="1" applyBorder="1" applyAlignment="1">
      <alignment horizontal="center" vertical="top"/>
    </xf>
    <xf numFmtId="0" fontId="4" fillId="13" borderId="11" xfId="0" applyFont="1" applyFill="1" applyBorder="1" applyAlignment="1">
      <alignment horizontal="right" vertical="top"/>
    </xf>
    <xf numFmtId="0" fontId="4" fillId="13" borderId="11" xfId="0" applyFont="1" applyFill="1" applyBorder="1" applyAlignment="1">
      <alignment vertical="top" wrapText="1"/>
    </xf>
    <xf numFmtId="0" fontId="0" fillId="13" borderId="11" xfId="0" applyFill="1" applyBorder="1" applyAlignment="1">
      <alignment vertical="top" wrapText="1"/>
    </xf>
    <xf numFmtId="0" fontId="2" fillId="29" borderId="71" xfId="0" applyFont="1" applyFill="1" applyBorder="1"/>
    <xf numFmtId="0" fontId="2" fillId="13" borderId="0" xfId="0" applyFont="1" applyFill="1" applyAlignment="1">
      <alignment horizontal="center" vertical="top"/>
    </xf>
    <xf numFmtId="0" fontId="2" fillId="13" borderId="81" xfId="0" applyFont="1" applyFill="1" applyBorder="1" applyAlignment="1">
      <alignment horizontal="center" vertical="top"/>
    </xf>
    <xf numFmtId="0" fontId="2" fillId="13" borderId="82" xfId="0" applyFont="1" applyFill="1" applyBorder="1" applyAlignment="1">
      <alignment vertical="top"/>
    </xf>
    <xf numFmtId="0" fontId="4" fillId="13" borderId="83" xfId="0" applyFont="1" applyFill="1" applyBorder="1" applyAlignment="1">
      <alignment horizontal="center" vertical="top"/>
    </xf>
    <xf numFmtId="0" fontId="2" fillId="13" borderId="55" xfId="0" applyFont="1" applyFill="1" applyBorder="1" applyAlignment="1">
      <alignment vertical="top"/>
    </xf>
    <xf numFmtId="0" fontId="2" fillId="16" borderId="56" xfId="0" applyFont="1" applyFill="1" applyBorder="1" applyAlignment="1">
      <alignment vertical="top"/>
    </xf>
    <xf numFmtId="0" fontId="2" fillId="13" borderId="57" xfId="0" applyFont="1" applyFill="1" applyBorder="1" applyAlignment="1">
      <alignment vertical="top"/>
    </xf>
    <xf numFmtId="0" fontId="2" fillId="13" borderId="59" xfId="0" applyFont="1" applyFill="1" applyBorder="1" applyAlignment="1">
      <alignment vertical="top"/>
    </xf>
    <xf numFmtId="0" fontId="48" fillId="13" borderId="0" xfId="0" applyFont="1" applyFill="1" applyAlignment="1">
      <alignment horizontal="right" vertical="top" wrapText="1"/>
    </xf>
    <xf numFmtId="0" fontId="39" fillId="13" borderId="50" xfId="0" applyFont="1" applyFill="1" applyBorder="1" applyAlignment="1">
      <alignment horizontal="left" vertical="center" wrapText="1"/>
    </xf>
    <xf numFmtId="0" fontId="48" fillId="13" borderId="61" xfId="0" quotePrefix="1" applyFont="1" applyFill="1" applyBorder="1" applyAlignment="1">
      <alignment horizontal="right" vertical="top" wrapText="1"/>
    </xf>
    <xf numFmtId="0" fontId="5" fillId="13" borderId="61" xfId="0" applyFont="1" applyFill="1" applyBorder="1" applyAlignment="1">
      <alignment horizontal="left" vertical="top" wrapText="1"/>
    </xf>
    <xf numFmtId="0" fontId="48" fillId="13" borderId="51" xfId="0" quotePrefix="1" applyFont="1" applyFill="1" applyBorder="1" applyAlignment="1">
      <alignment horizontal="right" vertical="top" wrapText="1"/>
    </xf>
    <xf numFmtId="0" fontId="5" fillId="13" borderId="51" xfId="0" applyFont="1" applyFill="1" applyBorder="1" applyAlignment="1">
      <alignment horizontal="left" vertical="top" wrapText="1"/>
    </xf>
    <xf numFmtId="0" fontId="7" fillId="13" borderId="13" xfId="0" applyFont="1" applyFill="1" applyBorder="1" applyAlignment="1">
      <alignment horizontal="left"/>
    </xf>
    <xf numFmtId="0" fontId="7" fillId="13" borderId="13" xfId="0" applyFont="1" applyFill="1" applyBorder="1" applyAlignment="1">
      <alignment horizontal="left" vertical="top"/>
    </xf>
    <xf numFmtId="0" fontId="7" fillId="13" borderId="13" xfId="0" applyFont="1" applyFill="1" applyBorder="1" applyAlignment="1">
      <alignment vertical="top"/>
    </xf>
    <xf numFmtId="0" fontId="89" fillId="13" borderId="0" xfId="0" applyFont="1" applyFill="1" applyAlignment="1">
      <alignment horizontal="right" vertical="center"/>
    </xf>
    <xf numFmtId="0" fontId="78" fillId="30" borderId="69" xfId="0" applyFont="1" applyFill="1" applyBorder="1" applyAlignment="1">
      <alignment horizontal="left" vertical="top"/>
    </xf>
    <xf numFmtId="0" fontId="78" fillId="30" borderId="69" xfId="0" applyFont="1" applyFill="1" applyBorder="1" applyAlignment="1">
      <alignment horizontal="center" vertical="top"/>
    </xf>
    <xf numFmtId="0" fontId="78" fillId="30" borderId="110" xfId="0" applyFont="1" applyFill="1" applyBorder="1" applyAlignment="1">
      <alignment horizontal="left" vertical="top"/>
    </xf>
    <xf numFmtId="0" fontId="78" fillId="30" borderId="70" xfId="0" applyFont="1" applyFill="1" applyBorder="1" applyAlignment="1">
      <alignment horizontal="left" vertical="top"/>
    </xf>
    <xf numFmtId="0" fontId="78" fillId="30" borderId="70" xfId="0" applyFont="1" applyFill="1" applyBorder="1" applyAlignment="1">
      <alignment horizontal="center" vertical="top"/>
    </xf>
    <xf numFmtId="0" fontId="87" fillId="13" borderId="0" xfId="0" applyFont="1" applyFill="1" applyAlignment="1">
      <alignment vertical="center"/>
    </xf>
    <xf numFmtId="0" fontId="0" fillId="29" borderId="47" xfId="0" applyFill="1" applyBorder="1"/>
    <xf numFmtId="0" fontId="0" fillId="29" borderId="48" xfId="0" applyFill="1" applyBorder="1"/>
    <xf numFmtId="0" fontId="0" fillId="29" borderId="137" xfId="0" applyFill="1" applyBorder="1"/>
    <xf numFmtId="0" fontId="0" fillId="29" borderId="49" xfId="0" applyFill="1" applyBorder="1"/>
    <xf numFmtId="0" fontId="78" fillId="30" borderId="69" xfId="0" applyFont="1" applyFill="1" applyBorder="1" applyAlignment="1">
      <alignment vertical="top"/>
    </xf>
    <xf numFmtId="0" fontId="78" fillId="30" borderId="69" xfId="0" applyFont="1" applyFill="1" applyBorder="1" applyAlignment="1">
      <alignment horizontal="center"/>
    </xf>
    <xf numFmtId="3" fontId="78" fillId="30" borderId="69" xfId="0" applyNumberFormat="1" applyFont="1" applyFill="1" applyBorder="1" applyAlignment="1">
      <alignment horizontal="center" vertical="top"/>
    </xf>
    <xf numFmtId="0" fontId="78" fillId="30" borderId="69" xfId="0" applyFont="1" applyFill="1" applyBorder="1" applyAlignment="1">
      <alignment horizontal="center" shrinkToFit="1"/>
    </xf>
    <xf numFmtId="0" fontId="78" fillId="30" borderId="70" xfId="0" applyFont="1" applyFill="1" applyBorder="1" applyAlignment="1">
      <alignment vertical="top"/>
    </xf>
    <xf numFmtId="0" fontId="78" fillId="30" borderId="70" xfId="0" applyFont="1" applyFill="1" applyBorder="1" applyAlignment="1">
      <alignment horizontal="left" vertical="center" wrapText="1"/>
    </xf>
    <xf numFmtId="0" fontId="78" fillId="30" borderId="70" xfId="0" applyFont="1" applyFill="1" applyBorder="1" applyAlignment="1">
      <alignment horizontal="center"/>
    </xf>
    <xf numFmtId="3" fontId="78" fillId="30" borderId="70" xfId="0" applyNumberFormat="1" applyFont="1" applyFill="1" applyBorder="1" applyAlignment="1">
      <alignment horizontal="center" vertical="top"/>
    </xf>
    <xf numFmtId="0" fontId="78" fillId="30" borderId="70" xfId="0" applyFont="1" applyFill="1" applyBorder="1" applyAlignment="1">
      <alignment horizontal="center" shrinkToFit="1"/>
    </xf>
    <xf numFmtId="0" fontId="6" fillId="33" borderId="13" xfId="0" applyFont="1" applyFill="1" applyBorder="1" applyAlignment="1">
      <alignment horizontal="center"/>
    </xf>
    <xf numFmtId="3" fontId="6" fillId="33" borderId="13" xfId="0" applyNumberFormat="1" applyFont="1" applyFill="1" applyBorder="1" applyAlignment="1">
      <alignment horizontal="center" vertical="top"/>
    </xf>
    <xf numFmtId="0" fontId="86" fillId="33" borderId="13" xfId="0" applyFont="1" applyFill="1" applyBorder="1" applyAlignment="1">
      <alignment horizontal="center" shrinkToFit="1"/>
    </xf>
    <xf numFmtId="3" fontId="0" fillId="29" borderId="13" xfId="0" applyNumberFormat="1" applyFill="1" applyBorder="1"/>
    <xf numFmtId="0" fontId="0" fillId="29" borderId="13" xfId="0" applyFill="1" applyBorder="1"/>
    <xf numFmtId="0" fontId="6" fillId="33" borderId="13" xfId="0" applyFont="1" applyFill="1" applyBorder="1" applyAlignment="1">
      <alignment vertical="top"/>
    </xf>
    <xf numFmtId="0" fontId="0" fillId="29" borderId="0" xfId="0" applyFill="1" applyAlignment="1">
      <alignment horizontal="left"/>
    </xf>
    <xf numFmtId="0" fontId="2" fillId="16" borderId="58" xfId="0" applyFont="1" applyFill="1" applyBorder="1" applyAlignment="1">
      <alignment vertical="top"/>
    </xf>
    <xf numFmtId="0" fontId="2" fillId="15" borderId="63" xfId="0" applyFont="1" applyFill="1" applyBorder="1"/>
    <xf numFmtId="0" fontId="2" fillId="14" borderId="42" xfId="0" applyFont="1" applyFill="1" applyBorder="1" applyAlignment="1">
      <alignment vertical="top"/>
    </xf>
    <xf numFmtId="0" fontId="2" fillId="14" borderId="42" xfId="0" applyFont="1" applyFill="1" applyBorder="1" applyAlignment="1">
      <alignment vertical="center"/>
    </xf>
    <xf numFmtId="0" fontId="2" fillId="14" borderId="42" xfId="0" applyFont="1" applyFill="1" applyBorder="1" applyAlignment="1">
      <alignment horizontal="center" vertical="top"/>
    </xf>
    <xf numFmtId="0" fontId="2" fillId="15" borderId="94" xfId="0" applyFont="1" applyFill="1" applyBorder="1"/>
    <xf numFmtId="0" fontId="2" fillId="30" borderId="0" xfId="0" applyFont="1" applyFill="1"/>
    <xf numFmtId="0" fontId="2" fillId="15" borderId="72" xfId="0" applyFont="1" applyFill="1" applyBorder="1"/>
    <xf numFmtId="0" fontId="2" fillId="13" borderId="94" xfId="0" applyFont="1" applyFill="1" applyBorder="1"/>
    <xf numFmtId="0" fontId="0" fillId="15" borderId="72" xfId="0" applyFill="1" applyBorder="1"/>
    <xf numFmtId="0" fontId="0" fillId="13" borderId="72" xfId="0" applyFill="1" applyBorder="1"/>
    <xf numFmtId="0" fontId="6" fillId="13" borderId="0" xfId="0" applyFont="1" applyFill="1" applyAlignment="1">
      <alignment vertical="center"/>
    </xf>
    <xf numFmtId="0" fontId="0" fillId="13" borderId="72" xfId="0" applyFill="1" applyBorder="1" applyAlignment="1">
      <alignment vertical="center"/>
    </xf>
    <xf numFmtId="0" fontId="0" fillId="30" borderId="0" xfId="0" applyFill="1"/>
    <xf numFmtId="0" fontId="2" fillId="13" borderId="72" xfId="0" applyFont="1" applyFill="1" applyBorder="1" applyAlignment="1">
      <alignment vertical="center"/>
    </xf>
    <xf numFmtId="0" fontId="2" fillId="30" borderId="0" xfId="0" applyFont="1" applyFill="1" applyAlignment="1">
      <alignment vertical="top"/>
    </xf>
    <xf numFmtId="0" fontId="2" fillId="13" borderId="72" xfId="0" applyFont="1" applyFill="1" applyBorder="1" applyAlignment="1">
      <alignment vertical="top"/>
    </xf>
    <xf numFmtId="0" fontId="2" fillId="14" borderId="72" xfId="0" applyFont="1" applyFill="1" applyBorder="1" applyAlignment="1">
      <alignment vertical="top"/>
    </xf>
    <xf numFmtId="0" fontId="39" fillId="13" borderId="0" xfId="0" applyFont="1" applyFill="1" applyAlignment="1">
      <alignment vertical="center" wrapText="1"/>
    </xf>
    <xf numFmtId="0" fontId="38" fillId="13" borderId="71" xfId="0" applyFont="1" applyFill="1" applyBorder="1" applyAlignment="1">
      <alignment vertical="top" wrapText="1"/>
    </xf>
    <xf numFmtId="0" fontId="38" fillId="15" borderId="0" xfId="0" applyFont="1" applyFill="1" applyAlignment="1">
      <alignment wrapText="1"/>
    </xf>
    <xf numFmtId="0" fontId="4" fillId="13" borderId="12" xfId="0" applyFont="1" applyFill="1" applyBorder="1" applyAlignment="1">
      <alignment horizontal="center" wrapText="1"/>
    </xf>
    <xf numFmtId="0" fontId="4" fillId="13" borderId="12" xfId="0" applyFont="1" applyFill="1" applyBorder="1" applyAlignment="1">
      <alignment horizontal="left" wrapText="1"/>
    </xf>
    <xf numFmtId="0" fontId="40" fillId="15" borderId="0" xfId="0" applyFont="1" applyFill="1" applyAlignment="1">
      <alignment horizontal="center" vertical="center"/>
    </xf>
    <xf numFmtId="0" fontId="0" fillId="15" borderId="97" xfId="0" applyFill="1" applyBorder="1"/>
    <xf numFmtId="0" fontId="2" fillId="13" borderId="97" xfId="0" applyFont="1" applyFill="1" applyBorder="1" applyAlignment="1">
      <alignment vertical="top"/>
    </xf>
    <xf numFmtId="0" fontId="2" fillId="13" borderId="41" xfId="0" applyFont="1" applyFill="1" applyBorder="1" applyAlignment="1">
      <alignment vertical="center"/>
    </xf>
    <xf numFmtId="0" fontId="4" fillId="13" borderId="41" xfId="0" applyFont="1" applyFill="1" applyBorder="1" applyAlignment="1">
      <alignment horizontal="center" vertical="top"/>
    </xf>
    <xf numFmtId="0" fontId="4" fillId="13" borderId="41" xfId="0" applyFont="1" applyFill="1" applyBorder="1" applyAlignment="1">
      <alignment vertical="center"/>
    </xf>
    <xf numFmtId="0" fontId="4" fillId="13" borderId="41" xfId="0" applyFont="1" applyFill="1" applyBorder="1" applyAlignment="1">
      <alignment vertical="top" wrapText="1"/>
    </xf>
    <xf numFmtId="0" fontId="0" fillId="13" borderId="41" xfId="0" applyFill="1" applyBorder="1" applyAlignment="1">
      <alignment vertical="top" wrapText="1"/>
    </xf>
    <xf numFmtId="0" fontId="2" fillId="13" borderId="98" xfId="0" applyFont="1" applyFill="1" applyBorder="1" applyAlignment="1">
      <alignment vertical="top"/>
    </xf>
    <xf numFmtId="0" fontId="4" fillId="29" borderId="0" xfId="0" applyFont="1" applyFill="1" applyAlignment="1">
      <alignment vertical="center" wrapText="1"/>
    </xf>
    <xf numFmtId="0" fontId="35" fillId="30" borderId="0" xfId="0" applyFont="1" applyFill="1" applyAlignment="1">
      <alignment vertical="center" wrapText="1"/>
    </xf>
    <xf numFmtId="0" fontId="2" fillId="14" borderId="0" xfId="0" applyFont="1" applyFill="1" applyAlignment="1">
      <alignment vertical="top" wrapText="1"/>
    </xf>
    <xf numFmtId="0" fontId="6" fillId="13" borderId="0" xfId="0" applyFont="1" applyFill="1" applyAlignment="1">
      <alignment vertical="top"/>
    </xf>
    <xf numFmtId="14" fontId="90" fillId="30" borderId="113" xfId="0" applyNumberFormat="1" applyFont="1" applyFill="1" applyBorder="1" applyAlignment="1">
      <alignment horizontal="left"/>
    </xf>
    <xf numFmtId="14" fontId="90" fillId="30" borderId="112" xfId="0" applyNumberFormat="1" applyFont="1" applyFill="1" applyBorder="1" applyAlignment="1">
      <alignment horizontal="left"/>
    </xf>
    <xf numFmtId="0" fontId="84" fillId="30" borderId="0" xfId="0" applyFont="1" applyFill="1"/>
    <xf numFmtId="0" fontId="90" fillId="30" borderId="0" xfId="0" applyFont="1" applyFill="1" applyAlignment="1">
      <alignment horizontal="left" vertical="top"/>
    </xf>
    <xf numFmtId="0" fontId="90" fillId="30" borderId="0" xfId="0" applyFont="1" applyFill="1" applyAlignment="1">
      <alignment vertical="top"/>
    </xf>
    <xf numFmtId="0" fontId="6" fillId="13" borderId="0" xfId="0" applyFont="1" applyFill="1" applyAlignment="1">
      <alignment horizontal="right" vertical="top"/>
    </xf>
    <xf numFmtId="0" fontId="6" fillId="13" borderId="0" xfId="0" applyFont="1" applyFill="1" applyAlignment="1">
      <alignment horizontal="right" vertical="center"/>
    </xf>
    <xf numFmtId="0" fontId="6" fillId="33" borderId="0" xfId="0" applyFont="1" applyFill="1" applyAlignment="1">
      <alignment horizontal="center" vertical="center"/>
    </xf>
    <xf numFmtId="0" fontId="2" fillId="29" borderId="13" xfId="0" applyFont="1" applyFill="1" applyBorder="1" applyAlignment="1">
      <alignment horizontal="center"/>
    </xf>
    <xf numFmtId="0" fontId="2" fillId="29" borderId="13" xfId="0" applyFont="1" applyFill="1" applyBorder="1"/>
    <xf numFmtId="0" fontId="100" fillId="0" borderId="13" xfId="0" applyFont="1" applyBorder="1" applyAlignment="1">
      <alignment horizontal="center"/>
    </xf>
    <xf numFmtId="0" fontId="100" fillId="13" borderId="0" xfId="0" applyFont="1" applyFill="1" applyAlignment="1">
      <alignment vertical="top"/>
    </xf>
    <xf numFmtId="0" fontId="100" fillId="13" borderId="0" xfId="0" applyFont="1" applyFill="1"/>
    <xf numFmtId="0" fontId="2" fillId="29" borderId="0" xfId="0" applyFont="1" applyFill="1" applyAlignment="1">
      <alignment horizontal="right"/>
    </xf>
    <xf numFmtId="0" fontId="2" fillId="29" borderId="0" xfId="0" applyFont="1" applyFill="1" applyAlignment="1">
      <alignment horizontal="center"/>
    </xf>
    <xf numFmtId="0" fontId="101" fillId="13" borderId="0" xfId="0" applyFont="1" applyFill="1" applyAlignment="1">
      <alignment vertical="center"/>
    </xf>
    <xf numFmtId="0" fontId="4" fillId="29" borderId="13" xfId="0" applyFont="1" applyFill="1" applyBorder="1" applyAlignment="1">
      <alignment horizontal="center"/>
    </xf>
    <xf numFmtId="0" fontId="4" fillId="29" borderId="0" xfId="0" applyFont="1" applyFill="1"/>
    <xf numFmtId="0" fontId="100" fillId="33" borderId="13" xfId="0" applyFont="1" applyFill="1" applyBorder="1" applyAlignment="1">
      <alignment horizontal="center" vertical="center"/>
    </xf>
    <xf numFmtId="0" fontId="100" fillId="0" borderId="13" xfId="0" quotePrefix="1" applyFont="1" applyBorder="1" applyAlignment="1">
      <alignment horizontal="center" vertical="center"/>
    </xf>
    <xf numFmtId="0" fontId="100" fillId="0" borderId="13" xfId="0" applyFont="1" applyBorder="1" applyAlignment="1">
      <alignment horizontal="center" vertical="center"/>
    </xf>
    <xf numFmtId="0" fontId="102" fillId="13" borderId="0" xfId="0" quotePrefix="1" applyFont="1" applyFill="1" applyAlignment="1">
      <alignment horizontal="left" vertical="top" wrapText="1"/>
    </xf>
    <xf numFmtId="0" fontId="4" fillId="29" borderId="0" xfId="0" applyFont="1" applyFill="1" applyAlignment="1">
      <alignment horizontal="center"/>
    </xf>
    <xf numFmtId="0" fontId="6" fillId="14" borderId="0" xfId="0" applyFont="1" applyFill="1" applyAlignment="1">
      <alignment horizontal="left" vertical="center"/>
    </xf>
    <xf numFmtId="0" fontId="100" fillId="30" borderId="69" xfId="0" applyFont="1" applyFill="1" applyBorder="1"/>
    <xf numFmtId="3" fontId="100" fillId="30" borderId="69" xfId="0" applyNumberFormat="1" applyFont="1" applyFill="1" applyBorder="1" applyAlignment="1">
      <alignment horizontal="center"/>
    </xf>
    <xf numFmtId="173" fontId="100" fillId="33" borderId="69" xfId="0" applyNumberFormat="1" applyFont="1" applyFill="1" applyBorder="1" applyAlignment="1">
      <alignment horizontal="center"/>
    </xf>
    <xf numFmtId="9" fontId="100" fillId="30" borderId="69" xfId="0" applyNumberFormat="1" applyFont="1" applyFill="1" applyBorder="1" applyAlignment="1">
      <alignment horizontal="center"/>
    </xf>
    <xf numFmtId="3" fontId="100" fillId="33" borderId="69" xfId="0" applyNumberFormat="1" applyFont="1" applyFill="1" applyBorder="1" applyAlignment="1">
      <alignment horizontal="center"/>
    </xf>
    <xf numFmtId="3" fontId="2" fillId="29" borderId="13" xfId="0" applyNumberFormat="1" applyFont="1" applyFill="1" applyBorder="1" applyAlignment="1">
      <alignment horizontal="center"/>
    </xf>
    <xf numFmtId="0" fontId="100" fillId="30" borderId="8" xfId="0" applyFont="1" applyFill="1" applyBorder="1"/>
    <xf numFmtId="3" fontId="100" fillId="30" borderId="8" xfId="0" applyNumberFormat="1" applyFont="1" applyFill="1" applyBorder="1" applyAlignment="1">
      <alignment horizontal="center"/>
    </xf>
    <xf numFmtId="173" fontId="100" fillId="33" borderId="8" xfId="0" applyNumberFormat="1" applyFont="1" applyFill="1" applyBorder="1" applyAlignment="1">
      <alignment horizontal="center"/>
    </xf>
    <xf numFmtId="9" fontId="100" fillId="30" borderId="8" xfId="0" applyNumberFormat="1" applyFont="1" applyFill="1" applyBorder="1" applyAlignment="1">
      <alignment horizontal="center"/>
    </xf>
    <xf numFmtId="3" fontId="100" fillId="33" borderId="8" xfId="0" applyNumberFormat="1" applyFont="1" applyFill="1" applyBorder="1" applyAlignment="1">
      <alignment horizontal="center"/>
    </xf>
    <xf numFmtId="0" fontId="104" fillId="13" borderId="0" xfId="0" applyFont="1" applyFill="1" applyAlignment="1">
      <alignment horizontal="right" vertical="top"/>
    </xf>
    <xf numFmtId="0" fontId="100" fillId="30" borderId="25" xfId="0" applyFont="1" applyFill="1" applyBorder="1" applyAlignment="1">
      <alignment horizontal="left" vertical="top"/>
    </xf>
    <xf numFmtId="0" fontId="100" fillId="30" borderId="8" xfId="0" applyFont="1" applyFill="1" applyBorder="1" applyAlignment="1">
      <alignment horizontal="center"/>
    </xf>
    <xf numFmtId="0" fontId="99" fillId="13" borderId="0" xfId="0" applyFont="1" applyFill="1" applyAlignment="1">
      <alignment horizontal="right"/>
    </xf>
    <xf numFmtId="0" fontId="100" fillId="18" borderId="18" xfId="0" applyFont="1" applyFill="1" applyBorder="1" applyAlignment="1">
      <alignment horizontal="center" vertical="center" shrinkToFit="1"/>
    </xf>
    <xf numFmtId="0" fontId="100" fillId="30" borderId="15" xfId="0" applyFont="1" applyFill="1" applyBorder="1" applyAlignment="1">
      <alignment horizontal="center" vertical="center" shrinkToFit="1"/>
    </xf>
    <xf numFmtId="167" fontId="100" fillId="18" borderId="10" xfId="0" applyNumberFormat="1" applyFont="1" applyFill="1" applyBorder="1" applyAlignment="1">
      <alignment horizontal="center" vertical="center" shrinkToFit="1"/>
    </xf>
    <xf numFmtId="0" fontId="100" fillId="13" borderId="0" xfId="0" applyFont="1" applyFill="1" applyAlignment="1">
      <alignment horizontal="center" vertical="center"/>
    </xf>
    <xf numFmtId="0" fontId="100" fillId="13" borderId="0" xfId="0" applyFont="1" applyFill="1" applyAlignment="1">
      <alignment vertical="center"/>
    </xf>
    <xf numFmtId="0" fontId="100" fillId="13" borderId="0" xfId="0" applyFont="1" applyFill="1" applyAlignment="1">
      <alignment shrinkToFit="1"/>
    </xf>
    <xf numFmtId="0" fontId="100" fillId="18" borderId="89" xfId="0" applyFont="1" applyFill="1" applyBorder="1" applyAlignment="1">
      <alignment horizontal="center" vertical="center" shrinkToFit="1"/>
    </xf>
    <xf numFmtId="0" fontId="100" fillId="30" borderId="90" xfId="0" applyFont="1" applyFill="1" applyBorder="1" applyAlignment="1">
      <alignment horizontal="center" vertical="center" shrinkToFit="1"/>
    </xf>
    <xf numFmtId="167" fontId="100" fillId="18" borderId="107" xfId="0" applyNumberFormat="1" applyFont="1" applyFill="1" applyBorder="1" applyAlignment="1">
      <alignment horizontal="center" vertical="center"/>
    </xf>
    <xf numFmtId="176" fontId="100" fillId="38" borderId="108" xfId="0" applyNumberFormat="1" applyFont="1" applyFill="1" applyBorder="1" applyAlignment="1">
      <alignment horizontal="center" vertical="center"/>
    </xf>
    <xf numFmtId="174" fontId="100" fillId="18" borderId="107" xfId="0" applyNumberFormat="1" applyFont="1" applyFill="1" applyBorder="1" applyAlignment="1">
      <alignment horizontal="center" vertical="center" shrinkToFit="1"/>
    </xf>
    <xf numFmtId="0" fontId="100" fillId="18" borderId="92" xfId="0" applyFont="1" applyFill="1" applyBorder="1" applyAlignment="1">
      <alignment horizontal="center" vertical="center" shrinkToFit="1"/>
    </xf>
    <xf numFmtId="0" fontId="100" fillId="30" borderId="106" xfId="0" applyFont="1" applyFill="1" applyBorder="1" applyAlignment="1">
      <alignment horizontal="center" vertical="center" shrinkToFit="1"/>
    </xf>
    <xf numFmtId="167" fontId="100" fillId="18" borderId="21" xfId="0" applyNumberFormat="1" applyFont="1" applyFill="1" applyBorder="1" applyAlignment="1">
      <alignment horizontal="center" vertical="center"/>
    </xf>
    <xf numFmtId="175" fontId="100" fillId="38" borderId="22" xfId="0" applyNumberFormat="1" applyFont="1" applyFill="1" applyBorder="1" applyAlignment="1">
      <alignment horizontal="center" vertical="center"/>
    </xf>
    <xf numFmtId="167" fontId="100" fillId="18" borderId="21" xfId="0" applyNumberFormat="1" applyFont="1" applyFill="1" applyBorder="1" applyAlignment="1">
      <alignment horizontal="center" vertical="center" shrinkToFit="1"/>
    </xf>
    <xf numFmtId="0" fontId="100" fillId="18" borderId="93" xfId="0" quotePrefix="1" applyFont="1" applyFill="1" applyBorder="1" applyAlignment="1">
      <alignment horizontal="center" vertical="center" shrinkToFit="1"/>
    </xf>
    <xf numFmtId="0" fontId="100" fillId="13" borderId="91" xfId="0" applyFont="1" applyFill="1" applyBorder="1" applyAlignment="1">
      <alignment vertical="center"/>
    </xf>
    <xf numFmtId="10" fontId="100" fillId="18" borderId="21" xfId="0" applyNumberFormat="1" applyFont="1" applyFill="1" applyBorder="1" applyAlignment="1">
      <alignment horizontal="center" vertical="center"/>
    </xf>
    <xf numFmtId="10" fontId="100" fillId="38" borderId="22" xfId="0" applyNumberFormat="1" applyFont="1" applyFill="1" applyBorder="1" applyAlignment="1">
      <alignment horizontal="center" vertical="center"/>
    </xf>
    <xf numFmtId="10" fontId="100" fillId="18" borderId="21" xfId="0" applyNumberFormat="1" applyFont="1" applyFill="1" applyBorder="1" applyAlignment="1">
      <alignment horizontal="center" vertical="center" shrinkToFit="1"/>
    </xf>
    <xf numFmtId="173" fontId="100" fillId="30" borderId="69" xfId="0" applyNumberFormat="1" applyFont="1" applyFill="1" applyBorder="1" applyAlignment="1">
      <alignment horizontal="center"/>
    </xf>
    <xf numFmtId="0" fontId="100" fillId="30" borderId="69" xfId="0" applyFont="1" applyFill="1" applyBorder="1" applyAlignment="1">
      <alignment horizontal="center"/>
    </xf>
    <xf numFmtId="0" fontId="100" fillId="13" borderId="0" xfId="0" applyFont="1" applyFill="1" applyAlignment="1">
      <alignment horizontal="right" vertical="top"/>
    </xf>
    <xf numFmtId="3" fontId="100" fillId="33" borderId="13" xfId="0" applyNumberFormat="1" applyFont="1" applyFill="1" applyBorder="1" applyAlignment="1">
      <alignment horizontal="center"/>
    </xf>
    <xf numFmtId="169" fontId="2" fillId="29" borderId="13" xfId="0" applyNumberFormat="1" applyFont="1" applyFill="1" applyBorder="1" applyAlignment="1">
      <alignment horizontal="center"/>
    </xf>
    <xf numFmtId="173" fontId="100" fillId="30" borderId="8" xfId="0" applyNumberFormat="1" applyFont="1" applyFill="1" applyBorder="1" applyAlignment="1">
      <alignment horizontal="center"/>
    </xf>
    <xf numFmtId="0" fontId="100" fillId="30" borderId="70" xfId="0" applyFont="1" applyFill="1" applyBorder="1"/>
    <xf numFmtId="3" fontId="100" fillId="30" borderId="70" xfId="0" applyNumberFormat="1" applyFont="1" applyFill="1" applyBorder="1" applyAlignment="1">
      <alignment horizontal="center"/>
    </xf>
    <xf numFmtId="173" fontId="100" fillId="30" borderId="70" xfId="0" applyNumberFormat="1" applyFont="1" applyFill="1" applyBorder="1" applyAlignment="1">
      <alignment horizontal="center"/>
    </xf>
    <xf numFmtId="0" fontId="100" fillId="30" borderId="70" xfId="0" applyFont="1" applyFill="1" applyBorder="1" applyAlignment="1">
      <alignment horizontal="center"/>
    </xf>
    <xf numFmtId="3" fontId="100" fillId="33" borderId="70" xfId="0" applyNumberFormat="1" applyFont="1" applyFill="1" applyBorder="1" applyAlignment="1">
      <alignment horizontal="center"/>
    </xf>
    <xf numFmtId="0" fontId="99" fillId="0" borderId="13" xfId="0" applyFont="1" applyBorder="1" applyAlignment="1">
      <alignment vertical="center"/>
    </xf>
    <xf numFmtId="3" fontId="99" fillId="33" borderId="13" xfId="0" applyNumberFormat="1" applyFont="1" applyFill="1" applyBorder="1" applyAlignment="1">
      <alignment horizontal="center" vertical="center"/>
    </xf>
    <xf numFmtId="173" fontId="99" fillId="33" borderId="13" xfId="0" applyNumberFormat="1" applyFont="1" applyFill="1" applyBorder="1" applyAlignment="1">
      <alignment horizontal="center" vertical="center"/>
    </xf>
    <xf numFmtId="10" fontId="99" fillId="33" borderId="13" xfId="0" applyNumberFormat="1" applyFont="1" applyFill="1" applyBorder="1" applyAlignment="1">
      <alignment horizontal="center" vertical="center"/>
    </xf>
    <xf numFmtId="0" fontId="100" fillId="30" borderId="0" xfId="0" applyFont="1" applyFill="1" applyAlignment="1">
      <alignment horizontal="left" vertical="top"/>
    </xf>
    <xf numFmtId="0" fontId="104" fillId="30" borderId="0" xfId="0" applyFont="1" applyFill="1" applyAlignment="1">
      <alignment horizontal="center" vertical="top" wrapText="1"/>
    </xf>
    <xf numFmtId="0" fontId="4" fillId="13" borderId="28" xfId="0" applyFont="1" applyFill="1" applyBorder="1" applyAlignment="1">
      <alignment horizontal="left" vertical="center"/>
    </xf>
    <xf numFmtId="0" fontId="80" fillId="0" borderId="13" xfId="0" applyFont="1" applyBorder="1" applyAlignment="1">
      <alignment horizontal="left" vertical="center" wrapText="1"/>
    </xf>
    <xf numFmtId="0" fontId="105" fillId="13" borderId="0" xfId="0" applyFont="1" applyFill="1" applyAlignment="1">
      <alignment vertical="center"/>
    </xf>
    <xf numFmtId="0" fontId="96" fillId="0" borderId="13" xfId="0" applyFont="1" applyBorder="1" applyAlignment="1">
      <alignment horizontal="center"/>
    </xf>
    <xf numFmtId="0" fontId="40" fillId="13" borderId="0" xfId="0" applyFont="1" applyFill="1" applyAlignment="1">
      <alignment vertical="center"/>
    </xf>
    <xf numFmtId="0" fontId="77" fillId="33" borderId="13" xfId="0" applyFont="1" applyFill="1" applyBorder="1" applyAlignment="1">
      <alignment horizontal="center" vertical="center"/>
    </xf>
    <xf numFmtId="0" fontId="77" fillId="0" borderId="13" xfId="0" quotePrefix="1" applyFont="1" applyBorder="1" applyAlignment="1">
      <alignment horizontal="center" vertical="center"/>
    </xf>
    <xf numFmtId="0" fontId="77" fillId="0" borderId="13" xfId="0" applyFont="1" applyBorder="1" applyAlignment="1">
      <alignment horizontal="center" vertical="center"/>
    </xf>
    <xf numFmtId="0" fontId="5" fillId="13" borderId="0" xfId="0" quotePrefix="1" applyFont="1" applyFill="1" applyAlignment="1">
      <alignment horizontal="left" vertical="top" wrapText="1"/>
    </xf>
    <xf numFmtId="173" fontId="77" fillId="33" borderId="69" xfId="0" applyNumberFormat="1" applyFont="1" applyFill="1" applyBorder="1" applyAlignment="1">
      <alignment horizontal="center" shrinkToFit="1"/>
    </xf>
    <xf numFmtId="3" fontId="77" fillId="33" borderId="69" xfId="0" applyNumberFormat="1" applyFont="1" applyFill="1" applyBorder="1" applyAlignment="1">
      <alignment horizontal="center" shrinkToFit="1"/>
    </xf>
    <xf numFmtId="173" fontId="77" fillId="33" borderId="8" xfId="0" applyNumberFormat="1" applyFont="1" applyFill="1" applyBorder="1" applyAlignment="1">
      <alignment horizontal="center" shrinkToFit="1"/>
    </xf>
    <xf numFmtId="3" fontId="77" fillId="33" borderId="8" xfId="0" applyNumberFormat="1" applyFont="1" applyFill="1" applyBorder="1" applyAlignment="1">
      <alignment horizontal="center" shrinkToFit="1"/>
    </xf>
    <xf numFmtId="0" fontId="33" fillId="13" borderId="0" xfId="0" applyFont="1" applyFill="1" applyAlignment="1">
      <alignment horizontal="right" vertical="top"/>
    </xf>
    <xf numFmtId="0" fontId="4" fillId="13" borderId="0" xfId="0" applyFont="1" applyFill="1" applyAlignment="1">
      <alignment horizontal="right"/>
    </xf>
    <xf numFmtId="167" fontId="0" fillId="18" borderId="10" xfId="0" applyNumberFormat="1" applyFill="1" applyBorder="1" applyAlignment="1">
      <alignment horizontal="center" vertical="center" shrinkToFit="1"/>
    </xf>
    <xf numFmtId="176" fontId="0" fillId="38" borderId="108" xfId="0" applyNumberFormat="1" applyFill="1" applyBorder="1" applyAlignment="1">
      <alignment horizontal="center" vertical="center"/>
    </xf>
    <xf numFmtId="174" fontId="0" fillId="18" borderId="107" xfId="0" applyNumberFormat="1" applyFill="1" applyBorder="1" applyAlignment="1">
      <alignment horizontal="center" vertical="center" shrinkToFit="1"/>
    </xf>
    <xf numFmtId="0" fontId="0" fillId="18" borderId="92" xfId="0" applyFill="1" applyBorder="1" applyAlignment="1">
      <alignment horizontal="center" vertical="center" shrinkToFit="1"/>
    </xf>
    <xf numFmtId="167" fontId="0" fillId="18" borderId="21" xfId="0" applyNumberFormat="1" applyFill="1" applyBorder="1" applyAlignment="1">
      <alignment horizontal="center" vertical="center"/>
    </xf>
    <xf numFmtId="175" fontId="0" fillId="38" borderId="22" xfId="0" applyNumberFormat="1" applyFill="1" applyBorder="1" applyAlignment="1">
      <alignment horizontal="center" vertical="center"/>
    </xf>
    <xf numFmtId="167" fontId="0" fillId="18" borderId="21" xfId="0" applyNumberFormat="1" applyFill="1" applyBorder="1" applyAlignment="1">
      <alignment horizontal="center" vertical="center" shrinkToFit="1"/>
    </xf>
    <xf numFmtId="0" fontId="2" fillId="18" borderId="93" xfId="0" quotePrefix="1" applyFont="1" applyFill="1" applyBorder="1" applyAlignment="1">
      <alignment horizontal="center" vertical="center" shrinkToFit="1"/>
    </xf>
    <xf numFmtId="10" fontId="0" fillId="18" borderId="21" xfId="0" applyNumberFormat="1" applyFill="1" applyBorder="1" applyAlignment="1">
      <alignment horizontal="center" vertical="center"/>
    </xf>
    <xf numFmtId="10" fontId="2" fillId="38" borderId="22" xfId="0" applyNumberFormat="1" applyFont="1" applyFill="1" applyBorder="1" applyAlignment="1">
      <alignment horizontal="center" vertical="center"/>
    </xf>
    <xf numFmtId="10" fontId="0" fillId="18" borderId="21" xfId="0" applyNumberFormat="1" applyFill="1" applyBorder="1" applyAlignment="1">
      <alignment horizontal="center" vertical="center" shrinkToFit="1"/>
    </xf>
    <xf numFmtId="0" fontId="2" fillId="13" borderId="0" xfId="0" applyFont="1" applyFill="1" applyAlignment="1">
      <alignment horizontal="right" vertical="top"/>
    </xf>
    <xf numFmtId="3" fontId="77" fillId="33" borderId="70" xfId="0" applyNumberFormat="1" applyFont="1" applyFill="1" applyBorder="1" applyAlignment="1">
      <alignment horizontal="center" shrinkToFit="1"/>
    </xf>
    <xf numFmtId="0" fontId="80" fillId="0" borderId="13" xfId="0" applyFont="1" applyBorder="1" applyAlignment="1">
      <alignment vertical="center"/>
    </xf>
    <xf numFmtId="3" fontId="80" fillId="33" borderId="13" xfId="0" applyNumberFormat="1" applyFont="1" applyFill="1" applyBorder="1" applyAlignment="1">
      <alignment horizontal="center" vertical="center" shrinkToFit="1"/>
    </xf>
    <xf numFmtId="173" fontId="80" fillId="33" borderId="13" xfId="0" applyNumberFormat="1" applyFont="1" applyFill="1" applyBorder="1" applyAlignment="1">
      <alignment horizontal="center" vertical="center" shrinkToFit="1"/>
    </xf>
    <xf numFmtId="10" fontId="80" fillId="33" borderId="13" xfId="0" applyNumberFormat="1" applyFont="1" applyFill="1" applyBorder="1" applyAlignment="1">
      <alignment horizontal="center" vertical="center" shrinkToFit="1"/>
    </xf>
    <xf numFmtId="0" fontId="2" fillId="16" borderId="0" xfId="0" applyFont="1" applyFill="1" applyAlignment="1">
      <alignment vertical="top"/>
    </xf>
    <xf numFmtId="0" fontId="77" fillId="29" borderId="27" xfId="0" applyFont="1" applyFill="1" applyBorder="1" applyAlignment="1">
      <alignment vertical="center"/>
    </xf>
    <xf numFmtId="0" fontId="2" fillId="13" borderId="72" xfId="0" applyFont="1" applyFill="1" applyBorder="1"/>
    <xf numFmtId="0" fontId="2" fillId="13" borderId="0" xfId="0" applyFont="1" applyFill="1" applyAlignment="1">
      <alignment horizontal="left"/>
    </xf>
    <xf numFmtId="0" fontId="2" fillId="13" borderId="0" xfId="0" applyFont="1" applyFill="1" applyAlignment="1">
      <alignment horizontal="left" vertical="top" shrinkToFit="1"/>
    </xf>
    <xf numFmtId="0" fontId="2" fillId="13" borderId="0" xfId="0" applyFont="1" applyFill="1" applyAlignment="1">
      <alignment horizontal="center" vertical="top" wrapText="1" shrinkToFit="1"/>
    </xf>
    <xf numFmtId="0" fontId="6" fillId="13" borderId="0" xfId="0" applyFont="1" applyFill="1" applyAlignment="1">
      <alignment horizontal="left" vertical="top" wrapText="1"/>
    </xf>
    <xf numFmtId="0" fontId="4" fillId="13" borderId="0" xfId="0" applyFont="1" applyFill="1"/>
    <xf numFmtId="0" fontId="2" fillId="15" borderId="63" xfId="19" applyFill="1" applyBorder="1"/>
    <xf numFmtId="0" fontId="2" fillId="15" borderId="42" xfId="19" applyFill="1" applyBorder="1"/>
    <xf numFmtId="0" fontId="2" fillId="15" borderId="42" xfId="19" applyFill="1" applyBorder="1" applyAlignment="1">
      <alignment horizontal="center"/>
    </xf>
    <xf numFmtId="0" fontId="2" fillId="15" borderId="94" xfId="19" applyFill="1" applyBorder="1"/>
    <xf numFmtId="0" fontId="2" fillId="29" borderId="0" xfId="19" applyFill="1"/>
    <xf numFmtId="0" fontId="2" fillId="30" borderId="0" xfId="19" applyFill="1"/>
    <xf numFmtId="0" fontId="2" fillId="15" borderId="72" xfId="19" applyFill="1" applyBorder="1"/>
    <xf numFmtId="0" fontId="2" fillId="13" borderId="94" xfId="19" applyFill="1" applyBorder="1"/>
    <xf numFmtId="0" fontId="2" fillId="13" borderId="71" xfId="19" applyFill="1" applyBorder="1"/>
    <xf numFmtId="0" fontId="2" fillId="13" borderId="72" xfId="19" applyFill="1" applyBorder="1"/>
    <xf numFmtId="0" fontId="2" fillId="13" borderId="0" xfId="19" applyFill="1"/>
    <xf numFmtId="0" fontId="2" fillId="30" borderId="71" xfId="19" applyFill="1" applyBorder="1"/>
    <xf numFmtId="0" fontId="2" fillId="15" borderId="72" xfId="19" applyFill="1" applyBorder="1" applyAlignment="1">
      <alignment vertical="center"/>
    </xf>
    <xf numFmtId="0" fontId="2" fillId="13" borderId="72" xfId="19" applyFill="1" applyBorder="1" applyAlignment="1">
      <alignment vertical="center"/>
    </xf>
    <xf numFmtId="0" fontId="2" fillId="13" borderId="71" xfId="19" applyFill="1" applyBorder="1" applyAlignment="1">
      <alignment vertical="center"/>
    </xf>
    <xf numFmtId="0" fontId="2" fillId="15" borderId="0" xfId="19" applyFill="1" applyAlignment="1">
      <alignment vertical="top"/>
    </xf>
    <xf numFmtId="0" fontId="2" fillId="15" borderId="0" xfId="19" applyFill="1" applyAlignment="1">
      <alignment vertical="center"/>
    </xf>
    <xf numFmtId="0" fontId="2" fillId="30" borderId="0" xfId="19" applyFill="1" applyAlignment="1">
      <alignment vertical="center"/>
    </xf>
    <xf numFmtId="0" fontId="29" fillId="13" borderId="0" xfId="19" applyFont="1" applyFill="1" applyAlignment="1">
      <alignment horizontal="right" vertical="center" indent="1"/>
    </xf>
    <xf numFmtId="0" fontId="2" fillId="15" borderId="72" xfId="19" applyFill="1" applyBorder="1" applyAlignment="1">
      <alignment vertical="top"/>
    </xf>
    <xf numFmtId="0" fontId="2" fillId="13" borderId="72" xfId="19" applyFill="1" applyBorder="1" applyAlignment="1">
      <alignment vertical="top"/>
    </xf>
    <xf numFmtId="0" fontId="2" fillId="13" borderId="0" xfId="19" applyFill="1" applyAlignment="1">
      <alignment horizontal="center" vertical="center"/>
    </xf>
    <xf numFmtId="0" fontId="2" fillId="13" borderId="0" xfId="19" applyFill="1" applyAlignment="1">
      <alignment horizontal="right" vertical="center"/>
    </xf>
    <xf numFmtId="0" fontId="4" fillId="13" borderId="51" xfId="19" applyFont="1" applyFill="1" applyBorder="1" applyAlignment="1">
      <alignment horizontal="left" wrapText="1"/>
    </xf>
    <xf numFmtId="0" fontId="2" fillId="13" borderId="95" xfId="19" applyFill="1" applyBorder="1" applyAlignment="1">
      <alignment vertical="top"/>
    </xf>
    <xf numFmtId="0" fontId="2" fillId="30" borderId="0" xfId="19" applyFill="1" applyAlignment="1">
      <alignment vertical="top"/>
    </xf>
    <xf numFmtId="0" fontId="2" fillId="13" borderId="71" xfId="19" applyFill="1" applyBorder="1" applyAlignment="1">
      <alignment vertical="top"/>
    </xf>
    <xf numFmtId="0" fontId="2" fillId="15" borderId="0" xfId="19" applyFill="1"/>
    <xf numFmtId="0" fontId="28" fillId="13" borderId="12" xfId="19" applyFont="1" applyFill="1" applyBorder="1" applyAlignment="1">
      <alignment horizontal="left" wrapText="1"/>
    </xf>
    <xf numFmtId="0" fontId="28" fillId="13" borderId="65" xfId="19" applyFont="1" applyFill="1" applyBorder="1" applyAlignment="1">
      <alignment horizontal="center" wrapText="1"/>
    </xf>
    <xf numFmtId="0" fontId="28" fillId="13" borderId="34" xfId="19" applyFont="1" applyFill="1" applyBorder="1" applyAlignment="1">
      <alignment horizontal="center" wrapText="1"/>
    </xf>
    <xf numFmtId="3" fontId="2" fillId="33" borderId="13" xfId="19" applyNumberFormat="1" applyFill="1" applyBorder="1" applyAlignment="1">
      <alignment horizontal="center"/>
    </xf>
    <xf numFmtId="0" fontId="28" fillId="13" borderId="72" xfId="19" applyFont="1" applyFill="1" applyBorder="1"/>
    <xf numFmtId="0" fontId="2" fillId="13" borderId="33" xfId="19" applyFill="1" applyBorder="1"/>
    <xf numFmtId="0" fontId="4" fillId="13" borderId="31" xfId="19" applyFont="1" applyFill="1" applyBorder="1" applyAlignment="1">
      <alignment horizontal="center" wrapText="1"/>
    </xf>
    <xf numFmtId="0" fontId="4" fillId="13" borderId="32" xfId="19" applyFont="1" applyFill="1" applyBorder="1" applyAlignment="1">
      <alignment horizontal="center" wrapText="1"/>
    </xf>
    <xf numFmtId="0" fontId="28" fillId="13" borderId="100" xfId="19" applyFont="1" applyFill="1" applyBorder="1" applyAlignment="1">
      <alignment horizontal="center" wrapText="1"/>
    </xf>
    <xf numFmtId="0" fontId="28" fillId="13" borderId="31" xfId="19" applyFont="1" applyFill="1" applyBorder="1" applyAlignment="1">
      <alignment horizontal="center" wrapText="1"/>
    </xf>
    <xf numFmtId="0" fontId="28" fillId="13" borderId="32" xfId="19" applyFont="1" applyFill="1" applyBorder="1" applyAlignment="1">
      <alignment horizontal="center" wrapText="1"/>
    </xf>
    <xf numFmtId="0" fontId="2" fillId="13" borderId="103" xfId="19" applyFill="1" applyBorder="1"/>
    <xf numFmtId="0" fontId="4" fillId="13" borderId="102" xfId="19" applyFont="1" applyFill="1" applyBorder="1" applyAlignment="1">
      <alignment horizontal="center" wrapText="1"/>
    </xf>
    <xf numFmtId="0" fontId="4" fillId="13" borderId="99" xfId="19" applyFont="1" applyFill="1" applyBorder="1" applyAlignment="1">
      <alignment horizontal="center" wrapText="1"/>
    </xf>
    <xf numFmtId="0" fontId="2" fillId="13" borderId="101" xfId="19" applyFill="1" applyBorder="1" applyAlignment="1">
      <alignment horizontal="center" wrapText="1"/>
    </xf>
    <xf numFmtId="0" fontId="2" fillId="13" borderId="102" xfId="19" applyFill="1" applyBorder="1" applyAlignment="1">
      <alignment horizontal="center" wrapText="1"/>
    </xf>
    <xf numFmtId="0" fontId="2" fillId="13" borderId="99" xfId="19" applyFill="1" applyBorder="1" applyAlignment="1">
      <alignment horizontal="center" wrapText="1"/>
    </xf>
    <xf numFmtId="0" fontId="2" fillId="13" borderId="0" xfId="19" applyFill="1" applyAlignment="1">
      <alignment vertical="center"/>
    </xf>
    <xf numFmtId="0" fontId="4" fillId="13" borderId="19" xfId="19" applyFont="1" applyFill="1" applyBorder="1" applyAlignment="1">
      <alignment horizontal="left" vertical="center"/>
    </xf>
    <xf numFmtId="3" fontId="40" fillId="18" borderId="52" xfId="19" applyNumberFormat="1" applyFont="1" applyFill="1" applyBorder="1" applyAlignment="1">
      <alignment horizontal="right" vertical="center" indent="1"/>
    </xf>
    <xf numFmtId="3" fontId="40" fillId="18" borderId="54" xfId="19" applyNumberFormat="1" applyFont="1" applyFill="1" applyBorder="1" applyAlignment="1">
      <alignment horizontal="right" vertical="center" indent="1"/>
    </xf>
    <xf numFmtId="3" fontId="70" fillId="18" borderId="96" xfId="19" applyNumberFormat="1" applyFont="1" applyFill="1" applyBorder="1" applyAlignment="1">
      <alignment horizontal="right" vertical="center" indent="1"/>
    </xf>
    <xf numFmtId="3" fontId="70" fillId="18" borderId="53" xfId="19" applyNumberFormat="1" applyFont="1" applyFill="1" applyBorder="1" applyAlignment="1">
      <alignment horizontal="right" vertical="center" indent="1"/>
    </xf>
    <xf numFmtId="3" fontId="70" fillId="18" borderId="54" xfId="19" applyNumberFormat="1" applyFont="1" applyFill="1" applyBorder="1" applyAlignment="1">
      <alignment horizontal="right" vertical="center" indent="1"/>
    </xf>
    <xf numFmtId="0" fontId="28" fillId="13" borderId="36" xfId="19" applyFont="1" applyFill="1" applyBorder="1" applyAlignment="1">
      <alignment horizontal="left" vertical="center"/>
    </xf>
    <xf numFmtId="0" fontId="28" fillId="13" borderId="118" xfId="19" applyFont="1" applyFill="1" applyBorder="1" applyAlignment="1">
      <alignment horizontal="left" vertical="center"/>
    </xf>
    <xf numFmtId="3" fontId="70" fillId="18" borderId="75" xfId="19" applyNumberFormat="1" applyFont="1" applyFill="1" applyBorder="1" applyAlignment="1">
      <alignment horizontal="right" vertical="center" indent="1"/>
    </xf>
    <xf numFmtId="0" fontId="10" fillId="13" borderId="0" xfId="19" applyFont="1" applyFill="1" applyAlignment="1">
      <alignment horizontal="left" vertical="center"/>
    </xf>
    <xf numFmtId="0" fontId="10" fillId="18" borderId="20" xfId="19" applyFont="1" applyFill="1" applyBorder="1" applyAlignment="1">
      <alignment vertical="center"/>
    </xf>
    <xf numFmtId="0" fontId="70" fillId="13" borderId="0" xfId="0" applyFont="1" applyFill="1" applyAlignment="1">
      <alignment vertical="center"/>
    </xf>
    <xf numFmtId="0" fontId="106" fillId="13" borderId="0" xfId="0" applyFont="1" applyFill="1"/>
    <xf numFmtId="0" fontId="75" fillId="13" borderId="31" xfId="19" applyFont="1" applyFill="1" applyBorder="1" applyAlignment="1">
      <alignment horizontal="left" wrapText="1"/>
    </xf>
    <xf numFmtId="0" fontId="75" fillId="13" borderId="32" xfId="19" applyFont="1" applyFill="1" applyBorder="1" applyAlignment="1">
      <alignment horizontal="center" wrapText="1"/>
    </xf>
    <xf numFmtId="0" fontId="75" fillId="13" borderId="31" xfId="19" applyFont="1" applyFill="1" applyBorder="1" applyAlignment="1">
      <alignment horizontal="center" wrapText="1"/>
    </xf>
    <xf numFmtId="0" fontId="75" fillId="13" borderId="35" xfId="19" applyFont="1" applyFill="1" applyBorder="1" applyAlignment="1">
      <alignment horizontal="left" wrapText="1"/>
    </xf>
    <xf numFmtId="0" fontId="75" fillId="13" borderId="65" xfId="19" applyFont="1" applyFill="1" applyBorder="1" applyAlignment="1">
      <alignment horizontal="left" wrapText="1"/>
    </xf>
    <xf numFmtId="0" fontId="75" fillId="13" borderId="34" xfId="19" applyFont="1" applyFill="1" applyBorder="1" applyAlignment="1">
      <alignment horizontal="center" wrapText="1"/>
    </xf>
    <xf numFmtId="0" fontId="75" fillId="13" borderId="65" xfId="19" applyFont="1" applyFill="1" applyBorder="1" applyAlignment="1">
      <alignment horizontal="center" wrapText="1"/>
    </xf>
    <xf numFmtId="0" fontId="6" fillId="33" borderId="25" xfId="19" applyFont="1" applyFill="1" applyBorder="1"/>
    <xf numFmtId="0" fontId="6" fillId="33" borderId="13" xfId="19" applyFont="1" applyFill="1" applyBorder="1"/>
    <xf numFmtId="0" fontId="6" fillId="33" borderId="13" xfId="19" applyFont="1" applyFill="1" applyBorder="1" applyAlignment="1">
      <alignment horizontal="center"/>
    </xf>
    <xf numFmtId="3" fontId="6" fillId="33" borderId="13" xfId="19" applyNumberFormat="1" applyFont="1" applyFill="1" applyBorder="1" applyAlignment="1">
      <alignment horizontal="center"/>
    </xf>
    <xf numFmtId="0" fontId="2" fillId="13" borderId="97" xfId="19" applyFill="1" applyBorder="1"/>
    <xf numFmtId="0" fontId="2" fillId="13" borderId="41" xfId="19" applyFill="1" applyBorder="1"/>
    <xf numFmtId="0" fontId="2" fillId="13" borderId="98" xfId="19" applyFill="1" applyBorder="1"/>
    <xf numFmtId="0" fontId="61" fillId="30" borderId="0" xfId="0" applyFont="1" applyFill="1" applyAlignment="1">
      <alignment vertical="center"/>
    </xf>
    <xf numFmtId="0" fontId="85" fillId="30" borderId="0" xfId="0" applyFont="1" applyFill="1" applyAlignment="1">
      <alignment vertical="center"/>
    </xf>
    <xf numFmtId="0" fontId="60" fillId="13" borderId="0" xfId="0" applyFont="1" applyFill="1" applyAlignment="1">
      <alignment horizontal="left"/>
    </xf>
    <xf numFmtId="0" fontId="0" fillId="30" borderId="0" xfId="0" applyFill="1" applyAlignment="1">
      <alignment horizontal="center"/>
    </xf>
    <xf numFmtId="0" fontId="44" fillId="17" borderId="13" xfId="0" applyFont="1" applyFill="1" applyBorder="1" applyAlignment="1">
      <alignment horizontal="center" wrapText="1"/>
    </xf>
    <xf numFmtId="0" fontId="44" fillId="17" borderId="13" xfId="0" applyFont="1" applyFill="1" applyBorder="1" applyAlignment="1">
      <alignment wrapText="1"/>
    </xf>
    <xf numFmtId="0" fontId="44" fillId="17" borderId="13" xfId="0" quotePrefix="1" applyFont="1" applyFill="1" applyBorder="1" applyAlignment="1">
      <alignment horizontal="center" wrapText="1"/>
    </xf>
    <xf numFmtId="0" fontId="0" fillId="29" borderId="0" xfId="0" applyFill="1" applyAlignment="1">
      <alignment wrapText="1"/>
    </xf>
    <xf numFmtId="0" fontId="0" fillId="30" borderId="13" xfId="0" applyFill="1" applyBorder="1" applyAlignment="1">
      <alignment horizontal="center"/>
    </xf>
    <xf numFmtId="0" fontId="0" fillId="30" borderId="65" xfId="0" applyFill="1" applyBorder="1"/>
    <xf numFmtId="0" fontId="0" fillId="30" borderId="65" xfId="0" applyFill="1" applyBorder="1" applyAlignment="1">
      <alignment horizontal="center"/>
    </xf>
    <xf numFmtId="0" fontId="0" fillId="30" borderId="13" xfId="0" applyFill="1" applyBorder="1" applyAlignment="1">
      <alignment horizontal="left"/>
    </xf>
    <xf numFmtId="0" fontId="0" fillId="30" borderId="13" xfId="0" applyFill="1" applyBorder="1"/>
    <xf numFmtId="0" fontId="0" fillId="13" borderId="13" xfId="0" applyFill="1" applyBorder="1" applyAlignment="1">
      <alignment horizontal="center"/>
    </xf>
    <xf numFmtId="3" fontId="0" fillId="13" borderId="13" xfId="0" applyNumberFormat="1" applyFill="1" applyBorder="1" applyAlignment="1">
      <alignment horizontal="center"/>
    </xf>
    <xf numFmtId="172" fontId="0" fillId="13" borderId="13" xfId="0" applyNumberFormat="1" applyFill="1" applyBorder="1" applyAlignment="1">
      <alignment horizontal="center"/>
    </xf>
    <xf numFmtId="3" fontId="0" fillId="13" borderId="13" xfId="0" applyNumberFormat="1" applyFill="1" applyBorder="1" applyAlignment="1">
      <alignment horizontal="left"/>
    </xf>
    <xf numFmtId="0" fontId="2" fillId="0" borderId="0" xfId="0" applyFont="1"/>
    <xf numFmtId="0" fontId="2" fillId="15" borderId="0" xfId="0" applyFont="1" applyFill="1" applyAlignment="1">
      <alignment horizontal="center"/>
    </xf>
    <xf numFmtId="0" fontId="28" fillId="0" borderId="0" xfId="0" applyFont="1"/>
    <xf numFmtId="0" fontId="2" fillId="15" borderId="0" xfId="0" applyFont="1" applyFill="1" applyAlignment="1">
      <alignment horizontal="left"/>
    </xf>
    <xf numFmtId="0" fontId="2" fillId="17" borderId="0" xfId="0" applyFont="1" applyFill="1"/>
    <xf numFmtId="0" fontId="2" fillId="29" borderId="0" xfId="0" applyFont="1" applyFill="1" applyAlignment="1">
      <alignment horizontal="left" vertical="top"/>
    </xf>
    <xf numFmtId="0" fontId="2" fillId="0" borderId="0" xfId="0" applyFont="1" applyAlignment="1">
      <alignment horizontal="center"/>
    </xf>
    <xf numFmtId="0" fontId="76" fillId="29" borderId="0" xfId="0" applyFont="1" applyFill="1" applyAlignment="1">
      <alignment horizontal="center"/>
    </xf>
    <xf numFmtId="0" fontId="43" fillId="17" borderId="0" xfId="0" applyFont="1" applyFill="1"/>
    <xf numFmtId="0" fontId="44" fillId="17" borderId="0" xfId="0" applyFont="1" applyFill="1"/>
    <xf numFmtId="0" fontId="44" fillId="17" borderId="0" xfId="0" applyFont="1" applyFill="1" applyAlignment="1">
      <alignment horizontal="center"/>
    </xf>
    <xf numFmtId="0" fontId="43" fillId="17" borderId="0" xfId="0" applyFont="1" applyFill="1" applyAlignment="1">
      <alignment horizontal="left"/>
    </xf>
    <xf numFmtId="0" fontId="2" fillId="15" borderId="0" xfId="0" applyFont="1" applyFill="1" applyAlignment="1">
      <alignment wrapText="1"/>
    </xf>
    <xf numFmtId="49" fontId="42" fillId="15" borderId="0" xfId="0" applyNumberFormat="1" applyFont="1" applyFill="1" applyAlignment="1">
      <alignment horizontal="center"/>
    </xf>
    <xf numFmtId="0" fontId="42" fillId="15" borderId="0" xfId="0" applyFont="1" applyFill="1" applyAlignment="1">
      <alignment horizontal="left"/>
    </xf>
    <xf numFmtId="0" fontId="44" fillId="17" borderId="0" xfId="0" applyFont="1" applyFill="1" applyAlignment="1">
      <alignment wrapText="1"/>
    </xf>
    <xf numFmtId="0" fontId="2" fillId="15" borderId="0" xfId="0" applyFont="1" applyFill="1" applyAlignment="1">
      <alignment shrinkToFit="1"/>
    </xf>
    <xf numFmtId="0" fontId="43" fillId="17" borderId="0" xfId="0" applyFont="1" applyFill="1" applyAlignment="1">
      <alignment horizontal="center"/>
    </xf>
    <xf numFmtId="0" fontId="76" fillId="0" borderId="0" xfId="0" applyFont="1"/>
    <xf numFmtId="0" fontId="2" fillId="0" borderId="0" xfId="0" applyFont="1" applyAlignment="1">
      <alignment horizontal="left" vertical="center"/>
    </xf>
    <xf numFmtId="0" fontId="2" fillId="0" borderId="0" xfId="0" applyFont="1" applyAlignment="1">
      <alignment horizontal="center" vertical="center"/>
    </xf>
    <xf numFmtId="0" fontId="47" fillId="0" borderId="0" xfId="0" applyFont="1"/>
    <xf numFmtId="0" fontId="62" fillId="17" borderId="0" xfId="0" applyFont="1" applyFill="1"/>
    <xf numFmtId="0" fontId="86" fillId="0" borderId="0" xfId="0" applyFont="1"/>
    <xf numFmtId="0" fontId="2" fillId="0" borderId="0" xfId="0" applyFont="1" applyAlignment="1">
      <alignment horizontal="right"/>
    </xf>
    <xf numFmtId="0" fontId="2" fillId="0" borderId="10" xfId="0" applyFont="1" applyBorder="1"/>
    <xf numFmtId="0" fontId="65" fillId="0" borderId="0" xfId="0" applyFont="1" applyAlignment="1">
      <alignment vertical="center"/>
    </xf>
    <xf numFmtId="0" fontId="67" fillId="0" borderId="0" xfId="0" applyFont="1" applyAlignment="1">
      <alignment vertical="center"/>
    </xf>
    <xf numFmtId="0" fontId="31" fillId="0" borderId="0" xfId="0" applyFont="1"/>
    <xf numFmtId="0" fontId="24" fillId="13" borderId="71" xfId="0" applyFont="1" applyFill="1" applyBorder="1" applyAlignment="1">
      <alignment vertical="top" wrapText="1"/>
    </xf>
    <xf numFmtId="0" fontId="24" fillId="13" borderId="84" xfId="0" applyFont="1" applyFill="1" applyBorder="1" applyAlignment="1">
      <alignment horizontal="center"/>
    </xf>
    <xf numFmtId="0" fontId="24" fillId="13" borderId="76" xfId="0" applyFont="1" applyFill="1" applyBorder="1" applyAlignment="1">
      <alignment horizontal="center"/>
    </xf>
    <xf numFmtId="0" fontId="24" fillId="13" borderId="74" xfId="0" applyFont="1" applyFill="1" applyBorder="1" applyAlignment="1">
      <alignment horizontal="center"/>
    </xf>
    <xf numFmtId="0" fontId="24" fillId="13" borderId="109" xfId="0" applyFont="1" applyFill="1" applyBorder="1" applyAlignment="1">
      <alignment vertical="top" wrapText="1"/>
    </xf>
    <xf numFmtId="0" fontId="33" fillId="13" borderId="85" xfId="0" applyFont="1" applyFill="1" applyBorder="1" applyAlignment="1">
      <alignment horizontal="center"/>
    </xf>
    <xf numFmtId="0" fontId="33" fillId="13" borderId="28" xfId="0" applyFont="1" applyFill="1" applyBorder="1" applyAlignment="1">
      <alignment horizontal="center" vertical="top" wrapText="1"/>
    </xf>
    <xf numFmtId="0" fontId="33" fillId="13" borderId="28" xfId="0" applyFont="1" applyFill="1" applyBorder="1" applyAlignment="1">
      <alignment horizontal="center"/>
    </xf>
    <xf numFmtId="0" fontId="33" fillId="13" borderId="79" xfId="0" applyFont="1" applyFill="1" applyBorder="1" applyAlignment="1">
      <alignment horizontal="center"/>
    </xf>
    <xf numFmtId="0" fontId="33" fillId="13" borderId="86" xfId="0" applyFont="1" applyFill="1" applyBorder="1" applyAlignment="1">
      <alignment horizontal="center"/>
    </xf>
    <xf numFmtId="0" fontId="33" fillId="13" borderId="87" xfId="0" applyFont="1" applyFill="1" applyBorder="1" applyAlignment="1">
      <alignment horizontal="center"/>
    </xf>
    <xf numFmtId="0" fontId="24" fillId="13" borderId="29" xfId="0" applyFont="1" applyFill="1" applyBorder="1" applyAlignment="1">
      <alignment horizontal="left"/>
    </xf>
    <xf numFmtId="0" fontId="24" fillId="13" borderId="13" xfId="0" applyFont="1" applyFill="1" applyBorder="1" applyAlignment="1">
      <alignment horizontal="left"/>
    </xf>
    <xf numFmtId="0" fontId="24" fillId="13" borderId="30" xfId="0" applyFont="1" applyFill="1" applyBorder="1" applyAlignment="1">
      <alignment horizontal="left"/>
    </xf>
    <xf numFmtId="0" fontId="24" fillId="13" borderId="64" xfId="0" applyFont="1" applyFill="1" applyBorder="1" applyAlignment="1">
      <alignment horizontal="left"/>
    </xf>
    <xf numFmtId="0" fontId="33" fillId="13" borderId="18" xfId="0" applyFont="1" applyFill="1" applyBorder="1" applyAlignment="1">
      <alignment horizontal="center"/>
    </xf>
    <xf numFmtId="0" fontId="33" fillId="13" borderId="53" xfId="0" applyFont="1" applyFill="1" applyBorder="1" applyAlignment="1">
      <alignment horizontal="center" wrapText="1"/>
    </xf>
    <xf numFmtId="0" fontId="33" fillId="13" borderId="53" xfId="0" applyFont="1" applyFill="1" applyBorder="1" applyAlignment="1">
      <alignment horizontal="center"/>
    </xf>
    <xf numFmtId="0" fontId="33" fillId="13" borderId="54" xfId="0" applyFont="1" applyFill="1" applyBorder="1" applyAlignment="1">
      <alignment horizontal="center"/>
    </xf>
    <xf numFmtId="0" fontId="24" fillId="13" borderId="32" xfId="0" applyFont="1" applyFill="1" applyBorder="1"/>
    <xf numFmtId="0" fontId="24" fillId="13" borderId="0" xfId="0" applyFont="1" applyFill="1"/>
    <xf numFmtId="0" fontId="33" fillId="13" borderId="52" xfId="0" applyFont="1" applyFill="1" applyBorder="1" applyAlignment="1">
      <alignment horizontal="center"/>
    </xf>
    <xf numFmtId="0" fontId="4" fillId="0" borderId="0" xfId="0" applyFont="1"/>
    <xf numFmtId="0" fontId="0" fillId="29" borderId="0" xfId="0" applyFill="1" applyAlignment="1">
      <alignment horizontal="center"/>
    </xf>
    <xf numFmtId="0" fontId="76" fillId="0" borderId="0" xfId="0" applyFont="1" applyAlignment="1">
      <alignment horizontal="center"/>
    </xf>
    <xf numFmtId="0" fontId="33" fillId="33" borderId="27" xfId="0" applyFont="1" applyFill="1" applyBorder="1" applyAlignment="1">
      <alignment horizontal="left" vertical="top"/>
    </xf>
    <xf numFmtId="0" fontId="33" fillId="33" borderId="26" xfId="0" applyFont="1" applyFill="1" applyBorder="1" applyAlignment="1">
      <alignment horizontal="left" vertical="top"/>
    </xf>
    <xf numFmtId="0" fontId="33" fillId="13" borderId="46" xfId="0" applyFont="1" applyFill="1" applyBorder="1" applyAlignment="1">
      <alignment horizontal="left" vertical="top"/>
    </xf>
    <xf numFmtId="0" fontId="33" fillId="13" borderId="46" xfId="0" applyFont="1" applyFill="1" applyBorder="1" applyAlignment="1">
      <alignment horizontal="center"/>
    </xf>
    <xf numFmtId="0" fontId="33" fillId="13" borderId="13" xfId="0" applyFont="1" applyFill="1" applyBorder="1" applyAlignment="1">
      <alignment horizontal="center" vertical="top" wrapText="1"/>
    </xf>
    <xf numFmtId="0" fontId="33" fillId="13" borderId="13" xfId="0" applyFont="1" applyFill="1" applyBorder="1" applyAlignment="1">
      <alignment horizontal="center"/>
    </xf>
    <xf numFmtId="0" fontId="33" fillId="30" borderId="78" xfId="0" applyFont="1" applyFill="1" applyBorder="1" applyAlignment="1">
      <alignment horizontal="center"/>
    </xf>
    <xf numFmtId="0" fontId="0" fillId="29" borderId="13" xfId="0" applyFill="1" applyBorder="1" applyAlignment="1">
      <alignment horizontal="center"/>
    </xf>
    <xf numFmtId="0" fontId="0" fillId="29" borderId="13" xfId="0" applyFill="1" applyBorder="1" applyAlignment="1">
      <alignment horizontal="left"/>
    </xf>
    <xf numFmtId="9" fontId="33" fillId="30" borderId="78" xfId="0" applyNumberFormat="1" applyFont="1" applyFill="1" applyBorder="1" applyAlignment="1">
      <alignment horizontal="center"/>
    </xf>
    <xf numFmtId="0" fontId="33" fillId="13" borderId="18" xfId="0" applyFont="1" applyFill="1" applyBorder="1" applyAlignment="1">
      <alignment horizontal="left" vertical="top"/>
    </xf>
    <xf numFmtId="0" fontId="33" fillId="13" borderId="97" xfId="0" applyFont="1" applyFill="1" applyBorder="1" applyAlignment="1">
      <alignment horizontal="left" vertical="top"/>
    </xf>
    <xf numFmtId="0" fontId="33" fillId="13" borderId="18" xfId="0" applyFont="1" applyFill="1" applyBorder="1"/>
    <xf numFmtId="0" fontId="33" fillId="13" borderId="53" xfId="0" applyFont="1" applyFill="1" applyBorder="1"/>
    <xf numFmtId="0" fontId="33" fillId="13" borderId="19" xfId="0" applyFont="1" applyFill="1" applyBorder="1"/>
    <xf numFmtId="0" fontId="33" fillId="13" borderId="10" xfId="0" applyFont="1" applyFill="1" applyBorder="1"/>
    <xf numFmtId="0" fontId="33" fillId="13" borderId="52" xfId="0" applyFont="1" applyFill="1" applyBorder="1"/>
    <xf numFmtId="0" fontId="33" fillId="13" borderId="54" xfId="0" applyFont="1" applyFill="1" applyBorder="1"/>
    <xf numFmtId="0" fontId="31" fillId="18" borderId="10" xfId="0" applyFont="1" applyFill="1" applyBorder="1" applyAlignment="1">
      <alignment horizontal="center" vertical="center"/>
    </xf>
    <xf numFmtId="0" fontId="2" fillId="0" borderId="28" xfId="0" applyFont="1" applyBorder="1"/>
    <xf numFmtId="0" fontId="4" fillId="0" borderId="28" xfId="0" applyFont="1" applyBorder="1"/>
    <xf numFmtId="0" fontId="2" fillId="0" borderId="13" xfId="0" applyFont="1" applyBorder="1" applyAlignment="1">
      <alignment horizontal="center" vertical="center"/>
    </xf>
    <xf numFmtId="0" fontId="2" fillId="0" borderId="13" xfId="0" applyFont="1" applyBorder="1"/>
    <xf numFmtId="0" fontId="6" fillId="0" borderId="47" xfId="0" applyFont="1" applyBorder="1"/>
    <xf numFmtId="0" fontId="33" fillId="33" borderId="74" xfId="0" applyFont="1" applyFill="1" applyBorder="1" applyAlignment="1">
      <alignment horizontal="left" vertical="top"/>
    </xf>
    <xf numFmtId="0" fontId="33" fillId="33" borderId="75" xfId="0" applyFont="1" applyFill="1" applyBorder="1" applyAlignment="1">
      <alignment horizontal="left" vertical="top"/>
    </xf>
    <xf numFmtId="0" fontId="2" fillId="33" borderId="75" xfId="0" applyFont="1" applyFill="1" applyBorder="1" applyAlignment="1">
      <alignment vertical="center"/>
    </xf>
    <xf numFmtId="0" fontId="0" fillId="33" borderId="75" xfId="0" applyFill="1" applyBorder="1"/>
    <xf numFmtId="0" fontId="0" fillId="33" borderId="76" xfId="0" applyFill="1" applyBorder="1"/>
    <xf numFmtId="0" fontId="6" fillId="0" borderId="48" xfId="0" applyFont="1" applyBorder="1"/>
    <xf numFmtId="0" fontId="2" fillId="33" borderId="77" xfId="0" applyFont="1" applyFill="1" applyBorder="1" applyAlignment="1">
      <alignment vertical="center"/>
    </xf>
    <xf numFmtId="0" fontId="2" fillId="33" borderId="13" xfId="0" applyFont="1" applyFill="1" applyBorder="1" applyAlignment="1">
      <alignment vertical="center"/>
    </xf>
    <xf numFmtId="0" fontId="2" fillId="33" borderId="13" xfId="0" applyFont="1" applyFill="1" applyBorder="1" applyAlignment="1">
      <alignment horizontal="left" vertical="center"/>
    </xf>
    <xf numFmtId="0" fontId="2" fillId="33" borderId="78" xfId="0" applyFont="1" applyFill="1" applyBorder="1" applyAlignment="1">
      <alignment vertical="center"/>
    </xf>
    <xf numFmtId="0" fontId="6" fillId="0" borderId="49" xfId="0" applyFont="1" applyBorder="1"/>
    <xf numFmtId="0" fontId="2" fillId="33" borderId="80" xfId="0" applyFont="1" applyFill="1" applyBorder="1"/>
    <xf numFmtId="0" fontId="2" fillId="33" borderId="87" xfId="0" applyFont="1" applyFill="1" applyBorder="1"/>
    <xf numFmtId="0" fontId="0" fillId="33" borderId="87" xfId="0" applyFill="1" applyBorder="1"/>
    <xf numFmtId="0" fontId="0" fillId="33" borderId="79" xfId="0" applyFill="1" applyBorder="1"/>
    <xf numFmtId="0" fontId="22" fillId="0" borderId="12" xfId="20" applyFont="1" applyBorder="1"/>
    <xf numFmtId="0" fontId="22" fillId="0" borderId="0" xfId="20" applyFont="1"/>
    <xf numFmtId="0" fontId="0" fillId="0" borderId="13" xfId="0" applyBorder="1" applyAlignment="1">
      <alignment horizontal="center" vertical="top"/>
    </xf>
    <xf numFmtId="0" fontId="2" fillId="13" borderId="0" xfId="19" applyFill="1" applyAlignment="1">
      <alignment horizontal="left" vertical="center" wrapText="1"/>
    </xf>
    <xf numFmtId="0" fontId="0" fillId="13" borderId="42" xfId="0" applyFill="1" applyBorder="1" applyAlignment="1">
      <alignment horizontal="left" vertical="center" wrapText="1"/>
    </xf>
    <xf numFmtId="0" fontId="0" fillId="13" borderId="42" xfId="0" applyFill="1" applyBorder="1" applyAlignment="1">
      <alignment horizontal="left" vertical="center"/>
    </xf>
    <xf numFmtId="0" fontId="0" fillId="13" borderId="45" xfId="0" applyFill="1" applyBorder="1" applyAlignment="1">
      <alignment horizontal="left" vertical="center" wrapText="1"/>
    </xf>
    <xf numFmtId="0" fontId="0" fillId="13" borderId="46" xfId="0" applyFill="1" applyBorder="1" applyAlignment="1">
      <alignment horizontal="left" vertical="center" wrapText="1"/>
    </xf>
    <xf numFmtId="0" fontId="0" fillId="13" borderId="62" xfId="0" applyFill="1" applyBorder="1" applyAlignment="1">
      <alignment horizontal="left" vertical="center" wrapText="1"/>
    </xf>
    <xf numFmtId="0" fontId="4" fillId="20" borderId="63" xfId="0" applyFont="1" applyFill="1" applyBorder="1" applyAlignment="1">
      <alignment horizontal="left" vertical="top" wrapText="1"/>
    </xf>
    <xf numFmtId="0" fontId="4" fillId="20" borderId="19" xfId="0" applyFont="1" applyFill="1" applyBorder="1" applyAlignment="1">
      <alignment horizontal="left"/>
    </xf>
    <xf numFmtId="0" fontId="10" fillId="13" borderId="0" xfId="0" applyFont="1" applyFill="1" applyAlignment="1">
      <alignment horizontal="left" vertical="top" wrapText="1"/>
    </xf>
    <xf numFmtId="0" fontId="51" fillId="13" borderId="0" xfId="0" applyFont="1" applyFill="1" applyAlignment="1">
      <alignment horizontal="left" vertical="top" wrapText="1"/>
    </xf>
    <xf numFmtId="0" fontId="54" fillId="13" borderId="0" xfId="0" applyFont="1" applyFill="1" applyAlignment="1">
      <alignment horizontal="left" vertical="top" wrapText="1"/>
    </xf>
    <xf numFmtId="0" fontId="2" fillId="20" borderId="64" xfId="0" applyFont="1" applyFill="1" applyBorder="1" applyAlignment="1">
      <alignment horizontal="left" vertical="top" wrapText="1"/>
    </xf>
    <xf numFmtId="0" fontId="50" fillId="13" borderId="0" xfId="0" applyFont="1" applyFill="1" applyAlignment="1">
      <alignment horizontal="left"/>
    </xf>
    <xf numFmtId="0" fontId="2" fillId="20" borderId="0" xfId="0" applyFont="1" applyFill="1" applyAlignment="1">
      <alignment horizontal="left" vertical="top" wrapText="1"/>
    </xf>
    <xf numFmtId="0" fontId="37" fillId="13" borderId="12" xfId="0" applyFont="1" applyFill="1" applyBorder="1" applyAlignment="1">
      <alignment horizontal="left" vertical="top" wrapText="1"/>
    </xf>
    <xf numFmtId="0" fontId="34" fillId="13" borderId="13" xfId="19" applyFont="1" applyFill="1" applyBorder="1" applyAlignment="1">
      <alignment horizontal="left" vertical="top" wrapText="1"/>
    </xf>
    <xf numFmtId="0" fontId="33" fillId="20" borderId="0" xfId="0" applyFont="1" applyFill="1" applyAlignment="1">
      <alignment horizontal="left" vertical="top" wrapText="1"/>
    </xf>
    <xf numFmtId="0" fontId="2" fillId="13" borderId="0" xfId="0" applyFont="1" applyFill="1" applyAlignment="1">
      <alignment horizontal="left" wrapText="1"/>
    </xf>
    <xf numFmtId="0" fontId="48" fillId="13" borderId="51" xfId="0" quotePrefix="1" applyFont="1" applyFill="1" applyBorder="1" applyAlignment="1">
      <alignment horizontal="left" vertical="top" wrapText="1"/>
    </xf>
    <xf numFmtId="0" fontId="48" fillId="13" borderId="0" xfId="0" quotePrefix="1" applyFont="1" applyFill="1" applyAlignment="1">
      <alignment horizontal="left" vertical="top" wrapText="1"/>
    </xf>
    <xf numFmtId="0" fontId="48" fillId="13" borderId="50" xfId="0" quotePrefix="1" applyFont="1" applyFill="1" applyBorder="1" applyAlignment="1">
      <alignment horizontal="left" vertical="top" wrapText="1"/>
    </xf>
    <xf numFmtId="0" fontId="28" fillId="13" borderId="25" xfId="0" applyFont="1" applyFill="1" applyBorder="1" applyAlignment="1">
      <alignment horizontal="left" vertical="top"/>
    </xf>
    <xf numFmtId="0" fontId="28" fillId="13" borderId="13" xfId="0" applyFont="1" applyFill="1" applyBorder="1" applyAlignment="1">
      <alignment horizontal="left" vertical="top"/>
    </xf>
    <xf numFmtId="0" fontId="2" fillId="14" borderId="0" xfId="0" applyFont="1" applyFill="1" applyAlignment="1">
      <alignment horizontal="left" vertical="top"/>
    </xf>
    <xf numFmtId="0" fontId="0" fillId="14" borderId="0" xfId="0" applyFill="1" applyAlignment="1">
      <alignment horizontal="left"/>
    </xf>
    <xf numFmtId="0" fontId="2" fillId="14" borderId="0" xfId="0" applyFont="1" applyFill="1" applyAlignment="1">
      <alignment horizontal="left"/>
    </xf>
    <xf numFmtId="0" fontId="28" fillId="0" borderId="0" xfId="0" applyFont="1" applyAlignment="1">
      <alignment horizontal="left"/>
    </xf>
    <xf numFmtId="0" fontId="44" fillId="17" borderId="0" xfId="0" applyFont="1" applyFill="1" applyAlignment="1">
      <alignment horizontal="left"/>
    </xf>
    <xf numFmtId="49" fontId="42" fillId="15" borderId="0" xfId="0" applyNumberFormat="1" applyFont="1" applyFill="1" applyAlignment="1">
      <alignment horizontal="left"/>
    </xf>
    <xf numFmtId="0" fontId="2" fillId="15" borderId="0" xfId="0" applyFont="1" applyFill="1" applyAlignment="1">
      <alignment horizontal="left" wrapText="1" shrinkToFit="1"/>
    </xf>
    <xf numFmtId="0" fontId="0" fillId="0" borderId="0" xfId="0" applyAlignment="1">
      <alignment horizontal="center"/>
    </xf>
    <xf numFmtId="0" fontId="48" fillId="13" borderId="61" xfId="0" quotePrefix="1" applyFont="1" applyFill="1" applyBorder="1" applyAlignment="1">
      <alignment horizontal="left" vertical="top" wrapText="1"/>
    </xf>
    <xf numFmtId="0" fontId="4" fillId="20" borderId="63" xfId="0" applyFont="1" applyFill="1" applyBorder="1" applyAlignment="1">
      <alignment horizontal="left" vertical="center" wrapText="1"/>
    </xf>
    <xf numFmtId="0" fontId="29" fillId="30" borderId="0" xfId="0" applyFont="1" applyFill="1" applyAlignment="1">
      <alignment horizontal="left" vertical="center"/>
    </xf>
    <xf numFmtId="0" fontId="34" fillId="32" borderId="0" xfId="0" applyFont="1" applyFill="1" applyAlignment="1">
      <alignment horizontal="left" vertical="top" wrapText="1"/>
    </xf>
    <xf numFmtId="0" fontId="4" fillId="13" borderId="0" xfId="0" applyFont="1" applyFill="1" applyAlignment="1">
      <alignment horizontal="left" wrapText="1"/>
    </xf>
    <xf numFmtId="0" fontId="0" fillId="14" borderId="13" xfId="0" applyFill="1" applyBorder="1" applyAlignment="1">
      <alignment horizontal="left"/>
    </xf>
    <xf numFmtId="0" fontId="2" fillId="13" borderId="53" xfId="0" applyFont="1" applyFill="1" applyBorder="1" applyAlignment="1">
      <alignment horizontal="left" vertical="top"/>
    </xf>
    <xf numFmtId="0" fontId="83" fillId="13" borderId="13" xfId="0" applyFont="1" applyFill="1" applyBorder="1" applyAlignment="1">
      <alignment horizontal="left" vertical="top"/>
    </xf>
    <xf numFmtId="0" fontId="83" fillId="13" borderId="25" xfId="0" applyFont="1" applyFill="1" applyBorder="1" applyAlignment="1">
      <alignment horizontal="left" vertical="top"/>
    </xf>
    <xf numFmtId="0" fontId="4" fillId="13" borderId="13" xfId="0" applyFont="1" applyFill="1" applyBorder="1" applyAlignment="1">
      <alignment horizontal="left" vertical="top"/>
    </xf>
    <xf numFmtId="0" fontId="84" fillId="30" borderId="25" xfId="0" applyFont="1" applyFill="1" applyBorder="1" applyAlignment="1">
      <alignment horizontal="left" vertical="top"/>
    </xf>
    <xf numFmtId="0" fontId="84" fillId="30" borderId="13" xfId="0" applyFont="1" applyFill="1" applyBorder="1" applyAlignment="1">
      <alignment horizontal="left" vertical="top"/>
    </xf>
    <xf numFmtId="0" fontId="48" fillId="13" borderId="50" xfId="0" applyFont="1" applyFill="1" applyBorder="1" applyAlignment="1">
      <alignment horizontal="left" vertical="top" wrapText="1"/>
    </xf>
    <xf numFmtId="0" fontId="2" fillId="13" borderId="13" xfId="0" applyFont="1" applyFill="1" applyBorder="1" applyAlignment="1">
      <alignment horizontal="left" vertical="top"/>
    </xf>
    <xf numFmtId="0" fontId="85" fillId="30" borderId="0" xfId="0" applyFont="1" applyFill="1" applyAlignment="1">
      <alignment horizontal="left" vertical="center"/>
    </xf>
    <xf numFmtId="0" fontId="2" fillId="29" borderId="0" xfId="0" applyFont="1" applyFill="1" applyAlignment="1">
      <alignment horizontal="left"/>
    </xf>
    <xf numFmtId="0" fontId="2" fillId="15" borderId="0" xfId="0" applyFont="1" applyFill="1" applyAlignment="1">
      <alignment horizontal="left" shrinkToFit="1"/>
    </xf>
    <xf numFmtId="0" fontId="26" fillId="30" borderId="0" xfId="0" applyFont="1" applyFill="1" applyAlignment="1">
      <alignment horizontal="left" vertical="center"/>
    </xf>
    <xf numFmtId="0" fontId="0" fillId="0" borderId="0" xfId="0" quotePrefix="1"/>
    <xf numFmtId="0" fontId="85" fillId="13" borderId="0" xfId="0" applyFont="1" applyFill="1" applyAlignment="1">
      <alignment horizontal="left" vertical="top" wrapText="1"/>
    </xf>
    <xf numFmtId="0" fontId="51" fillId="30" borderId="0" xfId="0" applyFont="1" applyFill="1" applyAlignment="1">
      <alignment horizontal="left" vertical="top" wrapText="1"/>
    </xf>
    <xf numFmtId="0" fontId="34" fillId="20" borderId="0" xfId="0" applyFont="1" applyFill="1" applyAlignment="1">
      <alignment horizontal="left" vertical="top" wrapText="1"/>
    </xf>
    <xf numFmtId="0" fontId="78" fillId="13" borderId="69" xfId="0" applyFont="1" applyFill="1" applyBorder="1" applyAlignment="1">
      <alignment horizontal="left" vertical="top" wrapText="1"/>
    </xf>
    <xf numFmtId="0" fontId="78" fillId="13" borderId="8" xfId="0" applyFont="1" applyFill="1" applyBorder="1" applyAlignment="1">
      <alignment horizontal="left" vertical="top" wrapText="1"/>
    </xf>
    <xf numFmtId="0" fontId="78" fillId="13" borderId="114" xfId="0" applyFont="1" applyFill="1" applyBorder="1" applyAlignment="1">
      <alignment horizontal="left"/>
    </xf>
    <xf numFmtId="0" fontId="78" fillId="13" borderId="70" xfId="0" applyFont="1" applyFill="1" applyBorder="1" applyAlignment="1">
      <alignment horizontal="left" vertical="center" wrapText="1"/>
    </xf>
    <xf numFmtId="0" fontId="78" fillId="13" borderId="111" xfId="0" applyFont="1" applyFill="1" applyBorder="1" applyAlignment="1">
      <alignment horizontal="left"/>
    </xf>
    <xf numFmtId="0" fontId="28" fillId="13" borderId="0" xfId="0" applyFont="1" applyFill="1" applyAlignment="1">
      <alignment horizontal="left" vertical="center"/>
    </xf>
    <xf numFmtId="0" fontId="4" fillId="13" borderId="50" xfId="0" applyFont="1" applyFill="1" applyBorder="1" applyAlignment="1">
      <alignment horizontal="left" vertical="center"/>
    </xf>
    <xf numFmtId="0" fontId="4" fillId="13" borderId="41" xfId="0" applyFont="1" applyFill="1" applyBorder="1" applyAlignment="1">
      <alignment horizontal="left" vertical="center"/>
    </xf>
    <xf numFmtId="0" fontId="4" fillId="13" borderId="83" xfId="0" applyFont="1" applyFill="1" applyBorder="1" applyAlignment="1">
      <alignment horizontal="left" vertical="top"/>
    </xf>
    <xf numFmtId="0" fontId="89" fillId="13" borderId="0" xfId="0" applyFont="1" applyFill="1" applyAlignment="1">
      <alignment horizontal="left" vertical="center"/>
    </xf>
    <xf numFmtId="0" fontId="78" fillId="30" borderId="111" xfId="0" applyFont="1" applyFill="1" applyBorder="1" applyAlignment="1">
      <alignment horizontal="left" vertical="top"/>
    </xf>
    <xf numFmtId="0" fontId="2" fillId="13" borderId="82" xfId="0" applyFont="1" applyFill="1" applyBorder="1" applyAlignment="1">
      <alignment horizontal="left" vertical="top"/>
    </xf>
    <xf numFmtId="0" fontId="93" fillId="13" borderId="29" xfId="0" applyFont="1" applyFill="1" applyBorder="1" applyAlignment="1">
      <alignment horizontal="left" vertical="top" wrapText="1"/>
    </xf>
    <xf numFmtId="0" fontId="93" fillId="13" borderId="64" xfId="0" applyFont="1" applyFill="1" applyBorder="1" applyAlignment="1">
      <alignment horizontal="left" vertical="top" wrapText="1"/>
    </xf>
    <xf numFmtId="0" fontId="90" fillId="13" borderId="34" xfId="0" applyFont="1" applyFill="1" applyBorder="1" applyAlignment="1">
      <alignment horizontal="left" vertical="top" wrapText="1"/>
    </xf>
    <xf numFmtId="0" fontId="90" fillId="13" borderId="12" xfId="0" applyFont="1" applyFill="1" applyBorder="1" applyAlignment="1">
      <alignment horizontal="left" vertical="top" wrapText="1"/>
    </xf>
    <xf numFmtId="0" fontId="6" fillId="13" borderId="0" xfId="0" applyFont="1" applyFill="1" applyAlignment="1">
      <alignment horizontal="left" vertical="center"/>
    </xf>
    <xf numFmtId="0" fontId="4" fillId="20" borderId="63" xfId="19" applyFont="1" applyFill="1" applyBorder="1" applyAlignment="1">
      <alignment horizontal="left" vertical="center" wrapText="1"/>
    </xf>
    <xf numFmtId="0" fontId="3" fillId="17" borderId="0" xfId="19" applyFont="1" applyFill="1" applyAlignment="1">
      <alignment horizontal="left" vertical="center"/>
    </xf>
    <xf numFmtId="0" fontId="29" fillId="13" borderId="0" xfId="19" applyFont="1" applyFill="1" applyAlignment="1">
      <alignment horizontal="left" vertical="center" indent="1"/>
    </xf>
    <xf numFmtId="0" fontId="28" fillId="13" borderId="65" xfId="19" applyFont="1" applyFill="1" applyBorder="1" applyAlignment="1">
      <alignment horizontal="left" wrapText="1"/>
    </xf>
    <xf numFmtId="0" fontId="28" fillId="13" borderId="34" xfId="19" applyFont="1" applyFill="1" applyBorder="1" applyAlignment="1">
      <alignment horizontal="left" wrapText="1"/>
    </xf>
    <xf numFmtId="0" fontId="28" fillId="13" borderId="72" xfId="19" applyFont="1" applyFill="1" applyBorder="1" applyAlignment="1">
      <alignment horizontal="left"/>
    </xf>
    <xf numFmtId="0" fontId="4" fillId="13" borderId="31" xfId="19" applyFont="1" applyFill="1" applyBorder="1" applyAlignment="1">
      <alignment horizontal="left" wrapText="1"/>
    </xf>
    <xf numFmtId="0" fontId="4" fillId="13" borderId="32" xfId="19" applyFont="1" applyFill="1" applyBorder="1" applyAlignment="1">
      <alignment horizontal="left" wrapText="1"/>
    </xf>
    <xf numFmtId="0" fontId="28" fillId="13" borderId="100" xfId="19" applyFont="1" applyFill="1" applyBorder="1" applyAlignment="1">
      <alignment horizontal="left" wrapText="1"/>
    </xf>
    <xf numFmtId="0" fontId="28" fillId="13" borderId="31" xfId="19" applyFont="1" applyFill="1" applyBorder="1" applyAlignment="1">
      <alignment horizontal="left" wrapText="1"/>
    </xf>
    <xf numFmtId="0" fontId="28" fillId="13" borderId="32" xfId="19" applyFont="1" applyFill="1" applyBorder="1" applyAlignment="1">
      <alignment horizontal="left" wrapText="1"/>
    </xf>
    <xf numFmtId="0" fontId="75" fillId="13" borderId="34" xfId="19" applyFont="1" applyFill="1" applyBorder="1" applyAlignment="1">
      <alignment horizontal="left" wrapText="1"/>
    </xf>
    <xf numFmtId="0" fontId="61" fillId="30" borderId="0" xfId="0" applyFont="1" applyFill="1" applyAlignment="1">
      <alignment horizontal="left" vertical="center"/>
    </xf>
    <xf numFmtId="0" fontId="2" fillId="36" borderId="25" xfId="0" applyFont="1" applyFill="1" applyBorder="1" applyAlignment="1">
      <alignment horizontal="left"/>
    </xf>
    <xf numFmtId="0" fontId="2" fillId="36" borderId="13" xfId="0" applyFont="1" applyFill="1" applyBorder="1" applyAlignment="1">
      <alignment horizontal="left"/>
    </xf>
    <xf numFmtId="0" fontId="44" fillId="17" borderId="13" xfId="0" quotePrefix="1" applyFont="1" applyFill="1" applyBorder="1" applyAlignment="1">
      <alignment horizontal="left" wrapText="1"/>
    </xf>
    <xf numFmtId="0" fontId="44" fillId="17" borderId="13" xfId="0" applyFont="1" applyFill="1" applyBorder="1" applyAlignment="1">
      <alignment horizontal="left" wrapText="1"/>
    </xf>
    <xf numFmtId="0" fontId="91" fillId="14" borderId="0" xfId="0" applyFont="1" applyFill="1" applyAlignment="1">
      <alignment vertical="top" wrapText="1"/>
    </xf>
    <xf numFmtId="0" fontId="99" fillId="0" borderId="29" xfId="0" applyFont="1" applyBorder="1" applyAlignment="1">
      <alignment horizontal="left" vertical="center"/>
    </xf>
    <xf numFmtId="0" fontId="99" fillId="0" borderId="28" xfId="0" applyFont="1" applyBorder="1" applyAlignment="1">
      <alignment horizontal="left" vertical="center"/>
    </xf>
    <xf numFmtId="0" fontId="99" fillId="0" borderId="28" xfId="0" applyFont="1" applyBorder="1" applyAlignment="1">
      <alignment horizontal="left" vertical="center" wrapText="1"/>
    </xf>
    <xf numFmtId="0" fontId="101" fillId="13" borderId="0" xfId="0" applyFont="1" applyFill="1" applyAlignment="1">
      <alignment horizontal="left" vertical="center"/>
    </xf>
    <xf numFmtId="0" fontId="103" fillId="13" borderId="13" xfId="0" applyFont="1" applyFill="1" applyBorder="1" applyAlignment="1">
      <alignment horizontal="left" vertical="center" textRotation="90" wrapText="1"/>
    </xf>
    <xf numFmtId="0" fontId="100" fillId="30" borderId="8" xfId="0" applyFont="1" applyFill="1" applyBorder="1" applyAlignment="1">
      <alignment horizontal="left"/>
    </xf>
    <xf numFmtId="0" fontId="104" fillId="13" borderId="0" xfId="0" applyFont="1" applyFill="1" applyAlignment="1">
      <alignment horizontal="left" vertical="top"/>
    </xf>
    <xf numFmtId="0" fontId="99" fillId="13" borderId="0" xfId="0" applyFont="1" applyFill="1" applyAlignment="1">
      <alignment horizontal="left"/>
    </xf>
    <xf numFmtId="0" fontId="100" fillId="13" borderId="0" xfId="0" applyFont="1" applyFill="1" applyAlignment="1">
      <alignment horizontal="left" vertical="top"/>
    </xf>
    <xf numFmtId="0" fontId="99" fillId="0" borderId="13" xfId="0" applyFont="1" applyBorder="1" applyAlignment="1">
      <alignment horizontal="left" vertical="center"/>
    </xf>
    <xf numFmtId="0" fontId="104" fillId="30" borderId="0" xfId="0" applyFont="1" applyFill="1" applyAlignment="1">
      <alignment horizontal="left" vertical="top" wrapText="1"/>
    </xf>
    <xf numFmtId="0" fontId="5" fillId="13" borderId="32" xfId="0" applyFont="1" applyFill="1" applyBorder="1" applyAlignment="1">
      <alignment horizontal="left" vertical="top" wrapText="1"/>
    </xf>
    <xf numFmtId="0" fontId="0" fillId="0" borderId="14" xfId="0" applyBorder="1"/>
    <xf numFmtId="0" fontId="0" fillId="21" borderId="15" xfId="0" applyFill="1" applyBorder="1"/>
    <xf numFmtId="0" fontId="0" fillId="0" borderId="16" xfId="0" applyBorder="1"/>
    <xf numFmtId="14" fontId="0" fillId="22" borderId="17" xfId="0" applyNumberFormat="1" applyFill="1" applyBorder="1" applyAlignment="1">
      <alignment horizontal="left"/>
    </xf>
    <xf numFmtId="0" fontId="0" fillId="18" borderId="18" xfId="0" applyFill="1" applyBorder="1"/>
    <xf numFmtId="0" fontId="0" fillId="18" borderId="19" xfId="0" applyFill="1" applyBorder="1"/>
    <xf numFmtId="0" fontId="0" fillId="18" borderId="20" xfId="0" applyFill="1" applyBorder="1"/>
    <xf numFmtId="0" fontId="0" fillId="0" borderId="21" xfId="0" applyBorder="1"/>
    <xf numFmtId="0" fontId="0" fillId="19" borderId="22" xfId="0" applyFill="1" applyBorder="1"/>
    <xf numFmtId="0" fontId="0" fillId="0" borderId="23" xfId="0" applyBorder="1"/>
    <xf numFmtId="0" fontId="0" fillId="20" borderId="24" xfId="0" applyFill="1" applyBorder="1"/>
    <xf numFmtId="0" fontId="2" fillId="23" borderId="0" xfId="0" applyFont="1" applyFill="1"/>
    <xf numFmtId="0" fontId="0" fillId="23" borderId="0" xfId="0" applyFill="1"/>
    <xf numFmtId="0" fontId="4" fillId="0" borderId="25" xfId="0" applyFont="1" applyBorder="1"/>
    <xf numFmtId="0" fontId="4" fillId="0" borderId="26" xfId="0" applyFont="1" applyBorder="1"/>
    <xf numFmtId="0" fontId="0" fillId="0" borderId="27" xfId="0" applyBorder="1"/>
    <xf numFmtId="14" fontId="0" fillId="22" borderId="28" xfId="0" applyNumberFormat="1" applyFill="1" applyBorder="1" applyAlignment="1">
      <alignment horizontal="center"/>
    </xf>
    <xf numFmtId="0" fontId="0" fillId="18" borderId="29" xfId="0" applyFill="1" applyBorder="1"/>
    <xf numFmtId="0" fontId="2" fillId="18" borderId="29" xfId="0" applyFont="1" applyFill="1" applyBorder="1"/>
    <xf numFmtId="0" fontId="0" fillId="18" borderId="30" xfId="0" applyFill="1" applyBorder="1"/>
    <xf numFmtId="14" fontId="0" fillId="22" borderId="31" xfId="0" applyNumberFormat="1" applyFill="1" applyBorder="1" applyAlignment="1">
      <alignment horizontal="center"/>
    </xf>
    <xf numFmtId="0" fontId="0" fillId="18" borderId="32" xfId="0" applyFill="1" applyBorder="1"/>
    <xf numFmtId="0" fontId="2" fillId="18" borderId="32" xfId="0" applyFont="1" applyFill="1" applyBorder="1"/>
    <xf numFmtId="0" fontId="0" fillId="18" borderId="33" xfId="0" applyFill="1" applyBorder="1"/>
    <xf numFmtId="14" fontId="0" fillId="22" borderId="65" xfId="0" applyNumberFormat="1" applyFill="1" applyBorder="1" applyAlignment="1">
      <alignment horizontal="center"/>
    </xf>
    <xf numFmtId="0" fontId="0" fillId="18" borderId="34" xfId="0" applyFill="1" applyBorder="1"/>
    <xf numFmtId="0" fontId="0" fillId="18" borderId="35" xfId="0" applyFill="1" applyBorder="1"/>
    <xf numFmtId="0" fontId="0" fillId="19" borderId="0" xfId="0" applyFill="1"/>
    <xf numFmtId="164" fontId="70" fillId="18" borderId="25" xfId="0" applyNumberFormat="1" applyFont="1" applyFill="1" applyBorder="1" applyAlignment="1">
      <alignment vertical="center"/>
    </xf>
    <xf numFmtId="0" fontId="2" fillId="36" borderId="13" xfId="0" applyFont="1" applyFill="1" applyBorder="1"/>
    <xf numFmtId="0" fontId="2" fillId="13" borderId="35" xfId="19" applyFill="1" applyBorder="1" applyAlignment="1">
      <alignment horizontal="center" wrapText="1"/>
    </xf>
    <xf numFmtId="0" fontId="2" fillId="13" borderId="34" xfId="19" applyFill="1" applyBorder="1" applyAlignment="1">
      <alignment horizontal="center" wrapText="1"/>
    </xf>
    <xf numFmtId="0" fontId="70" fillId="18" borderId="13" xfId="0" applyFont="1" applyFill="1" applyBorder="1" applyAlignment="1">
      <alignment vertical="center"/>
    </xf>
    <xf numFmtId="0" fontId="31" fillId="13" borderId="0" xfId="0" applyFont="1" applyFill="1"/>
    <xf numFmtId="0" fontId="30" fillId="14" borderId="0" xfId="0" applyFont="1" applyFill="1"/>
    <xf numFmtId="0" fontId="31" fillId="14" borderId="0" xfId="0" applyFont="1" applyFill="1"/>
    <xf numFmtId="0" fontId="2" fillId="25" borderId="10" xfId="0" applyFont="1" applyFill="1" applyBorder="1" applyAlignment="1" applyProtection="1">
      <alignment horizontal="center" vertical="top"/>
      <protection locked="0"/>
    </xf>
    <xf numFmtId="3" fontId="2" fillId="33" borderId="13" xfId="0" applyNumberFormat="1" applyFont="1" applyFill="1" applyBorder="1" applyAlignment="1">
      <alignment horizontal="center" vertical="top"/>
    </xf>
    <xf numFmtId="173" fontId="2" fillId="33" borderId="13" xfId="0" applyNumberFormat="1" applyFont="1" applyFill="1" applyBorder="1" applyAlignment="1">
      <alignment horizontal="center" vertical="top"/>
    </xf>
    <xf numFmtId="10" fontId="2" fillId="33" borderId="13" xfId="18" applyNumberFormat="1" applyFont="1" applyFill="1" applyBorder="1" applyAlignment="1" applyProtection="1">
      <alignment horizontal="center" vertical="top"/>
    </xf>
    <xf numFmtId="0" fontId="2" fillId="13" borderId="0" xfId="0" applyFont="1" applyFill="1" applyAlignment="1">
      <alignment shrinkToFit="1"/>
    </xf>
    <xf numFmtId="3" fontId="2" fillId="33" borderId="13" xfId="0" applyNumberFormat="1" applyFont="1" applyFill="1" applyBorder="1" applyAlignment="1">
      <alignment horizontal="center"/>
    </xf>
    <xf numFmtId="0" fontId="2" fillId="13" borderId="0" xfId="0" applyFont="1" applyFill="1" applyAlignment="1">
      <alignment horizontal="center"/>
    </xf>
    <xf numFmtId="0" fontId="8" fillId="37" borderId="115" xfId="14" applyFill="1" applyBorder="1" applyAlignment="1" applyProtection="1">
      <alignment horizontal="center" vertical="top" wrapText="1"/>
    </xf>
    <xf numFmtId="0" fontId="59" fillId="30" borderId="0" xfId="14" applyFont="1" applyFill="1" applyAlignment="1" applyProtection="1">
      <alignment horizontal="left" vertical="center"/>
    </xf>
    <xf numFmtId="0" fontId="0" fillId="0" borderId="0" xfId="0" applyAlignment="1">
      <alignment horizontal="left" vertical="center"/>
    </xf>
    <xf numFmtId="0" fontId="8" fillId="30" borderId="0" xfId="14" applyFill="1" applyAlignment="1" applyProtection="1">
      <alignment horizontal="left" vertical="center"/>
    </xf>
    <xf numFmtId="0" fontId="4" fillId="20" borderId="63" xfId="0" applyFont="1" applyFill="1" applyBorder="1" applyAlignment="1">
      <alignment horizontal="center" vertical="center" wrapText="1"/>
    </xf>
    <xf numFmtId="0" fontId="4" fillId="20" borderId="42" xfId="0" applyFont="1" applyFill="1" applyBorder="1" applyAlignment="1">
      <alignment horizontal="center" vertical="center" wrapText="1"/>
    </xf>
    <xf numFmtId="0" fontId="4" fillId="20" borderId="94" xfId="0" applyFont="1" applyFill="1" applyBorder="1" applyAlignment="1">
      <alignment horizontal="center" vertical="center" wrapText="1"/>
    </xf>
    <xf numFmtId="0" fontId="4" fillId="20" borderId="72" xfId="0" applyFont="1" applyFill="1" applyBorder="1" applyAlignment="1">
      <alignment horizontal="center" vertical="center" wrapText="1"/>
    </xf>
    <xf numFmtId="0" fontId="4" fillId="20" borderId="0" xfId="0" applyFont="1" applyFill="1" applyAlignment="1">
      <alignment horizontal="center" vertical="center" wrapText="1"/>
    </xf>
    <xf numFmtId="0" fontId="4" fillId="20" borderId="71" xfId="0" applyFont="1" applyFill="1" applyBorder="1" applyAlignment="1">
      <alignment horizontal="center" vertical="center" wrapText="1"/>
    </xf>
    <xf numFmtId="0" fontId="4" fillId="20" borderId="97" xfId="0" applyFont="1" applyFill="1" applyBorder="1" applyAlignment="1">
      <alignment horizontal="center" vertical="center" wrapText="1"/>
    </xf>
    <xf numFmtId="0" fontId="4" fillId="20" borderId="41" xfId="0" applyFont="1" applyFill="1" applyBorder="1" applyAlignment="1">
      <alignment horizontal="center" vertical="center" wrapText="1"/>
    </xf>
    <xf numFmtId="0" fontId="4" fillId="20" borderId="98" xfId="0" applyFont="1" applyFill="1" applyBorder="1" applyAlignment="1">
      <alignment horizontal="center" vertical="center" wrapText="1"/>
    </xf>
    <xf numFmtId="0" fontId="8" fillId="20" borderId="21" xfId="14" applyFill="1" applyBorder="1" applyAlignment="1" applyProtection="1">
      <alignment horizontal="center" vertical="top" wrapText="1"/>
    </xf>
    <xf numFmtId="0" fontId="8" fillId="20" borderId="115" xfId="14" applyFill="1" applyBorder="1" applyAlignment="1" applyProtection="1">
      <alignment horizontal="center" vertical="top" wrapText="1"/>
    </xf>
    <xf numFmtId="0" fontId="8" fillId="37" borderId="18" xfId="14" applyFill="1" applyBorder="1" applyAlignment="1" applyProtection="1">
      <alignment horizontal="center"/>
    </xf>
    <xf numFmtId="0" fontId="8" fillId="37" borderId="20" xfId="14" applyFill="1" applyBorder="1" applyAlignment="1" applyProtection="1">
      <alignment horizontal="center"/>
    </xf>
    <xf numFmtId="0" fontId="8" fillId="20" borderId="107" xfId="14" applyFill="1" applyBorder="1" applyAlignment="1" applyProtection="1">
      <alignment horizontal="center" vertical="top" wrapText="1"/>
    </xf>
    <xf numFmtId="0" fontId="8" fillId="20" borderId="116" xfId="14" applyFill="1" applyBorder="1" applyAlignment="1" applyProtection="1">
      <alignment horizontal="center" vertical="top" wrapText="1"/>
    </xf>
    <xf numFmtId="0" fontId="8" fillId="37" borderId="116" xfId="14" applyFill="1" applyBorder="1" applyAlignment="1" applyProtection="1">
      <alignment horizontal="center" vertical="top" wrapText="1"/>
    </xf>
    <xf numFmtId="0" fontId="4" fillId="20" borderId="18" xfId="0" applyFont="1" applyFill="1" applyBorder="1" applyAlignment="1">
      <alignment horizontal="center"/>
    </xf>
    <xf numFmtId="0" fontId="4" fillId="20" borderId="20" xfId="0" applyFont="1" applyFill="1" applyBorder="1" applyAlignment="1">
      <alignment horizontal="center"/>
    </xf>
    <xf numFmtId="0" fontId="8" fillId="20" borderId="18" xfId="14" applyFill="1" applyBorder="1" applyAlignment="1" applyProtection="1">
      <alignment horizontal="center"/>
    </xf>
    <xf numFmtId="0" fontId="8" fillId="20" borderId="20" xfId="14" applyFill="1" applyBorder="1" applyAlignment="1" applyProtection="1">
      <alignment horizontal="center"/>
    </xf>
    <xf numFmtId="0" fontId="8" fillId="30" borderId="0" xfId="14" applyFill="1" applyBorder="1" applyAlignment="1" applyProtection="1">
      <alignment vertical="center" wrapText="1"/>
    </xf>
    <xf numFmtId="0" fontId="0" fillId="13" borderId="62" xfId="0" applyFill="1" applyBorder="1" applyAlignment="1">
      <alignment vertical="center" wrapText="1"/>
    </xf>
    <xf numFmtId="0" fontId="0" fillId="13" borderId="39" xfId="0" applyFill="1" applyBorder="1" applyAlignment="1">
      <alignment vertical="center" wrapText="1"/>
    </xf>
    <xf numFmtId="0" fontId="0" fillId="13" borderId="117" xfId="0" applyFill="1" applyBorder="1" applyAlignment="1">
      <alignment vertical="center" wrapText="1"/>
    </xf>
    <xf numFmtId="0" fontId="4" fillId="30" borderId="0" xfId="0" applyFont="1" applyFill="1" applyAlignment="1">
      <alignment vertical="top" wrapText="1"/>
    </xf>
    <xf numFmtId="0" fontId="0" fillId="13" borderId="0" xfId="0" applyFill="1" applyAlignment="1">
      <alignment vertical="top" wrapText="1"/>
    </xf>
    <xf numFmtId="0" fontId="0" fillId="13" borderId="42" xfId="0" applyFill="1" applyBorder="1" applyAlignment="1">
      <alignment horizontal="center" vertical="center" wrapText="1"/>
    </xf>
    <xf numFmtId="0" fontId="0" fillId="13" borderId="45" xfId="0" applyFill="1" applyBorder="1" applyAlignment="1">
      <alignment vertical="center" wrapText="1"/>
    </xf>
    <xf numFmtId="0" fontId="0" fillId="13" borderId="36" xfId="0" applyFill="1" applyBorder="1" applyAlignment="1">
      <alignment vertical="center" wrapText="1"/>
    </xf>
    <xf numFmtId="0" fontId="0" fillId="13" borderId="118" xfId="0" applyFill="1" applyBorder="1" applyAlignment="1">
      <alignment vertical="center" wrapText="1"/>
    </xf>
    <xf numFmtId="0" fontId="0" fillId="13" borderId="46" xfId="0" applyFill="1" applyBorder="1" applyAlignment="1">
      <alignment vertical="center" wrapText="1"/>
    </xf>
    <xf numFmtId="0" fontId="0" fillId="13" borderId="26" xfId="0" applyFill="1" applyBorder="1" applyAlignment="1">
      <alignment vertical="center" wrapText="1"/>
    </xf>
    <xf numFmtId="0" fontId="0" fillId="13" borderId="27" xfId="0" applyFill="1" applyBorder="1" applyAlignment="1">
      <alignment vertical="center" wrapText="1"/>
    </xf>
    <xf numFmtId="0" fontId="0" fillId="13" borderId="0" xfId="0" applyFill="1" applyAlignment="1">
      <alignment vertical="center" wrapText="1"/>
    </xf>
    <xf numFmtId="0" fontId="2" fillId="32" borderId="0" xfId="0" applyFont="1" applyFill="1" applyAlignment="1">
      <alignment vertical="top" wrapText="1"/>
    </xf>
    <xf numFmtId="0" fontId="0" fillId="20" borderId="13" xfId="0" applyFill="1" applyBorder="1" applyAlignment="1">
      <alignment vertical="top" wrapText="1"/>
    </xf>
    <xf numFmtId="0" fontId="51" fillId="13" borderId="0" xfId="0" applyFont="1" applyFill="1" applyAlignment="1">
      <alignment horizontal="justify" vertical="top" wrapText="1"/>
    </xf>
    <xf numFmtId="0" fontId="2" fillId="13" borderId="0" xfId="0" applyFont="1" applyFill="1" applyAlignment="1">
      <alignment horizontal="justify" vertical="top" wrapText="1"/>
    </xf>
    <xf numFmtId="0" fontId="4" fillId="24" borderId="18" xfId="0" applyFont="1" applyFill="1" applyBorder="1" applyAlignment="1">
      <alignment horizontal="left" vertical="center" wrapText="1" indent="1"/>
    </xf>
    <xf numFmtId="0" fontId="4" fillId="24" borderId="19" xfId="0" applyFont="1" applyFill="1" applyBorder="1" applyAlignment="1">
      <alignment horizontal="left" vertical="center" wrapText="1" indent="1"/>
    </xf>
    <xf numFmtId="0" fontId="2" fillId="13" borderId="20" xfId="0" applyFont="1" applyFill="1" applyBorder="1" applyAlignment="1">
      <alignment horizontal="left" vertical="center" wrapText="1" indent="1"/>
    </xf>
    <xf numFmtId="0" fontId="57" fillId="13" borderId="0" xfId="0" applyFont="1" applyFill="1" applyAlignment="1">
      <alignment horizontal="left" vertical="top" wrapText="1"/>
    </xf>
    <xf numFmtId="0" fontId="2" fillId="13" borderId="0" xfId="0" applyFont="1" applyFill="1" applyAlignment="1">
      <alignment horizontal="left" vertical="top" wrapText="1"/>
    </xf>
    <xf numFmtId="0" fontId="0" fillId="32" borderId="13" xfId="0" applyFill="1" applyBorder="1" applyAlignment="1">
      <alignment vertical="top" wrapText="1"/>
    </xf>
    <xf numFmtId="164" fontId="0" fillId="18" borderId="13" xfId="0" applyNumberFormat="1" applyFill="1" applyBorder="1" applyAlignment="1">
      <alignment vertical="top" wrapText="1"/>
    </xf>
    <xf numFmtId="0" fontId="2" fillId="13" borderId="13" xfId="0" applyFont="1" applyFill="1" applyBorder="1" applyAlignment="1">
      <alignment vertical="top" wrapText="1"/>
    </xf>
    <xf numFmtId="0" fontId="2" fillId="13" borderId="0" xfId="0" applyFont="1" applyFill="1" applyAlignment="1">
      <alignment vertical="top" wrapText="1"/>
    </xf>
    <xf numFmtId="0" fontId="51" fillId="30" borderId="0" xfId="0" applyFont="1" applyFill="1" applyAlignment="1">
      <alignment horizontal="justify" vertical="top" wrapText="1"/>
    </xf>
    <xf numFmtId="0" fontId="56" fillId="13" borderId="0" xfId="0" applyFont="1" applyFill="1" applyAlignment="1">
      <alignment horizontal="left" vertical="top" wrapText="1"/>
    </xf>
    <xf numFmtId="0" fontId="2" fillId="20" borderId="0" xfId="0" applyFont="1" applyFill="1" applyAlignment="1">
      <alignment vertical="top" wrapText="1"/>
    </xf>
    <xf numFmtId="0" fontId="37" fillId="13" borderId="12" xfId="0" applyFont="1" applyFill="1" applyBorder="1" applyAlignment="1">
      <alignment vertical="top" wrapText="1"/>
    </xf>
    <xf numFmtId="0" fontId="54" fillId="13" borderId="0" xfId="0" applyFont="1" applyFill="1" applyAlignment="1">
      <alignment horizontal="justify" vertical="top" wrapText="1"/>
    </xf>
    <xf numFmtId="0" fontId="0" fillId="25" borderId="13" xfId="0" applyFill="1" applyBorder="1" applyAlignment="1" applyProtection="1">
      <alignment vertical="top" wrapText="1"/>
      <protection locked="0"/>
    </xf>
    <xf numFmtId="0" fontId="2" fillId="13" borderId="13" xfId="0" applyFont="1" applyFill="1" applyBorder="1" applyAlignment="1" applyProtection="1">
      <alignment vertical="top" wrapText="1"/>
      <protection locked="0"/>
    </xf>
    <xf numFmtId="0" fontId="50" fillId="13" borderId="0" xfId="0" applyFont="1" applyFill="1" applyAlignment="1">
      <alignment horizontal="justify" vertical="top" wrapText="1"/>
    </xf>
    <xf numFmtId="0" fontId="0" fillId="28" borderId="13" xfId="0" applyFill="1" applyBorder="1" applyAlignment="1">
      <alignment vertical="top" wrapText="1"/>
    </xf>
    <xf numFmtId="164" fontId="0" fillId="26" borderId="13" xfId="0" applyNumberFormat="1" applyFill="1" applyBorder="1" applyAlignment="1" applyProtection="1">
      <alignment vertical="top" wrapText="1"/>
      <protection locked="0"/>
    </xf>
    <xf numFmtId="0" fontId="31" fillId="13" borderId="0" xfId="0" applyFont="1" applyFill="1" applyAlignment="1">
      <alignment horizontal="left" vertical="top" wrapText="1"/>
    </xf>
    <xf numFmtId="0" fontId="55" fillId="13" borderId="0" xfId="0" applyFont="1" applyFill="1" applyAlignment="1">
      <alignment horizontal="left" vertical="top" wrapText="1"/>
    </xf>
    <xf numFmtId="0" fontId="8" fillId="13" borderId="0" xfId="14" applyFill="1" applyAlignment="1" applyProtection="1">
      <alignment horizontal="left"/>
    </xf>
    <xf numFmtId="0" fontId="51" fillId="13" borderId="0" xfId="0" applyFont="1" applyFill="1" applyAlignment="1">
      <alignment horizontal="left"/>
    </xf>
    <xf numFmtId="0" fontId="0" fillId="0" borderId="0" xfId="0" applyAlignment="1">
      <alignment horizontal="left"/>
    </xf>
    <xf numFmtId="0" fontId="2" fillId="20" borderId="64" xfId="0" applyFont="1" applyFill="1" applyBorder="1" applyAlignment="1">
      <alignment horizontal="center" vertical="top" wrapText="1"/>
    </xf>
    <xf numFmtId="0" fontId="2" fillId="20" borderId="0" xfId="0" applyFont="1" applyFill="1" applyAlignment="1">
      <alignment horizontal="center" vertical="top" wrapText="1"/>
    </xf>
    <xf numFmtId="0" fontId="85" fillId="13" borderId="0" xfId="0" applyFont="1" applyFill="1" applyAlignment="1">
      <alignment horizontal="justify" vertical="top" wrapText="1"/>
    </xf>
    <xf numFmtId="0" fontId="53" fillId="13" borderId="0" xfId="0" applyFont="1" applyFill="1" applyAlignment="1">
      <alignment horizontal="left" vertical="top" wrapText="1" indent="2"/>
    </xf>
    <xf numFmtId="0" fontId="8" fillId="13" borderId="0" xfId="14" applyFill="1" applyAlignment="1" applyProtection="1">
      <alignment horizontal="left" vertical="top" wrapText="1"/>
    </xf>
    <xf numFmtId="0" fontId="27" fillId="13" borderId="0" xfId="14" applyFont="1" applyFill="1" applyAlignment="1" applyProtection="1">
      <alignment horizontal="left" vertical="top" wrapText="1"/>
    </xf>
    <xf numFmtId="0" fontId="50" fillId="13" borderId="0" xfId="0" applyFont="1" applyFill="1" applyAlignment="1">
      <alignment horizontal="left" vertical="top" wrapText="1"/>
    </xf>
    <xf numFmtId="0" fontId="91" fillId="14" borderId="0" xfId="0" applyFont="1" applyFill="1" applyAlignment="1">
      <alignment horizontal="left" vertical="top" wrapText="1"/>
    </xf>
    <xf numFmtId="0" fontId="76" fillId="0" borderId="0" xfId="0" applyFont="1" applyAlignment="1">
      <alignment vertical="top" wrapText="1"/>
    </xf>
    <xf numFmtId="0" fontId="10" fillId="13" borderId="0" xfId="0" applyFont="1" applyFill="1" applyAlignment="1">
      <alignment vertical="top" wrapText="1"/>
    </xf>
    <xf numFmtId="0" fontId="8" fillId="0" borderId="0" xfId="14" applyAlignment="1" applyProtection="1"/>
    <xf numFmtId="0" fontId="50" fillId="13" borderId="0" xfId="0" applyFont="1" applyFill="1" applyAlignment="1">
      <alignment vertical="top" wrapText="1"/>
    </xf>
    <xf numFmtId="0" fontId="4" fillId="20" borderId="19" xfId="0" applyFont="1" applyFill="1" applyBorder="1" applyAlignment="1">
      <alignment horizontal="center"/>
    </xf>
    <xf numFmtId="0" fontId="4" fillId="20" borderId="63" xfId="0" applyFont="1" applyFill="1" applyBorder="1" applyAlignment="1">
      <alignment horizontal="center" vertical="top" wrapText="1"/>
    </xf>
    <xf numFmtId="0" fontId="4" fillId="20" borderId="42" xfId="0" applyFont="1" applyFill="1" applyBorder="1" applyAlignment="1">
      <alignment horizontal="center" vertical="top" wrapText="1"/>
    </xf>
    <xf numFmtId="0" fontId="0" fillId="0" borderId="94" xfId="0" applyBorder="1" applyAlignment="1">
      <alignment horizontal="center" vertical="top" wrapText="1"/>
    </xf>
    <xf numFmtId="0" fontId="0" fillId="0" borderId="72" xfId="0" applyBorder="1" applyAlignment="1">
      <alignment horizontal="center" vertical="top" wrapText="1"/>
    </xf>
    <xf numFmtId="0" fontId="0" fillId="0" borderId="0" xfId="0" applyAlignment="1">
      <alignment horizontal="center" vertical="top" wrapText="1"/>
    </xf>
    <xf numFmtId="0" fontId="0" fillId="0" borderId="71" xfId="0" applyBorder="1" applyAlignment="1">
      <alignment horizontal="center" vertical="top" wrapText="1"/>
    </xf>
    <xf numFmtId="0" fontId="0" fillId="0" borderId="97" xfId="0" applyBorder="1" applyAlignment="1">
      <alignment horizontal="center" vertical="top" wrapText="1"/>
    </xf>
    <xf numFmtId="0" fontId="0" fillId="0" borderId="41" xfId="0" applyBorder="1" applyAlignment="1">
      <alignment horizontal="center" vertical="top" wrapText="1"/>
    </xf>
    <xf numFmtId="0" fontId="0" fillId="0" borderId="98" xfId="0" applyBorder="1" applyAlignment="1">
      <alignment horizontal="center" vertical="top" wrapText="1"/>
    </xf>
    <xf numFmtId="0" fontId="8" fillId="20" borderId="104" xfId="14" applyFill="1" applyBorder="1" applyAlignment="1" applyProtection="1">
      <alignment horizontal="center" vertical="top" wrapText="1"/>
    </xf>
    <xf numFmtId="0" fontId="2" fillId="13" borderId="51" xfId="0" applyFont="1" applyFill="1" applyBorder="1" applyAlignment="1">
      <alignment wrapText="1"/>
    </xf>
    <xf numFmtId="0" fontId="0" fillId="30" borderId="51" xfId="0" applyFill="1" applyBorder="1" applyAlignment="1">
      <alignment wrapText="1"/>
    </xf>
    <xf numFmtId="0" fontId="5" fillId="13" borderId="0" xfId="0" applyFont="1" applyFill="1" applyAlignment="1">
      <alignment horizontal="left" vertical="top" wrapText="1"/>
    </xf>
    <xf numFmtId="0" fontId="2" fillId="25" borderId="114" xfId="0" applyFont="1" applyFill="1" applyBorder="1" applyAlignment="1" applyProtection="1">
      <alignment horizontal="left" vertical="top" wrapText="1"/>
      <protection locked="0"/>
    </xf>
    <xf numFmtId="0" fontId="2" fillId="25" borderId="51" xfId="0" applyFont="1" applyFill="1" applyBorder="1" applyAlignment="1" applyProtection="1">
      <alignment horizontal="left" vertical="top" wrapText="1"/>
      <protection locked="0"/>
    </xf>
    <xf numFmtId="0" fontId="0" fillId="0" borderId="51" xfId="0" applyBorder="1" applyAlignment="1" applyProtection="1">
      <alignment horizontal="left" vertical="top" wrapText="1"/>
      <protection locked="0"/>
    </xf>
    <xf numFmtId="0" fontId="0" fillId="0" borderId="119" xfId="0" applyBorder="1" applyAlignment="1" applyProtection="1">
      <alignment horizontal="left" vertical="top" wrapText="1"/>
      <protection locked="0"/>
    </xf>
    <xf numFmtId="0" fontId="6" fillId="25" borderId="114" xfId="0" applyFont="1" applyFill="1" applyBorder="1" applyAlignment="1" applyProtection="1">
      <alignment horizontal="left" vertical="top" wrapText="1"/>
      <protection locked="0"/>
    </xf>
    <xf numFmtId="0" fontId="6" fillId="25" borderId="51" xfId="0" applyFont="1" applyFill="1" applyBorder="1" applyAlignment="1" applyProtection="1">
      <alignment horizontal="left" vertical="top" wrapText="1"/>
      <protection locked="0"/>
    </xf>
    <xf numFmtId="0" fontId="2" fillId="13" borderId="51" xfId="0" applyFont="1" applyFill="1" applyBorder="1" applyAlignment="1" applyProtection="1">
      <alignment horizontal="left" vertical="top" wrapText="1"/>
      <protection locked="0"/>
    </xf>
    <xf numFmtId="0" fontId="6" fillId="25" borderId="111" xfId="0" applyFont="1" applyFill="1" applyBorder="1" applyAlignment="1" applyProtection="1">
      <alignment horizontal="left" vertical="top" wrapText="1"/>
      <protection locked="0"/>
    </xf>
    <xf numFmtId="0" fontId="6" fillId="25" borderId="112" xfId="0" applyFont="1" applyFill="1" applyBorder="1" applyAlignment="1" applyProtection="1">
      <alignment horizontal="left" vertical="top" wrapText="1"/>
      <protection locked="0"/>
    </xf>
    <xf numFmtId="0" fontId="2" fillId="13" borderId="112" xfId="0" applyFont="1" applyFill="1" applyBorder="1" applyAlignment="1" applyProtection="1">
      <alignment horizontal="left" vertical="top" wrapText="1"/>
      <protection locked="0"/>
    </xf>
    <xf numFmtId="0" fontId="0" fillId="0" borderId="112" xfId="0" applyBorder="1" applyAlignment="1" applyProtection="1">
      <alignment horizontal="left" vertical="top" wrapText="1"/>
      <protection locked="0"/>
    </xf>
    <xf numFmtId="0" fontId="0" fillId="0" borderId="120" xfId="0" applyBorder="1" applyAlignment="1" applyProtection="1">
      <alignment horizontal="left" vertical="top" wrapText="1"/>
      <protection locked="0"/>
    </xf>
    <xf numFmtId="0" fontId="4" fillId="13" borderId="0" xfId="0" applyFont="1" applyFill="1" applyAlignment="1">
      <alignment horizontal="left" vertical="top"/>
    </xf>
    <xf numFmtId="0" fontId="3" fillId="17" borderId="0" xfId="0" applyFont="1" applyFill="1" applyAlignment="1">
      <alignment horizontal="left"/>
    </xf>
    <xf numFmtId="0" fontId="2" fillId="25" borderId="111" xfId="0" applyFont="1" applyFill="1" applyBorder="1" applyAlignment="1" applyProtection="1">
      <alignment horizontal="left" vertical="top" wrapText="1"/>
      <protection locked="0"/>
    </xf>
    <xf numFmtId="0" fontId="2" fillId="25" borderId="112" xfId="0" applyFont="1" applyFill="1" applyBorder="1" applyAlignment="1" applyProtection="1">
      <alignment horizontal="left" vertical="top" wrapText="1"/>
      <protection locked="0"/>
    </xf>
    <xf numFmtId="0" fontId="6" fillId="25" borderId="110" xfId="0" applyFont="1" applyFill="1" applyBorder="1" applyAlignment="1" applyProtection="1">
      <alignment horizontal="left" vertical="top" wrapText="1"/>
      <protection locked="0"/>
    </xf>
    <xf numFmtId="0" fontId="6" fillId="25" borderId="113" xfId="0" applyFont="1" applyFill="1" applyBorder="1" applyAlignment="1" applyProtection="1">
      <alignment horizontal="left" vertical="top" wrapText="1"/>
      <protection locked="0"/>
    </xf>
    <xf numFmtId="0" fontId="2" fillId="13" borderId="113" xfId="0" applyFont="1" applyFill="1" applyBorder="1" applyAlignment="1" applyProtection="1">
      <alignment horizontal="left" vertical="top" wrapText="1"/>
      <protection locked="0"/>
    </xf>
    <xf numFmtId="0" fontId="0" fillId="0" borderId="113" xfId="0" applyBorder="1" applyAlignment="1" applyProtection="1">
      <alignment horizontal="left" vertical="top" wrapText="1"/>
      <protection locked="0"/>
    </xf>
    <xf numFmtId="0" fontId="0" fillId="0" borderId="121" xfId="0" applyBorder="1" applyAlignment="1" applyProtection="1">
      <alignment horizontal="left" vertical="top" wrapText="1"/>
      <protection locked="0"/>
    </xf>
    <xf numFmtId="0" fontId="8" fillId="20" borderId="127" xfId="14" applyFill="1" applyBorder="1" applyAlignment="1" applyProtection="1">
      <alignment horizontal="center" vertical="top" wrapText="1"/>
    </xf>
    <xf numFmtId="0" fontId="8" fillId="20" borderId="123" xfId="14" applyFill="1" applyBorder="1" applyAlignment="1" applyProtection="1">
      <alignment horizontal="center" vertical="top" wrapText="1"/>
    </xf>
    <xf numFmtId="0" fontId="8" fillId="20" borderId="124" xfId="14" applyFill="1" applyBorder="1" applyAlignment="1" applyProtection="1">
      <alignment horizontal="center" vertical="top" wrapText="1"/>
    </xf>
    <xf numFmtId="0" fontId="8" fillId="20" borderId="125" xfId="14" applyFill="1" applyBorder="1" applyAlignment="1" applyProtection="1">
      <alignment horizontal="center" vertical="top" wrapText="1"/>
    </xf>
    <xf numFmtId="0" fontId="8" fillId="20" borderId="120" xfId="14" applyFill="1" applyBorder="1" applyAlignment="1" applyProtection="1">
      <alignment horizontal="center" vertical="top" wrapText="1"/>
    </xf>
    <xf numFmtId="0" fontId="4" fillId="13" borderId="0" xfId="0" applyFont="1" applyFill="1" applyAlignment="1">
      <alignment wrapText="1"/>
    </xf>
    <xf numFmtId="0" fontId="0" fillId="30" borderId="0" xfId="0" applyFill="1" applyAlignment="1">
      <alignment wrapText="1"/>
    </xf>
    <xf numFmtId="0" fontId="24" fillId="13" borderId="51" xfId="0" applyFont="1" applyFill="1" applyBorder="1" applyAlignment="1">
      <alignment horizontal="left" vertical="top" wrapText="1"/>
    </xf>
    <xf numFmtId="0" fontId="0" fillId="13" borderId="51" xfId="0" applyFill="1" applyBorder="1" applyAlignment="1"/>
    <xf numFmtId="0" fontId="33" fillId="25" borderId="25" xfId="0" applyFont="1" applyFill="1" applyBorder="1" applyAlignment="1" applyProtection="1">
      <alignment vertical="top" wrapText="1"/>
      <protection locked="0"/>
    </xf>
    <xf numFmtId="0" fontId="0" fillId="25" borderId="27" xfId="0" applyFill="1" applyBorder="1" applyAlignment="1" applyProtection="1">
      <alignment vertical="top" wrapText="1"/>
      <protection locked="0"/>
    </xf>
    <xf numFmtId="0" fontId="34" fillId="32" borderId="0" xfId="0" applyFont="1" applyFill="1" applyAlignment="1">
      <alignment vertical="top" wrapText="1"/>
    </xf>
    <xf numFmtId="0" fontId="28" fillId="32" borderId="0" xfId="0" applyFont="1" applyFill="1" applyAlignment="1">
      <alignment vertical="top" wrapText="1"/>
    </xf>
    <xf numFmtId="0" fontId="72" fillId="17" borderId="0" xfId="0" applyFont="1" applyFill="1" applyAlignment="1">
      <alignment horizontal="left" vertical="center"/>
    </xf>
    <xf numFmtId="0" fontId="73" fillId="25" borderId="13" xfId="0" applyFont="1" applyFill="1" applyBorder="1" applyAlignment="1" applyProtection="1">
      <alignment horizontal="center" vertical="center"/>
      <protection locked="0"/>
    </xf>
    <xf numFmtId="0" fontId="92" fillId="30" borderId="0" xfId="0" applyFont="1" applyFill="1" applyAlignment="1">
      <alignment horizontal="left" vertical="top" wrapText="1"/>
    </xf>
    <xf numFmtId="0" fontId="94" fillId="30" borderId="0" xfId="0" applyFont="1" applyFill="1" applyAlignment="1">
      <alignment horizontal="left" vertical="top" wrapText="1"/>
    </xf>
    <xf numFmtId="0" fontId="92" fillId="13" borderId="0" xfId="0" applyFont="1" applyFill="1" applyAlignment="1">
      <alignment horizontal="left" vertical="top" wrapText="1"/>
    </xf>
    <xf numFmtId="0" fontId="94" fillId="0" borderId="0" xfId="0" applyFont="1" applyAlignment="1">
      <alignment horizontal="left" vertical="top" wrapText="1"/>
    </xf>
    <xf numFmtId="0" fontId="34" fillId="20" borderId="0" xfId="0" applyFont="1" applyFill="1" applyAlignment="1">
      <alignment vertical="top" wrapText="1"/>
    </xf>
    <xf numFmtId="0" fontId="28" fillId="13" borderId="0" xfId="0" applyFont="1" applyFill="1" applyAlignment="1">
      <alignment vertical="top" wrapText="1"/>
    </xf>
    <xf numFmtId="0" fontId="0" fillId="0" borderId="0" xfId="0" applyAlignment="1">
      <alignment vertical="top" wrapText="1"/>
    </xf>
    <xf numFmtId="0" fontId="8" fillId="20" borderId="122" xfId="14" applyFill="1" applyBorder="1" applyAlignment="1" applyProtection="1">
      <alignment horizontal="center" vertical="top" wrapText="1"/>
    </xf>
    <xf numFmtId="0" fontId="8" fillId="20" borderId="89" xfId="14" applyFill="1" applyBorder="1" applyAlignment="1" applyProtection="1">
      <alignment horizontal="center" vertical="top" wrapText="1"/>
    </xf>
    <xf numFmtId="0" fontId="8" fillId="20" borderId="126" xfId="14" applyFill="1" applyBorder="1" applyAlignment="1" applyProtection="1">
      <alignment horizontal="center" vertical="top" wrapText="1"/>
    </xf>
    <xf numFmtId="0" fontId="33" fillId="32" borderId="0" xfId="0" applyFont="1" applyFill="1" applyAlignment="1">
      <alignment horizontal="left" vertical="top" wrapText="1"/>
    </xf>
    <xf numFmtId="0" fontId="2" fillId="32" borderId="33" xfId="0" applyFont="1" applyFill="1" applyBorder="1" applyAlignment="1"/>
    <xf numFmtId="0" fontId="4" fillId="13" borderId="0" xfId="0" applyFont="1" applyFill="1" applyAlignment="1">
      <alignment horizontal="left" vertical="top" wrapText="1"/>
    </xf>
    <xf numFmtId="0" fontId="2" fillId="13" borderId="61" xfId="0" applyFont="1" applyFill="1" applyBorder="1" applyAlignment="1">
      <alignment horizontal="left" wrapText="1"/>
    </xf>
    <xf numFmtId="0" fontId="2" fillId="13" borderId="128" xfId="0" applyFont="1" applyFill="1" applyBorder="1" applyAlignment="1">
      <alignment horizontal="left" wrapText="1"/>
    </xf>
    <xf numFmtId="49" fontId="2" fillId="25" borderId="110" xfId="0" applyNumberFormat="1" applyFont="1" applyFill="1" applyBorder="1" applyAlignment="1" applyProtection="1">
      <alignment horizontal="left" vertical="top" wrapText="1"/>
      <protection locked="0"/>
    </xf>
    <xf numFmtId="49" fontId="2" fillId="25" borderId="113" xfId="0" applyNumberFormat="1" applyFont="1" applyFill="1" applyBorder="1" applyAlignment="1" applyProtection="1">
      <alignment horizontal="left" vertical="top" wrapText="1"/>
      <protection locked="0"/>
    </xf>
    <xf numFmtId="49" fontId="2" fillId="25" borderId="121" xfId="0" applyNumberFormat="1" applyFont="1" applyFill="1" applyBorder="1" applyAlignment="1" applyProtection="1">
      <alignment horizontal="left" vertical="top" wrapText="1"/>
      <protection locked="0"/>
    </xf>
    <xf numFmtId="49" fontId="2" fillId="25" borderId="32" xfId="0" applyNumberFormat="1" applyFont="1" applyFill="1" applyBorder="1" applyAlignment="1" applyProtection="1">
      <alignment horizontal="left" vertical="top" wrapText="1"/>
      <protection locked="0"/>
    </xf>
    <xf numFmtId="49" fontId="2" fillId="25" borderId="0" xfId="0" applyNumberFormat="1" applyFont="1" applyFill="1" applyAlignment="1" applyProtection="1">
      <alignment horizontal="left" vertical="top" wrapText="1"/>
      <protection locked="0"/>
    </xf>
    <xf numFmtId="49" fontId="2" fillId="25" borderId="33" xfId="0" applyNumberFormat="1" applyFont="1" applyFill="1" applyBorder="1" applyAlignment="1" applyProtection="1">
      <alignment horizontal="left" vertical="top" wrapText="1"/>
      <protection locked="0"/>
    </xf>
    <xf numFmtId="49" fontId="2" fillId="25" borderId="34" xfId="0" applyNumberFormat="1" applyFont="1" applyFill="1" applyBorder="1" applyAlignment="1" applyProtection="1">
      <alignment horizontal="left" vertical="top"/>
      <protection locked="0"/>
    </xf>
    <xf numFmtId="49" fontId="2" fillId="25" borderId="12" xfId="0" applyNumberFormat="1" applyFont="1" applyFill="1" applyBorder="1" applyAlignment="1" applyProtection="1">
      <alignment horizontal="left" vertical="top"/>
      <protection locked="0"/>
    </xf>
    <xf numFmtId="49" fontId="2" fillId="25" borderId="35" xfId="0" applyNumberFormat="1" applyFont="1" applyFill="1" applyBorder="1" applyAlignment="1" applyProtection="1">
      <alignment horizontal="left" vertical="top"/>
      <protection locked="0"/>
    </xf>
    <xf numFmtId="0" fontId="2" fillId="13" borderId="51" xfId="0" applyFont="1" applyFill="1" applyBorder="1" applyAlignment="1">
      <alignment horizontal="left" wrapText="1"/>
    </xf>
    <xf numFmtId="0" fontId="2" fillId="13" borderId="119" xfId="0" applyFont="1" applyFill="1" applyBorder="1" applyAlignment="1">
      <alignment horizontal="left" wrapText="1"/>
    </xf>
    <xf numFmtId="0" fontId="2" fillId="33" borderId="13" xfId="0" applyFont="1" applyFill="1" applyBorder="1" applyAlignment="1">
      <alignment horizontal="left" vertical="top"/>
    </xf>
    <xf numFmtId="0" fontId="11" fillId="13" borderId="0" xfId="0" applyFont="1" applyFill="1" applyAlignment="1">
      <alignment horizontal="left" vertical="top" wrapText="1"/>
    </xf>
    <xf numFmtId="0" fontId="52" fillId="13" borderId="0" xfId="0" applyFont="1" applyFill="1" applyAlignment="1">
      <alignment horizontal="left" vertical="top" wrapText="1"/>
    </xf>
    <xf numFmtId="0" fontId="0" fillId="13" borderId="0" xfId="0" applyFill="1" applyAlignment="1">
      <alignment wrapText="1"/>
    </xf>
    <xf numFmtId="0" fontId="33" fillId="25" borderId="25" xfId="0" applyFont="1" applyFill="1" applyBorder="1" applyAlignment="1" applyProtection="1">
      <alignment horizontal="left" vertical="top" wrapText="1"/>
      <protection locked="0"/>
    </xf>
    <xf numFmtId="0" fontId="33" fillId="25" borderId="26" xfId="0" applyFont="1" applyFill="1" applyBorder="1" applyAlignment="1" applyProtection="1">
      <alignment horizontal="left" vertical="top" wrapText="1"/>
      <protection locked="0"/>
    </xf>
    <xf numFmtId="0" fontId="33" fillId="25" borderId="27" xfId="0" applyFont="1" applyFill="1" applyBorder="1" applyAlignment="1" applyProtection="1">
      <alignment horizontal="left" vertical="top" wrapText="1"/>
      <protection locked="0"/>
    </xf>
    <xf numFmtId="0" fontId="0" fillId="25" borderId="26" xfId="0" applyFill="1" applyBorder="1" applyAlignment="1" applyProtection="1">
      <alignment horizontal="left" vertical="top" wrapText="1"/>
      <protection locked="0"/>
    </xf>
    <xf numFmtId="0" fontId="0" fillId="0" borderId="26" xfId="0" applyBorder="1" applyAlignment="1" applyProtection="1">
      <alignment horizontal="left" vertical="top" wrapText="1"/>
      <protection locked="0"/>
    </xf>
    <xf numFmtId="0" fontId="0" fillId="0" borderId="27" xfId="0" applyBorder="1" applyAlignment="1" applyProtection="1">
      <alignment horizontal="left" vertical="top" wrapText="1"/>
      <protection locked="0"/>
    </xf>
    <xf numFmtId="0" fontId="2" fillId="25" borderId="110" xfId="0" applyFont="1" applyFill="1" applyBorder="1" applyAlignment="1" applyProtection="1">
      <alignment horizontal="left" vertical="top" wrapText="1"/>
      <protection locked="0"/>
    </xf>
    <xf numFmtId="0" fontId="2" fillId="25" borderId="113" xfId="0" applyFont="1" applyFill="1" applyBorder="1" applyAlignment="1" applyProtection="1">
      <alignment horizontal="left" vertical="top" wrapText="1"/>
      <protection locked="0"/>
    </xf>
    <xf numFmtId="0" fontId="2" fillId="25" borderId="25" xfId="0" applyFont="1" applyFill="1" applyBorder="1" applyAlignment="1" applyProtection="1">
      <alignment horizontal="left" vertical="top" wrapText="1"/>
      <protection locked="0"/>
    </xf>
    <xf numFmtId="0" fontId="2" fillId="25" borderId="26" xfId="0" applyFont="1" applyFill="1" applyBorder="1" applyAlignment="1" applyProtection="1">
      <alignment horizontal="left" vertical="top" wrapText="1"/>
      <protection locked="0"/>
    </xf>
    <xf numFmtId="49" fontId="2" fillId="25" borderId="111" xfId="0" applyNumberFormat="1" applyFont="1" applyFill="1" applyBorder="1" applyAlignment="1" applyProtection="1">
      <alignment horizontal="left" vertical="top" wrapText="1"/>
      <protection locked="0"/>
    </xf>
    <xf numFmtId="49" fontId="2" fillId="25" borderId="112" xfId="0" applyNumberFormat="1" applyFont="1" applyFill="1" applyBorder="1" applyAlignment="1" applyProtection="1">
      <alignment horizontal="left" vertical="top" wrapText="1"/>
      <protection locked="0"/>
    </xf>
    <xf numFmtId="49" fontId="2" fillId="25" borderId="120" xfId="0" applyNumberFormat="1" applyFont="1" applyFill="1" applyBorder="1" applyAlignment="1" applyProtection="1">
      <alignment horizontal="left" vertical="top" wrapText="1"/>
      <protection locked="0"/>
    </xf>
    <xf numFmtId="49" fontId="2" fillId="25" borderId="13" xfId="0" applyNumberFormat="1" applyFont="1" applyFill="1" applyBorder="1" applyAlignment="1" applyProtection="1">
      <alignment horizontal="left" vertical="top"/>
      <protection locked="0"/>
    </xf>
    <xf numFmtId="49" fontId="2" fillId="25" borderId="29" xfId="0" applyNumberFormat="1" applyFont="1" applyFill="1" applyBorder="1" applyAlignment="1" applyProtection="1">
      <alignment horizontal="left" vertical="top"/>
      <protection locked="0"/>
    </xf>
    <xf numFmtId="49" fontId="2" fillId="25" borderId="64" xfId="0" applyNumberFormat="1" applyFont="1" applyFill="1" applyBorder="1" applyAlignment="1" applyProtection="1">
      <alignment horizontal="left" vertical="top"/>
      <protection locked="0"/>
    </xf>
    <xf numFmtId="49" fontId="2" fillId="25" borderId="30" xfId="0" applyNumberFormat="1" applyFont="1" applyFill="1" applyBorder="1" applyAlignment="1" applyProtection="1">
      <alignment horizontal="left" vertical="top"/>
      <protection locked="0"/>
    </xf>
    <xf numFmtId="0" fontId="2" fillId="25" borderId="13" xfId="0" applyFont="1" applyFill="1" applyBorder="1" applyAlignment="1" applyProtection="1">
      <alignment horizontal="left" vertical="top"/>
      <protection locked="0"/>
    </xf>
    <xf numFmtId="49" fontId="2" fillId="25" borderId="32" xfId="0" applyNumberFormat="1" applyFont="1" applyFill="1" applyBorder="1" applyAlignment="1" applyProtection="1">
      <alignment horizontal="left" vertical="top"/>
      <protection locked="0"/>
    </xf>
    <xf numFmtId="49" fontId="2" fillId="25" borderId="0" xfId="0" applyNumberFormat="1" applyFont="1" applyFill="1" applyAlignment="1" applyProtection="1">
      <alignment horizontal="left" vertical="top"/>
      <protection locked="0"/>
    </xf>
    <xf numFmtId="49" fontId="2" fillId="25" borderId="33" xfId="0" applyNumberFormat="1" applyFont="1" applyFill="1" applyBorder="1" applyAlignment="1" applyProtection="1">
      <alignment horizontal="left" vertical="top"/>
      <protection locked="0"/>
    </xf>
    <xf numFmtId="49" fontId="2" fillId="25" borderId="114" xfId="0" applyNumberFormat="1" applyFont="1" applyFill="1" applyBorder="1" applyAlignment="1" applyProtection="1">
      <alignment horizontal="left" vertical="top" wrapText="1"/>
      <protection locked="0"/>
    </xf>
    <xf numFmtId="49" fontId="2" fillId="25" borderId="51" xfId="0" applyNumberFormat="1" applyFont="1" applyFill="1" applyBorder="1" applyAlignment="1" applyProtection="1">
      <alignment horizontal="left" vertical="top" wrapText="1"/>
      <protection locked="0"/>
    </xf>
    <xf numFmtId="49" fontId="2" fillId="25" borderId="119" xfId="0" applyNumberFormat="1" applyFont="1" applyFill="1" applyBorder="1" applyAlignment="1" applyProtection="1">
      <alignment horizontal="left" vertical="top" wrapText="1"/>
      <protection locked="0"/>
    </xf>
    <xf numFmtId="0" fontId="6" fillId="26" borderId="114" xfId="0" applyFont="1" applyFill="1" applyBorder="1" applyAlignment="1" applyProtection="1">
      <alignment horizontal="left" vertical="top" wrapText="1"/>
      <protection locked="0"/>
    </xf>
    <xf numFmtId="0" fontId="6" fillId="26" borderId="51" xfId="0" applyFont="1" applyFill="1" applyBorder="1" applyAlignment="1" applyProtection="1">
      <alignment horizontal="left" vertical="top" wrapText="1"/>
      <protection locked="0"/>
    </xf>
    <xf numFmtId="0" fontId="6" fillId="26" borderId="111" xfId="0" applyFont="1" applyFill="1" applyBorder="1" applyAlignment="1" applyProtection="1">
      <alignment horizontal="left" vertical="top" wrapText="1"/>
      <protection locked="0"/>
    </xf>
    <xf numFmtId="0" fontId="6" fillId="26" borderId="112" xfId="0" applyFont="1" applyFill="1" applyBorder="1" applyAlignment="1" applyProtection="1">
      <alignment horizontal="left" vertical="top" wrapText="1"/>
      <protection locked="0"/>
    </xf>
    <xf numFmtId="0" fontId="6" fillId="26" borderId="110" xfId="0" applyFont="1" applyFill="1" applyBorder="1" applyAlignment="1" applyProtection="1">
      <alignment horizontal="left" vertical="top" wrapText="1"/>
      <protection locked="0"/>
    </xf>
    <xf numFmtId="0" fontId="6" fillId="26" borderId="113" xfId="0" applyFont="1" applyFill="1" applyBorder="1" applyAlignment="1" applyProtection="1">
      <alignment horizontal="left" vertical="top" wrapText="1"/>
      <protection locked="0"/>
    </xf>
    <xf numFmtId="0" fontId="6" fillId="18" borderId="25" xfId="0" applyFont="1" applyFill="1" applyBorder="1" applyAlignment="1">
      <alignment vertical="top" wrapText="1"/>
    </xf>
    <xf numFmtId="0" fontId="6" fillId="18" borderId="26" xfId="0" applyFont="1" applyFill="1" applyBorder="1" applyAlignment="1">
      <alignment vertical="top" wrapText="1"/>
    </xf>
    <xf numFmtId="0" fontId="6" fillId="18" borderId="27" xfId="0" applyFont="1" applyFill="1" applyBorder="1" applyAlignment="1">
      <alignment vertical="top" wrapText="1"/>
    </xf>
    <xf numFmtId="1" fontId="6" fillId="25" borderId="13" xfId="0" applyNumberFormat="1" applyFont="1" applyFill="1" applyBorder="1" applyAlignment="1" applyProtection="1">
      <alignment horizontal="left" vertical="top" wrapText="1"/>
      <protection locked="0"/>
    </xf>
    <xf numFmtId="0" fontId="0" fillId="0" borderId="13" xfId="0" applyBorder="1" applyAlignment="1" applyProtection="1">
      <alignment horizontal="left" vertical="top" wrapText="1"/>
      <protection locked="0"/>
    </xf>
    <xf numFmtId="0" fontId="6" fillId="25" borderId="13" xfId="0" applyFont="1" applyFill="1" applyBorder="1" applyAlignment="1" applyProtection="1">
      <alignment shrinkToFit="1"/>
      <protection locked="0"/>
    </xf>
    <xf numFmtId="0" fontId="6" fillId="25" borderId="13" xfId="0" applyFont="1" applyFill="1" applyBorder="1" applyAlignment="1" applyProtection="1">
      <alignment vertical="top" wrapText="1"/>
      <protection locked="0"/>
    </xf>
    <xf numFmtId="0" fontId="6" fillId="35" borderId="13" xfId="0" applyFont="1" applyFill="1" applyBorder="1" applyAlignment="1" applyProtection="1">
      <protection locked="0"/>
    </xf>
    <xf numFmtId="0" fontId="3" fillId="17" borderId="0" xfId="0" applyFont="1" applyFill="1" applyAlignment="1">
      <alignment horizontal="left" vertical="center"/>
    </xf>
    <xf numFmtId="0" fontId="6" fillId="25" borderId="25" xfId="0" applyFont="1" applyFill="1" applyBorder="1" applyAlignment="1" applyProtection="1">
      <alignment horizontal="left" vertical="top" wrapText="1"/>
      <protection locked="0"/>
    </xf>
    <xf numFmtId="0" fontId="48" fillId="13" borderId="0" xfId="0" applyFont="1" applyFill="1" applyAlignment="1">
      <alignment horizontal="left" vertical="top" wrapText="1"/>
    </xf>
    <xf numFmtId="0" fontId="0" fillId="13" borderId="0" xfId="0" applyFill="1" applyAlignment="1">
      <alignment horizontal="left" vertical="top" wrapText="1"/>
    </xf>
    <xf numFmtId="0" fontId="7" fillId="13" borderId="25" xfId="0" applyFont="1" applyFill="1" applyBorder="1" applyAlignment="1">
      <alignment horizontal="left" vertical="top" wrapText="1"/>
    </xf>
    <xf numFmtId="0" fontId="7" fillId="13" borderId="26" xfId="0" applyFont="1" applyFill="1" applyBorder="1" applyAlignment="1">
      <alignment horizontal="left" vertical="top" wrapText="1"/>
    </xf>
    <xf numFmtId="0" fontId="7" fillId="13" borderId="27" xfId="0" applyFont="1" applyFill="1" applyBorder="1" applyAlignment="1">
      <alignment horizontal="left" vertical="top" wrapText="1"/>
    </xf>
    <xf numFmtId="0" fontId="4" fillId="30" borderId="0" xfId="0" applyFont="1" applyFill="1" applyAlignment="1">
      <alignment horizontal="left" vertical="top" wrapText="1"/>
    </xf>
    <xf numFmtId="0" fontId="78" fillId="13" borderId="110" xfId="0" applyFont="1" applyFill="1" applyBorder="1" applyAlignment="1">
      <alignment horizontal="left" vertical="top" wrapText="1"/>
    </xf>
    <xf numFmtId="0" fontId="0" fillId="0" borderId="113" xfId="0" applyBorder="1" applyAlignment="1">
      <alignment horizontal="left" vertical="top" wrapText="1"/>
    </xf>
    <xf numFmtId="0" fontId="0" fillId="0" borderId="121" xfId="0" applyBorder="1" applyAlignment="1">
      <alignment horizontal="left" vertical="top" wrapText="1"/>
    </xf>
    <xf numFmtId="0" fontId="5" fillId="13" borderId="0" xfId="0" applyFont="1" applyFill="1" applyAlignment="1">
      <alignment vertical="top" wrapText="1"/>
    </xf>
    <xf numFmtId="0" fontId="6" fillId="25" borderId="13" xfId="0" applyFont="1" applyFill="1" applyBorder="1" applyAlignment="1" applyProtection="1">
      <alignment horizontal="left" vertical="top" wrapText="1"/>
      <protection locked="0"/>
    </xf>
    <xf numFmtId="0" fontId="78" fillId="13" borderId="111" xfId="0" applyFont="1" applyFill="1" applyBorder="1" applyAlignment="1">
      <alignment horizontal="left" vertical="top" wrapText="1"/>
    </xf>
    <xf numFmtId="0" fontId="0" fillId="0" borderId="112" xfId="0" applyBorder="1" applyAlignment="1">
      <alignment horizontal="left" vertical="top" wrapText="1"/>
    </xf>
    <xf numFmtId="0" fontId="0" fillId="0" borderId="120" xfId="0" applyBorder="1" applyAlignment="1">
      <alignment horizontal="left" vertical="top" wrapText="1"/>
    </xf>
    <xf numFmtId="0" fontId="0" fillId="0" borderId="26" xfId="0" applyBorder="1" applyAlignment="1">
      <alignment horizontal="left" vertical="top" wrapText="1"/>
    </xf>
    <xf numFmtId="0" fontId="10" fillId="13" borderId="0" xfId="0" applyFont="1" applyFill="1" applyAlignment="1">
      <alignment horizontal="left" vertical="center" wrapText="1"/>
    </xf>
    <xf numFmtId="0" fontId="2" fillId="20" borderId="42" xfId="0" applyFont="1" applyFill="1" applyBorder="1" applyAlignment="1">
      <alignment horizontal="center" vertical="center" wrapText="1"/>
    </xf>
    <xf numFmtId="0" fontId="2" fillId="20" borderId="94" xfId="0" applyFont="1" applyFill="1" applyBorder="1" applyAlignment="1">
      <alignment horizontal="center" vertical="center" wrapText="1"/>
    </xf>
    <xf numFmtId="0" fontId="0" fillId="20" borderId="72" xfId="0" applyFill="1" applyBorder="1" applyAlignment="1">
      <alignment horizontal="center" vertical="center" wrapText="1"/>
    </xf>
    <xf numFmtId="0" fontId="0" fillId="20" borderId="0" xfId="0" applyFill="1" applyAlignment="1">
      <alignment horizontal="center" vertical="center" wrapText="1"/>
    </xf>
    <xf numFmtId="0" fontId="0" fillId="20" borderId="71" xfId="0" applyFill="1" applyBorder="1" applyAlignment="1">
      <alignment horizontal="center" vertical="center" wrapText="1"/>
    </xf>
    <xf numFmtId="0" fontId="0" fillId="20" borderId="97" xfId="0" applyFill="1" applyBorder="1" applyAlignment="1">
      <alignment horizontal="center" vertical="center" wrapText="1"/>
    </xf>
    <xf numFmtId="0" fontId="0" fillId="20" borderId="41" xfId="0" applyFill="1" applyBorder="1" applyAlignment="1">
      <alignment horizontal="center" vertical="center" wrapText="1"/>
    </xf>
    <xf numFmtId="0" fontId="0" fillId="20" borderId="98" xfId="0" applyFill="1" applyBorder="1" applyAlignment="1">
      <alignment horizontal="center" vertical="center" wrapText="1"/>
    </xf>
    <xf numFmtId="0" fontId="78" fillId="13" borderId="113" xfId="0" applyFont="1" applyFill="1" applyBorder="1" applyAlignment="1">
      <alignment horizontal="left" vertical="top" wrapText="1"/>
    </xf>
    <xf numFmtId="0" fontId="78" fillId="13" borderId="121" xfId="0" applyFont="1" applyFill="1" applyBorder="1" applyAlignment="1">
      <alignment horizontal="left" vertical="top" wrapText="1"/>
    </xf>
    <xf numFmtId="0" fontId="6" fillId="0" borderId="112" xfId="0" applyFont="1" applyBorder="1" applyAlignment="1">
      <alignment horizontal="left" vertical="top" wrapText="1"/>
    </xf>
    <xf numFmtId="0" fontId="6" fillId="0" borderId="120" xfId="0" applyFont="1" applyBorder="1" applyAlignment="1">
      <alignment horizontal="left" vertical="top" wrapText="1"/>
    </xf>
    <xf numFmtId="0" fontId="78" fillId="13" borderId="69" xfId="0" applyFont="1" applyFill="1" applyBorder="1" applyAlignment="1">
      <alignment vertical="top" wrapText="1"/>
    </xf>
    <xf numFmtId="0" fontId="78" fillId="13" borderId="70" xfId="0" applyFont="1" applyFill="1" applyBorder="1" applyAlignment="1">
      <alignment vertical="top" wrapText="1"/>
    </xf>
    <xf numFmtId="0" fontId="7" fillId="13" borderId="13" xfId="0" applyFont="1" applyFill="1" applyBorder="1" applyAlignment="1">
      <alignment horizontal="left" vertical="top" wrapText="1"/>
    </xf>
    <xf numFmtId="0" fontId="78" fillId="13" borderId="69" xfId="0" applyFont="1" applyFill="1" applyBorder="1" applyAlignment="1"/>
    <xf numFmtId="0" fontId="78" fillId="13" borderId="111" xfId="0" applyFont="1" applyFill="1" applyBorder="1" applyAlignment="1"/>
    <xf numFmtId="0" fontId="78" fillId="13" borderId="120" xfId="0" applyFont="1" applyFill="1" applyBorder="1" applyAlignment="1"/>
    <xf numFmtId="1" fontId="78" fillId="13" borderId="70" xfId="0" applyNumberFormat="1" applyFont="1" applyFill="1" applyBorder="1" applyAlignment="1">
      <alignment horizontal="left" vertical="top" wrapText="1"/>
    </xf>
    <xf numFmtId="0" fontId="84" fillId="0" borderId="70" xfId="0" applyFont="1" applyBorder="1" applyAlignment="1">
      <alignment horizontal="left" vertical="top" wrapText="1"/>
    </xf>
    <xf numFmtId="0" fontId="78" fillId="13" borderId="110" xfId="0" applyFont="1" applyFill="1" applyBorder="1" applyAlignment="1">
      <alignment vertical="top" wrapText="1"/>
    </xf>
    <xf numFmtId="0" fontId="78" fillId="13" borderId="113" xfId="0" applyFont="1" applyFill="1" applyBorder="1" applyAlignment="1">
      <alignment vertical="top" wrapText="1"/>
    </xf>
    <xf numFmtId="0" fontId="78" fillId="13" borderId="121" xfId="0" applyFont="1" applyFill="1" applyBorder="1" applyAlignment="1">
      <alignment vertical="top" wrapText="1"/>
    </xf>
    <xf numFmtId="0" fontId="78" fillId="13" borderId="111" xfId="0" applyFont="1" applyFill="1" applyBorder="1" applyAlignment="1">
      <alignment vertical="top" wrapText="1"/>
    </xf>
    <xf numFmtId="0" fontId="78" fillId="13" borderId="112" xfId="0" applyFont="1" applyFill="1" applyBorder="1" applyAlignment="1">
      <alignment vertical="top" wrapText="1"/>
    </xf>
    <xf numFmtId="0" fontId="78" fillId="13" borderId="120" xfId="0" applyFont="1" applyFill="1" applyBorder="1" applyAlignment="1">
      <alignment vertical="top" wrapText="1"/>
    </xf>
    <xf numFmtId="0" fontId="6" fillId="0" borderId="13" xfId="0" applyFont="1" applyBorder="1" applyAlignment="1">
      <alignment horizontal="left" vertical="top" wrapText="1"/>
    </xf>
    <xf numFmtId="1" fontId="78" fillId="13" borderId="69" xfId="0" applyNumberFormat="1" applyFont="1" applyFill="1" applyBorder="1" applyAlignment="1">
      <alignment horizontal="left" vertical="top" wrapText="1"/>
    </xf>
    <xf numFmtId="0" fontId="84" fillId="0" borderId="69" xfId="0" applyFont="1" applyBorder="1" applyAlignment="1">
      <alignment horizontal="left" vertical="top" wrapText="1"/>
    </xf>
    <xf numFmtId="0" fontId="4" fillId="13" borderId="0" xfId="0" applyFont="1" applyFill="1" applyAlignment="1">
      <alignment horizontal="left" vertical="center"/>
    </xf>
    <xf numFmtId="0" fontId="78" fillId="13" borderId="8" xfId="0" applyFont="1" applyFill="1" applyBorder="1" applyAlignment="1">
      <alignment vertical="top" wrapText="1"/>
    </xf>
    <xf numFmtId="0" fontId="78" fillId="13" borderId="114" xfId="0" applyFont="1" applyFill="1" applyBorder="1" applyAlignment="1"/>
    <xf numFmtId="0" fontId="78" fillId="13" borderId="119" xfId="0" applyFont="1" applyFill="1" applyBorder="1" applyAlignment="1"/>
    <xf numFmtId="0" fontId="2" fillId="13" borderId="0" xfId="0" applyFont="1" applyFill="1" applyAlignment="1">
      <alignment horizontal="right" vertical="center"/>
    </xf>
    <xf numFmtId="0" fontId="2" fillId="13" borderId="33" xfId="0" applyFont="1" applyFill="1" applyBorder="1" applyAlignment="1">
      <alignment horizontal="right" vertical="center"/>
    </xf>
    <xf numFmtId="0" fontId="2" fillId="35" borderId="25" xfId="0" applyFont="1" applyFill="1" applyBorder="1" applyAlignment="1" applyProtection="1">
      <alignment horizontal="left" vertical="center"/>
      <protection locked="0"/>
    </xf>
    <xf numFmtId="0" fontId="2" fillId="35" borderId="27" xfId="0" applyFont="1" applyFill="1" applyBorder="1" applyAlignment="1" applyProtection="1">
      <alignment horizontal="left" vertical="center"/>
      <protection locked="0"/>
    </xf>
    <xf numFmtId="0" fontId="2" fillId="26" borderId="25" xfId="0" applyFont="1" applyFill="1" applyBorder="1" applyAlignment="1" applyProtection="1">
      <alignment horizontal="left" vertical="top" wrapText="1"/>
      <protection locked="0"/>
    </xf>
    <xf numFmtId="0" fontId="2" fillId="26" borderId="26" xfId="0" applyFont="1" applyFill="1" applyBorder="1" applyAlignment="1" applyProtection="1">
      <alignment horizontal="left" vertical="top" wrapText="1"/>
      <protection locked="0"/>
    </xf>
    <xf numFmtId="0" fontId="2" fillId="26" borderId="27" xfId="0" applyFont="1" applyFill="1" applyBorder="1" applyAlignment="1" applyProtection="1">
      <alignment horizontal="left" vertical="top" wrapText="1"/>
      <protection locked="0"/>
    </xf>
    <xf numFmtId="0" fontId="23" fillId="27" borderId="13" xfId="0" applyFont="1" applyFill="1" applyBorder="1" applyAlignment="1">
      <alignment horizontal="center" vertical="center"/>
    </xf>
    <xf numFmtId="0" fontId="4" fillId="13" borderId="50" xfId="0" applyFont="1" applyFill="1" applyBorder="1" applyAlignment="1">
      <alignment horizontal="center" vertical="center"/>
    </xf>
    <xf numFmtId="0" fontId="4" fillId="13" borderId="41" xfId="0" applyFont="1" applyFill="1" applyBorder="1" applyAlignment="1">
      <alignment horizontal="center" vertical="center"/>
    </xf>
    <xf numFmtId="0" fontId="2" fillId="18" borderId="92" xfId="0" applyFont="1" applyFill="1" applyBorder="1" applyAlignment="1">
      <alignment horizontal="left" vertical="center"/>
    </xf>
    <xf numFmtId="0" fontId="2" fillId="18" borderId="51" xfId="0" applyFont="1" applyFill="1" applyBorder="1" applyAlignment="1">
      <alignment horizontal="left" vertical="center"/>
    </xf>
    <xf numFmtId="167" fontId="2" fillId="25" borderId="18" xfId="0" applyNumberFormat="1" applyFont="1" applyFill="1" applyBorder="1" applyAlignment="1" applyProtection="1">
      <alignment horizontal="center" vertical="center" shrinkToFit="1"/>
      <protection locked="0"/>
    </xf>
    <xf numFmtId="167" fontId="2" fillId="25" borderId="20" xfId="0" applyNumberFormat="1" applyFont="1" applyFill="1" applyBorder="1" applyAlignment="1" applyProtection="1">
      <alignment horizontal="center" vertical="center" shrinkToFit="1"/>
      <protection locked="0"/>
    </xf>
    <xf numFmtId="0" fontId="0" fillId="0" borderId="129" xfId="0" applyBorder="1" applyAlignment="1">
      <alignment vertical="center"/>
    </xf>
    <xf numFmtId="0" fontId="2" fillId="30" borderId="92" xfId="0" applyFont="1" applyFill="1" applyBorder="1" applyAlignment="1">
      <alignment horizontal="left" vertical="center"/>
    </xf>
    <xf numFmtId="0" fontId="2" fillId="30" borderId="51" xfId="0" applyFont="1" applyFill="1" applyBorder="1" applyAlignment="1">
      <alignment horizontal="left" vertical="center"/>
    </xf>
    <xf numFmtId="0" fontId="2" fillId="25" borderId="18" xfId="0" applyFont="1" applyFill="1" applyBorder="1" applyAlignment="1" applyProtection="1">
      <alignment horizontal="left" vertical="top"/>
      <protection locked="0"/>
    </xf>
    <xf numFmtId="0" fontId="2" fillId="25" borderId="20" xfId="0" applyFont="1" applyFill="1" applyBorder="1" applyAlignment="1" applyProtection="1">
      <alignment horizontal="left" vertical="top"/>
      <protection locked="0"/>
    </xf>
    <xf numFmtId="0" fontId="2" fillId="18" borderId="131" xfId="0" applyFont="1" applyFill="1" applyBorder="1" applyAlignment="1">
      <alignment horizontal="left" vertical="top"/>
    </xf>
    <xf numFmtId="0" fontId="2" fillId="18" borderId="50" xfId="0" applyFont="1" applyFill="1" applyBorder="1" applyAlignment="1">
      <alignment horizontal="left" vertical="top"/>
    </xf>
    <xf numFmtId="0" fontId="2" fillId="18" borderId="132" xfId="0" applyFont="1" applyFill="1" applyBorder="1" applyAlignment="1">
      <alignment horizontal="left" vertical="top"/>
    </xf>
    <xf numFmtId="0" fontId="6" fillId="13" borderId="12" xfId="0" applyFont="1" applyFill="1" applyBorder="1" applyAlignment="1">
      <alignment horizontal="center"/>
    </xf>
    <xf numFmtId="0" fontId="40" fillId="25" borderId="18" xfId="0" applyFont="1" applyFill="1" applyBorder="1" applyAlignment="1" applyProtection="1">
      <alignment horizontal="left" vertical="center" wrapText="1"/>
      <protection locked="0"/>
    </xf>
    <xf numFmtId="0" fontId="40" fillId="25" borderId="19" xfId="0" applyFont="1" applyFill="1" applyBorder="1" applyAlignment="1" applyProtection="1">
      <alignment horizontal="left" vertical="center" wrapText="1"/>
      <protection locked="0"/>
    </xf>
    <xf numFmtId="0" fontId="40" fillId="25" borderId="20" xfId="0" applyFont="1" applyFill="1" applyBorder="1" applyAlignment="1" applyProtection="1">
      <alignment horizontal="left" vertical="center" wrapText="1"/>
      <protection locked="0"/>
    </xf>
    <xf numFmtId="0" fontId="0" fillId="18" borderId="27" xfId="0" applyFill="1" applyBorder="1" applyAlignment="1">
      <alignment horizontal="left" vertical="top"/>
    </xf>
    <xf numFmtId="0" fontId="0" fillId="18" borderId="13" xfId="0" applyFill="1" applyBorder="1" applyAlignment="1">
      <alignment horizontal="left" vertical="top"/>
    </xf>
    <xf numFmtId="0" fontId="0" fillId="18" borderId="52" xfId="0" applyFill="1" applyBorder="1" applyAlignment="1">
      <alignment horizontal="left" vertical="center"/>
    </xf>
    <xf numFmtId="0" fontId="0" fillId="18" borderId="53" xfId="0" applyFill="1" applyBorder="1" applyAlignment="1">
      <alignment horizontal="left" vertical="center"/>
    </xf>
    <xf numFmtId="0" fontId="0" fillId="18" borderId="54" xfId="0" applyFill="1" applyBorder="1" applyAlignment="1">
      <alignment horizontal="left" vertical="center"/>
    </xf>
    <xf numFmtId="0" fontId="98" fillId="13" borderId="0" xfId="0" applyFont="1" applyFill="1" applyAlignment="1">
      <alignment horizontal="left" vertical="center" wrapText="1"/>
    </xf>
    <xf numFmtId="0" fontId="8" fillId="20" borderId="130" xfId="14" applyFill="1" applyBorder="1" applyAlignment="1" applyProtection="1">
      <alignment horizontal="left" vertical="top" wrapText="1"/>
    </xf>
    <xf numFmtId="0" fontId="0" fillId="0" borderId="104" xfId="0" applyBorder="1" applyAlignment="1">
      <alignment horizontal="left" vertical="top" wrapText="1"/>
    </xf>
    <xf numFmtId="0" fontId="8" fillId="20" borderId="124" xfId="14" applyFill="1" applyBorder="1" applyAlignment="1" applyProtection="1">
      <alignment horizontal="left" vertical="top" wrapText="1"/>
    </xf>
    <xf numFmtId="0" fontId="0" fillId="0" borderId="125" xfId="0" applyBorder="1" applyAlignment="1">
      <alignment horizontal="left" vertical="top" wrapText="1"/>
    </xf>
    <xf numFmtId="0" fontId="8" fillId="20" borderId="104" xfId="14" applyFill="1" applyBorder="1" applyAlignment="1" applyProtection="1">
      <alignment horizontal="left" vertical="top" wrapText="1"/>
    </xf>
    <xf numFmtId="0" fontId="48" fillId="13" borderId="0" xfId="0" quotePrefix="1" applyFont="1" applyFill="1" applyAlignment="1">
      <alignment horizontal="right" vertical="top" wrapText="1"/>
    </xf>
    <xf numFmtId="0" fontId="0" fillId="0" borderId="0" xfId="0" applyAlignment="1">
      <alignment horizontal="right" vertical="top" wrapText="1"/>
    </xf>
    <xf numFmtId="0" fontId="69" fillId="13" borderId="0" xfId="14" applyFont="1" applyFill="1" applyBorder="1" applyAlignment="1" applyProtection="1">
      <alignment horizontal="left" vertical="top" wrapText="1"/>
    </xf>
    <xf numFmtId="0" fontId="5" fillId="13" borderId="50" xfId="0" applyFont="1" applyFill="1" applyBorder="1" applyAlignment="1">
      <alignment horizontal="left" vertical="top" wrapText="1"/>
    </xf>
    <xf numFmtId="0" fontId="39" fillId="13" borderId="0" xfId="0" applyFont="1" applyFill="1" applyAlignment="1">
      <alignment horizontal="left" vertical="center" wrapText="1"/>
    </xf>
    <xf numFmtId="0" fontId="5" fillId="13" borderId="51" xfId="0" applyFont="1" applyFill="1" applyBorder="1" applyAlignment="1">
      <alignment horizontal="left" vertical="top" wrapText="1"/>
    </xf>
    <xf numFmtId="0" fontId="69" fillId="13" borderId="50" xfId="14" applyFont="1" applyFill="1" applyBorder="1" applyAlignment="1" applyProtection="1">
      <alignment horizontal="left" vertical="top" wrapText="1"/>
    </xf>
    <xf numFmtId="0" fontId="7" fillId="13" borderId="13" xfId="0" applyFont="1" applyFill="1" applyBorder="1" applyAlignment="1">
      <alignment horizontal="left" vertical="top"/>
    </xf>
    <xf numFmtId="0" fontId="78" fillId="30" borderId="110" xfId="0" applyFont="1" applyFill="1" applyBorder="1" applyAlignment="1">
      <alignment horizontal="left" vertical="top"/>
    </xf>
    <xf numFmtId="0" fontId="78" fillId="30" borderId="113" xfId="0" applyFont="1" applyFill="1" applyBorder="1" applyAlignment="1">
      <alignment horizontal="left" vertical="top"/>
    </xf>
    <xf numFmtId="0" fontId="78" fillId="30" borderId="121" xfId="0" applyFont="1" applyFill="1" applyBorder="1" applyAlignment="1">
      <alignment horizontal="left" vertical="top"/>
    </xf>
    <xf numFmtId="0" fontId="39" fillId="13" borderId="50" xfId="0" applyFont="1" applyFill="1" applyBorder="1" applyAlignment="1">
      <alignment horizontal="left" vertical="center" wrapText="1"/>
    </xf>
    <xf numFmtId="0" fontId="5" fillId="13" borderId="61" xfId="0" applyFont="1" applyFill="1" applyBorder="1" applyAlignment="1">
      <alignment horizontal="left" vertical="top" wrapText="1"/>
    </xf>
    <xf numFmtId="0" fontId="6" fillId="35" borderId="25" xfId="0" applyFont="1" applyFill="1" applyBorder="1" applyAlignment="1" applyProtection="1">
      <alignment vertical="top"/>
      <protection locked="0"/>
    </xf>
    <xf numFmtId="0" fontId="6" fillId="35" borderId="26" xfId="0" applyFont="1" applyFill="1" applyBorder="1" applyAlignment="1" applyProtection="1">
      <alignment vertical="top"/>
      <protection locked="0"/>
    </xf>
    <xf numFmtId="0" fontId="6" fillId="35" borderId="27" xfId="0" applyFont="1" applyFill="1" applyBorder="1" applyAlignment="1" applyProtection="1">
      <alignment vertical="top"/>
      <protection locked="0"/>
    </xf>
    <xf numFmtId="0" fontId="7" fillId="13" borderId="13" xfId="0" applyFont="1" applyFill="1" applyBorder="1" applyAlignment="1">
      <alignment vertical="top"/>
    </xf>
    <xf numFmtId="0" fontId="6" fillId="35" borderId="25" xfId="0" applyFont="1" applyFill="1" applyBorder="1" applyAlignment="1" applyProtection="1">
      <alignment horizontal="left" vertical="top"/>
      <protection locked="0"/>
    </xf>
    <xf numFmtId="0" fontId="6" fillId="35" borderId="26" xfId="0" applyFont="1" applyFill="1" applyBorder="1" applyAlignment="1" applyProtection="1">
      <alignment horizontal="left" vertical="top"/>
      <protection locked="0"/>
    </xf>
    <xf numFmtId="0" fontId="6" fillId="35" borderId="27" xfId="0" applyFont="1" applyFill="1" applyBorder="1" applyAlignment="1" applyProtection="1">
      <alignment horizontal="left" vertical="top"/>
      <protection locked="0"/>
    </xf>
    <xf numFmtId="0" fontId="78" fillId="30" borderId="111" xfId="0" applyFont="1" applyFill="1" applyBorder="1" applyAlignment="1">
      <alignment vertical="top"/>
    </xf>
    <xf numFmtId="0" fontId="78" fillId="30" borderId="112" xfId="0" applyFont="1" applyFill="1" applyBorder="1" applyAlignment="1">
      <alignment vertical="top"/>
    </xf>
    <xf numFmtId="0" fontId="78" fillId="30" borderId="120" xfId="0" applyFont="1" applyFill="1" applyBorder="1" applyAlignment="1">
      <alignment vertical="top"/>
    </xf>
    <xf numFmtId="0" fontId="6" fillId="25" borderId="13" xfId="0" applyFont="1" applyFill="1" applyBorder="1" applyAlignment="1" applyProtection="1">
      <alignment horizontal="left" vertical="center"/>
      <protection locked="0"/>
    </xf>
    <xf numFmtId="0" fontId="78" fillId="30" borderId="69" xfId="0" applyFont="1" applyFill="1" applyBorder="1" applyAlignment="1">
      <alignment horizontal="left" vertical="center" wrapText="1"/>
    </xf>
    <xf numFmtId="0" fontId="6" fillId="33" borderId="13" xfId="0" applyFont="1" applyFill="1" applyBorder="1" applyAlignment="1">
      <alignment vertical="top"/>
    </xf>
    <xf numFmtId="0" fontId="0" fillId="0" borderId="0" xfId="0" applyAlignment="1">
      <alignment horizontal="left" vertical="top"/>
    </xf>
    <xf numFmtId="0" fontId="6" fillId="33" borderId="13" xfId="0" applyFont="1" applyFill="1" applyBorder="1" applyAlignment="1">
      <alignment horizontal="left" vertical="top"/>
    </xf>
    <xf numFmtId="0" fontId="78" fillId="30" borderId="69" xfId="0" applyFont="1" applyFill="1" applyBorder="1" applyAlignment="1">
      <alignment horizontal="left" vertical="top"/>
    </xf>
    <xf numFmtId="0" fontId="78" fillId="30" borderId="70" xfId="0" applyFont="1" applyFill="1" applyBorder="1" applyAlignment="1">
      <alignment vertical="top"/>
    </xf>
    <xf numFmtId="0" fontId="78" fillId="30" borderId="70" xfId="0" applyFont="1" applyFill="1" applyBorder="1" applyAlignment="1">
      <alignment horizontal="left" vertical="center" wrapText="1"/>
    </xf>
    <xf numFmtId="0" fontId="8" fillId="20" borderId="130" xfId="14" applyFill="1" applyBorder="1" applyAlignment="1" applyProtection="1">
      <alignment horizontal="center" vertical="top" wrapText="1"/>
    </xf>
    <xf numFmtId="0" fontId="48" fillId="13" borderId="61" xfId="0" quotePrefix="1" applyFont="1" applyFill="1" applyBorder="1" applyAlignment="1">
      <alignment horizontal="right" vertical="top" wrapText="1"/>
    </xf>
    <xf numFmtId="0" fontId="48" fillId="13" borderId="50" xfId="0" quotePrefix="1" applyFont="1" applyFill="1" applyBorder="1" applyAlignment="1">
      <alignment horizontal="right" vertical="top" wrapText="1"/>
    </xf>
    <xf numFmtId="0" fontId="4" fillId="13" borderId="12" xfId="0" applyFont="1" applyFill="1" applyBorder="1" applyAlignment="1">
      <alignment horizontal="left"/>
    </xf>
    <xf numFmtId="0" fontId="4" fillId="13" borderId="12" xfId="0" applyFont="1" applyFill="1" applyBorder="1" applyAlignment="1">
      <alignment horizontal="left" wrapText="1"/>
    </xf>
    <xf numFmtId="0" fontId="2" fillId="34" borderId="13" xfId="0" applyFont="1" applyFill="1" applyBorder="1" applyAlignment="1" applyProtection="1">
      <alignment horizontal="left" vertical="center" wrapText="1"/>
      <protection locked="0"/>
    </xf>
    <xf numFmtId="0" fontId="2" fillId="34" borderId="13" xfId="0" applyFont="1" applyFill="1" applyBorder="1" applyAlignment="1" applyProtection="1">
      <alignment horizontal="left" vertical="center"/>
      <protection locked="0"/>
    </xf>
    <xf numFmtId="0" fontId="2" fillId="34" borderId="25" xfId="0" applyFont="1" applyFill="1" applyBorder="1" applyAlignment="1" applyProtection="1">
      <alignment horizontal="left" vertical="center"/>
      <protection locked="0"/>
    </xf>
    <xf numFmtId="3" fontId="6" fillId="13" borderId="111" xfId="0" applyNumberFormat="1" applyFont="1" applyFill="1" applyBorder="1" applyAlignment="1">
      <alignment horizontal="center" vertical="top"/>
    </xf>
    <xf numFmtId="3" fontId="6" fillId="13" borderId="120" xfId="0" applyNumberFormat="1" applyFont="1" applyFill="1" applyBorder="1" applyAlignment="1">
      <alignment horizontal="center" vertical="top"/>
    </xf>
    <xf numFmtId="3" fontId="6" fillId="33" borderId="70" xfId="0" applyNumberFormat="1" applyFont="1" applyFill="1" applyBorder="1" applyAlignment="1">
      <alignment horizontal="center" vertical="top"/>
    </xf>
    <xf numFmtId="0" fontId="95" fillId="0" borderId="29" xfId="0" applyFont="1" applyBorder="1" applyAlignment="1">
      <alignment horizontal="center" vertical="center"/>
    </xf>
    <xf numFmtId="0" fontId="95" fillId="0" borderId="34" xfId="0" applyFont="1" applyBorder="1" applyAlignment="1">
      <alignment horizontal="center" vertical="center"/>
    </xf>
    <xf numFmtId="14" fontId="95" fillId="30" borderId="113" xfId="0" applyNumberFormat="1" applyFont="1" applyFill="1" applyBorder="1" applyAlignment="1">
      <alignment horizontal="left"/>
    </xf>
    <xf numFmtId="14" fontId="95" fillId="30" borderId="121" xfId="0" applyNumberFormat="1" applyFont="1" applyFill="1" applyBorder="1" applyAlignment="1">
      <alignment horizontal="left"/>
    </xf>
    <xf numFmtId="3" fontId="6" fillId="34" borderId="69" xfId="0" applyNumberFormat="1" applyFont="1" applyFill="1" applyBorder="1" applyAlignment="1" applyProtection="1">
      <alignment horizontal="center" vertical="top"/>
      <protection locked="0"/>
    </xf>
    <xf numFmtId="3" fontId="6" fillId="13" borderId="69" xfId="0" applyNumberFormat="1" applyFont="1" applyFill="1" applyBorder="1" applyAlignment="1">
      <alignment horizontal="center" vertical="top"/>
    </xf>
    <xf numFmtId="3" fontId="6" fillId="33" borderId="69" xfId="0" applyNumberFormat="1" applyFont="1" applyFill="1" applyBorder="1" applyAlignment="1">
      <alignment horizontal="center" vertical="top"/>
    </xf>
    <xf numFmtId="3" fontId="6" fillId="33" borderId="121" xfId="0" applyNumberFormat="1" applyFont="1" applyFill="1" applyBorder="1" applyAlignment="1">
      <alignment horizontal="center" vertical="top"/>
    </xf>
    <xf numFmtId="14" fontId="95" fillId="30" borderId="112" xfId="0" applyNumberFormat="1" applyFont="1" applyFill="1" applyBorder="1" applyAlignment="1">
      <alignment horizontal="left"/>
    </xf>
    <xf numFmtId="14" fontId="95" fillId="30" borderId="120" xfId="0" applyNumberFormat="1" applyFont="1" applyFill="1" applyBorder="1" applyAlignment="1">
      <alignment horizontal="left"/>
    </xf>
    <xf numFmtId="3" fontId="6" fillId="13" borderId="70" xfId="0" applyNumberFormat="1" applyFont="1" applyFill="1" applyBorder="1" applyAlignment="1">
      <alignment horizontal="center" vertical="top"/>
    </xf>
    <xf numFmtId="3" fontId="6" fillId="34" borderId="70" xfId="0" applyNumberFormat="1" applyFont="1" applyFill="1" applyBorder="1" applyAlignment="1" applyProtection="1">
      <alignment horizontal="center" vertical="top"/>
      <protection locked="0"/>
    </xf>
    <xf numFmtId="0" fontId="6" fillId="13" borderId="34" xfId="0" applyFont="1" applyFill="1" applyBorder="1" applyAlignment="1">
      <alignment horizontal="center" vertical="top" wrapText="1"/>
    </xf>
    <xf numFmtId="0" fontId="6" fillId="13" borderId="12" xfId="0" applyFont="1" applyFill="1" applyBorder="1" applyAlignment="1">
      <alignment horizontal="center" vertical="top" wrapText="1"/>
    </xf>
    <xf numFmtId="0" fontId="6" fillId="13" borderId="35" xfId="0" applyFont="1" applyFill="1" applyBorder="1" applyAlignment="1">
      <alignment horizontal="center" vertical="top" wrapText="1"/>
    </xf>
    <xf numFmtId="0" fontId="6" fillId="34" borderId="13" xfId="0" applyFont="1" applyFill="1" applyBorder="1" applyAlignment="1" applyProtection="1">
      <alignment horizontal="left" vertical="top"/>
      <protection locked="0"/>
    </xf>
    <xf numFmtId="0" fontId="24" fillId="13" borderId="29" xfId="0" applyFont="1" applyFill="1" applyBorder="1" applyAlignment="1">
      <alignment horizontal="center" vertical="top" wrapText="1"/>
    </xf>
    <xf numFmtId="0" fontId="24" fillId="13" borderId="64" xfId="0" applyFont="1" applyFill="1" applyBorder="1" applyAlignment="1">
      <alignment horizontal="center" vertical="top" wrapText="1"/>
    </xf>
    <xf numFmtId="0" fontId="24" fillId="13" borderId="30" xfId="0" applyFont="1" applyFill="1" applyBorder="1" applyAlignment="1">
      <alignment horizontal="center" vertical="top" wrapText="1"/>
    </xf>
    <xf numFmtId="3" fontId="90" fillId="30" borderId="69" xfId="0" applyNumberFormat="1" applyFont="1" applyFill="1" applyBorder="1" applyAlignment="1">
      <alignment horizontal="center" vertical="top"/>
    </xf>
    <xf numFmtId="14" fontId="90" fillId="30" borderId="112" xfId="0" applyNumberFormat="1" applyFont="1" applyFill="1" applyBorder="1" applyAlignment="1">
      <alignment horizontal="left"/>
    </xf>
    <xf numFmtId="14" fontId="90" fillId="30" borderId="120" xfId="0" applyNumberFormat="1" applyFont="1" applyFill="1" applyBorder="1" applyAlignment="1">
      <alignment horizontal="left"/>
    </xf>
    <xf numFmtId="3" fontId="90" fillId="30" borderId="70" xfId="0" applyNumberFormat="1" applyFont="1" applyFill="1" applyBorder="1" applyAlignment="1">
      <alignment horizontal="center" vertical="top"/>
    </xf>
    <xf numFmtId="3" fontId="90" fillId="30" borderId="111" xfId="0" applyNumberFormat="1" applyFont="1" applyFill="1" applyBorder="1" applyAlignment="1">
      <alignment horizontal="center" vertical="top"/>
    </xf>
    <xf numFmtId="3" fontId="90" fillId="30" borderId="120" xfId="0" applyNumberFormat="1" applyFont="1" applyFill="1" applyBorder="1" applyAlignment="1">
      <alignment horizontal="center" vertical="top"/>
    </xf>
    <xf numFmtId="0" fontId="90" fillId="30" borderId="29" xfId="0" applyFont="1" applyFill="1" applyBorder="1" applyAlignment="1">
      <alignment horizontal="center" vertical="center"/>
    </xf>
    <xf numFmtId="0" fontId="90" fillId="30" borderId="34" xfId="0" applyFont="1" applyFill="1" applyBorder="1" applyAlignment="1">
      <alignment horizontal="center" vertical="center"/>
    </xf>
    <xf numFmtId="14" fontId="90" fillId="30" borderId="113" xfId="0" applyNumberFormat="1" applyFont="1" applyFill="1" applyBorder="1" applyAlignment="1">
      <alignment horizontal="left"/>
    </xf>
    <xf numFmtId="14" fontId="90" fillId="30" borderId="121" xfId="0" applyNumberFormat="1" applyFont="1" applyFill="1" applyBorder="1" applyAlignment="1">
      <alignment horizontal="left"/>
    </xf>
    <xf numFmtId="0" fontId="93" fillId="30" borderId="29" xfId="0" applyFont="1" applyFill="1" applyBorder="1" applyAlignment="1">
      <alignment horizontal="center" vertical="top" wrapText="1"/>
    </xf>
    <xf numFmtId="0" fontId="93" fillId="30" borderId="64" xfId="0" applyFont="1" applyFill="1" applyBorder="1" applyAlignment="1">
      <alignment horizontal="center" vertical="top" wrapText="1"/>
    </xf>
    <xf numFmtId="0" fontId="93" fillId="30" borderId="30" xfId="0" applyFont="1" applyFill="1" applyBorder="1" applyAlignment="1">
      <alignment horizontal="center" vertical="top" wrapText="1"/>
    </xf>
    <xf numFmtId="0" fontId="90" fillId="13" borderId="12" xfId="0" applyFont="1" applyFill="1" applyBorder="1" applyAlignment="1">
      <alignment horizontal="center" vertical="top" wrapText="1"/>
    </xf>
    <xf numFmtId="0" fontId="90" fillId="13" borderId="35" xfId="0" applyFont="1" applyFill="1" applyBorder="1" applyAlignment="1">
      <alignment horizontal="center" vertical="top" wrapText="1"/>
    </xf>
    <xf numFmtId="3" fontId="90" fillId="30" borderId="121" xfId="0" applyNumberFormat="1" applyFont="1" applyFill="1" applyBorder="1" applyAlignment="1">
      <alignment horizontal="center" vertical="top"/>
    </xf>
    <xf numFmtId="0" fontId="93" fillId="13" borderId="29" xfId="0" applyFont="1" applyFill="1" applyBorder="1" applyAlignment="1">
      <alignment horizontal="center" vertical="top" wrapText="1"/>
    </xf>
    <xf numFmtId="0" fontId="93" fillId="13" borderId="30" xfId="0" applyFont="1" applyFill="1" applyBorder="1" applyAlignment="1">
      <alignment horizontal="center" vertical="top" wrapText="1"/>
    </xf>
    <xf numFmtId="0" fontId="93" fillId="13" borderId="64" xfId="0" applyFont="1" applyFill="1" applyBorder="1" applyAlignment="1">
      <alignment horizontal="center" vertical="top" wrapText="1"/>
    </xf>
    <xf numFmtId="0" fontId="90" fillId="13" borderId="34" xfId="0" applyFont="1" applyFill="1" applyBorder="1" applyAlignment="1">
      <alignment horizontal="center" vertical="top" wrapText="1"/>
    </xf>
    <xf numFmtId="0" fontId="90" fillId="30" borderId="34" xfId="0" applyFont="1" applyFill="1" applyBorder="1" applyAlignment="1">
      <alignment horizontal="center" vertical="top" wrapText="1"/>
    </xf>
    <xf numFmtId="0" fontId="90" fillId="30" borderId="12" xfId="0" applyFont="1" applyFill="1" applyBorder="1" applyAlignment="1">
      <alignment horizontal="center" vertical="top" wrapText="1"/>
    </xf>
    <xf numFmtId="0" fontId="90" fillId="30" borderId="35" xfId="0" applyFont="1" applyFill="1" applyBorder="1" applyAlignment="1">
      <alignment horizontal="center" vertical="top" wrapText="1"/>
    </xf>
    <xf numFmtId="0" fontId="2" fillId="33" borderId="25" xfId="0" applyFont="1" applyFill="1" applyBorder="1" applyAlignment="1">
      <alignment horizontal="left" vertical="top"/>
    </xf>
    <xf numFmtId="0" fontId="2" fillId="33" borderId="26" xfId="0" applyFont="1" applyFill="1" applyBorder="1" applyAlignment="1">
      <alignment horizontal="left" vertical="top"/>
    </xf>
    <xf numFmtId="0" fontId="2" fillId="33" borderId="27" xfId="0" applyFont="1" applyFill="1" applyBorder="1" applyAlignment="1">
      <alignment horizontal="left" vertical="top"/>
    </xf>
    <xf numFmtId="0" fontId="80" fillId="0" borderId="13" xfId="0" applyFont="1" applyBorder="1" applyAlignment="1">
      <alignment horizontal="left" vertical="center" wrapText="1"/>
    </xf>
    <xf numFmtId="0" fontId="5" fillId="13" borderId="32" xfId="0" applyFont="1" applyFill="1" applyBorder="1" applyAlignment="1">
      <alignment horizontal="left" vertical="center" wrapText="1"/>
    </xf>
    <xf numFmtId="0" fontId="5" fillId="13" borderId="0" xfId="0" applyFont="1" applyFill="1" applyAlignment="1">
      <alignment horizontal="left" vertical="center" wrapText="1"/>
    </xf>
    <xf numFmtId="0" fontId="80" fillId="0" borderId="13" xfId="0" applyFont="1" applyBorder="1" applyAlignment="1">
      <alignment horizontal="center" vertical="center" wrapText="1"/>
    </xf>
    <xf numFmtId="0" fontId="80" fillId="0" borderId="13" xfId="0" applyFont="1" applyBorder="1" applyAlignment="1">
      <alignment horizontal="center" vertical="center"/>
    </xf>
    <xf numFmtId="0" fontId="4" fillId="13" borderId="28" xfId="0" applyFont="1" applyFill="1" applyBorder="1" applyAlignment="1">
      <alignment horizontal="left" vertical="center"/>
    </xf>
    <xf numFmtId="0" fontId="4" fillId="13" borderId="65" xfId="0" applyFont="1" applyFill="1" applyBorder="1" applyAlignment="1">
      <alignment horizontal="left" vertical="center"/>
    </xf>
    <xf numFmtId="0" fontId="80" fillId="0" borderId="29" xfId="0" applyFont="1" applyBorder="1" applyAlignment="1">
      <alignment horizontal="center" vertical="center"/>
    </xf>
    <xf numFmtId="0" fontId="80" fillId="0" borderId="30" xfId="0" applyFont="1" applyBorder="1" applyAlignment="1">
      <alignment horizontal="center" vertical="center"/>
    </xf>
    <xf numFmtId="0" fontId="80" fillId="0" borderId="32" xfId="0" applyFont="1" applyBorder="1" applyAlignment="1">
      <alignment horizontal="center" vertical="center"/>
    </xf>
    <xf numFmtId="0" fontId="80" fillId="0" borderId="33" xfId="0" applyFont="1" applyBorder="1" applyAlignment="1">
      <alignment horizontal="center" vertical="center"/>
    </xf>
    <xf numFmtId="0" fontId="80" fillId="0" borderId="34" xfId="0" applyFont="1" applyBorder="1" applyAlignment="1">
      <alignment horizontal="center" vertical="center"/>
    </xf>
    <xf numFmtId="0" fontId="80" fillId="0" borderId="35" xfId="0" applyFont="1" applyBorder="1" applyAlignment="1">
      <alignment horizontal="center" vertical="center"/>
    </xf>
    <xf numFmtId="0" fontId="80" fillId="0" borderId="28" xfId="0" applyFont="1" applyBorder="1" applyAlignment="1">
      <alignment horizontal="center" vertical="center"/>
    </xf>
    <xf numFmtId="0" fontId="80" fillId="0" borderId="65" xfId="0" applyFont="1" applyBorder="1" applyAlignment="1">
      <alignment horizontal="center" vertical="center"/>
    </xf>
    <xf numFmtId="0" fontId="80" fillId="0" borderId="28" xfId="0" applyFont="1" applyBorder="1" applyAlignment="1">
      <alignment horizontal="center" vertical="center" wrapText="1"/>
    </xf>
    <xf numFmtId="0" fontId="80" fillId="0" borderId="65" xfId="0" applyFont="1" applyBorder="1" applyAlignment="1">
      <alignment horizontal="center" vertical="center" wrapText="1"/>
    </xf>
    <xf numFmtId="0" fontId="5" fillId="13" borderId="0" xfId="0" quotePrefix="1" applyFont="1" applyFill="1" applyAlignment="1">
      <alignment horizontal="left" vertical="top" wrapText="1"/>
    </xf>
    <xf numFmtId="0" fontId="24" fillId="13" borderId="13" xfId="0" applyFont="1" applyFill="1" applyBorder="1" applyAlignment="1">
      <alignment horizontal="center" vertical="center" textRotation="90" wrapText="1"/>
    </xf>
    <xf numFmtId="0" fontId="2" fillId="13" borderId="135" xfId="0" applyFont="1" applyFill="1" applyBorder="1" applyAlignment="1">
      <alignment horizontal="center" vertical="top"/>
    </xf>
    <xf numFmtId="0" fontId="2" fillId="34" borderId="25" xfId="0" applyFont="1" applyFill="1" applyBorder="1" applyAlignment="1" applyProtection="1">
      <alignment horizontal="left" vertical="top"/>
      <protection locked="0"/>
    </xf>
    <xf numFmtId="0" fontId="2" fillId="34" borderId="26" xfId="0" applyFont="1" applyFill="1" applyBorder="1" applyAlignment="1" applyProtection="1">
      <alignment horizontal="left" vertical="top"/>
      <protection locked="0"/>
    </xf>
    <xf numFmtId="0" fontId="2" fillId="34" borderId="27" xfId="0" applyFont="1" applyFill="1" applyBorder="1" applyAlignment="1" applyProtection="1">
      <alignment horizontal="left" vertical="top"/>
      <protection locked="0"/>
    </xf>
    <xf numFmtId="167" fontId="2" fillId="38" borderId="18" xfId="0" applyNumberFormat="1" applyFont="1" applyFill="1" applyBorder="1" applyAlignment="1">
      <alignment horizontal="center" vertical="center" shrinkToFit="1"/>
    </xf>
    <xf numFmtId="167" fontId="2" fillId="38" borderId="20" xfId="0" applyNumberFormat="1" applyFont="1" applyFill="1" applyBorder="1" applyAlignment="1">
      <alignment horizontal="center" vertical="center" shrinkToFit="1"/>
    </xf>
    <xf numFmtId="0" fontId="2" fillId="13" borderId="136" xfId="0" applyFont="1" applyFill="1" applyBorder="1" applyAlignment="1">
      <alignment horizontal="center" vertical="top"/>
    </xf>
    <xf numFmtId="0" fontId="103" fillId="13" borderId="13" xfId="0" applyFont="1" applyFill="1" applyBorder="1" applyAlignment="1">
      <alignment horizontal="center" vertical="center" textRotation="90" wrapText="1"/>
    </xf>
    <xf numFmtId="0" fontId="99" fillId="13" borderId="41" xfId="0" applyFont="1" applyFill="1" applyBorder="1" applyAlignment="1">
      <alignment horizontal="center" vertical="center"/>
    </xf>
    <xf numFmtId="167" fontId="100" fillId="38" borderId="18" xfId="0" applyNumberFormat="1" applyFont="1" applyFill="1" applyBorder="1" applyAlignment="1">
      <alignment horizontal="center" vertical="center" shrinkToFit="1"/>
    </xf>
    <xf numFmtId="167" fontId="100" fillId="38" borderId="20" xfId="0" applyNumberFormat="1" applyFont="1" applyFill="1" applyBorder="1" applyAlignment="1">
      <alignment horizontal="center" vertical="center" shrinkToFit="1"/>
    </xf>
    <xf numFmtId="0" fontId="100" fillId="13" borderId="135" xfId="0" applyFont="1" applyFill="1" applyBorder="1" applyAlignment="1">
      <alignment horizontal="center" vertical="top"/>
    </xf>
    <xf numFmtId="0" fontId="99" fillId="0" borderId="29" xfId="0" applyFont="1" applyBorder="1" applyAlignment="1">
      <alignment horizontal="center" vertical="center"/>
    </xf>
    <xf numFmtId="0" fontId="99" fillId="0" borderId="30" xfId="0" applyFont="1" applyBorder="1" applyAlignment="1">
      <alignment horizontal="center" vertical="center"/>
    </xf>
    <xf numFmtId="0" fontId="99" fillId="0" borderId="32" xfId="0" applyFont="1" applyBorder="1" applyAlignment="1">
      <alignment horizontal="center" vertical="center"/>
    </xf>
    <xf numFmtId="0" fontId="99" fillId="0" borderId="33" xfId="0" applyFont="1" applyBorder="1" applyAlignment="1">
      <alignment horizontal="center" vertical="center"/>
    </xf>
    <xf numFmtId="0" fontId="99" fillId="0" borderId="34" xfId="0" applyFont="1" applyBorder="1" applyAlignment="1">
      <alignment horizontal="center" vertical="center"/>
    </xf>
    <xf numFmtId="0" fontId="99" fillId="0" borderId="35" xfId="0" applyFont="1" applyBorder="1" applyAlignment="1">
      <alignment horizontal="center" vertical="center"/>
    </xf>
    <xf numFmtId="0" fontId="102" fillId="13" borderId="0" xfId="0" quotePrefix="1" applyFont="1" applyFill="1" applyAlignment="1">
      <alignment horizontal="left" vertical="top" wrapText="1"/>
    </xf>
    <xf numFmtId="0" fontId="8" fillId="37" borderId="19" xfId="14" applyFill="1" applyBorder="1" applyAlignment="1" applyProtection="1">
      <alignment horizontal="center"/>
    </xf>
    <xf numFmtId="0" fontId="100" fillId="30" borderId="25" xfId="0" applyFont="1" applyFill="1" applyBorder="1" applyAlignment="1">
      <alignment horizontal="left" vertical="top"/>
    </xf>
    <xf numFmtId="0" fontId="100" fillId="30" borderId="26" xfId="0" applyFont="1" applyFill="1" applyBorder="1" applyAlignment="1">
      <alignment horizontal="left" vertical="top"/>
    </xf>
    <xf numFmtId="0" fontId="100" fillId="30" borderId="27" xfId="0" applyFont="1" applyFill="1" applyBorder="1" applyAlignment="1">
      <alignment horizontal="left" vertical="top"/>
    </xf>
    <xf numFmtId="0" fontId="100" fillId="13" borderId="136" xfId="0" applyFont="1" applyFill="1" applyBorder="1" applyAlignment="1">
      <alignment horizontal="center" vertical="top"/>
    </xf>
    <xf numFmtId="0" fontId="99" fillId="0" borderId="28" xfId="0" applyFont="1" applyBorder="1" applyAlignment="1">
      <alignment horizontal="center" vertical="center"/>
    </xf>
    <xf numFmtId="0" fontId="99" fillId="0" borderId="65" xfId="0" applyFont="1" applyBorder="1" applyAlignment="1">
      <alignment horizontal="center" vertical="center"/>
    </xf>
    <xf numFmtId="0" fontId="99" fillId="0" borderId="28" xfId="0" applyFont="1" applyBorder="1" applyAlignment="1">
      <alignment horizontal="center" vertical="center" wrapText="1"/>
    </xf>
    <xf numFmtId="0" fontId="99" fillId="0" borderId="65" xfId="0" applyFont="1" applyBorder="1" applyAlignment="1">
      <alignment horizontal="center" vertical="center" wrapText="1"/>
    </xf>
    <xf numFmtId="0" fontId="8" fillId="20" borderId="133" xfId="14" applyFill="1" applyBorder="1" applyAlignment="1" applyProtection="1">
      <alignment horizontal="center" vertical="top" wrapText="1"/>
    </xf>
    <xf numFmtId="0" fontId="8" fillId="20" borderId="107" xfId="14" applyFill="1" applyBorder="1" applyAlignment="1" applyProtection="1"/>
    <xf numFmtId="0" fontId="8" fillId="20" borderId="116" xfId="14" applyFill="1" applyBorder="1" applyAlignment="1" applyProtection="1"/>
    <xf numFmtId="0" fontId="8" fillId="20" borderId="124" xfId="14" quotePrefix="1" applyFill="1" applyBorder="1" applyAlignment="1" applyProtection="1">
      <alignment horizontal="center"/>
    </xf>
    <xf numFmtId="0" fontId="8" fillId="20" borderId="125" xfId="14" applyFill="1" applyBorder="1" applyAlignment="1" applyProtection="1">
      <alignment horizontal="center"/>
    </xf>
    <xf numFmtId="0" fontId="8" fillId="20" borderId="134" xfId="14" applyFill="1" applyBorder="1" applyAlignment="1" applyProtection="1">
      <alignment horizontal="center" vertical="top" wrapText="1"/>
    </xf>
    <xf numFmtId="0" fontId="0" fillId="26" borderId="32" xfId="0" applyFill="1" applyBorder="1" applyAlignment="1" applyProtection="1">
      <alignment wrapText="1"/>
      <protection locked="0"/>
    </xf>
    <xf numFmtId="0" fontId="2" fillId="13" borderId="0" xfId="0" applyFont="1" applyFill="1" applyAlignment="1" applyProtection="1">
      <alignment wrapText="1"/>
      <protection locked="0"/>
    </xf>
    <xf numFmtId="0" fontId="2" fillId="13" borderId="33" xfId="0" applyFont="1" applyFill="1" applyBorder="1" applyAlignment="1" applyProtection="1">
      <alignment wrapText="1"/>
      <protection locked="0"/>
    </xf>
    <xf numFmtId="0" fontId="3" fillId="17" borderId="0" xfId="0" applyFont="1" applyFill="1" applyAlignment="1">
      <alignment vertical="top" wrapText="1"/>
    </xf>
    <xf numFmtId="0" fontId="0" fillId="26" borderId="29" xfId="0" applyFill="1" applyBorder="1" applyAlignment="1" applyProtection="1">
      <alignment wrapText="1"/>
      <protection locked="0"/>
    </xf>
    <xf numFmtId="0" fontId="2" fillId="13" borderId="64" xfId="0" applyFont="1" applyFill="1" applyBorder="1" applyAlignment="1" applyProtection="1">
      <alignment wrapText="1"/>
      <protection locked="0"/>
    </xf>
    <xf numFmtId="0" fontId="2" fillId="13" borderId="30" xfId="0" applyFont="1" applyFill="1" applyBorder="1" applyAlignment="1" applyProtection="1">
      <alignment wrapText="1"/>
      <protection locked="0"/>
    </xf>
    <xf numFmtId="0" fontId="4" fillId="13" borderId="13" xfId="0" applyFont="1" applyFill="1" applyBorder="1" applyAlignment="1">
      <alignment horizontal="left" vertical="top" wrapText="1"/>
    </xf>
    <xf numFmtId="0" fontId="6" fillId="34" borderId="13" xfId="0" applyFont="1" applyFill="1" applyBorder="1" applyAlignment="1" applyProtection="1">
      <alignment horizontal="left" vertical="top" wrapText="1" shrinkToFit="1"/>
      <protection locked="0"/>
    </xf>
    <xf numFmtId="0" fontId="6" fillId="34" borderId="13" xfId="0" applyFont="1" applyFill="1" applyBorder="1" applyAlignment="1" applyProtection="1">
      <alignment horizontal="left" vertical="top" wrapText="1"/>
      <protection locked="0"/>
    </xf>
    <xf numFmtId="0" fontId="0" fillId="26" borderId="34" xfId="0" applyFill="1" applyBorder="1" applyAlignment="1" applyProtection="1">
      <alignment wrapText="1"/>
      <protection locked="0"/>
    </xf>
    <xf numFmtId="0" fontId="2" fillId="13" borderId="12" xfId="0" applyFont="1" applyFill="1" applyBorder="1" applyAlignment="1" applyProtection="1">
      <alignment wrapText="1"/>
      <protection locked="0"/>
    </xf>
    <xf numFmtId="0" fontId="2" fillId="13" borderId="35" xfId="0" applyFont="1" applyFill="1" applyBorder="1" applyAlignment="1" applyProtection="1">
      <alignment wrapText="1"/>
      <protection locked="0"/>
    </xf>
    <xf numFmtId="0" fontId="6" fillId="33" borderId="13" xfId="19" applyFont="1" applyFill="1" applyBorder="1" applyAlignment="1"/>
    <xf numFmtId="0" fontId="75" fillId="13" borderId="31" xfId="19" applyFont="1" applyFill="1" applyBorder="1" applyAlignment="1">
      <alignment horizontal="left" wrapText="1"/>
    </xf>
    <xf numFmtId="0" fontId="75" fillId="13" borderId="65" xfId="19" applyFont="1" applyFill="1" applyBorder="1" applyAlignment="1">
      <alignment horizontal="left" wrapText="1"/>
    </xf>
    <xf numFmtId="0" fontId="4" fillId="13" borderId="51" xfId="19" applyFont="1" applyFill="1" applyBorder="1" applyAlignment="1">
      <alignment horizontal="left" wrapText="1"/>
    </xf>
    <xf numFmtId="0" fontId="4" fillId="13" borderId="119" xfId="19" applyFont="1" applyFill="1" applyBorder="1" applyAlignment="1">
      <alignment horizontal="left" wrapText="1"/>
    </xf>
    <xf numFmtId="0" fontId="2" fillId="18" borderId="114" xfId="19" applyFill="1" applyBorder="1" applyAlignment="1">
      <alignment horizontal="left" vertical="top"/>
    </xf>
    <xf numFmtId="0" fontId="2" fillId="18" borderId="51" xfId="19" applyFill="1" applyBorder="1" applyAlignment="1">
      <alignment horizontal="left" vertical="top"/>
    </xf>
    <xf numFmtId="0" fontId="2" fillId="18" borderId="119" xfId="19" applyFill="1" applyBorder="1" applyAlignment="1">
      <alignment horizontal="left" vertical="top"/>
    </xf>
    <xf numFmtId="0" fontId="10" fillId="13" borderId="0" xfId="19" applyFont="1" applyFill="1" applyAlignment="1">
      <alignment horizontal="left" vertical="center"/>
    </xf>
    <xf numFmtId="0" fontId="10" fillId="13" borderId="71" xfId="19" applyFont="1" applyFill="1" applyBorder="1" applyAlignment="1">
      <alignment horizontal="left" vertical="center"/>
    </xf>
    <xf numFmtId="0" fontId="28" fillId="13" borderId="12" xfId="19" applyFont="1" applyFill="1" applyBorder="1" applyAlignment="1">
      <alignment horizontal="left" wrapText="1"/>
    </xf>
    <xf numFmtId="0" fontId="28" fillId="13" borderId="35" xfId="19" applyFont="1" applyFill="1" applyBorder="1" applyAlignment="1">
      <alignment horizontal="left" wrapText="1"/>
    </xf>
    <xf numFmtId="0" fontId="4" fillId="13" borderId="19" xfId="19" applyFont="1" applyFill="1" applyBorder="1" applyAlignment="1">
      <alignment horizontal="left" vertical="center"/>
    </xf>
    <xf numFmtId="0" fontId="4" fillId="13" borderId="20" xfId="19" applyFont="1" applyFill="1" applyBorder="1" applyAlignment="1">
      <alignment horizontal="left" vertical="center"/>
    </xf>
    <xf numFmtId="0" fontId="2" fillId="13" borderId="26" xfId="19" applyFill="1" applyBorder="1" applyAlignment="1">
      <alignment horizontal="left" indent="1"/>
    </xf>
    <xf numFmtId="0" fontId="2" fillId="13" borderId="27" xfId="19" applyFill="1" applyBorder="1" applyAlignment="1">
      <alignment horizontal="left" indent="1"/>
    </xf>
    <xf numFmtId="0" fontId="10" fillId="18" borderId="52" xfId="19" applyFont="1" applyFill="1" applyBorder="1" applyAlignment="1">
      <alignment horizontal="center" vertical="center"/>
    </xf>
    <xf numFmtId="0" fontId="10" fillId="18" borderId="54" xfId="19" applyFont="1" applyFill="1" applyBorder="1" applyAlignment="1">
      <alignment horizontal="center" vertical="center"/>
    </xf>
    <xf numFmtId="0" fontId="2" fillId="18" borderId="110" xfId="19" applyFill="1" applyBorder="1" applyAlignment="1">
      <alignment horizontal="left" vertical="top"/>
    </xf>
    <xf numFmtId="0" fontId="2" fillId="18" borderId="113" xfId="19" applyFill="1" applyBorder="1" applyAlignment="1">
      <alignment horizontal="left" vertical="top"/>
    </xf>
    <xf numFmtId="0" fontId="2" fillId="18" borderId="121" xfId="19" applyFill="1" applyBorder="1" applyAlignment="1">
      <alignment horizontal="left" vertical="top"/>
    </xf>
    <xf numFmtId="0" fontId="6" fillId="33" borderId="25" xfId="19" applyFont="1" applyFill="1" applyBorder="1" applyAlignment="1"/>
    <xf numFmtId="0" fontId="6" fillId="33" borderId="27" xfId="19" applyFont="1" applyFill="1" applyBorder="1" applyAlignment="1"/>
    <xf numFmtId="0" fontId="3" fillId="17" borderId="0" xfId="19" applyFont="1" applyFill="1" applyAlignment="1">
      <alignment horizontal="center" vertical="center"/>
    </xf>
    <xf numFmtId="0" fontId="75" fillId="13" borderId="0" xfId="19" applyFont="1" applyFill="1" applyAlignment="1">
      <alignment horizontal="left" wrapText="1"/>
    </xf>
    <xf numFmtId="0" fontId="75" fillId="13" borderId="33" xfId="19" applyFont="1" applyFill="1" applyBorder="1" applyAlignment="1">
      <alignment horizontal="left" wrapText="1"/>
    </xf>
    <xf numFmtId="0" fontId="75" fillId="13" borderId="12" xfId="19" applyFont="1" applyFill="1" applyBorder="1" applyAlignment="1">
      <alignment horizontal="left" wrapText="1"/>
    </xf>
    <xf numFmtId="0" fontId="75" fillId="13" borderId="35" xfId="19" applyFont="1" applyFill="1" applyBorder="1" applyAlignment="1">
      <alignment horizontal="left" wrapText="1"/>
    </xf>
    <xf numFmtId="0" fontId="4" fillId="20" borderId="63" xfId="19" applyFont="1" applyFill="1" applyBorder="1" applyAlignment="1">
      <alignment horizontal="center" vertical="center" wrapText="1"/>
    </xf>
    <xf numFmtId="0" fontId="2" fillId="20" borderId="42" xfId="19" applyFill="1" applyBorder="1" applyAlignment="1">
      <alignment horizontal="center" vertical="center" wrapText="1"/>
    </xf>
    <xf numFmtId="0" fontId="2" fillId="20" borderId="94" xfId="19" applyFill="1" applyBorder="1" applyAlignment="1">
      <alignment horizontal="center" vertical="center" wrapText="1"/>
    </xf>
    <xf numFmtId="0" fontId="2" fillId="20" borderId="72" xfId="19" applyFill="1" applyBorder="1" applyAlignment="1">
      <alignment horizontal="center" vertical="center" wrapText="1"/>
    </xf>
    <xf numFmtId="0" fontId="2" fillId="20" borderId="0" xfId="19" applyFill="1" applyAlignment="1">
      <alignment horizontal="center" vertical="center" wrapText="1"/>
    </xf>
    <xf numFmtId="0" fontId="2" fillId="20" borderId="71" xfId="19" applyFill="1" applyBorder="1" applyAlignment="1">
      <alignment horizontal="center" vertical="center" wrapText="1"/>
    </xf>
    <xf numFmtId="0" fontId="2" fillId="20" borderId="97" xfId="19" applyFill="1" applyBorder="1" applyAlignment="1">
      <alignment horizontal="center" vertical="center" wrapText="1"/>
    </xf>
    <xf numFmtId="0" fontId="2" fillId="20" borderId="41" xfId="19" applyFill="1" applyBorder="1" applyAlignment="1">
      <alignment horizontal="center" vertical="center" wrapText="1"/>
    </xf>
    <xf numFmtId="0" fontId="2" fillId="20" borderId="98" xfId="19" applyFill="1" applyBorder="1" applyAlignment="1">
      <alignment horizontal="center" vertical="center" wrapText="1"/>
    </xf>
    <xf numFmtId="0" fontId="2" fillId="18" borderId="111" xfId="19" applyFill="1" applyBorder="1" applyAlignment="1">
      <alignment horizontal="left" vertical="top"/>
    </xf>
    <xf numFmtId="0" fontId="2" fillId="18" borderId="112" xfId="19" applyFill="1" applyBorder="1" applyAlignment="1">
      <alignment horizontal="left" vertical="top"/>
    </xf>
    <xf numFmtId="0" fontId="2" fillId="18" borderId="120" xfId="19" applyFill="1" applyBorder="1" applyAlignment="1">
      <alignment horizontal="left" vertical="top"/>
    </xf>
    <xf numFmtId="164" fontId="10" fillId="18" borderId="18" xfId="19" applyNumberFormat="1" applyFont="1" applyFill="1" applyBorder="1" applyAlignment="1">
      <alignment horizontal="right" vertical="center"/>
    </xf>
    <xf numFmtId="164" fontId="10" fillId="18" borderId="19" xfId="19" applyNumberFormat="1" applyFont="1" applyFill="1" applyBorder="1" applyAlignment="1">
      <alignment horizontal="right" vertical="center"/>
    </xf>
    <xf numFmtId="0" fontId="4" fillId="20" borderId="18" xfId="19" applyFont="1" applyFill="1" applyBorder="1" applyAlignment="1">
      <alignment horizontal="center"/>
    </xf>
    <xf numFmtId="0" fontId="4" fillId="20" borderId="20" xfId="19" applyFont="1" applyFill="1" applyBorder="1" applyAlignment="1">
      <alignment horizontal="center"/>
    </xf>
    <xf numFmtId="0" fontId="2" fillId="36" borderId="13" xfId="0" applyFont="1" applyFill="1" applyBorder="1" applyAlignment="1">
      <alignment horizontal="center"/>
    </xf>
    <xf numFmtId="0" fontId="2" fillId="36" borderId="25" xfId="0" applyFont="1" applyFill="1" applyBorder="1" applyAlignment="1">
      <alignment horizontal="center"/>
    </xf>
    <xf numFmtId="0" fontId="2" fillId="36" borderId="26" xfId="0" applyFont="1" applyFill="1" applyBorder="1" applyAlignment="1">
      <alignment horizontal="center"/>
    </xf>
    <xf numFmtId="0" fontId="2" fillId="36" borderId="27" xfId="0" applyFont="1" applyFill="1" applyBorder="1" applyAlignment="1">
      <alignment horizontal="center"/>
    </xf>
    <xf numFmtId="0" fontId="66" fillId="17" borderId="72" xfId="0" applyFont="1" applyFill="1" applyBorder="1" applyAlignment="1">
      <alignment horizontal="center" vertical="center"/>
    </xf>
    <xf numFmtId="0" fontId="66" fillId="17" borderId="0" xfId="0" applyFont="1" applyFill="1" applyAlignment="1">
      <alignment horizontal="center" vertical="center"/>
    </xf>
    <xf numFmtId="0" fontId="66" fillId="17" borderId="71" xfId="0" applyFont="1" applyFill="1" applyBorder="1" applyAlignment="1">
      <alignment horizontal="center" vertical="center"/>
    </xf>
    <xf numFmtId="0" fontId="68" fillId="17" borderId="97" xfId="0" applyFont="1" applyFill="1" applyBorder="1" applyAlignment="1">
      <alignment horizontal="center"/>
    </xf>
    <xf numFmtId="0" fontId="68" fillId="17" borderId="41" xfId="0" applyFont="1" applyFill="1" applyBorder="1" applyAlignment="1">
      <alignment horizontal="center"/>
    </xf>
    <xf numFmtId="0" fontId="68" fillId="17" borderId="98" xfId="0" applyFont="1" applyFill="1" applyBorder="1" applyAlignment="1">
      <alignment horizontal="center"/>
    </xf>
    <xf numFmtId="0" fontId="66" fillId="17" borderId="18" xfId="0" applyFont="1" applyFill="1" applyBorder="1" applyAlignment="1">
      <alignment horizontal="center" vertical="center"/>
    </xf>
    <xf numFmtId="0" fontId="66" fillId="17" borderId="19" xfId="0" applyFont="1" applyFill="1" applyBorder="1" applyAlignment="1">
      <alignment horizontal="center" vertical="center"/>
    </xf>
    <xf numFmtId="0" fontId="66" fillId="17" borderId="20" xfId="0" applyFont="1" applyFill="1" applyBorder="1" applyAlignment="1">
      <alignment horizontal="center" vertical="center"/>
    </xf>
    <xf numFmtId="0" fontId="68" fillId="17" borderId="18" xfId="0" applyFont="1" applyFill="1" applyBorder="1" applyAlignment="1">
      <alignment horizontal="center"/>
    </xf>
    <xf numFmtId="0" fontId="68" fillId="17" borderId="19" xfId="0" applyFont="1" applyFill="1" applyBorder="1" applyAlignment="1">
      <alignment horizontal="center"/>
    </xf>
    <xf numFmtId="0" fontId="68" fillId="17" borderId="20" xfId="0" applyFont="1" applyFill="1" applyBorder="1" applyAlignment="1">
      <alignment horizontal="center"/>
    </xf>
    <xf numFmtId="0" fontId="24" fillId="13" borderId="34" xfId="0" applyFont="1" applyFill="1" applyBorder="1" applyAlignment="1">
      <alignment horizontal="center" vertical="top" wrapText="1"/>
    </xf>
    <xf numFmtId="0" fontId="24" fillId="13" borderId="43" xfId="0" applyFont="1" applyFill="1" applyBorder="1" applyAlignment="1">
      <alignment horizontal="center"/>
    </xf>
    <xf numFmtId="0" fontId="24" fillId="13" borderId="118" xfId="0" applyFont="1" applyFill="1" applyBorder="1" applyAlignment="1">
      <alignment horizontal="center"/>
    </xf>
    <xf numFmtId="0" fontId="24" fillId="13" borderId="43" xfId="0" applyFont="1" applyFill="1" applyBorder="1" applyAlignment="1">
      <alignment horizontal="center" wrapText="1"/>
    </xf>
    <xf numFmtId="0" fontId="24" fillId="13" borderId="118" xfId="0" applyFont="1" applyFill="1" applyBorder="1" applyAlignment="1">
      <alignment horizontal="center" wrapText="1"/>
    </xf>
    <xf numFmtId="0" fontId="24" fillId="13" borderId="12" xfId="0" applyFont="1" applyFill="1" applyBorder="1" applyAlignment="1">
      <alignment horizontal="center" vertical="top" wrapText="1"/>
    </xf>
    <xf numFmtId="0" fontId="24" fillId="13" borderId="35" xfId="0" applyFont="1" applyFill="1" applyBorder="1" applyAlignment="1">
      <alignment horizontal="center" vertical="top" wrapText="1"/>
    </xf>
  </cellXfs>
  <cellStyles count="22">
    <cellStyle name="Accent1" xfId="1" xr:uid="{00000000-0005-0000-0000-000000000000}"/>
    <cellStyle name="Accent2" xfId="2" xr:uid="{00000000-0005-0000-0000-000001000000}"/>
    <cellStyle name="Accent3" xfId="3" xr:uid="{00000000-0005-0000-0000-000002000000}"/>
    <cellStyle name="Accent4" xfId="4" xr:uid="{00000000-0005-0000-0000-000003000000}"/>
    <cellStyle name="Accent5" xfId="5" xr:uid="{00000000-0005-0000-0000-000004000000}"/>
    <cellStyle name="Accent6" xfId="6" xr:uid="{00000000-0005-0000-0000-000005000000}"/>
    <cellStyle name="Bad" xfId="7" xr:uid="{00000000-0005-0000-0000-000006000000}"/>
    <cellStyle name="Check Cell" xfId="8" xr:uid="{00000000-0005-0000-0000-000007000000}"/>
    <cellStyle name="Good" xfId="9" xr:uid="{00000000-0005-0000-0000-000008000000}"/>
    <cellStyle name="Heading 1" xfId="10" xr:uid="{00000000-0005-0000-0000-000009000000}"/>
    <cellStyle name="Heading 2" xfId="11" xr:uid="{00000000-0005-0000-0000-00000A000000}"/>
    <cellStyle name="Heading 3" xfId="12" xr:uid="{00000000-0005-0000-0000-00000B000000}"/>
    <cellStyle name="Heading 4" xfId="13" xr:uid="{00000000-0005-0000-0000-00000C000000}"/>
    <cellStyle name="Hyperlink" xfId="14" builtinId="8"/>
    <cellStyle name="Linked Cell" xfId="15" xr:uid="{00000000-0005-0000-0000-00000E000000}"/>
    <cellStyle name="Neutral" xfId="16" xr:uid="{00000000-0005-0000-0000-00000F000000}"/>
    <cellStyle name="Normal" xfId="0" builtinId="0"/>
    <cellStyle name="Note" xfId="17" xr:uid="{00000000-0005-0000-0000-000010000000}"/>
    <cellStyle name="Percent" xfId="18" builtinId="5"/>
    <cellStyle name="Standard 2" xfId="19" xr:uid="{00000000-0005-0000-0000-000013000000}"/>
    <cellStyle name="Standard_Outline NIMs template 10-09-30" xfId="20" xr:uid="{00000000-0005-0000-0000-000014000000}"/>
    <cellStyle name="Title" xfId="21" xr:uid="{00000000-0005-0000-0000-000015000000}"/>
  </cellStyles>
  <dxfs count="1237">
    <dxf>
      <border>
        <top style="hair">
          <color auto="1"/>
        </top>
        <vertical/>
        <horizontal/>
      </border>
    </dxf>
    <dxf>
      <fill>
        <patternFill patternType="lightUp">
          <bgColor indexed="65"/>
        </patternFill>
      </fill>
    </dxf>
    <dxf>
      <border>
        <top style="thin">
          <color indexed="64"/>
        </top>
      </border>
    </dxf>
    <dxf>
      <fill>
        <patternFill>
          <bgColor rgb="FF7030A0"/>
        </patternFill>
      </fill>
    </dxf>
    <dxf>
      <fill>
        <patternFill>
          <bgColor theme="9"/>
        </patternFill>
      </fill>
    </dxf>
    <dxf>
      <fill>
        <patternFill>
          <bgColor rgb="FF7030A0"/>
        </patternFill>
      </fill>
    </dxf>
    <dxf>
      <fill>
        <patternFill>
          <bgColor theme="1" tint="0.24994659260841701"/>
        </patternFill>
      </fill>
    </dxf>
    <dxf>
      <border>
        <top style="thin">
          <color indexed="64"/>
        </top>
      </border>
    </dxf>
    <dxf>
      <border>
        <top style="thin">
          <color indexed="64"/>
        </top>
      </border>
    </dxf>
    <dxf>
      <font>
        <color theme="1"/>
      </font>
      <fill>
        <patternFill>
          <bgColor theme="1" tint="0.14996795556505021"/>
        </patternFill>
      </fill>
    </dxf>
    <dxf>
      <fill>
        <patternFill>
          <bgColor rgb="FFFF0000"/>
        </patternFill>
      </fill>
    </dxf>
    <dxf>
      <fill>
        <patternFill>
          <bgColor theme="1" tint="0.24994659260841701"/>
        </patternFill>
      </fill>
    </dxf>
    <dxf>
      <font>
        <color indexed="8"/>
      </font>
      <fill>
        <patternFill>
          <bgColor indexed="63"/>
        </patternFill>
      </fill>
    </dxf>
    <dxf>
      <fill>
        <patternFill>
          <bgColor indexed="10"/>
        </patternFill>
      </fill>
    </dxf>
    <dxf>
      <fill>
        <patternFill patternType="solid">
          <bgColor rgb="FFFFC000"/>
        </patternFill>
      </fill>
    </dxf>
    <dxf>
      <fill>
        <patternFill>
          <bgColor theme="1" tint="0.24994659260841701"/>
        </patternFill>
      </fill>
    </dxf>
    <dxf>
      <border>
        <top style="thin">
          <color indexed="64"/>
        </top>
      </border>
    </dxf>
    <dxf>
      <border>
        <top style="thin">
          <color indexed="64"/>
        </top>
      </border>
    </dxf>
    <dxf>
      <fill>
        <patternFill>
          <bgColor theme="1" tint="0.24994659260841701"/>
        </patternFill>
      </fill>
    </dxf>
    <dxf>
      <border>
        <top style="thin">
          <color indexed="64"/>
        </top>
      </border>
    </dxf>
    <dxf>
      <border>
        <top style="thin">
          <color indexed="64"/>
        </top>
      </border>
    </dxf>
    <dxf>
      <fill>
        <patternFill>
          <bgColor rgb="FF7030A0"/>
        </patternFill>
      </fill>
    </dxf>
    <dxf>
      <fill>
        <patternFill>
          <bgColor rgb="FF7030A0"/>
        </patternFill>
      </fill>
    </dxf>
    <dxf>
      <fill>
        <patternFill>
          <bgColor rgb="FF7030A0"/>
        </patternFill>
      </fill>
    </dxf>
    <dxf>
      <fill>
        <patternFill>
          <bgColor rgb="FF7030A0"/>
        </patternFill>
      </fill>
    </dxf>
    <dxf>
      <border>
        <top style="thin">
          <color indexed="64"/>
        </top>
      </border>
    </dxf>
    <dxf>
      <fill>
        <patternFill>
          <bgColor theme="1" tint="0.24994659260841701"/>
        </patternFill>
      </fill>
    </dxf>
    <dxf>
      <fill>
        <patternFill>
          <bgColor theme="9"/>
        </patternFill>
      </fill>
    </dxf>
    <dxf>
      <fill>
        <patternFill>
          <bgColor rgb="FF7030A0"/>
        </patternFill>
      </fill>
    </dxf>
    <dxf>
      <border>
        <top style="thin">
          <color indexed="64"/>
        </top>
      </border>
    </dxf>
    <dxf>
      <border>
        <top style="thin">
          <color indexed="64"/>
        </top>
      </border>
    </dxf>
    <dxf>
      <fill>
        <patternFill>
          <bgColor theme="1" tint="0.24994659260841701"/>
        </patternFill>
      </fill>
    </dxf>
    <dxf>
      <fill>
        <patternFill>
          <bgColor rgb="FF7030A0"/>
        </patternFill>
      </fill>
    </dxf>
    <dxf>
      <fill>
        <patternFill>
          <bgColor theme="9"/>
        </patternFill>
      </fill>
    </dxf>
    <dxf>
      <fill>
        <patternFill>
          <bgColor theme="1" tint="0.24994659260841701"/>
        </patternFill>
      </fill>
    </dxf>
    <dxf>
      <fill>
        <patternFill>
          <bgColor theme="9"/>
        </patternFill>
      </fill>
    </dxf>
    <dxf>
      <fill>
        <patternFill>
          <bgColor rgb="FF7030A0"/>
        </patternFill>
      </fill>
    </dxf>
    <dxf>
      <fill>
        <patternFill>
          <bgColor theme="9"/>
        </patternFill>
      </fill>
    </dxf>
    <dxf>
      <fill>
        <patternFill>
          <bgColor rgb="FF7030A0"/>
        </patternFill>
      </fill>
    </dxf>
    <dxf>
      <fill>
        <patternFill>
          <bgColor theme="1" tint="0.24994659260841701"/>
        </patternFill>
      </fill>
    </dxf>
    <dxf>
      <fill>
        <patternFill>
          <bgColor rgb="FF7030A0"/>
        </patternFill>
      </fill>
    </dxf>
    <dxf>
      <fill>
        <patternFill>
          <bgColor theme="1" tint="0.24994659260841701"/>
        </patternFill>
      </fill>
    </dxf>
    <dxf>
      <fill>
        <patternFill>
          <bgColor theme="9"/>
        </patternFill>
      </fill>
    </dxf>
    <dxf>
      <border>
        <top style="thin">
          <color indexed="64"/>
        </top>
      </border>
    </dxf>
    <dxf>
      <fill>
        <patternFill>
          <bgColor theme="9"/>
        </patternFill>
      </fill>
    </dxf>
    <dxf>
      <fill>
        <patternFill>
          <bgColor rgb="FF7030A0"/>
        </patternFill>
      </fill>
    </dxf>
    <dxf>
      <fill>
        <patternFill>
          <bgColor theme="1" tint="0.24994659260841701"/>
        </patternFill>
      </fill>
    </dxf>
    <dxf>
      <fill>
        <patternFill>
          <bgColor rgb="FF7030A0"/>
        </patternFill>
      </fill>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fill>
        <patternFill>
          <bgColor theme="1" tint="0.24994659260841701"/>
        </patternFill>
      </fill>
    </dxf>
    <dxf>
      <fill>
        <patternFill>
          <bgColor theme="1" tint="0.24994659260841701"/>
        </patternFill>
      </fill>
    </dxf>
    <dxf>
      <border>
        <top style="thin">
          <color indexed="64"/>
        </top>
      </border>
    </dxf>
    <dxf>
      <border>
        <top style="thin">
          <color indexed="64"/>
        </top>
      </border>
    </dxf>
    <dxf>
      <border>
        <top style="thin">
          <color indexed="64"/>
        </top>
      </border>
    </dxf>
    <dxf>
      <border>
        <top style="thin">
          <color indexed="64"/>
        </top>
      </border>
    </dxf>
    <dxf>
      <font>
        <color theme="1"/>
      </font>
      <fill>
        <patternFill>
          <bgColor theme="1" tint="0.14996795556505021"/>
        </patternFill>
      </fill>
    </dxf>
    <dxf>
      <fill>
        <patternFill>
          <bgColor rgb="FFFF0000"/>
        </patternFill>
      </fill>
    </dxf>
    <dxf>
      <fill>
        <patternFill>
          <bgColor rgb="FFFF0000"/>
        </patternFill>
      </fill>
    </dxf>
    <dxf>
      <font>
        <color theme="1"/>
      </font>
      <fill>
        <patternFill>
          <bgColor theme="1" tint="0.14996795556505021"/>
        </patternFill>
      </fill>
    </dxf>
    <dxf>
      <font>
        <color theme="0" tint="-0.499984740745262"/>
      </font>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border>
        <top style="hair">
          <color auto="1"/>
        </top>
        <vertical/>
        <horizontal/>
      </border>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ont>
        <color auto="1"/>
      </font>
      <fill>
        <patternFill>
          <bgColor rgb="FFFFFFCC"/>
        </patternFill>
      </fill>
    </dxf>
    <dxf>
      <fill>
        <patternFill patternType="lightUp">
          <bgColor indexed="65"/>
        </patternFill>
      </fill>
    </dxf>
  </dxfs>
  <tableStyles count="0" defaultTableStyle="TableStyleMedium9" defaultPivotStyle="PivotStyleLight16"/>
  <colors>
    <mruColors>
      <color rgb="FFCCFFCC"/>
      <color rgb="FFFFFFCC"/>
      <color rgb="FF000080"/>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a:noFill/>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noFill/>
        <a:ln>
          <a:noFill/>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hyperlink" Target="https://climate.ec.europa.eu/eu-action/eu-emissions-trading-system-eu-ets_en" TargetMode="External"/><Relationship Id="rId2" Type="http://schemas.openxmlformats.org/officeDocument/2006/relationships/hyperlink" Target="https://climate.ec.europa.eu/eu-action/eu-emissions-trading-system-eu-ets/monitoring-reporting-and-verification-eu-ets-emissions_en" TargetMode="External"/><Relationship Id="rId1" Type="http://schemas.openxmlformats.org/officeDocument/2006/relationships/hyperlink" Target="https://eur-lex.europa.eu/eli/reg_impl/2018/2066/oj" TargetMode="External"/><Relationship Id="rId4"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8" Type="http://schemas.openxmlformats.org/officeDocument/2006/relationships/hyperlink" Target="https://climate.ec.europa.eu/eu-action/eu-emissions-trading-system-eu-ets_en" TargetMode="External"/><Relationship Id="rId3" Type="http://schemas.openxmlformats.org/officeDocument/2006/relationships/hyperlink" Target="http://ec.europa.eu/clima/documentation/ets/docs/decision_benchmarking_15_dec_en.pdf." TargetMode="External"/><Relationship Id="rId7" Type="http://schemas.openxmlformats.org/officeDocument/2006/relationships/hyperlink" Target="https://eur-lex.europa.eu/eli/reg_impl/2018/2066/2024-01-01" TargetMode="External"/><Relationship Id="rId2" Type="http://schemas.openxmlformats.org/officeDocument/2006/relationships/hyperlink" Target="https://climate.ec.europa.eu/eu-action/eu-emissions-trading-system-eu-ets/monitoring-reporting-and-verification-eu-ets-emissions_en" TargetMode="External"/><Relationship Id="rId1" Type="http://schemas.openxmlformats.org/officeDocument/2006/relationships/hyperlink" Target="http://eur-lex.europa.eu/en/index.htm" TargetMode="External"/><Relationship Id="rId6" Type="http://schemas.openxmlformats.org/officeDocument/2006/relationships/hyperlink" Target="https://eur-lex.europa.eu/eli/reg_impl/2018/2066/oj" TargetMode="External"/><Relationship Id="rId5" Type="http://schemas.openxmlformats.org/officeDocument/2006/relationships/hyperlink" Target="https://climate.ec.europa.eu/eu-action/eu-emissions-trading-system-eu-ets/monitoring-reporting-and-verification-eu-ets-emissions_en" TargetMode="External"/><Relationship Id="rId4" Type="http://schemas.openxmlformats.org/officeDocument/2006/relationships/hyperlink" Target="https://eur-lex.europa.eu/eli/dir/2003/87/2024-03-01"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climate.ec.europa.eu/eu-action/eu-emissions-trading-system-eu-ets/ets2-buildings-road-transport-and-additional-sectors_en" TargetMode="External"/><Relationship Id="rId1" Type="http://schemas.openxmlformats.org/officeDocument/2006/relationships/hyperlink" Target="https://climate.ec.europa.eu/eu-action/eu-emissions-trading-system-eu-ets/monitoring-reporting-and-verification-eu-ets-emissions_en"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ec.europa.eu/clima/ets/oha.do?languageCode=en"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10">
    <tabColor indexed="9"/>
    <pageSetUpPr fitToPage="1"/>
  </sheetPr>
  <dimension ref="A1:T71"/>
  <sheetViews>
    <sheetView tabSelected="1" topLeftCell="B1" workbookViewId="0">
      <pane ySplit="4" topLeftCell="A5" activePane="bottomLeft" state="frozen"/>
      <selection pane="bottomLeft" activeCell="B2" sqref="B2:D4"/>
    </sheetView>
  </sheetViews>
  <sheetFormatPr defaultColWidth="9.1796875" defaultRowHeight="12.5" x14ac:dyDescent="0.25"/>
  <cols>
    <col min="1" max="1" width="2.7265625" style="62" hidden="1" customWidth="1"/>
    <col min="2" max="4" width="4.7265625" style="68" customWidth="1"/>
    <col min="5" max="14" width="12.7265625" style="68" customWidth="1"/>
    <col min="15" max="15" width="2.7265625" style="64" customWidth="1"/>
    <col min="16" max="16" width="9.1796875" style="68"/>
    <col min="17" max="20" width="11.453125" style="62" hidden="1" customWidth="1"/>
    <col min="21" max="16384" width="9.1796875" style="68"/>
  </cols>
  <sheetData>
    <row r="1" spans="1:20" s="62" customFormat="1" ht="13" hidden="1" thickBot="1" x14ac:dyDescent="0.3">
      <c r="A1" s="61" t="s">
        <v>0</v>
      </c>
      <c r="O1" s="63"/>
      <c r="P1" s="61"/>
      <c r="Q1" s="61" t="s">
        <v>0</v>
      </c>
      <c r="R1" s="61" t="s">
        <v>0</v>
      </c>
      <c r="S1" s="61" t="s">
        <v>0</v>
      </c>
      <c r="T1" s="61" t="s">
        <v>0</v>
      </c>
    </row>
    <row r="2" spans="1:20" ht="13.5" thickBot="1" x14ac:dyDescent="0.35">
      <c r="B2" s="1003" t="str">
        <f>Translations!$B$167</f>
        <v>a. Table of contents</v>
      </c>
      <c r="C2" s="1004"/>
      <c r="D2" s="1005"/>
      <c r="E2" s="1019" t="str">
        <f>Translations!$B$13</f>
        <v>Navigation area:</v>
      </c>
      <c r="F2" s="1020"/>
      <c r="G2" s="1021" t="str">
        <f>Translations!$B$14</f>
        <v>Table of contents</v>
      </c>
      <c r="H2" s="1022"/>
      <c r="I2" s="1021"/>
      <c r="J2" s="1022"/>
      <c r="K2" s="1021" t="str">
        <f ca="1">HYPERLINK("#"&amp;INDEX(a_Contents!$R$4:$R$49,MATCH(INDEX(a_Contents!$T$4:$T$49,MATCH($T$2,a_Contents!$S$4:$S$49,0))+1,a_Contents!$T$4:$T$49,0)),EUconst_NextSheet)</f>
        <v>Next sheet</v>
      </c>
      <c r="L2" s="1022"/>
      <c r="M2" s="1014" t="str">
        <f ca="1">HYPERLINK("#"&amp;a_Contents!$R$46,INDIRECT(a_Contents!$R$46))</f>
        <v>I Accounting sheet</v>
      </c>
      <c r="N2" s="1015"/>
      <c r="P2" s="65"/>
      <c r="Q2" s="61" t="s">
        <v>1</v>
      </c>
      <c r="R2" s="66" t="str">
        <f>ADDRESS(ROW($B$6),COLUMN($B$6)) &amp; ":" &amp; ADDRESS(MATCH("PRINT",$P:$P,0),COLUMN($O$6))</f>
        <v>$B$6:$O$71</v>
      </c>
      <c r="S2" s="61" t="s">
        <v>2</v>
      </c>
      <c r="T2" s="67" t="str">
        <f ca="1">IF(ISERROR(CELL("filename",U2)),"a_Contents",MID(CELL("filename",U2),FIND("]",CELL("filename",U2))+1,1024))</f>
        <v>a_Contents</v>
      </c>
    </row>
    <row r="3" spans="1:20" x14ac:dyDescent="0.25">
      <c r="B3" s="1006"/>
      <c r="C3" s="1007"/>
      <c r="D3" s="1008"/>
      <c r="E3" s="1016"/>
      <c r="F3" s="1017"/>
      <c r="G3" s="1017" t="str">
        <f>IFERROR(HYPERLINK("#"&amp;ADDRESS(ROW($A$1)+MATCH(Q3,$A:$A,0)-1,3),INDEX($Q:$Q,MATCH(Q3,$A:$A,0))),"")</f>
        <v/>
      </c>
      <c r="H3" s="1017"/>
      <c r="I3" s="1017" t="str">
        <f>IFERROR(HYPERLINK("#"&amp;ADDRESS(ROW($A$1)+MATCH(S3,$A:$A,0)-1,3),INDEX($Q:$Q,MATCH(S3,$A:$A,0))),"")</f>
        <v/>
      </c>
      <c r="J3" s="1017"/>
      <c r="K3" s="1017" t="str">
        <f>IFERROR(HYPERLINK("#"&amp;ADDRESS(ROW($A$1)+MATCH(U3,$A:$A,0)-1,3),INDEX($Q:$Q,MATCH(U3,$A:$A,0))),"")</f>
        <v/>
      </c>
      <c r="L3" s="1017"/>
      <c r="M3" s="1018" t="str">
        <f>IFERROR(HYPERLINK("#"&amp;ADDRESS(ROW($A$1)+MATCH(W3,$A:$A,0)-1,3),INDEX($Q:$Q,MATCH(W3,$A:$A,0))),"")</f>
        <v/>
      </c>
      <c r="N3" s="1018"/>
      <c r="P3" s="65"/>
      <c r="Q3" s="61"/>
      <c r="R3" s="61"/>
      <c r="S3" s="61"/>
      <c r="T3" s="61"/>
    </row>
    <row r="4" spans="1:20" ht="13" thickBot="1" x14ac:dyDescent="0.3">
      <c r="B4" s="1009"/>
      <c r="C4" s="1010"/>
      <c r="D4" s="1011"/>
      <c r="E4" s="1012"/>
      <c r="F4" s="1013"/>
      <c r="G4" s="1013" t="str">
        <f>IFERROR(HYPERLINK("#"&amp;ADDRESS(ROW($A$1)+MATCH(Q4,$A:$A,0)-1,3),INDEX($Q:$Q,MATCH(Q4,$A:$A,0))),"")</f>
        <v/>
      </c>
      <c r="H4" s="1013"/>
      <c r="I4" s="1013" t="str">
        <f>IFERROR(HYPERLINK("#"&amp;ADDRESS(ROW($A$1)+MATCH(S4,$A:$A,0)-1,3),INDEX($Q:$Q,MATCH(S4,$A:$A,0))),"")</f>
        <v/>
      </c>
      <c r="J4" s="1013"/>
      <c r="K4" s="1013" t="str">
        <f>IFERROR(HYPERLINK("#"&amp;ADDRESS(ROW($A$1)+MATCH(U4,$A:$A,0)-1,3),INDEX($Q:$Q,MATCH(U4,$A:$A,0))),"")</f>
        <v/>
      </c>
      <c r="L4" s="1013"/>
      <c r="M4" s="999" t="str">
        <f>IFERROR(HYPERLINK("#"&amp;ADDRESS(ROW($A$1)+MATCH(W4,$A:$A,0)-1,3),INDEX($Q:$Q,MATCH(W4,$A:$A,0))),"")</f>
        <v/>
      </c>
      <c r="N4" s="999"/>
      <c r="P4" s="65"/>
      <c r="Q4" s="61"/>
      <c r="R4" s="61"/>
      <c r="S4" s="61"/>
      <c r="T4" s="61"/>
    </row>
    <row r="5" spans="1:20" x14ac:dyDescent="0.25">
      <c r="P5" s="65"/>
      <c r="Q5" s="61"/>
      <c r="R5" s="61"/>
      <c r="S5" s="61"/>
      <c r="T5" s="61"/>
    </row>
    <row r="6" spans="1:20" ht="35.25" customHeight="1" x14ac:dyDescent="0.25">
      <c r="B6" s="69"/>
      <c r="C6" s="70" t="str">
        <f>Translations!$B$268</f>
        <v>ETS2 ANNUAL EMISSIONS REPORT</v>
      </c>
      <c r="D6" s="69"/>
      <c r="E6" s="69"/>
      <c r="F6" s="69"/>
      <c r="G6" s="69"/>
      <c r="H6" s="69"/>
      <c r="I6" s="69"/>
      <c r="J6" s="69"/>
      <c r="P6" s="71"/>
      <c r="Q6" s="72"/>
      <c r="R6" s="72"/>
      <c r="S6" s="72"/>
      <c r="T6" s="72"/>
    </row>
    <row r="7" spans="1:20" ht="13" x14ac:dyDescent="0.25">
      <c r="B7" s="69"/>
      <c r="C7" s="73"/>
      <c r="D7" s="69"/>
      <c r="E7" s="69"/>
      <c r="F7" s="69"/>
      <c r="G7" s="69"/>
      <c r="H7" s="69"/>
      <c r="I7" s="69"/>
      <c r="J7" s="69"/>
      <c r="P7" s="65"/>
      <c r="Q7" s="61"/>
      <c r="R7" s="61"/>
      <c r="S7" s="61"/>
      <c r="T7" s="61"/>
    </row>
    <row r="8" spans="1:20" ht="15.5" x14ac:dyDescent="0.25">
      <c r="B8" s="74"/>
      <c r="C8" s="75" t="str">
        <f>Translations!$B$168</f>
        <v>TABLE OF CONTENTS</v>
      </c>
      <c r="D8" s="74"/>
      <c r="E8" s="74"/>
      <c r="F8" s="74"/>
      <c r="G8" s="74"/>
      <c r="H8" s="74"/>
      <c r="I8" s="74"/>
      <c r="J8" s="74"/>
      <c r="K8" s="76"/>
      <c r="P8" s="77"/>
      <c r="Q8" s="61"/>
      <c r="R8" s="61"/>
      <c r="S8" s="61"/>
      <c r="T8" s="61"/>
    </row>
    <row r="9" spans="1:20" x14ac:dyDescent="0.25">
      <c r="B9" s="74"/>
      <c r="C9" s="74"/>
      <c r="D9" s="74"/>
      <c r="E9" s="74"/>
      <c r="F9" s="74"/>
      <c r="G9" s="74"/>
      <c r="H9" s="74"/>
      <c r="I9" s="74"/>
      <c r="J9" s="74"/>
      <c r="K9" s="76"/>
      <c r="P9" s="65"/>
      <c r="Q9" s="61"/>
      <c r="R9" s="61"/>
      <c r="S9" s="61"/>
      <c r="T9" s="61"/>
    </row>
    <row r="10" spans="1:20" ht="13" x14ac:dyDescent="0.25">
      <c r="B10" s="74"/>
      <c r="C10" s="78"/>
      <c r="D10" s="1000" t="str">
        <f ca="1">HYPERLINK("#"&amp;R10,INDIRECT(R10))</f>
        <v>TABLE OF CONTENTS</v>
      </c>
      <c r="E10" s="1001"/>
      <c r="F10" s="1001"/>
      <c r="G10" s="1001"/>
      <c r="H10" s="1001"/>
      <c r="I10" s="1001"/>
      <c r="J10" s="1001"/>
      <c r="K10" s="1001"/>
      <c r="P10" s="77"/>
      <c r="Q10" s="61"/>
      <c r="R10" s="79" t="str">
        <f ca="1">ADDRESS(8,3,,,S10)</f>
        <v>a_Contents!$C$8</v>
      </c>
      <c r="S10" s="80" t="str">
        <f ca="1">$T$2</f>
        <v>a_Contents</v>
      </c>
      <c r="T10" s="80">
        <v>1</v>
      </c>
    </row>
    <row r="11" spans="1:20" ht="5.15" customHeight="1" x14ac:dyDescent="0.25">
      <c r="B11" s="74"/>
      <c r="C11" s="65"/>
      <c r="D11" s="65"/>
      <c r="E11" s="65"/>
      <c r="F11" s="65"/>
      <c r="G11" s="65"/>
      <c r="H11" s="65"/>
      <c r="I11" s="65"/>
      <c r="J11" s="65"/>
      <c r="K11" s="65"/>
      <c r="P11" s="65"/>
      <c r="Q11" s="61"/>
      <c r="R11" s="61"/>
      <c r="S11" s="61"/>
      <c r="T11" s="61"/>
    </row>
    <row r="12" spans="1:20" ht="13" x14ac:dyDescent="0.25">
      <c r="B12" s="74"/>
      <c r="C12" s="78"/>
      <c r="D12" s="1000" t="str">
        <f ca="1">HYPERLINK("#"&amp;R12,INDIRECT(R12))</f>
        <v>GUIDELINES AND CONDITIONS</v>
      </c>
      <c r="E12" s="1001"/>
      <c r="F12" s="1001"/>
      <c r="G12" s="1001"/>
      <c r="H12" s="1001"/>
      <c r="I12" s="1001"/>
      <c r="J12" s="1001"/>
      <c r="K12" s="1001"/>
      <c r="P12" s="77"/>
      <c r="Q12" s="61"/>
      <c r="R12" s="79" t="str">
        <f ca="1">ADDRESS(6,4,,,S12)</f>
        <v>'b_Guidelines and conditions'!$D$6</v>
      </c>
      <c r="S12" s="80" t="str">
        <f ca="1">'b_Guidelines and conditions'!$T$2</f>
        <v>b_Guidelines and conditions</v>
      </c>
      <c r="T12" s="80">
        <f>MAX($T$4:T11)+1</f>
        <v>2</v>
      </c>
    </row>
    <row r="13" spans="1:20" ht="5.15" customHeight="1" x14ac:dyDescent="0.25">
      <c r="B13" s="69"/>
      <c r="C13" s="65"/>
      <c r="D13" s="65"/>
      <c r="E13" s="65"/>
      <c r="F13" s="65"/>
      <c r="G13" s="65"/>
      <c r="H13" s="65"/>
      <c r="I13" s="65"/>
      <c r="J13" s="65"/>
      <c r="K13" s="65"/>
      <c r="P13" s="65"/>
      <c r="Q13" s="61"/>
      <c r="R13" s="61"/>
      <c r="S13" s="61"/>
      <c r="T13" s="61"/>
    </row>
    <row r="14" spans="1:20" ht="13" x14ac:dyDescent="0.25">
      <c r="B14" s="69"/>
      <c r="C14" s="78"/>
      <c r="D14" s="1000" t="str">
        <f ca="1">HYPERLINK("#"&amp;R14,INDIRECT(R14))</f>
        <v>A. Regulated entity identification</v>
      </c>
      <c r="E14" s="1001"/>
      <c r="F14" s="1001"/>
      <c r="G14" s="1001"/>
      <c r="H14" s="1001"/>
      <c r="I14" s="1001"/>
      <c r="J14" s="1001"/>
      <c r="K14" s="1001"/>
      <c r="P14" s="65"/>
      <c r="Q14" s="61"/>
      <c r="R14" s="79" t="str">
        <f ca="1">ADDRESS(6,3,,,S14)</f>
        <v>A_EntityID!$C$6</v>
      </c>
      <c r="S14" s="80" t="str">
        <f ca="1">A_EntityID!$T$2</f>
        <v>A_EntityID</v>
      </c>
      <c r="T14" s="80">
        <f>MAX($T$4:T13)+1</f>
        <v>3</v>
      </c>
    </row>
    <row r="15" spans="1:20" ht="13" x14ac:dyDescent="0.25">
      <c r="B15" s="69"/>
      <c r="C15" s="78"/>
      <c r="D15" s="81">
        <v>1</v>
      </c>
      <c r="E15" s="1002" t="str">
        <f ca="1">HYPERLINK("#"&amp;R15,INDIRECT(R15))</f>
        <v>About the regulated entity</v>
      </c>
      <c r="F15" s="1001"/>
      <c r="G15" s="1001"/>
      <c r="H15" s="1001"/>
      <c r="I15" s="1001"/>
      <c r="J15" s="1001"/>
      <c r="K15" s="1001"/>
      <c r="L15" s="1001"/>
      <c r="M15" s="1001"/>
      <c r="N15" s="1001"/>
      <c r="P15" s="65"/>
      <c r="Q15" s="61"/>
      <c r="R15" s="82" t="str">
        <f ca="1">ADDRESS(MATCH(D15,INDIRECT("'"&amp; S15 &amp; "'!A:A"),0),4,,,S15)</f>
        <v>A_EntityID!$D$16</v>
      </c>
      <c r="S15" s="61" t="str">
        <f ca="1">S14</f>
        <v>A_EntityID</v>
      </c>
      <c r="T15" s="61"/>
    </row>
    <row r="16" spans="1:20" ht="13" x14ac:dyDescent="0.25">
      <c r="B16" s="74"/>
      <c r="C16" s="78"/>
      <c r="D16" s="81">
        <v>2</v>
      </c>
      <c r="E16" s="1002" t="str">
        <f ca="1">HYPERLINK("#"&amp;R16,INDIRECT(R16))</f>
        <v>Regulated entity details</v>
      </c>
      <c r="F16" s="1001"/>
      <c r="G16" s="1001"/>
      <c r="H16" s="1001"/>
      <c r="I16" s="1001"/>
      <c r="J16" s="1001"/>
      <c r="K16" s="1001"/>
      <c r="L16" s="1001"/>
      <c r="M16" s="1001"/>
      <c r="N16" s="1001"/>
      <c r="P16" s="65"/>
      <c r="Q16" s="61"/>
      <c r="R16" s="82" t="str">
        <f ca="1">ADDRESS(MATCH(D16,INDIRECT("'"&amp; S16 &amp; "'!A:A"),0),4,,,S16)</f>
        <v>A_EntityID!$D$24</v>
      </c>
      <c r="S16" s="61" t="str">
        <f ca="1">S15</f>
        <v>A_EntityID</v>
      </c>
      <c r="T16" s="61"/>
    </row>
    <row r="17" spans="2:20" ht="12.75" customHeight="1" x14ac:dyDescent="0.25">
      <c r="B17" s="69"/>
      <c r="C17" s="78"/>
      <c r="D17" s="81">
        <v>3</v>
      </c>
      <c r="E17" s="1002" t="str">
        <f ca="1">HYPERLINK("#"&amp;R17,INDIRECT(R17))</f>
        <v xml:space="preserve">Contact details </v>
      </c>
      <c r="F17" s="1001"/>
      <c r="G17" s="1001"/>
      <c r="H17" s="1001"/>
      <c r="I17" s="1001"/>
      <c r="J17" s="1001"/>
      <c r="K17" s="1001"/>
      <c r="L17" s="1001"/>
      <c r="M17" s="1001"/>
      <c r="N17" s="1001"/>
      <c r="P17" s="65"/>
      <c r="Q17" s="61"/>
      <c r="R17" s="82" t="str">
        <f ca="1">ADDRESS(MATCH(D17,INDIRECT("'"&amp; S17 &amp; "'!A:A"),0),4,,,S17)</f>
        <v>A_EntityID!$D$45</v>
      </c>
      <c r="S17" s="61" t="str">
        <f ca="1">S16</f>
        <v>A_EntityID</v>
      </c>
      <c r="T17" s="61"/>
    </row>
    <row r="18" spans="2:20" ht="12.75" customHeight="1" x14ac:dyDescent="0.25">
      <c r="B18" s="69"/>
      <c r="C18" s="78"/>
      <c r="D18" s="81">
        <v>4</v>
      </c>
      <c r="E18" s="1002" t="str">
        <f ca="1">HYPERLINK("#"&amp;R18,INDIRECT(R18))</f>
        <v>Monitoring &amp; Reporting details</v>
      </c>
      <c r="F18" s="1001"/>
      <c r="G18" s="1001"/>
      <c r="H18" s="1001"/>
      <c r="I18" s="1001"/>
      <c r="J18" s="1001"/>
      <c r="K18" s="1001"/>
      <c r="L18" s="1001"/>
      <c r="M18" s="1001"/>
      <c r="N18" s="1001"/>
      <c r="P18" s="65"/>
      <c r="Q18" s="61"/>
      <c r="R18" s="82" t="str">
        <f ca="1">ADDRESS(MATCH(D18,INDIRECT("'"&amp; S18 &amp; "'!A:A"),0),4,,,S18)</f>
        <v>A_EntityID!$D$68</v>
      </c>
      <c r="S18" s="61" t="str">
        <f ca="1">S16</f>
        <v>A_EntityID</v>
      </c>
      <c r="T18" s="61"/>
    </row>
    <row r="19" spans="2:20" ht="12.75" customHeight="1" x14ac:dyDescent="0.25">
      <c r="B19" s="69"/>
      <c r="C19" s="78"/>
      <c r="D19" s="81">
        <v>5</v>
      </c>
      <c r="E19" s="1002" t="str">
        <f ca="1">HYPERLINK("#"&amp;R19,INDIRECT(R19))</f>
        <v>Verifier contact</v>
      </c>
      <c r="F19" s="1001"/>
      <c r="G19" s="1001"/>
      <c r="H19" s="1001"/>
      <c r="I19" s="1001"/>
      <c r="J19" s="1001"/>
      <c r="K19" s="1001"/>
      <c r="L19" s="1001"/>
      <c r="M19" s="1001"/>
      <c r="N19" s="1001"/>
      <c r="P19" s="65"/>
      <c r="Q19" s="61"/>
      <c r="R19" s="82" t="str">
        <f ca="1">ADDRESS(MATCH(D19,INDIRECT("'"&amp; S19 &amp; "'!A:A"),0),4,,,S19)</f>
        <v>A_EntityID!$D$92</v>
      </c>
      <c r="S19" s="61" t="str">
        <f ca="1">S17</f>
        <v>A_EntityID</v>
      </c>
      <c r="T19" s="61"/>
    </row>
    <row r="20" spans="2:20" ht="5.15" customHeight="1" x14ac:dyDescent="0.25">
      <c r="B20" s="69"/>
      <c r="C20" s="78"/>
      <c r="D20" s="83"/>
      <c r="E20" s="65"/>
      <c r="F20" s="65"/>
      <c r="G20" s="65"/>
      <c r="H20" s="65"/>
      <c r="I20" s="65"/>
      <c r="J20" s="65"/>
      <c r="K20" s="65"/>
      <c r="P20" s="65"/>
      <c r="Q20" s="61"/>
      <c r="R20" s="61"/>
      <c r="S20" s="61"/>
      <c r="T20" s="61"/>
    </row>
    <row r="21" spans="2:20" ht="13" x14ac:dyDescent="0.25">
      <c r="B21" s="74"/>
      <c r="C21" s="78"/>
      <c r="D21" s="1000" t="str">
        <f ca="1">HYPERLINK("#"&amp;R21,INDIRECT(R21))</f>
        <v>B. Identification of relevant fuel streams and related details</v>
      </c>
      <c r="E21" s="1001"/>
      <c r="F21" s="1001"/>
      <c r="G21" s="1001"/>
      <c r="H21" s="1001"/>
      <c r="I21" s="1001"/>
      <c r="J21" s="1001"/>
      <c r="K21" s="1001"/>
      <c r="P21" s="65"/>
      <c r="Q21" s="61"/>
      <c r="R21" s="79" t="str">
        <f ca="1">ADDRESS(6,3,,,S21)</f>
        <v>B_IdentifyFuelStreams!$C$6</v>
      </c>
      <c r="S21" s="80" t="str">
        <f ca="1">B_IdentifyFuelStreams!$T$2</f>
        <v>B_IdentifyFuelStreams</v>
      </c>
      <c r="T21" s="80">
        <f>MAX($T$4:T20)+1</f>
        <v>4</v>
      </c>
    </row>
    <row r="22" spans="2:20" ht="13" x14ac:dyDescent="0.25">
      <c r="B22" s="69"/>
      <c r="C22" s="78"/>
      <c r="D22" s="81">
        <v>1</v>
      </c>
      <c r="E22" s="1002" t="str">
        <f ca="1">HYPERLINK("#"&amp;R22,INDIRECT(R22))</f>
        <v>Means through which fuels are released for consumption</v>
      </c>
      <c r="F22" s="1001"/>
      <c r="G22" s="1001"/>
      <c r="H22" s="1001"/>
      <c r="I22" s="1001"/>
      <c r="J22" s="1001"/>
      <c r="K22" s="1001"/>
      <c r="L22" s="1001"/>
      <c r="M22" s="1001"/>
      <c r="N22" s="1001"/>
      <c r="P22" s="65"/>
      <c r="Q22" s="61"/>
      <c r="R22" s="82" t="str">
        <f ca="1">ADDRESS(MATCH(D22,INDIRECT("'"&amp; S22 &amp; "'!A:A"),0),4,,,S22)</f>
        <v>B_IdentifyFuelStreams!$D$8</v>
      </c>
      <c r="S22" s="61" t="str">
        <f ca="1">S21</f>
        <v>B_IdentifyFuelStreams</v>
      </c>
      <c r="T22" s="61"/>
    </row>
    <row r="23" spans="2:20" ht="13" x14ac:dyDescent="0.25">
      <c r="B23" s="74"/>
      <c r="C23" s="78"/>
      <c r="D23" s="81">
        <v>2</v>
      </c>
      <c r="E23" s="1002" t="str">
        <f ca="1">HYPERLINK("#"&amp;R23,INDIRECT(R23))</f>
        <v>Relevant fuel streams</v>
      </c>
      <c r="F23" s="1001"/>
      <c r="G23" s="1001"/>
      <c r="H23" s="1001"/>
      <c r="I23" s="1001"/>
      <c r="J23" s="1001"/>
      <c r="K23" s="1001"/>
      <c r="L23" s="1001"/>
      <c r="M23" s="1001"/>
      <c r="N23" s="1001"/>
      <c r="P23" s="65"/>
      <c r="Q23" s="61"/>
      <c r="R23" s="82" t="str">
        <f ca="1">ADDRESS(MATCH(D23,INDIRECT("'"&amp; S23 &amp; "'!A:A"),0),4,,,S23)</f>
        <v>B_IdentifyFuelStreams!$D$48</v>
      </c>
      <c r="S23" s="61" t="str">
        <f ca="1">S22</f>
        <v>B_IdentifyFuelStreams</v>
      </c>
      <c r="T23" s="61"/>
    </row>
    <row r="24" spans="2:20" ht="5.15" customHeight="1" x14ac:dyDescent="0.25">
      <c r="B24" s="69"/>
      <c r="C24" s="2"/>
      <c r="D24" s="1023"/>
      <c r="E24" s="1023"/>
      <c r="F24" s="1023"/>
      <c r="G24" s="1023"/>
      <c r="H24" s="1023"/>
      <c r="I24" s="1023"/>
      <c r="J24" s="1023"/>
      <c r="K24" s="76"/>
      <c r="P24" s="65"/>
      <c r="Q24" s="61"/>
      <c r="R24" s="61"/>
      <c r="S24" s="61"/>
      <c r="T24" s="61"/>
    </row>
    <row r="25" spans="2:20" ht="13" x14ac:dyDescent="0.25">
      <c r="B25" s="84"/>
      <c r="C25" s="78"/>
      <c r="D25" s="1000" t="str">
        <f ca="1">HYPERLINK("#"&amp;R25,INDIRECT(R25))</f>
        <v>C. Fuel Streams</v>
      </c>
      <c r="E25" s="1001"/>
      <c r="F25" s="1001"/>
      <c r="G25" s="1001"/>
      <c r="H25" s="1001"/>
      <c r="I25" s="1001"/>
      <c r="J25" s="1001"/>
      <c r="K25" s="1001"/>
      <c r="P25" s="65"/>
      <c r="Q25" s="61"/>
      <c r="R25" s="79" t="str">
        <f ca="1">ADDRESS(8,3,,,S25)</f>
        <v>C_FuelStreams!$C$8</v>
      </c>
      <c r="S25" s="80" t="str">
        <f ca="1">C_FuelStreams!$T$2</f>
        <v>C_FuelStreams</v>
      </c>
      <c r="T25" s="80">
        <f>MAX($T$4:T24)+1</f>
        <v>5</v>
      </c>
    </row>
    <row r="26" spans="2:20" ht="13" x14ac:dyDescent="0.25">
      <c r="B26" s="84"/>
      <c r="C26" s="78"/>
      <c r="D26" s="81">
        <v>1</v>
      </c>
      <c r="E26" s="1002" t="str">
        <f ca="1">HYPERLINK("#"&amp;R26,IF(INDIRECT(R26)="",EUconst_NA,INDIRECT(R26)))</f>
        <v>n.a.</v>
      </c>
      <c r="F26" s="1002"/>
      <c r="G26" s="1002"/>
      <c r="H26" s="1002"/>
      <c r="I26" s="1002"/>
      <c r="J26" s="1002"/>
      <c r="K26" s="1002"/>
      <c r="P26" s="65"/>
      <c r="Q26" s="61"/>
      <c r="R26" s="82" t="str">
        <f ca="1">ADDRESS(MATCH(D26,INDIRECT("'"&amp; S26 &amp; "'!A:A"),0),COLUMN(C_FuelStreams!$E$1),,,S26)</f>
        <v>C_FuelStreams!$E$60</v>
      </c>
      <c r="S26" s="61" t="str">
        <f ca="1">S25</f>
        <v>C_FuelStreams</v>
      </c>
      <c r="T26" s="61"/>
    </row>
    <row r="27" spans="2:20" ht="13" x14ac:dyDescent="0.25">
      <c r="B27" s="84"/>
      <c r="C27" s="78"/>
      <c r="D27" s="81">
        <v>2</v>
      </c>
      <c r="E27" s="1002" t="str">
        <f ca="1">HYPERLINK("#"&amp;R27,IF(INDIRECT(R27)="",EUconst_NA,INDIRECT(R27)))</f>
        <v>n.a.</v>
      </c>
      <c r="F27" s="1002"/>
      <c r="G27" s="1002"/>
      <c r="H27" s="1002"/>
      <c r="I27" s="1002"/>
      <c r="J27" s="1002"/>
      <c r="K27" s="1002"/>
      <c r="P27" s="77"/>
      <c r="Q27" s="61"/>
      <c r="R27" s="82" t="str">
        <f ca="1">ADDRESS(MATCH(D27,INDIRECT("'"&amp; S27 &amp; "'!A:A"),0),COLUMN(C_FuelStreams!$E$1),,,S27)</f>
        <v>C_FuelStreams!$E$88</v>
      </c>
      <c r="S27" s="61" t="str">
        <f ca="1">S26</f>
        <v>C_FuelStreams</v>
      </c>
      <c r="T27" s="61"/>
    </row>
    <row r="28" spans="2:20" ht="13" x14ac:dyDescent="0.25">
      <c r="B28" s="84"/>
      <c r="C28" s="78"/>
      <c r="D28" s="81">
        <v>3</v>
      </c>
      <c r="E28" s="1002" t="str">
        <f ca="1">HYPERLINK("#"&amp;R28,IF(INDIRECT(R28)="",EUconst_NA,INDIRECT(R28)))</f>
        <v>n.a.</v>
      </c>
      <c r="F28" s="1002"/>
      <c r="G28" s="1002"/>
      <c r="H28" s="1002"/>
      <c r="I28" s="1002"/>
      <c r="J28" s="1002"/>
      <c r="K28" s="1002"/>
      <c r="P28" s="65"/>
      <c r="Q28" s="61"/>
      <c r="R28" s="82" t="str">
        <f ca="1">ADDRESS(MATCH(D28,INDIRECT("'"&amp; S28 &amp; "'!A:A"),0),COLUMN(C_FuelStreams!$E$1),,,S28)</f>
        <v>C_FuelStreams!$E$116</v>
      </c>
      <c r="S28" s="61" t="str">
        <f ca="1">S27</f>
        <v>C_FuelStreams</v>
      </c>
      <c r="T28" s="61"/>
    </row>
    <row r="29" spans="2:20" ht="13" x14ac:dyDescent="0.25">
      <c r="B29" s="84"/>
      <c r="C29" s="78"/>
      <c r="D29" s="81">
        <v>4</v>
      </c>
      <c r="E29" s="1002" t="str">
        <f ca="1">HYPERLINK("#"&amp;R29,IF(INDIRECT(R29)="",EUconst_NA,INDIRECT(R29)))</f>
        <v>n.a.</v>
      </c>
      <c r="F29" s="1002"/>
      <c r="G29" s="1002"/>
      <c r="H29" s="1002"/>
      <c r="I29" s="1002"/>
      <c r="J29" s="1002"/>
      <c r="K29" s="1002"/>
      <c r="P29" s="65"/>
      <c r="Q29" s="61"/>
      <c r="R29" s="82" t="str">
        <f ca="1">ADDRESS(MATCH(D29,INDIRECT("'"&amp; S29 &amp; "'!A:A"),0),COLUMN(C_FuelStreams!$E$1),,,S29)</f>
        <v>C_FuelStreams!$E$144</v>
      </c>
      <c r="S29" s="61" t="str">
        <f ca="1">S28</f>
        <v>C_FuelStreams</v>
      </c>
      <c r="T29" s="61"/>
    </row>
    <row r="30" spans="2:20" ht="13" x14ac:dyDescent="0.25">
      <c r="B30" s="84"/>
      <c r="C30" s="78"/>
      <c r="D30" s="81">
        <v>5</v>
      </c>
      <c r="E30" s="1002" t="str">
        <f ca="1">HYPERLINK("#"&amp;R30,IF(INDIRECT(R30)="",EUconst_NA,INDIRECT(R30)))</f>
        <v>n.a.</v>
      </c>
      <c r="F30" s="1002"/>
      <c r="G30" s="1002"/>
      <c r="H30" s="1002"/>
      <c r="I30" s="1002"/>
      <c r="J30" s="1002"/>
      <c r="K30" s="1002"/>
      <c r="P30" s="65"/>
      <c r="Q30" s="61"/>
      <c r="R30" s="82" t="str">
        <f ca="1">ADDRESS(MATCH(D30,INDIRECT("'"&amp; S30 &amp; "'!A:A"),0),COLUMN(C_FuelStreams!$E$1),,,S30)</f>
        <v>C_FuelStreams!$E$172</v>
      </c>
      <c r="S30" s="61" t="str">
        <f ca="1">S29</f>
        <v>C_FuelStreams</v>
      </c>
      <c r="T30" s="61"/>
    </row>
    <row r="31" spans="2:20" ht="5.15" customHeight="1" x14ac:dyDescent="0.25">
      <c r="B31" s="84"/>
      <c r="C31" s="69"/>
      <c r="D31" s="69"/>
      <c r="E31" s="69"/>
      <c r="F31" s="69"/>
      <c r="G31" s="69"/>
      <c r="H31" s="69"/>
      <c r="I31" s="69"/>
      <c r="J31" s="69"/>
      <c r="P31" s="65"/>
      <c r="Q31" s="61"/>
      <c r="R31" s="61"/>
      <c r="S31" s="61"/>
      <c r="T31" s="61"/>
    </row>
    <row r="32" spans="2:20" ht="13" x14ac:dyDescent="0.25">
      <c r="B32" s="84"/>
      <c r="C32" s="78"/>
      <c r="D32" s="1000" t="str">
        <f ca="1">HYPERLINK("#"&amp;R32,INDIRECT(R32))</f>
        <v>D. Fuel amounts supplied to ETS1 installations, aircraft operators and shipping companies</v>
      </c>
      <c r="E32" s="1001"/>
      <c r="F32" s="1001"/>
      <c r="G32" s="1001"/>
      <c r="H32" s="1001"/>
      <c r="I32" s="1001"/>
      <c r="J32" s="1001"/>
      <c r="K32" s="1001"/>
      <c r="P32" s="65"/>
      <c r="Q32" s="61"/>
      <c r="R32" s="79" t="str">
        <f ca="1">ADDRESS(6,3,,,S32)</f>
        <v>D_ETS1Amounts!$C$6</v>
      </c>
      <c r="S32" s="80" t="str">
        <f ca="1">D_ETS1Amounts!$T$2</f>
        <v>D_ETS1Amounts</v>
      </c>
      <c r="T32" s="80">
        <f>MAX($T$4:T31)+1</f>
        <v>6</v>
      </c>
    </row>
    <row r="33" spans="2:20" ht="5.15" customHeight="1" x14ac:dyDescent="0.25">
      <c r="B33" s="84"/>
      <c r="C33" s="69"/>
      <c r="D33" s="69"/>
      <c r="E33" s="69"/>
      <c r="F33" s="69"/>
      <c r="G33" s="69"/>
      <c r="H33" s="69"/>
      <c r="I33" s="69"/>
      <c r="J33" s="69"/>
      <c r="P33" s="65"/>
      <c r="Q33" s="61"/>
      <c r="R33" s="61"/>
      <c r="S33" s="61"/>
      <c r="T33" s="61"/>
    </row>
    <row r="34" spans="2:20" ht="13" x14ac:dyDescent="0.25">
      <c r="B34" s="84"/>
      <c r="C34" s="78"/>
      <c r="D34" s="1000" t="str">
        <f ca="1">HYPERLINK("#"&amp;R34,INDIRECT(R34))</f>
        <v>E. Data Gaps</v>
      </c>
      <c r="E34" s="1001"/>
      <c r="F34" s="1001"/>
      <c r="G34" s="1001"/>
      <c r="H34" s="1001"/>
      <c r="I34" s="1001"/>
      <c r="J34" s="1001"/>
      <c r="K34" s="1001"/>
      <c r="P34" s="65"/>
      <c r="Q34" s="61"/>
      <c r="R34" s="79" t="str">
        <f ca="1">ADDRESS(6,3,,,S34)</f>
        <v>E_DataGaps!$C$6</v>
      </c>
      <c r="S34" s="67" t="str">
        <f ca="1">E_DataGaps!$T$2</f>
        <v>E_DataGaps</v>
      </c>
      <c r="T34" s="80">
        <f>MAX($T$4:T33)+1</f>
        <v>7</v>
      </c>
    </row>
    <row r="35" spans="2:20" ht="5.15" customHeight="1" x14ac:dyDescent="0.25">
      <c r="B35" s="84"/>
      <c r="C35" s="69"/>
      <c r="D35" s="69"/>
      <c r="E35" s="69"/>
      <c r="F35" s="69"/>
      <c r="G35" s="69"/>
      <c r="H35" s="69"/>
      <c r="I35" s="69"/>
      <c r="J35" s="69"/>
      <c r="P35" s="65"/>
      <c r="Q35" s="61"/>
      <c r="R35" s="61"/>
      <c r="S35" s="61"/>
      <c r="T35" s="61"/>
    </row>
    <row r="36" spans="2:20" ht="13" x14ac:dyDescent="0.25">
      <c r="B36" s="84"/>
      <c r="C36" s="78"/>
      <c r="D36" s="1000" t="str">
        <f ca="1">HYPERLINK("#"&amp;R36,INDIRECT(R36))</f>
        <v>F.a. Tool for calculating calculation factors of blended fuel streams</v>
      </c>
      <c r="E36" s="1001"/>
      <c r="F36" s="1001"/>
      <c r="G36" s="1001"/>
      <c r="H36" s="1001"/>
      <c r="I36" s="1001"/>
      <c r="J36" s="1001"/>
      <c r="K36" s="1001"/>
      <c r="P36" s="65"/>
      <c r="Q36" s="61"/>
      <c r="R36" s="79" t="str">
        <f ca="1">ADDRESS(6,3,,,S36)</f>
        <v>F.a.Tool_Blending!$C$6</v>
      </c>
      <c r="S36" s="67" t="str">
        <f ca="1">'F.a.Tool_Blending'!$Y$2</f>
        <v>F.a.Tool_Blending</v>
      </c>
      <c r="T36" s="80">
        <f>MAX($T$4:T35)+1</f>
        <v>8</v>
      </c>
    </row>
    <row r="37" spans="2:20" ht="5.15" customHeight="1" x14ac:dyDescent="0.25">
      <c r="B37" s="84"/>
      <c r="C37" s="69"/>
      <c r="D37" s="69"/>
      <c r="E37" s="69"/>
      <c r="F37" s="69"/>
      <c r="G37" s="69"/>
      <c r="H37" s="69"/>
      <c r="I37" s="69"/>
      <c r="J37" s="69"/>
      <c r="P37" s="65"/>
      <c r="Q37" s="61"/>
      <c r="R37" s="61"/>
      <c r="S37" s="61"/>
      <c r="T37" s="61"/>
    </row>
    <row r="38" spans="2:20" ht="12.75" customHeight="1" x14ac:dyDescent="0.25">
      <c r="B38" s="84"/>
      <c r="C38" s="69"/>
      <c r="D38" s="1000" t="str">
        <f ca="1">HYPERLINK("#"&amp;R38,INDIRECT(R38))</f>
        <v>F. Tool for determining released fuel amounts, where Article 75j(2) is relevant</v>
      </c>
      <c r="E38" s="1001"/>
      <c r="F38" s="1001"/>
      <c r="G38" s="1001"/>
      <c r="H38" s="1001"/>
      <c r="I38" s="1001"/>
      <c r="J38" s="1001"/>
      <c r="K38" s="1001"/>
      <c r="P38" s="65"/>
      <c r="Q38" s="61"/>
      <c r="R38" s="79" t="str">
        <f ca="1">ADDRESS(6,3,,,S38)</f>
        <v>F_Timing!$C$6</v>
      </c>
      <c r="S38" s="67" t="str">
        <f ca="1">F_Timing!$T$2</f>
        <v>F_Timing</v>
      </c>
      <c r="T38" s="80">
        <f>MAX($T$4:T37)+1</f>
        <v>9</v>
      </c>
    </row>
    <row r="39" spans="2:20" ht="5.15" customHeight="1" x14ac:dyDescent="0.25">
      <c r="B39" s="84"/>
      <c r="C39" s="69"/>
      <c r="D39" s="69"/>
      <c r="E39" s="69"/>
      <c r="F39" s="69"/>
      <c r="G39" s="69"/>
      <c r="H39" s="69"/>
      <c r="I39" s="69"/>
      <c r="J39" s="69"/>
      <c r="P39" s="65"/>
      <c r="Q39" s="61"/>
      <c r="R39" s="61"/>
      <c r="S39" s="61"/>
      <c r="T39" s="80"/>
    </row>
    <row r="40" spans="2:20" ht="12.75" customHeight="1" x14ac:dyDescent="0.25">
      <c r="B40" s="84"/>
      <c r="C40" s="69"/>
      <c r="D40" s="1000" t="str">
        <f ca="1">HYPERLINK("#"&amp;R40,INDIRECT(R40))</f>
        <v>F.a. Tool for calculating calculation factors of blended fuel streams</v>
      </c>
      <c r="E40" s="1001"/>
      <c r="F40" s="1001"/>
      <c r="G40" s="1001"/>
      <c r="H40" s="1001"/>
      <c r="I40" s="1001"/>
      <c r="J40" s="1001"/>
      <c r="K40" s="1001"/>
      <c r="P40" s="65"/>
      <c r="Q40" s="61"/>
      <c r="R40" s="79" t="str">
        <f ca="1">ADDRESS(6,3,,,S40)</f>
        <v>F.a.Tool_Blending!$C$6</v>
      </c>
      <c r="S40" s="67" t="str">
        <f ca="1">'F.a.Tool_Blending'!Y2</f>
        <v>F.a.Tool_Blending</v>
      </c>
      <c r="T40" s="80">
        <f>MAX($T$4:T39)+1</f>
        <v>10</v>
      </c>
    </row>
    <row r="41" spans="2:20" ht="5.15" customHeight="1" x14ac:dyDescent="0.25">
      <c r="B41" s="84"/>
      <c r="C41" s="69"/>
      <c r="D41" s="69"/>
      <c r="E41" s="69"/>
      <c r="F41" s="69"/>
      <c r="G41" s="69"/>
      <c r="H41" s="69"/>
      <c r="I41" s="69"/>
      <c r="J41" s="69"/>
      <c r="P41" s="65"/>
      <c r="Q41" s="61"/>
      <c r="R41" s="61"/>
      <c r="S41" s="61"/>
      <c r="T41" s="80"/>
    </row>
    <row r="42" spans="2:20" ht="13" x14ac:dyDescent="0.25">
      <c r="B42" s="84"/>
      <c r="C42" s="78"/>
      <c r="D42" s="1000" t="str">
        <f ca="1">HYPERLINK("#"&amp;R42,INDIRECT(R42))</f>
        <v>G. Further Information on this report</v>
      </c>
      <c r="E42" s="1001"/>
      <c r="F42" s="1001"/>
      <c r="G42" s="1001"/>
      <c r="H42" s="1001"/>
      <c r="I42" s="1001"/>
      <c r="J42" s="1001"/>
      <c r="K42" s="1001"/>
      <c r="P42" s="65"/>
      <c r="Q42" s="61"/>
      <c r="R42" s="79" t="str">
        <f ca="1">ADDRESS(5,2,,,S42)</f>
        <v>G_AdditionalInformation!$B$5</v>
      </c>
      <c r="S42" s="67" t="str">
        <f ca="1">G_AdditionalInformation!$O$2</f>
        <v>G_AdditionalInformation</v>
      </c>
      <c r="T42" s="80">
        <f>MAX($T$4:T41)+1</f>
        <v>11</v>
      </c>
    </row>
    <row r="43" spans="2:20" ht="5.15" customHeight="1" x14ac:dyDescent="0.25">
      <c r="B43" s="84"/>
      <c r="C43" s="69"/>
      <c r="D43" s="69"/>
      <c r="E43" s="69"/>
      <c r="F43" s="69"/>
      <c r="G43" s="69"/>
      <c r="H43" s="69"/>
      <c r="I43" s="69"/>
      <c r="J43" s="69"/>
      <c r="P43" s="65"/>
      <c r="Q43" s="61"/>
      <c r="R43" s="61"/>
      <c r="S43" s="61"/>
      <c r="T43" s="61"/>
    </row>
    <row r="44" spans="2:20" ht="13" x14ac:dyDescent="0.25">
      <c r="B44" s="84"/>
      <c r="C44" s="78"/>
      <c r="D44" s="1000" t="str">
        <f ca="1">HYPERLINK("#"&amp;R44,INDIRECT(R44))</f>
        <v>Summary of the annual emissions of the Regulated Entity</v>
      </c>
      <c r="E44" s="1001"/>
      <c r="F44" s="1001"/>
      <c r="G44" s="1001"/>
      <c r="H44" s="1001"/>
      <c r="I44" s="1001"/>
      <c r="J44" s="1001"/>
      <c r="K44" s="1001"/>
      <c r="P44" s="65"/>
      <c r="Q44" s="61"/>
      <c r="R44" s="79" t="str">
        <f ca="1">ADDRESS(6,3,,,S44)</f>
        <v>H_Summary!$C$6</v>
      </c>
      <c r="S44" s="67" t="str">
        <f ca="1">H_Summary!$T$2</f>
        <v>H_Summary</v>
      </c>
      <c r="T44" s="80">
        <f>MAX($T$4:T43)+1</f>
        <v>12</v>
      </c>
    </row>
    <row r="45" spans="2:20" ht="5.15" customHeight="1" x14ac:dyDescent="0.25">
      <c r="B45" s="84"/>
      <c r="C45" s="69"/>
      <c r="D45" s="69"/>
      <c r="E45" s="69"/>
      <c r="F45" s="69"/>
      <c r="G45" s="69"/>
      <c r="H45" s="69"/>
      <c r="I45" s="69"/>
      <c r="J45" s="69"/>
      <c r="P45" s="65"/>
      <c r="Q45" s="61"/>
      <c r="R45" s="61"/>
      <c r="S45" s="61"/>
      <c r="T45" s="61"/>
    </row>
    <row r="46" spans="2:20" ht="13" x14ac:dyDescent="0.25">
      <c r="B46" s="84"/>
      <c r="C46" s="78"/>
      <c r="D46" s="1000" t="str">
        <f ca="1">HYPERLINK("#"&amp;R46,INDIRECT(R46))</f>
        <v>I Accounting sheet</v>
      </c>
      <c r="E46" s="1001"/>
      <c r="F46" s="1001"/>
      <c r="G46" s="1001"/>
      <c r="H46" s="1001"/>
      <c r="I46" s="1001"/>
      <c r="J46" s="1001"/>
      <c r="K46" s="1001"/>
      <c r="P46" s="65"/>
      <c r="Q46" s="61"/>
      <c r="R46" s="79" t="str">
        <f ca="1">ADDRESS(3,3,,,S46)</f>
        <v>I_Accounting!$C$3</v>
      </c>
      <c r="S46" s="67" t="str">
        <f ca="1">I_Accounting!$AU$2</f>
        <v>I_Accounting</v>
      </c>
      <c r="T46" s="80">
        <f>MAX($T$4:T45)+1</f>
        <v>13</v>
      </c>
    </row>
    <row r="47" spans="2:20" ht="25.5" customHeight="1" x14ac:dyDescent="0.25">
      <c r="B47" s="84"/>
      <c r="C47" s="69"/>
      <c r="D47" s="69"/>
      <c r="E47" s="69"/>
      <c r="F47" s="69"/>
      <c r="G47" s="69"/>
      <c r="H47" s="69"/>
      <c r="I47" s="69"/>
      <c r="J47" s="69"/>
      <c r="P47" s="65"/>
      <c r="Q47" s="61"/>
      <c r="R47" s="61"/>
      <c r="S47" s="61"/>
      <c r="T47" s="61"/>
    </row>
    <row r="48" spans="2:20" ht="13.5" thickBot="1" x14ac:dyDescent="0.3">
      <c r="C48" s="85" t="str">
        <f>Translations!$B$4</f>
        <v>Information about this file:</v>
      </c>
      <c r="P48" s="65"/>
      <c r="Q48" s="61"/>
      <c r="R48" s="61"/>
      <c r="S48" s="61"/>
      <c r="T48" s="61"/>
    </row>
    <row r="49" spans="3:20" ht="12.75" customHeight="1" x14ac:dyDescent="0.25">
      <c r="C49" s="76" t="str">
        <f>Translations!$B$169</f>
        <v>Regulated entity name</v>
      </c>
      <c r="G49" s="86" t="str">
        <f>IF(ISBLANK(A_EntityID!I28),"",A_EntityID!I28)</f>
        <v/>
      </c>
      <c r="H49" s="87"/>
      <c r="I49" s="87"/>
      <c r="J49" s="88"/>
      <c r="P49" s="65"/>
      <c r="Q49" s="61"/>
      <c r="R49" s="61"/>
      <c r="S49" s="61"/>
      <c r="T49" s="61"/>
    </row>
    <row r="50" spans="3:20" ht="13" x14ac:dyDescent="0.25">
      <c r="C50" s="76" t="str">
        <f>Translations!$B$170</f>
        <v>Unique ETS2 entity identifier:</v>
      </c>
      <c r="G50" s="89" t="str">
        <f>IF(ISBLANK(A_EntityID!I29),"",A_EntityID!I29)</f>
        <v/>
      </c>
      <c r="H50" s="90"/>
      <c r="I50" s="90"/>
      <c r="J50" s="91"/>
      <c r="P50" s="65"/>
      <c r="Q50" s="61"/>
      <c r="R50" s="61"/>
      <c r="S50" s="61"/>
      <c r="T50" s="61"/>
    </row>
    <row r="51" spans="3:20" ht="13.5" thickBot="1" x14ac:dyDescent="0.3">
      <c r="C51" s="76" t="str">
        <f>Translations!$B$269</f>
        <v>Version Number of this report:</v>
      </c>
      <c r="G51" s="92" t="str">
        <f>A_EntityID!I81</f>
        <v>2025 - 1</v>
      </c>
      <c r="H51" s="93"/>
      <c r="I51" s="93"/>
      <c r="J51" s="94"/>
      <c r="P51" s="65"/>
      <c r="Q51" s="61"/>
      <c r="R51" s="61"/>
      <c r="S51" s="61"/>
      <c r="T51" s="61"/>
    </row>
    <row r="52" spans="3:20" x14ac:dyDescent="0.25">
      <c r="P52" s="65"/>
      <c r="Q52" s="61"/>
      <c r="R52" s="61"/>
      <c r="S52" s="61"/>
      <c r="T52" s="61"/>
    </row>
    <row r="53" spans="3:20" x14ac:dyDescent="0.25">
      <c r="C53" s="1027" t="str">
        <f>Translations!$B$270</f>
        <v>If your competent authority requires you to hand in a signed paper copy of the annual emissions report, please use the space below for signature:</v>
      </c>
      <c r="D53" s="1028"/>
      <c r="E53" s="1028"/>
      <c r="F53" s="1028"/>
      <c r="G53" s="1028"/>
      <c r="H53" s="1028"/>
      <c r="I53" s="1028"/>
      <c r="J53" s="1028"/>
      <c r="P53" s="65"/>
      <c r="Q53" s="61"/>
      <c r="R53" s="61"/>
      <c r="S53" s="61"/>
      <c r="T53" s="61"/>
    </row>
    <row r="54" spans="3:20" x14ac:dyDescent="0.25">
      <c r="C54" s="1028"/>
      <c r="D54" s="1028"/>
      <c r="E54" s="1028"/>
      <c r="F54" s="1028"/>
      <c r="G54" s="1028"/>
      <c r="H54" s="1028"/>
      <c r="I54" s="1028"/>
      <c r="J54" s="1028"/>
      <c r="P54" s="65"/>
      <c r="Q54" s="61"/>
      <c r="R54" s="61"/>
      <c r="S54" s="61"/>
      <c r="T54" s="61"/>
    </row>
    <row r="55" spans="3:20" x14ac:dyDescent="0.25">
      <c r="P55" s="65"/>
      <c r="Q55" s="61"/>
      <c r="R55" s="61"/>
      <c r="S55" s="61"/>
      <c r="T55" s="61"/>
    </row>
    <row r="56" spans="3:20" x14ac:dyDescent="0.25">
      <c r="P56" s="65"/>
      <c r="Q56" s="61"/>
      <c r="R56" s="61"/>
      <c r="S56" s="61"/>
      <c r="T56" s="61"/>
    </row>
    <row r="57" spans="3:20" x14ac:dyDescent="0.25">
      <c r="P57" s="65"/>
      <c r="Q57" s="61"/>
      <c r="R57" s="61"/>
      <c r="S57" s="61"/>
      <c r="T57" s="61"/>
    </row>
    <row r="58" spans="3:20" x14ac:dyDescent="0.25">
      <c r="P58" s="65"/>
      <c r="Q58" s="61"/>
      <c r="R58" s="61"/>
      <c r="S58" s="61"/>
      <c r="T58" s="61"/>
    </row>
    <row r="59" spans="3:20" x14ac:dyDescent="0.25">
      <c r="P59" s="65"/>
      <c r="Q59" s="61"/>
      <c r="R59" s="61"/>
      <c r="S59" s="61"/>
      <c r="T59" s="61"/>
    </row>
    <row r="60" spans="3:20" ht="13" thickBot="1" x14ac:dyDescent="0.3">
      <c r="C60" s="1036"/>
      <c r="D60" s="1036"/>
      <c r="E60" s="1036"/>
      <c r="G60" s="97"/>
      <c r="H60" s="97"/>
      <c r="I60" s="97"/>
      <c r="J60" s="97"/>
      <c r="P60" s="65"/>
      <c r="Q60" s="61"/>
      <c r="R60" s="61"/>
      <c r="S60" s="61"/>
      <c r="T60" s="61"/>
    </row>
    <row r="61" spans="3:20" ht="12.75" customHeight="1" x14ac:dyDescent="0.25">
      <c r="C61" s="1029" t="str">
        <f>Translations!$B$5</f>
        <v>Date</v>
      </c>
      <c r="D61" s="1029"/>
      <c r="E61" s="1029"/>
      <c r="G61" s="98" t="str">
        <f>Translations!$B$6</f>
        <v>Name and Signature of 
legally responsible person</v>
      </c>
      <c r="H61" s="98"/>
      <c r="I61" s="98"/>
      <c r="J61" s="98"/>
      <c r="P61" s="65"/>
      <c r="Q61" s="61"/>
      <c r="R61" s="61"/>
      <c r="S61" s="61"/>
      <c r="T61" s="61"/>
    </row>
    <row r="62" spans="3:20" x14ac:dyDescent="0.25">
      <c r="P62" s="65"/>
      <c r="Q62" s="61"/>
      <c r="R62" s="61"/>
      <c r="S62" s="61"/>
      <c r="T62" s="61"/>
    </row>
    <row r="63" spans="3:20" x14ac:dyDescent="0.25">
      <c r="P63" s="65"/>
      <c r="Q63" s="61"/>
      <c r="R63" s="61"/>
      <c r="S63" s="61"/>
      <c r="T63" s="61"/>
    </row>
    <row r="64" spans="3:20" x14ac:dyDescent="0.25">
      <c r="P64" s="65"/>
      <c r="Q64" s="61"/>
      <c r="R64" s="61"/>
      <c r="S64" s="61"/>
      <c r="T64" s="61"/>
    </row>
    <row r="65" spans="1:20" ht="13.5" thickBot="1" x14ac:dyDescent="0.3">
      <c r="C65" s="85" t="str">
        <f>Translations!$B$7</f>
        <v>Template version information:</v>
      </c>
      <c r="P65" s="65"/>
      <c r="Q65" s="61"/>
      <c r="R65" s="61"/>
      <c r="S65" s="61"/>
      <c r="T65" s="61"/>
    </row>
    <row r="66" spans="1:20" x14ac:dyDescent="0.25">
      <c r="C66" s="1030" t="str">
        <f>Translations!$B$8</f>
        <v>Template provided by:</v>
      </c>
      <c r="D66" s="1031"/>
      <c r="E66" s="1031"/>
      <c r="F66" s="1032"/>
      <c r="G66" s="99" t="str">
        <f>VersionDocumentation!B4</f>
        <v>European Commission</v>
      </c>
      <c r="H66" s="100"/>
      <c r="I66" s="100"/>
      <c r="J66" s="101"/>
      <c r="P66" s="65"/>
      <c r="Q66" s="61"/>
      <c r="R66" s="61"/>
      <c r="S66" s="61"/>
      <c r="T66" s="61"/>
    </row>
    <row r="67" spans="1:20" x14ac:dyDescent="0.25">
      <c r="C67" s="1033" t="str">
        <f>Translations!$B$9</f>
        <v>Publication date:</v>
      </c>
      <c r="D67" s="1034"/>
      <c r="E67" s="1034"/>
      <c r="F67" s="1035"/>
      <c r="G67" s="102">
        <f>VersionDocumentation!B3</f>
        <v>45979</v>
      </c>
      <c r="H67" s="103"/>
      <c r="I67" s="103"/>
      <c r="J67" s="104"/>
      <c r="P67" s="65"/>
      <c r="Q67" s="61"/>
      <c r="R67" s="61"/>
      <c r="S67" s="61"/>
      <c r="T67" s="61"/>
    </row>
    <row r="68" spans="1:20" x14ac:dyDescent="0.25">
      <c r="C68" s="1033" t="str">
        <f>Translations!$B$10</f>
        <v>Language version:</v>
      </c>
      <c r="D68" s="1034"/>
      <c r="E68" s="1034"/>
      <c r="F68" s="1035"/>
      <c r="G68" s="105" t="str">
        <f>VersionDocumentation!B5</f>
        <v>English</v>
      </c>
      <c r="H68" s="103"/>
      <c r="I68" s="103"/>
      <c r="J68" s="104"/>
      <c r="P68" s="65"/>
      <c r="Q68" s="61"/>
      <c r="R68" s="61"/>
      <c r="S68" s="61"/>
      <c r="T68" s="61"/>
    </row>
    <row r="69" spans="1:20" ht="13" thickBot="1" x14ac:dyDescent="0.3">
      <c r="C69" s="1024" t="str">
        <f>Translations!$B$11</f>
        <v>Reference filename:</v>
      </c>
      <c r="D69" s="1025"/>
      <c r="E69" s="1025"/>
      <c r="F69" s="1026"/>
      <c r="G69" s="106" t="str">
        <f>VersionDocumentation!C3</f>
        <v>AER ETS2_COM_en_181125.xls</v>
      </c>
      <c r="H69" s="107"/>
      <c r="I69" s="107"/>
      <c r="J69" s="108"/>
      <c r="P69" s="65"/>
      <c r="Q69" s="61"/>
      <c r="R69" s="61"/>
      <c r="S69" s="61"/>
      <c r="T69" s="61"/>
    </row>
    <row r="70" spans="1:20" x14ac:dyDescent="0.25">
      <c r="P70" s="65"/>
      <c r="Q70" s="61"/>
      <c r="R70" s="61"/>
      <c r="S70" s="61"/>
      <c r="T70" s="61"/>
    </row>
    <row r="71" spans="1:20" s="62" customFormat="1" hidden="1" x14ac:dyDescent="0.25">
      <c r="A71" s="109" t="s">
        <v>0</v>
      </c>
      <c r="O71" s="63"/>
      <c r="P71" s="61" t="s">
        <v>3</v>
      </c>
      <c r="Q71" s="61"/>
      <c r="R71" s="61"/>
      <c r="S71" s="61"/>
      <c r="T71" s="61"/>
    </row>
  </sheetData>
  <sheetProtection sheet="1" objects="1" scenarios="1" formatCells="0" formatColumns="0" formatRows="0"/>
  <mergeCells count="49">
    <mergeCell ref="D46:K46"/>
    <mergeCell ref="E27:K27"/>
    <mergeCell ref="E28:K28"/>
    <mergeCell ref="E29:K29"/>
    <mergeCell ref="E23:N23"/>
    <mergeCell ref="D36:K36"/>
    <mergeCell ref="D34:K34"/>
    <mergeCell ref="D44:K44"/>
    <mergeCell ref="D38:K38"/>
    <mergeCell ref="D40:K40"/>
    <mergeCell ref="C69:F69"/>
    <mergeCell ref="C53:J54"/>
    <mergeCell ref="C61:E61"/>
    <mergeCell ref="C66:F66"/>
    <mergeCell ref="C67:F67"/>
    <mergeCell ref="C68:F68"/>
    <mergeCell ref="C60:E60"/>
    <mergeCell ref="D12:K12"/>
    <mergeCell ref="D14:K14"/>
    <mergeCell ref="E26:K26"/>
    <mergeCell ref="D24:J24"/>
    <mergeCell ref="D25:K25"/>
    <mergeCell ref="E22:N22"/>
    <mergeCell ref="E17:N17"/>
    <mergeCell ref="E19:N19"/>
    <mergeCell ref="E18:N18"/>
    <mergeCell ref="E2:F2"/>
    <mergeCell ref="G2:H2"/>
    <mergeCell ref="I2:J2"/>
    <mergeCell ref="K2:L2"/>
    <mergeCell ref="G4:H4"/>
    <mergeCell ref="I4:J4"/>
    <mergeCell ref="K4:L4"/>
    <mergeCell ref="M4:N4"/>
    <mergeCell ref="D42:K42"/>
    <mergeCell ref="E30:K30"/>
    <mergeCell ref="D32:K32"/>
    <mergeCell ref="B2:D4"/>
    <mergeCell ref="D21:K21"/>
    <mergeCell ref="D10:K10"/>
    <mergeCell ref="E4:F4"/>
    <mergeCell ref="E16:N16"/>
    <mergeCell ref="E15:N15"/>
    <mergeCell ref="M2:N2"/>
    <mergeCell ref="E3:F3"/>
    <mergeCell ref="G3:H3"/>
    <mergeCell ref="I3:J3"/>
    <mergeCell ref="K3:L3"/>
    <mergeCell ref="M3:N3"/>
  </mergeCells>
  <phoneticPr fontId="9" type="noConversion"/>
  <hyperlinks>
    <hyperlink ref="G3:H3" location="JUMP_B_2" display="Operator" xr:uid="{00000000-0004-0000-0000-000000000000}"/>
    <hyperlink ref="I3:J3" location="JUMP_B_3" display="Installation" xr:uid="{00000000-0004-0000-0000-000001000000}"/>
    <hyperlink ref="K3:L3" location="JUMP_B_4" display="Contacts" xr:uid="{00000000-0004-0000-0000-000002000000}"/>
    <hyperlink ref="G2:H2" location="JUMP_a_Content" display="Table of contents" xr:uid="{00000000-0004-0000-0000-000003000000}"/>
  </hyperlinks>
  <pageMargins left="0.78740157480314965" right="0.78740157480314965" top="0.78740157480314965" bottom="0.78740157480314965" header="0.39370078740157483" footer="0.39370078740157483"/>
  <pageSetup paperSize="9" scale="79" orientation="portrait" r:id="rId1"/>
  <headerFooter alignWithMargins="0">
    <oddHeader>&amp;L&amp;F, &amp;A&amp;R&amp;D, &amp;T</oddHeader>
    <oddFooter>&amp;C&amp;P /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4">
    <tabColor indexed="9"/>
    <pageSetUpPr fitToPage="1"/>
  </sheetPr>
  <dimension ref="A1:O72"/>
  <sheetViews>
    <sheetView workbookViewId="0">
      <selection sqref="A1:C3"/>
    </sheetView>
  </sheetViews>
  <sheetFormatPr defaultColWidth="9.1796875" defaultRowHeight="12.5" x14ac:dyDescent="0.25"/>
  <cols>
    <col min="1" max="1" width="3.1796875" style="115" customWidth="1"/>
    <col min="2" max="2" width="4.1796875" style="115" customWidth="1"/>
    <col min="3" max="13" width="12.7265625" style="115" customWidth="1"/>
    <col min="14" max="14" width="5.7265625" style="142" customWidth="1"/>
    <col min="15" max="15" width="9.1796875" style="113" hidden="1" customWidth="1"/>
    <col min="16" max="16384" width="9.1796875" style="115"/>
  </cols>
  <sheetData>
    <row r="1" spans="1:15" ht="13.5" customHeight="1" thickBot="1" x14ac:dyDescent="0.35">
      <c r="A1" s="1003" t="str">
        <f>Translations!$B$500</f>
        <v>G. Additional information</v>
      </c>
      <c r="B1" s="1213"/>
      <c r="C1" s="1214"/>
      <c r="D1" s="1019" t="str">
        <f>Translations!$B$13</f>
        <v>Navigation area:</v>
      </c>
      <c r="E1" s="1020"/>
      <c r="F1" s="1021" t="str">
        <f>Translations!$B$14</f>
        <v>Table of contents</v>
      </c>
      <c r="G1" s="1022"/>
      <c r="H1" s="1021" t="str">
        <f ca="1">HYPERLINK("#"&amp;INDEX(a_Contents!$R$4:$R$49,MATCH(INDEX(a_Contents!$T$4:$T$49,MATCH($O$2,a_Contents!$S$4:$S$49,0))-1,a_Contents!$T$4:$T$49,0)),EUconst_PreviousSheet)</f>
        <v>Previous sheet</v>
      </c>
      <c r="I1" s="1022"/>
      <c r="J1" s="1021" t="str">
        <f ca="1">HYPERLINK("#"&amp;INDEX(a_Contents!$R$4:$R$49,MATCH(INDEX(a_Contents!$T$4:$T$49,MATCH($O$2,a_Contents!$S$4:$S$49,0))+1,a_Contents!$T$4:$T$49,0)),EUconst_NextSheet)</f>
        <v>Next sheet</v>
      </c>
      <c r="K1" s="1022"/>
      <c r="L1" s="1014" t="str">
        <f ca="1">HYPERLINK("#"&amp;a_Contents!$R$46,INDIRECT(a_Contents!$R$46))</f>
        <v>I Accounting sheet</v>
      </c>
      <c r="M1" s="1015"/>
      <c r="O1" s="113" t="s">
        <v>0</v>
      </c>
    </row>
    <row r="2" spans="1:15" ht="12.75" customHeight="1" x14ac:dyDescent="0.25">
      <c r="A2" s="1215"/>
      <c r="B2" s="1216"/>
      <c r="C2" s="1217"/>
      <c r="D2" s="1013"/>
      <c r="E2" s="1013"/>
      <c r="F2" s="1418"/>
      <c r="G2" s="1419"/>
      <c r="H2" s="1420"/>
      <c r="I2" s="1421"/>
      <c r="J2" s="1420"/>
      <c r="K2" s="1421"/>
      <c r="L2" s="1114"/>
      <c r="M2" s="1136"/>
      <c r="O2" s="663" t="str">
        <f ca="1">IF(ISERROR(CELL("filename",O1)),"F_AdditionalInformation",MID(CELL("filename",O1),FIND("]",CELL("filename",O1))+1,1024))</f>
        <v>G_AdditionalInformation</v>
      </c>
    </row>
    <row r="3" spans="1:15" ht="13.5" customHeight="1" thickBot="1" x14ac:dyDescent="0.3">
      <c r="A3" s="1218"/>
      <c r="B3" s="1219"/>
      <c r="C3" s="1220"/>
      <c r="D3" s="1013"/>
      <c r="E3" s="1013"/>
      <c r="F3" s="1422"/>
      <c r="G3" s="1417"/>
      <c r="H3" s="1417"/>
      <c r="I3" s="1417"/>
      <c r="J3" s="1417"/>
      <c r="K3" s="1417"/>
      <c r="L3" s="1112"/>
      <c r="M3" s="1116"/>
    </row>
    <row r="4" spans="1:15" x14ac:dyDescent="0.25">
      <c r="A4" s="132"/>
      <c r="B4" s="132"/>
      <c r="C4" s="132"/>
      <c r="D4" s="132"/>
      <c r="E4" s="998"/>
      <c r="F4" s="998"/>
      <c r="G4" s="132"/>
      <c r="H4" s="132"/>
      <c r="I4" s="132"/>
      <c r="J4" s="132"/>
      <c r="K4" s="132"/>
      <c r="L4" s="132"/>
      <c r="M4" s="132"/>
    </row>
    <row r="5" spans="1:15" ht="18" x14ac:dyDescent="0.25">
      <c r="A5" s="132"/>
      <c r="B5" s="1074" t="str">
        <f>Translations!$B$501</f>
        <v>G. Further Information on this report</v>
      </c>
      <c r="C5" s="1074"/>
      <c r="D5" s="1074"/>
      <c r="E5" s="1074"/>
      <c r="F5" s="1074"/>
      <c r="G5" s="1074"/>
      <c r="H5" s="1074"/>
      <c r="I5" s="1074"/>
      <c r="J5" s="1074"/>
      <c r="K5" s="132"/>
      <c r="L5" s="132"/>
      <c r="M5" s="132"/>
    </row>
    <row r="6" spans="1:15" x14ac:dyDescent="0.25">
      <c r="A6" s="132"/>
      <c r="B6" s="132"/>
      <c r="C6" s="132"/>
      <c r="D6" s="132"/>
      <c r="E6" s="132"/>
      <c r="F6" s="132"/>
      <c r="G6" s="132"/>
      <c r="H6" s="132"/>
      <c r="I6" s="132"/>
      <c r="J6" s="132"/>
      <c r="K6" s="132"/>
      <c r="L6" s="132"/>
      <c r="M6" s="132"/>
    </row>
    <row r="7" spans="1:15" s="68" customFormat="1" ht="18.75" customHeight="1" x14ac:dyDescent="0.25">
      <c r="A7" s="531"/>
      <c r="B7" s="216">
        <v>1</v>
      </c>
      <c r="C7" s="1195" t="str">
        <f>Translations!$B$502</f>
        <v>List of definitions and abbreviations used</v>
      </c>
      <c r="D7" s="1195"/>
      <c r="E7" s="1195"/>
      <c r="F7" s="1195"/>
      <c r="G7" s="1195"/>
      <c r="H7" s="1195"/>
      <c r="I7" s="1195"/>
      <c r="J7" s="1195"/>
      <c r="K7" s="1195"/>
      <c r="L7" s="1195"/>
      <c r="M7" s="1195"/>
      <c r="N7" s="64"/>
      <c r="O7" s="62"/>
    </row>
    <row r="8" spans="1:15" ht="5.15" customHeight="1" x14ac:dyDescent="0.25">
      <c r="A8" s="664"/>
      <c r="B8" s="191"/>
      <c r="C8" s="116"/>
      <c r="D8" s="116"/>
      <c r="E8" s="116"/>
      <c r="F8" s="116"/>
      <c r="G8" s="116"/>
      <c r="H8" s="116"/>
      <c r="I8" s="116"/>
      <c r="J8" s="116"/>
      <c r="K8" s="132"/>
      <c r="L8" s="132"/>
      <c r="M8" s="132"/>
    </row>
    <row r="9" spans="1:15" ht="12.75" customHeight="1" x14ac:dyDescent="0.25">
      <c r="A9" s="664"/>
      <c r="B9" s="171"/>
      <c r="C9" s="1139" t="str">
        <f>Translations!$B$503</f>
        <v>Please list any abbreviations, acronyms or definitions that you have used in completing this annual emissions report.</v>
      </c>
      <c r="D9" s="1139"/>
      <c r="E9" s="1139"/>
      <c r="F9" s="1139"/>
      <c r="G9" s="1139"/>
      <c r="H9" s="1139"/>
      <c r="I9" s="1139"/>
      <c r="J9" s="1139"/>
      <c r="K9" s="1139"/>
      <c r="L9" s="1139"/>
      <c r="M9" s="132"/>
    </row>
    <row r="10" spans="1:15" ht="5.15" customHeight="1" x14ac:dyDescent="0.25">
      <c r="A10" s="664"/>
      <c r="B10" s="191"/>
      <c r="C10" s="116"/>
      <c r="D10" s="116"/>
      <c r="E10" s="116"/>
      <c r="F10" s="116"/>
      <c r="G10" s="116"/>
      <c r="H10" s="116"/>
      <c r="I10" s="116"/>
      <c r="J10" s="116"/>
      <c r="K10" s="132"/>
      <c r="L10" s="132"/>
      <c r="M10" s="132"/>
    </row>
    <row r="11" spans="1:15" ht="13" x14ac:dyDescent="0.25">
      <c r="A11" s="664"/>
      <c r="B11" s="665"/>
      <c r="C11" s="1227" t="str">
        <f>Translations!$B$504</f>
        <v>Abbreviation</v>
      </c>
      <c r="D11" s="1430"/>
      <c r="E11" s="1227" t="str">
        <f>Translations!$B$505</f>
        <v>Definition</v>
      </c>
      <c r="F11" s="1430"/>
      <c r="G11" s="1430"/>
      <c r="H11" s="1430"/>
      <c r="I11" s="1430"/>
      <c r="J11" s="1430"/>
      <c r="K11" s="1430"/>
      <c r="L11" s="1430"/>
      <c r="M11" s="132"/>
    </row>
    <row r="12" spans="1:15" x14ac:dyDescent="0.25">
      <c r="A12" s="664"/>
      <c r="B12" s="665"/>
      <c r="C12" s="1431"/>
      <c r="D12" s="1431"/>
      <c r="E12" s="1432"/>
      <c r="F12" s="1432"/>
      <c r="G12" s="1432"/>
      <c r="H12" s="1432"/>
      <c r="I12" s="1432"/>
      <c r="J12" s="1432"/>
      <c r="K12" s="1432"/>
      <c r="L12" s="1432"/>
      <c r="M12" s="132"/>
    </row>
    <row r="13" spans="1:15" x14ac:dyDescent="0.25">
      <c r="A13" s="664"/>
      <c r="B13" s="665"/>
      <c r="C13" s="1431"/>
      <c r="D13" s="1431"/>
      <c r="E13" s="1432"/>
      <c r="F13" s="1432"/>
      <c r="G13" s="1432"/>
      <c r="H13" s="1432"/>
      <c r="I13" s="1432"/>
      <c r="J13" s="1432"/>
      <c r="K13" s="1432"/>
      <c r="L13" s="1432"/>
      <c r="M13" s="132"/>
    </row>
    <row r="14" spans="1:15" x14ac:dyDescent="0.25">
      <c r="A14" s="664"/>
      <c r="B14" s="665"/>
      <c r="C14" s="1431"/>
      <c r="D14" s="1431"/>
      <c r="E14" s="1432"/>
      <c r="F14" s="1432"/>
      <c r="G14" s="1432"/>
      <c r="H14" s="1432"/>
      <c r="I14" s="1432"/>
      <c r="J14" s="1432"/>
      <c r="K14" s="1432"/>
      <c r="L14" s="1432"/>
      <c r="M14" s="132"/>
    </row>
    <row r="15" spans="1:15" x14ac:dyDescent="0.25">
      <c r="A15" s="664"/>
      <c r="B15" s="665"/>
      <c r="C15" s="1431"/>
      <c r="D15" s="1431"/>
      <c r="E15" s="1432"/>
      <c r="F15" s="1432"/>
      <c r="G15" s="1432"/>
      <c r="H15" s="1432"/>
      <c r="I15" s="1432"/>
      <c r="J15" s="1432"/>
      <c r="K15" s="1432"/>
      <c r="L15" s="1432"/>
      <c r="M15" s="132"/>
    </row>
    <row r="16" spans="1:15" x14ac:dyDescent="0.25">
      <c r="A16" s="664"/>
      <c r="B16" s="665"/>
      <c r="C16" s="1431"/>
      <c r="D16" s="1431"/>
      <c r="E16" s="1432"/>
      <c r="F16" s="1432"/>
      <c r="G16" s="1432"/>
      <c r="H16" s="1432"/>
      <c r="I16" s="1432"/>
      <c r="J16" s="1432"/>
      <c r="K16" s="1432"/>
      <c r="L16" s="1432"/>
      <c r="M16" s="132"/>
    </row>
    <row r="17" spans="1:15" x14ac:dyDescent="0.25">
      <c r="A17" s="664"/>
      <c r="B17" s="665"/>
      <c r="C17" s="1431"/>
      <c r="D17" s="1431"/>
      <c r="E17" s="1432"/>
      <c r="F17" s="1432"/>
      <c r="G17" s="1432"/>
      <c r="H17" s="1432"/>
      <c r="I17" s="1432"/>
      <c r="J17" s="1432"/>
      <c r="K17" s="1432"/>
      <c r="L17" s="1432"/>
      <c r="M17" s="132"/>
    </row>
    <row r="18" spans="1:15" x14ac:dyDescent="0.25">
      <c r="A18" s="664"/>
      <c r="B18" s="665"/>
      <c r="C18" s="1431"/>
      <c r="D18" s="1431"/>
      <c r="E18" s="1432"/>
      <c r="F18" s="1432"/>
      <c r="G18" s="1432"/>
      <c r="H18" s="1432"/>
      <c r="I18" s="1432"/>
      <c r="J18" s="1432"/>
      <c r="K18" s="1432"/>
      <c r="L18" s="1432"/>
      <c r="M18" s="132"/>
    </row>
    <row r="19" spans="1:15" x14ac:dyDescent="0.25">
      <c r="A19" s="664"/>
      <c r="B19" s="665"/>
      <c r="C19" s="1431"/>
      <c r="D19" s="1431"/>
      <c r="E19" s="1432"/>
      <c r="F19" s="1432"/>
      <c r="G19" s="1432"/>
      <c r="H19" s="1432"/>
      <c r="I19" s="1432"/>
      <c r="J19" s="1432"/>
      <c r="K19" s="1432"/>
      <c r="L19" s="1432"/>
      <c r="M19" s="132"/>
    </row>
    <row r="20" spans="1:15" x14ac:dyDescent="0.25">
      <c r="A20" s="664"/>
      <c r="B20" s="665"/>
      <c r="C20" s="1431"/>
      <c r="D20" s="1431"/>
      <c r="E20" s="1432"/>
      <c r="F20" s="1432"/>
      <c r="G20" s="1432"/>
      <c r="H20" s="1432"/>
      <c r="I20" s="1432"/>
      <c r="J20" s="1432"/>
      <c r="K20" s="1432"/>
      <c r="L20" s="1432"/>
      <c r="M20" s="132"/>
    </row>
    <row r="21" spans="1:15" x14ac:dyDescent="0.25">
      <c r="A21" s="664"/>
      <c r="B21" s="665"/>
      <c r="C21" s="1431"/>
      <c r="D21" s="1431"/>
      <c r="E21" s="1432"/>
      <c r="F21" s="1432"/>
      <c r="G21" s="1432"/>
      <c r="H21" s="1432"/>
      <c r="I21" s="1432"/>
      <c r="J21" s="1432"/>
      <c r="K21" s="1432"/>
      <c r="L21" s="1432"/>
      <c r="M21" s="132"/>
    </row>
    <row r="22" spans="1:15" x14ac:dyDescent="0.25">
      <c r="A22" s="664"/>
      <c r="B22" s="132"/>
      <c r="C22" s="666"/>
      <c r="D22" s="667"/>
      <c r="E22" s="667"/>
      <c r="F22" s="667"/>
      <c r="G22" s="667"/>
      <c r="H22" s="667"/>
      <c r="I22" s="667"/>
      <c r="J22" s="667"/>
      <c r="K22" s="667"/>
      <c r="L22" s="132"/>
      <c r="M22" s="132"/>
    </row>
    <row r="23" spans="1:15" s="68" customFormat="1" ht="18.75" customHeight="1" x14ac:dyDescent="0.25">
      <c r="A23" s="531"/>
      <c r="B23" s="216">
        <v>2</v>
      </c>
      <c r="C23" s="1195" t="str">
        <f>Translations!$B$506</f>
        <v>Additional information</v>
      </c>
      <c r="D23" s="1195"/>
      <c r="E23" s="1195"/>
      <c r="F23" s="1195"/>
      <c r="G23" s="1195"/>
      <c r="H23" s="1195"/>
      <c r="I23" s="1195"/>
      <c r="J23" s="1195"/>
      <c r="K23" s="1195"/>
      <c r="L23" s="1195"/>
      <c r="M23" s="1195"/>
      <c r="N23" s="64"/>
      <c r="O23" s="62"/>
    </row>
    <row r="24" spans="1:15" ht="5.15" customHeight="1" x14ac:dyDescent="0.25">
      <c r="A24" s="664"/>
      <c r="B24" s="191"/>
      <c r="C24" s="116"/>
      <c r="D24" s="116"/>
      <c r="E24" s="116"/>
      <c r="F24" s="116"/>
      <c r="G24" s="116"/>
      <c r="H24" s="116"/>
      <c r="I24" s="116"/>
      <c r="J24" s="116"/>
      <c r="K24" s="132"/>
      <c r="L24" s="132"/>
      <c r="M24" s="132"/>
    </row>
    <row r="25" spans="1:15" ht="25.5" customHeight="1" x14ac:dyDescent="0.25">
      <c r="A25" s="664"/>
      <c r="B25" s="171"/>
      <c r="C25" s="1139" t="str">
        <f>Translations!$B$507</f>
        <v>If you are providing any other information that you wish us to take into account in considering your report, tell us here. Please provide this information in an electronic format wherever possible. You can provide information as Microsoft Word, Excel, or Adobe Acrobat formats.</v>
      </c>
      <c r="D25" s="1139"/>
      <c r="E25" s="1139"/>
      <c r="F25" s="1139"/>
      <c r="G25" s="1139"/>
      <c r="H25" s="1139"/>
      <c r="I25" s="1139"/>
      <c r="J25" s="1139"/>
      <c r="K25" s="1139"/>
      <c r="L25" s="1139"/>
      <c r="M25" s="132"/>
    </row>
    <row r="26" spans="1:15" ht="25.5" customHeight="1" x14ac:dyDescent="0.25">
      <c r="A26" s="664"/>
      <c r="B26" s="668"/>
      <c r="C26" s="1154" t="str">
        <f>Translations!$B$508</f>
        <v>You are advised to avoid supplying non-relevant information as it can slow down the process. Additional documentation provided should be clearly referenced below, using file name(s) (if in an electronic format) or document reference number(s) (if hard copy). If needed, check with your competent authority.</v>
      </c>
      <c r="D26" s="1154"/>
      <c r="E26" s="1154"/>
      <c r="F26" s="1154"/>
      <c r="G26" s="1154"/>
      <c r="H26" s="1154"/>
      <c r="I26" s="1154"/>
      <c r="J26" s="1154"/>
      <c r="K26" s="1154"/>
      <c r="L26" s="1154"/>
      <c r="M26" s="132"/>
    </row>
    <row r="27" spans="1:15" ht="5.15" customHeight="1" x14ac:dyDescent="0.25">
      <c r="A27" s="664"/>
      <c r="B27" s="191"/>
      <c r="C27" s="116"/>
      <c r="D27" s="116"/>
      <c r="E27" s="116"/>
      <c r="F27" s="116"/>
      <c r="G27" s="116"/>
      <c r="H27" s="116"/>
      <c r="I27" s="116"/>
      <c r="J27" s="116"/>
      <c r="K27" s="132"/>
      <c r="L27" s="132"/>
      <c r="M27" s="132"/>
    </row>
    <row r="28" spans="1:15" ht="12.75" customHeight="1" x14ac:dyDescent="0.25">
      <c r="A28" s="664"/>
      <c r="B28" s="665"/>
      <c r="C28" s="1227" t="str">
        <f>Translations!$B$509</f>
        <v>File name/Reference</v>
      </c>
      <c r="D28" s="1430"/>
      <c r="E28" s="1227" t="str">
        <f>Translations!$B$510</f>
        <v>Document description</v>
      </c>
      <c r="F28" s="1430"/>
      <c r="G28" s="1430"/>
      <c r="H28" s="1430"/>
      <c r="I28" s="1430"/>
      <c r="J28" s="1430"/>
      <c r="K28" s="1430"/>
      <c r="L28" s="1430"/>
      <c r="M28" s="132"/>
    </row>
    <row r="29" spans="1:15" x14ac:dyDescent="0.25">
      <c r="A29" s="664"/>
      <c r="B29" s="665"/>
      <c r="C29" s="1431"/>
      <c r="D29" s="1431"/>
      <c r="E29" s="1432"/>
      <c r="F29" s="1432"/>
      <c r="G29" s="1432"/>
      <c r="H29" s="1432"/>
      <c r="I29" s="1432"/>
      <c r="J29" s="1432"/>
      <c r="K29" s="1432"/>
      <c r="L29" s="1432"/>
      <c r="M29" s="132"/>
    </row>
    <row r="30" spans="1:15" x14ac:dyDescent="0.25">
      <c r="A30" s="664"/>
      <c r="B30" s="665"/>
      <c r="C30" s="1431"/>
      <c r="D30" s="1431"/>
      <c r="E30" s="1432"/>
      <c r="F30" s="1432"/>
      <c r="G30" s="1432"/>
      <c r="H30" s="1432"/>
      <c r="I30" s="1432"/>
      <c r="J30" s="1432"/>
      <c r="K30" s="1432"/>
      <c r="L30" s="1432"/>
      <c r="M30" s="132"/>
    </row>
    <row r="31" spans="1:15" x14ac:dyDescent="0.25">
      <c r="A31" s="664"/>
      <c r="B31" s="665"/>
      <c r="C31" s="1431"/>
      <c r="D31" s="1431"/>
      <c r="E31" s="1432"/>
      <c r="F31" s="1432"/>
      <c r="G31" s="1432"/>
      <c r="H31" s="1432"/>
      <c r="I31" s="1432"/>
      <c r="J31" s="1432"/>
      <c r="K31" s="1432"/>
      <c r="L31" s="1432"/>
      <c r="M31" s="132"/>
    </row>
    <row r="32" spans="1:15" x14ac:dyDescent="0.25">
      <c r="A32" s="664"/>
      <c r="B32" s="665"/>
      <c r="C32" s="1431"/>
      <c r="D32" s="1431"/>
      <c r="E32" s="1432"/>
      <c r="F32" s="1432"/>
      <c r="G32" s="1432"/>
      <c r="H32" s="1432"/>
      <c r="I32" s="1432"/>
      <c r="J32" s="1432"/>
      <c r="K32" s="1432"/>
      <c r="L32" s="1432"/>
      <c r="M32" s="132"/>
    </row>
    <row r="33" spans="1:13" x14ac:dyDescent="0.25">
      <c r="A33" s="664"/>
      <c r="B33" s="665"/>
      <c r="C33" s="1431"/>
      <c r="D33" s="1431"/>
      <c r="E33" s="1432"/>
      <c r="F33" s="1432"/>
      <c r="G33" s="1432"/>
      <c r="H33" s="1432"/>
      <c r="I33" s="1432"/>
      <c r="J33" s="1432"/>
      <c r="K33" s="1432"/>
      <c r="L33" s="1432"/>
      <c r="M33" s="132"/>
    </row>
    <row r="34" spans="1:13" x14ac:dyDescent="0.25">
      <c r="A34" s="664"/>
      <c r="B34" s="665"/>
      <c r="C34" s="1431"/>
      <c r="D34" s="1431"/>
      <c r="E34" s="1432"/>
      <c r="F34" s="1432"/>
      <c r="G34" s="1432"/>
      <c r="H34" s="1432"/>
      <c r="I34" s="1432"/>
      <c r="J34" s="1432"/>
      <c r="K34" s="1432"/>
      <c r="L34" s="1432"/>
      <c r="M34" s="132"/>
    </row>
    <row r="35" spans="1:13" x14ac:dyDescent="0.25">
      <c r="A35" s="664"/>
      <c r="B35" s="665"/>
      <c r="C35" s="1431"/>
      <c r="D35" s="1431"/>
      <c r="E35" s="1432"/>
      <c r="F35" s="1432"/>
      <c r="G35" s="1432"/>
      <c r="H35" s="1432"/>
      <c r="I35" s="1432"/>
      <c r="J35" s="1432"/>
      <c r="K35" s="1432"/>
      <c r="L35" s="1432"/>
      <c r="M35" s="132"/>
    </row>
    <row r="36" spans="1:13" x14ac:dyDescent="0.25">
      <c r="A36" s="664"/>
      <c r="B36" s="665"/>
      <c r="C36" s="1431"/>
      <c r="D36" s="1431"/>
      <c r="E36" s="1432"/>
      <c r="F36" s="1432"/>
      <c r="G36" s="1432"/>
      <c r="H36" s="1432"/>
      <c r="I36" s="1432"/>
      <c r="J36" s="1432"/>
      <c r="K36" s="1432"/>
      <c r="L36" s="1432"/>
      <c r="M36" s="132"/>
    </row>
    <row r="37" spans="1:13" x14ac:dyDescent="0.25">
      <c r="A37" s="664"/>
      <c r="B37" s="665"/>
      <c r="C37" s="1431"/>
      <c r="D37" s="1431"/>
      <c r="E37" s="1432"/>
      <c r="F37" s="1432"/>
      <c r="G37" s="1432"/>
      <c r="H37" s="1432"/>
      <c r="I37" s="1432"/>
      <c r="J37" s="1432"/>
      <c r="K37" s="1432"/>
      <c r="L37" s="1432"/>
      <c r="M37" s="132"/>
    </row>
    <row r="38" spans="1:13" x14ac:dyDescent="0.25">
      <c r="A38" s="664"/>
      <c r="B38" s="665"/>
      <c r="C38" s="1431"/>
      <c r="D38" s="1431"/>
      <c r="E38" s="1432"/>
      <c r="F38" s="1432"/>
      <c r="G38" s="1432"/>
      <c r="H38" s="1432"/>
      <c r="I38" s="1432"/>
      <c r="J38" s="1432"/>
      <c r="K38" s="1432"/>
      <c r="L38" s="1432"/>
      <c r="M38" s="132"/>
    </row>
    <row r="39" spans="1:13" ht="12.75" customHeight="1" x14ac:dyDescent="0.25">
      <c r="A39" s="664"/>
      <c r="B39" s="132"/>
      <c r="C39" s="665"/>
      <c r="D39" s="132"/>
      <c r="E39" s="132"/>
      <c r="F39" s="132"/>
      <c r="G39" s="132"/>
      <c r="H39" s="132"/>
      <c r="I39" s="132"/>
      <c r="J39" s="132"/>
      <c r="K39" s="132"/>
      <c r="L39" s="132"/>
      <c r="M39" s="132"/>
    </row>
    <row r="40" spans="1:13" ht="15.5" x14ac:dyDescent="0.35">
      <c r="A40" s="132"/>
      <c r="B40" s="168">
        <v>3</v>
      </c>
      <c r="C40" s="1426" t="str">
        <f>Translations!$B$3</f>
        <v>Comments</v>
      </c>
      <c r="D40" s="1049"/>
      <c r="E40" s="1049"/>
      <c r="F40" s="1049"/>
      <c r="G40" s="1049"/>
      <c r="H40" s="1049"/>
      <c r="I40" s="1049"/>
      <c r="J40" s="1049"/>
      <c r="K40" s="1049"/>
      <c r="L40" s="1049"/>
      <c r="M40" s="1049"/>
    </row>
    <row r="41" spans="1:13" x14ac:dyDescent="0.25">
      <c r="A41" s="132"/>
      <c r="B41" s="132"/>
      <c r="C41" s="132"/>
      <c r="D41" s="132"/>
      <c r="E41" s="132"/>
      <c r="F41" s="132"/>
      <c r="G41" s="132"/>
      <c r="H41" s="132"/>
      <c r="I41" s="132"/>
      <c r="J41" s="132"/>
      <c r="K41" s="132"/>
      <c r="L41" s="132"/>
      <c r="M41" s="132"/>
    </row>
    <row r="42" spans="1:13" x14ac:dyDescent="0.25">
      <c r="A42" s="132"/>
      <c r="B42" s="1027" t="str">
        <f>Translations!$B$78</f>
        <v>Space for further Comments:</v>
      </c>
      <c r="C42" s="1049"/>
      <c r="D42" s="1049"/>
      <c r="E42" s="1049"/>
      <c r="F42" s="1049"/>
      <c r="G42" s="1049"/>
      <c r="H42" s="1049"/>
      <c r="I42" s="1049"/>
      <c r="J42" s="1049"/>
      <c r="K42" s="1049"/>
      <c r="L42" s="1049"/>
      <c r="M42" s="1049"/>
    </row>
    <row r="43" spans="1:13" x14ac:dyDescent="0.25">
      <c r="A43" s="132"/>
      <c r="B43" s="1427"/>
      <c r="C43" s="1428"/>
      <c r="D43" s="1428"/>
      <c r="E43" s="1428"/>
      <c r="F43" s="1428"/>
      <c r="G43" s="1428"/>
      <c r="H43" s="1428"/>
      <c r="I43" s="1428"/>
      <c r="J43" s="1428"/>
      <c r="K43" s="1428"/>
      <c r="L43" s="1428"/>
      <c r="M43" s="1429"/>
    </row>
    <row r="44" spans="1:13" ht="13" x14ac:dyDescent="0.3">
      <c r="A44" s="669"/>
      <c r="B44" s="1423"/>
      <c r="C44" s="1424"/>
      <c r="D44" s="1424"/>
      <c r="E44" s="1424"/>
      <c r="F44" s="1424"/>
      <c r="G44" s="1424"/>
      <c r="H44" s="1424"/>
      <c r="I44" s="1424"/>
      <c r="J44" s="1424"/>
      <c r="K44" s="1424"/>
      <c r="L44" s="1424"/>
      <c r="M44" s="1425"/>
    </row>
    <row r="45" spans="1:13" x14ac:dyDescent="0.25">
      <c r="A45" s="132"/>
      <c r="B45" s="1423"/>
      <c r="C45" s="1424"/>
      <c r="D45" s="1424"/>
      <c r="E45" s="1424"/>
      <c r="F45" s="1424"/>
      <c r="G45" s="1424"/>
      <c r="H45" s="1424"/>
      <c r="I45" s="1424"/>
      <c r="J45" s="1424"/>
      <c r="K45" s="1424"/>
      <c r="L45" s="1424"/>
      <c r="M45" s="1425"/>
    </row>
    <row r="46" spans="1:13" x14ac:dyDescent="0.25">
      <c r="A46" s="132"/>
      <c r="B46" s="1423"/>
      <c r="C46" s="1424"/>
      <c r="D46" s="1424"/>
      <c r="E46" s="1424"/>
      <c r="F46" s="1424"/>
      <c r="G46" s="1424"/>
      <c r="H46" s="1424"/>
      <c r="I46" s="1424"/>
      <c r="J46" s="1424"/>
      <c r="K46" s="1424"/>
      <c r="L46" s="1424"/>
      <c r="M46" s="1425"/>
    </row>
    <row r="47" spans="1:13" x14ac:dyDescent="0.25">
      <c r="A47" s="132"/>
      <c r="B47" s="1423"/>
      <c r="C47" s="1424"/>
      <c r="D47" s="1424"/>
      <c r="E47" s="1424"/>
      <c r="F47" s="1424"/>
      <c r="G47" s="1424"/>
      <c r="H47" s="1424"/>
      <c r="I47" s="1424"/>
      <c r="J47" s="1424"/>
      <c r="K47" s="1424"/>
      <c r="L47" s="1424"/>
      <c r="M47" s="1425"/>
    </row>
    <row r="48" spans="1:13" x14ac:dyDescent="0.25">
      <c r="A48" s="132"/>
      <c r="B48" s="1423"/>
      <c r="C48" s="1424"/>
      <c r="D48" s="1424"/>
      <c r="E48" s="1424"/>
      <c r="F48" s="1424"/>
      <c r="G48" s="1424"/>
      <c r="H48" s="1424"/>
      <c r="I48" s="1424"/>
      <c r="J48" s="1424"/>
      <c r="K48" s="1424"/>
      <c r="L48" s="1424"/>
      <c r="M48" s="1425"/>
    </row>
    <row r="49" spans="1:13" x14ac:dyDescent="0.25">
      <c r="A49" s="132"/>
      <c r="B49" s="1423"/>
      <c r="C49" s="1424"/>
      <c r="D49" s="1424"/>
      <c r="E49" s="1424"/>
      <c r="F49" s="1424"/>
      <c r="G49" s="1424"/>
      <c r="H49" s="1424"/>
      <c r="I49" s="1424"/>
      <c r="J49" s="1424"/>
      <c r="K49" s="1424"/>
      <c r="L49" s="1424"/>
      <c r="M49" s="1425"/>
    </row>
    <row r="50" spans="1:13" x14ac:dyDescent="0.25">
      <c r="A50" s="132"/>
      <c r="B50" s="1423"/>
      <c r="C50" s="1424"/>
      <c r="D50" s="1424"/>
      <c r="E50" s="1424"/>
      <c r="F50" s="1424"/>
      <c r="G50" s="1424"/>
      <c r="H50" s="1424"/>
      <c r="I50" s="1424"/>
      <c r="J50" s="1424"/>
      <c r="K50" s="1424"/>
      <c r="L50" s="1424"/>
      <c r="M50" s="1425"/>
    </row>
    <row r="51" spans="1:13" x14ac:dyDescent="0.25">
      <c r="A51" s="132"/>
      <c r="B51" s="1423"/>
      <c r="C51" s="1424"/>
      <c r="D51" s="1424"/>
      <c r="E51" s="1424"/>
      <c r="F51" s="1424"/>
      <c r="G51" s="1424"/>
      <c r="H51" s="1424"/>
      <c r="I51" s="1424"/>
      <c r="J51" s="1424"/>
      <c r="K51" s="1424"/>
      <c r="L51" s="1424"/>
      <c r="M51" s="1425"/>
    </row>
    <row r="52" spans="1:13" x14ac:dyDescent="0.25">
      <c r="A52" s="132"/>
      <c r="B52" s="1423"/>
      <c r="C52" s="1424"/>
      <c r="D52" s="1424"/>
      <c r="E52" s="1424"/>
      <c r="F52" s="1424"/>
      <c r="G52" s="1424"/>
      <c r="H52" s="1424"/>
      <c r="I52" s="1424"/>
      <c r="J52" s="1424"/>
      <c r="K52" s="1424"/>
      <c r="L52" s="1424"/>
      <c r="M52" s="1425"/>
    </row>
    <row r="53" spans="1:13" x14ac:dyDescent="0.25">
      <c r="A53" s="132"/>
      <c r="B53" s="1423"/>
      <c r="C53" s="1424"/>
      <c r="D53" s="1424"/>
      <c r="E53" s="1424"/>
      <c r="F53" s="1424"/>
      <c r="G53" s="1424"/>
      <c r="H53" s="1424"/>
      <c r="I53" s="1424"/>
      <c r="J53" s="1424"/>
      <c r="K53" s="1424"/>
      <c r="L53" s="1424"/>
      <c r="M53" s="1425"/>
    </row>
    <row r="54" spans="1:13" x14ac:dyDescent="0.25">
      <c r="A54" s="132"/>
      <c r="B54" s="1423"/>
      <c r="C54" s="1424"/>
      <c r="D54" s="1424"/>
      <c r="E54" s="1424"/>
      <c r="F54" s="1424"/>
      <c r="G54" s="1424"/>
      <c r="H54" s="1424"/>
      <c r="I54" s="1424"/>
      <c r="J54" s="1424"/>
      <c r="K54" s="1424"/>
      <c r="L54" s="1424"/>
      <c r="M54" s="1425"/>
    </row>
    <row r="55" spans="1:13" x14ac:dyDescent="0.25">
      <c r="A55" s="132"/>
      <c r="B55" s="1423"/>
      <c r="C55" s="1424"/>
      <c r="D55" s="1424"/>
      <c r="E55" s="1424"/>
      <c r="F55" s="1424"/>
      <c r="G55" s="1424"/>
      <c r="H55" s="1424"/>
      <c r="I55" s="1424"/>
      <c r="J55" s="1424"/>
      <c r="K55" s="1424"/>
      <c r="L55" s="1424"/>
      <c r="M55" s="1425"/>
    </row>
    <row r="56" spans="1:13" x14ac:dyDescent="0.25">
      <c r="A56" s="132"/>
      <c r="B56" s="1423"/>
      <c r="C56" s="1424"/>
      <c r="D56" s="1424"/>
      <c r="E56" s="1424"/>
      <c r="F56" s="1424"/>
      <c r="G56" s="1424"/>
      <c r="H56" s="1424"/>
      <c r="I56" s="1424"/>
      <c r="J56" s="1424"/>
      <c r="K56" s="1424"/>
      <c r="L56" s="1424"/>
      <c r="M56" s="1425"/>
    </row>
    <row r="57" spans="1:13" x14ac:dyDescent="0.25">
      <c r="A57" s="132"/>
      <c r="B57" s="1423"/>
      <c r="C57" s="1424"/>
      <c r="D57" s="1424"/>
      <c r="E57" s="1424"/>
      <c r="F57" s="1424"/>
      <c r="G57" s="1424"/>
      <c r="H57" s="1424"/>
      <c r="I57" s="1424"/>
      <c r="J57" s="1424"/>
      <c r="K57" s="1424"/>
      <c r="L57" s="1424"/>
      <c r="M57" s="1425"/>
    </row>
    <row r="58" spans="1:13" x14ac:dyDescent="0.25">
      <c r="A58" s="132"/>
      <c r="B58" s="1423"/>
      <c r="C58" s="1424"/>
      <c r="D58" s="1424"/>
      <c r="E58" s="1424"/>
      <c r="F58" s="1424"/>
      <c r="G58" s="1424"/>
      <c r="H58" s="1424"/>
      <c r="I58" s="1424"/>
      <c r="J58" s="1424"/>
      <c r="K58" s="1424"/>
      <c r="L58" s="1424"/>
      <c r="M58" s="1425"/>
    </row>
    <row r="59" spans="1:13" x14ac:dyDescent="0.25">
      <c r="A59" s="132"/>
      <c r="B59" s="1423"/>
      <c r="C59" s="1424"/>
      <c r="D59" s="1424"/>
      <c r="E59" s="1424"/>
      <c r="F59" s="1424"/>
      <c r="G59" s="1424"/>
      <c r="H59" s="1424"/>
      <c r="I59" s="1424"/>
      <c r="J59" s="1424"/>
      <c r="K59" s="1424"/>
      <c r="L59" s="1424"/>
      <c r="M59" s="1425"/>
    </row>
    <row r="60" spans="1:13" x14ac:dyDescent="0.25">
      <c r="A60" s="132"/>
      <c r="B60" s="1423"/>
      <c r="C60" s="1424"/>
      <c r="D60" s="1424"/>
      <c r="E60" s="1424"/>
      <c r="F60" s="1424"/>
      <c r="G60" s="1424"/>
      <c r="H60" s="1424"/>
      <c r="I60" s="1424"/>
      <c r="J60" s="1424"/>
      <c r="K60" s="1424"/>
      <c r="L60" s="1424"/>
      <c r="M60" s="1425"/>
    </row>
    <row r="61" spans="1:13" x14ac:dyDescent="0.25">
      <c r="A61" s="132"/>
      <c r="B61" s="1423"/>
      <c r="C61" s="1424"/>
      <c r="D61" s="1424"/>
      <c r="E61" s="1424"/>
      <c r="F61" s="1424"/>
      <c r="G61" s="1424"/>
      <c r="H61" s="1424"/>
      <c r="I61" s="1424"/>
      <c r="J61" s="1424"/>
      <c r="K61" s="1424"/>
      <c r="L61" s="1424"/>
      <c r="M61" s="1425"/>
    </row>
    <row r="62" spans="1:13" x14ac:dyDescent="0.25">
      <c r="A62" s="132"/>
      <c r="B62" s="1423"/>
      <c r="C62" s="1424"/>
      <c r="D62" s="1424"/>
      <c r="E62" s="1424"/>
      <c r="F62" s="1424"/>
      <c r="G62" s="1424"/>
      <c r="H62" s="1424"/>
      <c r="I62" s="1424"/>
      <c r="J62" s="1424"/>
      <c r="K62" s="1424"/>
      <c r="L62" s="1424"/>
      <c r="M62" s="1425"/>
    </row>
    <row r="63" spans="1:13" x14ac:dyDescent="0.25">
      <c r="A63" s="132"/>
      <c r="B63" s="1423"/>
      <c r="C63" s="1424"/>
      <c r="D63" s="1424"/>
      <c r="E63" s="1424"/>
      <c r="F63" s="1424"/>
      <c r="G63" s="1424"/>
      <c r="H63" s="1424"/>
      <c r="I63" s="1424"/>
      <c r="J63" s="1424"/>
      <c r="K63" s="1424"/>
      <c r="L63" s="1424"/>
      <c r="M63" s="1425"/>
    </row>
    <row r="64" spans="1:13" x14ac:dyDescent="0.25">
      <c r="A64" s="132"/>
      <c r="B64" s="1423"/>
      <c r="C64" s="1424"/>
      <c r="D64" s="1424"/>
      <c r="E64" s="1424"/>
      <c r="F64" s="1424"/>
      <c r="G64" s="1424"/>
      <c r="H64" s="1424"/>
      <c r="I64" s="1424"/>
      <c r="J64" s="1424"/>
      <c r="K64" s="1424"/>
      <c r="L64" s="1424"/>
      <c r="M64" s="1425"/>
    </row>
    <row r="65" spans="1:13" x14ac:dyDescent="0.25">
      <c r="A65" s="132"/>
      <c r="B65" s="1423"/>
      <c r="C65" s="1424"/>
      <c r="D65" s="1424"/>
      <c r="E65" s="1424"/>
      <c r="F65" s="1424"/>
      <c r="G65" s="1424"/>
      <c r="H65" s="1424"/>
      <c r="I65" s="1424"/>
      <c r="J65" s="1424"/>
      <c r="K65" s="1424"/>
      <c r="L65" s="1424"/>
      <c r="M65" s="1425"/>
    </row>
    <row r="66" spans="1:13" x14ac:dyDescent="0.25">
      <c r="A66" s="132"/>
      <c r="B66" s="1423"/>
      <c r="C66" s="1424"/>
      <c r="D66" s="1424"/>
      <c r="E66" s="1424"/>
      <c r="F66" s="1424"/>
      <c r="G66" s="1424"/>
      <c r="H66" s="1424"/>
      <c r="I66" s="1424"/>
      <c r="J66" s="1424"/>
      <c r="K66" s="1424"/>
      <c r="L66" s="1424"/>
      <c r="M66" s="1425"/>
    </row>
    <row r="67" spans="1:13" x14ac:dyDescent="0.25">
      <c r="A67" s="132"/>
      <c r="B67" s="1423"/>
      <c r="C67" s="1424"/>
      <c r="D67" s="1424"/>
      <c r="E67" s="1424"/>
      <c r="F67" s="1424"/>
      <c r="G67" s="1424"/>
      <c r="H67" s="1424"/>
      <c r="I67" s="1424"/>
      <c r="J67" s="1424"/>
      <c r="K67" s="1424"/>
      <c r="L67" s="1424"/>
      <c r="M67" s="1425"/>
    </row>
    <row r="68" spans="1:13" x14ac:dyDescent="0.25">
      <c r="A68" s="132"/>
      <c r="B68" s="1433"/>
      <c r="C68" s="1434"/>
      <c r="D68" s="1434"/>
      <c r="E68" s="1434"/>
      <c r="F68" s="1434"/>
      <c r="G68" s="1434"/>
      <c r="H68" s="1434"/>
      <c r="I68" s="1434"/>
      <c r="J68" s="1434"/>
      <c r="K68" s="1434"/>
      <c r="L68" s="1434"/>
      <c r="M68" s="1435"/>
    </row>
    <row r="69" spans="1:13" x14ac:dyDescent="0.25">
      <c r="A69" s="132"/>
      <c r="B69" s="132"/>
      <c r="C69" s="132"/>
      <c r="D69" s="132"/>
      <c r="E69" s="132"/>
      <c r="F69" s="132"/>
      <c r="G69" s="132"/>
      <c r="H69" s="132"/>
      <c r="I69" s="132"/>
      <c r="J69" s="132"/>
      <c r="K69" s="132"/>
      <c r="L69" s="132"/>
      <c r="M69" s="132"/>
    </row>
    <row r="70" spans="1:13" x14ac:dyDescent="0.25">
      <c r="A70" s="132"/>
      <c r="B70" s="132"/>
      <c r="C70" s="132"/>
      <c r="D70" s="132"/>
      <c r="E70" s="132"/>
      <c r="F70" s="132"/>
      <c r="G70" s="132"/>
      <c r="H70" s="132"/>
      <c r="I70" s="132"/>
      <c r="J70" s="132"/>
      <c r="K70" s="132"/>
      <c r="L70" s="132"/>
      <c r="M70" s="132"/>
    </row>
    <row r="71" spans="1:13" x14ac:dyDescent="0.25">
      <c r="A71" s="132"/>
      <c r="B71" s="132"/>
      <c r="C71" s="132"/>
      <c r="D71" s="132"/>
      <c r="E71" s="132"/>
      <c r="F71" s="132"/>
      <c r="G71" s="132"/>
      <c r="H71" s="132"/>
      <c r="I71" s="132"/>
      <c r="J71" s="132"/>
      <c r="K71" s="132"/>
      <c r="L71" s="132"/>
      <c r="M71" s="132"/>
    </row>
    <row r="72" spans="1:13" x14ac:dyDescent="0.25">
      <c r="A72" s="132"/>
      <c r="B72" s="132"/>
      <c r="C72" s="132"/>
      <c r="D72" s="132"/>
      <c r="E72" s="132"/>
      <c r="F72" s="132"/>
      <c r="G72" s="132"/>
      <c r="H72" s="132"/>
      <c r="J72" s="132"/>
      <c r="K72" s="132"/>
      <c r="L72" s="132"/>
      <c r="M72" s="132"/>
    </row>
  </sheetData>
  <sheetProtection sheet="1" objects="1" scenarios="1" formatCells="0" formatColumns="0" formatRows="0"/>
  <mergeCells count="94">
    <mergeCell ref="C38:D38"/>
    <mergeCell ref="E38:L38"/>
    <mergeCell ref="L1:M1"/>
    <mergeCell ref="L2:M2"/>
    <mergeCell ref="L3:M3"/>
    <mergeCell ref="C35:D35"/>
    <mergeCell ref="E35:L35"/>
    <mergeCell ref="C36:D36"/>
    <mergeCell ref="E36:L36"/>
    <mergeCell ref="C37:D37"/>
    <mergeCell ref="C31:D31"/>
    <mergeCell ref="E31:L31"/>
    <mergeCell ref="E37:L37"/>
    <mergeCell ref="C32:D32"/>
    <mergeCell ref="E32:L32"/>
    <mergeCell ref="C33:D33"/>
    <mergeCell ref="E33:L33"/>
    <mergeCell ref="C34:D34"/>
    <mergeCell ref="E34:L34"/>
    <mergeCell ref="C28:D28"/>
    <mergeCell ref="E28:L28"/>
    <mergeCell ref="C29:D29"/>
    <mergeCell ref="E29:L29"/>
    <mergeCell ref="C30:D30"/>
    <mergeCell ref="E30:L30"/>
    <mergeCell ref="C21:D21"/>
    <mergeCell ref="E21:L21"/>
    <mergeCell ref="C23:M23"/>
    <mergeCell ref="C25:L25"/>
    <mergeCell ref="C26:L26"/>
    <mergeCell ref="C18:D18"/>
    <mergeCell ref="E18:L18"/>
    <mergeCell ref="C19:D19"/>
    <mergeCell ref="E19:L19"/>
    <mergeCell ref="C20:D20"/>
    <mergeCell ref="E20:L20"/>
    <mergeCell ref="C15:D15"/>
    <mergeCell ref="E15:L15"/>
    <mergeCell ref="C16:D16"/>
    <mergeCell ref="E16:L16"/>
    <mergeCell ref="C17:D17"/>
    <mergeCell ref="E17:L17"/>
    <mergeCell ref="B62:M62"/>
    <mergeCell ref="B68:M68"/>
    <mergeCell ref="B64:M64"/>
    <mergeCell ref="B65:M65"/>
    <mergeCell ref="B66:M66"/>
    <mergeCell ref="B67:M67"/>
    <mergeCell ref="B63:M63"/>
    <mergeCell ref="B61:M61"/>
    <mergeCell ref="B46:M46"/>
    <mergeCell ref="B47:M47"/>
    <mergeCell ref="B60:M60"/>
    <mergeCell ref="B48:M48"/>
    <mergeCell ref="B49:M49"/>
    <mergeCell ref="B50:M50"/>
    <mergeCell ref="B51:M51"/>
    <mergeCell ref="B56:M56"/>
    <mergeCell ref="B57:M57"/>
    <mergeCell ref="B59:M59"/>
    <mergeCell ref="B52:M52"/>
    <mergeCell ref="B53:M53"/>
    <mergeCell ref="B54:M54"/>
    <mergeCell ref="B55:M55"/>
    <mergeCell ref="B58:M58"/>
    <mergeCell ref="B44:M44"/>
    <mergeCell ref="B45:M45"/>
    <mergeCell ref="B5:J5"/>
    <mergeCell ref="C40:M40"/>
    <mergeCell ref="B42:M42"/>
    <mergeCell ref="B43:M43"/>
    <mergeCell ref="C7:M7"/>
    <mergeCell ref="C9:L9"/>
    <mergeCell ref="C11:D11"/>
    <mergeCell ref="E11:L11"/>
    <mergeCell ref="C12:D12"/>
    <mergeCell ref="E12:L12"/>
    <mergeCell ref="C13:D13"/>
    <mergeCell ref="E13:L13"/>
    <mergeCell ref="C14:D14"/>
    <mergeCell ref="E14:L14"/>
    <mergeCell ref="J3:K3"/>
    <mergeCell ref="A1:C3"/>
    <mergeCell ref="D1:E1"/>
    <mergeCell ref="F1:G1"/>
    <mergeCell ref="H1:I1"/>
    <mergeCell ref="J1:K1"/>
    <mergeCell ref="D2:E2"/>
    <mergeCell ref="F2:G2"/>
    <mergeCell ref="H2:I2"/>
    <mergeCell ref="J2:K2"/>
    <mergeCell ref="D3:E3"/>
    <mergeCell ref="F3:G3"/>
    <mergeCell ref="H3:I3"/>
  </mergeCells>
  <phoneticPr fontId="9" type="noConversion"/>
  <hyperlinks>
    <hyperlink ref="F1:G1" location="JUMP_a_Content" display="Table of contents" xr:uid="{00000000-0004-0000-0900-000000000000}"/>
  </hyperlinks>
  <pageMargins left="0.78740157480314965" right="0.78740157480314965" top="0.78740157480314965" bottom="0.78740157480314965" header="0.39370078740157483" footer="0.39370078740157483"/>
  <pageSetup paperSize="9" scale="59" fitToHeight="2" orientation="portrait" r:id="rId1"/>
  <headerFooter alignWithMargins="0">
    <oddHeader>&amp;L&amp;F, &amp;A&amp;R&amp;D, &amp;T</oddHeader>
    <oddFooter>&amp;C&amp;P /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20">
    <tabColor rgb="FFFFC000"/>
    <pageSetUpPr fitToPage="1"/>
  </sheetPr>
  <dimension ref="A1:AC543"/>
  <sheetViews>
    <sheetView zoomScaleNormal="100" workbookViewId="0">
      <pane ySplit="4" topLeftCell="A5" activePane="bottomLeft" state="frozen"/>
      <selection activeCell="B2" sqref="B2"/>
      <selection pane="bottomLeft" activeCell="B2" sqref="B2:D4"/>
    </sheetView>
  </sheetViews>
  <sheetFormatPr defaultColWidth="9.1796875" defaultRowHeight="12.5" x14ac:dyDescent="0.25"/>
  <cols>
    <col min="1" max="1" width="3.453125" style="674" hidden="1" customWidth="1"/>
    <col min="2" max="2" width="3.453125" style="680" customWidth="1"/>
    <col min="3" max="4" width="4.7265625" style="680" customWidth="1"/>
    <col min="5" max="12" width="12.7265625" style="680" customWidth="1"/>
    <col min="13" max="13" width="7.7265625" style="680" customWidth="1"/>
    <col min="14" max="14" width="5.7265625" style="674" hidden="1" customWidth="1"/>
    <col min="15" max="29" width="12.7265625" style="674" hidden="1" customWidth="1"/>
    <col min="30" max="16384" width="9.1796875" style="675"/>
  </cols>
  <sheetData>
    <row r="1" spans="1:29" ht="13" hidden="1" thickBot="1" x14ac:dyDescent="0.3">
      <c r="A1" s="670" t="s">
        <v>0</v>
      </c>
      <c r="B1" s="671"/>
      <c r="C1" s="671"/>
      <c r="D1" s="672"/>
      <c r="E1" s="671"/>
      <c r="F1" s="671"/>
      <c r="G1" s="671"/>
      <c r="H1" s="671"/>
      <c r="I1" s="671"/>
      <c r="J1" s="671"/>
      <c r="K1" s="671"/>
      <c r="L1" s="671"/>
      <c r="M1" s="673"/>
      <c r="N1" s="674" t="s">
        <v>0</v>
      </c>
      <c r="O1" s="674" t="s">
        <v>0</v>
      </c>
      <c r="P1" s="674" t="s">
        <v>0</v>
      </c>
      <c r="Q1" s="674" t="s">
        <v>0</v>
      </c>
      <c r="R1" s="674" t="s">
        <v>0</v>
      </c>
      <c r="S1" s="674" t="s">
        <v>0</v>
      </c>
      <c r="T1" s="674" t="s">
        <v>0</v>
      </c>
      <c r="U1" s="674" t="s">
        <v>0</v>
      </c>
      <c r="V1" s="674" t="s">
        <v>0</v>
      </c>
      <c r="W1" s="674" t="s">
        <v>0</v>
      </c>
      <c r="X1" s="674" t="s">
        <v>0</v>
      </c>
      <c r="Y1" s="674" t="s">
        <v>0</v>
      </c>
      <c r="Z1" s="674" t="s">
        <v>0</v>
      </c>
      <c r="AA1" s="674" t="s">
        <v>0</v>
      </c>
      <c r="AB1" s="674" t="s">
        <v>0</v>
      </c>
      <c r="AC1" s="674" t="s">
        <v>0</v>
      </c>
    </row>
    <row r="2" spans="1:29" ht="13.5" customHeight="1" thickBot="1" x14ac:dyDescent="0.35">
      <c r="A2" s="676"/>
      <c r="B2" s="1464" t="str">
        <f>Translations!$B$511</f>
        <v>H. Summary</v>
      </c>
      <c r="C2" s="1465"/>
      <c r="D2" s="1466"/>
      <c r="E2" s="1478" t="str">
        <f>Translations!$B$13</f>
        <v>Navigation area:</v>
      </c>
      <c r="F2" s="1479"/>
      <c r="G2" s="1021" t="str">
        <f>Translations!$B$14</f>
        <v>Table of contents</v>
      </c>
      <c r="H2" s="1022"/>
      <c r="I2" s="1021" t="str">
        <f ca="1">HYPERLINK("#"&amp;INDEX(a_Contents!$R$4:$R$49,MATCH(INDEX(a_Contents!$T$4:$T$49,MATCH($T$2,a_Contents!$S$4:$S$49,0))-1,a_Contents!$T$4:$T$49,0)),EUconst_PreviousSheet)</f>
        <v>Previous sheet</v>
      </c>
      <c r="J2" s="1022"/>
      <c r="K2" s="1021" t="str">
        <f ca="1">HYPERLINK("#"&amp;INDEX(a_Contents!$R$4:$R$49,MATCH(INDEX(a_Contents!$T$4:$T$49,MATCH($T$2,a_Contents!$S$4:$S$49,0))+1,a_Contents!$T$4:$T$49,0)),EUconst_NextSheet)</f>
        <v>Next sheet</v>
      </c>
      <c r="L2" s="1022"/>
      <c r="M2" s="677"/>
      <c r="Q2" s="61" t="s">
        <v>1</v>
      </c>
      <c r="R2" s="66" t="str">
        <f>ADDRESS(ROW($B$6),COLUMN($B$6)) &amp; ":" &amp; ADDRESS(MATCH("PRINT",$N:$N,0),COLUMN($N$6))</f>
        <v>$B$6:$N$543</v>
      </c>
      <c r="S2" s="61" t="s">
        <v>2</v>
      </c>
      <c r="T2" s="67" t="str">
        <f ca="1">IF(ISERROR(CELL("filename",U2)),"F_ManagementControl",MID(CELL("filename",U2),FIND("]",CELL("filename",U2))+1,1024))</f>
        <v>H_Summary</v>
      </c>
    </row>
    <row r="3" spans="1:29" ht="12.75" customHeight="1" x14ac:dyDescent="0.25">
      <c r="A3" s="676"/>
      <c r="B3" s="1467"/>
      <c r="C3" s="1468"/>
      <c r="D3" s="1469"/>
      <c r="E3" s="1013"/>
      <c r="F3" s="1013"/>
      <c r="G3" s="1013"/>
      <c r="H3" s="1013"/>
      <c r="I3" s="1013"/>
      <c r="J3" s="1013"/>
      <c r="K3" s="1013"/>
      <c r="L3" s="1013"/>
      <c r="M3" s="678"/>
    </row>
    <row r="4" spans="1:29" ht="13.5" customHeight="1" thickBot="1" x14ac:dyDescent="0.3">
      <c r="A4" s="676"/>
      <c r="B4" s="1470"/>
      <c r="C4" s="1471"/>
      <c r="D4" s="1472"/>
      <c r="E4" s="1013"/>
      <c r="F4" s="1013"/>
      <c r="G4" s="1013"/>
      <c r="H4" s="1013"/>
      <c r="I4" s="1013"/>
      <c r="J4" s="1013"/>
      <c r="K4" s="1013"/>
      <c r="L4" s="1013"/>
      <c r="M4" s="678"/>
    </row>
    <row r="5" spans="1:29" x14ac:dyDescent="0.25">
      <c r="B5" s="679"/>
      <c r="M5" s="681"/>
    </row>
    <row r="6" spans="1:29" s="687" customFormat="1" ht="18.75" customHeight="1" x14ac:dyDescent="0.25">
      <c r="A6" s="682"/>
      <c r="B6" s="683"/>
      <c r="C6" s="1459" t="str">
        <f>Translations!$B$512</f>
        <v>Summary of the annual emissions of the Regulated Entity</v>
      </c>
      <c r="D6" s="1459"/>
      <c r="E6" s="1459"/>
      <c r="F6" s="1459"/>
      <c r="G6" s="1459"/>
      <c r="H6" s="1459"/>
      <c r="I6" s="1459"/>
      <c r="J6" s="1459"/>
      <c r="K6" s="1459"/>
      <c r="L6" s="1459"/>
      <c r="M6" s="684"/>
      <c r="N6" s="685"/>
      <c r="O6" s="674"/>
      <c r="P6" s="674"/>
      <c r="Q6" s="686"/>
      <c r="R6" s="686"/>
      <c r="S6" s="686"/>
      <c r="T6" s="686"/>
      <c r="U6" s="686"/>
      <c r="V6" s="686"/>
      <c r="W6" s="686"/>
      <c r="X6" s="686"/>
      <c r="Y6" s="686"/>
      <c r="Z6" s="686"/>
      <c r="AA6" s="686"/>
      <c r="AB6" s="686"/>
      <c r="AC6" s="686"/>
    </row>
    <row r="7" spans="1:29" ht="5.15" customHeight="1" thickBot="1" x14ac:dyDescent="0.3">
      <c r="B7" s="679"/>
      <c r="M7" s="681"/>
    </row>
    <row r="8" spans="1:29" ht="20.149999999999999" customHeight="1" thickBot="1" x14ac:dyDescent="0.3">
      <c r="B8" s="679"/>
      <c r="J8" s="688" t="str">
        <f>Translations!$B$513</f>
        <v>Reporting Year:</v>
      </c>
      <c r="K8" s="1452">
        <f>IF(ISBLANK(A_EntityID!J9),"",A_EntityID!J9)</f>
        <v>2025</v>
      </c>
      <c r="L8" s="1453"/>
      <c r="M8" s="681"/>
    </row>
    <row r="9" spans="1:29" ht="5.15" customHeight="1" x14ac:dyDescent="0.25">
      <c r="B9" s="679"/>
      <c r="M9" s="681"/>
    </row>
    <row r="10" spans="1:29" s="695" customFormat="1" ht="12.75" customHeight="1" x14ac:dyDescent="0.3">
      <c r="A10" s="689"/>
      <c r="B10" s="690"/>
      <c r="C10" s="691"/>
      <c r="D10" s="692"/>
      <c r="E10" s="1439" t="str">
        <f>Translations!$B$181</f>
        <v>Regulated entity name:</v>
      </c>
      <c r="F10" s="1439"/>
      <c r="G10" s="1439"/>
      <c r="H10" s="1440"/>
      <c r="I10" s="1454" t="str">
        <f>IF(ISBLANK(A_EntityID!$I$28),"",A_EntityID!$I$28)</f>
        <v/>
      </c>
      <c r="J10" s="1455"/>
      <c r="K10" s="1455"/>
      <c r="L10" s="1456"/>
      <c r="M10" s="694"/>
      <c r="N10" s="685"/>
      <c r="O10" s="685"/>
      <c r="P10" s="685"/>
      <c r="Q10" s="685"/>
      <c r="R10" s="685"/>
      <c r="S10" s="685"/>
      <c r="T10" s="685"/>
      <c r="U10" s="685"/>
      <c r="V10" s="685"/>
      <c r="W10" s="685"/>
      <c r="X10" s="685"/>
      <c r="Y10" s="685"/>
      <c r="Z10" s="685"/>
      <c r="AA10" s="685"/>
      <c r="AB10" s="685"/>
      <c r="AC10" s="685"/>
    </row>
    <row r="11" spans="1:29" s="695" customFormat="1" ht="12.75" customHeight="1" x14ac:dyDescent="0.3">
      <c r="A11" s="676"/>
      <c r="B11" s="690"/>
      <c r="C11" s="691"/>
      <c r="D11" s="692"/>
      <c r="E11" s="1439" t="str">
        <f>Translations!$B$182</f>
        <v>Unique ID of the regulated entity:</v>
      </c>
      <c r="F11" s="1439"/>
      <c r="G11" s="1439"/>
      <c r="H11" s="1440"/>
      <c r="I11" s="1441" t="str">
        <f>IF(ISBLANK(A_EntityID!$I$29),"",A_EntityID!$I$29)</f>
        <v/>
      </c>
      <c r="J11" s="1442"/>
      <c r="K11" s="1442"/>
      <c r="L11" s="1443"/>
      <c r="M11" s="696"/>
      <c r="N11" s="685"/>
      <c r="O11" s="685"/>
      <c r="P11" s="685"/>
      <c r="Q11" s="685"/>
      <c r="R11" s="685"/>
      <c r="S11" s="685"/>
      <c r="T11" s="685"/>
      <c r="U11" s="685"/>
      <c r="V11" s="685"/>
      <c r="W11" s="685"/>
      <c r="X11" s="685"/>
      <c r="Y11" s="685"/>
      <c r="Z11" s="685"/>
      <c r="AA11" s="685"/>
      <c r="AB11" s="685"/>
      <c r="AC11" s="685"/>
    </row>
    <row r="12" spans="1:29" s="695" customFormat="1" ht="12.75" customHeight="1" x14ac:dyDescent="0.3">
      <c r="A12" s="697"/>
      <c r="B12" s="690"/>
      <c r="C12" s="691"/>
      <c r="D12" s="692"/>
      <c r="E12" s="1439" t="str">
        <f>Translations!$B$514</f>
        <v>Version of this report:</v>
      </c>
      <c r="F12" s="1439"/>
      <c r="G12" s="1439"/>
      <c r="H12" s="1440"/>
      <c r="I12" s="1473" t="str">
        <f>A_EntityID!I81</f>
        <v>2025 - 1</v>
      </c>
      <c r="J12" s="1474"/>
      <c r="K12" s="1474"/>
      <c r="L12" s="1475"/>
      <c r="M12" s="696"/>
      <c r="N12" s="685"/>
      <c r="O12" s="685"/>
      <c r="P12" s="685"/>
      <c r="Q12" s="685"/>
      <c r="R12" s="685"/>
      <c r="S12" s="685"/>
      <c r="T12" s="685"/>
      <c r="U12" s="685"/>
      <c r="V12" s="685"/>
      <c r="W12" s="685"/>
      <c r="X12" s="685"/>
      <c r="Y12" s="685"/>
      <c r="Z12" s="685"/>
      <c r="AA12" s="685"/>
      <c r="AB12" s="685"/>
      <c r="AC12" s="685"/>
    </row>
    <row r="13" spans="1:29" ht="5.15" customHeight="1" x14ac:dyDescent="0.25">
      <c r="B13" s="679"/>
      <c r="M13" s="681"/>
    </row>
    <row r="14" spans="1:29" ht="51" customHeight="1" x14ac:dyDescent="0.3">
      <c r="B14" s="679"/>
      <c r="E14" s="1446" t="str">
        <f>Translations!$B$515</f>
        <v>Released fuel amounts (by units)</v>
      </c>
      <c r="F14" s="1446"/>
      <c r="G14" s="1447"/>
      <c r="H14" s="699" t="str">
        <f>Translations!$B$516</f>
        <v>Released fuel amounts</v>
      </c>
      <c r="I14" s="699" t="str">
        <f>Translations!$B$517</f>
        <v>Released fuel amounts (after scope factor)</v>
      </c>
      <c r="J14" s="699" t="str">
        <f>Translations!$B$518</f>
        <v>Aggregated scope factor</v>
      </c>
      <c r="K14" s="700" t="str">
        <f>Translations!$B$519</f>
        <v>Released fuel amounts (sold to ETS1)</v>
      </c>
      <c r="L14" s="700" t="str">
        <f>Translations!$B$520</f>
        <v>Released fuel amounts (used in ETS1)</v>
      </c>
      <c r="M14" s="681"/>
    </row>
    <row r="15" spans="1:29" ht="12.75" customHeight="1" x14ac:dyDescent="0.25">
      <c r="B15" s="679"/>
      <c r="E15" s="1450" t="str">
        <f>INDEX(RFAUnits,ROWS($D$15:D15))</f>
        <v>t</v>
      </c>
      <c r="F15" s="1450"/>
      <c r="G15" s="1451"/>
      <c r="H15" s="701" t="str">
        <f>IF(COUNTIF(I_Accounting!$L:$L,$E15)=0,"",SUMIFS(I_Accounting!J:J,I_Accounting!$L:$L,$E15))</f>
        <v/>
      </c>
      <c r="I15" s="701" t="str">
        <f>IF(H15="","",SUMIFS(I_Accounting!K:K,I_Accounting!$L:$L,$E15))</f>
        <v/>
      </c>
      <c r="J15" s="17" t="str">
        <f>IF(OR(I15="",I15=0),"",I15/H15)</f>
        <v/>
      </c>
      <c r="K15" s="701" t="str">
        <f>IF(COUNTIF(D_ETS1Amounts!$J$287:$J$536,$E15)=0,"",SUMIFS(D_ETS1Amounts!L$287:L$536,D_ETS1Amounts!$J$287:$J$536,$E15))</f>
        <v/>
      </c>
      <c r="L15" s="701" t="str">
        <f>IF(COUNTIF(D_ETS1Amounts!$J$287:$J$536,$E15)=0,"",SUMIFS(D_ETS1Amounts!M$287:M$536,D_ETS1Amounts!$J$287:$J$536,$E15))</f>
        <v/>
      </c>
      <c r="M15" s="681"/>
    </row>
    <row r="16" spans="1:29" ht="12.75" customHeight="1" x14ac:dyDescent="0.25">
      <c r="B16" s="679"/>
      <c r="E16" s="1450" t="str">
        <f>INDEX(RFAUnits,ROWS($D$15:D16))</f>
        <v>1000Nm³</v>
      </c>
      <c r="F16" s="1450"/>
      <c r="G16" s="1451"/>
      <c r="H16" s="701" t="str">
        <f>IF(COUNTIF(I_Accounting!$L:$L,$E16)=0,"",SUMIFS(I_Accounting!J:J,I_Accounting!$L:$L,$E16))</f>
        <v/>
      </c>
      <c r="I16" s="701" t="str">
        <f>IF(H16="","",SUMIFS(I_Accounting!K:K,I_Accounting!$L:$L,$E16))</f>
        <v/>
      </c>
      <c r="J16" s="17" t="str">
        <f>IF(OR(I16="",I16=0),"",I16/H16)</f>
        <v/>
      </c>
      <c r="K16" s="701" t="str">
        <f>IF(COUNTIF(D_ETS1Amounts!$J$287:$J$536,$E16)=0,"",SUMIFS(D_ETS1Amounts!L$287:L$536,D_ETS1Amounts!$J$287:$J$536,$E16))</f>
        <v/>
      </c>
      <c r="L16" s="701" t="str">
        <f>IF(COUNTIF(D_ETS1Amounts!$J$287:$J$536,$E16)=0,"",SUMIFS(D_ETS1Amounts!M$287:M$536,D_ETS1Amounts!$J$287:$J$536,$E16))</f>
        <v/>
      </c>
      <c r="M16" s="681"/>
    </row>
    <row r="17" spans="1:29" ht="12.75" customHeight="1" x14ac:dyDescent="0.25">
      <c r="B17" s="679"/>
      <c r="E17" s="1450" t="str">
        <f>INDEX(RFAUnits,ROWS($D$15:D17))</f>
        <v>1000litres</v>
      </c>
      <c r="F17" s="1450"/>
      <c r="G17" s="1451"/>
      <c r="H17" s="701" t="str">
        <f>IF(COUNTIF(I_Accounting!$L:$L,$E17)=0,"",SUMIFS(I_Accounting!J:J,I_Accounting!$L:$L,$E17))</f>
        <v/>
      </c>
      <c r="I17" s="701" t="str">
        <f>IF(H17="","",SUMIFS(I_Accounting!K:K,I_Accounting!$L:$L,$E17))</f>
        <v/>
      </c>
      <c r="J17" s="17" t="str">
        <f>IF(OR(I17="",I17=0),"",I17/H17)</f>
        <v/>
      </c>
      <c r="K17" s="701" t="str">
        <f>IF(COUNTIF(D_ETS1Amounts!$J$287:$J$536,$E17)=0,"",SUMIFS(D_ETS1Amounts!L$287:L$536,D_ETS1Amounts!$J$287:$J$536,$E17))</f>
        <v/>
      </c>
      <c r="L17" s="701" t="str">
        <f>IF(COUNTIF(D_ETS1Amounts!$J$287:$J$536,$E17)=0,"",SUMIFS(D_ETS1Amounts!M$287:M$536,D_ETS1Amounts!$J$287:$J$536,$E17))</f>
        <v/>
      </c>
      <c r="M17" s="681"/>
    </row>
    <row r="18" spans="1:29" ht="12.75" customHeight="1" x14ac:dyDescent="0.25">
      <c r="B18" s="679"/>
      <c r="E18" s="1450" t="str">
        <f>INDEX(RFAUnits,ROWS($D$15:D18))</f>
        <v>TJ</v>
      </c>
      <c r="F18" s="1450"/>
      <c r="G18" s="1451"/>
      <c r="H18" s="701" t="str">
        <f>IF(COUNTIF(I_Accounting!$L:$L,$E18)=0,"",SUMIFS(I_Accounting!J:J,I_Accounting!$L:$L,$E18))</f>
        <v/>
      </c>
      <c r="I18" s="701" t="str">
        <f>IF(H18="","",SUMIFS(I_Accounting!K:K,I_Accounting!$L:$L,$E18))</f>
        <v/>
      </c>
      <c r="J18" s="17" t="str">
        <f>IF(OR(I18="",I18=0),"",I18/H18)</f>
        <v/>
      </c>
      <c r="K18" s="701" t="str">
        <f>IF(COUNTIF(D_ETS1Amounts!$J$287:$J$536,$E18)=0,"",SUMIFS(D_ETS1Amounts!L$287:L$536,D_ETS1Amounts!$J$287:$J$536,$E18))</f>
        <v/>
      </c>
      <c r="L18" s="701" t="str">
        <f>IF(COUNTIF(D_ETS1Amounts!$J$287:$J$536,$E18)=0,"",SUMIFS(D_ETS1Amounts!M$287:M$536,D_ETS1Amounts!$J$287:$J$536,$E18))</f>
        <v/>
      </c>
      <c r="M18" s="681"/>
    </row>
    <row r="19" spans="1:29" ht="12.75" customHeight="1" x14ac:dyDescent="0.25">
      <c r="B19" s="679"/>
      <c r="E19" s="1450" t="str">
        <f>INDEX(RFAUnits,ROWS($D$15:D19))</f>
        <v>GWh(gross)</v>
      </c>
      <c r="F19" s="1450"/>
      <c r="G19" s="1451"/>
      <c r="H19" s="701" t="str">
        <f>IF(COUNTIF(I_Accounting!$L:$L,$E19)=0,"",SUMIFS(I_Accounting!J:J,I_Accounting!$L:$L,$E19))</f>
        <v/>
      </c>
      <c r="I19" s="701" t="str">
        <f>IF(H19="","",SUMIFS(I_Accounting!K:K,I_Accounting!$L:$L,$E19))</f>
        <v/>
      </c>
      <c r="J19" s="17" t="str">
        <f>IF(OR(I19="",I19=0),"",I19/H19)</f>
        <v/>
      </c>
      <c r="K19" s="701" t="str">
        <f>IF(COUNTIF(D_ETS1Amounts!$J$287:$J$536,$E19)=0,"",SUMIFS(D_ETS1Amounts!L$287:L$536,D_ETS1Amounts!$J$287:$J$536,$E19))</f>
        <v/>
      </c>
      <c r="L19" s="701" t="str">
        <f>IF(COUNTIF(D_ETS1Amounts!$J$287:$J$536,$E19)=0,"",SUMIFS(D_ETS1Amounts!M$287:M$536,D_ETS1Amounts!$J$287:$J$536,$E19))</f>
        <v/>
      </c>
      <c r="M19" s="681"/>
    </row>
    <row r="20" spans="1:29" ht="5.15" customHeight="1" x14ac:dyDescent="0.25">
      <c r="B20" s="679"/>
      <c r="M20" s="681"/>
    </row>
    <row r="21" spans="1:29" ht="13" x14ac:dyDescent="0.3">
      <c r="B21" s="679"/>
      <c r="J21" s="702" t="str">
        <f>Translations!$B$521</f>
        <v>Memo-Items:</v>
      </c>
      <c r="M21" s="681"/>
    </row>
    <row r="22" spans="1:29" ht="38.25" customHeight="1" x14ac:dyDescent="0.3">
      <c r="B22" s="679"/>
      <c r="G22" s="703"/>
      <c r="H22" s="704" t="str">
        <f>Translations!$B$522</f>
        <v>Emissions (fossil)</v>
      </c>
      <c r="I22" s="705" t="str">
        <f>Translations!$B$523</f>
        <v>Energy content (fossil)</v>
      </c>
      <c r="J22" s="706" t="str">
        <f>Translations!B666</f>
        <v>Zero-rated emissions</v>
      </c>
      <c r="K22" s="707" t="str">
        <f>Translations!B667</f>
        <v>Energy content (zero-rated)</v>
      </c>
      <c r="L22" s="708" t="str">
        <f>Translations!B668</f>
        <v>Emissions (non-sust.)</v>
      </c>
      <c r="M22" s="681"/>
    </row>
    <row r="23" spans="1:29" ht="13.5" thickBot="1" x14ac:dyDescent="0.35">
      <c r="B23" s="679"/>
      <c r="G23" s="709"/>
      <c r="H23" s="710" t="str">
        <f>EUconst_tCO2</f>
        <v>tCO2</v>
      </c>
      <c r="I23" s="711" t="str">
        <f>EUconst_TJ</f>
        <v>TJ</v>
      </c>
      <c r="J23" s="712" t="str">
        <f>EUconst_tCO2</f>
        <v>tCO2</v>
      </c>
      <c r="K23" s="713" t="str">
        <f>EUconst_TJ</f>
        <v>TJ</v>
      </c>
      <c r="L23" s="714" t="str">
        <f>EUconst_tCO2</f>
        <v>tCO2</v>
      </c>
      <c r="M23" s="681"/>
    </row>
    <row r="24" spans="1:29" s="687" customFormat="1" ht="20.149999999999999" customHeight="1" thickBot="1" x14ac:dyDescent="0.3">
      <c r="A24" s="686"/>
      <c r="B24" s="683"/>
      <c r="C24" s="715"/>
      <c r="D24" s="680"/>
      <c r="E24" s="1448" t="str">
        <f>Translations!$B$527</f>
        <v>All fuel streams</v>
      </c>
      <c r="F24" s="1448"/>
      <c r="G24" s="1449"/>
      <c r="H24" s="717" t="str">
        <f>IF(COUNT($H$15:$L$19)&gt;0,SUM(I_Accounting!AD:AD),"")</f>
        <v/>
      </c>
      <c r="I24" s="718" t="str">
        <f>IF(COUNT($H$15:$L$19)&gt;0,SUM(I_Accounting!AK:AK),"")</f>
        <v/>
      </c>
      <c r="J24" s="719" t="str">
        <f>IF(COUNT($H$15:$L$19)&gt;0,SUM(J30,J32,J34),"")</f>
        <v/>
      </c>
      <c r="K24" s="720" t="str">
        <f>IF(COUNT($H$15:$L$19)&gt;0,SUM(I_Accounting!AH:AJ),"")</f>
        <v/>
      </c>
      <c r="L24" s="721" t="str">
        <f>IF(COUNT($H$15:$L$19)&gt;0,SUM(K30,K32,K34),"")</f>
        <v/>
      </c>
      <c r="M24" s="684"/>
      <c r="N24" s="686"/>
      <c r="O24" s="686"/>
      <c r="P24" s="686"/>
      <c r="Q24" s="686"/>
      <c r="R24" s="686"/>
      <c r="S24" s="686"/>
      <c r="T24" s="674"/>
      <c r="U24" s="674"/>
      <c r="V24" s="674"/>
      <c r="W24" s="674"/>
      <c r="X24" s="674"/>
      <c r="Y24" s="674"/>
      <c r="Z24" s="674"/>
      <c r="AA24" s="686"/>
      <c r="AB24" s="686"/>
      <c r="AC24" s="686"/>
    </row>
    <row r="25" spans="1:29" s="687" customFormat="1" ht="20.149999999999999" customHeight="1" x14ac:dyDescent="0.25">
      <c r="A25" s="686"/>
      <c r="B25" s="683"/>
      <c r="C25" s="715"/>
      <c r="D25" s="680"/>
      <c r="E25" s="722" t="str">
        <f>Translations!$B$661</f>
        <v>Memo-item: before scope factor</v>
      </c>
      <c r="F25" s="722"/>
      <c r="G25" s="723"/>
      <c r="H25" s="724" t="str">
        <f>IF(COUNT($H$15:$L$19)&gt;0,SUM(I_Accounting!AR:AR),"")</f>
        <v/>
      </c>
      <c r="I25" s="680"/>
      <c r="J25" s="680"/>
      <c r="K25" s="680"/>
      <c r="L25" s="680"/>
      <c r="M25" s="684"/>
      <c r="N25" s="686"/>
      <c r="O25" s="686"/>
      <c r="P25" s="686"/>
      <c r="Q25" s="686"/>
      <c r="R25" s="686"/>
      <c r="S25" s="686"/>
      <c r="T25" s="674"/>
      <c r="U25" s="674"/>
      <c r="V25" s="674"/>
      <c r="W25" s="674"/>
      <c r="X25" s="674"/>
      <c r="Y25" s="674"/>
      <c r="Z25" s="674"/>
      <c r="AA25" s="686"/>
      <c r="AB25" s="686"/>
      <c r="AC25" s="686"/>
    </row>
    <row r="26" spans="1:29" ht="12.75" customHeight="1" thickBot="1" x14ac:dyDescent="0.3">
      <c r="B26" s="679"/>
      <c r="M26" s="681"/>
    </row>
    <row r="27" spans="1:29" ht="25.5" customHeight="1" thickBot="1" x14ac:dyDescent="0.3">
      <c r="B27" s="679"/>
      <c r="E27" s="1444" t="str">
        <f>Translations!$B$528</f>
        <v>Total annual emissions from the entity:</v>
      </c>
      <c r="F27" s="1444"/>
      <c r="G27" s="1444"/>
      <c r="H27" s="1444"/>
      <c r="I27" s="1445"/>
      <c r="J27" s="1476" t="str">
        <f>IF(H24="","",ROUND(SUM(H24),0))</f>
        <v/>
      </c>
      <c r="K27" s="1477"/>
      <c r="L27" s="726" t="str">
        <f>EUconst_tCO2</f>
        <v>tCO2</v>
      </c>
      <c r="M27" s="681"/>
    </row>
    <row r="28" spans="1:29" x14ac:dyDescent="0.25">
      <c r="B28" s="679"/>
      <c r="M28" s="681"/>
    </row>
    <row r="29" spans="1:29" ht="25" x14ac:dyDescent="0.25">
      <c r="B29" s="679"/>
      <c r="J29" s="986" t="str">
        <f>Translations!B675</f>
        <v>sustainable</v>
      </c>
      <c r="K29" s="986" t="str">
        <f>Translations!B676</f>
        <v>non-sustainable</v>
      </c>
      <c r="L29" s="987"/>
      <c r="M29" s="681"/>
    </row>
    <row r="30" spans="1:29" ht="14.5" x14ac:dyDescent="0.3">
      <c r="B30" s="679"/>
      <c r="E30" s="727" t="str">
        <f>Translations!B662</f>
        <v>Memo-Item: Total biomass emissions</v>
      </c>
      <c r="F30" s="728"/>
      <c r="G30" s="728"/>
      <c r="H30" s="728"/>
      <c r="I30" s="728"/>
      <c r="J30" s="984" t="str">
        <f>IF(COUNT($H$15:$L$19)&gt;0,SUM(I_Accounting!AE:AE),"")</f>
        <v/>
      </c>
      <c r="K30" s="984" t="str">
        <f>IF(COUNT($H$15:$L$19)&gt;0,SUM(I_Accounting!AF:AF),"")</f>
        <v/>
      </c>
      <c r="L30" s="988" t="str">
        <f>EUconst_tCO2</f>
        <v>tCO2</v>
      </c>
      <c r="M30" s="681"/>
    </row>
    <row r="31" spans="1:29" ht="5.15" customHeight="1" x14ac:dyDescent="0.3">
      <c r="B31" s="679"/>
      <c r="E31" s="728"/>
      <c r="F31" s="728"/>
      <c r="G31" s="728"/>
      <c r="H31" s="728"/>
      <c r="I31" s="728"/>
      <c r="J31" s="728"/>
      <c r="K31" s="728"/>
      <c r="L31" s="728"/>
      <c r="M31" s="681"/>
    </row>
    <row r="32" spans="1:29" ht="14.5" x14ac:dyDescent="0.3">
      <c r="B32" s="679"/>
      <c r="E32" s="727" t="str">
        <f>Translations!B663</f>
        <v>Memo-Item: Total RFNBO/RCF emissions</v>
      </c>
      <c r="F32" s="728"/>
      <c r="G32" s="728"/>
      <c r="H32" s="728"/>
      <c r="I32" s="728"/>
      <c r="J32" s="984" t="str">
        <f>IF(COUNT($H$15:$L$19)&gt;0,SUM(I_Accounting!AG:AG),"")</f>
        <v/>
      </c>
      <c r="K32" s="984" t="str">
        <f>IF(COUNT($H$15:$L$19)&gt;0,SUM(I_Accounting!AH:AH),"")</f>
        <v/>
      </c>
      <c r="L32" s="988" t="str">
        <f>EUconst_tCO2</f>
        <v>tCO2</v>
      </c>
      <c r="M32" s="681"/>
    </row>
    <row r="33" spans="2:13" ht="5.15" customHeight="1" x14ac:dyDescent="0.3">
      <c r="B33" s="679"/>
      <c r="E33" s="728"/>
      <c r="F33" s="728"/>
      <c r="G33" s="728"/>
      <c r="H33" s="728"/>
      <c r="I33" s="728"/>
      <c r="J33" s="728"/>
      <c r="K33" s="728"/>
      <c r="L33" s="728"/>
      <c r="M33" s="681"/>
    </row>
    <row r="34" spans="2:13" ht="14.5" x14ac:dyDescent="0.3">
      <c r="B34" s="679"/>
      <c r="E34" s="727" t="str">
        <f>Translations!B664</f>
        <v>Memo-Item: Total SLCF emissions</v>
      </c>
      <c r="F34" s="728"/>
      <c r="G34" s="728"/>
      <c r="H34" s="728"/>
      <c r="I34" s="728"/>
      <c r="J34" s="984" t="str">
        <f>IF(COUNT($H$15:$L$19)&gt;0,SUM(I_Accounting!AI:AI),"")</f>
        <v/>
      </c>
      <c r="K34" s="984" t="str">
        <f>IF(COUNT($H$15:$L$19)&gt;0,SUM(I_Accounting!AJ:AJ),"")</f>
        <v/>
      </c>
      <c r="L34" s="988" t="str">
        <f>EUconst_tCO2</f>
        <v>tCO2</v>
      </c>
      <c r="M34" s="681"/>
    </row>
    <row r="35" spans="2:13" x14ac:dyDescent="0.25">
      <c r="B35" s="679"/>
      <c r="M35" s="681"/>
    </row>
    <row r="36" spans="2:13" ht="25.5" customHeight="1" x14ac:dyDescent="0.3">
      <c r="B36" s="679"/>
      <c r="E36" s="1460" t="str">
        <f>Translations!$B$415</f>
        <v>ETS1 Unique ID</v>
      </c>
      <c r="F36" s="1461"/>
      <c r="G36" s="1437" t="str">
        <f>Translations!$B$529</f>
        <v>ETS1 name</v>
      </c>
      <c r="H36" s="1437" t="str">
        <f>Translations!$B$420</f>
        <v>Fuel stream</v>
      </c>
      <c r="I36" s="1437" t="str">
        <f>Translations!$B$394</f>
        <v>Unit</v>
      </c>
      <c r="J36" s="730" t="str">
        <f>Translations!$B$516</f>
        <v>Released fuel amounts</v>
      </c>
      <c r="K36" s="730" t="str">
        <f>Translations!$B$516</f>
        <v>Released fuel amounts</v>
      </c>
      <c r="L36" s="731" t="str">
        <f>Translations!$B$516</f>
        <v>Released fuel amounts</v>
      </c>
      <c r="M36" s="681"/>
    </row>
    <row r="37" spans="2:13" ht="25.5" customHeight="1" x14ac:dyDescent="0.3">
      <c r="B37" s="679"/>
      <c r="E37" s="1462"/>
      <c r="F37" s="1463"/>
      <c r="G37" s="1438"/>
      <c r="H37" s="1438"/>
      <c r="I37" s="1438"/>
      <c r="J37" s="734" t="str">
        <f>Translations!$B$530</f>
        <v>(sold to ETS1)</v>
      </c>
      <c r="K37" s="734" t="str">
        <f>Translations!$B$531</f>
        <v>(used in ETS1)</v>
      </c>
      <c r="L37" s="735" t="str">
        <f>Translations!$B$532</f>
        <v>(sold to ETS1, t CO2)</v>
      </c>
      <c r="M37" s="681"/>
    </row>
    <row r="38" spans="2:13" ht="12.75" customHeight="1" x14ac:dyDescent="0.25">
      <c r="B38" s="679"/>
      <c r="D38" s="496">
        <v>1</v>
      </c>
      <c r="E38" s="1457" t="str">
        <f>IF(D_ETS1Amounts!E287="","",D_ETS1Amounts!E287)</f>
        <v/>
      </c>
      <c r="F38" s="1458"/>
      <c r="G38" s="736" t="str">
        <f>IF(D_ETS1Amounts!F287="","",D_ETS1Amounts!F287)</f>
        <v/>
      </c>
      <c r="H38" s="737" t="str">
        <f>IF(D_ETS1Amounts!H287="","",D_ETS1Amounts!H287)</f>
        <v/>
      </c>
      <c r="I38" s="738" t="str">
        <f>IF(D_ETS1Amounts!J287="","",D_ETS1Amounts!J287)</f>
        <v/>
      </c>
      <c r="J38" s="739" t="str">
        <f>IF(D_ETS1Amounts!L287="","",D_ETS1Amounts!L287)</f>
        <v/>
      </c>
      <c r="K38" s="739" t="str">
        <f>IF(D_ETS1Amounts!M287="","",D_ETS1Amounts!M287)</f>
        <v/>
      </c>
      <c r="L38" s="739" t="str">
        <f>IF(D_ETS1Amounts!T287="","",D_ETS1Amounts!T287)</f>
        <v/>
      </c>
      <c r="M38" s="681"/>
    </row>
    <row r="39" spans="2:13" ht="12.75" customHeight="1" x14ac:dyDescent="0.25">
      <c r="B39" s="679"/>
      <c r="D39" s="496">
        <v>2</v>
      </c>
      <c r="E39" s="1436" t="str">
        <f>IF(D_ETS1Amounts!E288="","",D_ETS1Amounts!E288)</f>
        <v/>
      </c>
      <c r="F39" s="1436"/>
      <c r="G39" s="736" t="str">
        <f>IF(D_ETS1Amounts!F288="","",D_ETS1Amounts!F288)</f>
        <v/>
      </c>
      <c r="H39" s="737" t="str">
        <f>IF(D_ETS1Amounts!H288="","",D_ETS1Amounts!H288)</f>
        <v/>
      </c>
      <c r="I39" s="738" t="str">
        <f>IF(D_ETS1Amounts!J288="","",D_ETS1Amounts!J288)</f>
        <v/>
      </c>
      <c r="J39" s="739" t="str">
        <f>IF(D_ETS1Amounts!L288="","",D_ETS1Amounts!L288)</f>
        <v/>
      </c>
      <c r="K39" s="739" t="str">
        <f>IF(D_ETS1Amounts!M288="","",D_ETS1Amounts!M288)</f>
        <v/>
      </c>
      <c r="L39" s="739" t="str">
        <f>IF(D_ETS1Amounts!T288="","",D_ETS1Amounts!T288)</f>
        <v/>
      </c>
      <c r="M39" s="681"/>
    </row>
    <row r="40" spans="2:13" ht="12.75" customHeight="1" x14ac:dyDescent="0.25">
      <c r="B40" s="679"/>
      <c r="D40" s="496">
        <v>3</v>
      </c>
      <c r="E40" s="1436" t="str">
        <f>IF(D_ETS1Amounts!E289="","",D_ETS1Amounts!E289)</f>
        <v/>
      </c>
      <c r="F40" s="1436"/>
      <c r="G40" s="736" t="str">
        <f>IF(D_ETS1Amounts!F289="","",D_ETS1Amounts!F289)</f>
        <v/>
      </c>
      <c r="H40" s="737" t="str">
        <f>IF(D_ETS1Amounts!H289="","",D_ETS1Amounts!H289)</f>
        <v/>
      </c>
      <c r="I40" s="738" t="str">
        <f>IF(D_ETS1Amounts!J289="","",D_ETS1Amounts!J289)</f>
        <v/>
      </c>
      <c r="J40" s="739" t="str">
        <f>IF(D_ETS1Amounts!L289="","",D_ETS1Amounts!L289)</f>
        <v/>
      </c>
      <c r="K40" s="739" t="str">
        <f>IF(D_ETS1Amounts!M289="","",D_ETS1Amounts!M289)</f>
        <v/>
      </c>
      <c r="L40" s="739" t="str">
        <f>IF(D_ETS1Amounts!T289="","",D_ETS1Amounts!T289)</f>
        <v/>
      </c>
      <c r="M40" s="681"/>
    </row>
    <row r="41" spans="2:13" ht="12.75" customHeight="1" x14ac:dyDescent="0.25">
      <c r="B41" s="679"/>
      <c r="D41" s="496">
        <v>4</v>
      </c>
      <c r="E41" s="1436" t="str">
        <f>IF(D_ETS1Amounts!E290="","",D_ETS1Amounts!E290)</f>
        <v/>
      </c>
      <c r="F41" s="1436"/>
      <c r="G41" s="736" t="str">
        <f>IF(D_ETS1Amounts!F290="","",D_ETS1Amounts!F290)</f>
        <v/>
      </c>
      <c r="H41" s="737" t="str">
        <f>IF(D_ETS1Amounts!H290="","",D_ETS1Amounts!H290)</f>
        <v/>
      </c>
      <c r="I41" s="738" t="str">
        <f>IF(D_ETS1Amounts!J290="","",D_ETS1Amounts!J290)</f>
        <v/>
      </c>
      <c r="J41" s="739" t="str">
        <f>IF(D_ETS1Amounts!L290="","",D_ETS1Amounts!L290)</f>
        <v/>
      </c>
      <c r="K41" s="739" t="str">
        <f>IF(D_ETS1Amounts!M290="","",D_ETS1Amounts!M290)</f>
        <v/>
      </c>
      <c r="L41" s="739" t="str">
        <f>IF(D_ETS1Amounts!T290="","",D_ETS1Amounts!T290)</f>
        <v/>
      </c>
      <c r="M41" s="681"/>
    </row>
    <row r="42" spans="2:13" ht="12.75" customHeight="1" x14ac:dyDescent="0.25">
      <c r="B42" s="679"/>
      <c r="D42" s="496">
        <v>5</v>
      </c>
      <c r="E42" s="1436" t="str">
        <f>IF(D_ETS1Amounts!E291="","",D_ETS1Amounts!E291)</f>
        <v/>
      </c>
      <c r="F42" s="1436"/>
      <c r="G42" s="736" t="str">
        <f>IF(D_ETS1Amounts!F291="","",D_ETS1Amounts!F291)</f>
        <v/>
      </c>
      <c r="H42" s="737" t="str">
        <f>IF(D_ETS1Amounts!H291="","",D_ETS1Amounts!H291)</f>
        <v/>
      </c>
      <c r="I42" s="738" t="str">
        <f>IF(D_ETS1Amounts!J291="","",D_ETS1Amounts!J291)</f>
        <v/>
      </c>
      <c r="J42" s="739" t="str">
        <f>IF(D_ETS1Amounts!L291="","",D_ETS1Amounts!L291)</f>
        <v/>
      </c>
      <c r="K42" s="739" t="str">
        <f>IF(D_ETS1Amounts!M291="","",D_ETS1Amounts!M291)</f>
        <v/>
      </c>
      <c r="L42" s="739" t="str">
        <f>IF(D_ETS1Amounts!T291="","",D_ETS1Amounts!T291)</f>
        <v/>
      </c>
      <c r="M42" s="681"/>
    </row>
    <row r="43" spans="2:13" ht="12.75" customHeight="1" x14ac:dyDescent="0.25">
      <c r="B43" s="679"/>
      <c r="D43" s="496">
        <v>6</v>
      </c>
      <c r="E43" s="1436" t="str">
        <f>IF(D_ETS1Amounts!E292="","",D_ETS1Amounts!E292)</f>
        <v/>
      </c>
      <c r="F43" s="1436"/>
      <c r="G43" s="736" t="str">
        <f>IF(D_ETS1Amounts!F292="","",D_ETS1Amounts!F292)</f>
        <v/>
      </c>
      <c r="H43" s="737" t="str">
        <f>IF(D_ETS1Amounts!H292="","",D_ETS1Amounts!H292)</f>
        <v/>
      </c>
      <c r="I43" s="738" t="str">
        <f>IF(D_ETS1Amounts!J292="","",D_ETS1Amounts!J292)</f>
        <v/>
      </c>
      <c r="J43" s="739" t="str">
        <f>IF(D_ETS1Amounts!L292="","",D_ETS1Amounts!L292)</f>
        <v/>
      </c>
      <c r="K43" s="739" t="str">
        <f>IF(D_ETS1Amounts!M292="","",D_ETS1Amounts!M292)</f>
        <v/>
      </c>
      <c r="L43" s="739" t="str">
        <f>IF(D_ETS1Amounts!T292="","",D_ETS1Amounts!T292)</f>
        <v/>
      </c>
      <c r="M43" s="681"/>
    </row>
    <row r="44" spans="2:13" ht="12.75" customHeight="1" x14ac:dyDescent="0.25">
      <c r="B44" s="679"/>
      <c r="D44" s="496">
        <v>7</v>
      </c>
      <c r="E44" s="1436" t="str">
        <f>IF(D_ETS1Amounts!E293="","",D_ETS1Amounts!E293)</f>
        <v/>
      </c>
      <c r="F44" s="1436"/>
      <c r="G44" s="736" t="str">
        <f>IF(D_ETS1Amounts!F293="","",D_ETS1Amounts!F293)</f>
        <v/>
      </c>
      <c r="H44" s="737" t="str">
        <f>IF(D_ETS1Amounts!H293="","",D_ETS1Amounts!H293)</f>
        <v/>
      </c>
      <c r="I44" s="738" t="str">
        <f>IF(D_ETS1Amounts!J293="","",D_ETS1Amounts!J293)</f>
        <v/>
      </c>
      <c r="J44" s="739" t="str">
        <f>IF(D_ETS1Amounts!L293="","",D_ETS1Amounts!L293)</f>
        <v/>
      </c>
      <c r="K44" s="739" t="str">
        <f>IF(D_ETS1Amounts!M293="","",D_ETS1Amounts!M293)</f>
        <v/>
      </c>
      <c r="L44" s="739" t="str">
        <f>IF(D_ETS1Amounts!T293="","",D_ETS1Amounts!T293)</f>
        <v/>
      </c>
      <c r="M44" s="681"/>
    </row>
    <row r="45" spans="2:13" ht="12.75" customHeight="1" x14ac:dyDescent="0.25">
      <c r="B45" s="679"/>
      <c r="D45" s="496">
        <v>8</v>
      </c>
      <c r="E45" s="1436" t="str">
        <f>IF(D_ETS1Amounts!E294="","",D_ETS1Amounts!E294)</f>
        <v/>
      </c>
      <c r="F45" s="1436"/>
      <c r="G45" s="736" t="str">
        <f>IF(D_ETS1Amounts!F294="","",D_ETS1Amounts!F294)</f>
        <v/>
      </c>
      <c r="H45" s="737" t="str">
        <f>IF(D_ETS1Amounts!H294="","",D_ETS1Amounts!H294)</f>
        <v/>
      </c>
      <c r="I45" s="738" t="str">
        <f>IF(D_ETS1Amounts!J294="","",D_ETS1Amounts!J294)</f>
        <v/>
      </c>
      <c r="J45" s="739" t="str">
        <f>IF(D_ETS1Amounts!L294="","",D_ETS1Amounts!L294)</f>
        <v/>
      </c>
      <c r="K45" s="739" t="str">
        <f>IF(D_ETS1Amounts!M294="","",D_ETS1Amounts!M294)</f>
        <v/>
      </c>
      <c r="L45" s="739" t="str">
        <f>IF(D_ETS1Amounts!T294="","",D_ETS1Amounts!T294)</f>
        <v/>
      </c>
      <c r="M45" s="681"/>
    </row>
    <row r="46" spans="2:13" ht="12.75" customHeight="1" x14ac:dyDescent="0.25">
      <c r="B46" s="679"/>
      <c r="D46" s="496">
        <v>9</v>
      </c>
      <c r="E46" s="1436" t="str">
        <f>IF(D_ETS1Amounts!E295="","",D_ETS1Amounts!E295)</f>
        <v/>
      </c>
      <c r="F46" s="1436"/>
      <c r="G46" s="736" t="str">
        <f>IF(D_ETS1Amounts!F295="","",D_ETS1Amounts!F295)</f>
        <v/>
      </c>
      <c r="H46" s="737" t="str">
        <f>IF(D_ETS1Amounts!H295="","",D_ETS1Amounts!H295)</f>
        <v/>
      </c>
      <c r="I46" s="738" t="str">
        <f>IF(D_ETS1Amounts!J295="","",D_ETS1Amounts!J295)</f>
        <v/>
      </c>
      <c r="J46" s="739" t="str">
        <f>IF(D_ETS1Amounts!L295="","",D_ETS1Amounts!L295)</f>
        <v/>
      </c>
      <c r="K46" s="739" t="str">
        <f>IF(D_ETS1Amounts!M295="","",D_ETS1Amounts!M295)</f>
        <v/>
      </c>
      <c r="L46" s="739" t="str">
        <f>IF(D_ETS1Amounts!T295="","",D_ETS1Amounts!T295)</f>
        <v/>
      </c>
      <c r="M46" s="681"/>
    </row>
    <row r="47" spans="2:13" ht="12.75" customHeight="1" x14ac:dyDescent="0.25">
      <c r="B47" s="679"/>
      <c r="D47" s="496">
        <v>10</v>
      </c>
      <c r="E47" s="1436" t="str">
        <f>IF(D_ETS1Amounts!E296="","",D_ETS1Amounts!E296)</f>
        <v/>
      </c>
      <c r="F47" s="1436"/>
      <c r="G47" s="736" t="str">
        <f>IF(D_ETS1Amounts!F296="","",D_ETS1Amounts!F296)</f>
        <v/>
      </c>
      <c r="H47" s="737" t="str">
        <f>IF(D_ETS1Amounts!H296="","",D_ETS1Amounts!H296)</f>
        <v/>
      </c>
      <c r="I47" s="738" t="str">
        <f>IF(D_ETS1Amounts!J296="","",D_ETS1Amounts!J296)</f>
        <v/>
      </c>
      <c r="J47" s="739" t="str">
        <f>IF(D_ETS1Amounts!L296="","",D_ETS1Amounts!L296)</f>
        <v/>
      </c>
      <c r="K47" s="739" t="str">
        <f>IF(D_ETS1Amounts!M296="","",D_ETS1Amounts!M296)</f>
        <v/>
      </c>
      <c r="L47" s="739" t="str">
        <f>IF(D_ETS1Amounts!T296="","",D_ETS1Amounts!T296)</f>
        <v/>
      </c>
      <c r="M47" s="681"/>
    </row>
    <row r="48" spans="2:13" ht="12.75" customHeight="1" x14ac:dyDescent="0.25">
      <c r="B48" s="679"/>
      <c r="D48" s="496">
        <v>11</v>
      </c>
      <c r="E48" s="1436" t="str">
        <f>IF(D_ETS1Amounts!E297="","",D_ETS1Amounts!E297)</f>
        <v/>
      </c>
      <c r="F48" s="1436"/>
      <c r="G48" s="736" t="str">
        <f>IF(D_ETS1Amounts!F297="","",D_ETS1Amounts!F297)</f>
        <v/>
      </c>
      <c r="H48" s="737" t="str">
        <f>IF(D_ETS1Amounts!H297="","",D_ETS1Amounts!H297)</f>
        <v/>
      </c>
      <c r="I48" s="738" t="str">
        <f>IF(D_ETS1Amounts!J297="","",D_ETS1Amounts!J297)</f>
        <v/>
      </c>
      <c r="J48" s="739" t="str">
        <f>IF(D_ETS1Amounts!L297="","",D_ETS1Amounts!L297)</f>
        <v/>
      </c>
      <c r="K48" s="739" t="str">
        <f>IF(D_ETS1Amounts!M297="","",D_ETS1Amounts!M297)</f>
        <v/>
      </c>
      <c r="L48" s="739" t="str">
        <f>IF(D_ETS1Amounts!T297="","",D_ETS1Amounts!T297)</f>
        <v/>
      </c>
      <c r="M48" s="681"/>
    </row>
    <row r="49" spans="1:13" ht="12.75" customHeight="1" x14ac:dyDescent="0.25">
      <c r="B49" s="679"/>
      <c r="D49" s="496">
        <v>12</v>
      </c>
      <c r="E49" s="1436" t="str">
        <f>IF(D_ETS1Amounts!E298="","",D_ETS1Amounts!E298)</f>
        <v/>
      </c>
      <c r="F49" s="1436"/>
      <c r="G49" s="736" t="str">
        <f>IF(D_ETS1Amounts!F298="","",D_ETS1Amounts!F298)</f>
        <v/>
      </c>
      <c r="H49" s="737" t="str">
        <f>IF(D_ETS1Amounts!H298="","",D_ETS1Amounts!H298)</f>
        <v/>
      </c>
      <c r="I49" s="738" t="str">
        <f>IF(D_ETS1Amounts!J298="","",D_ETS1Amounts!J298)</f>
        <v/>
      </c>
      <c r="J49" s="739" t="str">
        <f>IF(D_ETS1Amounts!L298="","",D_ETS1Amounts!L298)</f>
        <v/>
      </c>
      <c r="K49" s="739" t="str">
        <f>IF(D_ETS1Amounts!M298="","",D_ETS1Amounts!M298)</f>
        <v/>
      </c>
      <c r="L49" s="739" t="str">
        <f>IF(D_ETS1Amounts!T298="","",D_ETS1Amounts!T298)</f>
        <v/>
      </c>
      <c r="M49" s="681"/>
    </row>
    <row r="50" spans="1:13" ht="12.75" customHeight="1" x14ac:dyDescent="0.25">
      <c r="B50" s="679"/>
      <c r="D50" s="496">
        <v>13</v>
      </c>
      <c r="E50" s="1436" t="str">
        <f>IF(D_ETS1Amounts!E299="","",D_ETS1Amounts!E299)</f>
        <v/>
      </c>
      <c r="F50" s="1436"/>
      <c r="G50" s="736" t="str">
        <f>IF(D_ETS1Amounts!F299="","",D_ETS1Amounts!F299)</f>
        <v/>
      </c>
      <c r="H50" s="737" t="str">
        <f>IF(D_ETS1Amounts!H299="","",D_ETS1Amounts!H299)</f>
        <v/>
      </c>
      <c r="I50" s="738" t="str">
        <f>IF(D_ETS1Amounts!J299="","",D_ETS1Amounts!J299)</f>
        <v/>
      </c>
      <c r="J50" s="739" t="str">
        <f>IF(D_ETS1Amounts!L299="","",D_ETS1Amounts!L299)</f>
        <v/>
      </c>
      <c r="K50" s="739" t="str">
        <f>IF(D_ETS1Amounts!M299="","",D_ETS1Amounts!M299)</f>
        <v/>
      </c>
      <c r="L50" s="739" t="str">
        <f>IF(D_ETS1Amounts!T299="","",D_ETS1Amounts!T299)</f>
        <v/>
      </c>
      <c r="M50" s="681"/>
    </row>
    <row r="51" spans="1:13" ht="12.75" customHeight="1" x14ac:dyDescent="0.25">
      <c r="B51" s="679"/>
      <c r="D51" s="496">
        <v>14</v>
      </c>
      <c r="E51" s="1436" t="str">
        <f>IF(D_ETS1Amounts!E300="","",D_ETS1Amounts!E300)</f>
        <v/>
      </c>
      <c r="F51" s="1436"/>
      <c r="G51" s="736" t="str">
        <f>IF(D_ETS1Amounts!F300="","",D_ETS1Amounts!F300)</f>
        <v/>
      </c>
      <c r="H51" s="737" t="str">
        <f>IF(D_ETS1Amounts!H300="","",D_ETS1Amounts!H300)</f>
        <v/>
      </c>
      <c r="I51" s="738" t="str">
        <f>IF(D_ETS1Amounts!J300="","",D_ETS1Amounts!J300)</f>
        <v/>
      </c>
      <c r="J51" s="739" t="str">
        <f>IF(D_ETS1Amounts!L300="","",D_ETS1Amounts!L300)</f>
        <v/>
      </c>
      <c r="K51" s="739" t="str">
        <f>IF(D_ETS1Amounts!M300="","",D_ETS1Amounts!M300)</f>
        <v/>
      </c>
      <c r="L51" s="739" t="str">
        <f>IF(D_ETS1Amounts!T300="","",D_ETS1Amounts!T300)</f>
        <v/>
      </c>
      <c r="M51" s="681"/>
    </row>
    <row r="52" spans="1:13" x14ac:dyDescent="0.25">
      <c r="B52" s="679"/>
      <c r="D52" s="496">
        <v>15</v>
      </c>
      <c r="E52" s="1436" t="str">
        <f>IF(D_ETS1Amounts!E301="","",D_ETS1Amounts!E301)</f>
        <v/>
      </c>
      <c r="F52" s="1436"/>
      <c r="G52" s="736" t="str">
        <f>IF(D_ETS1Amounts!F301="","",D_ETS1Amounts!F301)</f>
        <v/>
      </c>
      <c r="H52" s="737" t="str">
        <f>IF(D_ETS1Amounts!H301="","",D_ETS1Amounts!H301)</f>
        <v/>
      </c>
      <c r="I52" s="738" t="str">
        <f>IF(D_ETS1Amounts!J301="","",D_ETS1Amounts!J301)</f>
        <v/>
      </c>
      <c r="J52" s="739" t="str">
        <f>IF(D_ETS1Amounts!L301="","",D_ETS1Amounts!L301)</f>
        <v/>
      </c>
      <c r="K52" s="739" t="str">
        <f>IF(D_ETS1Amounts!M301="","",D_ETS1Amounts!M301)</f>
        <v/>
      </c>
      <c r="L52" s="739" t="str">
        <f>IF(D_ETS1Amounts!T301="","",D_ETS1Amounts!T301)</f>
        <v/>
      </c>
      <c r="M52" s="681"/>
    </row>
    <row r="53" spans="1:13" x14ac:dyDescent="0.25">
      <c r="B53" s="679"/>
      <c r="D53" s="496">
        <v>16</v>
      </c>
      <c r="E53" s="1436" t="str">
        <f>IF(D_ETS1Amounts!E302="","",D_ETS1Amounts!E302)</f>
        <v/>
      </c>
      <c r="F53" s="1436"/>
      <c r="G53" s="736" t="str">
        <f>IF(D_ETS1Amounts!F302="","",D_ETS1Amounts!F302)</f>
        <v/>
      </c>
      <c r="H53" s="737" t="str">
        <f>IF(D_ETS1Amounts!H302="","",D_ETS1Amounts!H302)</f>
        <v/>
      </c>
      <c r="I53" s="738" t="str">
        <f>IF(D_ETS1Amounts!J302="","",D_ETS1Amounts!J302)</f>
        <v/>
      </c>
      <c r="J53" s="739" t="str">
        <f>IF(D_ETS1Amounts!L302="","",D_ETS1Amounts!L302)</f>
        <v/>
      </c>
      <c r="K53" s="739" t="str">
        <f>IF(D_ETS1Amounts!M302="","",D_ETS1Amounts!M302)</f>
        <v/>
      </c>
      <c r="L53" s="739" t="str">
        <f>IF(D_ETS1Amounts!T302="","",D_ETS1Amounts!T302)</f>
        <v/>
      </c>
      <c r="M53" s="681"/>
    </row>
    <row r="54" spans="1:13" x14ac:dyDescent="0.25">
      <c r="B54" s="679"/>
      <c r="D54" s="496">
        <v>17</v>
      </c>
      <c r="E54" s="1436" t="str">
        <f>IF(D_ETS1Amounts!E303="","",D_ETS1Amounts!E303)</f>
        <v/>
      </c>
      <c r="F54" s="1436"/>
      <c r="G54" s="736" t="str">
        <f>IF(D_ETS1Amounts!F303="","",D_ETS1Amounts!F303)</f>
        <v/>
      </c>
      <c r="H54" s="737" t="str">
        <f>IF(D_ETS1Amounts!H303="","",D_ETS1Amounts!H303)</f>
        <v/>
      </c>
      <c r="I54" s="738" t="str">
        <f>IF(D_ETS1Amounts!J303="","",D_ETS1Amounts!J303)</f>
        <v/>
      </c>
      <c r="J54" s="739" t="str">
        <f>IF(D_ETS1Amounts!L303="","",D_ETS1Amounts!L303)</f>
        <v/>
      </c>
      <c r="K54" s="739" t="str">
        <f>IF(D_ETS1Amounts!M303="","",D_ETS1Amounts!M303)</f>
        <v/>
      </c>
      <c r="L54" s="739" t="str">
        <f>IF(D_ETS1Amounts!T303="","",D_ETS1Amounts!T303)</f>
        <v/>
      </c>
      <c r="M54" s="681"/>
    </row>
    <row r="55" spans="1:13" x14ac:dyDescent="0.25">
      <c r="B55" s="679"/>
      <c r="D55" s="496">
        <v>18</v>
      </c>
      <c r="E55" s="1436" t="str">
        <f>IF(D_ETS1Amounts!E304="","",D_ETS1Amounts!E304)</f>
        <v/>
      </c>
      <c r="F55" s="1436"/>
      <c r="G55" s="736" t="str">
        <f>IF(D_ETS1Amounts!F304="","",D_ETS1Amounts!F304)</f>
        <v/>
      </c>
      <c r="H55" s="737" t="str">
        <f>IF(D_ETS1Amounts!H304="","",D_ETS1Amounts!H304)</f>
        <v/>
      </c>
      <c r="I55" s="738" t="str">
        <f>IF(D_ETS1Amounts!J304="","",D_ETS1Amounts!J304)</f>
        <v/>
      </c>
      <c r="J55" s="739" t="str">
        <f>IF(D_ETS1Amounts!L304="","",D_ETS1Amounts!L304)</f>
        <v/>
      </c>
      <c r="K55" s="739" t="str">
        <f>IF(D_ETS1Amounts!M304="","",D_ETS1Amounts!M304)</f>
        <v/>
      </c>
      <c r="L55" s="739" t="str">
        <f>IF(D_ETS1Amounts!T304="","",D_ETS1Amounts!T304)</f>
        <v/>
      </c>
      <c r="M55" s="681"/>
    </row>
    <row r="56" spans="1:13" x14ac:dyDescent="0.25">
      <c r="B56" s="679"/>
      <c r="D56" s="496">
        <v>19</v>
      </c>
      <c r="E56" s="1436" t="str">
        <f>IF(D_ETS1Amounts!E305="","",D_ETS1Amounts!E305)</f>
        <v/>
      </c>
      <c r="F56" s="1436"/>
      <c r="G56" s="736" t="str">
        <f>IF(D_ETS1Amounts!F305="","",D_ETS1Amounts!F305)</f>
        <v/>
      </c>
      <c r="H56" s="737" t="str">
        <f>IF(D_ETS1Amounts!H305="","",D_ETS1Amounts!H305)</f>
        <v/>
      </c>
      <c r="I56" s="738" t="str">
        <f>IF(D_ETS1Amounts!J305="","",D_ETS1Amounts!J305)</f>
        <v/>
      </c>
      <c r="J56" s="739" t="str">
        <f>IF(D_ETS1Amounts!L305="","",D_ETS1Amounts!L305)</f>
        <v/>
      </c>
      <c r="K56" s="739" t="str">
        <f>IF(D_ETS1Amounts!M305="","",D_ETS1Amounts!M305)</f>
        <v/>
      </c>
      <c r="L56" s="739" t="str">
        <f>IF(D_ETS1Amounts!T305="","",D_ETS1Amounts!T305)</f>
        <v/>
      </c>
      <c r="M56" s="681"/>
    </row>
    <row r="57" spans="1:13" x14ac:dyDescent="0.25">
      <c r="B57" s="679"/>
      <c r="D57" s="496">
        <v>20</v>
      </c>
      <c r="E57" s="1436" t="str">
        <f>IF(D_ETS1Amounts!E306="","",D_ETS1Amounts!E306)</f>
        <v/>
      </c>
      <c r="F57" s="1436"/>
      <c r="G57" s="736" t="str">
        <f>IF(D_ETS1Amounts!F306="","",D_ETS1Amounts!F306)</f>
        <v/>
      </c>
      <c r="H57" s="737" t="str">
        <f>IF(D_ETS1Amounts!H306="","",D_ETS1Amounts!H306)</f>
        <v/>
      </c>
      <c r="I57" s="738" t="str">
        <f>IF(D_ETS1Amounts!J306="","",D_ETS1Amounts!J306)</f>
        <v/>
      </c>
      <c r="J57" s="739" t="str">
        <f>IF(D_ETS1Amounts!L306="","",D_ETS1Amounts!L306)</f>
        <v/>
      </c>
      <c r="K57" s="739" t="str">
        <f>IF(D_ETS1Amounts!M306="","",D_ETS1Amounts!M306)</f>
        <v/>
      </c>
      <c r="L57" s="739" t="str">
        <f>IF(D_ETS1Amounts!T306="","",D_ETS1Amounts!T306)</f>
        <v/>
      </c>
      <c r="M57" s="681"/>
    </row>
    <row r="58" spans="1:13" hidden="1" x14ac:dyDescent="0.25">
      <c r="A58" s="674" t="s">
        <v>0</v>
      </c>
      <c r="B58" s="679"/>
      <c r="D58" s="496">
        <v>21</v>
      </c>
      <c r="E58" s="1436" t="str">
        <f>IF(D_ETS1Amounts!E307="","",D_ETS1Amounts!E307)</f>
        <v/>
      </c>
      <c r="F58" s="1436"/>
      <c r="G58" s="736" t="str">
        <f>IF(D_ETS1Amounts!F307="","",D_ETS1Amounts!F307)</f>
        <v/>
      </c>
      <c r="H58" s="737" t="str">
        <f>IF(D_ETS1Amounts!H307="","",D_ETS1Amounts!H307)</f>
        <v/>
      </c>
      <c r="I58" s="738" t="str">
        <f>IF(D_ETS1Amounts!J307="","",D_ETS1Amounts!J307)</f>
        <v/>
      </c>
      <c r="J58" s="739" t="str">
        <f>IF(D_ETS1Amounts!L307="","",D_ETS1Amounts!L307)</f>
        <v/>
      </c>
      <c r="K58" s="739" t="str">
        <f>IF(D_ETS1Amounts!M307="","",D_ETS1Amounts!M307)</f>
        <v/>
      </c>
      <c r="L58" s="739" t="str">
        <f>IF(D_ETS1Amounts!T307="","",D_ETS1Amounts!T307)</f>
        <v/>
      </c>
      <c r="M58" s="681"/>
    </row>
    <row r="59" spans="1:13" hidden="1" x14ac:dyDescent="0.25">
      <c r="A59" s="674" t="s">
        <v>0</v>
      </c>
      <c r="B59" s="679"/>
      <c r="D59" s="496">
        <v>22</v>
      </c>
      <c r="E59" s="1436" t="str">
        <f>IF(D_ETS1Amounts!E308="","",D_ETS1Amounts!E308)</f>
        <v/>
      </c>
      <c r="F59" s="1436"/>
      <c r="G59" s="736" t="str">
        <f>IF(D_ETS1Amounts!F308="","",D_ETS1Amounts!F308)</f>
        <v/>
      </c>
      <c r="H59" s="737" t="str">
        <f>IF(D_ETS1Amounts!H308="","",D_ETS1Amounts!H308)</f>
        <v/>
      </c>
      <c r="I59" s="738" t="str">
        <f>IF(D_ETS1Amounts!J308="","",D_ETS1Amounts!J308)</f>
        <v/>
      </c>
      <c r="J59" s="739" t="str">
        <f>IF(D_ETS1Amounts!L308="","",D_ETS1Amounts!L308)</f>
        <v/>
      </c>
      <c r="K59" s="739" t="str">
        <f>IF(D_ETS1Amounts!M308="","",D_ETS1Amounts!M308)</f>
        <v/>
      </c>
      <c r="L59" s="739" t="str">
        <f>IF(D_ETS1Amounts!T308="","",D_ETS1Amounts!T308)</f>
        <v/>
      </c>
      <c r="M59" s="681"/>
    </row>
    <row r="60" spans="1:13" hidden="1" x14ac:dyDescent="0.25">
      <c r="A60" s="674" t="s">
        <v>0</v>
      </c>
      <c r="B60" s="679"/>
      <c r="D60" s="496">
        <v>23</v>
      </c>
      <c r="E60" s="1436" t="str">
        <f>IF(D_ETS1Amounts!E309="","",D_ETS1Amounts!E309)</f>
        <v/>
      </c>
      <c r="F60" s="1436"/>
      <c r="G60" s="736" t="str">
        <f>IF(D_ETS1Amounts!F309="","",D_ETS1Amounts!F309)</f>
        <v/>
      </c>
      <c r="H60" s="737" t="str">
        <f>IF(D_ETS1Amounts!H309="","",D_ETS1Amounts!H309)</f>
        <v/>
      </c>
      <c r="I60" s="738" t="str">
        <f>IF(D_ETS1Amounts!J309="","",D_ETS1Amounts!J309)</f>
        <v/>
      </c>
      <c r="J60" s="739" t="str">
        <f>IF(D_ETS1Amounts!L309="","",D_ETS1Amounts!L309)</f>
        <v/>
      </c>
      <c r="K60" s="739" t="str">
        <f>IF(D_ETS1Amounts!M309="","",D_ETS1Amounts!M309)</f>
        <v/>
      </c>
      <c r="L60" s="739" t="str">
        <f>IF(D_ETS1Amounts!T309="","",D_ETS1Amounts!T309)</f>
        <v/>
      </c>
      <c r="M60" s="681"/>
    </row>
    <row r="61" spans="1:13" hidden="1" x14ac:dyDescent="0.25">
      <c r="A61" s="674" t="s">
        <v>0</v>
      </c>
      <c r="B61" s="679"/>
      <c r="D61" s="496">
        <v>24</v>
      </c>
      <c r="E61" s="1436" t="str">
        <f>IF(D_ETS1Amounts!E310="","",D_ETS1Amounts!E310)</f>
        <v/>
      </c>
      <c r="F61" s="1436"/>
      <c r="G61" s="736" t="str">
        <f>IF(D_ETS1Amounts!F310="","",D_ETS1Amounts!F310)</f>
        <v/>
      </c>
      <c r="H61" s="737" t="str">
        <f>IF(D_ETS1Amounts!H310="","",D_ETS1Amounts!H310)</f>
        <v/>
      </c>
      <c r="I61" s="738" t="str">
        <f>IF(D_ETS1Amounts!J310="","",D_ETS1Amounts!J310)</f>
        <v/>
      </c>
      <c r="J61" s="739" t="str">
        <f>IF(D_ETS1Amounts!L310="","",D_ETS1Amounts!L310)</f>
        <v/>
      </c>
      <c r="K61" s="739" t="str">
        <f>IF(D_ETS1Amounts!M310="","",D_ETS1Amounts!M310)</f>
        <v/>
      </c>
      <c r="L61" s="739" t="str">
        <f>IF(D_ETS1Amounts!T310="","",D_ETS1Amounts!T310)</f>
        <v/>
      </c>
      <c r="M61" s="681"/>
    </row>
    <row r="62" spans="1:13" hidden="1" x14ac:dyDescent="0.25">
      <c r="A62" s="674" t="s">
        <v>0</v>
      </c>
      <c r="B62" s="679"/>
      <c r="D62" s="496">
        <v>25</v>
      </c>
      <c r="E62" s="1436" t="str">
        <f>IF(D_ETS1Amounts!E311="","",D_ETS1Amounts!E311)</f>
        <v/>
      </c>
      <c r="F62" s="1436"/>
      <c r="G62" s="736" t="str">
        <f>IF(D_ETS1Amounts!F311="","",D_ETS1Amounts!F311)</f>
        <v/>
      </c>
      <c r="H62" s="737" t="str">
        <f>IF(D_ETS1Amounts!H311="","",D_ETS1Amounts!H311)</f>
        <v/>
      </c>
      <c r="I62" s="738" t="str">
        <f>IF(D_ETS1Amounts!J311="","",D_ETS1Amounts!J311)</f>
        <v/>
      </c>
      <c r="J62" s="739" t="str">
        <f>IF(D_ETS1Amounts!L311="","",D_ETS1Amounts!L311)</f>
        <v/>
      </c>
      <c r="K62" s="739" t="str">
        <f>IF(D_ETS1Amounts!M311="","",D_ETS1Amounts!M311)</f>
        <v/>
      </c>
      <c r="L62" s="739" t="str">
        <f>IF(D_ETS1Amounts!T311="","",D_ETS1Amounts!T311)</f>
        <v/>
      </c>
      <c r="M62" s="681"/>
    </row>
    <row r="63" spans="1:13" hidden="1" x14ac:dyDescent="0.25">
      <c r="A63" s="674" t="s">
        <v>0</v>
      </c>
      <c r="B63" s="679"/>
      <c r="D63" s="496">
        <v>26</v>
      </c>
      <c r="E63" s="1436" t="str">
        <f>IF(D_ETS1Amounts!E312="","",D_ETS1Amounts!E312)</f>
        <v/>
      </c>
      <c r="F63" s="1436"/>
      <c r="G63" s="736" t="str">
        <f>IF(D_ETS1Amounts!F312="","",D_ETS1Amounts!F312)</f>
        <v/>
      </c>
      <c r="H63" s="737" t="str">
        <f>IF(D_ETS1Amounts!H312="","",D_ETS1Amounts!H312)</f>
        <v/>
      </c>
      <c r="I63" s="738" t="str">
        <f>IF(D_ETS1Amounts!J312="","",D_ETS1Amounts!J312)</f>
        <v/>
      </c>
      <c r="J63" s="739" t="str">
        <f>IF(D_ETS1Amounts!L312="","",D_ETS1Amounts!L312)</f>
        <v/>
      </c>
      <c r="K63" s="739" t="str">
        <f>IF(D_ETS1Amounts!M312="","",D_ETS1Amounts!M312)</f>
        <v/>
      </c>
      <c r="L63" s="739" t="str">
        <f>IF(D_ETS1Amounts!T312="","",D_ETS1Amounts!T312)</f>
        <v/>
      </c>
      <c r="M63" s="681"/>
    </row>
    <row r="64" spans="1:13" hidden="1" x14ac:dyDescent="0.25">
      <c r="A64" s="674" t="s">
        <v>0</v>
      </c>
      <c r="B64" s="679"/>
      <c r="D64" s="496">
        <v>27</v>
      </c>
      <c r="E64" s="1436" t="str">
        <f>IF(D_ETS1Amounts!E313="","",D_ETS1Amounts!E313)</f>
        <v/>
      </c>
      <c r="F64" s="1436"/>
      <c r="G64" s="736" t="str">
        <f>IF(D_ETS1Amounts!F313="","",D_ETS1Amounts!F313)</f>
        <v/>
      </c>
      <c r="H64" s="737" t="str">
        <f>IF(D_ETS1Amounts!H313="","",D_ETS1Amounts!H313)</f>
        <v/>
      </c>
      <c r="I64" s="738" t="str">
        <f>IF(D_ETS1Amounts!J313="","",D_ETS1Amounts!J313)</f>
        <v/>
      </c>
      <c r="J64" s="739" t="str">
        <f>IF(D_ETS1Amounts!L313="","",D_ETS1Amounts!L313)</f>
        <v/>
      </c>
      <c r="K64" s="739" t="str">
        <f>IF(D_ETS1Amounts!M313="","",D_ETS1Amounts!M313)</f>
        <v/>
      </c>
      <c r="L64" s="739" t="str">
        <f>IF(D_ETS1Amounts!T313="","",D_ETS1Amounts!T313)</f>
        <v/>
      </c>
      <c r="M64" s="681"/>
    </row>
    <row r="65" spans="1:13" hidden="1" x14ac:dyDescent="0.25">
      <c r="A65" s="674" t="s">
        <v>0</v>
      </c>
      <c r="B65" s="679"/>
      <c r="D65" s="496">
        <v>28</v>
      </c>
      <c r="E65" s="1436" t="str">
        <f>IF(D_ETS1Amounts!E314="","",D_ETS1Amounts!E314)</f>
        <v/>
      </c>
      <c r="F65" s="1436"/>
      <c r="G65" s="736" t="str">
        <f>IF(D_ETS1Amounts!F314="","",D_ETS1Amounts!F314)</f>
        <v/>
      </c>
      <c r="H65" s="737" t="str">
        <f>IF(D_ETS1Amounts!H314="","",D_ETS1Amounts!H314)</f>
        <v/>
      </c>
      <c r="I65" s="738" t="str">
        <f>IF(D_ETS1Amounts!J314="","",D_ETS1Amounts!J314)</f>
        <v/>
      </c>
      <c r="J65" s="739" t="str">
        <f>IF(D_ETS1Amounts!L314="","",D_ETS1Amounts!L314)</f>
        <v/>
      </c>
      <c r="K65" s="739" t="str">
        <f>IF(D_ETS1Amounts!M314="","",D_ETS1Amounts!M314)</f>
        <v/>
      </c>
      <c r="L65" s="739" t="str">
        <f>IF(D_ETS1Amounts!T314="","",D_ETS1Amounts!T314)</f>
        <v/>
      </c>
      <c r="M65" s="681"/>
    </row>
    <row r="66" spans="1:13" hidden="1" x14ac:dyDescent="0.25">
      <c r="A66" s="674" t="s">
        <v>0</v>
      </c>
      <c r="B66" s="679"/>
      <c r="D66" s="496">
        <v>29</v>
      </c>
      <c r="E66" s="1436" t="str">
        <f>IF(D_ETS1Amounts!E315="","",D_ETS1Amounts!E315)</f>
        <v/>
      </c>
      <c r="F66" s="1436"/>
      <c r="G66" s="736" t="str">
        <f>IF(D_ETS1Amounts!F315="","",D_ETS1Amounts!F315)</f>
        <v/>
      </c>
      <c r="H66" s="737" t="str">
        <f>IF(D_ETS1Amounts!H315="","",D_ETS1Amounts!H315)</f>
        <v/>
      </c>
      <c r="I66" s="738" t="str">
        <f>IF(D_ETS1Amounts!J315="","",D_ETS1Amounts!J315)</f>
        <v/>
      </c>
      <c r="J66" s="739" t="str">
        <f>IF(D_ETS1Amounts!L315="","",D_ETS1Amounts!L315)</f>
        <v/>
      </c>
      <c r="K66" s="739" t="str">
        <f>IF(D_ETS1Amounts!M315="","",D_ETS1Amounts!M315)</f>
        <v/>
      </c>
      <c r="L66" s="739" t="str">
        <f>IF(D_ETS1Amounts!T315="","",D_ETS1Amounts!T315)</f>
        <v/>
      </c>
      <c r="M66" s="681"/>
    </row>
    <row r="67" spans="1:13" hidden="1" x14ac:dyDescent="0.25">
      <c r="A67" s="674" t="s">
        <v>0</v>
      </c>
      <c r="B67" s="679"/>
      <c r="D67" s="496">
        <v>30</v>
      </c>
      <c r="E67" s="1436" t="str">
        <f>IF(D_ETS1Amounts!E316="","",D_ETS1Amounts!E316)</f>
        <v/>
      </c>
      <c r="F67" s="1436"/>
      <c r="G67" s="736" t="str">
        <f>IF(D_ETS1Amounts!F316="","",D_ETS1Amounts!F316)</f>
        <v/>
      </c>
      <c r="H67" s="737" t="str">
        <f>IF(D_ETS1Amounts!H316="","",D_ETS1Amounts!H316)</f>
        <v/>
      </c>
      <c r="I67" s="738" t="str">
        <f>IF(D_ETS1Amounts!J316="","",D_ETS1Amounts!J316)</f>
        <v/>
      </c>
      <c r="J67" s="739" t="str">
        <f>IF(D_ETS1Amounts!L316="","",D_ETS1Amounts!L316)</f>
        <v/>
      </c>
      <c r="K67" s="739" t="str">
        <f>IF(D_ETS1Amounts!M316="","",D_ETS1Amounts!M316)</f>
        <v/>
      </c>
      <c r="L67" s="739" t="str">
        <f>IF(D_ETS1Amounts!T316="","",D_ETS1Amounts!T316)</f>
        <v/>
      </c>
      <c r="M67" s="681"/>
    </row>
    <row r="68" spans="1:13" hidden="1" x14ac:dyDescent="0.25">
      <c r="A68" s="674" t="s">
        <v>0</v>
      </c>
      <c r="B68" s="679"/>
      <c r="D68" s="496">
        <v>31</v>
      </c>
      <c r="E68" s="1436" t="str">
        <f>IF(D_ETS1Amounts!E317="","",D_ETS1Amounts!E317)</f>
        <v/>
      </c>
      <c r="F68" s="1436"/>
      <c r="G68" s="736" t="str">
        <f>IF(D_ETS1Amounts!F317="","",D_ETS1Amounts!F317)</f>
        <v/>
      </c>
      <c r="H68" s="737" t="str">
        <f>IF(D_ETS1Amounts!H317="","",D_ETS1Amounts!H317)</f>
        <v/>
      </c>
      <c r="I68" s="738" t="str">
        <f>IF(D_ETS1Amounts!J317="","",D_ETS1Amounts!J317)</f>
        <v/>
      </c>
      <c r="J68" s="739" t="str">
        <f>IF(D_ETS1Amounts!L317="","",D_ETS1Amounts!L317)</f>
        <v/>
      </c>
      <c r="K68" s="739" t="str">
        <f>IF(D_ETS1Amounts!M317="","",D_ETS1Amounts!M317)</f>
        <v/>
      </c>
      <c r="L68" s="739" t="str">
        <f>IF(D_ETS1Amounts!T317="","",D_ETS1Amounts!T317)</f>
        <v/>
      </c>
      <c r="M68" s="681"/>
    </row>
    <row r="69" spans="1:13" hidden="1" x14ac:dyDescent="0.25">
      <c r="A69" s="674" t="s">
        <v>0</v>
      </c>
      <c r="B69" s="679"/>
      <c r="D69" s="496">
        <v>32</v>
      </c>
      <c r="E69" s="1436" t="str">
        <f>IF(D_ETS1Amounts!E318="","",D_ETS1Amounts!E318)</f>
        <v/>
      </c>
      <c r="F69" s="1436"/>
      <c r="G69" s="736" t="str">
        <f>IF(D_ETS1Amounts!F318="","",D_ETS1Amounts!F318)</f>
        <v/>
      </c>
      <c r="H69" s="737" t="str">
        <f>IF(D_ETS1Amounts!H318="","",D_ETS1Amounts!H318)</f>
        <v/>
      </c>
      <c r="I69" s="738" t="str">
        <f>IF(D_ETS1Amounts!J318="","",D_ETS1Amounts!J318)</f>
        <v/>
      </c>
      <c r="J69" s="739" t="str">
        <f>IF(D_ETS1Amounts!L318="","",D_ETS1Amounts!L318)</f>
        <v/>
      </c>
      <c r="K69" s="739" t="str">
        <f>IF(D_ETS1Amounts!M318="","",D_ETS1Amounts!M318)</f>
        <v/>
      </c>
      <c r="L69" s="739" t="str">
        <f>IF(D_ETS1Amounts!T318="","",D_ETS1Amounts!T318)</f>
        <v/>
      </c>
      <c r="M69" s="681"/>
    </row>
    <row r="70" spans="1:13" hidden="1" x14ac:dyDescent="0.25">
      <c r="A70" s="674" t="s">
        <v>0</v>
      </c>
      <c r="B70" s="679"/>
      <c r="D70" s="496">
        <v>33</v>
      </c>
      <c r="E70" s="1436" t="str">
        <f>IF(D_ETS1Amounts!E319="","",D_ETS1Amounts!E319)</f>
        <v/>
      </c>
      <c r="F70" s="1436"/>
      <c r="G70" s="736" t="str">
        <f>IF(D_ETS1Amounts!F319="","",D_ETS1Amounts!F319)</f>
        <v/>
      </c>
      <c r="H70" s="737" t="str">
        <f>IF(D_ETS1Amounts!H319="","",D_ETS1Amounts!H319)</f>
        <v/>
      </c>
      <c r="I70" s="738" t="str">
        <f>IF(D_ETS1Amounts!J319="","",D_ETS1Amounts!J319)</f>
        <v/>
      </c>
      <c r="J70" s="739" t="str">
        <f>IF(D_ETS1Amounts!L319="","",D_ETS1Amounts!L319)</f>
        <v/>
      </c>
      <c r="K70" s="739" t="str">
        <f>IF(D_ETS1Amounts!M319="","",D_ETS1Amounts!M319)</f>
        <v/>
      </c>
      <c r="L70" s="739" t="str">
        <f>IF(D_ETS1Amounts!T319="","",D_ETS1Amounts!T319)</f>
        <v/>
      </c>
      <c r="M70" s="681"/>
    </row>
    <row r="71" spans="1:13" hidden="1" x14ac:dyDescent="0.25">
      <c r="A71" s="674" t="s">
        <v>0</v>
      </c>
      <c r="B71" s="679"/>
      <c r="D71" s="496">
        <v>34</v>
      </c>
      <c r="E71" s="1436" t="str">
        <f>IF(D_ETS1Amounts!E320="","",D_ETS1Amounts!E320)</f>
        <v/>
      </c>
      <c r="F71" s="1436"/>
      <c r="G71" s="736" t="str">
        <f>IF(D_ETS1Amounts!F320="","",D_ETS1Amounts!F320)</f>
        <v/>
      </c>
      <c r="H71" s="737" t="str">
        <f>IF(D_ETS1Amounts!H320="","",D_ETS1Amounts!H320)</f>
        <v/>
      </c>
      <c r="I71" s="738" t="str">
        <f>IF(D_ETS1Amounts!J320="","",D_ETS1Amounts!J320)</f>
        <v/>
      </c>
      <c r="J71" s="739" t="str">
        <f>IF(D_ETS1Amounts!L320="","",D_ETS1Amounts!L320)</f>
        <v/>
      </c>
      <c r="K71" s="739" t="str">
        <f>IF(D_ETS1Amounts!M320="","",D_ETS1Amounts!M320)</f>
        <v/>
      </c>
      <c r="L71" s="739" t="str">
        <f>IF(D_ETS1Amounts!T320="","",D_ETS1Amounts!T320)</f>
        <v/>
      </c>
      <c r="M71" s="681"/>
    </row>
    <row r="72" spans="1:13" hidden="1" x14ac:dyDescent="0.25">
      <c r="A72" s="674" t="s">
        <v>0</v>
      </c>
      <c r="B72" s="679"/>
      <c r="D72" s="496">
        <v>35</v>
      </c>
      <c r="E72" s="1436" t="str">
        <f>IF(D_ETS1Amounts!E321="","",D_ETS1Amounts!E321)</f>
        <v/>
      </c>
      <c r="F72" s="1436"/>
      <c r="G72" s="736" t="str">
        <f>IF(D_ETS1Amounts!F321="","",D_ETS1Amounts!F321)</f>
        <v/>
      </c>
      <c r="H72" s="737" t="str">
        <f>IF(D_ETS1Amounts!H321="","",D_ETS1Amounts!H321)</f>
        <v/>
      </c>
      <c r="I72" s="738" t="str">
        <f>IF(D_ETS1Amounts!J321="","",D_ETS1Amounts!J321)</f>
        <v/>
      </c>
      <c r="J72" s="739" t="str">
        <f>IF(D_ETS1Amounts!L321="","",D_ETS1Amounts!L321)</f>
        <v/>
      </c>
      <c r="K72" s="739" t="str">
        <f>IF(D_ETS1Amounts!M321="","",D_ETS1Amounts!M321)</f>
        <v/>
      </c>
      <c r="L72" s="739" t="str">
        <f>IF(D_ETS1Amounts!T321="","",D_ETS1Amounts!T321)</f>
        <v/>
      </c>
      <c r="M72" s="681"/>
    </row>
    <row r="73" spans="1:13" hidden="1" x14ac:dyDescent="0.25">
      <c r="A73" s="674" t="s">
        <v>0</v>
      </c>
      <c r="B73" s="679"/>
      <c r="D73" s="496">
        <v>36</v>
      </c>
      <c r="E73" s="1436" t="str">
        <f>IF(D_ETS1Amounts!E322="","",D_ETS1Amounts!E322)</f>
        <v/>
      </c>
      <c r="F73" s="1436"/>
      <c r="G73" s="736" t="str">
        <f>IF(D_ETS1Amounts!F322="","",D_ETS1Amounts!F322)</f>
        <v/>
      </c>
      <c r="H73" s="737" t="str">
        <f>IF(D_ETS1Amounts!H322="","",D_ETS1Amounts!H322)</f>
        <v/>
      </c>
      <c r="I73" s="738" t="str">
        <f>IF(D_ETS1Amounts!J322="","",D_ETS1Amounts!J322)</f>
        <v/>
      </c>
      <c r="J73" s="739" t="str">
        <f>IF(D_ETS1Amounts!L322="","",D_ETS1Amounts!L322)</f>
        <v/>
      </c>
      <c r="K73" s="739" t="str">
        <f>IF(D_ETS1Amounts!M322="","",D_ETS1Amounts!M322)</f>
        <v/>
      </c>
      <c r="L73" s="739" t="str">
        <f>IF(D_ETS1Amounts!T322="","",D_ETS1Amounts!T322)</f>
        <v/>
      </c>
      <c r="M73" s="681"/>
    </row>
    <row r="74" spans="1:13" hidden="1" x14ac:dyDescent="0.25">
      <c r="A74" s="674" t="s">
        <v>0</v>
      </c>
      <c r="B74" s="679"/>
      <c r="D74" s="496">
        <v>37</v>
      </c>
      <c r="E74" s="1436" t="str">
        <f>IF(D_ETS1Amounts!E323="","",D_ETS1Amounts!E323)</f>
        <v/>
      </c>
      <c r="F74" s="1436"/>
      <c r="G74" s="736" t="str">
        <f>IF(D_ETS1Amounts!F323="","",D_ETS1Amounts!F323)</f>
        <v/>
      </c>
      <c r="H74" s="737" t="str">
        <f>IF(D_ETS1Amounts!H323="","",D_ETS1Amounts!H323)</f>
        <v/>
      </c>
      <c r="I74" s="738" t="str">
        <f>IF(D_ETS1Amounts!J323="","",D_ETS1Amounts!J323)</f>
        <v/>
      </c>
      <c r="J74" s="739" t="str">
        <f>IF(D_ETS1Amounts!L323="","",D_ETS1Amounts!L323)</f>
        <v/>
      </c>
      <c r="K74" s="739" t="str">
        <f>IF(D_ETS1Amounts!M323="","",D_ETS1Amounts!M323)</f>
        <v/>
      </c>
      <c r="L74" s="739" t="str">
        <f>IF(D_ETS1Amounts!T323="","",D_ETS1Amounts!T323)</f>
        <v/>
      </c>
      <c r="M74" s="681"/>
    </row>
    <row r="75" spans="1:13" hidden="1" x14ac:dyDescent="0.25">
      <c r="A75" s="674" t="s">
        <v>0</v>
      </c>
      <c r="B75" s="679"/>
      <c r="D75" s="496">
        <v>38</v>
      </c>
      <c r="E75" s="1436" t="str">
        <f>IF(D_ETS1Amounts!E324="","",D_ETS1Amounts!E324)</f>
        <v/>
      </c>
      <c r="F75" s="1436"/>
      <c r="G75" s="736" t="str">
        <f>IF(D_ETS1Amounts!F324="","",D_ETS1Amounts!F324)</f>
        <v/>
      </c>
      <c r="H75" s="737" t="str">
        <f>IF(D_ETS1Amounts!H324="","",D_ETS1Amounts!H324)</f>
        <v/>
      </c>
      <c r="I75" s="738" t="str">
        <f>IF(D_ETS1Amounts!J324="","",D_ETS1Amounts!J324)</f>
        <v/>
      </c>
      <c r="J75" s="739" t="str">
        <f>IF(D_ETS1Amounts!L324="","",D_ETS1Amounts!L324)</f>
        <v/>
      </c>
      <c r="K75" s="739" t="str">
        <f>IF(D_ETS1Amounts!M324="","",D_ETS1Amounts!M324)</f>
        <v/>
      </c>
      <c r="L75" s="739" t="str">
        <f>IF(D_ETS1Amounts!T324="","",D_ETS1Amounts!T324)</f>
        <v/>
      </c>
      <c r="M75" s="681"/>
    </row>
    <row r="76" spans="1:13" hidden="1" x14ac:dyDescent="0.25">
      <c r="A76" s="674" t="s">
        <v>0</v>
      </c>
      <c r="B76" s="679"/>
      <c r="D76" s="496">
        <v>39</v>
      </c>
      <c r="E76" s="1436" t="str">
        <f>IF(D_ETS1Amounts!E325="","",D_ETS1Amounts!E325)</f>
        <v/>
      </c>
      <c r="F76" s="1436"/>
      <c r="G76" s="736" t="str">
        <f>IF(D_ETS1Amounts!F325="","",D_ETS1Amounts!F325)</f>
        <v/>
      </c>
      <c r="H76" s="737" t="str">
        <f>IF(D_ETS1Amounts!H325="","",D_ETS1Amounts!H325)</f>
        <v/>
      </c>
      <c r="I76" s="738" t="str">
        <f>IF(D_ETS1Amounts!J325="","",D_ETS1Amounts!J325)</f>
        <v/>
      </c>
      <c r="J76" s="739" t="str">
        <f>IF(D_ETS1Amounts!L325="","",D_ETS1Amounts!L325)</f>
        <v/>
      </c>
      <c r="K76" s="739" t="str">
        <f>IF(D_ETS1Amounts!M325="","",D_ETS1Amounts!M325)</f>
        <v/>
      </c>
      <c r="L76" s="739" t="str">
        <f>IF(D_ETS1Amounts!T325="","",D_ETS1Amounts!T325)</f>
        <v/>
      </c>
      <c r="M76" s="681"/>
    </row>
    <row r="77" spans="1:13" hidden="1" x14ac:dyDescent="0.25">
      <c r="A77" s="674" t="s">
        <v>0</v>
      </c>
      <c r="B77" s="679"/>
      <c r="D77" s="496">
        <v>40</v>
      </c>
      <c r="E77" s="1436" t="str">
        <f>IF(D_ETS1Amounts!E326="","",D_ETS1Amounts!E326)</f>
        <v/>
      </c>
      <c r="F77" s="1436"/>
      <c r="G77" s="736" t="str">
        <f>IF(D_ETS1Amounts!F326="","",D_ETS1Amounts!F326)</f>
        <v/>
      </c>
      <c r="H77" s="737" t="str">
        <f>IF(D_ETS1Amounts!H326="","",D_ETS1Amounts!H326)</f>
        <v/>
      </c>
      <c r="I77" s="738" t="str">
        <f>IF(D_ETS1Amounts!J326="","",D_ETS1Amounts!J326)</f>
        <v/>
      </c>
      <c r="J77" s="739" t="str">
        <f>IF(D_ETS1Amounts!L326="","",D_ETS1Amounts!L326)</f>
        <v/>
      </c>
      <c r="K77" s="739" t="str">
        <f>IF(D_ETS1Amounts!M326="","",D_ETS1Amounts!M326)</f>
        <v/>
      </c>
      <c r="L77" s="739" t="str">
        <f>IF(D_ETS1Amounts!T326="","",D_ETS1Amounts!T326)</f>
        <v/>
      </c>
      <c r="M77" s="681"/>
    </row>
    <row r="78" spans="1:13" hidden="1" x14ac:dyDescent="0.25">
      <c r="A78" s="674" t="s">
        <v>0</v>
      </c>
      <c r="B78" s="679"/>
      <c r="D78" s="496">
        <v>41</v>
      </c>
      <c r="E78" s="1436" t="str">
        <f>IF(D_ETS1Amounts!E327="","",D_ETS1Amounts!E327)</f>
        <v/>
      </c>
      <c r="F78" s="1436"/>
      <c r="G78" s="736" t="str">
        <f>IF(D_ETS1Amounts!F327="","",D_ETS1Amounts!F327)</f>
        <v/>
      </c>
      <c r="H78" s="737" t="str">
        <f>IF(D_ETS1Amounts!H327="","",D_ETS1Amounts!H327)</f>
        <v/>
      </c>
      <c r="I78" s="738" t="str">
        <f>IF(D_ETS1Amounts!J327="","",D_ETS1Amounts!J327)</f>
        <v/>
      </c>
      <c r="J78" s="739" t="str">
        <f>IF(D_ETS1Amounts!L327="","",D_ETS1Amounts!L327)</f>
        <v/>
      </c>
      <c r="K78" s="739" t="str">
        <f>IF(D_ETS1Amounts!M327="","",D_ETS1Amounts!M327)</f>
        <v/>
      </c>
      <c r="L78" s="739" t="str">
        <f>IF(D_ETS1Amounts!T327="","",D_ETS1Amounts!T327)</f>
        <v/>
      </c>
      <c r="M78" s="681"/>
    </row>
    <row r="79" spans="1:13" hidden="1" x14ac:dyDescent="0.25">
      <c r="A79" s="674" t="s">
        <v>0</v>
      </c>
      <c r="B79" s="679"/>
      <c r="D79" s="496">
        <v>42</v>
      </c>
      <c r="E79" s="1436" t="str">
        <f>IF(D_ETS1Amounts!E328="","",D_ETS1Amounts!E328)</f>
        <v/>
      </c>
      <c r="F79" s="1436"/>
      <c r="G79" s="736" t="str">
        <f>IF(D_ETS1Amounts!F328="","",D_ETS1Amounts!F328)</f>
        <v/>
      </c>
      <c r="H79" s="737" t="str">
        <f>IF(D_ETS1Amounts!H328="","",D_ETS1Amounts!H328)</f>
        <v/>
      </c>
      <c r="I79" s="738" t="str">
        <f>IF(D_ETS1Amounts!J328="","",D_ETS1Amounts!J328)</f>
        <v/>
      </c>
      <c r="J79" s="739" t="str">
        <f>IF(D_ETS1Amounts!L328="","",D_ETS1Amounts!L328)</f>
        <v/>
      </c>
      <c r="K79" s="739" t="str">
        <f>IF(D_ETS1Amounts!M328="","",D_ETS1Amounts!M328)</f>
        <v/>
      </c>
      <c r="L79" s="739" t="str">
        <f>IF(D_ETS1Amounts!T328="","",D_ETS1Amounts!T328)</f>
        <v/>
      </c>
      <c r="M79" s="681"/>
    </row>
    <row r="80" spans="1:13" hidden="1" x14ac:dyDescent="0.25">
      <c r="A80" s="674" t="s">
        <v>0</v>
      </c>
      <c r="B80" s="679"/>
      <c r="D80" s="496">
        <v>43</v>
      </c>
      <c r="E80" s="1436" t="str">
        <f>IF(D_ETS1Amounts!E329="","",D_ETS1Amounts!E329)</f>
        <v/>
      </c>
      <c r="F80" s="1436"/>
      <c r="G80" s="736" t="str">
        <f>IF(D_ETS1Amounts!F329="","",D_ETS1Amounts!F329)</f>
        <v/>
      </c>
      <c r="H80" s="737" t="str">
        <f>IF(D_ETS1Amounts!H329="","",D_ETS1Amounts!H329)</f>
        <v/>
      </c>
      <c r="I80" s="738" t="str">
        <f>IF(D_ETS1Amounts!J329="","",D_ETS1Amounts!J329)</f>
        <v/>
      </c>
      <c r="J80" s="739" t="str">
        <f>IF(D_ETS1Amounts!L329="","",D_ETS1Amounts!L329)</f>
        <v/>
      </c>
      <c r="K80" s="739" t="str">
        <f>IF(D_ETS1Amounts!M329="","",D_ETS1Amounts!M329)</f>
        <v/>
      </c>
      <c r="L80" s="739" t="str">
        <f>IF(D_ETS1Amounts!T329="","",D_ETS1Amounts!T329)</f>
        <v/>
      </c>
      <c r="M80" s="681"/>
    </row>
    <row r="81" spans="1:13" hidden="1" x14ac:dyDescent="0.25">
      <c r="A81" s="674" t="s">
        <v>0</v>
      </c>
      <c r="B81" s="679"/>
      <c r="D81" s="496">
        <v>44</v>
      </c>
      <c r="E81" s="1436" t="str">
        <f>IF(D_ETS1Amounts!E330="","",D_ETS1Amounts!E330)</f>
        <v/>
      </c>
      <c r="F81" s="1436"/>
      <c r="G81" s="736" t="str">
        <f>IF(D_ETS1Amounts!F330="","",D_ETS1Amounts!F330)</f>
        <v/>
      </c>
      <c r="H81" s="737" t="str">
        <f>IF(D_ETS1Amounts!H330="","",D_ETS1Amounts!H330)</f>
        <v/>
      </c>
      <c r="I81" s="738" t="str">
        <f>IF(D_ETS1Amounts!J330="","",D_ETS1Amounts!J330)</f>
        <v/>
      </c>
      <c r="J81" s="739" t="str">
        <f>IF(D_ETS1Amounts!L330="","",D_ETS1Amounts!L330)</f>
        <v/>
      </c>
      <c r="K81" s="739" t="str">
        <f>IF(D_ETS1Amounts!M330="","",D_ETS1Amounts!M330)</f>
        <v/>
      </c>
      <c r="L81" s="739" t="str">
        <f>IF(D_ETS1Amounts!T330="","",D_ETS1Amounts!T330)</f>
        <v/>
      </c>
      <c r="M81" s="681"/>
    </row>
    <row r="82" spans="1:13" hidden="1" x14ac:dyDescent="0.25">
      <c r="A82" s="674" t="s">
        <v>0</v>
      </c>
      <c r="B82" s="679"/>
      <c r="D82" s="496">
        <v>45</v>
      </c>
      <c r="E82" s="1436" t="str">
        <f>IF(D_ETS1Amounts!E331="","",D_ETS1Amounts!E331)</f>
        <v/>
      </c>
      <c r="F82" s="1436"/>
      <c r="G82" s="736" t="str">
        <f>IF(D_ETS1Amounts!F331="","",D_ETS1Amounts!F331)</f>
        <v/>
      </c>
      <c r="H82" s="737" t="str">
        <f>IF(D_ETS1Amounts!H331="","",D_ETS1Amounts!H331)</f>
        <v/>
      </c>
      <c r="I82" s="738" t="str">
        <f>IF(D_ETS1Amounts!J331="","",D_ETS1Amounts!J331)</f>
        <v/>
      </c>
      <c r="J82" s="739" t="str">
        <f>IF(D_ETS1Amounts!L331="","",D_ETS1Amounts!L331)</f>
        <v/>
      </c>
      <c r="K82" s="739" t="str">
        <f>IF(D_ETS1Amounts!M331="","",D_ETS1Amounts!M331)</f>
        <v/>
      </c>
      <c r="L82" s="739" t="str">
        <f>IF(D_ETS1Amounts!T331="","",D_ETS1Amounts!T331)</f>
        <v/>
      </c>
      <c r="M82" s="681"/>
    </row>
    <row r="83" spans="1:13" hidden="1" x14ac:dyDescent="0.25">
      <c r="A83" s="674" t="s">
        <v>0</v>
      </c>
      <c r="B83" s="679"/>
      <c r="D83" s="496">
        <v>46</v>
      </c>
      <c r="E83" s="1436" t="str">
        <f>IF(D_ETS1Amounts!E332="","",D_ETS1Amounts!E332)</f>
        <v/>
      </c>
      <c r="F83" s="1436"/>
      <c r="G83" s="736" t="str">
        <f>IF(D_ETS1Amounts!F332="","",D_ETS1Amounts!F332)</f>
        <v/>
      </c>
      <c r="H83" s="737" t="str">
        <f>IF(D_ETS1Amounts!H332="","",D_ETS1Amounts!H332)</f>
        <v/>
      </c>
      <c r="I83" s="738" t="str">
        <f>IF(D_ETS1Amounts!J332="","",D_ETS1Amounts!J332)</f>
        <v/>
      </c>
      <c r="J83" s="739" t="str">
        <f>IF(D_ETS1Amounts!L332="","",D_ETS1Amounts!L332)</f>
        <v/>
      </c>
      <c r="K83" s="739" t="str">
        <f>IF(D_ETS1Amounts!M332="","",D_ETS1Amounts!M332)</f>
        <v/>
      </c>
      <c r="L83" s="739" t="str">
        <f>IF(D_ETS1Amounts!T332="","",D_ETS1Amounts!T332)</f>
        <v/>
      </c>
      <c r="M83" s="681"/>
    </row>
    <row r="84" spans="1:13" hidden="1" x14ac:dyDescent="0.25">
      <c r="A84" s="674" t="s">
        <v>0</v>
      </c>
      <c r="B84" s="679"/>
      <c r="D84" s="496">
        <v>47</v>
      </c>
      <c r="E84" s="1436" t="str">
        <f>IF(D_ETS1Amounts!E333="","",D_ETS1Amounts!E333)</f>
        <v/>
      </c>
      <c r="F84" s="1436"/>
      <c r="G84" s="736" t="str">
        <f>IF(D_ETS1Amounts!F333="","",D_ETS1Amounts!F333)</f>
        <v/>
      </c>
      <c r="H84" s="737" t="str">
        <f>IF(D_ETS1Amounts!H333="","",D_ETS1Amounts!H333)</f>
        <v/>
      </c>
      <c r="I84" s="738" t="str">
        <f>IF(D_ETS1Amounts!J333="","",D_ETS1Amounts!J333)</f>
        <v/>
      </c>
      <c r="J84" s="739" t="str">
        <f>IF(D_ETS1Amounts!L333="","",D_ETS1Amounts!L333)</f>
        <v/>
      </c>
      <c r="K84" s="739" t="str">
        <f>IF(D_ETS1Amounts!M333="","",D_ETS1Amounts!M333)</f>
        <v/>
      </c>
      <c r="L84" s="739" t="str">
        <f>IF(D_ETS1Amounts!T333="","",D_ETS1Amounts!T333)</f>
        <v/>
      </c>
      <c r="M84" s="681"/>
    </row>
    <row r="85" spans="1:13" hidden="1" x14ac:dyDescent="0.25">
      <c r="A85" s="674" t="s">
        <v>0</v>
      </c>
      <c r="B85" s="679"/>
      <c r="D85" s="496">
        <v>48</v>
      </c>
      <c r="E85" s="1436" t="str">
        <f>IF(D_ETS1Amounts!E334="","",D_ETS1Amounts!E334)</f>
        <v/>
      </c>
      <c r="F85" s="1436"/>
      <c r="G85" s="736" t="str">
        <f>IF(D_ETS1Amounts!F334="","",D_ETS1Amounts!F334)</f>
        <v/>
      </c>
      <c r="H85" s="737" t="str">
        <f>IF(D_ETS1Amounts!H334="","",D_ETS1Amounts!H334)</f>
        <v/>
      </c>
      <c r="I85" s="738" t="str">
        <f>IF(D_ETS1Amounts!J334="","",D_ETS1Amounts!J334)</f>
        <v/>
      </c>
      <c r="J85" s="739" t="str">
        <f>IF(D_ETS1Amounts!L334="","",D_ETS1Amounts!L334)</f>
        <v/>
      </c>
      <c r="K85" s="739" t="str">
        <f>IF(D_ETS1Amounts!M334="","",D_ETS1Amounts!M334)</f>
        <v/>
      </c>
      <c r="L85" s="739" t="str">
        <f>IF(D_ETS1Amounts!T334="","",D_ETS1Amounts!T334)</f>
        <v/>
      </c>
      <c r="M85" s="681"/>
    </row>
    <row r="86" spans="1:13" hidden="1" x14ac:dyDescent="0.25">
      <c r="A86" s="674" t="s">
        <v>0</v>
      </c>
      <c r="B86" s="679"/>
      <c r="D86" s="496">
        <v>49</v>
      </c>
      <c r="E86" s="1436" t="str">
        <f>IF(D_ETS1Amounts!E335="","",D_ETS1Amounts!E335)</f>
        <v/>
      </c>
      <c r="F86" s="1436"/>
      <c r="G86" s="736" t="str">
        <f>IF(D_ETS1Amounts!F335="","",D_ETS1Amounts!F335)</f>
        <v/>
      </c>
      <c r="H86" s="737" t="str">
        <f>IF(D_ETS1Amounts!H335="","",D_ETS1Amounts!H335)</f>
        <v/>
      </c>
      <c r="I86" s="738" t="str">
        <f>IF(D_ETS1Amounts!J335="","",D_ETS1Amounts!J335)</f>
        <v/>
      </c>
      <c r="J86" s="739" t="str">
        <f>IF(D_ETS1Amounts!L335="","",D_ETS1Amounts!L335)</f>
        <v/>
      </c>
      <c r="K86" s="739" t="str">
        <f>IF(D_ETS1Amounts!M335="","",D_ETS1Amounts!M335)</f>
        <v/>
      </c>
      <c r="L86" s="739" t="str">
        <f>IF(D_ETS1Amounts!T335="","",D_ETS1Amounts!T335)</f>
        <v/>
      </c>
      <c r="M86" s="681"/>
    </row>
    <row r="87" spans="1:13" hidden="1" x14ac:dyDescent="0.25">
      <c r="A87" s="674" t="s">
        <v>0</v>
      </c>
      <c r="B87" s="679"/>
      <c r="D87" s="496">
        <v>50</v>
      </c>
      <c r="E87" s="1436" t="str">
        <f>IF(D_ETS1Amounts!E336="","",D_ETS1Amounts!E336)</f>
        <v/>
      </c>
      <c r="F87" s="1436"/>
      <c r="G87" s="736" t="str">
        <f>IF(D_ETS1Amounts!F336="","",D_ETS1Amounts!F336)</f>
        <v/>
      </c>
      <c r="H87" s="737" t="str">
        <f>IF(D_ETS1Amounts!H336="","",D_ETS1Amounts!H336)</f>
        <v/>
      </c>
      <c r="I87" s="738" t="str">
        <f>IF(D_ETS1Amounts!J336="","",D_ETS1Amounts!J336)</f>
        <v/>
      </c>
      <c r="J87" s="739" t="str">
        <f>IF(D_ETS1Amounts!L336="","",D_ETS1Amounts!L336)</f>
        <v/>
      </c>
      <c r="K87" s="739" t="str">
        <f>IF(D_ETS1Amounts!M336="","",D_ETS1Amounts!M336)</f>
        <v/>
      </c>
      <c r="L87" s="739" t="str">
        <f>IF(D_ETS1Amounts!T336="","",D_ETS1Amounts!T336)</f>
        <v/>
      </c>
      <c r="M87" s="681"/>
    </row>
    <row r="88" spans="1:13" hidden="1" x14ac:dyDescent="0.25">
      <c r="A88" s="674" t="s">
        <v>0</v>
      </c>
      <c r="B88" s="679"/>
      <c r="D88" s="496">
        <v>51</v>
      </c>
      <c r="E88" s="1436" t="str">
        <f>IF(D_ETS1Amounts!E337="","",D_ETS1Amounts!E337)</f>
        <v/>
      </c>
      <c r="F88" s="1436"/>
      <c r="G88" s="736" t="str">
        <f>IF(D_ETS1Amounts!F337="","",D_ETS1Amounts!F337)</f>
        <v/>
      </c>
      <c r="H88" s="737" t="str">
        <f>IF(D_ETS1Amounts!H337="","",D_ETS1Amounts!H337)</f>
        <v/>
      </c>
      <c r="I88" s="738" t="str">
        <f>IF(D_ETS1Amounts!J337="","",D_ETS1Amounts!J337)</f>
        <v/>
      </c>
      <c r="J88" s="739" t="str">
        <f>IF(D_ETS1Amounts!L337="","",D_ETS1Amounts!L337)</f>
        <v/>
      </c>
      <c r="K88" s="739" t="str">
        <f>IF(D_ETS1Amounts!M337="","",D_ETS1Amounts!M337)</f>
        <v/>
      </c>
      <c r="L88" s="739" t="str">
        <f>IF(D_ETS1Amounts!T337="","",D_ETS1Amounts!T337)</f>
        <v/>
      </c>
      <c r="M88" s="681"/>
    </row>
    <row r="89" spans="1:13" hidden="1" x14ac:dyDescent="0.25">
      <c r="A89" s="674" t="s">
        <v>0</v>
      </c>
      <c r="B89" s="679"/>
      <c r="D89" s="496">
        <v>52</v>
      </c>
      <c r="E89" s="1436" t="str">
        <f>IF(D_ETS1Amounts!E338="","",D_ETS1Amounts!E338)</f>
        <v/>
      </c>
      <c r="F89" s="1436"/>
      <c r="G89" s="736" t="str">
        <f>IF(D_ETS1Amounts!F338="","",D_ETS1Amounts!F338)</f>
        <v/>
      </c>
      <c r="H89" s="737" t="str">
        <f>IF(D_ETS1Amounts!H338="","",D_ETS1Amounts!H338)</f>
        <v/>
      </c>
      <c r="I89" s="738" t="str">
        <f>IF(D_ETS1Amounts!J338="","",D_ETS1Amounts!J338)</f>
        <v/>
      </c>
      <c r="J89" s="739" t="str">
        <f>IF(D_ETS1Amounts!L338="","",D_ETS1Amounts!L338)</f>
        <v/>
      </c>
      <c r="K89" s="739" t="str">
        <f>IF(D_ETS1Amounts!M338="","",D_ETS1Amounts!M338)</f>
        <v/>
      </c>
      <c r="L89" s="739" t="str">
        <f>IF(D_ETS1Amounts!T338="","",D_ETS1Amounts!T338)</f>
        <v/>
      </c>
      <c r="M89" s="681"/>
    </row>
    <row r="90" spans="1:13" hidden="1" x14ac:dyDescent="0.25">
      <c r="A90" s="674" t="s">
        <v>0</v>
      </c>
      <c r="B90" s="679"/>
      <c r="D90" s="496">
        <v>53</v>
      </c>
      <c r="E90" s="1436" t="str">
        <f>IF(D_ETS1Amounts!E339="","",D_ETS1Amounts!E339)</f>
        <v/>
      </c>
      <c r="F90" s="1436"/>
      <c r="G90" s="736" t="str">
        <f>IF(D_ETS1Amounts!F339="","",D_ETS1Amounts!F339)</f>
        <v/>
      </c>
      <c r="H90" s="737" t="str">
        <f>IF(D_ETS1Amounts!H339="","",D_ETS1Amounts!H339)</f>
        <v/>
      </c>
      <c r="I90" s="738" t="str">
        <f>IF(D_ETS1Amounts!J339="","",D_ETS1Amounts!J339)</f>
        <v/>
      </c>
      <c r="J90" s="739" t="str">
        <f>IF(D_ETS1Amounts!L339="","",D_ETS1Amounts!L339)</f>
        <v/>
      </c>
      <c r="K90" s="739" t="str">
        <f>IF(D_ETS1Amounts!M339="","",D_ETS1Amounts!M339)</f>
        <v/>
      </c>
      <c r="L90" s="739" t="str">
        <f>IF(D_ETS1Amounts!T339="","",D_ETS1Amounts!T339)</f>
        <v/>
      </c>
      <c r="M90" s="681"/>
    </row>
    <row r="91" spans="1:13" hidden="1" x14ac:dyDescent="0.25">
      <c r="A91" s="674" t="s">
        <v>0</v>
      </c>
      <c r="B91" s="679"/>
      <c r="D91" s="496">
        <v>54</v>
      </c>
      <c r="E91" s="1436" t="str">
        <f>IF(D_ETS1Amounts!E340="","",D_ETS1Amounts!E340)</f>
        <v/>
      </c>
      <c r="F91" s="1436"/>
      <c r="G91" s="736" t="str">
        <f>IF(D_ETS1Amounts!F340="","",D_ETS1Amounts!F340)</f>
        <v/>
      </c>
      <c r="H91" s="737" t="str">
        <f>IF(D_ETS1Amounts!H340="","",D_ETS1Amounts!H340)</f>
        <v/>
      </c>
      <c r="I91" s="738" t="str">
        <f>IF(D_ETS1Amounts!J340="","",D_ETS1Amounts!J340)</f>
        <v/>
      </c>
      <c r="J91" s="739" t="str">
        <f>IF(D_ETS1Amounts!L340="","",D_ETS1Amounts!L340)</f>
        <v/>
      </c>
      <c r="K91" s="739" t="str">
        <f>IF(D_ETS1Amounts!M340="","",D_ETS1Amounts!M340)</f>
        <v/>
      </c>
      <c r="L91" s="739" t="str">
        <f>IF(D_ETS1Amounts!T340="","",D_ETS1Amounts!T340)</f>
        <v/>
      </c>
      <c r="M91" s="681"/>
    </row>
    <row r="92" spans="1:13" hidden="1" x14ac:dyDescent="0.25">
      <c r="A92" s="674" t="s">
        <v>0</v>
      </c>
      <c r="B92" s="679"/>
      <c r="D92" s="496">
        <v>55</v>
      </c>
      <c r="E92" s="1436" t="str">
        <f>IF(D_ETS1Amounts!E341="","",D_ETS1Amounts!E341)</f>
        <v/>
      </c>
      <c r="F92" s="1436"/>
      <c r="G92" s="736" t="str">
        <f>IF(D_ETS1Amounts!F341="","",D_ETS1Amounts!F341)</f>
        <v/>
      </c>
      <c r="H92" s="737" t="str">
        <f>IF(D_ETS1Amounts!H341="","",D_ETS1Amounts!H341)</f>
        <v/>
      </c>
      <c r="I92" s="738" t="str">
        <f>IF(D_ETS1Amounts!J341="","",D_ETS1Amounts!J341)</f>
        <v/>
      </c>
      <c r="J92" s="739" t="str">
        <f>IF(D_ETS1Amounts!L341="","",D_ETS1Amounts!L341)</f>
        <v/>
      </c>
      <c r="K92" s="739" t="str">
        <f>IF(D_ETS1Amounts!M341="","",D_ETS1Amounts!M341)</f>
        <v/>
      </c>
      <c r="L92" s="739" t="str">
        <f>IF(D_ETS1Amounts!T341="","",D_ETS1Amounts!T341)</f>
        <v/>
      </c>
      <c r="M92" s="681"/>
    </row>
    <row r="93" spans="1:13" hidden="1" x14ac:dyDescent="0.25">
      <c r="A93" s="674" t="s">
        <v>0</v>
      </c>
      <c r="B93" s="679"/>
      <c r="D93" s="496">
        <v>56</v>
      </c>
      <c r="E93" s="1436" t="str">
        <f>IF(D_ETS1Amounts!E342="","",D_ETS1Amounts!E342)</f>
        <v/>
      </c>
      <c r="F93" s="1436"/>
      <c r="G93" s="736" t="str">
        <f>IF(D_ETS1Amounts!F342="","",D_ETS1Amounts!F342)</f>
        <v/>
      </c>
      <c r="H93" s="737" t="str">
        <f>IF(D_ETS1Amounts!H342="","",D_ETS1Amounts!H342)</f>
        <v/>
      </c>
      <c r="I93" s="738" t="str">
        <f>IF(D_ETS1Amounts!J342="","",D_ETS1Amounts!J342)</f>
        <v/>
      </c>
      <c r="J93" s="739" t="str">
        <f>IF(D_ETS1Amounts!L342="","",D_ETS1Amounts!L342)</f>
        <v/>
      </c>
      <c r="K93" s="739" t="str">
        <f>IF(D_ETS1Amounts!M342="","",D_ETS1Amounts!M342)</f>
        <v/>
      </c>
      <c r="L93" s="739" t="str">
        <f>IF(D_ETS1Amounts!T342="","",D_ETS1Amounts!T342)</f>
        <v/>
      </c>
      <c r="M93" s="681"/>
    </row>
    <row r="94" spans="1:13" hidden="1" x14ac:dyDescent="0.25">
      <c r="A94" s="674" t="s">
        <v>0</v>
      </c>
      <c r="B94" s="679"/>
      <c r="D94" s="496">
        <v>57</v>
      </c>
      <c r="E94" s="1436" t="str">
        <f>IF(D_ETS1Amounts!E343="","",D_ETS1Amounts!E343)</f>
        <v/>
      </c>
      <c r="F94" s="1436"/>
      <c r="G94" s="736" t="str">
        <f>IF(D_ETS1Amounts!F343="","",D_ETS1Amounts!F343)</f>
        <v/>
      </c>
      <c r="H94" s="737" t="str">
        <f>IF(D_ETS1Amounts!H343="","",D_ETS1Amounts!H343)</f>
        <v/>
      </c>
      <c r="I94" s="738" t="str">
        <f>IF(D_ETS1Amounts!J343="","",D_ETS1Amounts!J343)</f>
        <v/>
      </c>
      <c r="J94" s="739" t="str">
        <f>IF(D_ETS1Amounts!L343="","",D_ETS1Amounts!L343)</f>
        <v/>
      </c>
      <c r="K94" s="739" t="str">
        <f>IF(D_ETS1Amounts!M343="","",D_ETS1Amounts!M343)</f>
        <v/>
      </c>
      <c r="L94" s="739" t="str">
        <f>IF(D_ETS1Amounts!T343="","",D_ETS1Amounts!T343)</f>
        <v/>
      </c>
      <c r="M94" s="681"/>
    </row>
    <row r="95" spans="1:13" hidden="1" x14ac:dyDescent="0.25">
      <c r="A95" s="674" t="s">
        <v>0</v>
      </c>
      <c r="B95" s="679"/>
      <c r="D95" s="496">
        <v>58</v>
      </c>
      <c r="E95" s="1436" t="str">
        <f>IF(D_ETS1Amounts!E344="","",D_ETS1Amounts!E344)</f>
        <v/>
      </c>
      <c r="F95" s="1436"/>
      <c r="G95" s="736" t="str">
        <f>IF(D_ETS1Amounts!F344="","",D_ETS1Amounts!F344)</f>
        <v/>
      </c>
      <c r="H95" s="737" t="str">
        <f>IF(D_ETS1Amounts!H344="","",D_ETS1Amounts!H344)</f>
        <v/>
      </c>
      <c r="I95" s="738" t="str">
        <f>IF(D_ETS1Amounts!J344="","",D_ETS1Amounts!J344)</f>
        <v/>
      </c>
      <c r="J95" s="739" t="str">
        <f>IF(D_ETS1Amounts!L344="","",D_ETS1Amounts!L344)</f>
        <v/>
      </c>
      <c r="K95" s="739" t="str">
        <f>IF(D_ETS1Amounts!M344="","",D_ETS1Amounts!M344)</f>
        <v/>
      </c>
      <c r="L95" s="739" t="str">
        <f>IF(D_ETS1Amounts!T344="","",D_ETS1Amounts!T344)</f>
        <v/>
      </c>
      <c r="M95" s="681"/>
    </row>
    <row r="96" spans="1:13" hidden="1" x14ac:dyDescent="0.25">
      <c r="A96" s="674" t="s">
        <v>0</v>
      </c>
      <c r="B96" s="679"/>
      <c r="D96" s="496">
        <v>59</v>
      </c>
      <c r="E96" s="1436" t="str">
        <f>IF(D_ETS1Amounts!E345="","",D_ETS1Amounts!E345)</f>
        <v/>
      </c>
      <c r="F96" s="1436"/>
      <c r="G96" s="736" t="str">
        <f>IF(D_ETS1Amounts!F345="","",D_ETS1Amounts!F345)</f>
        <v/>
      </c>
      <c r="H96" s="737" t="str">
        <f>IF(D_ETS1Amounts!H345="","",D_ETS1Amounts!H345)</f>
        <v/>
      </c>
      <c r="I96" s="738" t="str">
        <f>IF(D_ETS1Amounts!J345="","",D_ETS1Amounts!J345)</f>
        <v/>
      </c>
      <c r="J96" s="739" t="str">
        <f>IF(D_ETS1Amounts!L345="","",D_ETS1Amounts!L345)</f>
        <v/>
      </c>
      <c r="K96" s="739" t="str">
        <f>IF(D_ETS1Amounts!M345="","",D_ETS1Amounts!M345)</f>
        <v/>
      </c>
      <c r="L96" s="739" t="str">
        <f>IF(D_ETS1Amounts!T345="","",D_ETS1Amounts!T345)</f>
        <v/>
      </c>
      <c r="M96" s="681"/>
    </row>
    <row r="97" spans="1:13" hidden="1" x14ac:dyDescent="0.25">
      <c r="A97" s="674" t="s">
        <v>0</v>
      </c>
      <c r="B97" s="679"/>
      <c r="D97" s="496">
        <v>60</v>
      </c>
      <c r="E97" s="1436" t="str">
        <f>IF(D_ETS1Amounts!E346="","",D_ETS1Amounts!E346)</f>
        <v/>
      </c>
      <c r="F97" s="1436"/>
      <c r="G97" s="736" t="str">
        <f>IF(D_ETS1Amounts!F346="","",D_ETS1Amounts!F346)</f>
        <v/>
      </c>
      <c r="H97" s="737" t="str">
        <f>IF(D_ETS1Amounts!H346="","",D_ETS1Amounts!H346)</f>
        <v/>
      </c>
      <c r="I97" s="738" t="str">
        <f>IF(D_ETS1Amounts!J346="","",D_ETS1Amounts!J346)</f>
        <v/>
      </c>
      <c r="J97" s="739" t="str">
        <f>IF(D_ETS1Amounts!L346="","",D_ETS1Amounts!L346)</f>
        <v/>
      </c>
      <c r="K97" s="739" t="str">
        <f>IF(D_ETS1Amounts!M346="","",D_ETS1Amounts!M346)</f>
        <v/>
      </c>
      <c r="L97" s="739" t="str">
        <f>IF(D_ETS1Amounts!T346="","",D_ETS1Amounts!T346)</f>
        <v/>
      </c>
      <c r="M97" s="681"/>
    </row>
    <row r="98" spans="1:13" hidden="1" x14ac:dyDescent="0.25">
      <c r="A98" s="674" t="s">
        <v>0</v>
      </c>
      <c r="B98" s="679"/>
      <c r="D98" s="496">
        <v>61</v>
      </c>
      <c r="E98" s="1436" t="str">
        <f>IF(D_ETS1Amounts!E347="","",D_ETS1Amounts!E347)</f>
        <v/>
      </c>
      <c r="F98" s="1436"/>
      <c r="G98" s="736" t="str">
        <f>IF(D_ETS1Amounts!F347="","",D_ETS1Amounts!F347)</f>
        <v/>
      </c>
      <c r="H98" s="737" t="str">
        <f>IF(D_ETS1Amounts!H347="","",D_ETS1Amounts!H347)</f>
        <v/>
      </c>
      <c r="I98" s="738" t="str">
        <f>IF(D_ETS1Amounts!J347="","",D_ETS1Amounts!J347)</f>
        <v/>
      </c>
      <c r="J98" s="739" t="str">
        <f>IF(D_ETS1Amounts!L347="","",D_ETS1Amounts!L347)</f>
        <v/>
      </c>
      <c r="K98" s="739" t="str">
        <f>IF(D_ETS1Amounts!M347="","",D_ETS1Amounts!M347)</f>
        <v/>
      </c>
      <c r="L98" s="739" t="str">
        <f>IF(D_ETS1Amounts!T347="","",D_ETS1Amounts!T347)</f>
        <v/>
      </c>
      <c r="M98" s="681"/>
    </row>
    <row r="99" spans="1:13" hidden="1" x14ac:dyDescent="0.25">
      <c r="A99" s="674" t="s">
        <v>0</v>
      </c>
      <c r="B99" s="679"/>
      <c r="D99" s="496">
        <v>62</v>
      </c>
      <c r="E99" s="1436" t="str">
        <f>IF(D_ETS1Amounts!E348="","",D_ETS1Amounts!E348)</f>
        <v/>
      </c>
      <c r="F99" s="1436"/>
      <c r="G99" s="736" t="str">
        <f>IF(D_ETS1Amounts!F348="","",D_ETS1Amounts!F348)</f>
        <v/>
      </c>
      <c r="H99" s="737" t="str">
        <f>IF(D_ETS1Amounts!H348="","",D_ETS1Amounts!H348)</f>
        <v/>
      </c>
      <c r="I99" s="738" t="str">
        <f>IF(D_ETS1Amounts!J348="","",D_ETS1Amounts!J348)</f>
        <v/>
      </c>
      <c r="J99" s="739" t="str">
        <f>IF(D_ETS1Amounts!L348="","",D_ETS1Amounts!L348)</f>
        <v/>
      </c>
      <c r="K99" s="739" t="str">
        <f>IF(D_ETS1Amounts!M348="","",D_ETS1Amounts!M348)</f>
        <v/>
      </c>
      <c r="L99" s="739" t="str">
        <f>IF(D_ETS1Amounts!T348="","",D_ETS1Amounts!T348)</f>
        <v/>
      </c>
      <c r="M99" s="681"/>
    </row>
    <row r="100" spans="1:13" hidden="1" x14ac:dyDescent="0.25">
      <c r="A100" s="674" t="s">
        <v>0</v>
      </c>
      <c r="B100" s="679"/>
      <c r="D100" s="496">
        <v>63</v>
      </c>
      <c r="E100" s="1436" t="str">
        <f>IF(D_ETS1Amounts!E349="","",D_ETS1Amounts!E349)</f>
        <v/>
      </c>
      <c r="F100" s="1436"/>
      <c r="G100" s="736" t="str">
        <f>IF(D_ETS1Amounts!F349="","",D_ETS1Amounts!F349)</f>
        <v/>
      </c>
      <c r="H100" s="737" t="str">
        <f>IF(D_ETS1Amounts!H349="","",D_ETS1Amounts!H349)</f>
        <v/>
      </c>
      <c r="I100" s="738" t="str">
        <f>IF(D_ETS1Amounts!J349="","",D_ETS1Amounts!J349)</f>
        <v/>
      </c>
      <c r="J100" s="739" t="str">
        <f>IF(D_ETS1Amounts!L349="","",D_ETS1Amounts!L349)</f>
        <v/>
      </c>
      <c r="K100" s="739" t="str">
        <f>IF(D_ETS1Amounts!M349="","",D_ETS1Amounts!M349)</f>
        <v/>
      </c>
      <c r="L100" s="739" t="str">
        <f>IF(D_ETS1Amounts!T349="","",D_ETS1Amounts!T349)</f>
        <v/>
      </c>
      <c r="M100" s="681"/>
    </row>
    <row r="101" spans="1:13" hidden="1" x14ac:dyDescent="0.25">
      <c r="A101" s="674" t="s">
        <v>0</v>
      </c>
      <c r="B101" s="679"/>
      <c r="D101" s="496">
        <v>64</v>
      </c>
      <c r="E101" s="1436" t="str">
        <f>IF(D_ETS1Amounts!E350="","",D_ETS1Amounts!E350)</f>
        <v/>
      </c>
      <c r="F101" s="1436"/>
      <c r="G101" s="736" t="str">
        <f>IF(D_ETS1Amounts!F350="","",D_ETS1Amounts!F350)</f>
        <v/>
      </c>
      <c r="H101" s="737" t="str">
        <f>IF(D_ETS1Amounts!H350="","",D_ETS1Amounts!H350)</f>
        <v/>
      </c>
      <c r="I101" s="738" t="str">
        <f>IF(D_ETS1Amounts!J350="","",D_ETS1Amounts!J350)</f>
        <v/>
      </c>
      <c r="J101" s="739" t="str">
        <f>IF(D_ETS1Amounts!L350="","",D_ETS1Amounts!L350)</f>
        <v/>
      </c>
      <c r="K101" s="739" t="str">
        <f>IF(D_ETS1Amounts!M350="","",D_ETS1Amounts!M350)</f>
        <v/>
      </c>
      <c r="L101" s="739" t="str">
        <f>IF(D_ETS1Amounts!T350="","",D_ETS1Amounts!T350)</f>
        <v/>
      </c>
      <c r="M101" s="681"/>
    </row>
    <row r="102" spans="1:13" hidden="1" x14ac:dyDescent="0.25">
      <c r="A102" s="674" t="s">
        <v>0</v>
      </c>
      <c r="B102" s="679"/>
      <c r="D102" s="496">
        <v>65</v>
      </c>
      <c r="E102" s="1436" t="str">
        <f>IF(D_ETS1Amounts!E351="","",D_ETS1Amounts!E351)</f>
        <v/>
      </c>
      <c r="F102" s="1436"/>
      <c r="G102" s="736" t="str">
        <f>IF(D_ETS1Amounts!F351="","",D_ETS1Amounts!F351)</f>
        <v/>
      </c>
      <c r="H102" s="737" t="str">
        <f>IF(D_ETS1Amounts!H351="","",D_ETS1Amounts!H351)</f>
        <v/>
      </c>
      <c r="I102" s="738" t="str">
        <f>IF(D_ETS1Amounts!J351="","",D_ETS1Amounts!J351)</f>
        <v/>
      </c>
      <c r="J102" s="739" t="str">
        <f>IF(D_ETS1Amounts!L351="","",D_ETS1Amounts!L351)</f>
        <v/>
      </c>
      <c r="K102" s="739" t="str">
        <f>IF(D_ETS1Amounts!M351="","",D_ETS1Amounts!M351)</f>
        <v/>
      </c>
      <c r="L102" s="739" t="str">
        <f>IF(D_ETS1Amounts!T351="","",D_ETS1Amounts!T351)</f>
        <v/>
      </c>
      <c r="M102" s="681"/>
    </row>
    <row r="103" spans="1:13" hidden="1" x14ac:dyDescent="0.25">
      <c r="A103" s="674" t="s">
        <v>0</v>
      </c>
      <c r="B103" s="679"/>
      <c r="D103" s="496">
        <v>66</v>
      </c>
      <c r="E103" s="1436" t="str">
        <f>IF(D_ETS1Amounts!E352="","",D_ETS1Amounts!E352)</f>
        <v/>
      </c>
      <c r="F103" s="1436"/>
      <c r="G103" s="736" t="str">
        <f>IF(D_ETS1Amounts!F352="","",D_ETS1Amounts!F352)</f>
        <v/>
      </c>
      <c r="H103" s="737" t="str">
        <f>IF(D_ETS1Amounts!H352="","",D_ETS1Amounts!H352)</f>
        <v/>
      </c>
      <c r="I103" s="738" t="str">
        <f>IF(D_ETS1Amounts!J352="","",D_ETS1Amounts!J352)</f>
        <v/>
      </c>
      <c r="J103" s="739" t="str">
        <f>IF(D_ETS1Amounts!L352="","",D_ETS1Amounts!L352)</f>
        <v/>
      </c>
      <c r="K103" s="739" t="str">
        <f>IF(D_ETS1Amounts!M352="","",D_ETS1Amounts!M352)</f>
        <v/>
      </c>
      <c r="L103" s="739" t="str">
        <f>IF(D_ETS1Amounts!T352="","",D_ETS1Amounts!T352)</f>
        <v/>
      </c>
      <c r="M103" s="681"/>
    </row>
    <row r="104" spans="1:13" hidden="1" x14ac:dyDescent="0.25">
      <c r="A104" s="674" t="s">
        <v>0</v>
      </c>
      <c r="B104" s="679"/>
      <c r="D104" s="496">
        <v>67</v>
      </c>
      <c r="E104" s="1436" t="str">
        <f>IF(D_ETS1Amounts!E353="","",D_ETS1Amounts!E353)</f>
        <v/>
      </c>
      <c r="F104" s="1436"/>
      <c r="G104" s="736" t="str">
        <f>IF(D_ETS1Amounts!F353="","",D_ETS1Amounts!F353)</f>
        <v/>
      </c>
      <c r="H104" s="737" t="str">
        <f>IF(D_ETS1Amounts!H353="","",D_ETS1Amounts!H353)</f>
        <v/>
      </c>
      <c r="I104" s="738" t="str">
        <f>IF(D_ETS1Amounts!J353="","",D_ETS1Amounts!J353)</f>
        <v/>
      </c>
      <c r="J104" s="739" t="str">
        <f>IF(D_ETS1Amounts!L353="","",D_ETS1Amounts!L353)</f>
        <v/>
      </c>
      <c r="K104" s="739" t="str">
        <f>IF(D_ETS1Amounts!M353="","",D_ETS1Amounts!M353)</f>
        <v/>
      </c>
      <c r="L104" s="739" t="str">
        <f>IF(D_ETS1Amounts!T353="","",D_ETS1Amounts!T353)</f>
        <v/>
      </c>
      <c r="M104" s="681"/>
    </row>
    <row r="105" spans="1:13" hidden="1" x14ac:dyDescent="0.25">
      <c r="A105" s="674" t="s">
        <v>0</v>
      </c>
      <c r="B105" s="679"/>
      <c r="D105" s="496">
        <v>68</v>
      </c>
      <c r="E105" s="1436" t="str">
        <f>IF(D_ETS1Amounts!E354="","",D_ETS1Amounts!E354)</f>
        <v/>
      </c>
      <c r="F105" s="1436"/>
      <c r="G105" s="736" t="str">
        <f>IF(D_ETS1Amounts!F354="","",D_ETS1Amounts!F354)</f>
        <v/>
      </c>
      <c r="H105" s="737" t="str">
        <f>IF(D_ETS1Amounts!H354="","",D_ETS1Amounts!H354)</f>
        <v/>
      </c>
      <c r="I105" s="738" t="str">
        <f>IF(D_ETS1Amounts!J354="","",D_ETS1Amounts!J354)</f>
        <v/>
      </c>
      <c r="J105" s="739" t="str">
        <f>IF(D_ETS1Amounts!L354="","",D_ETS1Amounts!L354)</f>
        <v/>
      </c>
      <c r="K105" s="739" t="str">
        <f>IF(D_ETS1Amounts!M354="","",D_ETS1Amounts!M354)</f>
        <v/>
      </c>
      <c r="L105" s="739" t="str">
        <f>IF(D_ETS1Amounts!T354="","",D_ETS1Amounts!T354)</f>
        <v/>
      </c>
      <c r="M105" s="681"/>
    </row>
    <row r="106" spans="1:13" hidden="1" x14ac:dyDescent="0.25">
      <c r="A106" s="674" t="s">
        <v>0</v>
      </c>
      <c r="B106" s="679"/>
      <c r="D106" s="496">
        <v>69</v>
      </c>
      <c r="E106" s="1436" t="str">
        <f>IF(D_ETS1Amounts!E355="","",D_ETS1Amounts!E355)</f>
        <v/>
      </c>
      <c r="F106" s="1436"/>
      <c r="G106" s="736" t="str">
        <f>IF(D_ETS1Amounts!F355="","",D_ETS1Amounts!F355)</f>
        <v/>
      </c>
      <c r="H106" s="737" t="str">
        <f>IF(D_ETS1Amounts!H355="","",D_ETS1Amounts!H355)</f>
        <v/>
      </c>
      <c r="I106" s="738" t="str">
        <f>IF(D_ETS1Amounts!J355="","",D_ETS1Amounts!J355)</f>
        <v/>
      </c>
      <c r="J106" s="739" t="str">
        <f>IF(D_ETS1Amounts!L355="","",D_ETS1Amounts!L355)</f>
        <v/>
      </c>
      <c r="K106" s="739" t="str">
        <f>IF(D_ETS1Amounts!M355="","",D_ETS1Amounts!M355)</f>
        <v/>
      </c>
      <c r="L106" s="739" t="str">
        <f>IF(D_ETS1Amounts!T355="","",D_ETS1Amounts!T355)</f>
        <v/>
      </c>
      <c r="M106" s="681"/>
    </row>
    <row r="107" spans="1:13" hidden="1" x14ac:dyDescent="0.25">
      <c r="A107" s="674" t="s">
        <v>0</v>
      </c>
      <c r="B107" s="679"/>
      <c r="D107" s="496">
        <v>70</v>
      </c>
      <c r="E107" s="1436" t="str">
        <f>IF(D_ETS1Amounts!E356="","",D_ETS1Amounts!E356)</f>
        <v/>
      </c>
      <c r="F107" s="1436"/>
      <c r="G107" s="736" t="str">
        <f>IF(D_ETS1Amounts!F356="","",D_ETS1Amounts!F356)</f>
        <v/>
      </c>
      <c r="H107" s="737" t="str">
        <f>IF(D_ETS1Amounts!H356="","",D_ETS1Amounts!H356)</f>
        <v/>
      </c>
      <c r="I107" s="738" t="str">
        <f>IF(D_ETS1Amounts!J356="","",D_ETS1Amounts!J356)</f>
        <v/>
      </c>
      <c r="J107" s="739" t="str">
        <f>IF(D_ETS1Amounts!L356="","",D_ETS1Amounts!L356)</f>
        <v/>
      </c>
      <c r="K107" s="739" t="str">
        <f>IF(D_ETS1Amounts!M356="","",D_ETS1Amounts!M356)</f>
        <v/>
      </c>
      <c r="L107" s="739" t="str">
        <f>IF(D_ETS1Amounts!T356="","",D_ETS1Amounts!T356)</f>
        <v/>
      </c>
      <c r="M107" s="681"/>
    </row>
    <row r="108" spans="1:13" hidden="1" x14ac:dyDescent="0.25">
      <c r="A108" s="674" t="s">
        <v>0</v>
      </c>
      <c r="B108" s="679"/>
      <c r="D108" s="496">
        <v>71</v>
      </c>
      <c r="E108" s="1436" t="str">
        <f>IF(D_ETS1Amounts!E357="","",D_ETS1Amounts!E357)</f>
        <v/>
      </c>
      <c r="F108" s="1436"/>
      <c r="G108" s="736" t="str">
        <f>IF(D_ETS1Amounts!F357="","",D_ETS1Amounts!F357)</f>
        <v/>
      </c>
      <c r="H108" s="737" t="str">
        <f>IF(D_ETS1Amounts!H357="","",D_ETS1Amounts!H357)</f>
        <v/>
      </c>
      <c r="I108" s="738" t="str">
        <f>IF(D_ETS1Amounts!J357="","",D_ETS1Amounts!J357)</f>
        <v/>
      </c>
      <c r="J108" s="739" t="str">
        <f>IF(D_ETS1Amounts!L357="","",D_ETS1Amounts!L357)</f>
        <v/>
      </c>
      <c r="K108" s="739" t="str">
        <f>IF(D_ETS1Amounts!M357="","",D_ETS1Amounts!M357)</f>
        <v/>
      </c>
      <c r="L108" s="739" t="str">
        <f>IF(D_ETS1Amounts!T357="","",D_ETS1Amounts!T357)</f>
        <v/>
      </c>
      <c r="M108" s="681"/>
    </row>
    <row r="109" spans="1:13" hidden="1" x14ac:dyDescent="0.25">
      <c r="A109" s="674" t="s">
        <v>0</v>
      </c>
      <c r="B109" s="679"/>
      <c r="D109" s="496">
        <v>72</v>
      </c>
      <c r="E109" s="1436" t="str">
        <f>IF(D_ETS1Amounts!E358="","",D_ETS1Amounts!E358)</f>
        <v/>
      </c>
      <c r="F109" s="1436"/>
      <c r="G109" s="736" t="str">
        <f>IF(D_ETS1Amounts!F358="","",D_ETS1Amounts!F358)</f>
        <v/>
      </c>
      <c r="H109" s="737" t="str">
        <f>IF(D_ETS1Amounts!H358="","",D_ETS1Amounts!H358)</f>
        <v/>
      </c>
      <c r="I109" s="738" t="str">
        <f>IF(D_ETS1Amounts!J358="","",D_ETS1Amounts!J358)</f>
        <v/>
      </c>
      <c r="J109" s="739" t="str">
        <f>IF(D_ETS1Amounts!L358="","",D_ETS1Amounts!L358)</f>
        <v/>
      </c>
      <c r="K109" s="739" t="str">
        <f>IF(D_ETS1Amounts!M358="","",D_ETS1Amounts!M358)</f>
        <v/>
      </c>
      <c r="L109" s="739" t="str">
        <f>IF(D_ETS1Amounts!T358="","",D_ETS1Amounts!T358)</f>
        <v/>
      </c>
      <c r="M109" s="681"/>
    </row>
    <row r="110" spans="1:13" hidden="1" x14ac:dyDescent="0.25">
      <c r="A110" s="674" t="s">
        <v>0</v>
      </c>
      <c r="B110" s="679"/>
      <c r="D110" s="496">
        <v>73</v>
      </c>
      <c r="E110" s="1436" t="str">
        <f>IF(D_ETS1Amounts!E359="","",D_ETS1Amounts!E359)</f>
        <v/>
      </c>
      <c r="F110" s="1436"/>
      <c r="G110" s="736" t="str">
        <f>IF(D_ETS1Amounts!F359="","",D_ETS1Amounts!F359)</f>
        <v/>
      </c>
      <c r="H110" s="737" t="str">
        <f>IF(D_ETS1Amounts!H359="","",D_ETS1Amounts!H359)</f>
        <v/>
      </c>
      <c r="I110" s="738" t="str">
        <f>IF(D_ETS1Amounts!J359="","",D_ETS1Amounts!J359)</f>
        <v/>
      </c>
      <c r="J110" s="739" t="str">
        <f>IF(D_ETS1Amounts!L359="","",D_ETS1Amounts!L359)</f>
        <v/>
      </c>
      <c r="K110" s="739" t="str">
        <f>IF(D_ETS1Amounts!M359="","",D_ETS1Amounts!M359)</f>
        <v/>
      </c>
      <c r="L110" s="739" t="str">
        <f>IF(D_ETS1Amounts!T359="","",D_ETS1Amounts!T359)</f>
        <v/>
      </c>
      <c r="M110" s="681"/>
    </row>
    <row r="111" spans="1:13" hidden="1" x14ac:dyDescent="0.25">
      <c r="A111" s="674" t="s">
        <v>0</v>
      </c>
      <c r="B111" s="679"/>
      <c r="D111" s="496">
        <v>74</v>
      </c>
      <c r="E111" s="1436" t="str">
        <f>IF(D_ETS1Amounts!E360="","",D_ETS1Amounts!E360)</f>
        <v/>
      </c>
      <c r="F111" s="1436"/>
      <c r="G111" s="736" t="str">
        <f>IF(D_ETS1Amounts!F360="","",D_ETS1Amounts!F360)</f>
        <v/>
      </c>
      <c r="H111" s="737" t="str">
        <f>IF(D_ETS1Amounts!H360="","",D_ETS1Amounts!H360)</f>
        <v/>
      </c>
      <c r="I111" s="738" t="str">
        <f>IF(D_ETS1Amounts!J360="","",D_ETS1Amounts!J360)</f>
        <v/>
      </c>
      <c r="J111" s="739" t="str">
        <f>IF(D_ETS1Amounts!L360="","",D_ETS1Amounts!L360)</f>
        <v/>
      </c>
      <c r="K111" s="739" t="str">
        <f>IF(D_ETS1Amounts!M360="","",D_ETS1Amounts!M360)</f>
        <v/>
      </c>
      <c r="L111" s="739" t="str">
        <f>IF(D_ETS1Amounts!T360="","",D_ETS1Amounts!T360)</f>
        <v/>
      </c>
      <c r="M111" s="681"/>
    </row>
    <row r="112" spans="1:13" hidden="1" x14ac:dyDescent="0.25">
      <c r="A112" s="674" t="s">
        <v>0</v>
      </c>
      <c r="B112" s="679"/>
      <c r="D112" s="496">
        <v>75</v>
      </c>
      <c r="E112" s="1436" t="str">
        <f>IF(D_ETS1Amounts!E361="","",D_ETS1Amounts!E361)</f>
        <v/>
      </c>
      <c r="F112" s="1436"/>
      <c r="G112" s="736" t="str">
        <f>IF(D_ETS1Amounts!F361="","",D_ETS1Amounts!F361)</f>
        <v/>
      </c>
      <c r="H112" s="737" t="str">
        <f>IF(D_ETS1Amounts!H361="","",D_ETS1Amounts!H361)</f>
        <v/>
      </c>
      <c r="I112" s="738" t="str">
        <f>IF(D_ETS1Amounts!J361="","",D_ETS1Amounts!J361)</f>
        <v/>
      </c>
      <c r="J112" s="739" t="str">
        <f>IF(D_ETS1Amounts!L361="","",D_ETS1Amounts!L361)</f>
        <v/>
      </c>
      <c r="K112" s="739" t="str">
        <f>IF(D_ETS1Amounts!M361="","",D_ETS1Amounts!M361)</f>
        <v/>
      </c>
      <c r="L112" s="739" t="str">
        <f>IF(D_ETS1Amounts!T361="","",D_ETS1Amounts!T361)</f>
        <v/>
      </c>
      <c r="M112" s="681"/>
    </row>
    <row r="113" spans="1:13" hidden="1" x14ac:dyDescent="0.25">
      <c r="A113" s="674" t="s">
        <v>0</v>
      </c>
      <c r="B113" s="679"/>
      <c r="D113" s="496">
        <v>76</v>
      </c>
      <c r="E113" s="1436" t="str">
        <f>IF(D_ETS1Amounts!E362="","",D_ETS1Amounts!E362)</f>
        <v/>
      </c>
      <c r="F113" s="1436"/>
      <c r="G113" s="736" t="str">
        <f>IF(D_ETS1Amounts!F362="","",D_ETS1Amounts!F362)</f>
        <v/>
      </c>
      <c r="H113" s="737" t="str">
        <f>IF(D_ETS1Amounts!H362="","",D_ETS1Amounts!H362)</f>
        <v/>
      </c>
      <c r="I113" s="738" t="str">
        <f>IF(D_ETS1Amounts!J362="","",D_ETS1Amounts!J362)</f>
        <v/>
      </c>
      <c r="J113" s="739" t="str">
        <f>IF(D_ETS1Amounts!L362="","",D_ETS1Amounts!L362)</f>
        <v/>
      </c>
      <c r="K113" s="739" t="str">
        <f>IF(D_ETS1Amounts!M362="","",D_ETS1Amounts!M362)</f>
        <v/>
      </c>
      <c r="L113" s="739" t="str">
        <f>IF(D_ETS1Amounts!T362="","",D_ETS1Amounts!T362)</f>
        <v/>
      </c>
      <c r="M113" s="681"/>
    </row>
    <row r="114" spans="1:13" hidden="1" x14ac:dyDescent="0.25">
      <c r="A114" s="674" t="s">
        <v>0</v>
      </c>
      <c r="B114" s="679"/>
      <c r="D114" s="496">
        <v>77</v>
      </c>
      <c r="E114" s="1436" t="str">
        <f>IF(D_ETS1Amounts!E363="","",D_ETS1Amounts!E363)</f>
        <v/>
      </c>
      <c r="F114" s="1436"/>
      <c r="G114" s="736" t="str">
        <f>IF(D_ETS1Amounts!F363="","",D_ETS1Amounts!F363)</f>
        <v/>
      </c>
      <c r="H114" s="737" t="str">
        <f>IF(D_ETS1Amounts!H363="","",D_ETS1Amounts!H363)</f>
        <v/>
      </c>
      <c r="I114" s="738" t="str">
        <f>IF(D_ETS1Amounts!J363="","",D_ETS1Amounts!J363)</f>
        <v/>
      </c>
      <c r="J114" s="739" t="str">
        <f>IF(D_ETS1Amounts!L363="","",D_ETS1Amounts!L363)</f>
        <v/>
      </c>
      <c r="K114" s="739" t="str">
        <f>IF(D_ETS1Amounts!M363="","",D_ETS1Amounts!M363)</f>
        <v/>
      </c>
      <c r="L114" s="739" t="str">
        <f>IF(D_ETS1Amounts!T363="","",D_ETS1Amounts!T363)</f>
        <v/>
      </c>
      <c r="M114" s="681"/>
    </row>
    <row r="115" spans="1:13" hidden="1" x14ac:dyDescent="0.25">
      <c r="A115" s="674" t="s">
        <v>0</v>
      </c>
      <c r="B115" s="679"/>
      <c r="D115" s="496">
        <v>78</v>
      </c>
      <c r="E115" s="1436" t="str">
        <f>IF(D_ETS1Amounts!E364="","",D_ETS1Amounts!E364)</f>
        <v/>
      </c>
      <c r="F115" s="1436"/>
      <c r="G115" s="736" t="str">
        <f>IF(D_ETS1Amounts!F364="","",D_ETS1Amounts!F364)</f>
        <v/>
      </c>
      <c r="H115" s="737" t="str">
        <f>IF(D_ETS1Amounts!H364="","",D_ETS1Amounts!H364)</f>
        <v/>
      </c>
      <c r="I115" s="738" t="str">
        <f>IF(D_ETS1Amounts!J364="","",D_ETS1Amounts!J364)</f>
        <v/>
      </c>
      <c r="J115" s="739" t="str">
        <f>IF(D_ETS1Amounts!L364="","",D_ETS1Amounts!L364)</f>
        <v/>
      </c>
      <c r="K115" s="739" t="str">
        <f>IF(D_ETS1Amounts!M364="","",D_ETS1Amounts!M364)</f>
        <v/>
      </c>
      <c r="L115" s="739" t="str">
        <f>IF(D_ETS1Amounts!T364="","",D_ETS1Amounts!T364)</f>
        <v/>
      </c>
      <c r="M115" s="681"/>
    </row>
    <row r="116" spans="1:13" hidden="1" x14ac:dyDescent="0.25">
      <c r="A116" s="674" t="s">
        <v>0</v>
      </c>
      <c r="B116" s="679"/>
      <c r="D116" s="496">
        <v>79</v>
      </c>
      <c r="E116" s="1436" t="str">
        <f>IF(D_ETS1Amounts!E365="","",D_ETS1Amounts!E365)</f>
        <v/>
      </c>
      <c r="F116" s="1436"/>
      <c r="G116" s="736" t="str">
        <f>IF(D_ETS1Amounts!F365="","",D_ETS1Amounts!F365)</f>
        <v/>
      </c>
      <c r="H116" s="737" t="str">
        <f>IF(D_ETS1Amounts!H365="","",D_ETS1Amounts!H365)</f>
        <v/>
      </c>
      <c r="I116" s="738" t="str">
        <f>IF(D_ETS1Amounts!J365="","",D_ETS1Amounts!J365)</f>
        <v/>
      </c>
      <c r="J116" s="739" t="str">
        <f>IF(D_ETS1Amounts!L365="","",D_ETS1Amounts!L365)</f>
        <v/>
      </c>
      <c r="K116" s="739" t="str">
        <f>IF(D_ETS1Amounts!M365="","",D_ETS1Amounts!M365)</f>
        <v/>
      </c>
      <c r="L116" s="739" t="str">
        <f>IF(D_ETS1Amounts!T365="","",D_ETS1Amounts!T365)</f>
        <v/>
      </c>
      <c r="M116" s="681"/>
    </row>
    <row r="117" spans="1:13" hidden="1" x14ac:dyDescent="0.25">
      <c r="A117" s="674" t="s">
        <v>0</v>
      </c>
      <c r="B117" s="679"/>
      <c r="D117" s="496">
        <v>80</v>
      </c>
      <c r="E117" s="1436" t="str">
        <f>IF(D_ETS1Amounts!E366="","",D_ETS1Amounts!E366)</f>
        <v/>
      </c>
      <c r="F117" s="1436"/>
      <c r="G117" s="736" t="str">
        <f>IF(D_ETS1Amounts!F366="","",D_ETS1Amounts!F366)</f>
        <v/>
      </c>
      <c r="H117" s="737" t="str">
        <f>IF(D_ETS1Amounts!H366="","",D_ETS1Amounts!H366)</f>
        <v/>
      </c>
      <c r="I117" s="738" t="str">
        <f>IF(D_ETS1Amounts!J366="","",D_ETS1Amounts!J366)</f>
        <v/>
      </c>
      <c r="J117" s="739" t="str">
        <f>IF(D_ETS1Amounts!L366="","",D_ETS1Amounts!L366)</f>
        <v/>
      </c>
      <c r="K117" s="739" t="str">
        <f>IF(D_ETS1Amounts!M366="","",D_ETS1Amounts!M366)</f>
        <v/>
      </c>
      <c r="L117" s="739" t="str">
        <f>IF(D_ETS1Amounts!T366="","",D_ETS1Amounts!T366)</f>
        <v/>
      </c>
      <c r="M117" s="681"/>
    </row>
    <row r="118" spans="1:13" hidden="1" x14ac:dyDescent="0.25">
      <c r="A118" s="674" t="s">
        <v>0</v>
      </c>
      <c r="B118" s="679"/>
      <c r="D118" s="496">
        <v>81</v>
      </c>
      <c r="E118" s="1436" t="str">
        <f>IF(D_ETS1Amounts!E367="","",D_ETS1Amounts!E367)</f>
        <v/>
      </c>
      <c r="F118" s="1436"/>
      <c r="G118" s="736" t="str">
        <f>IF(D_ETS1Amounts!F367="","",D_ETS1Amounts!F367)</f>
        <v/>
      </c>
      <c r="H118" s="737" t="str">
        <f>IF(D_ETS1Amounts!H367="","",D_ETS1Amounts!H367)</f>
        <v/>
      </c>
      <c r="I118" s="738" t="str">
        <f>IF(D_ETS1Amounts!J367="","",D_ETS1Amounts!J367)</f>
        <v/>
      </c>
      <c r="J118" s="739" t="str">
        <f>IF(D_ETS1Amounts!L367="","",D_ETS1Amounts!L367)</f>
        <v/>
      </c>
      <c r="K118" s="739" t="str">
        <f>IF(D_ETS1Amounts!M367="","",D_ETS1Amounts!M367)</f>
        <v/>
      </c>
      <c r="L118" s="739" t="str">
        <f>IF(D_ETS1Amounts!T367="","",D_ETS1Amounts!T367)</f>
        <v/>
      </c>
      <c r="M118" s="681"/>
    </row>
    <row r="119" spans="1:13" hidden="1" x14ac:dyDescent="0.25">
      <c r="A119" s="674" t="s">
        <v>0</v>
      </c>
      <c r="B119" s="679"/>
      <c r="D119" s="496">
        <v>82</v>
      </c>
      <c r="E119" s="1436" t="str">
        <f>IF(D_ETS1Amounts!E368="","",D_ETS1Amounts!E368)</f>
        <v/>
      </c>
      <c r="F119" s="1436"/>
      <c r="G119" s="736" t="str">
        <f>IF(D_ETS1Amounts!F368="","",D_ETS1Amounts!F368)</f>
        <v/>
      </c>
      <c r="H119" s="737" t="str">
        <f>IF(D_ETS1Amounts!H368="","",D_ETS1Amounts!H368)</f>
        <v/>
      </c>
      <c r="I119" s="738" t="str">
        <f>IF(D_ETS1Amounts!J368="","",D_ETS1Amounts!J368)</f>
        <v/>
      </c>
      <c r="J119" s="739" t="str">
        <f>IF(D_ETS1Amounts!L368="","",D_ETS1Amounts!L368)</f>
        <v/>
      </c>
      <c r="K119" s="739" t="str">
        <f>IF(D_ETS1Amounts!M368="","",D_ETS1Amounts!M368)</f>
        <v/>
      </c>
      <c r="L119" s="739" t="str">
        <f>IF(D_ETS1Amounts!T368="","",D_ETS1Amounts!T368)</f>
        <v/>
      </c>
      <c r="M119" s="681"/>
    </row>
    <row r="120" spans="1:13" hidden="1" x14ac:dyDescent="0.25">
      <c r="A120" s="674" t="s">
        <v>0</v>
      </c>
      <c r="B120" s="679"/>
      <c r="D120" s="496">
        <v>83</v>
      </c>
      <c r="E120" s="1436" t="str">
        <f>IF(D_ETS1Amounts!E369="","",D_ETS1Amounts!E369)</f>
        <v/>
      </c>
      <c r="F120" s="1436"/>
      <c r="G120" s="736" t="str">
        <f>IF(D_ETS1Amounts!F369="","",D_ETS1Amounts!F369)</f>
        <v/>
      </c>
      <c r="H120" s="737" t="str">
        <f>IF(D_ETS1Amounts!H369="","",D_ETS1Amounts!H369)</f>
        <v/>
      </c>
      <c r="I120" s="738" t="str">
        <f>IF(D_ETS1Amounts!J369="","",D_ETS1Amounts!J369)</f>
        <v/>
      </c>
      <c r="J120" s="739" t="str">
        <f>IF(D_ETS1Amounts!L369="","",D_ETS1Amounts!L369)</f>
        <v/>
      </c>
      <c r="K120" s="739" t="str">
        <f>IF(D_ETS1Amounts!M369="","",D_ETS1Amounts!M369)</f>
        <v/>
      </c>
      <c r="L120" s="739" t="str">
        <f>IF(D_ETS1Amounts!T369="","",D_ETS1Amounts!T369)</f>
        <v/>
      </c>
      <c r="M120" s="681"/>
    </row>
    <row r="121" spans="1:13" hidden="1" x14ac:dyDescent="0.25">
      <c r="A121" s="674" t="s">
        <v>0</v>
      </c>
      <c r="B121" s="679"/>
      <c r="D121" s="496">
        <v>84</v>
      </c>
      <c r="E121" s="1436" t="str">
        <f>IF(D_ETS1Amounts!E370="","",D_ETS1Amounts!E370)</f>
        <v/>
      </c>
      <c r="F121" s="1436"/>
      <c r="G121" s="736" t="str">
        <f>IF(D_ETS1Amounts!F370="","",D_ETS1Amounts!F370)</f>
        <v/>
      </c>
      <c r="H121" s="737" t="str">
        <f>IF(D_ETS1Amounts!H370="","",D_ETS1Amounts!H370)</f>
        <v/>
      </c>
      <c r="I121" s="738" t="str">
        <f>IF(D_ETS1Amounts!J370="","",D_ETS1Amounts!J370)</f>
        <v/>
      </c>
      <c r="J121" s="739" t="str">
        <f>IF(D_ETS1Amounts!L370="","",D_ETS1Amounts!L370)</f>
        <v/>
      </c>
      <c r="K121" s="739" t="str">
        <f>IF(D_ETS1Amounts!M370="","",D_ETS1Amounts!M370)</f>
        <v/>
      </c>
      <c r="L121" s="739" t="str">
        <f>IF(D_ETS1Amounts!T370="","",D_ETS1Amounts!T370)</f>
        <v/>
      </c>
      <c r="M121" s="681"/>
    </row>
    <row r="122" spans="1:13" hidden="1" x14ac:dyDescent="0.25">
      <c r="A122" s="674" t="s">
        <v>0</v>
      </c>
      <c r="B122" s="679"/>
      <c r="D122" s="496">
        <v>85</v>
      </c>
      <c r="E122" s="1436" t="str">
        <f>IF(D_ETS1Amounts!E371="","",D_ETS1Amounts!E371)</f>
        <v/>
      </c>
      <c r="F122" s="1436"/>
      <c r="G122" s="736" t="str">
        <f>IF(D_ETS1Amounts!F371="","",D_ETS1Amounts!F371)</f>
        <v/>
      </c>
      <c r="H122" s="737" t="str">
        <f>IF(D_ETS1Amounts!H371="","",D_ETS1Amounts!H371)</f>
        <v/>
      </c>
      <c r="I122" s="738" t="str">
        <f>IF(D_ETS1Amounts!J371="","",D_ETS1Amounts!J371)</f>
        <v/>
      </c>
      <c r="J122" s="739" t="str">
        <f>IF(D_ETS1Amounts!L371="","",D_ETS1Amounts!L371)</f>
        <v/>
      </c>
      <c r="K122" s="739" t="str">
        <f>IF(D_ETS1Amounts!M371="","",D_ETS1Amounts!M371)</f>
        <v/>
      </c>
      <c r="L122" s="739" t="str">
        <f>IF(D_ETS1Amounts!T371="","",D_ETS1Amounts!T371)</f>
        <v/>
      </c>
      <c r="M122" s="681"/>
    </row>
    <row r="123" spans="1:13" hidden="1" x14ac:dyDescent="0.25">
      <c r="A123" s="674" t="s">
        <v>0</v>
      </c>
      <c r="B123" s="679"/>
      <c r="D123" s="496">
        <v>86</v>
      </c>
      <c r="E123" s="1436" t="str">
        <f>IF(D_ETS1Amounts!E372="","",D_ETS1Amounts!E372)</f>
        <v/>
      </c>
      <c r="F123" s="1436"/>
      <c r="G123" s="736" t="str">
        <f>IF(D_ETS1Amounts!F372="","",D_ETS1Amounts!F372)</f>
        <v/>
      </c>
      <c r="H123" s="737" t="str">
        <f>IF(D_ETS1Amounts!H372="","",D_ETS1Amounts!H372)</f>
        <v/>
      </c>
      <c r="I123" s="738" t="str">
        <f>IF(D_ETS1Amounts!J372="","",D_ETS1Amounts!J372)</f>
        <v/>
      </c>
      <c r="J123" s="739" t="str">
        <f>IF(D_ETS1Amounts!L372="","",D_ETS1Amounts!L372)</f>
        <v/>
      </c>
      <c r="K123" s="739" t="str">
        <f>IF(D_ETS1Amounts!M372="","",D_ETS1Amounts!M372)</f>
        <v/>
      </c>
      <c r="L123" s="739" t="str">
        <f>IF(D_ETS1Amounts!T372="","",D_ETS1Amounts!T372)</f>
        <v/>
      </c>
      <c r="M123" s="681"/>
    </row>
    <row r="124" spans="1:13" hidden="1" x14ac:dyDescent="0.25">
      <c r="A124" s="674" t="s">
        <v>0</v>
      </c>
      <c r="B124" s="679"/>
      <c r="D124" s="496">
        <v>87</v>
      </c>
      <c r="E124" s="1436" t="str">
        <f>IF(D_ETS1Amounts!E373="","",D_ETS1Amounts!E373)</f>
        <v/>
      </c>
      <c r="F124" s="1436"/>
      <c r="G124" s="736" t="str">
        <f>IF(D_ETS1Amounts!F373="","",D_ETS1Amounts!F373)</f>
        <v/>
      </c>
      <c r="H124" s="737" t="str">
        <f>IF(D_ETS1Amounts!H373="","",D_ETS1Amounts!H373)</f>
        <v/>
      </c>
      <c r="I124" s="738" t="str">
        <f>IF(D_ETS1Amounts!J373="","",D_ETS1Amounts!J373)</f>
        <v/>
      </c>
      <c r="J124" s="739" t="str">
        <f>IF(D_ETS1Amounts!L373="","",D_ETS1Amounts!L373)</f>
        <v/>
      </c>
      <c r="K124" s="739" t="str">
        <f>IF(D_ETS1Amounts!M373="","",D_ETS1Amounts!M373)</f>
        <v/>
      </c>
      <c r="L124" s="739" t="str">
        <f>IF(D_ETS1Amounts!T373="","",D_ETS1Amounts!T373)</f>
        <v/>
      </c>
      <c r="M124" s="681"/>
    </row>
    <row r="125" spans="1:13" hidden="1" x14ac:dyDescent="0.25">
      <c r="A125" s="674" t="s">
        <v>0</v>
      </c>
      <c r="B125" s="679"/>
      <c r="D125" s="496">
        <v>88</v>
      </c>
      <c r="E125" s="1436" t="str">
        <f>IF(D_ETS1Amounts!E374="","",D_ETS1Amounts!E374)</f>
        <v/>
      </c>
      <c r="F125" s="1436"/>
      <c r="G125" s="736" t="str">
        <f>IF(D_ETS1Amounts!F374="","",D_ETS1Amounts!F374)</f>
        <v/>
      </c>
      <c r="H125" s="737" t="str">
        <f>IF(D_ETS1Amounts!H374="","",D_ETS1Amounts!H374)</f>
        <v/>
      </c>
      <c r="I125" s="738" t="str">
        <f>IF(D_ETS1Amounts!J374="","",D_ETS1Amounts!J374)</f>
        <v/>
      </c>
      <c r="J125" s="739" t="str">
        <f>IF(D_ETS1Amounts!L374="","",D_ETS1Amounts!L374)</f>
        <v/>
      </c>
      <c r="K125" s="739" t="str">
        <f>IF(D_ETS1Amounts!M374="","",D_ETS1Amounts!M374)</f>
        <v/>
      </c>
      <c r="L125" s="739" t="str">
        <f>IF(D_ETS1Amounts!T374="","",D_ETS1Amounts!T374)</f>
        <v/>
      </c>
      <c r="M125" s="681"/>
    </row>
    <row r="126" spans="1:13" hidden="1" x14ac:dyDescent="0.25">
      <c r="A126" s="674" t="s">
        <v>0</v>
      </c>
      <c r="B126" s="679"/>
      <c r="D126" s="496">
        <v>89</v>
      </c>
      <c r="E126" s="1436" t="str">
        <f>IF(D_ETS1Amounts!E375="","",D_ETS1Amounts!E375)</f>
        <v/>
      </c>
      <c r="F126" s="1436"/>
      <c r="G126" s="736" t="str">
        <f>IF(D_ETS1Amounts!F375="","",D_ETS1Amounts!F375)</f>
        <v/>
      </c>
      <c r="H126" s="737" t="str">
        <f>IF(D_ETS1Amounts!H375="","",D_ETS1Amounts!H375)</f>
        <v/>
      </c>
      <c r="I126" s="738" t="str">
        <f>IF(D_ETS1Amounts!J375="","",D_ETS1Amounts!J375)</f>
        <v/>
      </c>
      <c r="J126" s="739" t="str">
        <f>IF(D_ETS1Amounts!L375="","",D_ETS1Amounts!L375)</f>
        <v/>
      </c>
      <c r="K126" s="739" t="str">
        <f>IF(D_ETS1Amounts!M375="","",D_ETS1Amounts!M375)</f>
        <v/>
      </c>
      <c r="L126" s="739" t="str">
        <f>IF(D_ETS1Amounts!T375="","",D_ETS1Amounts!T375)</f>
        <v/>
      </c>
      <c r="M126" s="681"/>
    </row>
    <row r="127" spans="1:13" hidden="1" x14ac:dyDescent="0.25">
      <c r="A127" s="674" t="s">
        <v>0</v>
      </c>
      <c r="B127" s="679"/>
      <c r="D127" s="496">
        <v>90</v>
      </c>
      <c r="E127" s="1436" t="str">
        <f>IF(D_ETS1Amounts!E376="","",D_ETS1Amounts!E376)</f>
        <v/>
      </c>
      <c r="F127" s="1436"/>
      <c r="G127" s="736" t="str">
        <f>IF(D_ETS1Amounts!F376="","",D_ETS1Amounts!F376)</f>
        <v/>
      </c>
      <c r="H127" s="737" t="str">
        <f>IF(D_ETS1Amounts!H376="","",D_ETS1Amounts!H376)</f>
        <v/>
      </c>
      <c r="I127" s="738" t="str">
        <f>IF(D_ETS1Amounts!J376="","",D_ETS1Amounts!J376)</f>
        <v/>
      </c>
      <c r="J127" s="739" t="str">
        <f>IF(D_ETS1Amounts!L376="","",D_ETS1Amounts!L376)</f>
        <v/>
      </c>
      <c r="K127" s="739" t="str">
        <f>IF(D_ETS1Amounts!M376="","",D_ETS1Amounts!M376)</f>
        <v/>
      </c>
      <c r="L127" s="739" t="str">
        <f>IF(D_ETS1Amounts!T376="","",D_ETS1Amounts!T376)</f>
        <v/>
      </c>
      <c r="M127" s="681"/>
    </row>
    <row r="128" spans="1:13" hidden="1" x14ac:dyDescent="0.25">
      <c r="A128" s="674" t="s">
        <v>0</v>
      </c>
      <c r="B128" s="679"/>
      <c r="D128" s="496">
        <v>91</v>
      </c>
      <c r="E128" s="1436" t="str">
        <f>IF(D_ETS1Amounts!E377="","",D_ETS1Amounts!E377)</f>
        <v/>
      </c>
      <c r="F128" s="1436"/>
      <c r="G128" s="736" t="str">
        <f>IF(D_ETS1Amounts!F377="","",D_ETS1Amounts!F377)</f>
        <v/>
      </c>
      <c r="H128" s="737" t="str">
        <f>IF(D_ETS1Amounts!H377="","",D_ETS1Amounts!H377)</f>
        <v/>
      </c>
      <c r="I128" s="738" t="str">
        <f>IF(D_ETS1Amounts!J377="","",D_ETS1Amounts!J377)</f>
        <v/>
      </c>
      <c r="J128" s="739" t="str">
        <f>IF(D_ETS1Amounts!L377="","",D_ETS1Amounts!L377)</f>
        <v/>
      </c>
      <c r="K128" s="739" t="str">
        <f>IF(D_ETS1Amounts!M377="","",D_ETS1Amounts!M377)</f>
        <v/>
      </c>
      <c r="L128" s="739" t="str">
        <f>IF(D_ETS1Amounts!T377="","",D_ETS1Amounts!T377)</f>
        <v/>
      </c>
      <c r="M128" s="681"/>
    </row>
    <row r="129" spans="1:13" hidden="1" x14ac:dyDescent="0.25">
      <c r="A129" s="674" t="s">
        <v>0</v>
      </c>
      <c r="B129" s="679"/>
      <c r="D129" s="496">
        <v>92</v>
      </c>
      <c r="E129" s="1436" t="str">
        <f>IF(D_ETS1Amounts!E378="","",D_ETS1Amounts!E378)</f>
        <v/>
      </c>
      <c r="F129" s="1436"/>
      <c r="G129" s="736" t="str">
        <f>IF(D_ETS1Amounts!F378="","",D_ETS1Amounts!F378)</f>
        <v/>
      </c>
      <c r="H129" s="737" t="str">
        <f>IF(D_ETS1Amounts!H378="","",D_ETS1Amounts!H378)</f>
        <v/>
      </c>
      <c r="I129" s="738" t="str">
        <f>IF(D_ETS1Amounts!J378="","",D_ETS1Amounts!J378)</f>
        <v/>
      </c>
      <c r="J129" s="739" t="str">
        <f>IF(D_ETS1Amounts!L378="","",D_ETS1Amounts!L378)</f>
        <v/>
      </c>
      <c r="K129" s="739" t="str">
        <f>IF(D_ETS1Amounts!M378="","",D_ETS1Amounts!M378)</f>
        <v/>
      </c>
      <c r="L129" s="739" t="str">
        <f>IF(D_ETS1Amounts!T378="","",D_ETS1Amounts!T378)</f>
        <v/>
      </c>
      <c r="M129" s="681"/>
    </row>
    <row r="130" spans="1:13" hidden="1" x14ac:dyDescent="0.25">
      <c r="A130" s="674" t="s">
        <v>0</v>
      </c>
      <c r="B130" s="679"/>
      <c r="D130" s="496">
        <v>93</v>
      </c>
      <c r="E130" s="1436" t="str">
        <f>IF(D_ETS1Amounts!E379="","",D_ETS1Amounts!E379)</f>
        <v/>
      </c>
      <c r="F130" s="1436"/>
      <c r="G130" s="736" t="str">
        <f>IF(D_ETS1Amounts!F379="","",D_ETS1Amounts!F379)</f>
        <v/>
      </c>
      <c r="H130" s="737" t="str">
        <f>IF(D_ETS1Amounts!H379="","",D_ETS1Amounts!H379)</f>
        <v/>
      </c>
      <c r="I130" s="738" t="str">
        <f>IF(D_ETS1Amounts!J379="","",D_ETS1Amounts!J379)</f>
        <v/>
      </c>
      <c r="J130" s="739" t="str">
        <f>IF(D_ETS1Amounts!L379="","",D_ETS1Amounts!L379)</f>
        <v/>
      </c>
      <c r="K130" s="739" t="str">
        <f>IF(D_ETS1Amounts!M379="","",D_ETS1Amounts!M379)</f>
        <v/>
      </c>
      <c r="L130" s="739" t="str">
        <f>IF(D_ETS1Amounts!T379="","",D_ETS1Amounts!T379)</f>
        <v/>
      </c>
      <c r="M130" s="681"/>
    </row>
    <row r="131" spans="1:13" hidden="1" x14ac:dyDescent="0.25">
      <c r="A131" s="674" t="s">
        <v>0</v>
      </c>
      <c r="B131" s="679"/>
      <c r="D131" s="496">
        <v>94</v>
      </c>
      <c r="E131" s="1436" t="str">
        <f>IF(D_ETS1Amounts!E380="","",D_ETS1Amounts!E380)</f>
        <v/>
      </c>
      <c r="F131" s="1436"/>
      <c r="G131" s="736" t="str">
        <f>IF(D_ETS1Amounts!F380="","",D_ETS1Amounts!F380)</f>
        <v/>
      </c>
      <c r="H131" s="737" t="str">
        <f>IF(D_ETS1Amounts!H380="","",D_ETS1Amounts!H380)</f>
        <v/>
      </c>
      <c r="I131" s="738" t="str">
        <f>IF(D_ETS1Amounts!J380="","",D_ETS1Amounts!J380)</f>
        <v/>
      </c>
      <c r="J131" s="739" t="str">
        <f>IF(D_ETS1Amounts!L380="","",D_ETS1Amounts!L380)</f>
        <v/>
      </c>
      <c r="K131" s="739" t="str">
        <f>IF(D_ETS1Amounts!M380="","",D_ETS1Amounts!M380)</f>
        <v/>
      </c>
      <c r="L131" s="739" t="str">
        <f>IF(D_ETS1Amounts!T380="","",D_ETS1Amounts!T380)</f>
        <v/>
      </c>
      <c r="M131" s="681"/>
    </row>
    <row r="132" spans="1:13" hidden="1" x14ac:dyDescent="0.25">
      <c r="A132" s="674" t="s">
        <v>0</v>
      </c>
      <c r="B132" s="679"/>
      <c r="D132" s="496">
        <v>95</v>
      </c>
      <c r="E132" s="1436" t="str">
        <f>IF(D_ETS1Amounts!E381="","",D_ETS1Amounts!E381)</f>
        <v/>
      </c>
      <c r="F132" s="1436"/>
      <c r="G132" s="736" t="str">
        <f>IF(D_ETS1Amounts!F381="","",D_ETS1Amounts!F381)</f>
        <v/>
      </c>
      <c r="H132" s="737" t="str">
        <f>IF(D_ETS1Amounts!H381="","",D_ETS1Amounts!H381)</f>
        <v/>
      </c>
      <c r="I132" s="738" t="str">
        <f>IF(D_ETS1Amounts!J381="","",D_ETS1Amounts!J381)</f>
        <v/>
      </c>
      <c r="J132" s="739" t="str">
        <f>IF(D_ETS1Amounts!L381="","",D_ETS1Amounts!L381)</f>
        <v/>
      </c>
      <c r="K132" s="739" t="str">
        <f>IF(D_ETS1Amounts!M381="","",D_ETS1Amounts!M381)</f>
        <v/>
      </c>
      <c r="L132" s="739" t="str">
        <f>IF(D_ETS1Amounts!T381="","",D_ETS1Amounts!T381)</f>
        <v/>
      </c>
      <c r="M132" s="681"/>
    </row>
    <row r="133" spans="1:13" hidden="1" x14ac:dyDescent="0.25">
      <c r="A133" s="674" t="s">
        <v>0</v>
      </c>
      <c r="B133" s="679"/>
      <c r="D133" s="496">
        <v>96</v>
      </c>
      <c r="E133" s="1436" t="str">
        <f>IF(D_ETS1Amounts!E382="","",D_ETS1Amounts!E382)</f>
        <v/>
      </c>
      <c r="F133" s="1436"/>
      <c r="G133" s="736" t="str">
        <f>IF(D_ETS1Amounts!F382="","",D_ETS1Amounts!F382)</f>
        <v/>
      </c>
      <c r="H133" s="737" t="str">
        <f>IF(D_ETS1Amounts!H382="","",D_ETS1Amounts!H382)</f>
        <v/>
      </c>
      <c r="I133" s="738" t="str">
        <f>IF(D_ETS1Amounts!J382="","",D_ETS1Amounts!J382)</f>
        <v/>
      </c>
      <c r="J133" s="739" t="str">
        <f>IF(D_ETS1Amounts!L382="","",D_ETS1Amounts!L382)</f>
        <v/>
      </c>
      <c r="K133" s="739" t="str">
        <f>IF(D_ETS1Amounts!M382="","",D_ETS1Amounts!M382)</f>
        <v/>
      </c>
      <c r="L133" s="739" t="str">
        <f>IF(D_ETS1Amounts!T382="","",D_ETS1Amounts!T382)</f>
        <v/>
      </c>
      <c r="M133" s="681"/>
    </row>
    <row r="134" spans="1:13" hidden="1" x14ac:dyDescent="0.25">
      <c r="A134" s="674" t="s">
        <v>0</v>
      </c>
      <c r="B134" s="679"/>
      <c r="D134" s="496">
        <v>97</v>
      </c>
      <c r="E134" s="1436" t="str">
        <f>IF(D_ETS1Amounts!E383="","",D_ETS1Amounts!E383)</f>
        <v/>
      </c>
      <c r="F134" s="1436"/>
      <c r="G134" s="736" t="str">
        <f>IF(D_ETS1Amounts!F383="","",D_ETS1Amounts!F383)</f>
        <v/>
      </c>
      <c r="H134" s="737" t="str">
        <f>IF(D_ETS1Amounts!H383="","",D_ETS1Amounts!H383)</f>
        <v/>
      </c>
      <c r="I134" s="738" t="str">
        <f>IF(D_ETS1Amounts!J383="","",D_ETS1Amounts!J383)</f>
        <v/>
      </c>
      <c r="J134" s="739" t="str">
        <f>IF(D_ETS1Amounts!L383="","",D_ETS1Amounts!L383)</f>
        <v/>
      </c>
      <c r="K134" s="739" t="str">
        <f>IF(D_ETS1Amounts!M383="","",D_ETS1Amounts!M383)</f>
        <v/>
      </c>
      <c r="L134" s="739" t="str">
        <f>IF(D_ETS1Amounts!T383="","",D_ETS1Amounts!T383)</f>
        <v/>
      </c>
      <c r="M134" s="681"/>
    </row>
    <row r="135" spans="1:13" hidden="1" x14ac:dyDescent="0.25">
      <c r="A135" s="674" t="s">
        <v>0</v>
      </c>
      <c r="B135" s="679"/>
      <c r="D135" s="496">
        <v>98</v>
      </c>
      <c r="E135" s="1436" t="str">
        <f>IF(D_ETS1Amounts!E384="","",D_ETS1Amounts!E384)</f>
        <v/>
      </c>
      <c r="F135" s="1436"/>
      <c r="G135" s="736" t="str">
        <f>IF(D_ETS1Amounts!F384="","",D_ETS1Amounts!F384)</f>
        <v/>
      </c>
      <c r="H135" s="737" t="str">
        <f>IF(D_ETS1Amounts!H384="","",D_ETS1Amounts!H384)</f>
        <v/>
      </c>
      <c r="I135" s="738" t="str">
        <f>IF(D_ETS1Amounts!J384="","",D_ETS1Amounts!J384)</f>
        <v/>
      </c>
      <c r="J135" s="739" t="str">
        <f>IF(D_ETS1Amounts!L384="","",D_ETS1Amounts!L384)</f>
        <v/>
      </c>
      <c r="K135" s="739" t="str">
        <f>IF(D_ETS1Amounts!M384="","",D_ETS1Amounts!M384)</f>
        <v/>
      </c>
      <c r="L135" s="739" t="str">
        <f>IF(D_ETS1Amounts!T384="","",D_ETS1Amounts!T384)</f>
        <v/>
      </c>
      <c r="M135" s="681"/>
    </row>
    <row r="136" spans="1:13" hidden="1" x14ac:dyDescent="0.25">
      <c r="A136" s="674" t="s">
        <v>0</v>
      </c>
      <c r="B136" s="679"/>
      <c r="D136" s="496">
        <v>99</v>
      </c>
      <c r="E136" s="1436" t="str">
        <f>IF(D_ETS1Amounts!E385="","",D_ETS1Amounts!E385)</f>
        <v/>
      </c>
      <c r="F136" s="1436"/>
      <c r="G136" s="736" t="str">
        <f>IF(D_ETS1Amounts!F385="","",D_ETS1Amounts!F385)</f>
        <v/>
      </c>
      <c r="H136" s="737" t="str">
        <f>IF(D_ETS1Amounts!H385="","",D_ETS1Amounts!H385)</f>
        <v/>
      </c>
      <c r="I136" s="738" t="str">
        <f>IF(D_ETS1Amounts!J385="","",D_ETS1Amounts!J385)</f>
        <v/>
      </c>
      <c r="J136" s="739" t="str">
        <f>IF(D_ETS1Amounts!L385="","",D_ETS1Amounts!L385)</f>
        <v/>
      </c>
      <c r="K136" s="739" t="str">
        <f>IF(D_ETS1Amounts!M385="","",D_ETS1Amounts!M385)</f>
        <v/>
      </c>
      <c r="L136" s="739" t="str">
        <f>IF(D_ETS1Amounts!T385="","",D_ETS1Amounts!T385)</f>
        <v/>
      </c>
      <c r="M136" s="681"/>
    </row>
    <row r="137" spans="1:13" hidden="1" x14ac:dyDescent="0.25">
      <c r="A137" s="674" t="s">
        <v>0</v>
      </c>
      <c r="B137" s="679"/>
      <c r="D137" s="496">
        <v>100</v>
      </c>
      <c r="E137" s="1436" t="str">
        <f>IF(D_ETS1Amounts!E386="","",D_ETS1Amounts!E386)</f>
        <v/>
      </c>
      <c r="F137" s="1436"/>
      <c r="G137" s="736" t="str">
        <f>IF(D_ETS1Amounts!F386="","",D_ETS1Amounts!F386)</f>
        <v/>
      </c>
      <c r="H137" s="737" t="str">
        <f>IF(D_ETS1Amounts!H386="","",D_ETS1Amounts!H386)</f>
        <v/>
      </c>
      <c r="I137" s="738" t="str">
        <f>IF(D_ETS1Amounts!J386="","",D_ETS1Amounts!J386)</f>
        <v/>
      </c>
      <c r="J137" s="739" t="str">
        <f>IF(D_ETS1Amounts!L386="","",D_ETS1Amounts!L386)</f>
        <v/>
      </c>
      <c r="K137" s="739" t="str">
        <f>IF(D_ETS1Amounts!M386="","",D_ETS1Amounts!M386)</f>
        <v/>
      </c>
      <c r="L137" s="739" t="str">
        <f>IF(D_ETS1Amounts!T386="","",D_ETS1Amounts!T386)</f>
        <v/>
      </c>
      <c r="M137" s="681"/>
    </row>
    <row r="138" spans="1:13" hidden="1" x14ac:dyDescent="0.25">
      <c r="A138" s="674" t="s">
        <v>0</v>
      </c>
      <c r="B138" s="679"/>
      <c r="D138" s="496">
        <v>101</v>
      </c>
      <c r="E138" s="1436" t="str">
        <f>IF(D_ETS1Amounts!E387="","",D_ETS1Amounts!E387)</f>
        <v/>
      </c>
      <c r="F138" s="1436"/>
      <c r="G138" s="736" t="str">
        <f>IF(D_ETS1Amounts!F387="","",D_ETS1Amounts!F387)</f>
        <v/>
      </c>
      <c r="H138" s="737" t="str">
        <f>IF(D_ETS1Amounts!H387="","",D_ETS1Amounts!H387)</f>
        <v/>
      </c>
      <c r="I138" s="738" t="str">
        <f>IF(D_ETS1Amounts!J387="","",D_ETS1Amounts!J387)</f>
        <v/>
      </c>
      <c r="J138" s="739" t="str">
        <f>IF(D_ETS1Amounts!L387="","",D_ETS1Amounts!L387)</f>
        <v/>
      </c>
      <c r="K138" s="739" t="str">
        <f>IF(D_ETS1Amounts!M387="","",D_ETS1Amounts!M387)</f>
        <v/>
      </c>
      <c r="L138" s="739" t="str">
        <f>IF(D_ETS1Amounts!T387="","",D_ETS1Amounts!T387)</f>
        <v/>
      </c>
      <c r="M138" s="681"/>
    </row>
    <row r="139" spans="1:13" hidden="1" x14ac:dyDescent="0.25">
      <c r="A139" s="674" t="s">
        <v>0</v>
      </c>
      <c r="B139" s="679"/>
      <c r="D139" s="496">
        <v>102</v>
      </c>
      <c r="E139" s="1436" t="str">
        <f>IF(D_ETS1Amounts!E388="","",D_ETS1Amounts!E388)</f>
        <v/>
      </c>
      <c r="F139" s="1436"/>
      <c r="G139" s="736" t="str">
        <f>IF(D_ETS1Amounts!F388="","",D_ETS1Amounts!F388)</f>
        <v/>
      </c>
      <c r="H139" s="737" t="str">
        <f>IF(D_ETS1Amounts!H388="","",D_ETS1Amounts!H388)</f>
        <v/>
      </c>
      <c r="I139" s="738" t="str">
        <f>IF(D_ETS1Amounts!J388="","",D_ETS1Amounts!J388)</f>
        <v/>
      </c>
      <c r="J139" s="739" t="str">
        <f>IF(D_ETS1Amounts!L388="","",D_ETS1Amounts!L388)</f>
        <v/>
      </c>
      <c r="K139" s="739" t="str">
        <f>IF(D_ETS1Amounts!M388="","",D_ETS1Amounts!M388)</f>
        <v/>
      </c>
      <c r="L139" s="739" t="str">
        <f>IF(D_ETS1Amounts!T388="","",D_ETS1Amounts!T388)</f>
        <v/>
      </c>
      <c r="M139" s="681"/>
    </row>
    <row r="140" spans="1:13" hidden="1" x14ac:dyDescent="0.25">
      <c r="A140" s="674" t="s">
        <v>0</v>
      </c>
      <c r="B140" s="679"/>
      <c r="D140" s="496">
        <v>103</v>
      </c>
      <c r="E140" s="1436" t="str">
        <f>IF(D_ETS1Amounts!E389="","",D_ETS1Amounts!E389)</f>
        <v/>
      </c>
      <c r="F140" s="1436"/>
      <c r="G140" s="736" t="str">
        <f>IF(D_ETS1Amounts!F389="","",D_ETS1Amounts!F389)</f>
        <v/>
      </c>
      <c r="H140" s="737" t="str">
        <f>IF(D_ETS1Amounts!H389="","",D_ETS1Amounts!H389)</f>
        <v/>
      </c>
      <c r="I140" s="738" t="str">
        <f>IF(D_ETS1Amounts!J389="","",D_ETS1Amounts!J389)</f>
        <v/>
      </c>
      <c r="J140" s="739" t="str">
        <f>IF(D_ETS1Amounts!L389="","",D_ETS1Amounts!L389)</f>
        <v/>
      </c>
      <c r="K140" s="739" t="str">
        <f>IF(D_ETS1Amounts!M389="","",D_ETS1Amounts!M389)</f>
        <v/>
      </c>
      <c r="L140" s="739" t="str">
        <f>IF(D_ETS1Amounts!T389="","",D_ETS1Amounts!T389)</f>
        <v/>
      </c>
      <c r="M140" s="681"/>
    </row>
    <row r="141" spans="1:13" hidden="1" x14ac:dyDescent="0.25">
      <c r="A141" s="674" t="s">
        <v>0</v>
      </c>
      <c r="B141" s="679"/>
      <c r="D141" s="496">
        <v>104</v>
      </c>
      <c r="E141" s="1436" t="str">
        <f>IF(D_ETS1Amounts!E390="","",D_ETS1Amounts!E390)</f>
        <v/>
      </c>
      <c r="F141" s="1436"/>
      <c r="G141" s="736" t="str">
        <f>IF(D_ETS1Amounts!F390="","",D_ETS1Amounts!F390)</f>
        <v/>
      </c>
      <c r="H141" s="737" t="str">
        <f>IF(D_ETS1Amounts!H390="","",D_ETS1Amounts!H390)</f>
        <v/>
      </c>
      <c r="I141" s="738" t="str">
        <f>IF(D_ETS1Amounts!J390="","",D_ETS1Amounts!J390)</f>
        <v/>
      </c>
      <c r="J141" s="739" t="str">
        <f>IF(D_ETS1Amounts!L390="","",D_ETS1Amounts!L390)</f>
        <v/>
      </c>
      <c r="K141" s="739" t="str">
        <f>IF(D_ETS1Amounts!M390="","",D_ETS1Amounts!M390)</f>
        <v/>
      </c>
      <c r="L141" s="739" t="str">
        <f>IF(D_ETS1Amounts!T390="","",D_ETS1Amounts!T390)</f>
        <v/>
      </c>
      <c r="M141" s="681"/>
    </row>
    <row r="142" spans="1:13" hidden="1" x14ac:dyDescent="0.25">
      <c r="A142" s="674" t="s">
        <v>0</v>
      </c>
      <c r="B142" s="679"/>
      <c r="D142" s="496">
        <v>105</v>
      </c>
      <c r="E142" s="1436" t="str">
        <f>IF(D_ETS1Amounts!E391="","",D_ETS1Amounts!E391)</f>
        <v/>
      </c>
      <c r="F142" s="1436"/>
      <c r="G142" s="736" t="str">
        <f>IF(D_ETS1Amounts!F391="","",D_ETS1Amounts!F391)</f>
        <v/>
      </c>
      <c r="H142" s="737" t="str">
        <f>IF(D_ETS1Amounts!H391="","",D_ETS1Amounts!H391)</f>
        <v/>
      </c>
      <c r="I142" s="738" t="str">
        <f>IF(D_ETS1Amounts!J391="","",D_ETS1Amounts!J391)</f>
        <v/>
      </c>
      <c r="J142" s="739" t="str">
        <f>IF(D_ETS1Amounts!L391="","",D_ETS1Amounts!L391)</f>
        <v/>
      </c>
      <c r="K142" s="739" t="str">
        <f>IF(D_ETS1Amounts!M391="","",D_ETS1Amounts!M391)</f>
        <v/>
      </c>
      <c r="L142" s="739" t="str">
        <f>IF(D_ETS1Amounts!T391="","",D_ETS1Amounts!T391)</f>
        <v/>
      </c>
      <c r="M142" s="681"/>
    </row>
    <row r="143" spans="1:13" hidden="1" x14ac:dyDescent="0.25">
      <c r="A143" s="674" t="s">
        <v>0</v>
      </c>
      <c r="B143" s="679"/>
      <c r="D143" s="496">
        <v>106</v>
      </c>
      <c r="E143" s="1436" t="str">
        <f>IF(D_ETS1Amounts!E392="","",D_ETS1Amounts!E392)</f>
        <v/>
      </c>
      <c r="F143" s="1436"/>
      <c r="G143" s="736" t="str">
        <f>IF(D_ETS1Amounts!F392="","",D_ETS1Amounts!F392)</f>
        <v/>
      </c>
      <c r="H143" s="737" t="str">
        <f>IF(D_ETS1Amounts!H392="","",D_ETS1Amounts!H392)</f>
        <v/>
      </c>
      <c r="I143" s="738" t="str">
        <f>IF(D_ETS1Amounts!J392="","",D_ETS1Amounts!J392)</f>
        <v/>
      </c>
      <c r="J143" s="739" t="str">
        <f>IF(D_ETS1Amounts!L392="","",D_ETS1Amounts!L392)</f>
        <v/>
      </c>
      <c r="K143" s="739" t="str">
        <f>IF(D_ETS1Amounts!M392="","",D_ETS1Amounts!M392)</f>
        <v/>
      </c>
      <c r="L143" s="739" t="str">
        <f>IF(D_ETS1Amounts!T392="","",D_ETS1Amounts!T392)</f>
        <v/>
      </c>
      <c r="M143" s="681"/>
    </row>
    <row r="144" spans="1:13" hidden="1" x14ac:dyDescent="0.25">
      <c r="A144" s="674" t="s">
        <v>0</v>
      </c>
      <c r="B144" s="679"/>
      <c r="D144" s="496">
        <v>107</v>
      </c>
      <c r="E144" s="1436" t="str">
        <f>IF(D_ETS1Amounts!E393="","",D_ETS1Amounts!E393)</f>
        <v/>
      </c>
      <c r="F144" s="1436"/>
      <c r="G144" s="736" t="str">
        <f>IF(D_ETS1Amounts!F393="","",D_ETS1Amounts!F393)</f>
        <v/>
      </c>
      <c r="H144" s="737" t="str">
        <f>IF(D_ETS1Amounts!H393="","",D_ETS1Amounts!H393)</f>
        <v/>
      </c>
      <c r="I144" s="738" t="str">
        <f>IF(D_ETS1Amounts!J393="","",D_ETS1Amounts!J393)</f>
        <v/>
      </c>
      <c r="J144" s="739" t="str">
        <f>IF(D_ETS1Amounts!L393="","",D_ETS1Amounts!L393)</f>
        <v/>
      </c>
      <c r="K144" s="739" t="str">
        <f>IF(D_ETS1Amounts!M393="","",D_ETS1Amounts!M393)</f>
        <v/>
      </c>
      <c r="L144" s="739" t="str">
        <f>IF(D_ETS1Amounts!T393="","",D_ETS1Amounts!T393)</f>
        <v/>
      </c>
      <c r="M144" s="681"/>
    </row>
    <row r="145" spans="1:13" hidden="1" x14ac:dyDescent="0.25">
      <c r="A145" s="674" t="s">
        <v>0</v>
      </c>
      <c r="B145" s="679"/>
      <c r="D145" s="496">
        <v>108</v>
      </c>
      <c r="E145" s="1436" t="str">
        <f>IF(D_ETS1Amounts!E394="","",D_ETS1Amounts!E394)</f>
        <v/>
      </c>
      <c r="F145" s="1436"/>
      <c r="G145" s="736" t="str">
        <f>IF(D_ETS1Amounts!F394="","",D_ETS1Amounts!F394)</f>
        <v/>
      </c>
      <c r="H145" s="737" t="str">
        <f>IF(D_ETS1Amounts!H394="","",D_ETS1Amounts!H394)</f>
        <v/>
      </c>
      <c r="I145" s="738" t="str">
        <f>IF(D_ETS1Amounts!J394="","",D_ETS1Amounts!J394)</f>
        <v/>
      </c>
      <c r="J145" s="739" t="str">
        <f>IF(D_ETS1Amounts!L394="","",D_ETS1Amounts!L394)</f>
        <v/>
      </c>
      <c r="K145" s="739" t="str">
        <f>IF(D_ETS1Amounts!M394="","",D_ETS1Amounts!M394)</f>
        <v/>
      </c>
      <c r="L145" s="739" t="str">
        <f>IF(D_ETS1Amounts!T394="","",D_ETS1Amounts!T394)</f>
        <v/>
      </c>
      <c r="M145" s="681"/>
    </row>
    <row r="146" spans="1:13" hidden="1" x14ac:dyDescent="0.25">
      <c r="A146" s="674" t="s">
        <v>0</v>
      </c>
      <c r="B146" s="679"/>
      <c r="D146" s="496">
        <v>109</v>
      </c>
      <c r="E146" s="1436" t="str">
        <f>IF(D_ETS1Amounts!E395="","",D_ETS1Amounts!E395)</f>
        <v/>
      </c>
      <c r="F146" s="1436"/>
      <c r="G146" s="736" t="str">
        <f>IF(D_ETS1Amounts!F395="","",D_ETS1Amounts!F395)</f>
        <v/>
      </c>
      <c r="H146" s="737" t="str">
        <f>IF(D_ETS1Amounts!H395="","",D_ETS1Amounts!H395)</f>
        <v/>
      </c>
      <c r="I146" s="738" t="str">
        <f>IF(D_ETS1Amounts!J395="","",D_ETS1Amounts!J395)</f>
        <v/>
      </c>
      <c r="J146" s="739" t="str">
        <f>IF(D_ETS1Amounts!L395="","",D_ETS1Amounts!L395)</f>
        <v/>
      </c>
      <c r="K146" s="739" t="str">
        <f>IF(D_ETS1Amounts!M395="","",D_ETS1Amounts!M395)</f>
        <v/>
      </c>
      <c r="L146" s="739" t="str">
        <f>IF(D_ETS1Amounts!T395="","",D_ETS1Amounts!T395)</f>
        <v/>
      </c>
      <c r="M146" s="681"/>
    </row>
    <row r="147" spans="1:13" hidden="1" x14ac:dyDescent="0.25">
      <c r="A147" s="674" t="s">
        <v>0</v>
      </c>
      <c r="B147" s="679"/>
      <c r="D147" s="496">
        <v>110</v>
      </c>
      <c r="E147" s="1436" t="str">
        <f>IF(D_ETS1Amounts!E396="","",D_ETS1Amounts!E396)</f>
        <v/>
      </c>
      <c r="F147" s="1436"/>
      <c r="G147" s="736" t="str">
        <f>IF(D_ETS1Amounts!F396="","",D_ETS1Amounts!F396)</f>
        <v/>
      </c>
      <c r="H147" s="737" t="str">
        <f>IF(D_ETS1Amounts!H396="","",D_ETS1Amounts!H396)</f>
        <v/>
      </c>
      <c r="I147" s="738" t="str">
        <f>IF(D_ETS1Amounts!J396="","",D_ETS1Amounts!J396)</f>
        <v/>
      </c>
      <c r="J147" s="739" t="str">
        <f>IF(D_ETS1Amounts!L396="","",D_ETS1Amounts!L396)</f>
        <v/>
      </c>
      <c r="K147" s="739" t="str">
        <f>IF(D_ETS1Amounts!M396="","",D_ETS1Amounts!M396)</f>
        <v/>
      </c>
      <c r="L147" s="739" t="str">
        <f>IF(D_ETS1Amounts!T396="","",D_ETS1Amounts!T396)</f>
        <v/>
      </c>
      <c r="M147" s="681"/>
    </row>
    <row r="148" spans="1:13" hidden="1" x14ac:dyDescent="0.25">
      <c r="A148" s="674" t="s">
        <v>0</v>
      </c>
      <c r="B148" s="679"/>
      <c r="D148" s="496">
        <v>111</v>
      </c>
      <c r="E148" s="1436" t="str">
        <f>IF(D_ETS1Amounts!E397="","",D_ETS1Amounts!E397)</f>
        <v/>
      </c>
      <c r="F148" s="1436"/>
      <c r="G148" s="736" t="str">
        <f>IF(D_ETS1Amounts!F397="","",D_ETS1Amounts!F397)</f>
        <v/>
      </c>
      <c r="H148" s="737" t="str">
        <f>IF(D_ETS1Amounts!H397="","",D_ETS1Amounts!H397)</f>
        <v/>
      </c>
      <c r="I148" s="738" t="str">
        <f>IF(D_ETS1Amounts!J397="","",D_ETS1Amounts!J397)</f>
        <v/>
      </c>
      <c r="J148" s="739" t="str">
        <f>IF(D_ETS1Amounts!L397="","",D_ETS1Amounts!L397)</f>
        <v/>
      </c>
      <c r="K148" s="739" t="str">
        <f>IF(D_ETS1Amounts!M397="","",D_ETS1Amounts!M397)</f>
        <v/>
      </c>
      <c r="L148" s="739" t="str">
        <f>IF(D_ETS1Amounts!T397="","",D_ETS1Amounts!T397)</f>
        <v/>
      </c>
      <c r="M148" s="681"/>
    </row>
    <row r="149" spans="1:13" hidden="1" x14ac:dyDescent="0.25">
      <c r="A149" s="674" t="s">
        <v>0</v>
      </c>
      <c r="B149" s="679"/>
      <c r="D149" s="496">
        <v>112</v>
      </c>
      <c r="E149" s="1436" t="str">
        <f>IF(D_ETS1Amounts!E398="","",D_ETS1Amounts!E398)</f>
        <v/>
      </c>
      <c r="F149" s="1436"/>
      <c r="G149" s="736" t="str">
        <f>IF(D_ETS1Amounts!F398="","",D_ETS1Amounts!F398)</f>
        <v/>
      </c>
      <c r="H149" s="737" t="str">
        <f>IF(D_ETS1Amounts!H398="","",D_ETS1Amounts!H398)</f>
        <v/>
      </c>
      <c r="I149" s="738" t="str">
        <f>IF(D_ETS1Amounts!J398="","",D_ETS1Amounts!J398)</f>
        <v/>
      </c>
      <c r="J149" s="739" t="str">
        <f>IF(D_ETS1Amounts!L398="","",D_ETS1Amounts!L398)</f>
        <v/>
      </c>
      <c r="K149" s="739" t="str">
        <f>IF(D_ETS1Amounts!M398="","",D_ETS1Amounts!M398)</f>
        <v/>
      </c>
      <c r="L149" s="739" t="str">
        <f>IF(D_ETS1Amounts!T398="","",D_ETS1Amounts!T398)</f>
        <v/>
      </c>
      <c r="M149" s="681"/>
    </row>
    <row r="150" spans="1:13" hidden="1" x14ac:dyDescent="0.25">
      <c r="A150" s="674" t="s">
        <v>0</v>
      </c>
      <c r="B150" s="679"/>
      <c r="D150" s="496">
        <v>113</v>
      </c>
      <c r="E150" s="1436" t="str">
        <f>IF(D_ETS1Amounts!E399="","",D_ETS1Amounts!E399)</f>
        <v/>
      </c>
      <c r="F150" s="1436"/>
      <c r="G150" s="736" t="str">
        <f>IF(D_ETS1Amounts!F399="","",D_ETS1Amounts!F399)</f>
        <v/>
      </c>
      <c r="H150" s="737" t="str">
        <f>IF(D_ETS1Amounts!H399="","",D_ETS1Amounts!H399)</f>
        <v/>
      </c>
      <c r="I150" s="738" t="str">
        <f>IF(D_ETS1Amounts!J399="","",D_ETS1Amounts!J399)</f>
        <v/>
      </c>
      <c r="J150" s="739" t="str">
        <f>IF(D_ETS1Amounts!L399="","",D_ETS1Amounts!L399)</f>
        <v/>
      </c>
      <c r="K150" s="739" t="str">
        <f>IF(D_ETS1Amounts!M399="","",D_ETS1Amounts!M399)</f>
        <v/>
      </c>
      <c r="L150" s="739" t="str">
        <f>IF(D_ETS1Amounts!T399="","",D_ETS1Amounts!T399)</f>
        <v/>
      </c>
      <c r="M150" s="681"/>
    </row>
    <row r="151" spans="1:13" hidden="1" x14ac:dyDescent="0.25">
      <c r="A151" s="674" t="s">
        <v>0</v>
      </c>
      <c r="B151" s="679"/>
      <c r="D151" s="496">
        <v>114</v>
      </c>
      <c r="E151" s="1436" t="str">
        <f>IF(D_ETS1Amounts!E400="","",D_ETS1Amounts!E400)</f>
        <v/>
      </c>
      <c r="F151" s="1436"/>
      <c r="G151" s="736" t="str">
        <f>IF(D_ETS1Amounts!F400="","",D_ETS1Amounts!F400)</f>
        <v/>
      </c>
      <c r="H151" s="737" t="str">
        <f>IF(D_ETS1Amounts!H400="","",D_ETS1Amounts!H400)</f>
        <v/>
      </c>
      <c r="I151" s="738" t="str">
        <f>IF(D_ETS1Amounts!J400="","",D_ETS1Amounts!J400)</f>
        <v/>
      </c>
      <c r="J151" s="739" t="str">
        <f>IF(D_ETS1Amounts!L400="","",D_ETS1Amounts!L400)</f>
        <v/>
      </c>
      <c r="K151" s="739" t="str">
        <f>IF(D_ETS1Amounts!M400="","",D_ETS1Amounts!M400)</f>
        <v/>
      </c>
      <c r="L151" s="739" t="str">
        <f>IF(D_ETS1Amounts!T400="","",D_ETS1Amounts!T400)</f>
        <v/>
      </c>
      <c r="M151" s="681"/>
    </row>
    <row r="152" spans="1:13" hidden="1" x14ac:dyDescent="0.25">
      <c r="A152" s="674" t="s">
        <v>0</v>
      </c>
      <c r="B152" s="679"/>
      <c r="D152" s="496">
        <v>115</v>
      </c>
      <c r="E152" s="1436" t="str">
        <f>IF(D_ETS1Amounts!E401="","",D_ETS1Amounts!E401)</f>
        <v/>
      </c>
      <c r="F152" s="1436"/>
      <c r="G152" s="736" t="str">
        <f>IF(D_ETS1Amounts!F401="","",D_ETS1Amounts!F401)</f>
        <v/>
      </c>
      <c r="H152" s="737" t="str">
        <f>IF(D_ETS1Amounts!H401="","",D_ETS1Amounts!H401)</f>
        <v/>
      </c>
      <c r="I152" s="738" t="str">
        <f>IF(D_ETS1Amounts!J401="","",D_ETS1Amounts!J401)</f>
        <v/>
      </c>
      <c r="J152" s="739" t="str">
        <f>IF(D_ETS1Amounts!L401="","",D_ETS1Amounts!L401)</f>
        <v/>
      </c>
      <c r="K152" s="739" t="str">
        <f>IF(D_ETS1Amounts!M401="","",D_ETS1Amounts!M401)</f>
        <v/>
      </c>
      <c r="L152" s="739" t="str">
        <f>IF(D_ETS1Amounts!T401="","",D_ETS1Amounts!T401)</f>
        <v/>
      </c>
      <c r="M152" s="681"/>
    </row>
    <row r="153" spans="1:13" hidden="1" x14ac:dyDescent="0.25">
      <c r="A153" s="674" t="s">
        <v>0</v>
      </c>
      <c r="B153" s="679"/>
      <c r="D153" s="496">
        <v>116</v>
      </c>
      <c r="E153" s="1436" t="str">
        <f>IF(D_ETS1Amounts!E402="","",D_ETS1Amounts!E402)</f>
        <v/>
      </c>
      <c r="F153" s="1436"/>
      <c r="G153" s="736" t="str">
        <f>IF(D_ETS1Amounts!F402="","",D_ETS1Amounts!F402)</f>
        <v/>
      </c>
      <c r="H153" s="737" t="str">
        <f>IF(D_ETS1Amounts!H402="","",D_ETS1Amounts!H402)</f>
        <v/>
      </c>
      <c r="I153" s="738" t="str">
        <f>IF(D_ETS1Amounts!J402="","",D_ETS1Amounts!J402)</f>
        <v/>
      </c>
      <c r="J153" s="739" t="str">
        <f>IF(D_ETS1Amounts!L402="","",D_ETS1Amounts!L402)</f>
        <v/>
      </c>
      <c r="K153" s="739" t="str">
        <f>IF(D_ETS1Amounts!M402="","",D_ETS1Amounts!M402)</f>
        <v/>
      </c>
      <c r="L153" s="739" t="str">
        <f>IF(D_ETS1Amounts!T402="","",D_ETS1Amounts!T402)</f>
        <v/>
      </c>
      <c r="M153" s="681"/>
    </row>
    <row r="154" spans="1:13" hidden="1" x14ac:dyDescent="0.25">
      <c r="A154" s="674" t="s">
        <v>0</v>
      </c>
      <c r="B154" s="679"/>
      <c r="D154" s="496">
        <v>117</v>
      </c>
      <c r="E154" s="1436" t="str">
        <f>IF(D_ETS1Amounts!E403="","",D_ETS1Amounts!E403)</f>
        <v/>
      </c>
      <c r="F154" s="1436"/>
      <c r="G154" s="736" t="str">
        <f>IF(D_ETS1Amounts!F403="","",D_ETS1Amounts!F403)</f>
        <v/>
      </c>
      <c r="H154" s="737" t="str">
        <f>IF(D_ETS1Amounts!H403="","",D_ETS1Amounts!H403)</f>
        <v/>
      </c>
      <c r="I154" s="738" t="str">
        <f>IF(D_ETS1Amounts!J403="","",D_ETS1Amounts!J403)</f>
        <v/>
      </c>
      <c r="J154" s="739" t="str">
        <f>IF(D_ETS1Amounts!L403="","",D_ETS1Amounts!L403)</f>
        <v/>
      </c>
      <c r="K154" s="739" t="str">
        <f>IF(D_ETS1Amounts!M403="","",D_ETS1Amounts!M403)</f>
        <v/>
      </c>
      <c r="L154" s="739" t="str">
        <f>IF(D_ETS1Amounts!T403="","",D_ETS1Amounts!T403)</f>
        <v/>
      </c>
      <c r="M154" s="681"/>
    </row>
    <row r="155" spans="1:13" hidden="1" x14ac:dyDescent="0.25">
      <c r="A155" s="674" t="s">
        <v>0</v>
      </c>
      <c r="B155" s="679"/>
      <c r="D155" s="496">
        <v>118</v>
      </c>
      <c r="E155" s="1436" t="str">
        <f>IF(D_ETS1Amounts!E404="","",D_ETS1Amounts!E404)</f>
        <v/>
      </c>
      <c r="F155" s="1436"/>
      <c r="G155" s="736" t="str">
        <f>IF(D_ETS1Amounts!F404="","",D_ETS1Amounts!F404)</f>
        <v/>
      </c>
      <c r="H155" s="737" t="str">
        <f>IF(D_ETS1Amounts!H404="","",D_ETS1Amounts!H404)</f>
        <v/>
      </c>
      <c r="I155" s="738" t="str">
        <f>IF(D_ETS1Amounts!J404="","",D_ETS1Amounts!J404)</f>
        <v/>
      </c>
      <c r="J155" s="739" t="str">
        <f>IF(D_ETS1Amounts!L404="","",D_ETS1Amounts!L404)</f>
        <v/>
      </c>
      <c r="K155" s="739" t="str">
        <f>IF(D_ETS1Amounts!M404="","",D_ETS1Amounts!M404)</f>
        <v/>
      </c>
      <c r="L155" s="739" t="str">
        <f>IF(D_ETS1Amounts!T404="","",D_ETS1Amounts!T404)</f>
        <v/>
      </c>
      <c r="M155" s="681"/>
    </row>
    <row r="156" spans="1:13" hidden="1" x14ac:dyDescent="0.25">
      <c r="A156" s="674" t="s">
        <v>0</v>
      </c>
      <c r="B156" s="679"/>
      <c r="D156" s="496">
        <v>119</v>
      </c>
      <c r="E156" s="1436" t="str">
        <f>IF(D_ETS1Amounts!E405="","",D_ETS1Amounts!E405)</f>
        <v/>
      </c>
      <c r="F156" s="1436"/>
      <c r="G156" s="736" t="str">
        <f>IF(D_ETS1Amounts!F405="","",D_ETS1Amounts!F405)</f>
        <v/>
      </c>
      <c r="H156" s="737" t="str">
        <f>IF(D_ETS1Amounts!H405="","",D_ETS1Amounts!H405)</f>
        <v/>
      </c>
      <c r="I156" s="738" t="str">
        <f>IF(D_ETS1Amounts!J405="","",D_ETS1Amounts!J405)</f>
        <v/>
      </c>
      <c r="J156" s="739" t="str">
        <f>IF(D_ETS1Amounts!L405="","",D_ETS1Amounts!L405)</f>
        <v/>
      </c>
      <c r="K156" s="739" t="str">
        <f>IF(D_ETS1Amounts!M405="","",D_ETS1Amounts!M405)</f>
        <v/>
      </c>
      <c r="L156" s="739" t="str">
        <f>IF(D_ETS1Amounts!T405="","",D_ETS1Amounts!T405)</f>
        <v/>
      </c>
      <c r="M156" s="681"/>
    </row>
    <row r="157" spans="1:13" hidden="1" x14ac:dyDescent="0.25">
      <c r="A157" s="674" t="s">
        <v>0</v>
      </c>
      <c r="B157" s="679"/>
      <c r="D157" s="496">
        <v>120</v>
      </c>
      <c r="E157" s="1436" t="str">
        <f>IF(D_ETS1Amounts!E406="","",D_ETS1Amounts!E406)</f>
        <v/>
      </c>
      <c r="F157" s="1436"/>
      <c r="G157" s="736" t="str">
        <f>IF(D_ETS1Amounts!F406="","",D_ETS1Amounts!F406)</f>
        <v/>
      </c>
      <c r="H157" s="737" t="str">
        <f>IF(D_ETS1Amounts!H406="","",D_ETS1Amounts!H406)</f>
        <v/>
      </c>
      <c r="I157" s="738" t="str">
        <f>IF(D_ETS1Amounts!J406="","",D_ETS1Amounts!J406)</f>
        <v/>
      </c>
      <c r="J157" s="739" t="str">
        <f>IF(D_ETS1Amounts!L406="","",D_ETS1Amounts!L406)</f>
        <v/>
      </c>
      <c r="K157" s="739" t="str">
        <f>IF(D_ETS1Amounts!M406="","",D_ETS1Amounts!M406)</f>
        <v/>
      </c>
      <c r="L157" s="739" t="str">
        <f>IF(D_ETS1Amounts!T406="","",D_ETS1Amounts!T406)</f>
        <v/>
      </c>
      <c r="M157" s="681"/>
    </row>
    <row r="158" spans="1:13" hidden="1" x14ac:dyDescent="0.25">
      <c r="A158" s="674" t="s">
        <v>0</v>
      </c>
      <c r="B158" s="679"/>
      <c r="D158" s="496">
        <v>121</v>
      </c>
      <c r="E158" s="1436" t="str">
        <f>IF(D_ETS1Amounts!E407="","",D_ETS1Amounts!E407)</f>
        <v/>
      </c>
      <c r="F158" s="1436"/>
      <c r="G158" s="736" t="str">
        <f>IF(D_ETS1Amounts!F407="","",D_ETS1Amounts!F407)</f>
        <v/>
      </c>
      <c r="H158" s="737" t="str">
        <f>IF(D_ETS1Amounts!H407="","",D_ETS1Amounts!H407)</f>
        <v/>
      </c>
      <c r="I158" s="738" t="str">
        <f>IF(D_ETS1Amounts!J407="","",D_ETS1Amounts!J407)</f>
        <v/>
      </c>
      <c r="J158" s="739" t="str">
        <f>IF(D_ETS1Amounts!L407="","",D_ETS1Amounts!L407)</f>
        <v/>
      </c>
      <c r="K158" s="739" t="str">
        <f>IF(D_ETS1Amounts!M407="","",D_ETS1Amounts!M407)</f>
        <v/>
      </c>
      <c r="L158" s="739" t="str">
        <f>IF(D_ETS1Amounts!T407="","",D_ETS1Amounts!T407)</f>
        <v/>
      </c>
      <c r="M158" s="681"/>
    </row>
    <row r="159" spans="1:13" hidden="1" x14ac:dyDescent="0.25">
      <c r="A159" s="674" t="s">
        <v>0</v>
      </c>
      <c r="B159" s="679"/>
      <c r="D159" s="496">
        <v>122</v>
      </c>
      <c r="E159" s="1436" t="str">
        <f>IF(D_ETS1Amounts!E408="","",D_ETS1Amounts!E408)</f>
        <v/>
      </c>
      <c r="F159" s="1436"/>
      <c r="G159" s="736" t="str">
        <f>IF(D_ETS1Amounts!F408="","",D_ETS1Amounts!F408)</f>
        <v/>
      </c>
      <c r="H159" s="737" t="str">
        <f>IF(D_ETS1Amounts!H408="","",D_ETS1Amounts!H408)</f>
        <v/>
      </c>
      <c r="I159" s="738" t="str">
        <f>IF(D_ETS1Amounts!J408="","",D_ETS1Amounts!J408)</f>
        <v/>
      </c>
      <c r="J159" s="739" t="str">
        <f>IF(D_ETS1Amounts!L408="","",D_ETS1Amounts!L408)</f>
        <v/>
      </c>
      <c r="K159" s="739" t="str">
        <f>IF(D_ETS1Amounts!M408="","",D_ETS1Amounts!M408)</f>
        <v/>
      </c>
      <c r="L159" s="739" t="str">
        <f>IF(D_ETS1Amounts!T408="","",D_ETS1Amounts!T408)</f>
        <v/>
      </c>
      <c r="M159" s="681"/>
    </row>
    <row r="160" spans="1:13" hidden="1" x14ac:dyDescent="0.25">
      <c r="A160" s="674" t="s">
        <v>0</v>
      </c>
      <c r="B160" s="679"/>
      <c r="D160" s="496">
        <v>123</v>
      </c>
      <c r="E160" s="1436" t="str">
        <f>IF(D_ETS1Amounts!E409="","",D_ETS1Amounts!E409)</f>
        <v/>
      </c>
      <c r="F160" s="1436"/>
      <c r="G160" s="736" t="str">
        <f>IF(D_ETS1Amounts!F409="","",D_ETS1Amounts!F409)</f>
        <v/>
      </c>
      <c r="H160" s="737" t="str">
        <f>IF(D_ETS1Amounts!H409="","",D_ETS1Amounts!H409)</f>
        <v/>
      </c>
      <c r="I160" s="738" t="str">
        <f>IF(D_ETS1Amounts!J409="","",D_ETS1Amounts!J409)</f>
        <v/>
      </c>
      <c r="J160" s="739" t="str">
        <f>IF(D_ETS1Amounts!L409="","",D_ETS1Amounts!L409)</f>
        <v/>
      </c>
      <c r="K160" s="739" t="str">
        <f>IF(D_ETS1Amounts!M409="","",D_ETS1Amounts!M409)</f>
        <v/>
      </c>
      <c r="L160" s="739" t="str">
        <f>IF(D_ETS1Amounts!T409="","",D_ETS1Amounts!T409)</f>
        <v/>
      </c>
      <c r="M160" s="681"/>
    </row>
    <row r="161" spans="1:13" hidden="1" x14ac:dyDescent="0.25">
      <c r="A161" s="674" t="s">
        <v>0</v>
      </c>
      <c r="B161" s="679"/>
      <c r="D161" s="496">
        <v>124</v>
      </c>
      <c r="E161" s="1436" t="str">
        <f>IF(D_ETS1Amounts!E410="","",D_ETS1Amounts!E410)</f>
        <v/>
      </c>
      <c r="F161" s="1436"/>
      <c r="G161" s="736" t="str">
        <f>IF(D_ETS1Amounts!F410="","",D_ETS1Amounts!F410)</f>
        <v/>
      </c>
      <c r="H161" s="737" t="str">
        <f>IF(D_ETS1Amounts!H410="","",D_ETS1Amounts!H410)</f>
        <v/>
      </c>
      <c r="I161" s="738" t="str">
        <f>IF(D_ETS1Amounts!J410="","",D_ETS1Amounts!J410)</f>
        <v/>
      </c>
      <c r="J161" s="739" t="str">
        <f>IF(D_ETS1Amounts!L410="","",D_ETS1Amounts!L410)</f>
        <v/>
      </c>
      <c r="K161" s="739" t="str">
        <f>IF(D_ETS1Amounts!M410="","",D_ETS1Amounts!M410)</f>
        <v/>
      </c>
      <c r="L161" s="739" t="str">
        <f>IF(D_ETS1Amounts!T410="","",D_ETS1Amounts!T410)</f>
        <v/>
      </c>
      <c r="M161" s="681"/>
    </row>
    <row r="162" spans="1:13" hidden="1" x14ac:dyDescent="0.25">
      <c r="A162" s="674" t="s">
        <v>0</v>
      </c>
      <c r="B162" s="679"/>
      <c r="D162" s="496">
        <v>125</v>
      </c>
      <c r="E162" s="1436" t="str">
        <f>IF(D_ETS1Amounts!E411="","",D_ETS1Amounts!E411)</f>
        <v/>
      </c>
      <c r="F162" s="1436"/>
      <c r="G162" s="736" t="str">
        <f>IF(D_ETS1Amounts!F411="","",D_ETS1Amounts!F411)</f>
        <v/>
      </c>
      <c r="H162" s="737" t="str">
        <f>IF(D_ETS1Amounts!H411="","",D_ETS1Amounts!H411)</f>
        <v/>
      </c>
      <c r="I162" s="738" t="str">
        <f>IF(D_ETS1Amounts!J411="","",D_ETS1Amounts!J411)</f>
        <v/>
      </c>
      <c r="J162" s="739" t="str">
        <f>IF(D_ETS1Amounts!L411="","",D_ETS1Amounts!L411)</f>
        <v/>
      </c>
      <c r="K162" s="739" t="str">
        <f>IF(D_ETS1Amounts!M411="","",D_ETS1Amounts!M411)</f>
        <v/>
      </c>
      <c r="L162" s="739" t="str">
        <f>IF(D_ETS1Amounts!T411="","",D_ETS1Amounts!T411)</f>
        <v/>
      </c>
      <c r="M162" s="681"/>
    </row>
    <row r="163" spans="1:13" hidden="1" x14ac:dyDescent="0.25">
      <c r="A163" s="674" t="s">
        <v>0</v>
      </c>
      <c r="B163" s="679"/>
      <c r="D163" s="496">
        <v>126</v>
      </c>
      <c r="E163" s="1436" t="str">
        <f>IF(D_ETS1Amounts!E412="","",D_ETS1Amounts!E412)</f>
        <v/>
      </c>
      <c r="F163" s="1436"/>
      <c r="G163" s="736" t="str">
        <f>IF(D_ETS1Amounts!F412="","",D_ETS1Amounts!F412)</f>
        <v/>
      </c>
      <c r="H163" s="737" t="str">
        <f>IF(D_ETS1Amounts!H412="","",D_ETS1Amounts!H412)</f>
        <v/>
      </c>
      <c r="I163" s="738" t="str">
        <f>IF(D_ETS1Amounts!J412="","",D_ETS1Amounts!J412)</f>
        <v/>
      </c>
      <c r="J163" s="739" t="str">
        <f>IF(D_ETS1Amounts!L412="","",D_ETS1Amounts!L412)</f>
        <v/>
      </c>
      <c r="K163" s="739" t="str">
        <f>IF(D_ETS1Amounts!M412="","",D_ETS1Amounts!M412)</f>
        <v/>
      </c>
      <c r="L163" s="739" t="str">
        <f>IF(D_ETS1Amounts!T412="","",D_ETS1Amounts!T412)</f>
        <v/>
      </c>
      <c r="M163" s="681"/>
    </row>
    <row r="164" spans="1:13" hidden="1" x14ac:dyDescent="0.25">
      <c r="A164" s="674" t="s">
        <v>0</v>
      </c>
      <c r="B164" s="679"/>
      <c r="D164" s="496">
        <v>127</v>
      </c>
      <c r="E164" s="1436" t="str">
        <f>IF(D_ETS1Amounts!E413="","",D_ETS1Amounts!E413)</f>
        <v/>
      </c>
      <c r="F164" s="1436"/>
      <c r="G164" s="736" t="str">
        <f>IF(D_ETS1Amounts!F413="","",D_ETS1Amounts!F413)</f>
        <v/>
      </c>
      <c r="H164" s="737" t="str">
        <f>IF(D_ETS1Amounts!H413="","",D_ETS1Amounts!H413)</f>
        <v/>
      </c>
      <c r="I164" s="738" t="str">
        <f>IF(D_ETS1Amounts!J413="","",D_ETS1Amounts!J413)</f>
        <v/>
      </c>
      <c r="J164" s="739" t="str">
        <f>IF(D_ETS1Amounts!L413="","",D_ETS1Amounts!L413)</f>
        <v/>
      </c>
      <c r="K164" s="739" t="str">
        <f>IF(D_ETS1Amounts!M413="","",D_ETS1Amounts!M413)</f>
        <v/>
      </c>
      <c r="L164" s="739" t="str">
        <f>IF(D_ETS1Amounts!T413="","",D_ETS1Amounts!T413)</f>
        <v/>
      </c>
      <c r="M164" s="681"/>
    </row>
    <row r="165" spans="1:13" hidden="1" x14ac:dyDescent="0.25">
      <c r="A165" s="674" t="s">
        <v>0</v>
      </c>
      <c r="B165" s="679"/>
      <c r="D165" s="496">
        <v>128</v>
      </c>
      <c r="E165" s="1436" t="str">
        <f>IF(D_ETS1Amounts!E414="","",D_ETS1Amounts!E414)</f>
        <v/>
      </c>
      <c r="F165" s="1436"/>
      <c r="G165" s="736" t="str">
        <f>IF(D_ETS1Amounts!F414="","",D_ETS1Amounts!F414)</f>
        <v/>
      </c>
      <c r="H165" s="737" t="str">
        <f>IF(D_ETS1Amounts!H414="","",D_ETS1Amounts!H414)</f>
        <v/>
      </c>
      <c r="I165" s="738" t="str">
        <f>IF(D_ETS1Amounts!J414="","",D_ETS1Amounts!J414)</f>
        <v/>
      </c>
      <c r="J165" s="739" t="str">
        <f>IF(D_ETS1Amounts!L414="","",D_ETS1Amounts!L414)</f>
        <v/>
      </c>
      <c r="K165" s="739" t="str">
        <f>IF(D_ETS1Amounts!M414="","",D_ETS1Amounts!M414)</f>
        <v/>
      </c>
      <c r="L165" s="739" t="str">
        <f>IF(D_ETS1Amounts!T414="","",D_ETS1Amounts!T414)</f>
        <v/>
      </c>
      <c r="M165" s="681"/>
    </row>
    <row r="166" spans="1:13" hidden="1" x14ac:dyDescent="0.25">
      <c r="A166" s="674" t="s">
        <v>0</v>
      </c>
      <c r="B166" s="679"/>
      <c r="D166" s="496">
        <v>129</v>
      </c>
      <c r="E166" s="1436" t="str">
        <f>IF(D_ETS1Amounts!E415="","",D_ETS1Amounts!E415)</f>
        <v/>
      </c>
      <c r="F166" s="1436"/>
      <c r="G166" s="736" t="str">
        <f>IF(D_ETS1Amounts!F415="","",D_ETS1Amounts!F415)</f>
        <v/>
      </c>
      <c r="H166" s="737" t="str">
        <f>IF(D_ETS1Amounts!H415="","",D_ETS1Amounts!H415)</f>
        <v/>
      </c>
      <c r="I166" s="738" t="str">
        <f>IF(D_ETS1Amounts!J415="","",D_ETS1Amounts!J415)</f>
        <v/>
      </c>
      <c r="J166" s="739" t="str">
        <f>IF(D_ETS1Amounts!L415="","",D_ETS1Amounts!L415)</f>
        <v/>
      </c>
      <c r="K166" s="739" t="str">
        <f>IF(D_ETS1Amounts!M415="","",D_ETS1Amounts!M415)</f>
        <v/>
      </c>
      <c r="L166" s="739" t="str">
        <f>IF(D_ETS1Amounts!T415="","",D_ETS1Amounts!T415)</f>
        <v/>
      </c>
      <c r="M166" s="681"/>
    </row>
    <row r="167" spans="1:13" hidden="1" x14ac:dyDescent="0.25">
      <c r="A167" s="674" t="s">
        <v>0</v>
      </c>
      <c r="B167" s="679"/>
      <c r="D167" s="496">
        <v>130</v>
      </c>
      <c r="E167" s="1436" t="str">
        <f>IF(D_ETS1Amounts!E416="","",D_ETS1Amounts!E416)</f>
        <v/>
      </c>
      <c r="F167" s="1436"/>
      <c r="G167" s="736" t="str">
        <f>IF(D_ETS1Amounts!F416="","",D_ETS1Amounts!F416)</f>
        <v/>
      </c>
      <c r="H167" s="737" t="str">
        <f>IF(D_ETS1Amounts!H416="","",D_ETS1Amounts!H416)</f>
        <v/>
      </c>
      <c r="I167" s="738" t="str">
        <f>IF(D_ETS1Amounts!J416="","",D_ETS1Amounts!J416)</f>
        <v/>
      </c>
      <c r="J167" s="739" t="str">
        <f>IF(D_ETS1Amounts!L416="","",D_ETS1Amounts!L416)</f>
        <v/>
      </c>
      <c r="K167" s="739" t="str">
        <f>IF(D_ETS1Amounts!M416="","",D_ETS1Amounts!M416)</f>
        <v/>
      </c>
      <c r="L167" s="739" t="str">
        <f>IF(D_ETS1Amounts!T416="","",D_ETS1Amounts!T416)</f>
        <v/>
      </c>
      <c r="M167" s="681"/>
    </row>
    <row r="168" spans="1:13" hidden="1" x14ac:dyDescent="0.25">
      <c r="A168" s="674" t="s">
        <v>0</v>
      </c>
      <c r="B168" s="679"/>
      <c r="D168" s="496">
        <v>131</v>
      </c>
      <c r="E168" s="1436" t="str">
        <f>IF(D_ETS1Amounts!E417="","",D_ETS1Amounts!E417)</f>
        <v/>
      </c>
      <c r="F168" s="1436"/>
      <c r="G168" s="736" t="str">
        <f>IF(D_ETS1Amounts!F417="","",D_ETS1Amounts!F417)</f>
        <v/>
      </c>
      <c r="H168" s="737" t="str">
        <f>IF(D_ETS1Amounts!H417="","",D_ETS1Amounts!H417)</f>
        <v/>
      </c>
      <c r="I168" s="738" t="str">
        <f>IF(D_ETS1Amounts!J417="","",D_ETS1Amounts!J417)</f>
        <v/>
      </c>
      <c r="J168" s="739" t="str">
        <f>IF(D_ETS1Amounts!L417="","",D_ETS1Amounts!L417)</f>
        <v/>
      </c>
      <c r="K168" s="739" t="str">
        <f>IF(D_ETS1Amounts!M417="","",D_ETS1Amounts!M417)</f>
        <v/>
      </c>
      <c r="L168" s="739" t="str">
        <f>IF(D_ETS1Amounts!T417="","",D_ETS1Amounts!T417)</f>
        <v/>
      </c>
      <c r="M168" s="681"/>
    </row>
    <row r="169" spans="1:13" hidden="1" x14ac:dyDescent="0.25">
      <c r="A169" s="674" t="s">
        <v>0</v>
      </c>
      <c r="B169" s="679"/>
      <c r="D169" s="496">
        <v>132</v>
      </c>
      <c r="E169" s="1436" t="str">
        <f>IF(D_ETS1Amounts!E418="","",D_ETS1Amounts!E418)</f>
        <v/>
      </c>
      <c r="F169" s="1436"/>
      <c r="G169" s="736" t="str">
        <f>IF(D_ETS1Amounts!F418="","",D_ETS1Amounts!F418)</f>
        <v/>
      </c>
      <c r="H169" s="737" t="str">
        <f>IF(D_ETS1Amounts!H418="","",D_ETS1Amounts!H418)</f>
        <v/>
      </c>
      <c r="I169" s="738" t="str">
        <f>IF(D_ETS1Amounts!J418="","",D_ETS1Amounts!J418)</f>
        <v/>
      </c>
      <c r="J169" s="739" t="str">
        <f>IF(D_ETS1Amounts!L418="","",D_ETS1Amounts!L418)</f>
        <v/>
      </c>
      <c r="K169" s="739" t="str">
        <f>IF(D_ETS1Amounts!M418="","",D_ETS1Amounts!M418)</f>
        <v/>
      </c>
      <c r="L169" s="739" t="str">
        <f>IF(D_ETS1Amounts!T418="","",D_ETS1Amounts!T418)</f>
        <v/>
      </c>
      <c r="M169" s="681"/>
    </row>
    <row r="170" spans="1:13" hidden="1" x14ac:dyDescent="0.25">
      <c r="A170" s="674" t="s">
        <v>0</v>
      </c>
      <c r="B170" s="679"/>
      <c r="D170" s="496">
        <v>133</v>
      </c>
      <c r="E170" s="1436" t="str">
        <f>IF(D_ETS1Amounts!E419="","",D_ETS1Amounts!E419)</f>
        <v/>
      </c>
      <c r="F170" s="1436"/>
      <c r="G170" s="736" t="str">
        <f>IF(D_ETS1Amounts!F419="","",D_ETS1Amounts!F419)</f>
        <v/>
      </c>
      <c r="H170" s="737" t="str">
        <f>IF(D_ETS1Amounts!H419="","",D_ETS1Amounts!H419)</f>
        <v/>
      </c>
      <c r="I170" s="738" t="str">
        <f>IF(D_ETS1Amounts!J419="","",D_ETS1Amounts!J419)</f>
        <v/>
      </c>
      <c r="J170" s="739" t="str">
        <f>IF(D_ETS1Amounts!L419="","",D_ETS1Amounts!L419)</f>
        <v/>
      </c>
      <c r="K170" s="739" t="str">
        <f>IF(D_ETS1Amounts!M419="","",D_ETS1Amounts!M419)</f>
        <v/>
      </c>
      <c r="L170" s="739" t="str">
        <f>IF(D_ETS1Amounts!T419="","",D_ETS1Amounts!T419)</f>
        <v/>
      </c>
      <c r="M170" s="681"/>
    </row>
    <row r="171" spans="1:13" hidden="1" x14ac:dyDescent="0.25">
      <c r="A171" s="674" t="s">
        <v>0</v>
      </c>
      <c r="B171" s="679"/>
      <c r="D171" s="496">
        <v>134</v>
      </c>
      <c r="E171" s="1436" t="str">
        <f>IF(D_ETS1Amounts!E420="","",D_ETS1Amounts!E420)</f>
        <v/>
      </c>
      <c r="F171" s="1436"/>
      <c r="G171" s="736" t="str">
        <f>IF(D_ETS1Amounts!F420="","",D_ETS1Amounts!F420)</f>
        <v/>
      </c>
      <c r="H171" s="737" t="str">
        <f>IF(D_ETS1Amounts!H420="","",D_ETS1Amounts!H420)</f>
        <v/>
      </c>
      <c r="I171" s="738" t="str">
        <f>IF(D_ETS1Amounts!J420="","",D_ETS1Amounts!J420)</f>
        <v/>
      </c>
      <c r="J171" s="739" t="str">
        <f>IF(D_ETS1Amounts!L420="","",D_ETS1Amounts!L420)</f>
        <v/>
      </c>
      <c r="K171" s="739" t="str">
        <f>IF(D_ETS1Amounts!M420="","",D_ETS1Amounts!M420)</f>
        <v/>
      </c>
      <c r="L171" s="739" t="str">
        <f>IF(D_ETS1Amounts!T420="","",D_ETS1Amounts!T420)</f>
        <v/>
      </c>
      <c r="M171" s="681"/>
    </row>
    <row r="172" spans="1:13" hidden="1" x14ac:dyDescent="0.25">
      <c r="A172" s="674" t="s">
        <v>0</v>
      </c>
      <c r="B172" s="679"/>
      <c r="D172" s="496">
        <v>135</v>
      </c>
      <c r="E172" s="1436" t="str">
        <f>IF(D_ETS1Amounts!E421="","",D_ETS1Amounts!E421)</f>
        <v/>
      </c>
      <c r="F172" s="1436"/>
      <c r="G172" s="736" t="str">
        <f>IF(D_ETS1Amounts!F421="","",D_ETS1Amounts!F421)</f>
        <v/>
      </c>
      <c r="H172" s="737" t="str">
        <f>IF(D_ETS1Amounts!H421="","",D_ETS1Amounts!H421)</f>
        <v/>
      </c>
      <c r="I172" s="738" t="str">
        <f>IF(D_ETS1Amounts!J421="","",D_ETS1Amounts!J421)</f>
        <v/>
      </c>
      <c r="J172" s="739" t="str">
        <f>IF(D_ETS1Amounts!L421="","",D_ETS1Amounts!L421)</f>
        <v/>
      </c>
      <c r="K172" s="739" t="str">
        <f>IF(D_ETS1Amounts!M421="","",D_ETS1Amounts!M421)</f>
        <v/>
      </c>
      <c r="L172" s="739" t="str">
        <f>IF(D_ETS1Amounts!T421="","",D_ETS1Amounts!T421)</f>
        <v/>
      </c>
      <c r="M172" s="681"/>
    </row>
    <row r="173" spans="1:13" hidden="1" x14ac:dyDescent="0.25">
      <c r="A173" s="674" t="s">
        <v>0</v>
      </c>
      <c r="B173" s="679"/>
      <c r="D173" s="496">
        <v>136</v>
      </c>
      <c r="E173" s="1436" t="str">
        <f>IF(D_ETS1Amounts!E422="","",D_ETS1Amounts!E422)</f>
        <v/>
      </c>
      <c r="F173" s="1436"/>
      <c r="G173" s="736" t="str">
        <f>IF(D_ETS1Amounts!F422="","",D_ETS1Amounts!F422)</f>
        <v/>
      </c>
      <c r="H173" s="737" t="str">
        <f>IF(D_ETS1Amounts!H422="","",D_ETS1Amounts!H422)</f>
        <v/>
      </c>
      <c r="I173" s="738" t="str">
        <f>IF(D_ETS1Amounts!J422="","",D_ETS1Amounts!J422)</f>
        <v/>
      </c>
      <c r="J173" s="739" t="str">
        <f>IF(D_ETS1Amounts!L422="","",D_ETS1Amounts!L422)</f>
        <v/>
      </c>
      <c r="K173" s="739" t="str">
        <f>IF(D_ETS1Amounts!M422="","",D_ETS1Amounts!M422)</f>
        <v/>
      </c>
      <c r="L173" s="739" t="str">
        <f>IF(D_ETS1Amounts!T422="","",D_ETS1Amounts!T422)</f>
        <v/>
      </c>
      <c r="M173" s="681"/>
    </row>
    <row r="174" spans="1:13" hidden="1" x14ac:dyDescent="0.25">
      <c r="A174" s="674" t="s">
        <v>0</v>
      </c>
      <c r="B174" s="679"/>
      <c r="D174" s="496">
        <v>137</v>
      </c>
      <c r="E174" s="1436" t="str">
        <f>IF(D_ETS1Amounts!E423="","",D_ETS1Amounts!E423)</f>
        <v/>
      </c>
      <c r="F174" s="1436"/>
      <c r="G174" s="736" t="str">
        <f>IF(D_ETS1Amounts!F423="","",D_ETS1Amounts!F423)</f>
        <v/>
      </c>
      <c r="H174" s="737" t="str">
        <f>IF(D_ETS1Amounts!H423="","",D_ETS1Amounts!H423)</f>
        <v/>
      </c>
      <c r="I174" s="738" t="str">
        <f>IF(D_ETS1Amounts!J423="","",D_ETS1Amounts!J423)</f>
        <v/>
      </c>
      <c r="J174" s="739" t="str">
        <f>IF(D_ETS1Amounts!L423="","",D_ETS1Amounts!L423)</f>
        <v/>
      </c>
      <c r="K174" s="739" t="str">
        <f>IF(D_ETS1Amounts!M423="","",D_ETS1Amounts!M423)</f>
        <v/>
      </c>
      <c r="L174" s="739" t="str">
        <f>IF(D_ETS1Amounts!T423="","",D_ETS1Amounts!T423)</f>
        <v/>
      </c>
      <c r="M174" s="681"/>
    </row>
    <row r="175" spans="1:13" hidden="1" x14ac:dyDescent="0.25">
      <c r="A175" s="674" t="s">
        <v>0</v>
      </c>
      <c r="B175" s="679"/>
      <c r="D175" s="496">
        <v>138</v>
      </c>
      <c r="E175" s="1436" t="str">
        <f>IF(D_ETS1Amounts!E424="","",D_ETS1Amounts!E424)</f>
        <v/>
      </c>
      <c r="F175" s="1436"/>
      <c r="G175" s="736" t="str">
        <f>IF(D_ETS1Amounts!F424="","",D_ETS1Amounts!F424)</f>
        <v/>
      </c>
      <c r="H175" s="737" t="str">
        <f>IF(D_ETS1Amounts!H424="","",D_ETS1Amounts!H424)</f>
        <v/>
      </c>
      <c r="I175" s="738" t="str">
        <f>IF(D_ETS1Amounts!J424="","",D_ETS1Amounts!J424)</f>
        <v/>
      </c>
      <c r="J175" s="739" t="str">
        <f>IF(D_ETS1Amounts!L424="","",D_ETS1Amounts!L424)</f>
        <v/>
      </c>
      <c r="K175" s="739" t="str">
        <f>IF(D_ETS1Amounts!M424="","",D_ETS1Amounts!M424)</f>
        <v/>
      </c>
      <c r="L175" s="739" t="str">
        <f>IF(D_ETS1Amounts!T424="","",D_ETS1Amounts!T424)</f>
        <v/>
      </c>
      <c r="M175" s="681"/>
    </row>
    <row r="176" spans="1:13" hidden="1" x14ac:dyDescent="0.25">
      <c r="A176" s="674" t="s">
        <v>0</v>
      </c>
      <c r="B176" s="679"/>
      <c r="D176" s="496">
        <v>139</v>
      </c>
      <c r="E176" s="1436" t="str">
        <f>IF(D_ETS1Amounts!E425="","",D_ETS1Amounts!E425)</f>
        <v/>
      </c>
      <c r="F176" s="1436"/>
      <c r="G176" s="736" t="str">
        <f>IF(D_ETS1Amounts!F425="","",D_ETS1Amounts!F425)</f>
        <v/>
      </c>
      <c r="H176" s="737" t="str">
        <f>IF(D_ETS1Amounts!H425="","",D_ETS1Amounts!H425)</f>
        <v/>
      </c>
      <c r="I176" s="738" t="str">
        <f>IF(D_ETS1Amounts!J425="","",D_ETS1Amounts!J425)</f>
        <v/>
      </c>
      <c r="J176" s="739" t="str">
        <f>IF(D_ETS1Amounts!L425="","",D_ETS1Amounts!L425)</f>
        <v/>
      </c>
      <c r="K176" s="739" t="str">
        <f>IF(D_ETS1Amounts!M425="","",D_ETS1Amounts!M425)</f>
        <v/>
      </c>
      <c r="L176" s="739" t="str">
        <f>IF(D_ETS1Amounts!T425="","",D_ETS1Amounts!T425)</f>
        <v/>
      </c>
      <c r="M176" s="681"/>
    </row>
    <row r="177" spans="1:13" hidden="1" x14ac:dyDescent="0.25">
      <c r="A177" s="674" t="s">
        <v>0</v>
      </c>
      <c r="B177" s="679"/>
      <c r="D177" s="496">
        <v>140</v>
      </c>
      <c r="E177" s="1436" t="str">
        <f>IF(D_ETS1Amounts!E426="","",D_ETS1Amounts!E426)</f>
        <v/>
      </c>
      <c r="F177" s="1436"/>
      <c r="G177" s="736" t="str">
        <f>IF(D_ETS1Amounts!F426="","",D_ETS1Amounts!F426)</f>
        <v/>
      </c>
      <c r="H177" s="737" t="str">
        <f>IF(D_ETS1Amounts!H426="","",D_ETS1Amounts!H426)</f>
        <v/>
      </c>
      <c r="I177" s="738" t="str">
        <f>IF(D_ETS1Amounts!J426="","",D_ETS1Amounts!J426)</f>
        <v/>
      </c>
      <c r="J177" s="739" t="str">
        <f>IF(D_ETS1Amounts!L426="","",D_ETS1Amounts!L426)</f>
        <v/>
      </c>
      <c r="K177" s="739" t="str">
        <f>IF(D_ETS1Amounts!M426="","",D_ETS1Amounts!M426)</f>
        <v/>
      </c>
      <c r="L177" s="739" t="str">
        <f>IF(D_ETS1Amounts!T426="","",D_ETS1Amounts!T426)</f>
        <v/>
      </c>
      <c r="M177" s="681"/>
    </row>
    <row r="178" spans="1:13" hidden="1" x14ac:dyDescent="0.25">
      <c r="A178" s="674" t="s">
        <v>0</v>
      </c>
      <c r="B178" s="679"/>
      <c r="D178" s="496">
        <v>141</v>
      </c>
      <c r="E178" s="1436" t="str">
        <f>IF(D_ETS1Amounts!E427="","",D_ETS1Amounts!E427)</f>
        <v/>
      </c>
      <c r="F178" s="1436"/>
      <c r="G178" s="736" t="str">
        <f>IF(D_ETS1Amounts!F427="","",D_ETS1Amounts!F427)</f>
        <v/>
      </c>
      <c r="H178" s="737" t="str">
        <f>IF(D_ETS1Amounts!H427="","",D_ETS1Amounts!H427)</f>
        <v/>
      </c>
      <c r="I178" s="738" t="str">
        <f>IF(D_ETS1Amounts!J427="","",D_ETS1Amounts!J427)</f>
        <v/>
      </c>
      <c r="J178" s="739" t="str">
        <f>IF(D_ETS1Amounts!L427="","",D_ETS1Amounts!L427)</f>
        <v/>
      </c>
      <c r="K178" s="739" t="str">
        <f>IF(D_ETS1Amounts!M427="","",D_ETS1Amounts!M427)</f>
        <v/>
      </c>
      <c r="L178" s="739" t="str">
        <f>IF(D_ETS1Amounts!T427="","",D_ETS1Amounts!T427)</f>
        <v/>
      </c>
      <c r="M178" s="681"/>
    </row>
    <row r="179" spans="1:13" hidden="1" x14ac:dyDescent="0.25">
      <c r="A179" s="674" t="s">
        <v>0</v>
      </c>
      <c r="B179" s="679"/>
      <c r="D179" s="496">
        <v>142</v>
      </c>
      <c r="E179" s="1436" t="str">
        <f>IF(D_ETS1Amounts!E428="","",D_ETS1Amounts!E428)</f>
        <v/>
      </c>
      <c r="F179" s="1436"/>
      <c r="G179" s="736" t="str">
        <f>IF(D_ETS1Amounts!F428="","",D_ETS1Amounts!F428)</f>
        <v/>
      </c>
      <c r="H179" s="737" t="str">
        <f>IF(D_ETS1Amounts!H428="","",D_ETS1Amounts!H428)</f>
        <v/>
      </c>
      <c r="I179" s="738" t="str">
        <f>IF(D_ETS1Amounts!J428="","",D_ETS1Amounts!J428)</f>
        <v/>
      </c>
      <c r="J179" s="739" t="str">
        <f>IF(D_ETS1Amounts!L428="","",D_ETS1Amounts!L428)</f>
        <v/>
      </c>
      <c r="K179" s="739" t="str">
        <f>IF(D_ETS1Amounts!M428="","",D_ETS1Amounts!M428)</f>
        <v/>
      </c>
      <c r="L179" s="739" t="str">
        <f>IF(D_ETS1Amounts!T428="","",D_ETS1Amounts!T428)</f>
        <v/>
      </c>
      <c r="M179" s="681"/>
    </row>
    <row r="180" spans="1:13" hidden="1" x14ac:dyDescent="0.25">
      <c r="A180" s="674" t="s">
        <v>0</v>
      </c>
      <c r="B180" s="679"/>
      <c r="D180" s="496">
        <v>143</v>
      </c>
      <c r="E180" s="1436" t="str">
        <f>IF(D_ETS1Amounts!E429="","",D_ETS1Amounts!E429)</f>
        <v/>
      </c>
      <c r="F180" s="1436"/>
      <c r="G180" s="736" t="str">
        <f>IF(D_ETS1Amounts!F429="","",D_ETS1Amounts!F429)</f>
        <v/>
      </c>
      <c r="H180" s="737" t="str">
        <f>IF(D_ETS1Amounts!H429="","",D_ETS1Amounts!H429)</f>
        <v/>
      </c>
      <c r="I180" s="738" t="str">
        <f>IF(D_ETS1Amounts!J429="","",D_ETS1Amounts!J429)</f>
        <v/>
      </c>
      <c r="J180" s="739" t="str">
        <f>IF(D_ETS1Amounts!L429="","",D_ETS1Amounts!L429)</f>
        <v/>
      </c>
      <c r="K180" s="739" t="str">
        <f>IF(D_ETS1Amounts!M429="","",D_ETS1Amounts!M429)</f>
        <v/>
      </c>
      <c r="L180" s="739" t="str">
        <f>IF(D_ETS1Amounts!T429="","",D_ETS1Amounts!T429)</f>
        <v/>
      </c>
      <c r="M180" s="681"/>
    </row>
    <row r="181" spans="1:13" hidden="1" x14ac:dyDescent="0.25">
      <c r="A181" s="674" t="s">
        <v>0</v>
      </c>
      <c r="B181" s="679"/>
      <c r="D181" s="496">
        <v>144</v>
      </c>
      <c r="E181" s="1436" t="str">
        <f>IF(D_ETS1Amounts!E430="","",D_ETS1Amounts!E430)</f>
        <v/>
      </c>
      <c r="F181" s="1436"/>
      <c r="G181" s="736" t="str">
        <f>IF(D_ETS1Amounts!F430="","",D_ETS1Amounts!F430)</f>
        <v/>
      </c>
      <c r="H181" s="737" t="str">
        <f>IF(D_ETS1Amounts!H430="","",D_ETS1Amounts!H430)</f>
        <v/>
      </c>
      <c r="I181" s="738" t="str">
        <f>IF(D_ETS1Amounts!J430="","",D_ETS1Amounts!J430)</f>
        <v/>
      </c>
      <c r="J181" s="739" t="str">
        <f>IF(D_ETS1Amounts!L430="","",D_ETS1Amounts!L430)</f>
        <v/>
      </c>
      <c r="K181" s="739" t="str">
        <f>IF(D_ETS1Amounts!M430="","",D_ETS1Amounts!M430)</f>
        <v/>
      </c>
      <c r="L181" s="739" t="str">
        <f>IF(D_ETS1Amounts!T430="","",D_ETS1Amounts!T430)</f>
        <v/>
      </c>
      <c r="M181" s="681"/>
    </row>
    <row r="182" spans="1:13" hidden="1" x14ac:dyDescent="0.25">
      <c r="A182" s="674" t="s">
        <v>0</v>
      </c>
      <c r="B182" s="679"/>
      <c r="D182" s="496">
        <v>145</v>
      </c>
      <c r="E182" s="1436" t="str">
        <f>IF(D_ETS1Amounts!E431="","",D_ETS1Amounts!E431)</f>
        <v/>
      </c>
      <c r="F182" s="1436"/>
      <c r="G182" s="736" t="str">
        <f>IF(D_ETS1Amounts!F431="","",D_ETS1Amounts!F431)</f>
        <v/>
      </c>
      <c r="H182" s="737" t="str">
        <f>IF(D_ETS1Amounts!H431="","",D_ETS1Amounts!H431)</f>
        <v/>
      </c>
      <c r="I182" s="738" t="str">
        <f>IF(D_ETS1Amounts!J431="","",D_ETS1Amounts!J431)</f>
        <v/>
      </c>
      <c r="J182" s="739" t="str">
        <f>IF(D_ETS1Amounts!L431="","",D_ETS1Amounts!L431)</f>
        <v/>
      </c>
      <c r="K182" s="739" t="str">
        <f>IF(D_ETS1Amounts!M431="","",D_ETS1Amounts!M431)</f>
        <v/>
      </c>
      <c r="L182" s="739" t="str">
        <f>IF(D_ETS1Amounts!T431="","",D_ETS1Amounts!T431)</f>
        <v/>
      </c>
      <c r="M182" s="681"/>
    </row>
    <row r="183" spans="1:13" hidden="1" x14ac:dyDescent="0.25">
      <c r="A183" s="674" t="s">
        <v>0</v>
      </c>
      <c r="B183" s="679"/>
      <c r="D183" s="496">
        <v>146</v>
      </c>
      <c r="E183" s="1436" t="str">
        <f>IF(D_ETS1Amounts!E432="","",D_ETS1Amounts!E432)</f>
        <v/>
      </c>
      <c r="F183" s="1436"/>
      <c r="G183" s="736" t="str">
        <f>IF(D_ETS1Amounts!F432="","",D_ETS1Amounts!F432)</f>
        <v/>
      </c>
      <c r="H183" s="737" t="str">
        <f>IF(D_ETS1Amounts!H432="","",D_ETS1Amounts!H432)</f>
        <v/>
      </c>
      <c r="I183" s="738" t="str">
        <f>IF(D_ETS1Amounts!J432="","",D_ETS1Amounts!J432)</f>
        <v/>
      </c>
      <c r="J183" s="739" t="str">
        <f>IF(D_ETS1Amounts!L432="","",D_ETS1Amounts!L432)</f>
        <v/>
      </c>
      <c r="K183" s="739" t="str">
        <f>IF(D_ETS1Amounts!M432="","",D_ETS1Amounts!M432)</f>
        <v/>
      </c>
      <c r="L183" s="739" t="str">
        <f>IF(D_ETS1Amounts!T432="","",D_ETS1Amounts!T432)</f>
        <v/>
      </c>
      <c r="M183" s="681"/>
    </row>
    <row r="184" spans="1:13" hidden="1" x14ac:dyDescent="0.25">
      <c r="A184" s="674" t="s">
        <v>0</v>
      </c>
      <c r="B184" s="679"/>
      <c r="D184" s="496">
        <v>147</v>
      </c>
      <c r="E184" s="1436" t="str">
        <f>IF(D_ETS1Amounts!E433="","",D_ETS1Amounts!E433)</f>
        <v/>
      </c>
      <c r="F184" s="1436"/>
      <c r="G184" s="736" t="str">
        <f>IF(D_ETS1Amounts!F433="","",D_ETS1Amounts!F433)</f>
        <v/>
      </c>
      <c r="H184" s="737" t="str">
        <f>IF(D_ETS1Amounts!H433="","",D_ETS1Amounts!H433)</f>
        <v/>
      </c>
      <c r="I184" s="738" t="str">
        <f>IF(D_ETS1Amounts!J433="","",D_ETS1Amounts!J433)</f>
        <v/>
      </c>
      <c r="J184" s="739" t="str">
        <f>IF(D_ETS1Amounts!L433="","",D_ETS1Amounts!L433)</f>
        <v/>
      </c>
      <c r="K184" s="739" t="str">
        <f>IF(D_ETS1Amounts!M433="","",D_ETS1Amounts!M433)</f>
        <v/>
      </c>
      <c r="L184" s="739" t="str">
        <f>IF(D_ETS1Amounts!T433="","",D_ETS1Amounts!T433)</f>
        <v/>
      </c>
      <c r="M184" s="681"/>
    </row>
    <row r="185" spans="1:13" hidden="1" x14ac:dyDescent="0.25">
      <c r="A185" s="674" t="s">
        <v>0</v>
      </c>
      <c r="B185" s="679"/>
      <c r="D185" s="496">
        <v>148</v>
      </c>
      <c r="E185" s="1436" t="str">
        <f>IF(D_ETS1Amounts!E434="","",D_ETS1Amounts!E434)</f>
        <v/>
      </c>
      <c r="F185" s="1436"/>
      <c r="G185" s="736" t="str">
        <f>IF(D_ETS1Amounts!F434="","",D_ETS1Amounts!F434)</f>
        <v/>
      </c>
      <c r="H185" s="737" t="str">
        <f>IF(D_ETS1Amounts!H434="","",D_ETS1Amounts!H434)</f>
        <v/>
      </c>
      <c r="I185" s="738" t="str">
        <f>IF(D_ETS1Amounts!J434="","",D_ETS1Amounts!J434)</f>
        <v/>
      </c>
      <c r="J185" s="739" t="str">
        <f>IF(D_ETS1Amounts!L434="","",D_ETS1Amounts!L434)</f>
        <v/>
      </c>
      <c r="K185" s="739" t="str">
        <f>IF(D_ETS1Amounts!M434="","",D_ETS1Amounts!M434)</f>
        <v/>
      </c>
      <c r="L185" s="739" t="str">
        <f>IF(D_ETS1Amounts!T434="","",D_ETS1Amounts!T434)</f>
        <v/>
      </c>
      <c r="M185" s="681"/>
    </row>
    <row r="186" spans="1:13" hidden="1" x14ac:dyDescent="0.25">
      <c r="A186" s="674" t="s">
        <v>0</v>
      </c>
      <c r="B186" s="679"/>
      <c r="D186" s="496">
        <v>149</v>
      </c>
      <c r="E186" s="1436" t="str">
        <f>IF(D_ETS1Amounts!E435="","",D_ETS1Amounts!E435)</f>
        <v/>
      </c>
      <c r="F186" s="1436"/>
      <c r="G186" s="736" t="str">
        <f>IF(D_ETS1Amounts!F435="","",D_ETS1Amounts!F435)</f>
        <v/>
      </c>
      <c r="H186" s="737" t="str">
        <f>IF(D_ETS1Amounts!H435="","",D_ETS1Amounts!H435)</f>
        <v/>
      </c>
      <c r="I186" s="738" t="str">
        <f>IF(D_ETS1Amounts!J435="","",D_ETS1Amounts!J435)</f>
        <v/>
      </c>
      <c r="J186" s="739" t="str">
        <f>IF(D_ETS1Amounts!L435="","",D_ETS1Amounts!L435)</f>
        <v/>
      </c>
      <c r="K186" s="739" t="str">
        <f>IF(D_ETS1Amounts!M435="","",D_ETS1Amounts!M435)</f>
        <v/>
      </c>
      <c r="L186" s="739" t="str">
        <f>IF(D_ETS1Amounts!T435="","",D_ETS1Amounts!T435)</f>
        <v/>
      </c>
      <c r="M186" s="681"/>
    </row>
    <row r="187" spans="1:13" hidden="1" x14ac:dyDescent="0.25">
      <c r="A187" s="674" t="s">
        <v>0</v>
      </c>
      <c r="B187" s="679"/>
      <c r="D187" s="496">
        <v>150</v>
      </c>
      <c r="E187" s="1436" t="str">
        <f>IF(D_ETS1Amounts!E436="","",D_ETS1Amounts!E436)</f>
        <v/>
      </c>
      <c r="F187" s="1436"/>
      <c r="G187" s="736" t="str">
        <f>IF(D_ETS1Amounts!F436="","",D_ETS1Amounts!F436)</f>
        <v/>
      </c>
      <c r="H187" s="737" t="str">
        <f>IF(D_ETS1Amounts!H436="","",D_ETS1Amounts!H436)</f>
        <v/>
      </c>
      <c r="I187" s="738" t="str">
        <f>IF(D_ETS1Amounts!J436="","",D_ETS1Amounts!J436)</f>
        <v/>
      </c>
      <c r="J187" s="739" t="str">
        <f>IF(D_ETS1Amounts!L436="","",D_ETS1Amounts!L436)</f>
        <v/>
      </c>
      <c r="K187" s="739" t="str">
        <f>IF(D_ETS1Amounts!M436="","",D_ETS1Amounts!M436)</f>
        <v/>
      </c>
      <c r="L187" s="739" t="str">
        <f>IF(D_ETS1Amounts!T436="","",D_ETS1Amounts!T436)</f>
        <v/>
      </c>
      <c r="M187" s="681"/>
    </row>
    <row r="188" spans="1:13" hidden="1" x14ac:dyDescent="0.25">
      <c r="A188" s="674" t="s">
        <v>0</v>
      </c>
      <c r="B188" s="679"/>
      <c r="D188" s="496">
        <v>151</v>
      </c>
      <c r="E188" s="1436" t="str">
        <f>IF(D_ETS1Amounts!E437="","",D_ETS1Amounts!E437)</f>
        <v/>
      </c>
      <c r="F188" s="1436"/>
      <c r="G188" s="736" t="str">
        <f>IF(D_ETS1Amounts!F437="","",D_ETS1Amounts!F437)</f>
        <v/>
      </c>
      <c r="H188" s="737" t="str">
        <f>IF(D_ETS1Amounts!H437="","",D_ETS1Amounts!H437)</f>
        <v/>
      </c>
      <c r="I188" s="738" t="str">
        <f>IF(D_ETS1Amounts!J437="","",D_ETS1Amounts!J437)</f>
        <v/>
      </c>
      <c r="J188" s="739" t="str">
        <f>IF(D_ETS1Amounts!L437="","",D_ETS1Amounts!L437)</f>
        <v/>
      </c>
      <c r="K188" s="739" t="str">
        <f>IF(D_ETS1Amounts!M437="","",D_ETS1Amounts!M437)</f>
        <v/>
      </c>
      <c r="L188" s="739" t="str">
        <f>IF(D_ETS1Amounts!T437="","",D_ETS1Amounts!T437)</f>
        <v/>
      </c>
      <c r="M188" s="681"/>
    </row>
    <row r="189" spans="1:13" hidden="1" x14ac:dyDescent="0.25">
      <c r="A189" s="674" t="s">
        <v>0</v>
      </c>
      <c r="B189" s="679"/>
      <c r="D189" s="496">
        <v>152</v>
      </c>
      <c r="E189" s="1436" t="str">
        <f>IF(D_ETS1Amounts!E438="","",D_ETS1Amounts!E438)</f>
        <v/>
      </c>
      <c r="F189" s="1436"/>
      <c r="G189" s="736" t="str">
        <f>IF(D_ETS1Amounts!F438="","",D_ETS1Amounts!F438)</f>
        <v/>
      </c>
      <c r="H189" s="737" t="str">
        <f>IF(D_ETS1Amounts!H438="","",D_ETS1Amounts!H438)</f>
        <v/>
      </c>
      <c r="I189" s="738" t="str">
        <f>IF(D_ETS1Amounts!J438="","",D_ETS1Amounts!J438)</f>
        <v/>
      </c>
      <c r="J189" s="739" t="str">
        <f>IF(D_ETS1Amounts!L438="","",D_ETS1Amounts!L438)</f>
        <v/>
      </c>
      <c r="K189" s="739" t="str">
        <f>IF(D_ETS1Amounts!M438="","",D_ETS1Amounts!M438)</f>
        <v/>
      </c>
      <c r="L189" s="739" t="str">
        <f>IF(D_ETS1Amounts!T438="","",D_ETS1Amounts!T438)</f>
        <v/>
      </c>
      <c r="M189" s="681"/>
    </row>
    <row r="190" spans="1:13" hidden="1" x14ac:dyDescent="0.25">
      <c r="A190" s="674" t="s">
        <v>0</v>
      </c>
      <c r="B190" s="679"/>
      <c r="D190" s="496">
        <v>153</v>
      </c>
      <c r="E190" s="1436" t="str">
        <f>IF(D_ETS1Amounts!E439="","",D_ETS1Amounts!E439)</f>
        <v/>
      </c>
      <c r="F190" s="1436"/>
      <c r="G190" s="736" t="str">
        <f>IF(D_ETS1Amounts!F439="","",D_ETS1Amounts!F439)</f>
        <v/>
      </c>
      <c r="H190" s="737" t="str">
        <f>IF(D_ETS1Amounts!H439="","",D_ETS1Amounts!H439)</f>
        <v/>
      </c>
      <c r="I190" s="738" t="str">
        <f>IF(D_ETS1Amounts!J439="","",D_ETS1Amounts!J439)</f>
        <v/>
      </c>
      <c r="J190" s="739" t="str">
        <f>IF(D_ETS1Amounts!L439="","",D_ETS1Amounts!L439)</f>
        <v/>
      </c>
      <c r="K190" s="739" t="str">
        <f>IF(D_ETS1Amounts!M439="","",D_ETS1Amounts!M439)</f>
        <v/>
      </c>
      <c r="L190" s="739" t="str">
        <f>IF(D_ETS1Amounts!T439="","",D_ETS1Amounts!T439)</f>
        <v/>
      </c>
      <c r="M190" s="681"/>
    </row>
    <row r="191" spans="1:13" hidden="1" x14ac:dyDescent="0.25">
      <c r="A191" s="674" t="s">
        <v>0</v>
      </c>
      <c r="B191" s="679"/>
      <c r="D191" s="496">
        <v>154</v>
      </c>
      <c r="E191" s="1436" t="str">
        <f>IF(D_ETS1Amounts!E440="","",D_ETS1Amounts!E440)</f>
        <v/>
      </c>
      <c r="F191" s="1436"/>
      <c r="G191" s="736" t="str">
        <f>IF(D_ETS1Amounts!F440="","",D_ETS1Amounts!F440)</f>
        <v/>
      </c>
      <c r="H191" s="737" t="str">
        <f>IF(D_ETS1Amounts!H440="","",D_ETS1Amounts!H440)</f>
        <v/>
      </c>
      <c r="I191" s="738" t="str">
        <f>IF(D_ETS1Amounts!J440="","",D_ETS1Amounts!J440)</f>
        <v/>
      </c>
      <c r="J191" s="739" t="str">
        <f>IF(D_ETS1Amounts!L440="","",D_ETS1Amounts!L440)</f>
        <v/>
      </c>
      <c r="K191" s="739" t="str">
        <f>IF(D_ETS1Amounts!M440="","",D_ETS1Amounts!M440)</f>
        <v/>
      </c>
      <c r="L191" s="739" t="str">
        <f>IF(D_ETS1Amounts!T440="","",D_ETS1Amounts!T440)</f>
        <v/>
      </c>
      <c r="M191" s="681"/>
    </row>
    <row r="192" spans="1:13" hidden="1" x14ac:dyDescent="0.25">
      <c r="A192" s="674" t="s">
        <v>0</v>
      </c>
      <c r="B192" s="679"/>
      <c r="D192" s="496">
        <v>155</v>
      </c>
      <c r="E192" s="1436" t="str">
        <f>IF(D_ETS1Amounts!E441="","",D_ETS1Amounts!E441)</f>
        <v/>
      </c>
      <c r="F192" s="1436"/>
      <c r="G192" s="736" t="str">
        <f>IF(D_ETS1Amounts!F441="","",D_ETS1Amounts!F441)</f>
        <v/>
      </c>
      <c r="H192" s="737" t="str">
        <f>IF(D_ETS1Amounts!H441="","",D_ETS1Amounts!H441)</f>
        <v/>
      </c>
      <c r="I192" s="738" t="str">
        <f>IF(D_ETS1Amounts!J441="","",D_ETS1Amounts!J441)</f>
        <v/>
      </c>
      <c r="J192" s="739" t="str">
        <f>IF(D_ETS1Amounts!L441="","",D_ETS1Amounts!L441)</f>
        <v/>
      </c>
      <c r="K192" s="739" t="str">
        <f>IF(D_ETS1Amounts!M441="","",D_ETS1Amounts!M441)</f>
        <v/>
      </c>
      <c r="L192" s="739" t="str">
        <f>IF(D_ETS1Amounts!T441="","",D_ETS1Amounts!T441)</f>
        <v/>
      </c>
      <c r="M192" s="681"/>
    </row>
    <row r="193" spans="1:13" hidden="1" x14ac:dyDescent="0.25">
      <c r="A193" s="674" t="s">
        <v>0</v>
      </c>
      <c r="B193" s="679"/>
      <c r="D193" s="496">
        <v>156</v>
      </c>
      <c r="E193" s="1436" t="str">
        <f>IF(D_ETS1Amounts!E442="","",D_ETS1Amounts!E442)</f>
        <v/>
      </c>
      <c r="F193" s="1436"/>
      <c r="G193" s="736" t="str">
        <f>IF(D_ETS1Amounts!F442="","",D_ETS1Amounts!F442)</f>
        <v/>
      </c>
      <c r="H193" s="737" t="str">
        <f>IF(D_ETS1Amounts!H442="","",D_ETS1Amounts!H442)</f>
        <v/>
      </c>
      <c r="I193" s="738" t="str">
        <f>IF(D_ETS1Amounts!J442="","",D_ETS1Amounts!J442)</f>
        <v/>
      </c>
      <c r="J193" s="739" t="str">
        <f>IF(D_ETS1Amounts!L442="","",D_ETS1Amounts!L442)</f>
        <v/>
      </c>
      <c r="K193" s="739" t="str">
        <f>IF(D_ETS1Amounts!M442="","",D_ETS1Amounts!M442)</f>
        <v/>
      </c>
      <c r="L193" s="739" t="str">
        <f>IF(D_ETS1Amounts!T442="","",D_ETS1Amounts!T442)</f>
        <v/>
      </c>
      <c r="M193" s="681"/>
    </row>
    <row r="194" spans="1:13" hidden="1" x14ac:dyDescent="0.25">
      <c r="A194" s="674" t="s">
        <v>0</v>
      </c>
      <c r="B194" s="679"/>
      <c r="D194" s="496">
        <v>157</v>
      </c>
      <c r="E194" s="1436" t="str">
        <f>IF(D_ETS1Amounts!E443="","",D_ETS1Amounts!E443)</f>
        <v/>
      </c>
      <c r="F194" s="1436"/>
      <c r="G194" s="736" t="str">
        <f>IF(D_ETS1Amounts!F443="","",D_ETS1Amounts!F443)</f>
        <v/>
      </c>
      <c r="H194" s="737" t="str">
        <f>IF(D_ETS1Amounts!H443="","",D_ETS1Amounts!H443)</f>
        <v/>
      </c>
      <c r="I194" s="738" t="str">
        <f>IF(D_ETS1Amounts!J443="","",D_ETS1Amounts!J443)</f>
        <v/>
      </c>
      <c r="J194" s="739" t="str">
        <f>IF(D_ETS1Amounts!L443="","",D_ETS1Amounts!L443)</f>
        <v/>
      </c>
      <c r="K194" s="739" t="str">
        <f>IF(D_ETS1Amounts!M443="","",D_ETS1Amounts!M443)</f>
        <v/>
      </c>
      <c r="L194" s="739" t="str">
        <f>IF(D_ETS1Amounts!T443="","",D_ETS1Amounts!T443)</f>
        <v/>
      </c>
      <c r="M194" s="681"/>
    </row>
    <row r="195" spans="1:13" hidden="1" x14ac:dyDescent="0.25">
      <c r="A195" s="674" t="s">
        <v>0</v>
      </c>
      <c r="B195" s="679"/>
      <c r="D195" s="496">
        <v>158</v>
      </c>
      <c r="E195" s="1436" t="str">
        <f>IF(D_ETS1Amounts!E444="","",D_ETS1Amounts!E444)</f>
        <v/>
      </c>
      <c r="F195" s="1436"/>
      <c r="G195" s="736" t="str">
        <f>IF(D_ETS1Amounts!F444="","",D_ETS1Amounts!F444)</f>
        <v/>
      </c>
      <c r="H195" s="737" t="str">
        <f>IF(D_ETS1Amounts!H444="","",D_ETS1Amounts!H444)</f>
        <v/>
      </c>
      <c r="I195" s="738" t="str">
        <f>IF(D_ETS1Amounts!J444="","",D_ETS1Amounts!J444)</f>
        <v/>
      </c>
      <c r="J195" s="739" t="str">
        <f>IF(D_ETS1Amounts!L444="","",D_ETS1Amounts!L444)</f>
        <v/>
      </c>
      <c r="K195" s="739" t="str">
        <f>IF(D_ETS1Amounts!M444="","",D_ETS1Amounts!M444)</f>
        <v/>
      </c>
      <c r="L195" s="739" t="str">
        <f>IF(D_ETS1Amounts!T444="","",D_ETS1Amounts!T444)</f>
        <v/>
      </c>
      <c r="M195" s="681"/>
    </row>
    <row r="196" spans="1:13" hidden="1" x14ac:dyDescent="0.25">
      <c r="A196" s="674" t="s">
        <v>0</v>
      </c>
      <c r="B196" s="679"/>
      <c r="D196" s="496">
        <v>159</v>
      </c>
      <c r="E196" s="1436" t="str">
        <f>IF(D_ETS1Amounts!E445="","",D_ETS1Amounts!E445)</f>
        <v/>
      </c>
      <c r="F196" s="1436"/>
      <c r="G196" s="736" t="str">
        <f>IF(D_ETS1Amounts!F445="","",D_ETS1Amounts!F445)</f>
        <v/>
      </c>
      <c r="H196" s="737" t="str">
        <f>IF(D_ETS1Amounts!H445="","",D_ETS1Amounts!H445)</f>
        <v/>
      </c>
      <c r="I196" s="738" t="str">
        <f>IF(D_ETS1Amounts!J445="","",D_ETS1Amounts!J445)</f>
        <v/>
      </c>
      <c r="J196" s="739" t="str">
        <f>IF(D_ETS1Amounts!L445="","",D_ETS1Amounts!L445)</f>
        <v/>
      </c>
      <c r="K196" s="739" t="str">
        <f>IF(D_ETS1Amounts!M445="","",D_ETS1Amounts!M445)</f>
        <v/>
      </c>
      <c r="L196" s="739" t="str">
        <f>IF(D_ETS1Amounts!T445="","",D_ETS1Amounts!T445)</f>
        <v/>
      </c>
      <c r="M196" s="681"/>
    </row>
    <row r="197" spans="1:13" hidden="1" x14ac:dyDescent="0.25">
      <c r="A197" s="674" t="s">
        <v>0</v>
      </c>
      <c r="B197" s="679"/>
      <c r="D197" s="496">
        <v>160</v>
      </c>
      <c r="E197" s="1436" t="str">
        <f>IF(D_ETS1Amounts!E446="","",D_ETS1Amounts!E446)</f>
        <v/>
      </c>
      <c r="F197" s="1436"/>
      <c r="G197" s="736" t="str">
        <f>IF(D_ETS1Amounts!F446="","",D_ETS1Amounts!F446)</f>
        <v/>
      </c>
      <c r="H197" s="737" t="str">
        <f>IF(D_ETS1Amounts!H446="","",D_ETS1Amounts!H446)</f>
        <v/>
      </c>
      <c r="I197" s="738" t="str">
        <f>IF(D_ETS1Amounts!J446="","",D_ETS1Amounts!J446)</f>
        <v/>
      </c>
      <c r="J197" s="739" t="str">
        <f>IF(D_ETS1Amounts!L446="","",D_ETS1Amounts!L446)</f>
        <v/>
      </c>
      <c r="K197" s="739" t="str">
        <f>IF(D_ETS1Amounts!M446="","",D_ETS1Amounts!M446)</f>
        <v/>
      </c>
      <c r="L197" s="739" t="str">
        <f>IF(D_ETS1Amounts!T446="","",D_ETS1Amounts!T446)</f>
        <v/>
      </c>
      <c r="M197" s="681"/>
    </row>
    <row r="198" spans="1:13" hidden="1" x14ac:dyDescent="0.25">
      <c r="A198" s="674" t="s">
        <v>0</v>
      </c>
      <c r="B198" s="679"/>
      <c r="D198" s="496">
        <v>161</v>
      </c>
      <c r="E198" s="1436" t="str">
        <f>IF(D_ETS1Amounts!E447="","",D_ETS1Amounts!E447)</f>
        <v/>
      </c>
      <c r="F198" s="1436"/>
      <c r="G198" s="736" t="str">
        <f>IF(D_ETS1Amounts!F447="","",D_ETS1Amounts!F447)</f>
        <v/>
      </c>
      <c r="H198" s="737" t="str">
        <f>IF(D_ETS1Amounts!H447="","",D_ETS1Amounts!H447)</f>
        <v/>
      </c>
      <c r="I198" s="738" t="str">
        <f>IF(D_ETS1Amounts!J447="","",D_ETS1Amounts!J447)</f>
        <v/>
      </c>
      <c r="J198" s="739" t="str">
        <f>IF(D_ETS1Amounts!L447="","",D_ETS1Amounts!L447)</f>
        <v/>
      </c>
      <c r="K198" s="739" t="str">
        <f>IF(D_ETS1Amounts!M447="","",D_ETS1Amounts!M447)</f>
        <v/>
      </c>
      <c r="L198" s="739" t="str">
        <f>IF(D_ETS1Amounts!T447="","",D_ETS1Amounts!T447)</f>
        <v/>
      </c>
      <c r="M198" s="681"/>
    </row>
    <row r="199" spans="1:13" hidden="1" x14ac:dyDescent="0.25">
      <c r="A199" s="674" t="s">
        <v>0</v>
      </c>
      <c r="B199" s="679"/>
      <c r="D199" s="496">
        <v>162</v>
      </c>
      <c r="E199" s="1436" t="str">
        <f>IF(D_ETS1Amounts!E448="","",D_ETS1Amounts!E448)</f>
        <v/>
      </c>
      <c r="F199" s="1436"/>
      <c r="G199" s="736" t="str">
        <f>IF(D_ETS1Amounts!F448="","",D_ETS1Amounts!F448)</f>
        <v/>
      </c>
      <c r="H199" s="737" t="str">
        <f>IF(D_ETS1Amounts!H448="","",D_ETS1Amounts!H448)</f>
        <v/>
      </c>
      <c r="I199" s="738" t="str">
        <f>IF(D_ETS1Amounts!J448="","",D_ETS1Amounts!J448)</f>
        <v/>
      </c>
      <c r="J199" s="739" t="str">
        <f>IF(D_ETS1Amounts!L448="","",D_ETS1Amounts!L448)</f>
        <v/>
      </c>
      <c r="K199" s="739" t="str">
        <f>IF(D_ETS1Amounts!M448="","",D_ETS1Amounts!M448)</f>
        <v/>
      </c>
      <c r="L199" s="739" t="str">
        <f>IF(D_ETS1Amounts!T448="","",D_ETS1Amounts!T448)</f>
        <v/>
      </c>
      <c r="M199" s="681"/>
    </row>
    <row r="200" spans="1:13" hidden="1" x14ac:dyDescent="0.25">
      <c r="A200" s="674" t="s">
        <v>0</v>
      </c>
      <c r="B200" s="679"/>
      <c r="D200" s="496">
        <v>163</v>
      </c>
      <c r="E200" s="1436" t="str">
        <f>IF(D_ETS1Amounts!E449="","",D_ETS1Amounts!E449)</f>
        <v/>
      </c>
      <c r="F200" s="1436"/>
      <c r="G200" s="736" t="str">
        <f>IF(D_ETS1Amounts!F449="","",D_ETS1Amounts!F449)</f>
        <v/>
      </c>
      <c r="H200" s="737" t="str">
        <f>IF(D_ETS1Amounts!H449="","",D_ETS1Amounts!H449)</f>
        <v/>
      </c>
      <c r="I200" s="738" t="str">
        <f>IF(D_ETS1Amounts!J449="","",D_ETS1Amounts!J449)</f>
        <v/>
      </c>
      <c r="J200" s="739" t="str">
        <f>IF(D_ETS1Amounts!L449="","",D_ETS1Amounts!L449)</f>
        <v/>
      </c>
      <c r="K200" s="739" t="str">
        <f>IF(D_ETS1Amounts!M449="","",D_ETS1Amounts!M449)</f>
        <v/>
      </c>
      <c r="L200" s="739" t="str">
        <f>IF(D_ETS1Amounts!T449="","",D_ETS1Amounts!T449)</f>
        <v/>
      </c>
      <c r="M200" s="681"/>
    </row>
    <row r="201" spans="1:13" hidden="1" x14ac:dyDescent="0.25">
      <c r="A201" s="674" t="s">
        <v>0</v>
      </c>
      <c r="B201" s="679"/>
      <c r="D201" s="496">
        <v>164</v>
      </c>
      <c r="E201" s="1436" t="str">
        <f>IF(D_ETS1Amounts!E450="","",D_ETS1Amounts!E450)</f>
        <v/>
      </c>
      <c r="F201" s="1436"/>
      <c r="G201" s="736" t="str">
        <f>IF(D_ETS1Amounts!F450="","",D_ETS1Amounts!F450)</f>
        <v/>
      </c>
      <c r="H201" s="737" t="str">
        <f>IF(D_ETS1Amounts!H450="","",D_ETS1Amounts!H450)</f>
        <v/>
      </c>
      <c r="I201" s="738" t="str">
        <f>IF(D_ETS1Amounts!J450="","",D_ETS1Amounts!J450)</f>
        <v/>
      </c>
      <c r="J201" s="739" t="str">
        <f>IF(D_ETS1Amounts!L450="","",D_ETS1Amounts!L450)</f>
        <v/>
      </c>
      <c r="K201" s="739" t="str">
        <f>IF(D_ETS1Amounts!M450="","",D_ETS1Amounts!M450)</f>
        <v/>
      </c>
      <c r="L201" s="739" t="str">
        <f>IF(D_ETS1Amounts!T450="","",D_ETS1Amounts!T450)</f>
        <v/>
      </c>
      <c r="M201" s="681"/>
    </row>
    <row r="202" spans="1:13" hidden="1" x14ac:dyDescent="0.25">
      <c r="A202" s="674" t="s">
        <v>0</v>
      </c>
      <c r="B202" s="679"/>
      <c r="D202" s="496">
        <v>165</v>
      </c>
      <c r="E202" s="1436" t="str">
        <f>IF(D_ETS1Amounts!E451="","",D_ETS1Amounts!E451)</f>
        <v/>
      </c>
      <c r="F202" s="1436"/>
      <c r="G202" s="736" t="str">
        <f>IF(D_ETS1Amounts!F451="","",D_ETS1Amounts!F451)</f>
        <v/>
      </c>
      <c r="H202" s="737" t="str">
        <f>IF(D_ETS1Amounts!H451="","",D_ETS1Amounts!H451)</f>
        <v/>
      </c>
      <c r="I202" s="738" t="str">
        <f>IF(D_ETS1Amounts!J451="","",D_ETS1Amounts!J451)</f>
        <v/>
      </c>
      <c r="J202" s="739" t="str">
        <f>IF(D_ETS1Amounts!L451="","",D_ETS1Amounts!L451)</f>
        <v/>
      </c>
      <c r="K202" s="739" t="str">
        <f>IF(D_ETS1Amounts!M451="","",D_ETS1Amounts!M451)</f>
        <v/>
      </c>
      <c r="L202" s="739" t="str">
        <f>IF(D_ETS1Amounts!T451="","",D_ETS1Amounts!T451)</f>
        <v/>
      </c>
      <c r="M202" s="681"/>
    </row>
    <row r="203" spans="1:13" hidden="1" x14ac:dyDescent="0.25">
      <c r="A203" s="674" t="s">
        <v>0</v>
      </c>
      <c r="B203" s="679"/>
      <c r="D203" s="496">
        <v>166</v>
      </c>
      <c r="E203" s="1436" t="str">
        <f>IF(D_ETS1Amounts!E452="","",D_ETS1Amounts!E452)</f>
        <v/>
      </c>
      <c r="F203" s="1436"/>
      <c r="G203" s="736" t="str">
        <f>IF(D_ETS1Amounts!F452="","",D_ETS1Amounts!F452)</f>
        <v/>
      </c>
      <c r="H203" s="737" t="str">
        <f>IF(D_ETS1Amounts!H452="","",D_ETS1Amounts!H452)</f>
        <v/>
      </c>
      <c r="I203" s="738" t="str">
        <f>IF(D_ETS1Amounts!J452="","",D_ETS1Amounts!J452)</f>
        <v/>
      </c>
      <c r="J203" s="739" t="str">
        <f>IF(D_ETS1Amounts!L452="","",D_ETS1Amounts!L452)</f>
        <v/>
      </c>
      <c r="K203" s="739" t="str">
        <f>IF(D_ETS1Amounts!M452="","",D_ETS1Amounts!M452)</f>
        <v/>
      </c>
      <c r="L203" s="739" t="str">
        <f>IF(D_ETS1Amounts!T452="","",D_ETS1Amounts!T452)</f>
        <v/>
      </c>
      <c r="M203" s="681"/>
    </row>
    <row r="204" spans="1:13" hidden="1" x14ac:dyDescent="0.25">
      <c r="A204" s="674" t="s">
        <v>0</v>
      </c>
      <c r="B204" s="679"/>
      <c r="D204" s="496">
        <v>167</v>
      </c>
      <c r="E204" s="1436" t="str">
        <f>IF(D_ETS1Amounts!E453="","",D_ETS1Amounts!E453)</f>
        <v/>
      </c>
      <c r="F204" s="1436"/>
      <c r="G204" s="736" t="str">
        <f>IF(D_ETS1Amounts!F453="","",D_ETS1Amounts!F453)</f>
        <v/>
      </c>
      <c r="H204" s="737" t="str">
        <f>IF(D_ETS1Amounts!H453="","",D_ETS1Amounts!H453)</f>
        <v/>
      </c>
      <c r="I204" s="738" t="str">
        <f>IF(D_ETS1Amounts!J453="","",D_ETS1Amounts!J453)</f>
        <v/>
      </c>
      <c r="J204" s="739" t="str">
        <f>IF(D_ETS1Amounts!L453="","",D_ETS1Amounts!L453)</f>
        <v/>
      </c>
      <c r="K204" s="739" t="str">
        <f>IF(D_ETS1Amounts!M453="","",D_ETS1Amounts!M453)</f>
        <v/>
      </c>
      <c r="L204" s="739" t="str">
        <f>IF(D_ETS1Amounts!T453="","",D_ETS1Amounts!T453)</f>
        <v/>
      </c>
      <c r="M204" s="681"/>
    </row>
    <row r="205" spans="1:13" hidden="1" x14ac:dyDescent="0.25">
      <c r="A205" s="674" t="s">
        <v>0</v>
      </c>
      <c r="B205" s="679"/>
      <c r="D205" s="496">
        <v>168</v>
      </c>
      <c r="E205" s="1436" t="str">
        <f>IF(D_ETS1Amounts!E454="","",D_ETS1Amounts!E454)</f>
        <v/>
      </c>
      <c r="F205" s="1436"/>
      <c r="G205" s="736" t="str">
        <f>IF(D_ETS1Amounts!F454="","",D_ETS1Amounts!F454)</f>
        <v/>
      </c>
      <c r="H205" s="737" t="str">
        <f>IF(D_ETS1Amounts!H454="","",D_ETS1Amounts!H454)</f>
        <v/>
      </c>
      <c r="I205" s="738" t="str">
        <f>IF(D_ETS1Amounts!J454="","",D_ETS1Amounts!J454)</f>
        <v/>
      </c>
      <c r="J205" s="739" t="str">
        <f>IF(D_ETS1Amounts!L454="","",D_ETS1Amounts!L454)</f>
        <v/>
      </c>
      <c r="K205" s="739" t="str">
        <f>IF(D_ETS1Amounts!M454="","",D_ETS1Amounts!M454)</f>
        <v/>
      </c>
      <c r="L205" s="739" t="str">
        <f>IF(D_ETS1Amounts!T454="","",D_ETS1Amounts!T454)</f>
        <v/>
      </c>
      <c r="M205" s="681"/>
    </row>
    <row r="206" spans="1:13" hidden="1" x14ac:dyDescent="0.25">
      <c r="A206" s="674" t="s">
        <v>0</v>
      </c>
      <c r="B206" s="679"/>
      <c r="D206" s="496">
        <v>169</v>
      </c>
      <c r="E206" s="1436" t="str">
        <f>IF(D_ETS1Amounts!E455="","",D_ETS1Amounts!E455)</f>
        <v/>
      </c>
      <c r="F206" s="1436"/>
      <c r="G206" s="736" t="str">
        <f>IF(D_ETS1Amounts!F455="","",D_ETS1Amounts!F455)</f>
        <v/>
      </c>
      <c r="H206" s="737" t="str">
        <f>IF(D_ETS1Amounts!H455="","",D_ETS1Amounts!H455)</f>
        <v/>
      </c>
      <c r="I206" s="738" t="str">
        <f>IF(D_ETS1Amounts!J455="","",D_ETS1Amounts!J455)</f>
        <v/>
      </c>
      <c r="J206" s="739" t="str">
        <f>IF(D_ETS1Amounts!L455="","",D_ETS1Amounts!L455)</f>
        <v/>
      </c>
      <c r="K206" s="739" t="str">
        <f>IF(D_ETS1Amounts!M455="","",D_ETS1Amounts!M455)</f>
        <v/>
      </c>
      <c r="L206" s="739" t="str">
        <f>IF(D_ETS1Amounts!T455="","",D_ETS1Amounts!T455)</f>
        <v/>
      </c>
      <c r="M206" s="681"/>
    </row>
    <row r="207" spans="1:13" hidden="1" x14ac:dyDescent="0.25">
      <c r="A207" s="674" t="s">
        <v>0</v>
      </c>
      <c r="B207" s="679"/>
      <c r="D207" s="496">
        <v>170</v>
      </c>
      <c r="E207" s="1436" t="str">
        <f>IF(D_ETS1Amounts!E456="","",D_ETS1Amounts!E456)</f>
        <v/>
      </c>
      <c r="F207" s="1436"/>
      <c r="G207" s="736" t="str">
        <f>IF(D_ETS1Amounts!F456="","",D_ETS1Amounts!F456)</f>
        <v/>
      </c>
      <c r="H207" s="737" t="str">
        <f>IF(D_ETS1Amounts!H456="","",D_ETS1Amounts!H456)</f>
        <v/>
      </c>
      <c r="I207" s="738" t="str">
        <f>IF(D_ETS1Amounts!J456="","",D_ETS1Amounts!J456)</f>
        <v/>
      </c>
      <c r="J207" s="739" t="str">
        <f>IF(D_ETS1Amounts!L456="","",D_ETS1Amounts!L456)</f>
        <v/>
      </c>
      <c r="K207" s="739" t="str">
        <f>IF(D_ETS1Amounts!M456="","",D_ETS1Amounts!M456)</f>
        <v/>
      </c>
      <c r="L207" s="739" t="str">
        <f>IF(D_ETS1Amounts!T456="","",D_ETS1Amounts!T456)</f>
        <v/>
      </c>
      <c r="M207" s="681"/>
    </row>
    <row r="208" spans="1:13" hidden="1" x14ac:dyDescent="0.25">
      <c r="A208" s="674" t="s">
        <v>0</v>
      </c>
      <c r="B208" s="679"/>
      <c r="D208" s="496">
        <v>171</v>
      </c>
      <c r="E208" s="1436" t="str">
        <f>IF(D_ETS1Amounts!E457="","",D_ETS1Amounts!E457)</f>
        <v/>
      </c>
      <c r="F208" s="1436"/>
      <c r="G208" s="736" t="str">
        <f>IF(D_ETS1Amounts!F457="","",D_ETS1Amounts!F457)</f>
        <v/>
      </c>
      <c r="H208" s="737" t="str">
        <f>IF(D_ETS1Amounts!H457="","",D_ETS1Amounts!H457)</f>
        <v/>
      </c>
      <c r="I208" s="738" t="str">
        <f>IF(D_ETS1Amounts!J457="","",D_ETS1Amounts!J457)</f>
        <v/>
      </c>
      <c r="J208" s="739" t="str">
        <f>IF(D_ETS1Amounts!L457="","",D_ETS1Amounts!L457)</f>
        <v/>
      </c>
      <c r="K208" s="739" t="str">
        <f>IF(D_ETS1Amounts!M457="","",D_ETS1Amounts!M457)</f>
        <v/>
      </c>
      <c r="L208" s="739" t="str">
        <f>IF(D_ETS1Amounts!T457="","",D_ETS1Amounts!T457)</f>
        <v/>
      </c>
      <c r="M208" s="681"/>
    </row>
    <row r="209" spans="1:13" hidden="1" x14ac:dyDescent="0.25">
      <c r="A209" s="674" t="s">
        <v>0</v>
      </c>
      <c r="B209" s="679"/>
      <c r="D209" s="496">
        <v>172</v>
      </c>
      <c r="E209" s="1436" t="str">
        <f>IF(D_ETS1Amounts!E458="","",D_ETS1Amounts!E458)</f>
        <v/>
      </c>
      <c r="F209" s="1436"/>
      <c r="G209" s="736" t="str">
        <f>IF(D_ETS1Amounts!F458="","",D_ETS1Amounts!F458)</f>
        <v/>
      </c>
      <c r="H209" s="737" t="str">
        <f>IF(D_ETS1Amounts!H458="","",D_ETS1Amounts!H458)</f>
        <v/>
      </c>
      <c r="I209" s="738" t="str">
        <f>IF(D_ETS1Amounts!J458="","",D_ETS1Amounts!J458)</f>
        <v/>
      </c>
      <c r="J209" s="739" t="str">
        <f>IF(D_ETS1Amounts!L458="","",D_ETS1Amounts!L458)</f>
        <v/>
      </c>
      <c r="K209" s="739" t="str">
        <f>IF(D_ETS1Amounts!M458="","",D_ETS1Amounts!M458)</f>
        <v/>
      </c>
      <c r="L209" s="739" t="str">
        <f>IF(D_ETS1Amounts!T458="","",D_ETS1Amounts!T458)</f>
        <v/>
      </c>
      <c r="M209" s="681"/>
    </row>
    <row r="210" spans="1:13" hidden="1" x14ac:dyDescent="0.25">
      <c r="A210" s="674" t="s">
        <v>0</v>
      </c>
      <c r="B210" s="679"/>
      <c r="D210" s="496">
        <v>173</v>
      </c>
      <c r="E210" s="1436" t="str">
        <f>IF(D_ETS1Amounts!E459="","",D_ETS1Amounts!E459)</f>
        <v/>
      </c>
      <c r="F210" s="1436"/>
      <c r="G210" s="736" t="str">
        <f>IF(D_ETS1Amounts!F459="","",D_ETS1Amounts!F459)</f>
        <v/>
      </c>
      <c r="H210" s="737" t="str">
        <f>IF(D_ETS1Amounts!H459="","",D_ETS1Amounts!H459)</f>
        <v/>
      </c>
      <c r="I210" s="738" t="str">
        <f>IF(D_ETS1Amounts!J459="","",D_ETS1Amounts!J459)</f>
        <v/>
      </c>
      <c r="J210" s="739" t="str">
        <f>IF(D_ETS1Amounts!L459="","",D_ETS1Amounts!L459)</f>
        <v/>
      </c>
      <c r="K210" s="739" t="str">
        <f>IF(D_ETS1Amounts!M459="","",D_ETS1Amounts!M459)</f>
        <v/>
      </c>
      <c r="L210" s="739" t="str">
        <f>IF(D_ETS1Amounts!T459="","",D_ETS1Amounts!T459)</f>
        <v/>
      </c>
      <c r="M210" s="681"/>
    </row>
    <row r="211" spans="1:13" hidden="1" x14ac:dyDescent="0.25">
      <c r="A211" s="674" t="s">
        <v>0</v>
      </c>
      <c r="B211" s="679"/>
      <c r="D211" s="496">
        <v>174</v>
      </c>
      <c r="E211" s="1436" t="str">
        <f>IF(D_ETS1Amounts!E460="","",D_ETS1Amounts!E460)</f>
        <v/>
      </c>
      <c r="F211" s="1436"/>
      <c r="G211" s="736" t="str">
        <f>IF(D_ETS1Amounts!F460="","",D_ETS1Amounts!F460)</f>
        <v/>
      </c>
      <c r="H211" s="737" t="str">
        <f>IF(D_ETS1Amounts!H460="","",D_ETS1Amounts!H460)</f>
        <v/>
      </c>
      <c r="I211" s="738" t="str">
        <f>IF(D_ETS1Amounts!J460="","",D_ETS1Amounts!J460)</f>
        <v/>
      </c>
      <c r="J211" s="739" t="str">
        <f>IF(D_ETS1Amounts!L460="","",D_ETS1Amounts!L460)</f>
        <v/>
      </c>
      <c r="K211" s="739" t="str">
        <f>IF(D_ETS1Amounts!M460="","",D_ETS1Amounts!M460)</f>
        <v/>
      </c>
      <c r="L211" s="739" t="str">
        <f>IF(D_ETS1Amounts!T460="","",D_ETS1Amounts!T460)</f>
        <v/>
      </c>
      <c r="M211" s="681"/>
    </row>
    <row r="212" spans="1:13" hidden="1" x14ac:dyDescent="0.25">
      <c r="A212" s="674" t="s">
        <v>0</v>
      </c>
      <c r="B212" s="679"/>
      <c r="D212" s="496">
        <v>175</v>
      </c>
      <c r="E212" s="1436" t="str">
        <f>IF(D_ETS1Amounts!E461="","",D_ETS1Amounts!E461)</f>
        <v/>
      </c>
      <c r="F212" s="1436"/>
      <c r="G212" s="736" t="str">
        <f>IF(D_ETS1Amounts!F461="","",D_ETS1Amounts!F461)</f>
        <v/>
      </c>
      <c r="H212" s="737" t="str">
        <f>IF(D_ETS1Amounts!H461="","",D_ETS1Amounts!H461)</f>
        <v/>
      </c>
      <c r="I212" s="738" t="str">
        <f>IF(D_ETS1Amounts!J461="","",D_ETS1Amounts!J461)</f>
        <v/>
      </c>
      <c r="J212" s="739" t="str">
        <f>IF(D_ETS1Amounts!L461="","",D_ETS1Amounts!L461)</f>
        <v/>
      </c>
      <c r="K212" s="739" t="str">
        <f>IF(D_ETS1Amounts!M461="","",D_ETS1Amounts!M461)</f>
        <v/>
      </c>
      <c r="L212" s="739" t="str">
        <f>IF(D_ETS1Amounts!T461="","",D_ETS1Amounts!T461)</f>
        <v/>
      </c>
      <c r="M212" s="681"/>
    </row>
    <row r="213" spans="1:13" hidden="1" x14ac:dyDescent="0.25">
      <c r="A213" s="674" t="s">
        <v>0</v>
      </c>
      <c r="B213" s="679"/>
      <c r="D213" s="496">
        <v>176</v>
      </c>
      <c r="E213" s="1436" t="str">
        <f>IF(D_ETS1Amounts!E462="","",D_ETS1Amounts!E462)</f>
        <v/>
      </c>
      <c r="F213" s="1436"/>
      <c r="G213" s="736" t="str">
        <f>IF(D_ETS1Amounts!F462="","",D_ETS1Amounts!F462)</f>
        <v/>
      </c>
      <c r="H213" s="737" t="str">
        <f>IF(D_ETS1Amounts!H462="","",D_ETS1Amounts!H462)</f>
        <v/>
      </c>
      <c r="I213" s="738" t="str">
        <f>IF(D_ETS1Amounts!J462="","",D_ETS1Amounts!J462)</f>
        <v/>
      </c>
      <c r="J213" s="739" t="str">
        <f>IF(D_ETS1Amounts!L462="","",D_ETS1Amounts!L462)</f>
        <v/>
      </c>
      <c r="K213" s="739" t="str">
        <f>IF(D_ETS1Amounts!M462="","",D_ETS1Amounts!M462)</f>
        <v/>
      </c>
      <c r="L213" s="739" t="str">
        <f>IF(D_ETS1Amounts!T462="","",D_ETS1Amounts!T462)</f>
        <v/>
      </c>
      <c r="M213" s="681"/>
    </row>
    <row r="214" spans="1:13" hidden="1" x14ac:dyDescent="0.25">
      <c r="A214" s="674" t="s">
        <v>0</v>
      </c>
      <c r="B214" s="679"/>
      <c r="D214" s="496">
        <v>177</v>
      </c>
      <c r="E214" s="1436" t="str">
        <f>IF(D_ETS1Amounts!E463="","",D_ETS1Amounts!E463)</f>
        <v/>
      </c>
      <c r="F214" s="1436"/>
      <c r="G214" s="736" t="str">
        <f>IF(D_ETS1Amounts!F463="","",D_ETS1Amounts!F463)</f>
        <v/>
      </c>
      <c r="H214" s="737" t="str">
        <f>IF(D_ETS1Amounts!H463="","",D_ETS1Amounts!H463)</f>
        <v/>
      </c>
      <c r="I214" s="738" t="str">
        <f>IF(D_ETS1Amounts!J463="","",D_ETS1Amounts!J463)</f>
        <v/>
      </c>
      <c r="J214" s="739" t="str">
        <f>IF(D_ETS1Amounts!L463="","",D_ETS1Amounts!L463)</f>
        <v/>
      </c>
      <c r="K214" s="739" t="str">
        <f>IF(D_ETS1Amounts!M463="","",D_ETS1Amounts!M463)</f>
        <v/>
      </c>
      <c r="L214" s="739" t="str">
        <f>IF(D_ETS1Amounts!T463="","",D_ETS1Amounts!T463)</f>
        <v/>
      </c>
      <c r="M214" s="681"/>
    </row>
    <row r="215" spans="1:13" hidden="1" x14ac:dyDescent="0.25">
      <c r="A215" s="674" t="s">
        <v>0</v>
      </c>
      <c r="B215" s="679"/>
      <c r="D215" s="496">
        <v>178</v>
      </c>
      <c r="E215" s="1436" t="str">
        <f>IF(D_ETS1Amounts!E464="","",D_ETS1Amounts!E464)</f>
        <v/>
      </c>
      <c r="F215" s="1436"/>
      <c r="G215" s="736" t="str">
        <f>IF(D_ETS1Amounts!F464="","",D_ETS1Amounts!F464)</f>
        <v/>
      </c>
      <c r="H215" s="737" t="str">
        <f>IF(D_ETS1Amounts!H464="","",D_ETS1Amounts!H464)</f>
        <v/>
      </c>
      <c r="I215" s="738" t="str">
        <f>IF(D_ETS1Amounts!J464="","",D_ETS1Amounts!J464)</f>
        <v/>
      </c>
      <c r="J215" s="739" t="str">
        <f>IF(D_ETS1Amounts!L464="","",D_ETS1Amounts!L464)</f>
        <v/>
      </c>
      <c r="K215" s="739" t="str">
        <f>IF(D_ETS1Amounts!M464="","",D_ETS1Amounts!M464)</f>
        <v/>
      </c>
      <c r="L215" s="739" t="str">
        <f>IF(D_ETS1Amounts!T464="","",D_ETS1Amounts!T464)</f>
        <v/>
      </c>
      <c r="M215" s="681"/>
    </row>
    <row r="216" spans="1:13" hidden="1" x14ac:dyDescent="0.25">
      <c r="A216" s="674" t="s">
        <v>0</v>
      </c>
      <c r="B216" s="679"/>
      <c r="D216" s="496">
        <v>179</v>
      </c>
      <c r="E216" s="1436" t="str">
        <f>IF(D_ETS1Amounts!E465="","",D_ETS1Amounts!E465)</f>
        <v/>
      </c>
      <c r="F216" s="1436"/>
      <c r="G216" s="736" t="str">
        <f>IF(D_ETS1Amounts!F465="","",D_ETS1Amounts!F465)</f>
        <v/>
      </c>
      <c r="H216" s="737" t="str">
        <f>IF(D_ETS1Amounts!H465="","",D_ETS1Amounts!H465)</f>
        <v/>
      </c>
      <c r="I216" s="738" t="str">
        <f>IF(D_ETS1Amounts!J465="","",D_ETS1Amounts!J465)</f>
        <v/>
      </c>
      <c r="J216" s="739" t="str">
        <f>IF(D_ETS1Amounts!L465="","",D_ETS1Amounts!L465)</f>
        <v/>
      </c>
      <c r="K216" s="739" t="str">
        <f>IF(D_ETS1Amounts!M465="","",D_ETS1Amounts!M465)</f>
        <v/>
      </c>
      <c r="L216" s="739" t="str">
        <f>IF(D_ETS1Amounts!T465="","",D_ETS1Amounts!T465)</f>
        <v/>
      </c>
      <c r="M216" s="681"/>
    </row>
    <row r="217" spans="1:13" hidden="1" x14ac:dyDescent="0.25">
      <c r="A217" s="674" t="s">
        <v>0</v>
      </c>
      <c r="B217" s="679"/>
      <c r="D217" s="496">
        <v>180</v>
      </c>
      <c r="E217" s="1436" t="str">
        <f>IF(D_ETS1Amounts!E466="","",D_ETS1Amounts!E466)</f>
        <v/>
      </c>
      <c r="F217" s="1436"/>
      <c r="G217" s="736" t="str">
        <f>IF(D_ETS1Amounts!F466="","",D_ETS1Amounts!F466)</f>
        <v/>
      </c>
      <c r="H217" s="737" t="str">
        <f>IF(D_ETS1Amounts!H466="","",D_ETS1Amounts!H466)</f>
        <v/>
      </c>
      <c r="I217" s="738" t="str">
        <f>IF(D_ETS1Amounts!J466="","",D_ETS1Amounts!J466)</f>
        <v/>
      </c>
      <c r="J217" s="739" t="str">
        <f>IF(D_ETS1Amounts!L466="","",D_ETS1Amounts!L466)</f>
        <v/>
      </c>
      <c r="K217" s="739" t="str">
        <f>IF(D_ETS1Amounts!M466="","",D_ETS1Amounts!M466)</f>
        <v/>
      </c>
      <c r="L217" s="739" t="str">
        <f>IF(D_ETS1Amounts!T466="","",D_ETS1Amounts!T466)</f>
        <v/>
      </c>
      <c r="M217" s="681"/>
    </row>
    <row r="218" spans="1:13" hidden="1" x14ac:dyDescent="0.25">
      <c r="A218" s="674" t="s">
        <v>0</v>
      </c>
      <c r="B218" s="679"/>
      <c r="D218" s="496">
        <v>181</v>
      </c>
      <c r="E218" s="1436" t="str">
        <f>IF(D_ETS1Amounts!E467="","",D_ETS1Amounts!E467)</f>
        <v/>
      </c>
      <c r="F218" s="1436"/>
      <c r="G218" s="736" t="str">
        <f>IF(D_ETS1Amounts!F467="","",D_ETS1Amounts!F467)</f>
        <v/>
      </c>
      <c r="H218" s="737" t="str">
        <f>IF(D_ETS1Amounts!H467="","",D_ETS1Amounts!H467)</f>
        <v/>
      </c>
      <c r="I218" s="738" t="str">
        <f>IF(D_ETS1Amounts!J467="","",D_ETS1Amounts!J467)</f>
        <v/>
      </c>
      <c r="J218" s="739" t="str">
        <f>IF(D_ETS1Amounts!L467="","",D_ETS1Amounts!L467)</f>
        <v/>
      </c>
      <c r="K218" s="739" t="str">
        <f>IF(D_ETS1Amounts!M467="","",D_ETS1Amounts!M467)</f>
        <v/>
      </c>
      <c r="L218" s="739" t="str">
        <f>IF(D_ETS1Amounts!T467="","",D_ETS1Amounts!T467)</f>
        <v/>
      </c>
      <c r="M218" s="681"/>
    </row>
    <row r="219" spans="1:13" hidden="1" x14ac:dyDescent="0.25">
      <c r="A219" s="674" t="s">
        <v>0</v>
      </c>
      <c r="B219" s="679"/>
      <c r="D219" s="496">
        <v>182</v>
      </c>
      <c r="E219" s="1436" t="str">
        <f>IF(D_ETS1Amounts!E468="","",D_ETS1Amounts!E468)</f>
        <v/>
      </c>
      <c r="F219" s="1436"/>
      <c r="G219" s="736" t="str">
        <f>IF(D_ETS1Amounts!F468="","",D_ETS1Amounts!F468)</f>
        <v/>
      </c>
      <c r="H219" s="737" t="str">
        <f>IF(D_ETS1Amounts!H468="","",D_ETS1Amounts!H468)</f>
        <v/>
      </c>
      <c r="I219" s="738" t="str">
        <f>IF(D_ETS1Amounts!J468="","",D_ETS1Amounts!J468)</f>
        <v/>
      </c>
      <c r="J219" s="739" t="str">
        <f>IF(D_ETS1Amounts!L468="","",D_ETS1Amounts!L468)</f>
        <v/>
      </c>
      <c r="K219" s="739" t="str">
        <f>IF(D_ETS1Amounts!M468="","",D_ETS1Amounts!M468)</f>
        <v/>
      </c>
      <c r="L219" s="739" t="str">
        <f>IF(D_ETS1Amounts!T468="","",D_ETS1Amounts!T468)</f>
        <v/>
      </c>
      <c r="M219" s="681"/>
    </row>
    <row r="220" spans="1:13" hidden="1" x14ac:dyDescent="0.25">
      <c r="A220" s="674" t="s">
        <v>0</v>
      </c>
      <c r="B220" s="679"/>
      <c r="D220" s="496">
        <v>183</v>
      </c>
      <c r="E220" s="1436" t="str">
        <f>IF(D_ETS1Amounts!E469="","",D_ETS1Amounts!E469)</f>
        <v/>
      </c>
      <c r="F220" s="1436"/>
      <c r="G220" s="736" t="str">
        <f>IF(D_ETS1Amounts!F469="","",D_ETS1Amounts!F469)</f>
        <v/>
      </c>
      <c r="H220" s="737" t="str">
        <f>IF(D_ETS1Amounts!H469="","",D_ETS1Amounts!H469)</f>
        <v/>
      </c>
      <c r="I220" s="738" t="str">
        <f>IF(D_ETS1Amounts!J469="","",D_ETS1Amounts!J469)</f>
        <v/>
      </c>
      <c r="J220" s="739" t="str">
        <f>IF(D_ETS1Amounts!L469="","",D_ETS1Amounts!L469)</f>
        <v/>
      </c>
      <c r="K220" s="739" t="str">
        <f>IF(D_ETS1Amounts!M469="","",D_ETS1Amounts!M469)</f>
        <v/>
      </c>
      <c r="L220" s="739" t="str">
        <f>IF(D_ETS1Amounts!T469="","",D_ETS1Amounts!T469)</f>
        <v/>
      </c>
      <c r="M220" s="681"/>
    </row>
    <row r="221" spans="1:13" hidden="1" x14ac:dyDescent="0.25">
      <c r="A221" s="674" t="s">
        <v>0</v>
      </c>
      <c r="B221" s="679"/>
      <c r="D221" s="496">
        <v>184</v>
      </c>
      <c r="E221" s="1436" t="str">
        <f>IF(D_ETS1Amounts!E470="","",D_ETS1Amounts!E470)</f>
        <v/>
      </c>
      <c r="F221" s="1436"/>
      <c r="G221" s="736" t="str">
        <f>IF(D_ETS1Amounts!F470="","",D_ETS1Amounts!F470)</f>
        <v/>
      </c>
      <c r="H221" s="737" t="str">
        <f>IF(D_ETS1Amounts!H470="","",D_ETS1Amounts!H470)</f>
        <v/>
      </c>
      <c r="I221" s="738" t="str">
        <f>IF(D_ETS1Amounts!J470="","",D_ETS1Amounts!J470)</f>
        <v/>
      </c>
      <c r="J221" s="739" t="str">
        <f>IF(D_ETS1Amounts!L470="","",D_ETS1Amounts!L470)</f>
        <v/>
      </c>
      <c r="K221" s="739" t="str">
        <f>IF(D_ETS1Amounts!M470="","",D_ETS1Amounts!M470)</f>
        <v/>
      </c>
      <c r="L221" s="739" t="str">
        <f>IF(D_ETS1Amounts!T470="","",D_ETS1Amounts!T470)</f>
        <v/>
      </c>
      <c r="M221" s="681"/>
    </row>
    <row r="222" spans="1:13" hidden="1" x14ac:dyDescent="0.25">
      <c r="A222" s="674" t="s">
        <v>0</v>
      </c>
      <c r="B222" s="679"/>
      <c r="D222" s="496">
        <v>185</v>
      </c>
      <c r="E222" s="1436" t="str">
        <f>IF(D_ETS1Amounts!E471="","",D_ETS1Amounts!E471)</f>
        <v/>
      </c>
      <c r="F222" s="1436"/>
      <c r="G222" s="736" t="str">
        <f>IF(D_ETS1Amounts!F471="","",D_ETS1Amounts!F471)</f>
        <v/>
      </c>
      <c r="H222" s="737" t="str">
        <f>IF(D_ETS1Amounts!H471="","",D_ETS1Amounts!H471)</f>
        <v/>
      </c>
      <c r="I222" s="738" t="str">
        <f>IF(D_ETS1Amounts!J471="","",D_ETS1Amounts!J471)</f>
        <v/>
      </c>
      <c r="J222" s="739" t="str">
        <f>IF(D_ETS1Amounts!L471="","",D_ETS1Amounts!L471)</f>
        <v/>
      </c>
      <c r="K222" s="739" t="str">
        <f>IF(D_ETS1Amounts!M471="","",D_ETS1Amounts!M471)</f>
        <v/>
      </c>
      <c r="L222" s="739" t="str">
        <f>IF(D_ETS1Amounts!T471="","",D_ETS1Amounts!T471)</f>
        <v/>
      </c>
      <c r="M222" s="681"/>
    </row>
    <row r="223" spans="1:13" hidden="1" x14ac:dyDescent="0.25">
      <c r="A223" s="674" t="s">
        <v>0</v>
      </c>
      <c r="B223" s="679"/>
      <c r="D223" s="496">
        <v>186</v>
      </c>
      <c r="E223" s="1436" t="str">
        <f>IF(D_ETS1Amounts!E472="","",D_ETS1Amounts!E472)</f>
        <v/>
      </c>
      <c r="F223" s="1436"/>
      <c r="G223" s="736" t="str">
        <f>IF(D_ETS1Amounts!F472="","",D_ETS1Amounts!F472)</f>
        <v/>
      </c>
      <c r="H223" s="737" t="str">
        <f>IF(D_ETS1Amounts!H472="","",D_ETS1Amounts!H472)</f>
        <v/>
      </c>
      <c r="I223" s="738" t="str">
        <f>IF(D_ETS1Amounts!J472="","",D_ETS1Amounts!J472)</f>
        <v/>
      </c>
      <c r="J223" s="739" t="str">
        <f>IF(D_ETS1Amounts!L472="","",D_ETS1Amounts!L472)</f>
        <v/>
      </c>
      <c r="K223" s="739" t="str">
        <f>IF(D_ETS1Amounts!M472="","",D_ETS1Amounts!M472)</f>
        <v/>
      </c>
      <c r="L223" s="739" t="str">
        <f>IF(D_ETS1Amounts!T472="","",D_ETS1Amounts!T472)</f>
        <v/>
      </c>
      <c r="M223" s="681"/>
    </row>
    <row r="224" spans="1:13" hidden="1" x14ac:dyDescent="0.25">
      <c r="A224" s="674" t="s">
        <v>0</v>
      </c>
      <c r="B224" s="679"/>
      <c r="D224" s="496">
        <v>187</v>
      </c>
      <c r="E224" s="1436" t="str">
        <f>IF(D_ETS1Amounts!E473="","",D_ETS1Amounts!E473)</f>
        <v/>
      </c>
      <c r="F224" s="1436"/>
      <c r="G224" s="736" t="str">
        <f>IF(D_ETS1Amounts!F473="","",D_ETS1Amounts!F473)</f>
        <v/>
      </c>
      <c r="H224" s="737" t="str">
        <f>IF(D_ETS1Amounts!H473="","",D_ETS1Amounts!H473)</f>
        <v/>
      </c>
      <c r="I224" s="738" t="str">
        <f>IF(D_ETS1Amounts!J473="","",D_ETS1Amounts!J473)</f>
        <v/>
      </c>
      <c r="J224" s="739" t="str">
        <f>IF(D_ETS1Amounts!L473="","",D_ETS1Amounts!L473)</f>
        <v/>
      </c>
      <c r="K224" s="739" t="str">
        <f>IF(D_ETS1Amounts!M473="","",D_ETS1Amounts!M473)</f>
        <v/>
      </c>
      <c r="L224" s="739" t="str">
        <f>IF(D_ETS1Amounts!T473="","",D_ETS1Amounts!T473)</f>
        <v/>
      </c>
      <c r="M224" s="681"/>
    </row>
    <row r="225" spans="1:13" hidden="1" x14ac:dyDescent="0.25">
      <c r="A225" s="674" t="s">
        <v>0</v>
      </c>
      <c r="B225" s="679"/>
      <c r="D225" s="496">
        <v>188</v>
      </c>
      <c r="E225" s="1436" t="str">
        <f>IF(D_ETS1Amounts!E474="","",D_ETS1Amounts!E474)</f>
        <v/>
      </c>
      <c r="F225" s="1436"/>
      <c r="G225" s="736" t="str">
        <f>IF(D_ETS1Amounts!F474="","",D_ETS1Amounts!F474)</f>
        <v/>
      </c>
      <c r="H225" s="737" t="str">
        <f>IF(D_ETS1Amounts!H474="","",D_ETS1Amounts!H474)</f>
        <v/>
      </c>
      <c r="I225" s="738" t="str">
        <f>IF(D_ETS1Amounts!J474="","",D_ETS1Amounts!J474)</f>
        <v/>
      </c>
      <c r="J225" s="739" t="str">
        <f>IF(D_ETS1Amounts!L474="","",D_ETS1Amounts!L474)</f>
        <v/>
      </c>
      <c r="K225" s="739" t="str">
        <f>IF(D_ETS1Amounts!M474="","",D_ETS1Amounts!M474)</f>
        <v/>
      </c>
      <c r="L225" s="739" t="str">
        <f>IF(D_ETS1Amounts!T474="","",D_ETS1Amounts!T474)</f>
        <v/>
      </c>
      <c r="M225" s="681"/>
    </row>
    <row r="226" spans="1:13" hidden="1" x14ac:dyDescent="0.25">
      <c r="A226" s="674" t="s">
        <v>0</v>
      </c>
      <c r="B226" s="679"/>
      <c r="D226" s="496">
        <v>189</v>
      </c>
      <c r="E226" s="1436" t="str">
        <f>IF(D_ETS1Amounts!E475="","",D_ETS1Amounts!E475)</f>
        <v/>
      </c>
      <c r="F226" s="1436"/>
      <c r="G226" s="736" t="str">
        <f>IF(D_ETS1Amounts!F475="","",D_ETS1Amounts!F475)</f>
        <v/>
      </c>
      <c r="H226" s="737" t="str">
        <f>IF(D_ETS1Amounts!H475="","",D_ETS1Amounts!H475)</f>
        <v/>
      </c>
      <c r="I226" s="738" t="str">
        <f>IF(D_ETS1Amounts!J475="","",D_ETS1Amounts!J475)</f>
        <v/>
      </c>
      <c r="J226" s="739" t="str">
        <f>IF(D_ETS1Amounts!L475="","",D_ETS1Amounts!L475)</f>
        <v/>
      </c>
      <c r="K226" s="739" t="str">
        <f>IF(D_ETS1Amounts!M475="","",D_ETS1Amounts!M475)</f>
        <v/>
      </c>
      <c r="L226" s="739" t="str">
        <f>IF(D_ETS1Amounts!T475="","",D_ETS1Amounts!T475)</f>
        <v/>
      </c>
      <c r="M226" s="681"/>
    </row>
    <row r="227" spans="1:13" hidden="1" x14ac:dyDescent="0.25">
      <c r="A227" s="674" t="s">
        <v>0</v>
      </c>
      <c r="B227" s="679"/>
      <c r="D227" s="496">
        <v>190</v>
      </c>
      <c r="E227" s="1436" t="str">
        <f>IF(D_ETS1Amounts!E476="","",D_ETS1Amounts!E476)</f>
        <v/>
      </c>
      <c r="F227" s="1436"/>
      <c r="G227" s="736" t="str">
        <f>IF(D_ETS1Amounts!F476="","",D_ETS1Amounts!F476)</f>
        <v/>
      </c>
      <c r="H227" s="737" t="str">
        <f>IF(D_ETS1Amounts!H476="","",D_ETS1Amounts!H476)</f>
        <v/>
      </c>
      <c r="I227" s="738" t="str">
        <f>IF(D_ETS1Amounts!J476="","",D_ETS1Amounts!J476)</f>
        <v/>
      </c>
      <c r="J227" s="739" t="str">
        <f>IF(D_ETS1Amounts!L476="","",D_ETS1Amounts!L476)</f>
        <v/>
      </c>
      <c r="K227" s="739" t="str">
        <f>IF(D_ETS1Amounts!M476="","",D_ETS1Amounts!M476)</f>
        <v/>
      </c>
      <c r="L227" s="739" t="str">
        <f>IF(D_ETS1Amounts!T476="","",D_ETS1Amounts!T476)</f>
        <v/>
      </c>
      <c r="M227" s="681"/>
    </row>
    <row r="228" spans="1:13" hidden="1" x14ac:dyDescent="0.25">
      <c r="A228" s="674" t="s">
        <v>0</v>
      </c>
      <c r="B228" s="679"/>
      <c r="D228" s="496">
        <v>191</v>
      </c>
      <c r="E228" s="1436" t="str">
        <f>IF(D_ETS1Amounts!E477="","",D_ETS1Amounts!E477)</f>
        <v/>
      </c>
      <c r="F228" s="1436"/>
      <c r="G228" s="736" t="str">
        <f>IF(D_ETS1Amounts!F477="","",D_ETS1Amounts!F477)</f>
        <v/>
      </c>
      <c r="H228" s="737" t="str">
        <f>IF(D_ETS1Amounts!H477="","",D_ETS1Amounts!H477)</f>
        <v/>
      </c>
      <c r="I228" s="738" t="str">
        <f>IF(D_ETS1Amounts!J477="","",D_ETS1Amounts!J477)</f>
        <v/>
      </c>
      <c r="J228" s="739" t="str">
        <f>IF(D_ETS1Amounts!L477="","",D_ETS1Amounts!L477)</f>
        <v/>
      </c>
      <c r="K228" s="739" t="str">
        <f>IF(D_ETS1Amounts!M477="","",D_ETS1Amounts!M477)</f>
        <v/>
      </c>
      <c r="L228" s="739" t="str">
        <f>IF(D_ETS1Amounts!T477="","",D_ETS1Amounts!T477)</f>
        <v/>
      </c>
      <c r="M228" s="681"/>
    </row>
    <row r="229" spans="1:13" hidden="1" x14ac:dyDescent="0.25">
      <c r="A229" s="674" t="s">
        <v>0</v>
      </c>
      <c r="B229" s="679"/>
      <c r="D229" s="496">
        <v>192</v>
      </c>
      <c r="E229" s="1436" t="str">
        <f>IF(D_ETS1Amounts!E478="","",D_ETS1Amounts!E478)</f>
        <v/>
      </c>
      <c r="F229" s="1436"/>
      <c r="G229" s="736" t="str">
        <f>IF(D_ETS1Amounts!F478="","",D_ETS1Amounts!F478)</f>
        <v/>
      </c>
      <c r="H229" s="737" t="str">
        <f>IF(D_ETS1Amounts!H478="","",D_ETS1Amounts!H478)</f>
        <v/>
      </c>
      <c r="I229" s="738" t="str">
        <f>IF(D_ETS1Amounts!J478="","",D_ETS1Amounts!J478)</f>
        <v/>
      </c>
      <c r="J229" s="739" t="str">
        <f>IF(D_ETS1Amounts!L478="","",D_ETS1Amounts!L478)</f>
        <v/>
      </c>
      <c r="K229" s="739" t="str">
        <f>IF(D_ETS1Amounts!M478="","",D_ETS1Amounts!M478)</f>
        <v/>
      </c>
      <c r="L229" s="739" t="str">
        <f>IF(D_ETS1Amounts!T478="","",D_ETS1Amounts!T478)</f>
        <v/>
      </c>
      <c r="M229" s="681"/>
    </row>
    <row r="230" spans="1:13" hidden="1" x14ac:dyDescent="0.25">
      <c r="A230" s="674" t="s">
        <v>0</v>
      </c>
      <c r="B230" s="679"/>
      <c r="D230" s="496">
        <v>193</v>
      </c>
      <c r="E230" s="1436" t="str">
        <f>IF(D_ETS1Amounts!E479="","",D_ETS1Amounts!E479)</f>
        <v/>
      </c>
      <c r="F230" s="1436"/>
      <c r="G230" s="736" t="str">
        <f>IF(D_ETS1Amounts!F479="","",D_ETS1Amounts!F479)</f>
        <v/>
      </c>
      <c r="H230" s="737" t="str">
        <f>IF(D_ETS1Amounts!H479="","",D_ETS1Amounts!H479)</f>
        <v/>
      </c>
      <c r="I230" s="738" t="str">
        <f>IF(D_ETS1Amounts!J479="","",D_ETS1Amounts!J479)</f>
        <v/>
      </c>
      <c r="J230" s="739" t="str">
        <f>IF(D_ETS1Amounts!L479="","",D_ETS1Amounts!L479)</f>
        <v/>
      </c>
      <c r="K230" s="739" t="str">
        <f>IF(D_ETS1Amounts!M479="","",D_ETS1Amounts!M479)</f>
        <v/>
      </c>
      <c r="L230" s="739" t="str">
        <f>IF(D_ETS1Amounts!T479="","",D_ETS1Amounts!T479)</f>
        <v/>
      </c>
      <c r="M230" s="681"/>
    </row>
    <row r="231" spans="1:13" hidden="1" x14ac:dyDescent="0.25">
      <c r="A231" s="674" t="s">
        <v>0</v>
      </c>
      <c r="B231" s="679"/>
      <c r="D231" s="496">
        <v>194</v>
      </c>
      <c r="E231" s="1436" t="str">
        <f>IF(D_ETS1Amounts!E480="","",D_ETS1Amounts!E480)</f>
        <v/>
      </c>
      <c r="F231" s="1436"/>
      <c r="G231" s="736" t="str">
        <f>IF(D_ETS1Amounts!F480="","",D_ETS1Amounts!F480)</f>
        <v/>
      </c>
      <c r="H231" s="737" t="str">
        <f>IF(D_ETS1Amounts!H480="","",D_ETS1Amounts!H480)</f>
        <v/>
      </c>
      <c r="I231" s="738" t="str">
        <f>IF(D_ETS1Amounts!J480="","",D_ETS1Amounts!J480)</f>
        <v/>
      </c>
      <c r="J231" s="739" t="str">
        <f>IF(D_ETS1Amounts!L480="","",D_ETS1Amounts!L480)</f>
        <v/>
      </c>
      <c r="K231" s="739" t="str">
        <f>IF(D_ETS1Amounts!M480="","",D_ETS1Amounts!M480)</f>
        <v/>
      </c>
      <c r="L231" s="739" t="str">
        <f>IF(D_ETS1Amounts!T480="","",D_ETS1Amounts!T480)</f>
        <v/>
      </c>
      <c r="M231" s="681"/>
    </row>
    <row r="232" spans="1:13" hidden="1" x14ac:dyDescent="0.25">
      <c r="A232" s="674" t="s">
        <v>0</v>
      </c>
      <c r="B232" s="679"/>
      <c r="D232" s="496">
        <v>195</v>
      </c>
      <c r="E232" s="1436" t="str">
        <f>IF(D_ETS1Amounts!E481="","",D_ETS1Amounts!E481)</f>
        <v/>
      </c>
      <c r="F232" s="1436"/>
      <c r="G232" s="736" t="str">
        <f>IF(D_ETS1Amounts!F481="","",D_ETS1Amounts!F481)</f>
        <v/>
      </c>
      <c r="H232" s="737" t="str">
        <f>IF(D_ETS1Amounts!H481="","",D_ETS1Amounts!H481)</f>
        <v/>
      </c>
      <c r="I232" s="738" t="str">
        <f>IF(D_ETS1Amounts!J481="","",D_ETS1Amounts!J481)</f>
        <v/>
      </c>
      <c r="J232" s="739" t="str">
        <f>IF(D_ETS1Amounts!L481="","",D_ETS1Amounts!L481)</f>
        <v/>
      </c>
      <c r="K232" s="739" t="str">
        <f>IF(D_ETS1Amounts!M481="","",D_ETS1Amounts!M481)</f>
        <v/>
      </c>
      <c r="L232" s="739" t="str">
        <f>IF(D_ETS1Amounts!T481="","",D_ETS1Amounts!T481)</f>
        <v/>
      </c>
      <c r="M232" s="681"/>
    </row>
    <row r="233" spans="1:13" hidden="1" x14ac:dyDescent="0.25">
      <c r="A233" s="674" t="s">
        <v>0</v>
      </c>
      <c r="B233" s="679"/>
      <c r="D233" s="496">
        <v>196</v>
      </c>
      <c r="E233" s="1436" t="str">
        <f>IF(D_ETS1Amounts!E482="","",D_ETS1Amounts!E482)</f>
        <v/>
      </c>
      <c r="F233" s="1436"/>
      <c r="G233" s="736" t="str">
        <f>IF(D_ETS1Amounts!F482="","",D_ETS1Amounts!F482)</f>
        <v/>
      </c>
      <c r="H233" s="737" t="str">
        <f>IF(D_ETS1Amounts!H482="","",D_ETS1Amounts!H482)</f>
        <v/>
      </c>
      <c r="I233" s="738" t="str">
        <f>IF(D_ETS1Amounts!J482="","",D_ETS1Amounts!J482)</f>
        <v/>
      </c>
      <c r="J233" s="739" t="str">
        <f>IF(D_ETS1Amounts!L482="","",D_ETS1Amounts!L482)</f>
        <v/>
      </c>
      <c r="K233" s="739" t="str">
        <f>IF(D_ETS1Amounts!M482="","",D_ETS1Amounts!M482)</f>
        <v/>
      </c>
      <c r="L233" s="739" t="str">
        <f>IF(D_ETS1Amounts!T482="","",D_ETS1Amounts!T482)</f>
        <v/>
      </c>
      <c r="M233" s="681"/>
    </row>
    <row r="234" spans="1:13" hidden="1" x14ac:dyDescent="0.25">
      <c r="A234" s="674" t="s">
        <v>0</v>
      </c>
      <c r="B234" s="679"/>
      <c r="D234" s="496">
        <v>197</v>
      </c>
      <c r="E234" s="1436" t="str">
        <f>IF(D_ETS1Amounts!E483="","",D_ETS1Amounts!E483)</f>
        <v/>
      </c>
      <c r="F234" s="1436"/>
      <c r="G234" s="736" t="str">
        <f>IF(D_ETS1Amounts!F483="","",D_ETS1Amounts!F483)</f>
        <v/>
      </c>
      <c r="H234" s="737" t="str">
        <f>IF(D_ETS1Amounts!H483="","",D_ETS1Amounts!H483)</f>
        <v/>
      </c>
      <c r="I234" s="738" t="str">
        <f>IF(D_ETS1Amounts!J483="","",D_ETS1Amounts!J483)</f>
        <v/>
      </c>
      <c r="J234" s="739" t="str">
        <f>IF(D_ETS1Amounts!L483="","",D_ETS1Amounts!L483)</f>
        <v/>
      </c>
      <c r="K234" s="739" t="str">
        <f>IF(D_ETS1Amounts!M483="","",D_ETS1Amounts!M483)</f>
        <v/>
      </c>
      <c r="L234" s="739" t="str">
        <f>IF(D_ETS1Amounts!T483="","",D_ETS1Amounts!T483)</f>
        <v/>
      </c>
      <c r="M234" s="681"/>
    </row>
    <row r="235" spans="1:13" hidden="1" x14ac:dyDescent="0.25">
      <c r="A235" s="674" t="s">
        <v>0</v>
      </c>
      <c r="B235" s="679"/>
      <c r="D235" s="496">
        <v>198</v>
      </c>
      <c r="E235" s="1436" t="str">
        <f>IF(D_ETS1Amounts!E484="","",D_ETS1Amounts!E484)</f>
        <v/>
      </c>
      <c r="F235" s="1436"/>
      <c r="G235" s="736" t="str">
        <f>IF(D_ETS1Amounts!F484="","",D_ETS1Amounts!F484)</f>
        <v/>
      </c>
      <c r="H235" s="737" t="str">
        <f>IF(D_ETS1Amounts!H484="","",D_ETS1Amounts!H484)</f>
        <v/>
      </c>
      <c r="I235" s="738" t="str">
        <f>IF(D_ETS1Amounts!J484="","",D_ETS1Amounts!J484)</f>
        <v/>
      </c>
      <c r="J235" s="739" t="str">
        <f>IF(D_ETS1Amounts!L484="","",D_ETS1Amounts!L484)</f>
        <v/>
      </c>
      <c r="K235" s="739" t="str">
        <f>IF(D_ETS1Amounts!M484="","",D_ETS1Amounts!M484)</f>
        <v/>
      </c>
      <c r="L235" s="739" t="str">
        <f>IF(D_ETS1Amounts!T484="","",D_ETS1Amounts!T484)</f>
        <v/>
      </c>
      <c r="M235" s="681"/>
    </row>
    <row r="236" spans="1:13" hidden="1" x14ac:dyDescent="0.25">
      <c r="A236" s="674" t="s">
        <v>0</v>
      </c>
      <c r="B236" s="679"/>
      <c r="D236" s="496">
        <v>199</v>
      </c>
      <c r="E236" s="1436" t="str">
        <f>IF(D_ETS1Amounts!E485="","",D_ETS1Amounts!E485)</f>
        <v/>
      </c>
      <c r="F236" s="1436"/>
      <c r="G236" s="736" t="str">
        <f>IF(D_ETS1Amounts!F485="","",D_ETS1Amounts!F485)</f>
        <v/>
      </c>
      <c r="H236" s="737" t="str">
        <f>IF(D_ETS1Amounts!H485="","",D_ETS1Amounts!H485)</f>
        <v/>
      </c>
      <c r="I236" s="738" t="str">
        <f>IF(D_ETS1Amounts!J485="","",D_ETS1Amounts!J485)</f>
        <v/>
      </c>
      <c r="J236" s="739" t="str">
        <f>IF(D_ETS1Amounts!L485="","",D_ETS1Amounts!L485)</f>
        <v/>
      </c>
      <c r="K236" s="739" t="str">
        <f>IF(D_ETS1Amounts!M485="","",D_ETS1Amounts!M485)</f>
        <v/>
      </c>
      <c r="L236" s="739" t="str">
        <f>IF(D_ETS1Amounts!T485="","",D_ETS1Amounts!T485)</f>
        <v/>
      </c>
      <c r="M236" s="681"/>
    </row>
    <row r="237" spans="1:13" hidden="1" x14ac:dyDescent="0.25">
      <c r="A237" s="674" t="s">
        <v>0</v>
      </c>
      <c r="B237" s="679"/>
      <c r="D237" s="496">
        <v>200</v>
      </c>
      <c r="E237" s="1436" t="str">
        <f>IF(D_ETS1Amounts!E486="","",D_ETS1Amounts!E486)</f>
        <v/>
      </c>
      <c r="F237" s="1436"/>
      <c r="G237" s="736" t="str">
        <f>IF(D_ETS1Amounts!F486="","",D_ETS1Amounts!F486)</f>
        <v/>
      </c>
      <c r="H237" s="737" t="str">
        <f>IF(D_ETS1Amounts!H486="","",D_ETS1Amounts!H486)</f>
        <v/>
      </c>
      <c r="I237" s="738" t="str">
        <f>IF(D_ETS1Amounts!J486="","",D_ETS1Amounts!J486)</f>
        <v/>
      </c>
      <c r="J237" s="739" t="str">
        <f>IF(D_ETS1Amounts!L486="","",D_ETS1Amounts!L486)</f>
        <v/>
      </c>
      <c r="K237" s="739" t="str">
        <f>IF(D_ETS1Amounts!M486="","",D_ETS1Amounts!M486)</f>
        <v/>
      </c>
      <c r="L237" s="739" t="str">
        <f>IF(D_ETS1Amounts!T486="","",D_ETS1Amounts!T486)</f>
        <v/>
      </c>
      <c r="M237" s="681"/>
    </row>
    <row r="238" spans="1:13" hidden="1" x14ac:dyDescent="0.25">
      <c r="A238" s="674" t="s">
        <v>0</v>
      </c>
      <c r="B238" s="679"/>
      <c r="D238" s="496">
        <v>201</v>
      </c>
      <c r="E238" s="1436" t="str">
        <f>IF(D_ETS1Amounts!E487="","",D_ETS1Amounts!E487)</f>
        <v/>
      </c>
      <c r="F238" s="1436"/>
      <c r="G238" s="736" t="str">
        <f>IF(D_ETS1Amounts!F487="","",D_ETS1Amounts!F487)</f>
        <v/>
      </c>
      <c r="H238" s="737" t="str">
        <f>IF(D_ETS1Amounts!H487="","",D_ETS1Amounts!H487)</f>
        <v/>
      </c>
      <c r="I238" s="738" t="str">
        <f>IF(D_ETS1Amounts!J487="","",D_ETS1Amounts!J487)</f>
        <v/>
      </c>
      <c r="J238" s="739" t="str">
        <f>IF(D_ETS1Amounts!L487="","",D_ETS1Amounts!L487)</f>
        <v/>
      </c>
      <c r="K238" s="739" t="str">
        <f>IF(D_ETS1Amounts!M487="","",D_ETS1Amounts!M487)</f>
        <v/>
      </c>
      <c r="L238" s="739" t="str">
        <f>IF(D_ETS1Amounts!T487="","",D_ETS1Amounts!T487)</f>
        <v/>
      </c>
      <c r="M238" s="681"/>
    </row>
    <row r="239" spans="1:13" hidden="1" x14ac:dyDescent="0.25">
      <c r="A239" s="674" t="s">
        <v>0</v>
      </c>
      <c r="B239" s="679"/>
      <c r="D239" s="496">
        <v>202</v>
      </c>
      <c r="E239" s="1436" t="str">
        <f>IF(D_ETS1Amounts!E488="","",D_ETS1Amounts!E488)</f>
        <v/>
      </c>
      <c r="F239" s="1436"/>
      <c r="G239" s="736" t="str">
        <f>IF(D_ETS1Amounts!F488="","",D_ETS1Amounts!F488)</f>
        <v/>
      </c>
      <c r="H239" s="737" t="str">
        <f>IF(D_ETS1Amounts!H488="","",D_ETS1Amounts!H488)</f>
        <v/>
      </c>
      <c r="I239" s="738" t="str">
        <f>IF(D_ETS1Amounts!J488="","",D_ETS1Amounts!J488)</f>
        <v/>
      </c>
      <c r="J239" s="739" t="str">
        <f>IF(D_ETS1Amounts!L488="","",D_ETS1Amounts!L488)</f>
        <v/>
      </c>
      <c r="K239" s="739" t="str">
        <f>IF(D_ETS1Amounts!M488="","",D_ETS1Amounts!M488)</f>
        <v/>
      </c>
      <c r="L239" s="739" t="str">
        <f>IF(D_ETS1Amounts!T488="","",D_ETS1Amounts!T488)</f>
        <v/>
      </c>
      <c r="M239" s="681"/>
    </row>
    <row r="240" spans="1:13" hidden="1" x14ac:dyDescent="0.25">
      <c r="A240" s="674" t="s">
        <v>0</v>
      </c>
      <c r="B240" s="679"/>
      <c r="D240" s="496">
        <v>203</v>
      </c>
      <c r="E240" s="1436" t="str">
        <f>IF(D_ETS1Amounts!E489="","",D_ETS1Amounts!E489)</f>
        <v/>
      </c>
      <c r="F240" s="1436"/>
      <c r="G240" s="736" t="str">
        <f>IF(D_ETS1Amounts!F489="","",D_ETS1Amounts!F489)</f>
        <v/>
      </c>
      <c r="H240" s="737" t="str">
        <f>IF(D_ETS1Amounts!H489="","",D_ETS1Amounts!H489)</f>
        <v/>
      </c>
      <c r="I240" s="738" t="str">
        <f>IF(D_ETS1Amounts!J489="","",D_ETS1Amounts!J489)</f>
        <v/>
      </c>
      <c r="J240" s="739" t="str">
        <f>IF(D_ETS1Amounts!L489="","",D_ETS1Amounts!L489)</f>
        <v/>
      </c>
      <c r="K240" s="739" t="str">
        <f>IF(D_ETS1Amounts!M489="","",D_ETS1Amounts!M489)</f>
        <v/>
      </c>
      <c r="L240" s="739" t="str">
        <f>IF(D_ETS1Amounts!T489="","",D_ETS1Amounts!T489)</f>
        <v/>
      </c>
      <c r="M240" s="681"/>
    </row>
    <row r="241" spans="1:13" hidden="1" x14ac:dyDescent="0.25">
      <c r="A241" s="674" t="s">
        <v>0</v>
      </c>
      <c r="B241" s="679"/>
      <c r="D241" s="496">
        <v>204</v>
      </c>
      <c r="E241" s="1436" t="str">
        <f>IF(D_ETS1Amounts!E490="","",D_ETS1Amounts!E490)</f>
        <v/>
      </c>
      <c r="F241" s="1436"/>
      <c r="G241" s="736" t="str">
        <f>IF(D_ETS1Amounts!F490="","",D_ETS1Amounts!F490)</f>
        <v/>
      </c>
      <c r="H241" s="737" t="str">
        <f>IF(D_ETS1Amounts!H490="","",D_ETS1Amounts!H490)</f>
        <v/>
      </c>
      <c r="I241" s="738" t="str">
        <f>IF(D_ETS1Amounts!J490="","",D_ETS1Amounts!J490)</f>
        <v/>
      </c>
      <c r="J241" s="739" t="str">
        <f>IF(D_ETS1Amounts!L490="","",D_ETS1Amounts!L490)</f>
        <v/>
      </c>
      <c r="K241" s="739" t="str">
        <f>IF(D_ETS1Amounts!M490="","",D_ETS1Amounts!M490)</f>
        <v/>
      </c>
      <c r="L241" s="739" t="str">
        <f>IF(D_ETS1Amounts!T490="","",D_ETS1Amounts!T490)</f>
        <v/>
      </c>
      <c r="M241" s="681"/>
    </row>
    <row r="242" spans="1:13" hidden="1" x14ac:dyDescent="0.25">
      <c r="A242" s="674" t="s">
        <v>0</v>
      </c>
      <c r="B242" s="679"/>
      <c r="D242" s="496">
        <v>205</v>
      </c>
      <c r="E242" s="1436" t="str">
        <f>IF(D_ETS1Amounts!E491="","",D_ETS1Amounts!E491)</f>
        <v/>
      </c>
      <c r="F242" s="1436"/>
      <c r="G242" s="736" t="str">
        <f>IF(D_ETS1Amounts!F491="","",D_ETS1Amounts!F491)</f>
        <v/>
      </c>
      <c r="H242" s="737" t="str">
        <f>IF(D_ETS1Amounts!H491="","",D_ETS1Amounts!H491)</f>
        <v/>
      </c>
      <c r="I242" s="738" t="str">
        <f>IF(D_ETS1Amounts!J491="","",D_ETS1Amounts!J491)</f>
        <v/>
      </c>
      <c r="J242" s="739" t="str">
        <f>IF(D_ETS1Amounts!L491="","",D_ETS1Amounts!L491)</f>
        <v/>
      </c>
      <c r="K242" s="739" t="str">
        <f>IF(D_ETS1Amounts!M491="","",D_ETS1Amounts!M491)</f>
        <v/>
      </c>
      <c r="L242" s="739" t="str">
        <f>IF(D_ETS1Amounts!T491="","",D_ETS1Amounts!T491)</f>
        <v/>
      </c>
      <c r="M242" s="681"/>
    </row>
    <row r="243" spans="1:13" hidden="1" x14ac:dyDescent="0.25">
      <c r="A243" s="674" t="s">
        <v>0</v>
      </c>
      <c r="B243" s="679"/>
      <c r="D243" s="496">
        <v>206</v>
      </c>
      <c r="E243" s="1436" t="str">
        <f>IF(D_ETS1Amounts!E492="","",D_ETS1Amounts!E492)</f>
        <v/>
      </c>
      <c r="F243" s="1436"/>
      <c r="G243" s="736" t="str">
        <f>IF(D_ETS1Amounts!F492="","",D_ETS1Amounts!F492)</f>
        <v/>
      </c>
      <c r="H243" s="737" t="str">
        <f>IF(D_ETS1Amounts!H492="","",D_ETS1Amounts!H492)</f>
        <v/>
      </c>
      <c r="I243" s="738" t="str">
        <f>IF(D_ETS1Amounts!J492="","",D_ETS1Amounts!J492)</f>
        <v/>
      </c>
      <c r="J243" s="739" t="str">
        <f>IF(D_ETS1Amounts!L492="","",D_ETS1Amounts!L492)</f>
        <v/>
      </c>
      <c r="K243" s="739" t="str">
        <f>IF(D_ETS1Amounts!M492="","",D_ETS1Amounts!M492)</f>
        <v/>
      </c>
      <c r="L243" s="739" t="str">
        <f>IF(D_ETS1Amounts!T492="","",D_ETS1Amounts!T492)</f>
        <v/>
      </c>
      <c r="M243" s="681"/>
    </row>
    <row r="244" spans="1:13" hidden="1" x14ac:dyDescent="0.25">
      <c r="A244" s="674" t="s">
        <v>0</v>
      </c>
      <c r="B244" s="679"/>
      <c r="D244" s="496">
        <v>207</v>
      </c>
      <c r="E244" s="1436" t="str">
        <f>IF(D_ETS1Amounts!E493="","",D_ETS1Amounts!E493)</f>
        <v/>
      </c>
      <c r="F244" s="1436"/>
      <c r="G244" s="736" t="str">
        <f>IF(D_ETS1Amounts!F493="","",D_ETS1Amounts!F493)</f>
        <v/>
      </c>
      <c r="H244" s="737" t="str">
        <f>IF(D_ETS1Amounts!H493="","",D_ETS1Amounts!H493)</f>
        <v/>
      </c>
      <c r="I244" s="738" t="str">
        <f>IF(D_ETS1Amounts!J493="","",D_ETS1Amounts!J493)</f>
        <v/>
      </c>
      <c r="J244" s="739" t="str">
        <f>IF(D_ETS1Amounts!L493="","",D_ETS1Amounts!L493)</f>
        <v/>
      </c>
      <c r="K244" s="739" t="str">
        <f>IF(D_ETS1Amounts!M493="","",D_ETS1Amounts!M493)</f>
        <v/>
      </c>
      <c r="L244" s="739" t="str">
        <f>IF(D_ETS1Amounts!T493="","",D_ETS1Amounts!T493)</f>
        <v/>
      </c>
      <c r="M244" s="681"/>
    </row>
    <row r="245" spans="1:13" hidden="1" x14ac:dyDescent="0.25">
      <c r="A245" s="674" t="s">
        <v>0</v>
      </c>
      <c r="B245" s="679"/>
      <c r="D245" s="496">
        <v>208</v>
      </c>
      <c r="E245" s="1436" t="str">
        <f>IF(D_ETS1Amounts!E494="","",D_ETS1Amounts!E494)</f>
        <v/>
      </c>
      <c r="F245" s="1436"/>
      <c r="G245" s="736" t="str">
        <f>IF(D_ETS1Amounts!F494="","",D_ETS1Amounts!F494)</f>
        <v/>
      </c>
      <c r="H245" s="737" t="str">
        <f>IF(D_ETS1Amounts!H494="","",D_ETS1Amounts!H494)</f>
        <v/>
      </c>
      <c r="I245" s="738" t="str">
        <f>IF(D_ETS1Amounts!J494="","",D_ETS1Amounts!J494)</f>
        <v/>
      </c>
      <c r="J245" s="739" t="str">
        <f>IF(D_ETS1Amounts!L494="","",D_ETS1Amounts!L494)</f>
        <v/>
      </c>
      <c r="K245" s="739" t="str">
        <f>IF(D_ETS1Amounts!M494="","",D_ETS1Amounts!M494)</f>
        <v/>
      </c>
      <c r="L245" s="739" t="str">
        <f>IF(D_ETS1Amounts!T494="","",D_ETS1Amounts!T494)</f>
        <v/>
      </c>
      <c r="M245" s="681"/>
    </row>
    <row r="246" spans="1:13" hidden="1" x14ac:dyDescent="0.25">
      <c r="A246" s="674" t="s">
        <v>0</v>
      </c>
      <c r="B246" s="679"/>
      <c r="D246" s="496">
        <v>209</v>
      </c>
      <c r="E246" s="1436" t="str">
        <f>IF(D_ETS1Amounts!E495="","",D_ETS1Amounts!E495)</f>
        <v/>
      </c>
      <c r="F246" s="1436"/>
      <c r="G246" s="736" t="str">
        <f>IF(D_ETS1Amounts!F495="","",D_ETS1Amounts!F495)</f>
        <v/>
      </c>
      <c r="H246" s="737" t="str">
        <f>IF(D_ETS1Amounts!H495="","",D_ETS1Amounts!H495)</f>
        <v/>
      </c>
      <c r="I246" s="738" t="str">
        <f>IF(D_ETS1Amounts!J495="","",D_ETS1Amounts!J495)</f>
        <v/>
      </c>
      <c r="J246" s="739" t="str">
        <f>IF(D_ETS1Amounts!L495="","",D_ETS1Amounts!L495)</f>
        <v/>
      </c>
      <c r="K246" s="739" t="str">
        <f>IF(D_ETS1Amounts!M495="","",D_ETS1Amounts!M495)</f>
        <v/>
      </c>
      <c r="L246" s="739" t="str">
        <f>IF(D_ETS1Amounts!T495="","",D_ETS1Amounts!T495)</f>
        <v/>
      </c>
      <c r="M246" s="681"/>
    </row>
    <row r="247" spans="1:13" hidden="1" x14ac:dyDescent="0.25">
      <c r="A247" s="674" t="s">
        <v>0</v>
      </c>
      <c r="B247" s="679"/>
      <c r="D247" s="496">
        <v>210</v>
      </c>
      <c r="E247" s="1436" t="str">
        <f>IF(D_ETS1Amounts!E496="","",D_ETS1Amounts!E496)</f>
        <v/>
      </c>
      <c r="F247" s="1436"/>
      <c r="G247" s="736" t="str">
        <f>IF(D_ETS1Amounts!F496="","",D_ETS1Amounts!F496)</f>
        <v/>
      </c>
      <c r="H247" s="737" t="str">
        <f>IF(D_ETS1Amounts!H496="","",D_ETS1Amounts!H496)</f>
        <v/>
      </c>
      <c r="I247" s="738" t="str">
        <f>IF(D_ETS1Amounts!J496="","",D_ETS1Amounts!J496)</f>
        <v/>
      </c>
      <c r="J247" s="739" t="str">
        <f>IF(D_ETS1Amounts!L496="","",D_ETS1Amounts!L496)</f>
        <v/>
      </c>
      <c r="K247" s="739" t="str">
        <f>IF(D_ETS1Amounts!M496="","",D_ETS1Amounts!M496)</f>
        <v/>
      </c>
      <c r="L247" s="739" t="str">
        <f>IF(D_ETS1Amounts!T496="","",D_ETS1Amounts!T496)</f>
        <v/>
      </c>
      <c r="M247" s="681"/>
    </row>
    <row r="248" spans="1:13" hidden="1" x14ac:dyDescent="0.25">
      <c r="A248" s="674" t="s">
        <v>0</v>
      </c>
      <c r="B248" s="679"/>
      <c r="D248" s="496">
        <v>211</v>
      </c>
      <c r="E248" s="1436" t="str">
        <f>IF(D_ETS1Amounts!E497="","",D_ETS1Amounts!E497)</f>
        <v/>
      </c>
      <c r="F248" s="1436"/>
      <c r="G248" s="736" t="str">
        <f>IF(D_ETS1Amounts!F497="","",D_ETS1Amounts!F497)</f>
        <v/>
      </c>
      <c r="H248" s="737" t="str">
        <f>IF(D_ETS1Amounts!H497="","",D_ETS1Amounts!H497)</f>
        <v/>
      </c>
      <c r="I248" s="738" t="str">
        <f>IF(D_ETS1Amounts!J497="","",D_ETS1Amounts!J497)</f>
        <v/>
      </c>
      <c r="J248" s="739" t="str">
        <f>IF(D_ETS1Amounts!L497="","",D_ETS1Amounts!L497)</f>
        <v/>
      </c>
      <c r="K248" s="739" t="str">
        <f>IF(D_ETS1Amounts!M497="","",D_ETS1Amounts!M497)</f>
        <v/>
      </c>
      <c r="L248" s="739" t="str">
        <f>IF(D_ETS1Amounts!T497="","",D_ETS1Amounts!T497)</f>
        <v/>
      </c>
      <c r="M248" s="681"/>
    </row>
    <row r="249" spans="1:13" hidden="1" x14ac:dyDescent="0.25">
      <c r="A249" s="674" t="s">
        <v>0</v>
      </c>
      <c r="B249" s="679"/>
      <c r="D249" s="496">
        <v>212</v>
      </c>
      <c r="E249" s="1436" t="str">
        <f>IF(D_ETS1Amounts!E498="","",D_ETS1Amounts!E498)</f>
        <v/>
      </c>
      <c r="F249" s="1436"/>
      <c r="G249" s="736" t="str">
        <f>IF(D_ETS1Amounts!F498="","",D_ETS1Amounts!F498)</f>
        <v/>
      </c>
      <c r="H249" s="737" t="str">
        <f>IF(D_ETS1Amounts!H498="","",D_ETS1Amounts!H498)</f>
        <v/>
      </c>
      <c r="I249" s="738" t="str">
        <f>IF(D_ETS1Amounts!J498="","",D_ETS1Amounts!J498)</f>
        <v/>
      </c>
      <c r="J249" s="739" t="str">
        <f>IF(D_ETS1Amounts!L498="","",D_ETS1Amounts!L498)</f>
        <v/>
      </c>
      <c r="K249" s="739" t="str">
        <f>IF(D_ETS1Amounts!M498="","",D_ETS1Amounts!M498)</f>
        <v/>
      </c>
      <c r="L249" s="739" t="str">
        <f>IF(D_ETS1Amounts!T498="","",D_ETS1Amounts!T498)</f>
        <v/>
      </c>
      <c r="M249" s="681"/>
    </row>
    <row r="250" spans="1:13" hidden="1" x14ac:dyDescent="0.25">
      <c r="A250" s="674" t="s">
        <v>0</v>
      </c>
      <c r="B250" s="679"/>
      <c r="D250" s="496">
        <v>213</v>
      </c>
      <c r="E250" s="1436" t="str">
        <f>IF(D_ETS1Amounts!E499="","",D_ETS1Amounts!E499)</f>
        <v/>
      </c>
      <c r="F250" s="1436"/>
      <c r="G250" s="736" t="str">
        <f>IF(D_ETS1Amounts!F499="","",D_ETS1Amounts!F499)</f>
        <v/>
      </c>
      <c r="H250" s="737" t="str">
        <f>IF(D_ETS1Amounts!H499="","",D_ETS1Amounts!H499)</f>
        <v/>
      </c>
      <c r="I250" s="738" t="str">
        <f>IF(D_ETS1Amounts!J499="","",D_ETS1Amounts!J499)</f>
        <v/>
      </c>
      <c r="J250" s="739" t="str">
        <f>IF(D_ETS1Amounts!L499="","",D_ETS1Amounts!L499)</f>
        <v/>
      </c>
      <c r="K250" s="739" t="str">
        <f>IF(D_ETS1Amounts!M499="","",D_ETS1Amounts!M499)</f>
        <v/>
      </c>
      <c r="L250" s="739" t="str">
        <f>IF(D_ETS1Amounts!T499="","",D_ETS1Amounts!T499)</f>
        <v/>
      </c>
      <c r="M250" s="681"/>
    </row>
    <row r="251" spans="1:13" hidden="1" x14ac:dyDescent="0.25">
      <c r="A251" s="674" t="s">
        <v>0</v>
      </c>
      <c r="B251" s="679"/>
      <c r="D251" s="496">
        <v>214</v>
      </c>
      <c r="E251" s="1436" t="str">
        <f>IF(D_ETS1Amounts!E500="","",D_ETS1Amounts!E500)</f>
        <v/>
      </c>
      <c r="F251" s="1436"/>
      <c r="G251" s="736" t="str">
        <f>IF(D_ETS1Amounts!F500="","",D_ETS1Amounts!F500)</f>
        <v/>
      </c>
      <c r="H251" s="737" t="str">
        <f>IF(D_ETS1Amounts!H500="","",D_ETS1Amounts!H500)</f>
        <v/>
      </c>
      <c r="I251" s="738" t="str">
        <f>IF(D_ETS1Amounts!J500="","",D_ETS1Amounts!J500)</f>
        <v/>
      </c>
      <c r="J251" s="739" t="str">
        <f>IF(D_ETS1Amounts!L500="","",D_ETS1Amounts!L500)</f>
        <v/>
      </c>
      <c r="K251" s="739" t="str">
        <f>IF(D_ETS1Amounts!M500="","",D_ETS1Amounts!M500)</f>
        <v/>
      </c>
      <c r="L251" s="739" t="str">
        <f>IF(D_ETS1Amounts!T500="","",D_ETS1Amounts!T500)</f>
        <v/>
      </c>
      <c r="M251" s="681"/>
    </row>
    <row r="252" spans="1:13" hidden="1" x14ac:dyDescent="0.25">
      <c r="A252" s="674" t="s">
        <v>0</v>
      </c>
      <c r="B252" s="679"/>
      <c r="D252" s="496">
        <v>215</v>
      </c>
      <c r="E252" s="1436" t="str">
        <f>IF(D_ETS1Amounts!E501="","",D_ETS1Amounts!E501)</f>
        <v/>
      </c>
      <c r="F252" s="1436"/>
      <c r="G252" s="736" t="str">
        <f>IF(D_ETS1Amounts!F501="","",D_ETS1Amounts!F501)</f>
        <v/>
      </c>
      <c r="H252" s="737" t="str">
        <f>IF(D_ETS1Amounts!H501="","",D_ETS1Amounts!H501)</f>
        <v/>
      </c>
      <c r="I252" s="738" t="str">
        <f>IF(D_ETS1Amounts!J501="","",D_ETS1Amounts!J501)</f>
        <v/>
      </c>
      <c r="J252" s="739" t="str">
        <f>IF(D_ETS1Amounts!L501="","",D_ETS1Amounts!L501)</f>
        <v/>
      </c>
      <c r="K252" s="739" t="str">
        <f>IF(D_ETS1Amounts!M501="","",D_ETS1Amounts!M501)</f>
        <v/>
      </c>
      <c r="L252" s="739" t="str">
        <f>IF(D_ETS1Amounts!T501="","",D_ETS1Amounts!T501)</f>
        <v/>
      </c>
      <c r="M252" s="681"/>
    </row>
    <row r="253" spans="1:13" hidden="1" x14ac:dyDescent="0.25">
      <c r="A253" s="674" t="s">
        <v>0</v>
      </c>
      <c r="B253" s="679"/>
      <c r="D253" s="496">
        <v>216</v>
      </c>
      <c r="E253" s="1436" t="str">
        <f>IF(D_ETS1Amounts!E502="","",D_ETS1Amounts!E502)</f>
        <v/>
      </c>
      <c r="F253" s="1436"/>
      <c r="G253" s="736" t="str">
        <f>IF(D_ETS1Amounts!F502="","",D_ETS1Amounts!F502)</f>
        <v/>
      </c>
      <c r="H253" s="737" t="str">
        <f>IF(D_ETS1Amounts!H502="","",D_ETS1Amounts!H502)</f>
        <v/>
      </c>
      <c r="I253" s="738" t="str">
        <f>IF(D_ETS1Amounts!J502="","",D_ETS1Amounts!J502)</f>
        <v/>
      </c>
      <c r="J253" s="739" t="str">
        <f>IF(D_ETS1Amounts!L502="","",D_ETS1Amounts!L502)</f>
        <v/>
      </c>
      <c r="K253" s="739" t="str">
        <f>IF(D_ETS1Amounts!M502="","",D_ETS1Amounts!M502)</f>
        <v/>
      </c>
      <c r="L253" s="739" t="str">
        <f>IF(D_ETS1Amounts!T502="","",D_ETS1Amounts!T502)</f>
        <v/>
      </c>
      <c r="M253" s="681"/>
    </row>
    <row r="254" spans="1:13" hidden="1" x14ac:dyDescent="0.25">
      <c r="A254" s="674" t="s">
        <v>0</v>
      </c>
      <c r="B254" s="679"/>
      <c r="D254" s="496">
        <v>217</v>
      </c>
      <c r="E254" s="1436" t="str">
        <f>IF(D_ETS1Amounts!E503="","",D_ETS1Amounts!E503)</f>
        <v/>
      </c>
      <c r="F254" s="1436"/>
      <c r="G254" s="736" t="str">
        <f>IF(D_ETS1Amounts!F503="","",D_ETS1Amounts!F503)</f>
        <v/>
      </c>
      <c r="H254" s="737" t="str">
        <f>IF(D_ETS1Amounts!H503="","",D_ETS1Amounts!H503)</f>
        <v/>
      </c>
      <c r="I254" s="738" t="str">
        <f>IF(D_ETS1Amounts!J503="","",D_ETS1Amounts!J503)</f>
        <v/>
      </c>
      <c r="J254" s="739" t="str">
        <f>IF(D_ETS1Amounts!L503="","",D_ETS1Amounts!L503)</f>
        <v/>
      </c>
      <c r="K254" s="739" t="str">
        <f>IF(D_ETS1Amounts!M503="","",D_ETS1Amounts!M503)</f>
        <v/>
      </c>
      <c r="L254" s="739" t="str">
        <f>IF(D_ETS1Amounts!T503="","",D_ETS1Amounts!T503)</f>
        <v/>
      </c>
      <c r="M254" s="681"/>
    </row>
    <row r="255" spans="1:13" hidden="1" x14ac:dyDescent="0.25">
      <c r="A255" s="674" t="s">
        <v>0</v>
      </c>
      <c r="B255" s="679"/>
      <c r="D255" s="496">
        <v>218</v>
      </c>
      <c r="E255" s="1436" t="str">
        <f>IF(D_ETS1Amounts!E504="","",D_ETS1Amounts!E504)</f>
        <v/>
      </c>
      <c r="F255" s="1436"/>
      <c r="G255" s="736" t="str">
        <f>IF(D_ETS1Amounts!F504="","",D_ETS1Amounts!F504)</f>
        <v/>
      </c>
      <c r="H255" s="737" t="str">
        <f>IF(D_ETS1Amounts!H504="","",D_ETS1Amounts!H504)</f>
        <v/>
      </c>
      <c r="I255" s="738" t="str">
        <f>IF(D_ETS1Amounts!J504="","",D_ETS1Amounts!J504)</f>
        <v/>
      </c>
      <c r="J255" s="739" t="str">
        <f>IF(D_ETS1Amounts!L504="","",D_ETS1Amounts!L504)</f>
        <v/>
      </c>
      <c r="K255" s="739" t="str">
        <f>IF(D_ETS1Amounts!M504="","",D_ETS1Amounts!M504)</f>
        <v/>
      </c>
      <c r="L255" s="739" t="str">
        <f>IF(D_ETS1Amounts!T504="","",D_ETS1Amounts!T504)</f>
        <v/>
      </c>
      <c r="M255" s="681"/>
    </row>
    <row r="256" spans="1:13" hidden="1" x14ac:dyDescent="0.25">
      <c r="A256" s="674" t="s">
        <v>0</v>
      </c>
      <c r="B256" s="679"/>
      <c r="D256" s="496">
        <v>219</v>
      </c>
      <c r="E256" s="1436" t="str">
        <f>IF(D_ETS1Amounts!E505="","",D_ETS1Amounts!E505)</f>
        <v/>
      </c>
      <c r="F256" s="1436"/>
      <c r="G256" s="736" t="str">
        <f>IF(D_ETS1Amounts!F505="","",D_ETS1Amounts!F505)</f>
        <v/>
      </c>
      <c r="H256" s="737" t="str">
        <f>IF(D_ETS1Amounts!H505="","",D_ETS1Amounts!H505)</f>
        <v/>
      </c>
      <c r="I256" s="738" t="str">
        <f>IF(D_ETS1Amounts!J505="","",D_ETS1Amounts!J505)</f>
        <v/>
      </c>
      <c r="J256" s="739" t="str">
        <f>IF(D_ETS1Amounts!L505="","",D_ETS1Amounts!L505)</f>
        <v/>
      </c>
      <c r="K256" s="739" t="str">
        <f>IF(D_ETS1Amounts!M505="","",D_ETS1Amounts!M505)</f>
        <v/>
      </c>
      <c r="L256" s="739" t="str">
        <f>IF(D_ETS1Amounts!T505="","",D_ETS1Amounts!T505)</f>
        <v/>
      </c>
      <c r="M256" s="681"/>
    </row>
    <row r="257" spans="1:13" hidden="1" x14ac:dyDescent="0.25">
      <c r="A257" s="674" t="s">
        <v>0</v>
      </c>
      <c r="B257" s="679"/>
      <c r="D257" s="496">
        <v>220</v>
      </c>
      <c r="E257" s="1436" t="str">
        <f>IF(D_ETS1Amounts!E506="","",D_ETS1Amounts!E506)</f>
        <v/>
      </c>
      <c r="F257" s="1436"/>
      <c r="G257" s="736" t="str">
        <f>IF(D_ETS1Amounts!F506="","",D_ETS1Amounts!F506)</f>
        <v/>
      </c>
      <c r="H257" s="737" t="str">
        <f>IF(D_ETS1Amounts!H506="","",D_ETS1Amounts!H506)</f>
        <v/>
      </c>
      <c r="I257" s="738" t="str">
        <f>IF(D_ETS1Amounts!J506="","",D_ETS1Amounts!J506)</f>
        <v/>
      </c>
      <c r="J257" s="739" t="str">
        <f>IF(D_ETS1Amounts!L506="","",D_ETS1Amounts!L506)</f>
        <v/>
      </c>
      <c r="K257" s="739" t="str">
        <f>IF(D_ETS1Amounts!M506="","",D_ETS1Amounts!M506)</f>
        <v/>
      </c>
      <c r="L257" s="739" t="str">
        <f>IF(D_ETS1Amounts!T506="","",D_ETS1Amounts!T506)</f>
        <v/>
      </c>
      <c r="M257" s="681"/>
    </row>
    <row r="258" spans="1:13" hidden="1" x14ac:dyDescent="0.25">
      <c r="A258" s="674" t="s">
        <v>0</v>
      </c>
      <c r="B258" s="679"/>
      <c r="D258" s="496">
        <v>221</v>
      </c>
      <c r="E258" s="1436" t="str">
        <f>IF(D_ETS1Amounts!E507="","",D_ETS1Amounts!E507)</f>
        <v/>
      </c>
      <c r="F258" s="1436"/>
      <c r="G258" s="736" t="str">
        <f>IF(D_ETS1Amounts!F507="","",D_ETS1Amounts!F507)</f>
        <v/>
      </c>
      <c r="H258" s="737" t="str">
        <f>IF(D_ETS1Amounts!H507="","",D_ETS1Amounts!H507)</f>
        <v/>
      </c>
      <c r="I258" s="738" t="str">
        <f>IF(D_ETS1Amounts!J507="","",D_ETS1Amounts!J507)</f>
        <v/>
      </c>
      <c r="J258" s="739" t="str">
        <f>IF(D_ETS1Amounts!L507="","",D_ETS1Amounts!L507)</f>
        <v/>
      </c>
      <c r="K258" s="739" t="str">
        <f>IF(D_ETS1Amounts!M507="","",D_ETS1Amounts!M507)</f>
        <v/>
      </c>
      <c r="L258" s="739" t="str">
        <f>IF(D_ETS1Amounts!T507="","",D_ETS1Amounts!T507)</f>
        <v/>
      </c>
      <c r="M258" s="681"/>
    </row>
    <row r="259" spans="1:13" hidden="1" x14ac:dyDescent="0.25">
      <c r="A259" s="674" t="s">
        <v>0</v>
      </c>
      <c r="B259" s="679"/>
      <c r="D259" s="496">
        <v>222</v>
      </c>
      <c r="E259" s="1436" t="str">
        <f>IF(D_ETS1Amounts!E508="","",D_ETS1Amounts!E508)</f>
        <v/>
      </c>
      <c r="F259" s="1436"/>
      <c r="G259" s="736" t="str">
        <f>IF(D_ETS1Amounts!F508="","",D_ETS1Amounts!F508)</f>
        <v/>
      </c>
      <c r="H259" s="737" t="str">
        <f>IF(D_ETS1Amounts!H508="","",D_ETS1Amounts!H508)</f>
        <v/>
      </c>
      <c r="I259" s="738" t="str">
        <f>IF(D_ETS1Amounts!J508="","",D_ETS1Amounts!J508)</f>
        <v/>
      </c>
      <c r="J259" s="739" t="str">
        <f>IF(D_ETS1Amounts!L508="","",D_ETS1Amounts!L508)</f>
        <v/>
      </c>
      <c r="K259" s="739" t="str">
        <f>IF(D_ETS1Amounts!M508="","",D_ETS1Amounts!M508)</f>
        <v/>
      </c>
      <c r="L259" s="739" t="str">
        <f>IF(D_ETS1Amounts!T508="","",D_ETS1Amounts!T508)</f>
        <v/>
      </c>
      <c r="M259" s="681"/>
    </row>
    <row r="260" spans="1:13" hidden="1" x14ac:dyDescent="0.25">
      <c r="A260" s="674" t="s">
        <v>0</v>
      </c>
      <c r="B260" s="679"/>
      <c r="D260" s="496">
        <v>223</v>
      </c>
      <c r="E260" s="1436" t="str">
        <f>IF(D_ETS1Amounts!E509="","",D_ETS1Amounts!E509)</f>
        <v/>
      </c>
      <c r="F260" s="1436"/>
      <c r="G260" s="736" t="str">
        <f>IF(D_ETS1Amounts!F509="","",D_ETS1Amounts!F509)</f>
        <v/>
      </c>
      <c r="H260" s="737" t="str">
        <f>IF(D_ETS1Amounts!H509="","",D_ETS1Amounts!H509)</f>
        <v/>
      </c>
      <c r="I260" s="738" t="str">
        <f>IF(D_ETS1Amounts!J509="","",D_ETS1Amounts!J509)</f>
        <v/>
      </c>
      <c r="J260" s="739" t="str">
        <f>IF(D_ETS1Amounts!L509="","",D_ETS1Amounts!L509)</f>
        <v/>
      </c>
      <c r="K260" s="739" t="str">
        <f>IF(D_ETS1Amounts!M509="","",D_ETS1Amounts!M509)</f>
        <v/>
      </c>
      <c r="L260" s="739" t="str">
        <f>IF(D_ETS1Amounts!T509="","",D_ETS1Amounts!T509)</f>
        <v/>
      </c>
      <c r="M260" s="681"/>
    </row>
    <row r="261" spans="1:13" hidden="1" x14ac:dyDescent="0.25">
      <c r="A261" s="674" t="s">
        <v>0</v>
      </c>
      <c r="B261" s="679"/>
      <c r="D261" s="496">
        <v>224</v>
      </c>
      <c r="E261" s="1436" t="str">
        <f>IF(D_ETS1Amounts!E510="","",D_ETS1Amounts!E510)</f>
        <v/>
      </c>
      <c r="F261" s="1436"/>
      <c r="G261" s="736" t="str">
        <f>IF(D_ETS1Amounts!F510="","",D_ETS1Amounts!F510)</f>
        <v/>
      </c>
      <c r="H261" s="737" t="str">
        <f>IF(D_ETS1Amounts!H510="","",D_ETS1Amounts!H510)</f>
        <v/>
      </c>
      <c r="I261" s="738" t="str">
        <f>IF(D_ETS1Amounts!J510="","",D_ETS1Amounts!J510)</f>
        <v/>
      </c>
      <c r="J261" s="739" t="str">
        <f>IF(D_ETS1Amounts!L510="","",D_ETS1Amounts!L510)</f>
        <v/>
      </c>
      <c r="K261" s="739" t="str">
        <f>IF(D_ETS1Amounts!M510="","",D_ETS1Amounts!M510)</f>
        <v/>
      </c>
      <c r="L261" s="739" t="str">
        <f>IF(D_ETS1Amounts!T510="","",D_ETS1Amounts!T510)</f>
        <v/>
      </c>
      <c r="M261" s="681"/>
    </row>
    <row r="262" spans="1:13" hidden="1" x14ac:dyDescent="0.25">
      <c r="A262" s="674" t="s">
        <v>0</v>
      </c>
      <c r="B262" s="679"/>
      <c r="D262" s="496">
        <v>225</v>
      </c>
      <c r="E262" s="1436" t="str">
        <f>IF(D_ETS1Amounts!E511="","",D_ETS1Amounts!E511)</f>
        <v/>
      </c>
      <c r="F262" s="1436"/>
      <c r="G262" s="736" t="str">
        <f>IF(D_ETS1Amounts!F511="","",D_ETS1Amounts!F511)</f>
        <v/>
      </c>
      <c r="H262" s="737" t="str">
        <f>IF(D_ETS1Amounts!H511="","",D_ETS1Amounts!H511)</f>
        <v/>
      </c>
      <c r="I262" s="738" t="str">
        <f>IF(D_ETS1Amounts!J511="","",D_ETS1Amounts!J511)</f>
        <v/>
      </c>
      <c r="J262" s="739" t="str">
        <f>IF(D_ETS1Amounts!L511="","",D_ETS1Amounts!L511)</f>
        <v/>
      </c>
      <c r="K262" s="739" t="str">
        <f>IF(D_ETS1Amounts!M511="","",D_ETS1Amounts!M511)</f>
        <v/>
      </c>
      <c r="L262" s="739" t="str">
        <f>IF(D_ETS1Amounts!T511="","",D_ETS1Amounts!T511)</f>
        <v/>
      </c>
      <c r="M262" s="681"/>
    </row>
    <row r="263" spans="1:13" hidden="1" x14ac:dyDescent="0.25">
      <c r="A263" s="674" t="s">
        <v>0</v>
      </c>
      <c r="B263" s="679"/>
      <c r="D263" s="496">
        <v>226</v>
      </c>
      <c r="E263" s="1436" t="str">
        <f>IF(D_ETS1Amounts!E512="","",D_ETS1Amounts!E512)</f>
        <v/>
      </c>
      <c r="F263" s="1436"/>
      <c r="G263" s="736" t="str">
        <f>IF(D_ETS1Amounts!F512="","",D_ETS1Amounts!F512)</f>
        <v/>
      </c>
      <c r="H263" s="737" t="str">
        <f>IF(D_ETS1Amounts!H512="","",D_ETS1Amounts!H512)</f>
        <v/>
      </c>
      <c r="I263" s="738" t="str">
        <f>IF(D_ETS1Amounts!J512="","",D_ETS1Amounts!J512)</f>
        <v/>
      </c>
      <c r="J263" s="739" t="str">
        <f>IF(D_ETS1Amounts!L512="","",D_ETS1Amounts!L512)</f>
        <v/>
      </c>
      <c r="K263" s="739" t="str">
        <f>IF(D_ETS1Amounts!M512="","",D_ETS1Amounts!M512)</f>
        <v/>
      </c>
      <c r="L263" s="739" t="str">
        <f>IF(D_ETS1Amounts!T512="","",D_ETS1Amounts!T512)</f>
        <v/>
      </c>
      <c r="M263" s="681"/>
    </row>
    <row r="264" spans="1:13" hidden="1" x14ac:dyDescent="0.25">
      <c r="A264" s="674" t="s">
        <v>0</v>
      </c>
      <c r="B264" s="679"/>
      <c r="D264" s="496">
        <v>227</v>
      </c>
      <c r="E264" s="1436" t="str">
        <f>IF(D_ETS1Amounts!E513="","",D_ETS1Amounts!E513)</f>
        <v/>
      </c>
      <c r="F264" s="1436"/>
      <c r="G264" s="736" t="str">
        <f>IF(D_ETS1Amounts!F513="","",D_ETS1Amounts!F513)</f>
        <v/>
      </c>
      <c r="H264" s="737" t="str">
        <f>IF(D_ETS1Amounts!H513="","",D_ETS1Amounts!H513)</f>
        <v/>
      </c>
      <c r="I264" s="738" t="str">
        <f>IF(D_ETS1Amounts!J513="","",D_ETS1Amounts!J513)</f>
        <v/>
      </c>
      <c r="J264" s="739" t="str">
        <f>IF(D_ETS1Amounts!L513="","",D_ETS1Amounts!L513)</f>
        <v/>
      </c>
      <c r="K264" s="739" t="str">
        <f>IF(D_ETS1Amounts!M513="","",D_ETS1Amounts!M513)</f>
        <v/>
      </c>
      <c r="L264" s="739" t="str">
        <f>IF(D_ETS1Amounts!T513="","",D_ETS1Amounts!T513)</f>
        <v/>
      </c>
      <c r="M264" s="681"/>
    </row>
    <row r="265" spans="1:13" hidden="1" x14ac:dyDescent="0.25">
      <c r="A265" s="674" t="s">
        <v>0</v>
      </c>
      <c r="B265" s="679"/>
      <c r="D265" s="496">
        <v>228</v>
      </c>
      <c r="E265" s="1436" t="str">
        <f>IF(D_ETS1Amounts!E514="","",D_ETS1Amounts!E514)</f>
        <v/>
      </c>
      <c r="F265" s="1436"/>
      <c r="G265" s="736" t="str">
        <f>IF(D_ETS1Amounts!F514="","",D_ETS1Amounts!F514)</f>
        <v/>
      </c>
      <c r="H265" s="737" t="str">
        <f>IF(D_ETS1Amounts!H514="","",D_ETS1Amounts!H514)</f>
        <v/>
      </c>
      <c r="I265" s="738" t="str">
        <f>IF(D_ETS1Amounts!J514="","",D_ETS1Amounts!J514)</f>
        <v/>
      </c>
      <c r="J265" s="739" t="str">
        <f>IF(D_ETS1Amounts!L514="","",D_ETS1Amounts!L514)</f>
        <v/>
      </c>
      <c r="K265" s="739" t="str">
        <f>IF(D_ETS1Amounts!M514="","",D_ETS1Amounts!M514)</f>
        <v/>
      </c>
      <c r="L265" s="739" t="str">
        <f>IF(D_ETS1Amounts!T514="","",D_ETS1Amounts!T514)</f>
        <v/>
      </c>
      <c r="M265" s="681"/>
    </row>
    <row r="266" spans="1:13" hidden="1" x14ac:dyDescent="0.25">
      <c r="A266" s="674" t="s">
        <v>0</v>
      </c>
      <c r="B266" s="679"/>
      <c r="D266" s="496">
        <v>229</v>
      </c>
      <c r="E266" s="1436" t="str">
        <f>IF(D_ETS1Amounts!E515="","",D_ETS1Amounts!E515)</f>
        <v/>
      </c>
      <c r="F266" s="1436"/>
      <c r="G266" s="736" t="str">
        <f>IF(D_ETS1Amounts!F515="","",D_ETS1Amounts!F515)</f>
        <v/>
      </c>
      <c r="H266" s="737" t="str">
        <f>IF(D_ETS1Amounts!H515="","",D_ETS1Amounts!H515)</f>
        <v/>
      </c>
      <c r="I266" s="738" t="str">
        <f>IF(D_ETS1Amounts!J515="","",D_ETS1Amounts!J515)</f>
        <v/>
      </c>
      <c r="J266" s="739" t="str">
        <f>IF(D_ETS1Amounts!L515="","",D_ETS1Amounts!L515)</f>
        <v/>
      </c>
      <c r="K266" s="739" t="str">
        <f>IF(D_ETS1Amounts!M515="","",D_ETS1Amounts!M515)</f>
        <v/>
      </c>
      <c r="L266" s="739" t="str">
        <f>IF(D_ETS1Amounts!T515="","",D_ETS1Amounts!T515)</f>
        <v/>
      </c>
      <c r="M266" s="681"/>
    </row>
    <row r="267" spans="1:13" hidden="1" x14ac:dyDescent="0.25">
      <c r="A267" s="674" t="s">
        <v>0</v>
      </c>
      <c r="B267" s="679"/>
      <c r="D267" s="496">
        <v>230</v>
      </c>
      <c r="E267" s="1436" t="str">
        <f>IF(D_ETS1Amounts!E516="","",D_ETS1Amounts!E516)</f>
        <v/>
      </c>
      <c r="F267" s="1436"/>
      <c r="G267" s="736" t="str">
        <f>IF(D_ETS1Amounts!F516="","",D_ETS1Amounts!F516)</f>
        <v/>
      </c>
      <c r="H267" s="737" t="str">
        <f>IF(D_ETS1Amounts!H516="","",D_ETS1Amounts!H516)</f>
        <v/>
      </c>
      <c r="I267" s="738" t="str">
        <f>IF(D_ETS1Amounts!J516="","",D_ETS1Amounts!J516)</f>
        <v/>
      </c>
      <c r="J267" s="739" t="str">
        <f>IF(D_ETS1Amounts!L516="","",D_ETS1Amounts!L516)</f>
        <v/>
      </c>
      <c r="K267" s="739" t="str">
        <f>IF(D_ETS1Amounts!M516="","",D_ETS1Amounts!M516)</f>
        <v/>
      </c>
      <c r="L267" s="739" t="str">
        <f>IF(D_ETS1Amounts!T516="","",D_ETS1Amounts!T516)</f>
        <v/>
      </c>
      <c r="M267" s="681"/>
    </row>
    <row r="268" spans="1:13" hidden="1" x14ac:dyDescent="0.25">
      <c r="A268" s="674" t="s">
        <v>0</v>
      </c>
      <c r="B268" s="679"/>
      <c r="D268" s="496">
        <v>231</v>
      </c>
      <c r="E268" s="1436" t="str">
        <f>IF(D_ETS1Amounts!E517="","",D_ETS1Amounts!E517)</f>
        <v/>
      </c>
      <c r="F268" s="1436"/>
      <c r="G268" s="736" t="str">
        <f>IF(D_ETS1Amounts!F517="","",D_ETS1Amounts!F517)</f>
        <v/>
      </c>
      <c r="H268" s="737" t="str">
        <f>IF(D_ETS1Amounts!H517="","",D_ETS1Amounts!H517)</f>
        <v/>
      </c>
      <c r="I268" s="738" t="str">
        <f>IF(D_ETS1Amounts!J517="","",D_ETS1Amounts!J517)</f>
        <v/>
      </c>
      <c r="J268" s="739" t="str">
        <f>IF(D_ETS1Amounts!L517="","",D_ETS1Amounts!L517)</f>
        <v/>
      </c>
      <c r="K268" s="739" t="str">
        <f>IF(D_ETS1Amounts!M517="","",D_ETS1Amounts!M517)</f>
        <v/>
      </c>
      <c r="L268" s="739" t="str">
        <f>IF(D_ETS1Amounts!T517="","",D_ETS1Amounts!T517)</f>
        <v/>
      </c>
      <c r="M268" s="681"/>
    </row>
    <row r="269" spans="1:13" hidden="1" x14ac:dyDescent="0.25">
      <c r="A269" s="674" t="s">
        <v>0</v>
      </c>
      <c r="B269" s="679"/>
      <c r="D269" s="496">
        <v>232</v>
      </c>
      <c r="E269" s="1436" t="str">
        <f>IF(D_ETS1Amounts!E518="","",D_ETS1Amounts!E518)</f>
        <v/>
      </c>
      <c r="F269" s="1436"/>
      <c r="G269" s="736" t="str">
        <f>IF(D_ETS1Amounts!F518="","",D_ETS1Amounts!F518)</f>
        <v/>
      </c>
      <c r="H269" s="737" t="str">
        <f>IF(D_ETS1Amounts!H518="","",D_ETS1Amounts!H518)</f>
        <v/>
      </c>
      <c r="I269" s="738" t="str">
        <f>IF(D_ETS1Amounts!J518="","",D_ETS1Amounts!J518)</f>
        <v/>
      </c>
      <c r="J269" s="739" t="str">
        <f>IF(D_ETS1Amounts!L518="","",D_ETS1Amounts!L518)</f>
        <v/>
      </c>
      <c r="K269" s="739" t="str">
        <f>IF(D_ETS1Amounts!M518="","",D_ETS1Amounts!M518)</f>
        <v/>
      </c>
      <c r="L269" s="739" t="str">
        <f>IF(D_ETS1Amounts!T518="","",D_ETS1Amounts!T518)</f>
        <v/>
      </c>
      <c r="M269" s="681"/>
    </row>
    <row r="270" spans="1:13" hidden="1" x14ac:dyDescent="0.25">
      <c r="A270" s="674" t="s">
        <v>0</v>
      </c>
      <c r="B270" s="679"/>
      <c r="D270" s="496">
        <v>233</v>
      </c>
      <c r="E270" s="1436" t="str">
        <f>IF(D_ETS1Amounts!E519="","",D_ETS1Amounts!E519)</f>
        <v/>
      </c>
      <c r="F270" s="1436"/>
      <c r="G270" s="736" t="str">
        <f>IF(D_ETS1Amounts!F519="","",D_ETS1Amounts!F519)</f>
        <v/>
      </c>
      <c r="H270" s="737" t="str">
        <f>IF(D_ETS1Amounts!H519="","",D_ETS1Amounts!H519)</f>
        <v/>
      </c>
      <c r="I270" s="738" t="str">
        <f>IF(D_ETS1Amounts!J519="","",D_ETS1Amounts!J519)</f>
        <v/>
      </c>
      <c r="J270" s="739" t="str">
        <f>IF(D_ETS1Amounts!L519="","",D_ETS1Amounts!L519)</f>
        <v/>
      </c>
      <c r="K270" s="739" t="str">
        <f>IF(D_ETS1Amounts!M519="","",D_ETS1Amounts!M519)</f>
        <v/>
      </c>
      <c r="L270" s="739" t="str">
        <f>IF(D_ETS1Amounts!T519="","",D_ETS1Amounts!T519)</f>
        <v/>
      </c>
      <c r="M270" s="681"/>
    </row>
    <row r="271" spans="1:13" hidden="1" x14ac:dyDescent="0.25">
      <c r="A271" s="674" t="s">
        <v>0</v>
      </c>
      <c r="B271" s="679"/>
      <c r="D271" s="496">
        <v>234</v>
      </c>
      <c r="E271" s="1436" t="str">
        <f>IF(D_ETS1Amounts!E520="","",D_ETS1Amounts!E520)</f>
        <v/>
      </c>
      <c r="F271" s="1436"/>
      <c r="G271" s="736" t="str">
        <f>IF(D_ETS1Amounts!F520="","",D_ETS1Amounts!F520)</f>
        <v/>
      </c>
      <c r="H271" s="737" t="str">
        <f>IF(D_ETS1Amounts!H520="","",D_ETS1Amounts!H520)</f>
        <v/>
      </c>
      <c r="I271" s="738" t="str">
        <f>IF(D_ETS1Amounts!J520="","",D_ETS1Amounts!J520)</f>
        <v/>
      </c>
      <c r="J271" s="739" t="str">
        <f>IF(D_ETS1Amounts!L520="","",D_ETS1Amounts!L520)</f>
        <v/>
      </c>
      <c r="K271" s="739" t="str">
        <f>IF(D_ETS1Amounts!M520="","",D_ETS1Amounts!M520)</f>
        <v/>
      </c>
      <c r="L271" s="739" t="str">
        <f>IF(D_ETS1Amounts!T520="","",D_ETS1Amounts!T520)</f>
        <v/>
      </c>
      <c r="M271" s="681"/>
    </row>
    <row r="272" spans="1:13" hidden="1" x14ac:dyDescent="0.25">
      <c r="A272" s="674" t="s">
        <v>0</v>
      </c>
      <c r="B272" s="679"/>
      <c r="D272" s="496">
        <v>235</v>
      </c>
      <c r="E272" s="1436" t="str">
        <f>IF(D_ETS1Amounts!E521="","",D_ETS1Amounts!E521)</f>
        <v/>
      </c>
      <c r="F272" s="1436"/>
      <c r="G272" s="736" t="str">
        <f>IF(D_ETS1Amounts!F521="","",D_ETS1Amounts!F521)</f>
        <v/>
      </c>
      <c r="H272" s="737" t="str">
        <f>IF(D_ETS1Amounts!H521="","",D_ETS1Amounts!H521)</f>
        <v/>
      </c>
      <c r="I272" s="738" t="str">
        <f>IF(D_ETS1Amounts!J521="","",D_ETS1Amounts!J521)</f>
        <v/>
      </c>
      <c r="J272" s="739" t="str">
        <f>IF(D_ETS1Amounts!L521="","",D_ETS1Amounts!L521)</f>
        <v/>
      </c>
      <c r="K272" s="739" t="str">
        <f>IF(D_ETS1Amounts!M521="","",D_ETS1Amounts!M521)</f>
        <v/>
      </c>
      <c r="L272" s="739" t="str">
        <f>IF(D_ETS1Amounts!T521="","",D_ETS1Amounts!T521)</f>
        <v/>
      </c>
      <c r="M272" s="681"/>
    </row>
    <row r="273" spans="1:13" hidden="1" x14ac:dyDescent="0.25">
      <c r="A273" s="674" t="s">
        <v>0</v>
      </c>
      <c r="B273" s="679"/>
      <c r="D273" s="496">
        <v>236</v>
      </c>
      <c r="E273" s="1436" t="str">
        <f>IF(D_ETS1Amounts!E522="","",D_ETS1Amounts!E522)</f>
        <v/>
      </c>
      <c r="F273" s="1436"/>
      <c r="G273" s="736" t="str">
        <f>IF(D_ETS1Amounts!F522="","",D_ETS1Amounts!F522)</f>
        <v/>
      </c>
      <c r="H273" s="737" t="str">
        <f>IF(D_ETS1Amounts!H522="","",D_ETS1Amounts!H522)</f>
        <v/>
      </c>
      <c r="I273" s="738" t="str">
        <f>IF(D_ETS1Amounts!J522="","",D_ETS1Amounts!J522)</f>
        <v/>
      </c>
      <c r="J273" s="739" t="str">
        <f>IF(D_ETS1Amounts!L522="","",D_ETS1Amounts!L522)</f>
        <v/>
      </c>
      <c r="K273" s="739" t="str">
        <f>IF(D_ETS1Amounts!M522="","",D_ETS1Amounts!M522)</f>
        <v/>
      </c>
      <c r="L273" s="739" t="str">
        <f>IF(D_ETS1Amounts!T522="","",D_ETS1Amounts!T522)</f>
        <v/>
      </c>
      <c r="M273" s="681"/>
    </row>
    <row r="274" spans="1:13" hidden="1" x14ac:dyDescent="0.25">
      <c r="A274" s="674" t="s">
        <v>0</v>
      </c>
      <c r="B274" s="679"/>
      <c r="D274" s="496">
        <v>237</v>
      </c>
      <c r="E274" s="1436" t="str">
        <f>IF(D_ETS1Amounts!E523="","",D_ETS1Amounts!E523)</f>
        <v/>
      </c>
      <c r="F274" s="1436"/>
      <c r="G274" s="736" t="str">
        <f>IF(D_ETS1Amounts!F523="","",D_ETS1Amounts!F523)</f>
        <v/>
      </c>
      <c r="H274" s="737" t="str">
        <f>IF(D_ETS1Amounts!H523="","",D_ETS1Amounts!H523)</f>
        <v/>
      </c>
      <c r="I274" s="738" t="str">
        <f>IF(D_ETS1Amounts!J523="","",D_ETS1Amounts!J523)</f>
        <v/>
      </c>
      <c r="J274" s="739" t="str">
        <f>IF(D_ETS1Amounts!L523="","",D_ETS1Amounts!L523)</f>
        <v/>
      </c>
      <c r="K274" s="739" t="str">
        <f>IF(D_ETS1Amounts!M523="","",D_ETS1Amounts!M523)</f>
        <v/>
      </c>
      <c r="L274" s="739" t="str">
        <f>IF(D_ETS1Amounts!T523="","",D_ETS1Amounts!T523)</f>
        <v/>
      </c>
      <c r="M274" s="681"/>
    </row>
    <row r="275" spans="1:13" hidden="1" x14ac:dyDescent="0.25">
      <c r="A275" s="674" t="s">
        <v>0</v>
      </c>
      <c r="B275" s="679"/>
      <c r="D275" s="496">
        <v>238</v>
      </c>
      <c r="E275" s="1436" t="str">
        <f>IF(D_ETS1Amounts!E524="","",D_ETS1Amounts!E524)</f>
        <v/>
      </c>
      <c r="F275" s="1436"/>
      <c r="G275" s="736" t="str">
        <f>IF(D_ETS1Amounts!F524="","",D_ETS1Amounts!F524)</f>
        <v/>
      </c>
      <c r="H275" s="737" t="str">
        <f>IF(D_ETS1Amounts!H524="","",D_ETS1Amounts!H524)</f>
        <v/>
      </c>
      <c r="I275" s="738" t="str">
        <f>IF(D_ETS1Amounts!J524="","",D_ETS1Amounts!J524)</f>
        <v/>
      </c>
      <c r="J275" s="739" t="str">
        <f>IF(D_ETS1Amounts!L524="","",D_ETS1Amounts!L524)</f>
        <v/>
      </c>
      <c r="K275" s="739" t="str">
        <f>IF(D_ETS1Amounts!M524="","",D_ETS1Amounts!M524)</f>
        <v/>
      </c>
      <c r="L275" s="739" t="str">
        <f>IF(D_ETS1Amounts!T524="","",D_ETS1Amounts!T524)</f>
        <v/>
      </c>
      <c r="M275" s="681"/>
    </row>
    <row r="276" spans="1:13" hidden="1" x14ac:dyDescent="0.25">
      <c r="A276" s="674" t="s">
        <v>0</v>
      </c>
      <c r="B276" s="679"/>
      <c r="D276" s="496">
        <v>239</v>
      </c>
      <c r="E276" s="1436" t="str">
        <f>IF(D_ETS1Amounts!E525="","",D_ETS1Amounts!E525)</f>
        <v/>
      </c>
      <c r="F276" s="1436"/>
      <c r="G276" s="736" t="str">
        <f>IF(D_ETS1Amounts!F525="","",D_ETS1Amounts!F525)</f>
        <v/>
      </c>
      <c r="H276" s="737" t="str">
        <f>IF(D_ETS1Amounts!H525="","",D_ETS1Amounts!H525)</f>
        <v/>
      </c>
      <c r="I276" s="738" t="str">
        <f>IF(D_ETS1Amounts!J525="","",D_ETS1Amounts!J525)</f>
        <v/>
      </c>
      <c r="J276" s="739" t="str">
        <f>IF(D_ETS1Amounts!L525="","",D_ETS1Amounts!L525)</f>
        <v/>
      </c>
      <c r="K276" s="739" t="str">
        <f>IF(D_ETS1Amounts!M525="","",D_ETS1Amounts!M525)</f>
        <v/>
      </c>
      <c r="L276" s="739" t="str">
        <f>IF(D_ETS1Amounts!T525="","",D_ETS1Amounts!T525)</f>
        <v/>
      </c>
      <c r="M276" s="681"/>
    </row>
    <row r="277" spans="1:13" hidden="1" x14ac:dyDescent="0.25">
      <c r="A277" s="674" t="s">
        <v>0</v>
      </c>
      <c r="B277" s="679"/>
      <c r="D277" s="496">
        <v>240</v>
      </c>
      <c r="E277" s="1436" t="str">
        <f>IF(D_ETS1Amounts!E526="","",D_ETS1Amounts!E526)</f>
        <v/>
      </c>
      <c r="F277" s="1436"/>
      <c r="G277" s="736" t="str">
        <f>IF(D_ETS1Amounts!F526="","",D_ETS1Amounts!F526)</f>
        <v/>
      </c>
      <c r="H277" s="737" t="str">
        <f>IF(D_ETS1Amounts!H526="","",D_ETS1Amounts!H526)</f>
        <v/>
      </c>
      <c r="I277" s="738" t="str">
        <f>IF(D_ETS1Amounts!J526="","",D_ETS1Amounts!J526)</f>
        <v/>
      </c>
      <c r="J277" s="739" t="str">
        <f>IF(D_ETS1Amounts!L526="","",D_ETS1Amounts!L526)</f>
        <v/>
      </c>
      <c r="K277" s="739" t="str">
        <f>IF(D_ETS1Amounts!M526="","",D_ETS1Amounts!M526)</f>
        <v/>
      </c>
      <c r="L277" s="739" t="str">
        <f>IF(D_ETS1Amounts!T526="","",D_ETS1Amounts!T526)</f>
        <v/>
      </c>
      <c r="M277" s="681"/>
    </row>
    <row r="278" spans="1:13" hidden="1" x14ac:dyDescent="0.25">
      <c r="A278" s="674" t="s">
        <v>0</v>
      </c>
      <c r="B278" s="679"/>
      <c r="D278" s="496">
        <v>241</v>
      </c>
      <c r="E278" s="1436" t="str">
        <f>IF(D_ETS1Amounts!E527="","",D_ETS1Amounts!E527)</f>
        <v/>
      </c>
      <c r="F278" s="1436"/>
      <c r="G278" s="736" t="str">
        <f>IF(D_ETS1Amounts!F527="","",D_ETS1Amounts!F527)</f>
        <v/>
      </c>
      <c r="H278" s="737" t="str">
        <f>IF(D_ETS1Amounts!H527="","",D_ETS1Amounts!H527)</f>
        <v/>
      </c>
      <c r="I278" s="738" t="str">
        <f>IF(D_ETS1Amounts!J527="","",D_ETS1Amounts!J527)</f>
        <v/>
      </c>
      <c r="J278" s="739" t="str">
        <f>IF(D_ETS1Amounts!L527="","",D_ETS1Amounts!L527)</f>
        <v/>
      </c>
      <c r="K278" s="739" t="str">
        <f>IF(D_ETS1Amounts!M527="","",D_ETS1Amounts!M527)</f>
        <v/>
      </c>
      <c r="L278" s="739" t="str">
        <f>IF(D_ETS1Amounts!T527="","",D_ETS1Amounts!T527)</f>
        <v/>
      </c>
      <c r="M278" s="681"/>
    </row>
    <row r="279" spans="1:13" hidden="1" x14ac:dyDescent="0.25">
      <c r="A279" s="674" t="s">
        <v>0</v>
      </c>
      <c r="B279" s="679"/>
      <c r="D279" s="496">
        <v>242</v>
      </c>
      <c r="E279" s="1436" t="str">
        <f>IF(D_ETS1Amounts!E528="","",D_ETS1Amounts!E528)</f>
        <v/>
      </c>
      <c r="F279" s="1436"/>
      <c r="G279" s="736" t="str">
        <f>IF(D_ETS1Amounts!F528="","",D_ETS1Amounts!F528)</f>
        <v/>
      </c>
      <c r="H279" s="737" t="str">
        <f>IF(D_ETS1Amounts!H528="","",D_ETS1Amounts!H528)</f>
        <v/>
      </c>
      <c r="I279" s="738" t="str">
        <f>IF(D_ETS1Amounts!J528="","",D_ETS1Amounts!J528)</f>
        <v/>
      </c>
      <c r="J279" s="739" t="str">
        <f>IF(D_ETS1Amounts!L528="","",D_ETS1Amounts!L528)</f>
        <v/>
      </c>
      <c r="K279" s="739" t="str">
        <f>IF(D_ETS1Amounts!M528="","",D_ETS1Amounts!M528)</f>
        <v/>
      </c>
      <c r="L279" s="739" t="str">
        <f>IF(D_ETS1Amounts!T528="","",D_ETS1Amounts!T528)</f>
        <v/>
      </c>
      <c r="M279" s="681"/>
    </row>
    <row r="280" spans="1:13" hidden="1" x14ac:dyDescent="0.25">
      <c r="A280" s="674" t="s">
        <v>0</v>
      </c>
      <c r="B280" s="679"/>
      <c r="D280" s="496">
        <v>243</v>
      </c>
      <c r="E280" s="1436" t="str">
        <f>IF(D_ETS1Amounts!E529="","",D_ETS1Amounts!E529)</f>
        <v/>
      </c>
      <c r="F280" s="1436"/>
      <c r="G280" s="736" t="str">
        <f>IF(D_ETS1Amounts!F529="","",D_ETS1Amounts!F529)</f>
        <v/>
      </c>
      <c r="H280" s="737" t="str">
        <f>IF(D_ETS1Amounts!H529="","",D_ETS1Amounts!H529)</f>
        <v/>
      </c>
      <c r="I280" s="738" t="str">
        <f>IF(D_ETS1Amounts!J529="","",D_ETS1Amounts!J529)</f>
        <v/>
      </c>
      <c r="J280" s="739" t="str">
        <f>IF(D_ETS1Amounts!L529="","",D_ETS1Amounts!L529)</f>
        <v/>
      </c>
      <c r="K280" s="739" t="str">
        <f>IF(D_ETS1Amounts!M529="","",D_ETS1Amounts!M529)</f>
        <v/>
      </c>
      <c r="L280" s="739" t="str">
        <f>IF(D_ETS1Amounts!T529="","",D_ETS1Amounts!T529)</f>
        <v/>
      </c>
      <c r="M280" s="681"/>
    </row>
    <row r="281" spans="1:13" hidden="1" x14ac:dyDescent="0.25">
      <c r="A281" s="674" t="s">
        <v>0</v>
      </c>
      <c r="B281" s="679"/>
      <c r="D281" s="496">
        <v>244</v>
      </c>
      <c r="E281" s="1436" t="str">
        <f>IF(D_ETS1Amounts!E530="","",D_ETS1Amounts!E530)</f>
        <v/>
      </c>
      <c r="F281" s="1436"/>
      <c r="G281" s="736" t="str">
        <f>IF(D_ETS1Amounts!F530="","",D_ETS1Amounts!F530)</f>
        <v/>
      </c>
      <c r="H281" s="737" t="str">
        <f>IF(D_ETS1Amounts!H530="","",D_ETS1Amounts!H530)</f>
        <v/>
      </c>
      <c r="I281" s="738" t="str">
        <f>IF(D_ETS1Amounts!J530="","",D_ETS1Amounts!J530)</f>
        <v/>
      </c>
      <c r="J281" s="739" t="str">
        <f>IF(D_ETS1Amounts!L530="","",D_ETS1Amounts!L530)</f>
        <v/>
      </c>
      <c r="K281" s="739" t="str">
        <f>IF(D_ETS1Amounts!M530="","",D_ETS1Amounts!M530)</f>
        <v/>
      </c>
      <c r="L281" s="739" t="str">
        <f>IF(D_ETS1Amounts!T530="","",D_ETS1Amounts!T530)</f>
        <v/>
      </c>
      <c r="M281" s="681"/>
    </row>
    <row r="282" spans="1:13" hidden="1" x14ac:dyDescent="0.25">
      <c r="A282" s="674" t="s">
        <v>0</v>
      </c>
      <c r="B282" s="679"/>
      <c r="D282" s="496">
        <v>245</v>
      </c>
      <c r="E282" s="1436" t="str">
        <f>IF(D_ETS1Amounts!E531="","",D_ETS1Amounts!E531)</f>
        <v/>
      </c>
      <c r="F282" s="1436"/>
      <c r="G282" s="736" t="str">
        <f>IF(D_ETS1Amounts!F531="","",D_ETS1Amounts!F531)</f>
        <v/>
      </c>
      <c r="H282" s="737" t="str">
        <f>IF(D_ETS1Amounts!H531="","",D_ETS1Amounts!H531)</f>
        <v/>
      </c>
      <c r="I282" s="738" t="str">
        <f>IF(D_ETS1Amounts!J531="","",D_ETS1Amounts!J531)</f>
        <v/>
      </c>
      <c r="J282" s="739" t="str">
        <f>IF(D_ETS1Amounts!L531="","",D_ETS1Amounts!L531)</f>
        <v/>
      </c>
      <c r="K282" s="739" t="str">
        <f>IF(D_ETS1Amounts!M531="","",D_ETS1Amounts!M531)</f>
        <v/>
      </c>
      <c r="L282" s="739" t="str">
        <f>IF(D_ETS1Amounts!T531="","",D_ETS1Amounts!T531)</f>
        <v/>
      </c>
      <c r="M282" s="681"/>
    </row>
    <row r="283" spans="1:13" hidden="1" x14ac:dyDescent="0.25">
      <c r="A283" s="674" t="s">
        <v>0</v>
      </c>
      <c r="B283" s="679"/>
      <c r="D283" s="496">
        <v>246</v>
      </c>
      <c r="E283" s="1436" t="str">
        <f>IF(D_ETS1Amounts!E532="","",D_ETS1Amounts!E532)</f>
        <v/>
      </c>
      <c r="F283" s="1436"/>
      <c r="G283" s="736" t="str">
        <f>IF(D_ETS1Amounts!F532="","",D_ETS1Amounts!F532)</f>
        <v/>
      </c>
      <c r="H283" s="737" t="str">
        <f>IF(D_ETS1Amounts!H532="","",D_ETS1Amounts!H532)</f>
        <v/>
      </c>
      <c r="I283" s="738" t="str">
        <f>IF(D_ETS1Amounts!J532="","",D_ETS1Amounts!J532)</f>
        <v/>
      </c>
      <c r="J283" s="739" t="str">
        <f>IF(D_ETS1Amounts!L532="","",D_ETS1Amounts!L532)</f>
        <v/>
      </c>
      <c r="K283" s="739" t="str">
        <f>IF(D_ETS1Amounts!M532="","",D_ETS1Amounts!M532)</f>
        <v/>
      </c>
      <c r="L283" s="739" t="str">
        <f>IF(D_ETS1Amounts!T532="","",D_ETS1Amounts!T532)</f>
        <v/>
      </c>
      <c r="M283" s="681"/>
    </row>
    <row r="284" spans="1:13" hidden="1" x14ac:dyDescent="0.25">
      <c r="A284" s="674" t="s">
        <v>0</v>
      </c>
      <c r="B284" s="679"/>
      <c r="D284" s="496">
        <v>247</v>
      </c>
      <c r="E284" s="1436" t="str">
        <f>IF(D_ETS1Amounts!E533="","",D_ETS1Amounts!E533)</f>
        <v/>
      </c>
      <c r="F284" s="1436"/>
      <c r="G284" s="736" t="str">
        <f>IF(D_ETS1Amounts!F533="","",D_ETS1Amounts!F533)</f>
        <v/>
      </c>
      <c r="H284" s="737" t="str">
        <f>IF(D_ETS1Amounts!H533="","",D_ETS1Amounts!H533)</f>
        <v/>
      </c>
      <c r="I284" s="738" t="str">
        <f>IF(D_ETS1Amounts!J533="","",D_ETS1Amounts!J533)</f>
        <v/>
      </c>
      <c r="J284" s="739" t="str">
        <f>IF(D_ETS1Amounts!L533="","",D_ETS1Amounts!L533)</f>
        <v/>
      </c>
      <c r="K284" s="739" t="str">
        <f>IF(D_ETS1Amounts!M533="","",D_ETS1Amounts!M533)</f>
        <v/>
      </c>
      <c r="L284" s="739" t="str">
        <f>IF(D_ETS1Amounts!T533="","",D_ETS1Amounts!T533)</f>
        <v/>
      </c>
      <c r="M284" s="681"/>
    </row>
    <row r="285" spans="1:13" hidden="1" x14ac:dyDescent="0.25">
      <c r="A285" s="674" t="s">
        <v>0</v>
      </c>
      <c r="B285" s="679"/>
      <c r="D285" s="496">
        <v>248</v>
      </c>
      <c r="E285" s="1436" t="str">
        <f>IF(D_ETS1Amounts!E534="","",D_ETS1Amounts!E534)</f>
        <v/>
      </c>
      <c r="F285" s="1436"/>
      <c r="G285" s="736" t="str">
        <f>IF(D_ETS1Amounts!F534="","",D_ETS1Amounts!F534)</f>
        <v/>
      </c>
      <c r="H285" s="737" t="str">
        <f>IF(D_ETS1Amounts!H534="","",D_ETS1Amounts!H534)</f>
        <v/>
      </c>
      <c r="I285" s="738" t="str">
        <f>IF(D_ETS1Amounts!J534="","",D_ETS1Amounts!J534)</f>
        <v/>
      </c>
      <c r="J285" s="739" t="str">
        <f>IF(D_ETS1Amounts!L534="","",D_ETS1Amounts!L534)</f>
        <v/>
      </c>
      <c r="K285" s="739" t="str">
        <f>IF(D_ETS1Amounts!M534="","",D_ETS1Amounts!M534)</f>
        <v/>
      </c>
      <c r="L285" s="739" t="str">
        <f>IF(D_ETS1Amounts!T534="","",D_ETS1Amounts!T534)</f>
        <v/>
      </c>
      <c r="M285" s="681"/>
    </row>
    <row r="286" spans="1:13" hidden="1" x14ac:dyDescent="0.25">
      <c r="A286" s="674" t="s">
        <v>0</v>
      </c>
      <c r="B286" s="679"/>
      <c r="D286" s="496">
        <v>249</v>
      </c>
      <c r="E286" s="1436" t="str">
        <f>IF(D_ETS1Amounts!E535="","",D_ETS1Amounts!E535)</f>
        <v/>
      </c>
      <c r="F286" s="1436"/>
      <c r="G286" s="736" t="str">
        <f>IF(D_ETS1Amounts!F535="","",D_ETS1Amounts!F535)</f>
        <v/>
      </c>
      <c r="H286" s="737" t="str">
        <f>IF(D_ETS1Amounts!H535="","",D_ETS1Amounts!H535)</f>
        <v/>
      </c>
      <c r="I286" s="738" t="str">
        <f>IF(D_ETS1Amounts!J535="","",D_ETS1Amounts!J535)</f>
        <v/>
      </c>
      <c r="J286" s="739" t="str">
        <f>IF(D_ETS1Amounts!L535="","",D_ETS1Amounts!L535)</f>
        <v/>
      </c>
      <c r="K286" s="739" t="str">
        <f>IF(D_ETS1Amounts!M535="","",D_ETS1Amounts!M535)</f>
        <v/>
      </c>
      <c r="L286" s="739" t="str">
        <f>IF(D_ETS1Amounts!T535="","",D_ETS1Amounts!T535)</f>
        <v/>
      </c>
      <c r="M286" s="681"/>
    </row>
    <row r="287" spans="1:13" hidden="1" x14ac:dyDescent="0.25">
      <c r="A287" s="674" t="s">
        <v>0</v>
      </c>
      <c r="B287" s="679"/>
      <c r="D287" s="496">
        <v>250</v>
      </c>
      <c r="E287" s="1436" t="str">
        <f>IF(D_ETS1Amounts!E536="","",D_ETS1Amounts!E536)</f>
        <v/>
      </c>
      <c r="F287" s="1436"/>
      <c r="G287" s="736" t="str">
        <f>IF(D_ETS1Amounts!F536="","",D_ETS1Amounts!F536)</f>
        <v/>
      </c>
      <c r="H287" s="737" t="str">
        <f>IF(D_ETS1Amounts!H536="","",D_ETS1Amounts!H536)</f>
        <v/>
      </c>
      <c r="I287" s="738" t="str">
        <f>IF(D_ETS1Amounts!J536="","",D_ETS1Amounts!J536)</f>
        <v/>
      </c>
      <c r="J287" s="739" t="str">
        <f>IF(D_ETS1Amounts!L536="","",D_ETS1Amounts!L536)</f>
        <v/>
      </c>
      <c r="K287" s="739" t="str">
        <f>IF(D_ETS1Amounts!M536="","",D_ETS1Amounts!M536)</f>
        <v/>
      </c>
      <c r="L287" s="739" t="str">
        <f>IF(D_ETS1Amounts!T536="","",D_ETS1Amounts!T536)</f>
        <v/>
      </c>
      <c r="M287" s="681"/>
    </row>
    <row r="288" spans="1:13" x14ac:dyDescent="0.25">
      <c r="B288" s="679"/>
      <c r="D288" s="496"/>
      <c r="E288" s="496"/>
      <c r="F288" s="496"/>
      <c r="G288" s="496"/>
      <c r="H288" s="496"/>
      <c r="I288" s="496"/>
      <c r="J288" s="496"/>
      <c r="K288" s="496"/>
      <c r="L288" s="496"/>
      <c r="M288" s="681"/>
    </row>
    <row r="289" spans="2:13" ht="48" x14ac:dyDescent="0.3">
      <c r="B289" s="679"/>
      <c r="D289" s="496"/>
      <c r="E289" s="732" t="str">
        <f>Translations!$B$420</f>
        <v>Fuel stream</v>
      </c>
      <c r="F289" s="733" t="str">
        <f>Translations!$B$444</f>
        <v>Name and address; intermediary consumer 1</v>
      </c>
      <c r="G289" s="733" t="str">
        <f>Translations!$B$445</f>
        <v>Name and address; intermediary consumer 2</v>
      </c>
      <c r="H289" s="733" t="str">
        <f>Translations!$B$446</f>
        <v>Name and address; intermediary consumer 3</v>
      </c>
      <c r="I289" s="733" t="str">
        <f>Translations!$B$447</f>
        <v>Name and address; intermediary consumer 4</v>
      </c>
      <c r="J289" s="733" t="str">
        <f>Translations!$B$448</f>
        <v>Name and address; intermediary consumer 5</v>
      </c>
      <c r="K289" s="733" t="str">
        <f>Translations!$B$449</f>
        <v>Name and address; intermediary consumer 6</v>
      </c>
      <c r="L289" s="733" t="str">
        <f>Translations!$B$450</f>
        <v>Name and address; intermediary consumer 7</v>
      </c>
      <c r="M289" s="681"/>
    </row>
    <row r="290" spans="2:13" x14ac:dyDescent="0.25">
      <c r="B290" s="679"/>
      <c r="D290" s="496">
        <v>1</v>
      </c>
      <c r="E290" s="736" t="str">
        <f>D_ETS1Amounts!F541</f>
        <v/>
      </c>
      <c r="F290" s="736" t="str">
        <f>IF(D_ETS1Amounts!H541="","",D_ETS1Amounts!H541)</f>
        <v/>
      </c>
      <c r="G290" s="736" t="str">
        <f>IF(D_ETS1Amounts!I541="","",D_ETS1Amounts!I541)</f>
        <v/>
      </c>
      <c r="H290" s="736" t="str">
        <f>IF(D_ETS1Amounts!J541="","",D_ETS1Amounts!J541)</f>
        <v/>
      </c>
      <c r="I290" s="736" t="str">
        <f>IF(D_ETS1Amounts!K541="","",D_ETS1Amounts!K541)</f>
        <v/>
      </c>
      <c r="J290" s="736" t="str">
        <f>IF(D_ETS1Amounts!L541="","",D_ETS1Amounts!L541)</f>
        <v/>
      </c>
      <c r="K290" s="736" t="str">
        <f>IF(D_ETS1Amounts!M541="","",D_ETS1Amounts!M541)</f>
        <v/>
      </c>
      <c r="L290" s="737" t="str">
        <f>IF(D_ETS1Amounts!N541="","",D_ETS1Amounts!N541)</f>
        <v/>
      </c>
      <c r="M290" s="681"/>
    </row>
    <row r="291" spans="2:13" x14ac:dyDescent="0.25">
      <c r="B291" s="679"/>
      <c r="D291" s="496">
        <v>2</v>
      </c>
      <c r="E291" s="736" t="str">
        <f>D_ETS1Amounts!F542</f>
        <v/>
      </c>
      <c r="F291" s="736" t="str">
        <f>IF(D_ETS1Amounts!H542="","",D_ETS1Amounts!H542)</f>
        <v/>
      </c>
      <c r="G291" s="736" t="str">
        <f>IF(D_ETS1Amounts!I542="","",D_ETS1Amounts!I542)</f>
        <v/>
      </c>
      <c r="H291" s="736" t="str">
        <f>IF(D_ETS1Amounts!J542="","",D_ETS1Amounts!J542)</f>
        <v/>
      </c>
      <c r="I291" s="736" t="str">
        <f>IF(D_ETS1Amounts!K542="","",D_ETS1Amounts!K542)</f>
        <v/>
      </c>
      <c r="J291" s="736" t="str">
        <f>IF(D_ETS1Amounts!L542="","",D_ETS1Amounts!L542)</f>
        <v/>
      </c>
      <c r="K291" s="736" t="str">
        <f>IF(D_ETS1Amounts!M542="","",D_ETS1Amounts!M542)</f>
        <v/>
      </c>
      <c r="L291" s="737" t="str">
        <f>IF(D_ETS1Amounts!N542="","",D_ETS1Amounts!N542)</f>
        <v/>
      </c>
      <c r="M291" s="681"/>
    </row>
    <row r="292" spans="2:13" x14ac:dyDescent="0.25">
      <c r="B292" s="679"/>
      <c r="D292" s="496">
        <v>3</v>
      </c>
      <c r="E292" s="736" t="str">
        <f>D_ETS1Amounts!F543</f>
        <v/>
      </c>
      <c r="F292" s="736" t="str">
        <f>IF(D_ETS1Amounts!H543="","",D_ETS1Amounts!H543)</f>
        <v/>
      </c>
      <c r="G292" s="736" t="str">
        <f>IF(D_ETS1Amounts!I543="","",D_ETS1Amounts!I543)</f>
        <v/>
      </c>
      <c r="H292" s="736" t="str">
        <f>IF(D_ETS1Amounts!J543="","",D_ETS1Amounts!J543)</f>
        <v/>
      </c>
      <c r="I292" s="736" t="str">
        <f>IF(D_ETS1Amounts!K543="","",D_ETS1Amounts!K543)</f>
        <v/>
      </c>
      <c r="J292" s="736" t="str">
        <f>IF(D_ETS1Amounts!L543="","",D_ETS1Amounts!L543)</f>
        <v/>
      </c>
      <c r="K292" s="736" t="str">
        <f>IF(D_ETS1Amounts!M543="","",D_ETS1Amounts!M543)</f>
        <v/>
      </c>
      <c r="L292" s="737" t="str">
        <f>IF(D_ETS1Amounts!N543="","",D_ETS1Amounts!N543)</f>
        <v/>
      </c>
      <c r="M292" s="681"/>
    </row>
    <row r="293" spans="2:13" x14ac:dyDescent="0.25">
      <c r="B293" s="679"/>
      <c r="D293" s="496">
        <v>4</v>
      </c>
      <c r="E293" s="736" t="str">
        <f>D_ETS1Amounts!F544</f>
        <v/>
      </c>
      <c r="F293" s="736" t="str">
        <f>IF(D_ETS1Amounts!H544="","",D_ETS1Amounts!H544)</f>
        <v/>
      </c>
      <c r="G293" s="736" t="str">
        <f>IF(D_ETS1Amounts!I544="","",D_ETS1Amounts!I544)</f>
        <v/>
      </c>
      <c r="H293" s="736" t="str">
        <f>IF(D_ETS1Amounts!J544="","",D_ETS1Amounts!J544)</f>
        <v/>
      </c>
      <c r="I293" s="736" t="str">
        <f>IF(D_ETS1Amounts!K544="","",D_ETS1Amounts!K544)</f>
        <v/>
      </c>
      <c r="J293" s="736" t="str">
        <f>IF(D_ETS1Amounts!L544="","",D_ETS1Amounts!L544)</f>
        <v/>
      </c>
      <c r="K293" s="736" t="str">
        <f>IF(D_ETS1Amounts!M544="","",D_ETS1Amounts!M544)</f>
        <v/>
      </c>
      <c r="L293" s="737" t="str">
        <f>IF(D_ETS1Amounts!N544="","",D_ETS1Amounts!N544)</f>
        <v/>
      </c>
      <c r="M293" s="681"/>
    </row>
    <row r="294" spans="2:13" x14ac:dyDescent="0.25">
      <c r="B294" s="679"/>
      <c r="D294" s="496">
        <v>5</v>
      </c>
      <c r="E294" s="736" t="str">
        <f>D_ETS1Amounts!F545</f>
        <v/>
      </c>
      <c r="F294" s="736" t="str">
        <f>IF(D_ETS1Amounts!H545="","",D_ETS1Amounts!H545)</f>
        <v/>
      </c>
      <c r="G294" s="736" t="str">
        <f>IF(D_ETS1Amounts!I545="","",D_ETS1Amounts!I545)</f>
        <v/>
      </c>
      <c r="H294" s="736" t="str">
        <f>IF(D_ETS1Amounts!J545="","",D_ETS1Amounts!J545)</f>
        <v/>
      </c>
      <c r="I294" s="736" t="str">
        <f>IF(D_ETS1Amounts!K545="","",D_ETS1Amounts!K545)</f>
        <v/>
      </c>
      <c r="J294" s="736" t="str">
        <f>IF(D_ETS1Amounts!L545="","",D_ETS1Amounts!L545)</f>
        <v/>
      </c>
      <c r="K294" s="736" t="str">
        <f>IF(D_ETS1Amounts!M545="","",D_ETS1Amounts!M545)</f>
        <v/>
      </c>
      <c r="L294" s="737" t="str">
        <f>IF(D_ETS1Amounts!N545="","",D_ETS1Amounts!N545)</f>
        <v/>
      </c>
      <c r="M294" s="681"/>
    </row>
    <row r="295" spans="2:13" x14ac:dyDescent="0.25">
      <c r="B295" s="679"/>
      <c r="D295" s="496">
        <v>6</v>
      </c>
      <c r="E295" s="736" t="str">
        <f>D_ETS1Amounts!F546</f>
        <v/>
      </c>
      <c r="F295" s="736" t="str">
        <f>IF(D_ETS1Amounts!H546="","",D_ETS1Amounts!H546)</f>
        <v/>
      </c>
      <c r="G295" s="736" t="str">
        <f>IF(D_ETS1Amounts!I546="","",D_ETS1Amounts!I546)</f>
        <v/>
      </c>
      <c r="H295" s="736" t="str">
        <f>IF(D_ETS1Amounts!J546="","",D_ETS1Amounts!J546)</f>
        <v/>
      </c>
      <c r="I295" s="736" t="str">
        <f>IF(D_ETS1Amounts!K546="","",D_ETS1Amounts!K546)</f>
        <v/>
      </c>
      <c r="J295" s="736" t="str">
        <f>IF(D_ETS1Amounts!L546="","",D_ETS1Amounts!L546)</f>
        <v/>
      </c>
      <c r="K295" s="736" t="str">
        <f>IF(D_ETS1Amounts!M546="","",D_ETS1Amounts!M546)</f>
        <v/>
      </c>
      <c r="L295" s="737" t="str">
        <f>IF(D_ETS1Amounts!N546="","",D_ETS1Amounts!N546)</f>
        <v/>
      </c>
      <c r="M295" s="681"/>
    </row>
    <row r="296" spans="2:13" x14ac:dyDescent="0.25">
      <c r="B296" s="679"/>
      <c r="D296" s="496">
        <v>7</v>
      </c>
      <c r="E296" s="736" t="str">
        <f>D_ETS1Amounts!F547</f>
        <v/>
      </c>
      <c r="F296" s="736" t="str">
        <f>IF(D_ETS1Amounts!H547="","",D_ETS1Amounts!H547)</f>
        <v/>
      </c>
      <c r="G296" s="736" t="str">
        <f>IF(D_ETS1Amounts!I547="","",D_ETS1Amounts!I547)</f>
        <v/>
      </c>
      <c r="H296" s="736" t="str">
        <f>IF(D_ETS1Amounts!J547="","",D_ETS1Amounts!J547)</f>
        <v/>
      </c>
      <c r="I296" s="736" t="str">
        <f>IF(D_ETS1Amounts!K547="","",D_ETS1Amounts!K547)</f>
        <v/>
      </c>
      <c r="J296" s="736" t="str">
        <f>IF(D_ETS1Amounts!L547="","",D_ETS1Amounts!L547)</f>
        <v/>
      </c>
      <c r="K296" s="736" t="str">
        <f>IF(D_ETS1Amounts!M547="","",D_ETS1Amounts!M547)</f>
        <v/>
      </c>
      <c r="L296" s="737" t="str">
        <f>IF(D_ETS1Amounts!N547="","",D_ETS1Amounts!N547)</f>
        <v/>
      </c>
      <c r="M296" s="681"/>
    </row>
    <row r="297" spans="2:13" x14ac:dyDescent="0.25">
      <c r="B297" s="679"/>
      <c r="D297" s="496">
        <v>8</v>
      </c>
      <c r="E297" s="736" t="str">
        <f>D_ETS1Amounts!F548</f>
        <v/>
      </c>
      <c r="F297" s="736" t="str">
        <f>IF(D_ETS1Amounts!H548="","",D_ETS1Amounts!H548)</f>
        <v/>
      </c>
      <c r="G297" s="736" t="str">
        <f>IF(D_ETS1Amounts!I548="","",D_ETS1Amounts!I548)</f>
        <v/>
      </c>
      <c r="H297" s="736" t="str">
        <f>IF(D_ETS1Amounts!J548="","",D_ETS1Amounts!J548)</f>
        <v/>
      </c>
      <c r="I297" s="736" t="str">
        <f>IF(D_ETS1Amounts!K548="","",D_ETS1Amounts!K548)</f>
        <v/>
      </c>
      <c r="J297" s="736" t="str">
        <f>IF(D_ETS1Amounts!L548="","",D_ETS1Amounts!L548)</f>
        <v/>
      </c>
      <c r="K297" s="736" t="str">
        <f>IF(D_ETS1Amounts!M548="","",D_ETS1Amounts!M548)</f>
        <v/>
      </c>
      <c r="L297" s="737" t="str">
        <f>IF(D_ETS1Amounts!N548="","",D_ETS1Amounts!N548)</f>
        <v/>
      </c>
      <c r="M297" s="681"/>
    </row>
    <row r="298" spans="2:13" x14ac:dyDescent="0.25">
      <c r="B298" s="679"/>
      <c r="D298" s="496">
        <v>9</v>
      </c>
      <c r="E298" s="736" t="str">
        <f>D_ETS1Amounts!F549</f>
        <v/>
      </c>
      <c r="F298" s="736" t="str">
        <f>IF(D_ETS1Amounts!H549="","",D_ETS1Amounts!H549)</f>
        <v/>
      </c>
      <c r="G298" s="736" t="str">
        <f>IF(D_ETS1Amounts!I549="","",D_ETS1Amounts!I549)</f>
        <v/>
      </c>
      <c r="H298" s="736" t="str">
        <f>IF(D_ETS1Amounts!J549="","",D_ETS1Amounts!J549)</f>
        <v/>
      </c>
      <c r="I298" s="736" t="str">
        <f>IF(D_ETS1Amounts!K549="","",D_ETS1Amounts!K549)</f>
        <v/>
      </c>
      <c r="J298" s="736" t="str">
        <f>IF(D_ETS1Amounts!L549="","",D_ETS1Amounts!L549)</f>
        <v/>
      </c>
      <c r="K298" s="736" t="str">
        <f>IF(D_ETS1Amounts!M549="","",D_ETS1Amounts!M549)</f>
        <v/>
      </c>
      <c r="L298" s="737" t="str">
        <f>IF(D_ETS1Amounts!N549="","",D_ETS1Amounts!N549)</f>
        <v/>
      </c>
      <c r="M298" s="681"/>
    </row>
    <row r="299" spans="2:13" x14ac:dyDescent="0.25">
      <c r="B299" s="679"/>
      <c r="D299" s="496">
        <v>10</v>
      </c>
      <c r="E299" s="736" t="str">
        <f>D_ETS1Amounts!F550</f>
        <v/>
      </c>
      <c r="F299" s="736" t="str">
        <f>IF(D_ETS1Amounts!H550="","",D_ETS1Amounts!H550)</f>
        <v/>
      </c>
      <c r="G299" s="736" t="str">
        <f>IF(D_ETS1Amounts!I550="","",D_ETS1Amounts!I550)</f>
        <v/>
      </c>
      <c r="H299" s="736" t="str">
        <f>IF(D_ETS1Amounts!J550="","",D_ETS1Amounts!J550)</f>
        <v/>
      </c>
      <c r="I299" s="736" t="str">
        <f>IF(D_ETS1Amounts!K550="","",D_ETS1Amounts!K550)</f>
        <v/>
      </c>
      <c r="J299" s="736" t="str">
        <f>IF(D_ETS1Amounts!L550="","",D_ETS1Amounts!L550)</f>
        <v/>
      </c>
      <c r="K299" s="736" t="str">
        <f>IF(D_ETS1Amounts!M550="","",D_ETS1Amounts!M550)</f>
        <v/>
      </c>
      <c r="L299" s="737" t="str">
        <f>IF(D_ETS1Amounts!N550="","",D_ETS1Amounts!N550)</f>
        <v/>
      </c>
      <c r="M299" s="681"/>
    </row>
    <row r="300" spans="2:13" x14ac:dyDescent="0.25">
      <c r="B300" s="679"/>
      <c r="D300" s="496">
        <v>11</v>
      </c>
      <c r="E300" s="736" t="str">
        <f>D_ETS1Amounts!F551</f>
        <v/>
      </c>
      <c r="F300" s="736" t="str">
        <f>IF(D_ETS1Amounts!H551="","",D_ETS1Amounts!H551)</f>
        <v/>
      </c>
      <c r="G300" s="736" t="str">
        <f>IF(D_ETS1Amounts!I551="","",D_ETS1Amounts!I551)</f>
        <v/>
      </c>
      <c r="H300" s="736" t="str">
        <f>IF(D_ETS1Amounts!J551="","",D_ETS1Amounts!J551)</f>
        <v/>
      </c>
      <c r="I300" s="736" t="str">
        <f>IF(D_ETS1Amounts!K551="","",D_ETS1Amounts!K551)</f>
        <v/>
      </c>
      <c r="J300" s="736" t="str">
        <f>IF(D_ETS1Amounts!L551="","",D_ETS1Amounts!L551)</f>
        <v/>
      </c>
      <c r="K300" s="736" t="str">
        <f>IF(D_ETS1Amounts!M551="","",D_ETS1Amounts!M551)</f>
        <v/>
      </c>
      <c r="L300" s="737" t="str">
        <f>IF(D_ETS1Amounts!N551="","",D_ETS1Amounts!N551)</f>
        <v/>
      </c>
      <c r="M300" s="681"/>
    </row>
    <row r="301" spans="2:13" x14ac:dyDescent="0.25">
      <c r="B301" s="679"/>
      <c r="D301" s="496">
        <v>12</v>
      </c>
      <c r="E301" s="736" t="str">
        <f>D_ETS1Amounts!F552</f>
        <v/>
      </c>
      <c r="F301" s="736" t="str">
        <f>IF(D_ETS1Amounts!H552="","",D_ETS1Amounts!H552)</f>
        <v/>
      </c>
      <c r="G301" s="736" t="str">
        <f>IF(D_ETS1Amounts!I552="","",D_ETS1Amounts!I552)</f>
        <v/>
      </c>
      <c r="H301" s="736" t="str">
        <f>IF(D_ETS1Amounts!J552="","",D_ETS1Amounts!J552)</f>
        <v/>
      </c>
      <c r="I301" s="736" t="str">
        <f>IF(D_ETS1Amounts!K552="","",D_ETS1Amounts!K552)</f>
        <v/>
      </c>
      <c r="J301" s="736" t="str">
        <f>IF(D_ETS1Amounts!L552="","",D_ETS1Amounts!L552)</f>
        <v/>
      </c>
      <c r="K301" s="736" t="str">
        <f>IF(D_ETS1Amounts!M552="","",D_ETS1Amounts!M552)</f>
        <v/>
      </c>
      <c r="L301" s="737" t="str">
        <f>IF(D_ETS1Amounts!N552="","",D_ETS1Amounts!N552)</f>
        <v/>
      </c>
      <c r="M301" s="681"/>
    </row>
    <row r="302" spans="2:13" x14ac:dyDescent="0.25">
      <c r="B302" s="679"/>
      <c r="D302" s="496">
        <v>13</v>
      </c>
      <c r="E302" s="736" t="str">
        <f>D_ETS1Amounts!F553</f>
        <v/>
      </c>
      <c r="F302" s="736" t="str">
        <f>IF(D_ETS1Amounts!H553="","",D_ETS1Amounts!H553)</f>
        <v/>
      </c>
      <c r="G302" s="736" t="str">
        <f>IF(D_ETS1Amounts!I553="","",D_ETS1Amounts!I553)</f>
        <v/>
      </c>
      <c r="H302" s="736" t="str">
        <f>IF(D_ETS1Amounts!J553="","",D_ETS1Amounts!J553)</f>
        <v/>
      </c>
      <c r="I302" s="736" t="str">
        <f>IF(D_ETS1Amounts!K553="","",D_ETS1Amounts!K553)</f>
        <v/>
      </c>
      <c r="J302" s="736" t="str">
        <f>IF(D_ETS1Amounts!L553="","",D_ETS1Amounts!L553)</f>
        <v/>
      </c>
      <c r="K302" s="736" t="str">
        <f>IF(D_ETS1Amounts!M553="","",D_ETS1Amounts!M553)</f>
        <v/>
      </c>
      <c r="L302" s="737" t="str">
        <f>IF(D_ETS1Amounts!N553="","",D_ETS1Amounts!N553)</f>
        <v/>
      </c>
      <c r="M302" s="681"/>
    </row>
    <row r="303" spans="2:13" x14ac:dyDescent="0.25">
      <c r="B303" s="679"/>
      <c r="D303" s="496">
        <v>14</v>
      </c>
      <c r="E303" s="736" t="str">
        <f>D_ETS1Amounts!F554</f>
        <v/>
      </c>
      <c r="F303" s="736" t="str">
        <f>IF(D_ETS1Amounts!H554="","",D_ETS1Amounts!H554)</f>
        <v/>
      </c>
      <c r="G303" s="736" t="str">
        <f>IF(D_ETS1Amounts!I554="","",D_ETS1Amounts!I554)</f>
        <v/>
      </c>
      <c r="H303" s="736" t="str">
        <f>IF(D_ETS1Amounts!J554="","",D_ETS1Amounts!J554)</f>
        <v/>
      </c>
      <c r="I303" s="736" t="str">
        <f>IF(D_ETS1Amounts!K554="","",D_ETS1Amounts!K554)</f>
        <v/>
      </c>
      <c r="J303" s="736" t="str">
        <f>IF(D_ETS1Amounts!L554="","",D_ETS1Amounts!L554)</f>
        <v/>
      </c>
      <c r="K303" s="736" t="str">
        <f>IF(D_ETS1Amounts!M554="","",D_ETS1Amounts!M554)</f>
        <v/>
      </c>
      <c r="L303" s="737" t="str">
        <f>IF(D_ETS1Amounts!N554="","",D_ETS1Amounts!N554)</f>
        <v/>
      </c>
      <c r="M303" s="681"/>
    </row>
    <row r="304" spans="2:13" x14ac:dyDescent="0.25">
      <c r="B304" s="679"/>
      <c r="D304" s="496">
        <v>15</v>
      </c>
      <c r="E304" s="736" t="str">
        <f>D_ETS1Amounts!F555</f>
        <v/>
      </c>
      <c r="F304" s="736" t="str">
        <f>IF(D_ETS1Amounts!H555="","",D_ETS1Amounts!H555)</f>
        <v/>
      </c>
      <c r="G304" s="736" t="str">
        <f>IF(D_ETS1Amounts!I555="","",D_ETS1Amounts!I555)</f>
        <v/>
      </c>
      <c r="H304" s="736" t="str">
        <f>IF(D_ETS1Amounts!J555="","",D_ETS1Amounts!J555)</f>
        <v/>
      </c>
      <c r="I304" s="736" t="str">
        <f>IF(D_ETS1Amounts!K555="","",D_ETS1Amounts!K555)</f>
        <v/>
      </c>
      <c r="J304" s="736" t="str">
        <f>IF(D_ETS1Amounts!L555="","",D_ETS1Amounts!L555)</f>
        <v/>
      </c>
      <c r="K304" s="736" t="str">
        <f>IF(D_ETS1Amounts!M555="","",D_ETS1Amounts!M555)</f>
        <v/>
      </c>
      <c r="L304" s="737" t="str">
        <f>IF(D_ETS1Amounts!N555="","",D_ETS1Amounts!N555)</f>
        <v/>
      </c>
      <c r="M304" s="681"/>
    </row>
    <row r="305" spans="1:13" x14ac:dyDescent="0.25">
      <c r="B305" s="679"/>
      <c r="D305" s="496">
        <v>16</v>
      </c>
      <c r="E305" s="736" t="str">
        <f>D_ETS1Amounts!F556</f>
        <v/>
      </c>
      <c r="F305" s="736" t="str">
        <f>IF(D_ETS1Amounts!H556="","",D_ETS1Amounts!H556)</f>
        <v/>
      </c>
      <c r="G305" s="736" t="str">
        <f>IF(D_ETS1Amounts!I556="","",D_ETS1Amounts!I556)</f>
        <v/>
      </c>
      <c r="H305" s="736" t="str">
        <f>IF(D_ETS1Amounts!J556="","",D_ETS1Amounts!J556)</f>
        <v/>
      </c>
      <c r="I305" s="736" t="str">
        <f>IF(D_ETS1Amounts!K556="","",D_ETS1Amounts!K556)</f>
        <v/>
      </c>
      <c r="J305" s="736" t="str">
        <f>IF(D_ETS1Amounts!L556="","",D_ETS1Amounts!L556)</f>
        <v/>
      </c>
      <c r="K305" s="736" t="str">
        <f>IF(D_ETS1Amounts!M556="","",D_ETS1Amounts!M556)</f>
        <v/>
      </c>
      <c r="L305" s="737" t="str">
        <f>IF(D_ETS1Amounts!N556="","",D_ETS1Amounts!N556)</f>
        <v/>
      </c>
      <c r="M305" s="681"/>
    </row>
    <row r="306" spans="1:13" x14ac:dyDescent="0.25">
      <c r="B306" s="679"/>
      <c r="D306" s="496">
        <v>17</v>
      </c>
      <c r="E306" s="736" t="str">
        <f>D_ETS1Amounts!F557</f>
        <v/>
      </c>
      <c r="F306" s="736" t="str">
        <f>IF(D_ETS1Amounts!H557="","",D_ETS1Amounts!H557)</f>
        <v/>
      </c>
      <c r="G306" s="736" t="str">
        <f>IF(D_ETS1Amounts!I557="","",D_ETS1Amounts!I557)</f>
        <v/>
      </c>
      <c r="H306" s="736" t="str">
        <f>IF(D_ETS1Amounts!J557="","",D_ETS1Amounts!J557)</f>
        <v/>
      </c>
      <c r="I306" s="736" t="str">
        <f>IF(D_ETS1Amounts!K557="","",D_ETS1Amounts!K557)</f>
        <v/>
      </c>
      <c r="J306" s="736" t="str">
        <f>IF(D_ETS1Amounts!L557="","",D_ETS1Amounts!L557)</f>
        <v/>
      </c>
      <c r="K306" s="736" t="str">
        <f>IF(D_ETS1Amounts!M557="","",D_ETS1Amounts!M557)</f>
        <v/>
      </c>
      <c r="L306" s="737" t="str">
        <f>IF(D_ETS1Amounts!N557="","",D_ETS1Amounts!N557)</f>
        <v/>
      </c>
      <c r="M306" s="681"/>
    </row>
    <row r="307" spans="1:13" x14ac:dyDescent="0.25">
      <c r="B307" s="679"/>
      <c r="D307" s="496">
        <v>18</v>
      </c>
      <c r="E307" s="736" t="str">
        <f>D_ETS1Amounts!F558</f>
        <v/>
      </c>
      <c r="F307" s="736" t="str">
        <f>IF(D_ETS1Amounts!H558="","",D_ETS1Amounts!H558)</f>
        <v/>
      </c>
      <c r="G307" s="736" t="str">
        <f>IF(D_ETS1Amounts!I558="","",D_ETS1Amounts!I558)</f>
        <v/>
      </c>
      <c r="H307" s="736" t="str">
        <f>IF(D_ETS1Amounts!J558="","",D_ETS1Amounts!J558)</f>
        <v/>
      </c>
      <c r="I307" s="736" t="str">
        <f>IF(D_ETS1Amounts!K558="","",D_ETS1Amounts!K558)</f>
        <v/>
      </c>
      <c r="J307" s="736" t="str">
        <f>IF(D_ETS1Amounts!L558="","",D_ETS1Amounts!L558)</f>
        <v/>
      </c>
      <c r="K307" s="736" t="str">
        <f>IF(D_ETS1Amounts!M558="","",D_ETS1Amounts!M558)</f>
        <v/>
      </c>
      <c r="L307" s="737" t="str">
        <f>IF(D_ETS1Amounts!N558="","",D_ETS1Amounts!N558)</f>
        <v/>
      </c>
      <c r="M307" s="681"/>
    </row>
    <row r="308" spans="1:13" x14ac:dyDescent="0.25">
      <c r="B308" s="679"/>
      <c r="D308" s="496">
        <v>19</v>
      </c>
      <c r="E308" s="736" t="str">
        <f>D_ETS1Amounts!F559</f>
        <v/>
      </c>
      <c r="F308" s="736" t="str">
        <f>IF(D_ETS1Amounts!H559="","",D_ETS1Amounts!H559)</f>
        <v/>
      </c>
      <c r="G308" s="736" t="str">
        <f>IF(D_ETS1Amounts!I559="","",D_ETS1Amounts!I559)</f>
        <v/>
      </c>
      <c r="H308" s="736" t="str">
        <f>IF(D_ETS1Amounts!J559="","",D_ETS1Amounts!J559)</f>
        <v/>
      </c>
      <c r="I308" s="736" t="str">
        <f>IF(D_ETS1Amounts!K559="","",D_ETS1Amounts!K559)</f>
        <v/>
      </c>
      <c r="J308" s="736" t="str">
        <f>IF(D_ETS1Amounts!L559="","",D_ETS1Amounts!L559)</f>
        <v/>
      </c>
      <c r="K308" s="736" t="str">
        <f>IF(D_ETS1Amounts!M559="","",D_ETS1Amounts!M559)</f>
        <v/>
      </c>
      <c r="L308" s="737" t="str">
        <f>IF(D_ETS1Amounts!N559="","",D_ETS1Amounts!N559)</f>
        <v/>
      </c>
      <c r="M308" s="681"/>
    </row>
    <row r="309" spans="1:13" x14ac:dyDescent="0.25">
      <c r="B309" s="679"/>
      <c r="D309" s="496">
        <v>20</v>
      </c>
      <c r="E309" s="736" t="str">
        <f>D_ETS1Amounts!F560</f>
        <v/>
      </c>
      <c r="F309" s="736" t="str">
        <f>IF(D_ETS1Amounts!H560="","",D_ETS1Amounts!H560)</f>
        <v/>
      </c>
      <c r="G309" s="736" t="str">
        <f>IF(D_ETS1Amounts!I560="","",D_ETS1Amounts!I560)</f>
        <v/>
      </c>
      <c r="H309" s="736" t="str">
        <f>IF(D_ETS1Amounts!J560="","",D_ETS1Amounts!J560)</f>
        <v/>
      </c>
      <c r="I309" s="736" t="str">
        <f>IF(D_ETS1Amounts!K560="","",D_ETS1Amounts!K560)</f>
        <v/>
      </c>
      <c r="J309" s="736" t="str">
        <f>IF(D_ETS1Amounts!L560="","",D_ETS1Amounts!L560)</f>
        <v/>
      </c>
      <c r="K309" s="736" t="str">
        <f>IF(D_ETS1Amounts!M560="","",D_ETS1Amounts!M560)</f>
        <v/>
      </c>
      <c r="L309" s="737" t="str">
        <f>IF(D_ETS1Amounts!N560="","",D_ETS1Amounts!N560)</f>
        <v/>
      </c>
      <c r="M309" s="681"/>
    </row>
    <row r="310" spans="1:13" hidden="1" x14ac:dyDescent="0.25">
      <c r="A310" s="674" t="s">
        <v>0</v>
      </c>
      <c r="B310" s="679"/>
      <c r="D310" s="496">
        <v>21</v>
      </c>
      <c r="E310" s="736" t="str">
        <f>D_ETS1Amounts!F561</f>
        <v/>
      </c>
      <c r="F310" s="736" t="str">
        <f>IF(D_ETS1Amounts!H561="","",D_ETS1Amounts!H561)</f>
        <v/>
      </c>
      <c r="G310" s="736" t="str">
        <f>IF(D_ETS1Amounts!I561="","",D_ETS1Amounts!I561)</f>
        <v/>
      </c>
      <c r="H310" s="736" t="str">
        <f>IF(D_ETS1Amounts!J561="","",D_ETS1Amounts!J561)</f>
        <v/>
      </c>
      <c r="I310" s="736" t="str">
        <f>IF(D_ETS1Amounts!K561="","",D_ETS1Amounts!K561)</f>
        <v/>
      </c>
      <c r="J310" s="736" t="str">
        <f>IF(D_ETS1Amounts!L561="","",D_ETS1Amounts!L561)</f>
        <v/>
      </c>
      <c r="K310" s="736" t="str">
        <f>IF(D_ETS1Amounts!M561="","",D_ETS1Amounts!M561)</f>
        <v/>
      </c>
      <c r="L310" s="737" t="str">
        <f>IF(D_ETS1Amounts!N561="","",D_ETS1Amounts!N561)</f>
        <v/>
      </c>
      <c r="M310" s="681"/>
    </row>
    <row r="311" spans="1:13" hidden="1" x14ac:dyDescent="0.25">
      <c r="A311" s="674" t="s">
        <v>0</v>
      </c>
      <c r="B311" s="679"/>
      <c r="D311" s="496">
        <v>22</v>
      </c>
      <c r="E311" s="736" t="str">
        <f>D_ETS1Amounts!F562</f>
        <v/>
      </c>
      <c r="F311" s="736" t="str">
        <f>IF(D_ETS1Amounts!H562="","",D_ETS1Amounts!H562)</f>
        <v/>
      </c>
      <c r="G311" s="736" t="str">
        <f>IF(D_ETS1Amounts!I562="","",D_ETS1Amounts!I562)</f>
        <v/>
      </c>
      <c r="H311" s="736" t="str">
        <f>IF(D_ETS1Amounts!J562="","",D_ETS1Amounts!J562)</f>
        <v/>
      </c>
      <c r="I311" s="736" t="str">
        <f>IF(D_ETS1Amounts!K562="","",D_ETS1Amounts!K562)</f>
        <v/>
      </c>
      <c r="J311" s="736" t="str">
        <f>IF(D_ETS1Amounts!L562="","",D_ETS1Amounts!L562)</f>
        <v/>
      </c>
      <c r="K311" s="736" t="str">
        <f>IF(D_ETS1Amounts!M562="","",D_ETS1Amounts!M562)</f>
        <v/>
      </c>
      <c r="L311" s="737" t="str">
        <f>IF(D_ETS1Amounts!N562="","",D_ETS1Amounts!N562)</f>
        <v/>
      </c>
      <c r="M311" s="681"/>
    </row>
    <row r="312" spans="1:13" hidden="1" x14ac:dyDescent="0.25">
      <c r="A312" s="674" t="s">
        <v>0</v>
      </c>
      <c r="B312" s="679"/>
      <c r="D312" s="496">
        <v>23</v>
      </c>
      <c r="E312" s="736" t="str">
        <f>D_ETS1Amounts!F563</f>
        <v/>
      </c>
      <c r="F312" s="736" t="str">
        <f>IF(D_ETS1Amounts!H563="","",D_ETS1Amounts!H563)</f>
        <v/>
      </c>
      <c r="G312" s="736" t="str">
        <f>IF(D_ETS1Amounts!I563="","",D_ETS1Amounts!I563)</f>
        <v/>
      </c>
      <c r="H312" s="736" t="str">
        <f>IF(D_ETS1Amounts!J563="","",D_ETS1Amounts!J563)</f>
        <v/>
      </c>
      <c r="I312" s="736" t="str">
        <f>IF(D_ETS1Amounts!K563="","",D_ETS1Amounts!K563)</f>
        <v/>
      </c>
      <c r="J312" s="736" t="str">
        <f>IF(D_ETS1Amounts!L563="","",D_ETS1Amounts!L563)</f>
        <v/>
      </c>
      <c r="K312" s="736" t="str">
        <f>IF(D_ETS1Amounts!M563="","",D_ETS1Amounts!M563)</f>
        <v/>
      </c>
      <c r="L312" s="737" t="str">
        <f>IF(D_ETS1Amounts!N563="","",D_ETS1Amounts!N563)</f>
        <v/>
      </c>
      <c r="M312" s="681"/>
    </row>
    <row r="313" spans="1:13" hidden="1" x14ac:dyDescent="0.25">
      <c r="A313" s="674" t="s">
        <v>0</v>
      </c>
      <c r="B313" s="679"/>
      <c r="D313" s="496">
        <v>24</v>
      </c>
      <c r="E313" s="736" t="str">
        <f>D_ETS1Amounts!F564</f>
        <v/>
      </c>
      <c r="F313" s="736" t="str">
        <f>IF(D_ETS1Amounts!H564="","",D_ETS1Amounts!H564)</f>
        <v/>
      </c>
      <c r="G313" s="736" t="str">
        <f>IF(D_ETS1Amounts!I564="","",D_ETS1Amounts!I564)</f>
        <v/>
      </c>
      <c r="H313" s="736" t="str">
        <f>IF(D_ETS1Amounts!J564="","",D_ETS1Amounts!J564)</f>
        <v/>
      </c>
      <c r="I313" s="736" t="str">
        <f>IF(D_ETS1Amounts!K564="","",D_ETS1Amounts!K564)</f>
        <v/>
      </c>
      <c r="J313" s="736" t="str">
        <f>IF(D_ETS1Amounts!L564="","",D_ETS1Amounts!L564)</f>
        <v/>
      </c>
      <c r="K313" s="736" t="str">
        <f>IF(D_ETS1Amounts!M564="","",D_ETS1Amounts!M564)</f>
        <v/>
      </c>
      <c r="L313" s="737" t="str">
        <f>IF(D_ETS1Amounts!N564="","",D_ETS1Amounts!N564)</f>
        <v/>
      </c>
      <c r="M313" s="681"/>
    </row>
    <row r="314" spans="1:13" hidden="1" x14ac:dyDescent="0.25">
      <c r="A314" s="674" t="s">
        <v>0</v>
      </c>
      <c r="B314" s="679"/>
      <c r="D314" s="496">
        <v>25</v>
      </c>
      <c r="E314" s="736" t="str">
        <f>D_ETS1Amounts!F565</f>
        <v/>
      </c>
      <c r="F314" s="736" t="str">
        <f>IF(D_ETS1Amounts!H565="","",D_ETS1Amounts!H565)</f>
        <v/>
      </c>
      <c r="G314" s="736" t="str">
        <f>IF(D_ETS1Amounts!I565="","",D_ETS1Amounts!I565)</f>
        <v/>
      </c>
      <c r="H314" s="736" t="str">
        <f>IF(D_ETS1Amounts!J565="","",D_ETS1Amounts!J565)</f>
        <v/>
      </c>
      <c r="I314" s="736" t="str">
        <f>IF(D_ETS1Amounts!K565="","",D_ETS1Amounts!K565)</f>
        <v/>
      </c>
      <c r="J314" s="736" t="str">
        <f>IF(D_ETS1Amounts!L565="","",D_ETS1Amounts!L565)</f>
        <v/>
      </c>
      <c r="K314" s="736" t="str">
        <f>IF(D_ETS1Amounts!M565="","",D_ETS1Amounts!M565)</f>
        <v/>
      </c>
      <c r="L314" s="737" t="str">
        <f>IF(D_ETS1Amounts!N565="","",D_ETS1Amounts!N565)</f>
        <v/>
      </c>
      <c r="M314" s="681"/>
    </row>
    <row r="315" spans="1:13" hidden="1" x14ac:dyDescent="0.25">
      <c r="A315" s="674" t="s">
        <v>0</v>
      </c>
      <c r="B315" s="679"/>
      <c r="D315" s="496">
        <v>26</v>
      </c>
      <c r="E315" s="736" t="str">
        <f>D_ETS1Amounts!F566</f>
        <v/>
      </c>
      <c r="F315" s="736" t="str">
        <f>IF(D_ETS1Amounts!H566="","",D_ETS1Amounts!H566)</f>
        <v/>
      </c>
      <c r="G315" s="736" t="str">
        <f>IF(D_ETS1Amounts!I566="","",D_ETS1Amounts!I566)</f>
        <v/>
      </c>
      <c r="H315" s="736" t="str">
        <f>IF(D_ETS1Amounts!J566="","",D_ETS1Amounts!J566)</f>
        <v/>
      </c>
      <c r="I315" s="736" t="str">
        <f>IF(D_ETS1Amounts!K566="","",D_ETS1Amounts!K566)</f>
        <v/>
      </c>
      <c r="J315" s="736" t="str">
        <f>IF(D_ETS1Amounts!L566="","",D_ETS1Amounts!L566)</f>
        <v/>
      </c>
      <c r="K315" s="736" t="str">
        <f>IF(D_ETS1Amounts!M566="","",D_ETS1Amounts!M566)</f>
        <v/>
      </c>
      <c r="L315" s="737" t="str">
        <f>IF(D_ETS1Amounts!N566="","",D_ETS1Amounts!N566)</f>
        <v/>
      </c>
      <c r="M315" s="681"/>
    </row>
    <row r="316" spans="1:13" hidden="1" x14ac:dyDescent="0.25">
      <c r="A316" s="674" t="s">
        <v>0</v>
      </c>
      <c r="B316" s="679"/>
      <c r="D316" s="496">
        <v>27</v>
      </c>
      <c r="E316" s="736" t="str">
        <f>D_ETS1Amounts!F567</f>
        <v/>
      </c>
      <c r="F316" s="736" t="str">
        <f>IF(D_ETS1Amounts!H567="","",D_ETS1Amounts!H567)</f>
        <v/>
      </c>
      <c r="G316" s="736" t="str">
        <f>IF(D_ETS1Amounts!I567="","",D_ETS1Amounts!I567)</f>
        <v/>
      </c>
      <c r="H316" s="736" t="str">
        <f>IF(D_ETS1Amounts!J567="","",D_ETS1Amounts!J567)</f>
        <v/>
      </c>
      <c r="I316" s="736" t="str">
        <f>IF(D_ETS1Amounts!K567="","",D_ETS1Amounts!K567)</f>
        <v/>
      </c>
      <c r="J316" s="736" t="str">
        <f>IF(D_ETS1Amounts!L567="","",D_ETS1Amounts!L567)</f>
        <v/>
      </c>
      <c r="K316" s="736" t="str">
        <f>IF(D_ETS1Amounts!M567="","",D_ETS1Amounts!M567)</f>
        <v/>
      </c>
      <c r="L316" s="737" t="str">
        <f>IF(D_ETS1Amounts!N567="","",D_ETS1Amounts!N567)</f>
        <v/>
      </c>
      <c r="M316" s="681"/>
    </row>
    <row r="317" spans="1:13" hidden="1" x14ac:dyDescent="0.25">
      <c r="A317" s="674" t="s">
        <v>0</v>
      </c>
      <c r="B317" s="679"/>
      <c r="D317" s="496">
        <v>28</v>
      </c>
      <c r="E317" s="736" t="str">
        <f>D_ETS1Amounts!F568</f>
        <v/>
      </c>
      <c r="F317" s="736" t="str">
        <f>IF(D_ETS1Amounts!H568="","",D_ETS1Amounts!H568)</f>
        <v/>
      </c>
      <c r="G317" s="736" t="str">
        <f>IF(D_ETS1Amounts!I568="","",D_ETS1Amounts!I568)</f>
        <v/>
      </c>
      <c r="H317" s="736" t="str">
        <f>IF(D_ETS1Amounts!J568="","",D_ETS1Amounts!J568)</f>
        <v/>
      </c>
      <c r="I317" s="736" t="str">
        <f>IF(D_ETS1Amounts!K568="","",D_ETS1Amounts!K568)</f>
        <v/>
      </c>
      <c r="J317" s="736" t="str">
        <f>IF(D_ETS1Amounts!L568="","",D_ETS1Amounts!L568)</f>
        <v/>
      </c>
      <c r="K317" s="736" t="str">
        <f>IF(D_ETS1Amounts!M568="","",D_ETS1Amounts!M568)</f>
        <v/>
      </c>
      <c r="L317" s="737" t="str">
        <f>IF(D_ETS1Amounts!N568="","",D_ETS1Amounts!N568)</f>
        <v/>
      </c>
      <c r="M317" s="681"/>
    </row>
    <row r="318" spans="1:13" hidden="1" x14ac:dyDescent="0.25">
      <c r="A318" s="674" t="s">
        <v>0</v>
      </c>
      <c r="B318" s="679"/>
      <c r="D318" s="496">
        <v>29</v>
      </c>
      <c r="E318" s="736" t="str">
        <f>D_ETS1Amounts!F569</f>
        <v/>
      </c>
      <c r="F318" s="736" t="str">
        <f>IF(D_ETS1Amounts!H569="","",D_ETS1Amounts!H569)</f>
        <v/>
      </c>
      <c r="G318" s="736" t="str">
        <f>IF(D_ETS1Amounts!I569="","",D_ETS1Amounts!I569)</f>
        <v/>
      </c>
      <c r="H318" s="736" t="str">
        <f>IF(D_ETS1Amounts!J569="","",D_ETS1Amounts!J569)</f>
        <v/>
      </c>
      <c r="I318" s="736" t="str">
        <f>IF(D_ETS1Amounts!K569="","",D_ETS1Amounts!K569)</f>
        <v/>
      </c>
      <c r="J318" s="736" t="str">
        <f>IF(D_ETS1Amounts!L569="","",D_ETS1Amounts!L569)</f>
        <v/>
      </c>
      <c r="K318" s="736" t="str">
        <f>IF(D_ETS1Amounts!M569="","",D_ETS1Amounts!M569)</f>
        <v/>
      </c>
      <c r="L318" s="737" t="str">
        <f>IF(D_ETS1Amounts!N569="","",D_ETS1Amounts!N569)</f>
        <v/>
      </c>
      <c r="M318" s="681"/>
    </row>
    <row r="319" spans="1:13" hidden="1" x14ac:dyDescent="0.25">
      <c r="A319" s="674" t="s">
        <v>0</v>
      </c>
      <c r="B319" s="679"/>
      <c r="D319" s="496">
        <v>30</v>
      </c>
      <c r="E319" s="736" t="str">
        <f>D_ETS1Amounts!F570</f>
        <v/>
      </c>
      <c r="F319" s="736" t="str">
        <f>IF(D_ETS1Amounts!H570="","",D_ETS1Amounts!H570)</f>
        <v/>
      </c>
      <c r="G319" s="736" t="str">
        <f>IF(D_ETS1Amounts!I570="","",D_ETS1Amounts!I570)</f>
        <v/>
      </c>
      <c r="H319" s="736" t="str">
        <f>IF(D_ETS1Amounts!J570="","",D_ETS1Amounts!J570)</f>
        <v/>
      </c>
      <c r="I319" s="736" t="str">
        <f>IF(D_ETS1Amounts!K570="","",D_ETS1Amounts!K570)</f>
        <v/>
      </c>
      <c r="J319" s="736" t="str">
        <f>IF(D_ETS1Amounts!L570="","",D_ETS1Amounts!L570)</f>
        <v/>
      </c>
      <c r="K319" s="736" t="str">
        <f>IF(D_ETS1Amounts!M570="","",D_ETS1Amounts!M570)</f>
        <v/>
      </c>
      <c r="L319" s="737" t="str">
        <f>IF(D_ETS1Amounts!N570="","",D_ETS1Amounts!N570)</f>
        <v/>
      </c>
      <c r="M319" s="681"/>
    </row>
    <row r="320" spans="1:13" hidden="1" x14ac:dyDescent="0.25">
      <c r="A320" s="674" t="s">
        <v>0</v>
      </c>
      <c r="B320" s="679"/>
      <c r="D320" s="496">
        <v>31</v>
      </c>
      <c r="E320" s="736" t="str">
        <f>D_ETS1Amounts!F571</f>
        <v/>
      </c>
      <c r="F320" s="736" t="str">
        <f>IF(D_ETS1Amounts!H571="","",D_ETS1Amounts!H571)</f>
        <v/>
      </c>
      <c r="G320" s="736" t="str">
        <f>IF(D_ETS1Amounts!I571="","",D_ETS1Amounts!I571)</f>
        <v/>
      </c>
      <c r="H320" s="736" t="str">
        <f>IF(D_ETS1Amounts!J571="","",D_ETS1Amounts!J571)</f>
        <v/>
      </c>
      <c r="I320" s="736" t="str">
        <f>IF(D_ETS1Amounts!K571="","",D_ETS1Amounts!K571)</f>
        <v/>
      </c>
      <c r="J320" s="736" t="str">
        <f>IF(D_ETS1Amounts!L571="","",D_ETS1Amounts!L571)</f>
        <v/>
      </c>
      <c r="K320" s="736" t="str">
        <f>IF(D_ETS1Amounts!M571="","",D_ETS1Amounts!M571)</f>
        <v/>
      </c>
      <c r="L320" s="737" t="str">
        <f>IF(D_ETS1Amounts!N571="","",D_ETS1Amounts!N571)</f>
        <v/>
      </c>
      <c r="M320" s="681"/>
    </row>
    <row r="321" spans="1:13" hidden="1" x14ac:dyDescent="0.25">
      <c r="A321" s="674" t="s">
        <v>0</v>
      </c>
      <c r="B321" s="679"/>
      <c r="D321" s="496">
        <v>32</v>
      </c>
      <c r="E321" s="736" t="str">
        <f>D_ETS1Amounts!F572</f>
        <v/>
      </c>
      <c r="F321" s="736" t="str">
        <f>IF(D_ETS1Amounts!H572="","",D_ETS1Amounts!H572)</f>
        <v/>
      </c>
      <c r="G321" s="736" t="str">
        <f>IF(D_ETS1Amounts!I572="","",D_ETS1Amounts!I572)</f>
        <v/>
      </c>
      <c r="H321" s="736" t="str">
        <f>IF(D_ETS1Amounts!J572="","",D_ETS1Amounts!J572)</f>
        <v/>
      </c>
      <c r="I321" s="736" t="str">
        <f>IF(D_ETS1Amounts!K572="","",D_ETS1Amounts!K572)</f>
        <v/>
      </c>
      <c r="J321" s="736" t="str">
        <f>IF(D_ETS1Amounts!L572="","",D_ETS1Amounts!L572)</f>
        <v/>
      </c>
      <c r="K321" s="736" t="str">
        <f>IF(D_ETS1Amounts!M572="","",D_ETS1Amounts!M572)</f>
        <v/>
      </c>
      <c r="L321" s="737" t="str">
        <f>IF(D_ETS1Amounts!N572="","",D_ETS1Amounts!N572)</f>
        <v/>
      </c>
      <c r="M321" s="681"/>
    </row>
    <row r="322" spans="1:13" hidden="1" x14ac:dyDescent="0.25">
      <c r="A322" s="674" t="s">
        <v>0</v>
      </c>
      <c r="B322" s="679"/>
      <c r="D322" s="496">
        <v>33</v>
      </c>
      <c r="E322" s="736" t="str">
        <f>D_ETS1Amounts!F573</f>
        <v/>
      </c>
      <c r="F322" s="736" t="str">
        <f>IF(D_ETS1Amounts!H573="","",D_ETS1Amounts!H573)</f>
        <v/>
      </c>
      <c r="G322" s="736" t="str">
        <f>IF(D_ETS1Amounts!I573="","",D_ETS1Amounts!I573)</f>
        <v/>
      </c>
      <c r="H322" s="736" t="str">
        <f>IF(D_ETS1Amounts!J573="","",D_ETS1Amounts!J573)</f>
        <v/>
      </c>
      <c r="I322" s="736" t="str">
        <f>IF(D_ETS1Amounts!K573="","",D_ETS1Amounts!K573)</f>
        <v/>
      </c>
      <c r="J322" s="736" t="str">
        <f>IF(D_ETS1Amounts!L573="","",D_ETS1Amounts!L573)</f>
        <v/>
      </c>
      <c r="K322" s="736" t="str">
        <f>IF(D_ETS1Amounts!M573="","",D_ETS1Amounts!M573)</f>
        <v/>
      </c>
      <c r="L322" s="737" t="str">
        <f>IF(D_ETS1Amounts!N573="","",D_ETS1Amounts!N573)</f>
        <v/>
      </c>
      <c r="M322" s="681"/>
    </row>
    <row r="323" spans="1:13" hidden="1" x14ac:dyDescent="0.25">
      <c r="A323" s="674" t="s">
        <v>0</v>
      </c>
      <c r="B323" s="679"/>
      <c r="D323" s="496">
        <v>34</v>
      </c>
      <c r="E323" s="736" t="str">
        <f>D_ETS1Amounts!F574</f>
        <v/>
      </c>
      <c r="F323" s="736" t="str">
        <f>IF(D_ETS1Amounts!H574="","",D_ETS1Amounts!H574)</f>
        <v/>
      </c>
      <c r="G323" s="736" t="str">
        <f>IF(D_ETS1Amounts!I574="","",D_ETS1Amounts!I574)</f>
        <v/>
      </c>
      <c r="H323" s="736" t="str">
        <f>IF(D_ETS1Amounts!J574="","",D_ETS1Amounts!J574)</f>
        <v/>
      </c>
      <c r="I323" s="736" t="str">
        <f>IF(D_ETS1Amounts!K574="","",D_ETS1Amounts!K574)</f>
        <v/>
      </c>
      <c r="J323" s="736" t="str">
        <f>IF(D_ETS1Amounts!L574="","",D_ETS1Amounts!L574)</f>
        <v/>
      </c>
      <c r="K323" s="736" t="str">
        <f>IF(D_ETS1Amounts!M574="","",D_ETS1Amounts!M574)</f>
        <v/>
      </c>
      <c r="L323" s="737" t="str">
        <f>IF(D_ETS1Amounts!N574="","",D_ETS1Amounts!N574)</f>
        <v/>
      </c>
      <c r="M323" s="681"/>
    </row>
    <row r="324" spans="1:13" hidden="1" x14ac:dyDescent="0.25">
      <c r="A324" s="674" t="s">
        <v>0</v>
      </c>
      <c r="B324" s="679"/>
      <c r="D324" s="496">
        <v>35</v>
      </c>
      <c r="E324" s="736" t="str">
        <f>D_ETS1Amounts!F575</f>
        <v/>
      </c>
      <c r="F324" s="736" t="str">
        <f>IF(D_ETS1Amounts!H575="","",D_ETS1Amounts!H575)</f>
        <v/>
      </c>
      <c r="G324" s="736" t="str">
        <f>IF(D_ETS1Amounts!I575="","",D_ETS1Amounts!I575)</f>
        <v/>
      </c>
      <c r="H324" s="736" t="str">
        <f>IF(D_ETS1Amounts!J575="","",D_ETS1Amounts!J575)</f>
        <v/>
      </c>
      <c r="I324" s="736" t="str">
        <f>IF(D_ETS1Amounts!K575="","",D_ETS1Amounts!K575)</f>
        <v/>
      </c>
      <c r="J324" s="736" t="str">
        <f>IF(D_ETS1Amounts!L575="","",D_ETS1Amounts!L575)</f>
        <v/>
      </c>
      <c r="K324" s="736" t="str">
        <f>IF(D_ETS1Amounts!M575="","",D_ETS1Amounts!M575)</f>
        <v/>
      </c>
      <c r="L324" s="737" t="str">
        <f>IF(D_ETS1Amounts!N575="","",D_ETS1Amounts!N575)</f>
        <v/>
      </c>
      <c r="M324" s="681"/>
    </row>
    <row r="325" spans="1:13" hidden="1" x14ac:dyDescent="0.25">
      <c r="A325" s="674" t="s">
        <v>0</v>
      </c>
      <c r="B325" s="679"/>
      <c r="D325" s="496">
        <v>36</v>
      </c>
      <c r="E325" s="736" t="str">
        <f>D_ETS1Amounts!F576</f>
        <v/>
      </c>
      <c r="F325" s="736" t="str">
        <f>IF(D_ETS1Amounts!H576="","",D_ETS1Amounts!H576)</f>
        <v/>
      </c>
      <c r="G325" s="736" t="str">
        <f>IF(D_ETS1Amounts!I576="","",D_ETS1Amounts!I576)</f>
        <v/>
      </c>
      <c r="H325" s="736" t="str">
        <f>IF(D_ETS1Amounts!J576="","",D_ETS1Amounts!J576)</f>
        <v/>
      </c>
      <c r="I325" s="736" t="str">
        <f>IF(D_ETS1Amounts!K576="","",D_ETS1Amounts!K576)</f>
        <v/>
      </c>
      <c r="J325" s="736" t="str">
        <f>IF(D_ETS1Amounts!L576="","",D_ETS1Amounts!L576)</f>
        <v/>
      </c>
      <c r="K325" s="736" t="str">
        <f>IF(D_ETS1Amounts!M576="","",D_ETS1Amounts!M576)</f>
        <v/>
      </c>
      <c r="L325" s="737" t="str">
        <f>IF(D_ETS1Amounts!N576="","",D_ETS1Amounts!N576)</f>
        <v/>
      </c>
      <c r="M325" s="681"/>
    </row>
    <row r="326" spans="1:13" hidden="1" x14ac:dyDescent="0.25">
      <c r="A326" s="674" t="s">
        <v>0</v>
      </c>
      <c r="B326" s="679"/>
      <c r="D326" s="496">
        <v>37</v>
      </c>
      <c r="E326" s="736" t="str">
        <f>D_ETS1Amounts!F577</f>
        <v/>
      </c>
      <c r="F326" s="736" t="str">
        <f>IF(D_ETS1Amounts!H577="","",D_ETS1Amounts!H577)</f>
        <v/>
      </c>
      <c r="G326" s="736" t="str">
        <f>IF(D_ETS1Amounts!I577="","",D_ETS1Amounts!I577)</f>
        <v/>
      </c>
      <c r="H326" s="736" t="str">
        <f>IF(D_ETS1Amounts!J577="","",D_ETS1Amounts!J577)</f>
        <v/>
      </c>
      <c r="I326" s="736" t="str">
        <f>IF(D_ETS1Amounts!K577="","",D_ETS1Amounts!K577)</f>
        <v/>
      </c>
      <c r="J326" s="736" t="str">
        <f>IF(D_ETS1Amounts!L577="","",D_ETS1Amounts!L577)</f>
        <v/>
      </c>
      <c r="K326" s="736" t="str">
        <f>IF(D_ETS1Amounts!M577="","",D_ETS1Amounts!M577)</f>
        <v/>
      </c>
      <c r="L326" s="737" t="str">
        <f>IF(D_ETS1Amounts!N577="","",D_ETS1Amounts!N577)</f>
        <v/>
      </c>
      <c r="M326" s="681"/>
    </row>
    <row r="327" spans="1:13" hidden="1" x14ac:dyDescent="0.25">
      <c r="A327" s="674" t="s">
        <v>0</v>
      </c>
      <c r="B327" s="679"/>
      <c r="D327" s="496">
        <v>38</v>
      </c>
      <c r="E327" s="736" t="str">
        <f>D_ETS1Amounts!F578</f>
        <v/>
      </c>
      <c r="F327" s="736" t="str">
        <f>IF(D_ETS1Amounts!H578="","",D_ETS1Amounts!H578)</f>
        <v/>
      </c>
      <c r="G327" s="736" t="str">
        <f>IF(D_ETS1Amounts!I578="","",D_ETS1Amounts!I578)</f>
        <v/>
      </c>
      <c r="H327" s="736" t="str">
        <f>IF(D_ETS1Amounts!J578="","",D_ETS1Amounts!J578)</f>
        <v/>
      </c>
      <c r="I327" s="736" t="str">
        <f>IF(D_ETS1Amounts!K578="","",D_ETS1Amounts!K578)</f>
        <v/>
      </c>
      <c r="J327" s="736" t="str">
        <f>IF(D_ETS1Amounts!L578="","",D_ETS1Amounts!L578)</f>
        <v/>
      </c>
      <c r="K327" s="736" t="str">
        <f>IF(D_ETS1Amounts!M578="","",D_ETS1Amounts!M578)</f>
        <v/>
      </c>
      <c r="L327" s="737" t="str">
        <f>IF(D_ETS1Amounts!N578="","",D_ETS1Amounts!N578)</f>
        <v/>
      </c>
      <c r="M327" s="681"/>
    </row>
    <row r="328" spans="1:13" hidden="1" x14ac:dyDescent="0.25">
      <c r="A328" s="674" t="s">
        <v>0</v>
      </c>
      <c r="B328" s="679"/>
      <c r="D328" s="496">
        <v>39</v>
      </c>
      <c r="E328" s="736" t="str">
        <f>D_ETS1Amounts!F579</f>
        <v/>
      </c>
      <c r="F328" s="736" t="str">
        <f>IF(D_ETS1Amounts!H579="","",D_ETS1Amounts!H579)</f>
        <v/>
      </c>
      <c r="G328" s="736" t="str">
        <f>IF(D_ETS1Amounts!I579="","",D_ETS1Amounts!I579)</f>
        <v/>
      </c>
      <c r="H328" s="736" t="str">
        <f>IF(D_ETS1Amounts!J579="","",D_ETS1Amounts!J579)</f>
        <v/>
      </c>
      <c r="I328" s="736" t="str">
        <f>IF(D_ETS1Amounts!K579="","",D_ETS1Amounts!K579)</f>
        <v/>
      </c>
      <c r="J328" s="736" t="str">
        <f>IF(D_ETS1Amounts!L579="","",D_ETS1Amounts!L579)</f>
        <v/>
      </c>
      <c r="K328" s="736" t="str">
        <f>IF(D_ETS1Amounts!M579="","",D_ETS1Amounts!M579)</f>
        <v/>
      </c>
      <c r="L328" s="737" t="str">
        <f>IF(D_ETS1Amounts!N579="","",D_ETS1Amounts!N579)</f>
        <v/>
      </c>
      <c r="M328" s="681"/>
    </row>
    <row r="329" spans="1:13" hidden="1" x14ac:dyDescent="0.25">
      <c r="A329" s="674" t="s">
        <v>0</v>
      </c>
      <c r="B329" s="679"/>
      <c r="D329" s="496">
        <v>40</v>
      </c>
      <c r="E329" s="736" t="str">
        <f>D_ETS1Amounts!F580</f>
        <v/>
      </c>
      <c r="F329" s="736" t="str">
        <f>IF(D_ETS1Amounts!H580="","",D_ETS1Amounts!H580)</f>
        <v/>
      </c>
      <c r="G329" s="736" t="str">
        <f>IF(D_ETS1Amounts!I580="","",D_ETS1Amounts!I580)</f>
        <v/>
      </c>
      <c r="H329" s="736" t="str">
        <f>IF(D_ETS1Amounts!J580="","",D_ETS1Amounts!J580)</f>
        <v/>
      </c>
      <c r="I329" s="736" t="str">
        <f>IF(D_ETS1Amounts!K580="","",D_ETS1Amounts!K580)</f>
        <v/>
      </c>
      <c r="J329" s="736" t="str">
        <f>IF(D_ETS1Amounts!L580="","",D_ETS1Amounts!L580)</f>
        <v/>
      </c>
      <c r="K329" s="736" t="str">
        <f>IF(D_ETS1Amounts!M580="","",D_ETS1Amounts!M580)</f>
        <v/>
      </c>
      <c r="L329" s="737" t="str">
        <f>IF(D_ETS1Amounts!N580="","",D_ETS1Amounts!N580)</f>
        <v/>
      </c>
      <c r="M329" s="681"/>
    </row>
    <row r="330" spans="1:13" hidden="1" x14ac:dyDescent="0.25">
      <c r="A330" s="674" t="s">
        <v>0</v>
      </c>
      <c r="B330" s="679"/>
      <c r="D330" s="496">
        <v>41</v>
      </c>
      <c r="E330" s="736" t="str">
        <f>D_ETS1Amounts!F581</f>
        <v/>
      </c>
      <c r="F330" s="736" t="str">
        <f>IF(D_ETS1Amounts!H581="","",D_ETS1Amounts!H581)</f>
        <v/>
      </c>
      <c r="G330" s="736" t="str">
        <f>IF(D_ETS1Amounts!I581="","",D_ETS1Amounts!I581)</f>
        <v/>
      </c>
      <c r="H330" s="736" t="str">
        <f>IF(D_ETS1Amounts!J581="","",D_ETS1Amounts!J581)</f>
        <v/>
      </c>
      <c r="I330" s="736" t="str">
        <f>IF(D_ETS1Amounts!K581="","",D_ETS1Amounts!K581)</f>
        <v/>
      </c>
      <c r="J330" s="736" t="str">
        <f>IF(D_ETS1Amounts!L581="","",D_ETS1Amounts!L581)</f>
        <v/>
      </c>
      <c r="K330" s="736" t="str">
        <f>IF(D_ETS1Amounts!M581="","",D_ETS1Amounts!M581)</f>
        <v/>
      </c>
      <c r="L330" s="737" t="str">
        <f>IF(D_ETS1Amounts!N581="","",D_ETS1Amounts!N581)</f>
        <v/>
      </c>
      <c r="M330" s="681"/>
    </row>
    <row r="331" spans="1:13" hidden="1" x14ac:dyDescent="0.25">
      <c r="A331" s="674" t="s">
        <v>0</v>
      </c>
      <c r="B331" s="679"/>
      <c r="D331" s="496">
        <v>42</v>
      </c>
      <c r="E331" s="736" t="str">
        <f>D_ETS1Amounts!F582</f>
        <v/>
      </c>
      <c r="F331" s="736" t="str">
        <f>IF(D_ETS1Amounts!H582="","",D_ETS1Amounts!H582)</f>
        <v/>
      </c>
      <c r="G331" s="736" t="str">
        <f>IF(D_ETS1Amounts!I582="","",D_ETS1Amounts!I582)</f>
        <v/>
      </c>
      <c r="H331" s="736" t="str">
        <f>IF(D_ETS1Amounts!J582="","",D_ETS1Amounts!J582)</f>
        <v/>
      </c>
      <c r="I331" s="736" t="str">
        <f>IF(D_ETS1Amounts!K582="","",D_ETS1Amounts!K582)</f>
        <v/>
      </c>
      <c r="J331" s="736" t="str">
        <f>IF(D_ETS1Amounts!L582="","",D_ETS1Amounts!L582)</f>
        <v/>
      </c>
      <c r="K331" s="736" t="str">
        <f>IF(D_ETS1Amounts!M582="","",D_ETS1Amounts!M582)</f>
        <v/>
      </c>
      <c r="L331" s="737" t="str">
        <f>IF(D_ETS1Amounts!N582="","",D_ETS1Amounts!N582)</f>
        <v/>
      </c>
      <c r="M331" s="681"/>
    </row>
    <row r="332" spans="1:13" hidden="1" x14ac:dyDescent="0.25">
      <c r="A332" s="674" t="s">
        <v>0</v>
      </c>
      <c r="B332" s="679"/>
      <c r="D332" s="496">
        <v>43</v>
      </c>
      <c r="E332" s="736" t="str">
        <f>D_ETS1Amounts!F583</f>
        <v/>
      </c>
      <c r="F332" s="736" t="str">
        <f>IF(D_ETS1Amounts!H583="","",D_ETS1Amounts!H583)</f>
        <v/>
      </c>
      <c r="G332" s="736" t="str">
        <f>IF(D_ETS1Amounts!I583="","",D_ETS1Amounts!I583)</f>
        <v/>
      </c>
      <c r="H332" s="736" t="str">
        <f>IF(D_ETS1Amounts!J583="","",D_ETS1Amounts!J583)</f>
        <v/>
      </c>
      <c r="I332" s="736" t="str">
        <f>IF(D_ETS1Amounts!K583="","",D_ETS1Amounts!K583)</f>
        <v/>
      </c>
      <c r="J332" s="736" t="str">
        <f>IF(D_ETS1Amounts!L583="","",D_ETS1Amounts!L583)</f>
        <v/>
      </c>
      <c r="K332" s="736" t="str">
        <f>IF(D_ETS1Amounts!M583="","",D_ETS1Amounts!M583)</f>
        <v/>
      </c>
      <c r="L332" s="737" t="str">
        <f>IF(D_ETS1Amounts!N583="","",D_ETS1Amounts!N583)</f>
        <v/>
      </c>
      <c r="M332" s="681"/>
    </row>
    <row r="333" spans="1:13" hidden="1" x14ac:dyDescent="0.25">
      <c r="A333" s="674" t="s">
        <v>0</v>
      </c>
      <c r="B333" s="679"/>
      <c r="D333" s="496">
        <v>44</v>
      </c>
      <c r="E333" s="736" t="str">
        <f>D_ETS1Amounts!F584</f>
        <v/>
      </c>
      <c r="F333" s="736" t="str">
        <f>IF(D_ETS1Amounts!H584="","",D_ETS1Amounts!H584)</f>
        <v/>
      </c>
      <c r="G333" s="736" t="str">
        <f>IF(D_ETS1Amounts!I584="","",D_ETS1Amounts!I584)</f>
        <v/>
      </c>
      <c r="H333" s="736" t="str">
        <f>IF(D_ETS1Amounts!J584="","",D_ETS1Amounts!J584)</f>
        <v/>
      </c>
      <c r="I333" s="736" t="str">
        <f>IF(D_ETS1Amounts!K584="","",D_ETS1Amounts!K584)</f>
        <v/>
      </c>
      <c r="J333" s="736" t="str">
        <f>IF(D_ETS1Amounts!L584="","",D_ETS1Amounts!L584)</f>
        <v/>
      </c>
      <c r="K333" s="736" t="str">
        <f>IF(D_ETS1Amounts!M584="","",D_ETS1Amounts!M584)</f>
        <v/>
      </c>
      <c r="L333" s="737" t="str">
        <f>IF(D_ETS1Amounts!N584="","",D_ETS1Amounts!N584)</f>
        <v/>
      </c>
      <c r="M333" s="681"/>
    </row>
    <row r="334" spans="1:13" hidden="1" x14ac:dyDescent="0.25">
      <c r="A334" s="674" t="s">
        <v>0</v>
      </c>
      <c r="B334" s="679"/>
      <c r="D334" s="496">
        <v>45</v>
      </c>
      <c r="E334" s="736" t="str">
        <f>D_ETS1Amounts!F585</f>
        <v/>
      </c>
      <c r="F334" s="736" t="str">
        <f>IF(D_ETS1Amounts!H585="","",D_ETS1Amounts!H585)</f>
        <v/>
      </c>
      <c r="G334" s="736" t="str">
        <f>IF(D_ETS1Amounts!I585="","",D_ETS1Amounts!I585)</f>
        <v/>
      </c>
      <c r="H334" s="736" t="str">
        <f>IF(D_ETS1Amounts!J585="","",D_ETS1Amounts!J585)</f>
        <v/>
      </c>
      <c r="I334" s="736" t="str">
        <f>IF(D_ETS1Amounts!K585="","",D_ETS1Amounts!K585)</f>
        <v/>
      </c>
      <c r="J334" s="736" t="str">
        <f>IF(D_ETS1Amounts!L585="","",D_ETS1Amounts!L585)</f>
        <v/>
      </c>
      <c r="K334" s="736" t="str">
        <f>IF(D_ETS1Amounts!M585="","",D_ETS1Amounts!M585)</f>
        <v/>
      </c>
      <c r="L334" s="737" t="str">
        <f>IF(D_ETS1Amounts!N585="","",D_ETS1Amounts!N585)</f>
        <v/>
      </c>
      <c r="M334" s="681"/>
    </row>
    <row r="335" spans="1:13" hidden="1" x14ac:dyDescent="0.25">
      <c r="A335" s="674" t="s">
        <v>0</v>
      </c>
      <c r="B335" s="679"/>
      <c r="D335" s="496">
        <v>46</v>
      </c>
      <c r="E335" s="736" t="str">
        <f>D_ETS1Amounts!F586</f>
        <v/>
      </c>
      <c r="F335" s="736" t="str">
        <f>IF(D_ETS1Amounts!H586="","",D_ETS1Amounts!H586)</f>
        <v/>
      </c>
      <c r="G335" s="736" t="str">
        <f>IF(D_ETS1Amounts!I586="","",D_ETS1Amounts!I586)</f>
        <v/>
      </c>
      <c r="H335" s="736" t="str">
        <f>IF(D_ETS1Amounts!J586="","",D_ETS1Amounts!J586)</f>
        <v/>
      </c>
      <c r="I335" s="736" t="str">
        <f>IF(D_ETS1Amounts!K586="","",D_ETS1Amounts!K586)</f>
        <v/>
      </c>
      <c r="J335" s="736" t="str">
        <f>IF(D_ETS1Amounts!L586="","",D_ETS1Amounts!L586)</f>
        <v/>
      </c>
      <c r="K335" s="736" t="str">
        <f>IF(D_ETS1Amounts!M586="","",D_ETS1Amounts!M586)</f>
        <v/>
      </c>
      <c r="L335" s="737" t="str">
        <f>IF(D_ETS1Amounts!N586="","",D_ETS1Amounts!N586)</f>
        <v/>
      </c>
      <c r="M335" s="681"/>
    </row>
    <row r="336" spans="1:13" hidden="1" x14ac:dyDescent="0.25">
      <c r="A336" s="674" t="s">
        <v>0</v>
      </c>
      <c r="B336" s="679"/>
      <c r="D336" s="496">
        <v>47</v>
      </c>
      <c r="E336" s="736" t="str">
        <f>D_ETS1Amounts!F587</f>
        <v/>
      </c>
      <c r="F336" s="736" t="str">
        <f>IF(D_ETS1Amounts!H587="","",D_ETS1Amounts!H587)</f>
        <v/>
      </c>
      <c r="G336" s="736" t="str">
        <f>IF(D_ETS1Amounts!I587="","",D_ETS1Amounts!I587)</f>
        <v/>
      </c>
      <c r="H336" s="736" t="str">
        <f>IF(D_ETS1Amounts!J587="","",D_ETS1Amounts!J587)</f>
        <v/>
      </c>
      <c r="I336" s="736" t="str">
        <f>IF(D_ETS1Amounts!K587="","",D_ETS1Amounts!K587)</f>
        <v/>
      </c>
      <c r="J336" s="736" t="str">
        <f>IF(D_ETS1Amounts!L587="","",D_ETS1Amounts!L587)</f>
        <v/>
      </c>
      <c r="K336" s="736" t="str">
        <f>IF(D_ETS1Amounts!M587="","",D_ETS1Amounts!M587)</f>
        <v/>
      </c>
      <c r="L336" s="737" t="str">
        <f>IF(D_ETS1Amounts!N587="","",D_ETS1Amounts!N587)</f>
        <v/>
      </c>
      <c r="M336" s="681"/>
    </row>
    <row r="337" spans="1:13" hidden="1" x14ac:dyDescent="0.25">
      <c r="A337" s="674" t="s">
        <v>0</v>
      </c>
      <c r="B337" s="679"/>
      <c r="D337" s="496">
        <v>48</v>
      </c>
      <c r="E337" s="736" t="str">
        <f>D_ETS1Amounts!F588</f>
        <v/>
      </c>
      <c r="F337" s="736" t="str">
        <f>IF(D_ETS1Amounts!H588="","",D_ETS1Amounts!H588)</f>
        <v/>
      </c>
      <c r="G337" s="736" t="str">
        <f>IF(D_ETS1Amounts!I588="","",D_ETS1Amounts!I588)</f>
        <v/>
      </c>
      <c r="H337" s="736" t="str">
        <f>IF(D_ETS1Amounts!J588="","",D_ETS1Amounts!J588)</f>
        <v/>
      </c>
      <c r="I337" s="736" t="str">
        <f>IF(D_ETS1Amounts!K588="","",D_ETS1Amounts!K588)</f>
        <v/>
      </c>
      <c r="J337" s="736" t="str">
        <f>IF(D_ETS1Amounts!L588="","",D_ETS1Amounts!L588)</f>
        <v/>
      </c>
      <c r="K337" s="736" t="str">
        <f>IF(D_ETS1Amounts!M588="","",D_ETS1Amounts!M588)</f>
        <v/>
      </c>
      <c r="L337" s="737" t="str">
        <f>IF(D_ETS1Amounts!N588="","",D_ETS1Amounts!N588)</f>
        <v/>
      </c>
      <c r="M337" s="681"/>
    </row>
    <row r="338" spans="1:13" hidden="1" x14ac:dyDescent="0.25">
      <c r="A338" s="674" t="s">
        <v>0</v>
      </c>
      <c r="B338" s="679"/>
      <c r="D338" s="496">
        <v>49</v>
      </c>
      <c r="E338" s="736" t="str">
        <f>D_ETS1Amounts!F589</f>
        <v/>
      </c>
      <c r="F338" s="736" t="str">
        <f>IF(D_ETS1Amounts!H589="","",D_ETS1Amounts!H589)</f>
        <v/>
      </c>
      <c r="G338" s="736" t="str">
        <f>IF(D_ETS1Amounts!I589="","",D_ETS1Amounts!I589)</f>
        <v/>
      </c>
      <c r="H338" s="736" t="str">
        <f>IF(D_ETS1Amounts!J589="","",D_ETS1Amounts!J589)</f>
        <v/>
      </c>
      <c r="I338" s="736" t="str">
        <f>IF(D_ETS1Amounts!K589="","",D_ETS1Amounts!K589)</f>
        <v/>
      </c>
      <c r="J338" s="736" t="str">
        <f>IF(D_ETS1Amounts!L589="","",D_ETS1Amounts!L589)</f>
        <v/>
      </c>
      <c r="K338" s="736" t="str">
        <f>IF(D_ETS1Amounts!M589="","",D_ETS1Amounts!M589)</f>
        <v/>
      </c>
      <c r="L338" s="737" t="str">
        <f>IF(D_ETS1Amounts!N589="","",D_ETS1Amounts!N589)</f>
        <v/>
      </c>
      <c r="M338" s="681"/>
    </row>
    <row r="339" spans="1:13" hidden="1" x14ac:dyDescent="0.25">
      <c r="A339" s="674" t="s">
        <v>0</v>
      </c>
      <c r="B339" s="679"/>
      <c r="D339" s="496">
        <v>50</v>
      </c>
      <c r="E339" s="736" t="str">
        <f>D_ETS1Amounts!F590</f>
        <v/>
      </c>
      <c r="F339" s="736" t="str">
        <f>IF(D_ETS1Amounts!H590="","",D_ETS1Amounts!H590)</f>
        <v/>
      </c>
      <c r="G339" s="736" t="str">
        <f>IF(D_ETS1Amounts!I590="","",D_ETS1Amounts!I590)</f>
        <v/>
      </c>
      <c r="H339" s="736" t="str">
        <f>IF(D_ETS1Amounts!J590="","",D_ETS1Amounts!J590)</f>
        <v/>
      </c>
      <c r="I339" s="736" t="str">
        <f>IF(D_ETS1Amounts!K590="","",D_ETS1Amounts!K590)</f>
        <v/>
      </c>
      <c r="J339" s="736" t="str">
        <f>IF(D_ETS1Amounts!L590="","",D_ETS1Amounts!L590)</f>
        <v/>
      </c>
      <c r="K339" s="736" t="str">
        <f>IF(D_ETS1Amounts!M590="","",D_ETS1Amounts!M590)</f>
        <v/>
      </c>
      <c r="L339" s="737" t="str">
        <f>IF(D_ETS1Amounts!N590="","",D_ETS1Amounts!N590)</f>
        <v/>
      </c>
      <c r="M339" s="681"/>
    </row>
    <row r="340" spans="1:13" hidden="1" x14ac:dyDescent="0.25">
      <c r="A340" s="674" t="s">
        <v>0</v>
      </c>
      <c r="B340" s="679"/>
      <c r="D340" s="496">
        <v>51</v>
      </c>
      <c r="E340" s="736" t="str">
        <f>D_ETS1Amounts!F591</f>
        <v/>
      </c>
      <c r="F340" s="736" t="str">
        <f>IF(D_ETS1Amounts!H591="","",D_ETS1Amounts!H591)</f>
        <v/>
      </c>
      <c r="G340" s="736" t="str">
        <f>IF(D_ETS1Amounts!I591="","",D_ETS1Amounts!I591)</f>
        <v/>
      </c>
      <c r="H340" s="736" t="str">
        <f>IF(D_ETS1Amounts!J591="","",D_ETS1Amounts!J591)</f>
        <v/>
      </c>
      <c r="I340" s="736" t="str">
        <f>IF(D_ETS1Amounts!K591="","",D_ETS1Amounts!K591)</f>
        <v/>
      </c>
      <c r="J340" s="736" t="str">
        <f>IF(D_ETS1Amounts!L591="","",D_ETS1Amounts!L591)</f>
        <v/>
      </c>
      <c r="K340" s="736" t="str">
        <f>IF(D_ETS1Amounts!M591="","",D_ETS1Amounts!M591)</f>
        <v/>
      </c>
      <c r="L340" s="737" t="str">
        <f>IF(D_ETS1Amounts!N591="","",D_ETS1Amounts!N591)</f>
        <v/>
      </c>
      <c r="M340" s="681"/>
    </row>
    <row r="341" spans="1:13" hidden="1" x14ac:dyDescent="0.25">
      <c r="A341" s="674" t="s">
        <v>0</v>
      </c>
      <c r="B341" s="679"/>
      <c r="D341" s="496">
        <v>52</v>
      </c>
      <c r="E341" s="736" t="str">
        <f>D_ETS1Amounts!F592</f>
        <v/>
      </c>
      <c r="F341" s="736" t="str">
        <f>IF(D_ETS1Amounts!H592="","",D_ETS1Amounts!H592)</f>
        <v/>
      </c>
      <c r="G341" s="736" t="str">
        <f>IF(D_ETS1Amounts!I592="","",D_ETS1Amounts!I592)</f>
        <v/>
      </c>
      <c r="H341" s="736" t="str">
        <f>IF(D_ETS1Amounts!J592="","",D_ETS1Amounts!J592)</f>
        <v/>
      </c>
      <c r="I341" s="736" t="str">
        <f>IF(D_ETS1Amounts!K592="","",D_ETS1Amounts!K592)</f>
        <v/>
      </c>
      <c r="J341" s="736" t="str">
        <f>IF(D_ETS1Amounts!L592="","",D_ETS1Amounts!L592)</f>
        <v/>
      </c>
      <c r="K341" s="736" t="str">
        <f>IF(D_ETS1Amounts!M592="","",D_ETS1Amounts!M592)</f>
        <v/>
      </c>
      <c r="L341" s="737" t="str">
        <f>IF(D_ETS1Amounts!N592="","",D_ETS1Amounts!N592)</f>
        <v/>
      </c>
      <c r="M341" s="681"/>
    </row>
    <row r="342" spans="1:13" hidden="1" x14ac:dyDescent="0.25">
      <c r="A342" s="674" t="s">
        <v>0</v>
      </c>
      <c r="B342" s="679"/>
      <c r="D342" s="496">
        <v>53</v>
      </c>
      <c r="E342" s="736" t="str">
        <f>D_ETS1Amounts!F593</f>
        <v/>
      </c>
      <c r="F342" s="736" t="str">
        <f>IF(D_ETS1Amounts!H593="","",D_ETS1Amounts!H593)</f>
        <v/>
      </c>
      <c r="G342" s="736" t="str">
        <f>IF(D_ETS1Amounts!I593="","",D_ETS1Amounts!I593)</f>
        <v/>
      </c>
      <c r="H342" s="736" t="str">
        <f>IF(D_ETS1Amounts!J593="","",D_ETS1Amounts!J593)</f>
        <v/>
      </c>
      <c r="I342" s="736" t="str">
        <f>IF(D_ETS1Amounts!K593="","",D_ETS1Amounts!K593)</f>
        <v/>
      </c>
      <c r="J342" s="736" t="str">
        <f>IF(D_ETS1Amounts!L593="","",D_ETS1Amounts!L593)</f>
        <v/>
      </c>
      <c r="K342" s="736" t="str">
        <f>IF(D_ETS1Amounts!M593="","",D_ETS1Amounts!M593)</f>
        <v/>
      </c>
      <c r="L342" s="737" t="str">
        <f>IF(D_ETS1Amounts!N593="","",D_ETS1Amounts!N593)</f>
        <v/>
      </c>
      <c r="M342" s="681"/>
    </row>
    <row r="343" spans="1:13" hidden="1" x14ac:dyDescent="0.25">
      <c r="A343" s="674" t="s">
        <v>0</v>
      </c>
      <c r="B343" s="679"/>
      <c r="D343" s="496">
        <v>54</v>
      </c>
      <c r="E343" s="736" t="str">
        <f>D_ETS1Amounts!F594</f>
        <v/>
      </c>
      <c r="F343" s="736" t="str">
        <f>IF(D_ETS1Amounts!H594="","",D_ETS1Amounts!H594)</f>
        <v/>
      </c>
      <c r="G343" s="736" t="str">
        <f>IF(D_ETS1Amounts!I594="","",D_ETS1Amounts!I594)</f>
        <v/>
      </c>
      <c r="H343" s="736" t="str">
        <f>IF(D_ETS1Amounts!J594="","",D_ETS1Amounts!J594)</f>
        <v/>
      </c>
      <c r="I343" s="736" t="str">
        <f>IF(D_ETS1Amounts!K594="","",D_ETS1Amounts!K594)</f>
        <v/>
      </c>
      <c r="J343" s="736" t="str">
        <f>IF(D_ETS1Amounts!L594="","",D_ETS1Amounts!L594)</f>
        <v/>
      </c>
      <c r="K343" s="736" t="str">
        <f>IF(D_ETS1Amounts!M594="","",D_ETS1Amounts!M594)</f>
        <v/>
      </c>
      <c r="L343" s="737" t="str">
        <f>IF(D_ETS1Amounts!N594="","",D_ETS1Amounts!N594)</f>
        <v/>
      </c>
      <c r="M343" s="681"/>
    </row>
    <row r="344" spans="1:13" hidden="1" x14ac:dyDescent="0.25">
      <c r="A344" s="674" t="s">
        <v>0</v>
      </c>
      <c r="B344" s="679"/>
      <c r="D344" s="496">
        <v>55</v>
      </c>
      <c r="E344" s="736" t="str">
        <f>D_ETS1Amounts!F595</f>
        <v/>
      </c>
      <c r="F344" s="736" t="str">
        <f>IF(D_ETS1Amounts!H595="","",D_ETS1Amounts!H595)</f>
        <v/>
      </c>
      <c r="G344" s="736" t="str">
        <f>IF(D_ETS1Amounts!I595="","",D_ETS1Amounts!I595)</f>
        <v/>
      </c>
      <c r="H344" s="736" t="str">
        <f>IF(D_ETS1Amounts!J595="","",D_ETS1Amounts!J595)</f>
        <v/>
      </c>
      <c r="I344" s="736" t="str">
        <f>IF(D_ETS1Amounts!K595="","",D_ETS1Amounts!K595)</f>
        <v/>
      </c>
      <c r="J344" s="736" t="str">
        <f>IF(D_ETS1Amounts!L595="","",D_ETS1Amounts!L595)</f>
        <v/>
      </c>
      <c r="K344" s="736" t="str">
        <f>IF(D_ETS1Amounts!M595="","",D_ETS1Amounts!M595)</f>
        <v/>
      </c>
      <c r="L344" s="737" t="str">
        <f>IF(D_ETS1Amounts!N595="","",D_ETS1Amounts!N595)</f>
        <v/>
      </c>
      <c r="M344" s="681"/>
    </row>
    <row r="345" spans="1:13" hidden="1" x14ac:dyDescent="0.25">
      <c r="A345" s="674" t="s">
        <v>0</v>
      </c>
      <c r="B345" s="679"/>
      <c r="D345" s="496">
        <v>56</v>
      </c>
      <c r="E345" s="736" t="str">
        <f>D_ETS1Amounts!F596</f>
        <v/>
      </c>
      <c r="F345" s="736" t="str">
        <f>IF(D_ETS1Amounts!H596="","",D_ETS1Amounts!H596)</f>
        <v/>
      </c>
      <c r="G345" s="736" t="str">
        <f>IF(D_ETS1Amounts!I596="","",D_ETS1Amounts!I596)</f>
        <v/>
      </c>
      <c r="H345" s="736" t="str">
        <f>IF(D_ETS1Amounts!J596="","",D_ETS1Amounts!J596)</f>
        <v/>
      </c>
      <c r="I345" s="736" t="str">
        <f>IF(D_ETS1Amounts!K596="","",D_ETS1Amounts!K596)</f>
        <v/>
      </c>
      <c r="J345" s="736" t="str">
        <f>IF(D_ETS1Amounts!L596="","",D_ETS1Amounts!L596)</f>
        <v/>
      </c>
      <c r="K345" s="736" t="str">
        <f>IF(D_ETS1Amounts!M596="","",D_ETS1Amounts!M596)</f>
        <v/>
      </c>
      <c r="L345" s="737" t="str">
        <f>IF(D_ETS1Amounts!N596="","",D_ETS1Amounts!N596)</f>
        <v/>
      </c>
      <c r="M345" s="681"/>
    </row>
    <row r="346" spans="1:13" hidden="1" x14ac:dyDescent="0.25">
      <c r="A346" s="674" t="s">
        <v>0</v>
      </c>
      <c r="B346" s="679"/>
      <c r="D346" s="496">
        <v>57</v>
      </c>
      <c r="E346" s="736" t="str">
        <f>D_ETS1Amounts!F597</f>
        <v/>
      </c>
      <c r="F346" s="736" t="str">
        <f>IF(D_ETS1Amounts!H597="","",D_ETS1Amounts!H597)</f>
        <v/>
      </c>
      <c r="G346" s="736" t="str">
        <f>IF(D_ETS1Amounts!I597="","",D_ETS1Amounts!I597)</f>
        <v/>
      </c>
      <c r="H346" s="736" t="str">
        <f>IF(D_ETS1Amounts!J597="","",D_ETS1Amounts!J597)</f>
        <v/>
      </c>
      <c r="I346" s="736" t="str">
        <f>IF(D_ETS1Amounts!K597="","",D_ETS1Amounts!K597)</f>
        <v/>
      </c>
      <c r="J346" s="736" t="str">
        <f>IF(D_ETS1Amounts!L597="","",D_ETS1Amounts!L597)</f>
        <v/>
      </c>
      <c r="K346" s="736" t="str">
        <f>IF(D_ETS1Amounts!M597="","",D_ETS1Amounts!M597)</f>
        <v/>
      </c>
      <c r="L346" s="737" t="str">
        <f>IF(D_ETS1Amounts!N597="","",D_ETS1Amounts!N597)</f>
        <v/>
      </c>
      <c r="M346" s="681"/>
    </row>
    <row r="347" spans="1:13" hidden="1" x14ac:dyDescent="0.25">
      <c r="A347" s="674" t="s">
        <v>0</v>
      </c>
      <c r="B347" s="679"/>
      <c r="D347" s="496">
        <v>58</v>
      </c>
      <c r="E347" s="736" t="str">
        <f>D_ETS1Amounts!F598</f>
        <v/>
      </c>
      <c r="F347" s="736" t="str">
        <f>IF(D_ETS1Amounts!H598="","",D_ETS1Amounts!H598)</f>
        <v/>
      </c>
      <c r="G347" s="736" t="str">
        <f>IF(D_ETS1Amounts!I598="","",D_ETS1Amounts!I598)</f>
        <v/>
      </c>
      <c r="H347" s="736" t="str">
        <f>IF(D_ETS1Amounts!J598="","",D_ETS1Amounts!J598)</f>
        <v/>
      </c>
      <c r="I347" s="736" t="str">
        <f>IF(D_ETS1Amounts!K598="","",D_ETS1Amounts!K598)</f>
        <v/>
      </c>
      <c r="J347" s="736" t="str">
        <f>IF(D_ETS1Amounts!L598="","",D_ETS1Amounts!L598)</f>
        <v/>
      </c>
      <c r="K347" s="736" t="str">
        <f>IF(D_ETS1Amounts!M598="","",D_ETS1Amounts!M598)</f>
        <v/>
      </c>
      <c r="L347" s="737" t="str">
        <f>IF(D_ETS1Amounts!N598="","",D_ETS1Amounts!N598)</f>
        <v/>
      </c>
      <c r="M347" s="681"/>
    </row>
    <row r="348" spans="1:13" hidden="1" x14ac:dyDescent="0.25">
      <c r="A348" s="674" t="s">
        <v>0</v>
      </c>
      <c r="B348" s="679"/>
      <c r="D348" s="496">
        <v>59</v>
      </c>
      <c r="E348" s="736" t="str">
        <f>D_ETS1Amounts!F599</f>
        <v/>
      </c>
      <c r="F348" s="736" t="str">
        <f>IF(D_ETS1Amounts!H599="","",D_ETS1Amounts!H599)</f>
        <v/>
      </c>
      <c r="G348" s="736" t="str">
        <f>IF(D_ETS1Amounts!I599="","",D_ETS1Amounts!I599)</f>
        <v/>
      </c>
      <c r="H348" s="736" t="str">
        <f>IF(D_ETS1Amounts!J599="","",D_ETS1Amounts!J599)</f>
        <v/>
      </c>
      <c r="I348" s="736" t="str">
        <f>IF(D_ETS1Amounts!K599="","",D_ETS1Amounts!K599)</f>
        <v/>
      </c>
      <c r="J348" s="736" t="str">
        <f>IF(D_ETS1Amounts!L599="","",D_ETS1Amounts!L599)</f>
        <v/>
      </c>
      <c r="K348" s="736" t="str">
        <f>IF(D_ETS1Amounts!M599="","",D_ETS1Amounts!M599)</f>
        <v/>
      </c>
      <c r="L348" s="737" t="str">
        <f>IF(D_ETS1Amounts!N599="","",D_ETS1Amounts!N599)</f>
        <v/>
      </c>
      <c r="M348" s="681"/>
    </row>
    <row r="349" spans="1:13" hidden="1" x14ac:dyDescent="0.25">
      <c r="A349" s="674" t="s">
        <v>0</v>
      </c>
      <c r="B349" s="679"/>
      <c r="D349" s="496">
        <v>60</v>
      </c>
      <c r="E349" s="736" t="str">
        <f>D_ETS1Amounts!F600</f>
        <v/>
      </c>
      <c r="F349" s="736" t="str">
        <f>IF(D_ETS1Amounts!H600="","",D_ETS1Amounts!H600)</f>
        <v/>
      </c>
      <c r="G349" s="736" t="str">
        <f>IF(D_ETS1Amounts!I600="","",D_ETS1Amounts!I600)</f>
        <v/>
      </c>
      <c r="H349" s="736" t="str">
        <f>IF(D_ETS1Amounts!J600="","",D_ETS1Amounts!J600)</f>
        <v/>
      </c>
      <c r="I349" s="736" t="str">
        <f>IF(D_ETS1Amounts!K600="","",D_ETS1Amounts!K600)</f>
        <v/>
      </c>
      <c r="J349" s="736" t="str">
        <f>IF(D_ETS1Amounts!L600="","",D_ETS1Amounts!L600)</f>
        <v/>
      </c>
      <c r="K349" s="736" t="str">
        <f>IF(D_ETS1Amounts!M600="","",D_ETS1Amounts!M600)</f>
        <v/>
      </c>
      <c r="L349" s="737" t="str">
        <f>IF(D_ETS1Amounts!N600="","",D_ETS1Amounts!N600)</f>
        <v/>
      </c>
      <c r="M349" s="681"/>
    </row>
    <row r="350" spans="1:13" hidden="1" x14ac:dyDescent="0.25">
      <c r="A350" s="674" t="s">
        <v>0</v>
      </c>
      <c r="B350" s="679"/>
      <c r="D350" s="496">
        <v>61</v>
      </c>
      <c r="E350" s="736" t="str">
        <f>D_ETS1Amounts!F601</f>
        <v/>
      </c>
      <c r="F350" s="736" t="str">
        <f>IF(D_ETS1Amounts!H601="","",D_ETS1Amounts!H601)</f>
        <v/>
      </c>
      <c r="G350" s="736" t="str">
        <f>IF(D_ETS1Amounts!I601="","",D_ETS1Amounts!I601)</f>
        <v/>
      </c>
      <c r="H350" s="736" t="str">
        <f>IF(D_ETS1Amounts!J601="","",D_ETS1Amounts!J601)</f>
        <v/>
      </c>
      <c r="I350" s="736" t="str">
        <f>IF(D_ETS1Amounts!K601="","",D_ETS1Amounts!K601)</f>
        <v/>
      </c>
      <c r="J350" s="736" t="str">
        <f>IF(D_ETS1Amounts!L601="","",D_ETS1Amounts!L601)</f>
        <v/>
      </c>
      <c r="K350" s="736" t="str">
        <f>IF(D_ETS1Amounts!M601="","",D_ETS1Amounts!M601)</f>
        <v/>
      </c>
      <c r="L350" s="737" t="str">
        <f>IF(D_ETS1Amounts!N601="","",D_ETS1Amounts!N601)</f>
        <v/>
      </c>
      <c r="M350" s="681"/>
    </row>
    <row r="351" spans="1:13" hidden="1" x14ac:dyDescent="0.25">
      <c r="A351" s="674" t="s">
        <v>0</v>
      </c>
      <c r="B351" s="679"/>
      <c r="D351" s="496">
        <v>62</v>
      </c>
      <c r="E351" s="736" t="str">
        <f>D_ETS1Amounts!F602</f>
        <v/>
      </c>
      <c r="F351" s="736" t="str">
        <f>IF(D_ETS1Amounts!H602="","",D_ETS1Amounts!H602)</f>
        <v/>
      </c>
      <c r="G351" s="736" t="str">
        <f>IF(D_ETS1Amounts!I602="","",D_ETS1Amounts!I602)</f>
        <v/>
      </c>
      <c r="H351" s="736" t="str">
        <f>IF(D_ETS1Amounts!J602="","",D_ETS1Amounts!J602)</f>
        <v/>
      </c>
      <c r="I351" s="736" t="str">
        <f>IF(D_ETS1Amounts!K602="","",D_ETS1Amounts!K602)</f>
        <v/>
      </c>
      <c r="J351" s="736" t="str">
        <f>IF(D_ETS1Amounts!L602="","",D_ETS1Amounts!L602)</f>
        <v/>
      </c>
      <c r="K351" s="736" t="str">
        <f>IF(D_ETS1Amounts!M602="","",D_ETS1Amounts!M602)</f>
        <v/>
      </c>
      <c r="L351" s="737" t="str">
        <f>IF(D_ETS1Amounts!N602="","",D_ETS1Amounts!N602)</f>
        <v/>
      </c>
      <c r="M351" s="681"/>
    </row>
    <row r="352" spans="1:13" hidden="1" x14ac:dyDescent="0.25">
      <c r="A352" s="674" t="s">
        <v>0</v>
      </c>
      <c r="B352" s="679"/>
      <c r="D352" s="496">
        <v>63</v>
      </c>
      <c r="E352" s="736" t="str">
        <f>D_ETS1Amounts!F603</f>
        <v/>
      </c>
      <c r="F352" s="736" t="str">
        <f>IF(D_ETS1Amounts!H603="","",D_ETS1Amounts!H603)</f>
        <v/>
      </c>
      <c r="G352" s="736" t="str">
        <f>IF(D_ETS1Amounts!I603="","",D_ETS1Amounts!I603)</f>
        <v/>
      </c>
      <c r="H352" s="736" t="str">
        <f>IF(D_ETS1Amounts!J603="","",D_ETS1Amounts!J603)</f>
        <v/>
      </c>
      <c r="I352" s="736" t="str">
        <f>IF(D_ETS1Amounts!K603="","",D_ETS1Amounts!K603)</f>
        <v/>
      </c>
      <c r="J352" s="736" t="str">
        <f>IF(D_ETS1Amounts!L603="","",D_ETS1Amounts!L603)</f>
        <v/>
      </c>
      <c r="K352" s="736" t="str">
        <f>IF(D_ETS1Amounts!M603="","",D_ETS1Amounts!M603)</f>
        <v/>
      </c>
      <c r="L352" s="737" t="str">
        <f>IF(D_ETS1Amounts!N603="","",D_ETS1Amounts!N603)</f>
        <v/>
      </c>
      <c r="M352" s="681"/>
    </row>
    <row r="353" spans="1:13" hidden="1" x14ac:dyDescent="0.25">
      <c r="A353" s="674" t="s">
        <v>0</v>
      </c>
      <c r="B353" s="679"/>
      <c r="D353" s="496">
        <v>64</v>
      </c>
      <c r="E353" s="736" t="str">
        <f>D_ETS1Amounts!F604</f>
        <v/>
      </c>
      <c r="F353" s="736" t="str">
        <f>IF(D_ETS1Amounts!H604="","",D_ETS1Amounts!H604)</f>
        <v/>
      </c>
      <c r="G353" s="736" t="str">
        <f>IF(D_ETS1Amounts!I604="","",D_ETS1Amounts!I604)</f>
        <v/>
      </c>
      <c r="H353" s="736" t="str">
        <f>IF(D_ETS1Amounts!J604="","",D_ETS1Amounts!J604)</f>
        <v/>
      </c>
      <c r="I353" s="736" t="str">
        <f>IF(D_ETS1Amounts!K604="","",D_ETS1Amounts!K604)</f>
        <v/>
      </c>
      <c r="J353" s="736" t="str">
        <f>IF(D_ETS1Amounts!L604="","",D_ETS1Amounts!L604)</f>
        <v/>
      </c>
      <c r="K353" s="736" t="str">
        <f>IF(D_ETS1Amounts!M604="","",D_ETS1Amounts!M604)</f>
        <v/>
      </c>
      <c r="L353" s="737" t="str">
        <f>IF(D_ETS1Amounts!N604="","",D_ETS1Amounts!N604)</f>
        <v/>
      </c>
      <c r="M353" s="681"/>
    </row>
    <row r="354" spans="1:13" hidden="1" x14ac:dyDescent="0.25">
      <c r="A354" s="674" t="s">
        <v>0</v>
      </c>
      <c r="B354" s="679"/>
      <c r="D354" s="496">
        <v>65</v>
      </c>
      <c r="E354" s="736" t="str">
        <f>D_ETS1Amounts!F605</f>
        <v/>
      </c>
      <c r="F354" s="736" t="str">
        <f>IF(D_ETS1Amounts!H605="","",D_ETS1Amounts!H605)</f>
        <v/>
      </c>
      <c r="G354" s="736" t="str">
        <f>IF(D_ETS1Amounts!I605="","",D_ETS1Amounts!I605)</f>
        <v/>
      </c>
      <c r="H354" s="736" t="str">
        <f>IF(D_ETS1Amounts!J605="","",D_ETS1Amounts!J605)</f>
        <v/>
      </c>
      <c r="I354" s="736" t="str">
        <f>IF(D_ETS1Amounts!K605="","",D_ETS1Amounts!K605)</f>
        <v/>
      </c>
      <c r="J354" s="736" t="str">
        <f>IF(D_ETS1Amounts!L605="","",D_ETS1Amounts!L605)</f>
        <v/>
      </c>
      <c r="K354" s="736" t="str">
        <f>IF(D_ETS1Amounts!M605="","",D_ETS1Amounts!M605)</f>
        <v/>
      </c>
      <c r="L354" s="737" t="str">
        <f>IF(D_ETS1Amounts!N605="","",D_ETS1Amounts!N605)</f>
        <v/>
      </c>
      <c r="M354" s="681"/>
    </row>
    <row r="355" spans="1:13" hidden="1" x14ac:dyDescent="0.25">
      <c r="A355" s="674" t="s">
        <v>0</v>
      </c>
      <c r="B355" s="679"/>
      <c r="D355" s="496">
        <v>66</v>
      </c>
      <c r="E355" s="736" t="str">
        <f>D_ETS1Amounts!F606</f>
        <v/>
      </c>
      <c r="F355" s="736" t="str">
        <f>IF(D_ETS1Amounts!H606="","",D_ETS1Amounts!H606)</f>
        <v/>
      </c>
      <c r="G355" s="736" t="str">
        <f>IF(D_ETS1Amounts!I606="","",D_ETS1Amounts!I606)</f>
        <v/>
      </c>
      <c r="H355" s="736" t="str">
        <f>IF(D_ETS1Amounts!J606="","",D_ETS1Amounts!J606)</f>
        <v/>
      </c>
      <c r="I355" s="736" t="str">
        <f>IF(D_ETS1Amounts!K606="","",D_ETS1Amounts!K606)</f>
        <v/>
      </c>
      <c r="J355" s="736" t="str">
        <f>IF(D_ETS1Amounts!L606="","",D_ETS1Amounts!L606)</f>
        <v/>
      </c>
      <c r="K355" s="736" t="str">
        <f>IF(D_ETS1Amounts!M606="","",D_ETS1Amounts!M606)</f>
        <v/>
      </c>
      <c r="L355" s="737" t="str">
        <f>IF(D_ETS1Amounts!N606="","",D_ETS1Amounts!N606)</f>
        <v/>
      </c>
      <c r="M355" s="681"/>
    </row>
    <row r="356" spans="1:13" hidden="1" x14ac:dyDescent="0.25">
      <c r="A356" s="674" t="s">
        <v>0</v>
      </c>
      <c r="B356" s="679"/>
      <c r="D356" s="496">
        <v>67</v>
      </c>
      <c r="E356" s="736" t="str">
        <f>D_ETS1Amounts!F607</f>
        <v/>
      </c>
      <c r="F356" s="736" t="str">
        <f>IF(D_ETS1Amounts!H607="","",D_ETS1Amounts!H607)</f>
        <v/>
      </c>
      <c r="G356" s="736" t="str">
        <f>IF(D_ETS1Amounts!I607="","",D_ETS1Amounts!I607)</f>
        <v/>
      </c>
      <c r="H356" s="736" t="str">
        <f>IF(D_ETS1Amounts!J607="","",D_ETS1Amounts!J607)</f>
        <v/>
      </c>
      <c r="I356" s="736" t="str">
        <f>IF(D_ETS1Amounts!K607="","",D_ETS1Amounts!K607)</f>
        <v/>
      </c>
      <c r="J356" s="736" t="str">
        <f>IF(D_ETS1Amounts!L607="","",D_ETS1Amounts!L607)</f>
        <v/>
      </c>
      <c r="K356" s="736" t="str">
        <f>IF(D_ETS1Amounts!M607="","",D_ETS1Amounts!M607)</f>
        <v/>
      </c>
      <c r="L356" s="737" t="str">
        <f>IF(D_ETS1Amounts!N607="","",D_ETS1Amounts!N607)</f>
        <v/>
      </c>
      <c r="M356" s="681"/>
    </row>
    <row r="357" spans="1:13" hidden="1" x14ac:dyDescent="0.25">
      <c r="A357" s="674" t="s">
        <v>0</v>
      </c>
      <c r="B357" s="679"/>
      <c r="D357" s="496">
        <v>68</v>
      </c>
      <c r="E357" s="736" t="str">
        <f>D_ETS1Amounts!F608</f>
        <v/>
      </c>
      <c r="F357" s="736" t="str">
        <f>IF(D_ETS1Amounts!H608="","",D_ETS1Amounts!H608)</f>
        <v/>
      </c>
      <c r="G357" s="736" t="str">
        <f>IF(D_ETS1Amounts!I608="","",D_ETS1Amounts!I608)</f>
        <v/>
      </c>
      <c r="H357" s="736" t="str">
        <f>IF(D_ETS1Amounts!J608="","",D_ETS1Amounts!J608)</f>
        <v/>
      </c>
      <c r="I357" s="736" t="str">
        <f>IF(D_ETS1Amounts!K608="","",D_ETS1Amounts!K608)</f>
        <v/>
      </c>
      <c r="J357" s="736" t="str">
        <f>IF(D_ETS1Amounts!L608="","",D_ETS1Amounts!L608)</f>
        <v/>
      </c>
      <c r="K357" s="736" t="str">
        <f>IF(D_ETS1Amounts!M608="","",D_ETS1Amounts!M608)</f>
        <v/>
      </c>
      <c r="L357" s="737" t="str">
        <f>IF(D_ETS1Amounts!N608="","",D_ETS1Amounts!N608)</f>
        <v/>
      </c>
      <c r="M357" s="681"/>
    </row>
    <row r="358" spans="1:13" hidden="1" x14ac:dyDescent="0.25">
      <c r="A358" s="674" t="s">
        <v>0</v>
      </c>
      <c r="B358" s="679"/>
      <c r="D358" s="496">
        <v>69</v>
      </c>
      <c r="E358" s="736" t="str">
        <f>D_ETS1Amounts!F609</f>
        <v/>
      </c>
      <c r="F358" s="736" t="str">
        <f>IF(D_ETS1Amounts!H609="","",D_ETS1Amounts!H609)</f>
        <v/>
      </c>
      <c r="G358" s="736" t="str">
        <f>IF(D_ETS1Amounts!I609="","",D_ETS1Amounts!I609)</f>
        <v/>
      </c>
      <c r="H358" s="736" t="str">
        <f>IF(D_ETS1Amounts!J609="","",D_ETS1Amounts!J609)</f>
        <v/>
      </c>
      <c r="I358" s="736" t="str">
        <f>IF(D_ETS1Amounts!K609="","",D_ETS1Amounts!K609)</f>
        <v/>
      </c>
      <c r="J358" s="736" t="str">
        <f>IF(D_ETS1Amounts!L609="","",D_ETS1Amounts!L609)</f>
        <v/>
      </c>
      <c r="K358" s="736" t="str">
        <f>IF(D_ETS1Amounts!M609="","",D_ETS1Amounts!M609)</f>
        <v/>
      </c>
      <c r="L358" s="737" t="str">
        <f>IF(D_ETS1Amounts!N609="","",D_ETS1Amounts!N609)</f>
        <v/>
      </c>
      <c r="M358" s="681"/>
    </row>
    <row r="359" spans="1:13" hidden="1" x14ac:dyDescent="0.25">
      <c r="A359" s="674" t="s">
        <v>0</v>
      </c>
      <c r="B359" s="679"/>
      <c r="D359" s="496">
        <v>70</v>
      </c>
      <c r="E359" s="736" t="str">
        <f>D_ETS1Amounts!F610</f>
        <v/>
      </c>
      <c r="F359" s="736" t="str">
        <f>IF(D_ETS1Amounts!H610="","",D_ETS1Amounts!H610)</f>
        <v/>
      </c>
      <c r="G359" s="736" t="str">
        <f>IF(D_ETS1Amounts!I610="","",D_ETS1Amounts!I610)</f>
        <v/>
      </c>
      <c r="H359" s="736" t="str">
        <f>IF(D_ETS1Amounts!J610="","",D_ETS1Amounts!J610)</f>
        <v/>
      </c>
      <c r="I359" s="736" t="str">
        <f>IF(D_ETS1Amounts!K610="","",D_ETS1Amounts!K610)</f>
        <v/>
      </c>
      <c r="J359" s="736" t="str">
        <f>IF(D_ETS1Amounts!L610="","",D_ETS1Amounts!L610)</f>
        <v/>
      </c>
      <c r="K359" s="736" t="str">
        <f>IF(D_ETS1Amounts!M610="","",D_ETS1Amounts!M610)</f>
        <v/>
      </c>
      <c r="L359" s="737" t="str">
        <f>IF(D_ETS1Amounts!N610="","",D_ETS1Amounts!N610)</f>
        <v/>
      </c>
      <c r="M359" s="681"/>
    </row>
    <row r="360" spans="1:13" hidden="1" x14ac:dyDescent="0.25">
      <c r="A360" s="674" t="s">
        <v>0</v>
      </c>
      <c r="B360" s="679"/>
      <c r="D360" s="496">
        <v>71</v>
      </c>
      <c r="E360" s="736" t="str">
        <f>D_ETS1Amounts!F611</f>
        <v/>
      </c>
      <c r="F360" s="736" t="str">
        <f>IF(D_ETS1Amounts!H611="","",D_ETS1Amounts!H611)</f>
        <v/>
      </c>
      <c r="G360" s="736" t="str">
        <f>IF(D_ETS1Amounts!I611="","",D_ETS1Amounts!I611)</f>
        <v/>
      </c>
      <c r="H360" s="736" t="str">
        <f>IF(D_ETS1Amounts!J611="","",D_ETS1Amounts!J611)</f>
        <v/>
      </c>
      <c r="I360" s="736" t="str">
        <f>IF(D_ETS1Amounts!K611="","",D_ETS1Amounts!K611)</f>
        <v/>
      </c>
      <c r="J360" s="736" t="str">
        <f>IF(D_ETS1Amounts!L611="","",D_ETS1Amounts!L611)</f>
        <v/>
      </c>
      <c r="K360" s="736" t="str">
        <f>IF(D_ETS1Amounts!M611="","",D_ETS1Amounts!M611)</f>
        <v/>
      </c>
      <c r="L360" s="737" t="str">
        <f>IF(D_ETS1Amounts!N611="","",D_ETS1Amounts!N611)</f>
        <v/>
      </c>
      <c r="M360" s="681"/>
    </row>
    <row r="361" spans="1:13" hidden="1" x14ac:dyDescent="0.25">
      <c r="A361" s="674" t="s">
        <v>0</v>
      </c>
      <c r="B361" s="679"/>
      <c r="D361" s="496">
        <v>72</v>
      </c>
      <c r="E361" s="736" t="str">
        <f>D_ETS1Amounts!F612</f>
        <v/>
      </c>
      <c r="F361" s="736" t="str">
        <f>IF(D_ETS1Amounts!H612="","",D_ETS1Amounts!H612)</f>
        <v/>
      </c>
      <c r="G361" s="736" t="str">
        <f>IF(D_ETS1Amounts!I612="","",D_ETS1Amounts!I612)</f>
        <v/>
      </c>
      <c r="H361" s="736" t="str">
        <f>IF(D_ETS1Amounts!J612="","",D_ETS1Amounts!J612)</f>
        <v/>
      </c>
      <c r="I361" s="736" t="str">
        <f>IF(D_ETS1Amounts!K612="","",D_ETS1Amounts!K612)</f>
        <v/>
      </c>
      <c r="J361" s="736" t="str">
        <f>IF(D_ETS1Amounts!L612="","",D_ETS1Amounts!L612)</f>
        <v/>
      </c>
      <c r="K361" s="736" t="str">
        <f>IF(D_ETS1Amounts!M612="","",D_ETS1Amounts!M612)</f>
        <v/>
      </c>
      <c r="L361" s="737" t="str">
        <f>IF(D_ETS1Amounts!N612="","",D_ETS1Amounts!N612)</f>
        <v/>
      </c>
      <c r="M361" s="681"/>
    </row>
    <row r="362" spans="1:13" hidden="1" x14ac:dyDescent="0.25">
      <c r="A362" s="674" t="s">
        <v>0</v>
      </c>
      <c r="B362" s="679"/>
      <c r="D362" s="496">
        <v>73</v>
      </c>
      <c r="E362" s="736" t="str">
        <f>D_ETS1Amounts!F613</f>
        <v/>
      </c>
      <c r="F362" s="736" t="str">
        <f>IF(D_ETS1Amounts!H613="","",D_ETS1Amounts!H613)</f>
        <v/>
      </c>
      <c r="G362" s="736" t="str">
        <f>IF(D_ETS1Amounts!I613="","",D_ETS1Amounts!I613)</f>
        <v/>
      </c>
      <c r="H362" s="736" t="str">
        <f>IF(D_ETS1Amounts!J613="","",D_ETS1Amounts!J613)</f>
        <v/>
      </c>
      <c r="I362" s="736" t="str">
        <f>IF(D_ETS1Amounts!K613="","",D_ETS1Amounts!K613)</f>
        <v/>
      </c>
      <c r="J362" s="736" t="str">
        <f>IF(D_ETS1Amounts!L613="","",D_ETS1Amounts!L613)</f>
        <v/>
      </c>
      <c r="K362" s="736" t="str">
        <f>IF(D_ETS1Amounts!M613="","",D_ETS1Amounts!M613)</f>
        <v/>
      </c>
      <c r="L362" s="737" t="str">
        <f>IF(D_ETS1Amounts!N613="","",D_ETS1Amounts!N613)</f>
        <v/>
      </c>
      <c r="M362" s="681"/>
    </row>
    <row r="363" spans="1:13" hidden="1" x14ac:dyDescent="0.25">
      <c r="A363" s="674" t="s">
        <v>0</v>
      </c>
      <c r="B363" s="679"/>
      <c r="D363" s="496">
        <v>74</v>
      </c>
      <c r="E363" s="736" t="str">
        <f>D_ETS1Amounts!F614</f>
        <v/>
      </c>
      <c r="F363" s="736" t="str">
        <f>IF(D_ETS1Amounts!H614="","",D_ETS1Amounts!H614)</f>
        <v/>
      </c>
      <c r="G363" s="736" t="str">
        <f>IF(D_ETS1Amounts!I614="","",D_ETS1Amounts!I614)</f>
        <v/>
      </c>
      <c r="H363" s="736" t="str">
        <f>IF(D_ETS1Amounts!J614="","",D_ETS1Amounts!J614)</f>
        <v/>
      </c>
      <c r="I363" s="736" t="str">
        <f>IF(D_ETS1Amounts!K614="","",D_ETS1Amounts!K614)</f>
        <v/>
      </c>
      <c r="J363" s="736" t="str">
        <f>IF(D_ETS1Amounts!L614="","",D_ETS1Amounts!L614)</f>
        <v/>
      </c>
      <c r="K363" s="736" t="str">
        <f>IF(D_ETS1Amounts!M614="","",D_ETS1Amounts!M614)</f>
        <v/>
      </c>
      <c r="L363" s="737" t="str">
        <f>IF(D_ETS1Amounts!N614="","",D_ETS1Amounts!N614)</f>
        <v/>
      </c>
      <c r="M363" s="681"/>
    </row>
    <row r="364" spans="1:13" hidden="1" x14ac:dyDescent="0.25">
      <c r="A364" s="674" t="s">
        <v>0</v>
      </c>
      <c r="B364" s="679"/>
      <c r="D364" s="496">
        <v>75</v>
      </c>
      <c r="E364" s="736" t="str">
        <f>D_ETS1Amounts!F615</f>
        <v/>
      </c>
      <c r="F364" s="736" t="str">
        <f>IF(D_ETS1Amounts!H615="","",D_ETS1Amounts!H615)</f>
        <v/>
      </c>
      <c r="G364" s="736" t="str">
        <f>IF(D_ETS1Amounts!I615="","",D_ETS1Amounts!I615)</f>
        <v/>
      </c>
      <c r="H364" s="736" t="str">
        <f>IF(D_ETS1Amounts!J615="","",D_ETS1Amounts!J615)</f>
        <v/>
      </c>
      <c r="I364" s="736" t="str">
        <f>IF(D_ETS1Amounts!K615="","",D_ETS1Amounts!K615)</f>
        <v/>
      </c>
      <c r="J364" s="736" t="str">
        <f>IF(D_ETS1Amounts!L615="","",D_ETS1Amounts!L615)</f>
        <v/>
      </c>
      <c r="K364" s="736" t="str">
        <f>IF(D_ETS1Amounts!M615="","",D_ETS1Amounts!M615)</f>
        <v/>
      </c>
      <c r="L364" s="737" t="str">
        <f>IF(D_ETS1Amounts!N615="","",D_ETS1Amounts!N615)</f>
        <v/>
      </c>
      <c r="M364" s="681"/>
    </row>
    <row r="365" spans="1:13" hidden="1" x14ac:dyDescent="0.25">
      <c r="A365" s="674" t="s">
        <v>0</v>
      </c>
      <c r="B365" s="679"/>
      <c r="D365" s="496">
        <v>76</v>
      </c>
      <c r="E365" s="736" t="str">
        <f>D_ETS1Amounts!F616</f>
        <v/>
      </c>
      <c r="F365" s="736" t="str">
        <f>IF(D_ETS1Amounts!H616="","",D_ETS1Amounts!H616)</f>
        <v/>
      </c>
      <c r="G365" s="736" t="str">
        <f>IF(D_ETS1Amounts!I616="","",D_ETS1Amounts!I616)</f>
        <v/>
      </c>
      <c r="H365" s="736" t="str">
        <f>IF(D_ETS1Amounts!J616="","",D_ETS1Amounts!J616)</f>
        <v/>
      </c>
      <c r="I365" s="736" t="str">
        <f>IF(D_ETS1Amounts!K616="","",D_ETS1Amounts!K616)</f>
        <v/>
      </c>
      <c r="J365" s="736" t="str">
        <f>IF(D_ETS1Amounts!L616="","",D_ETS1Amounts!L616)</f>
        <v/>
      </c>
      <c r="K365" s="736" t="str">
        <f>IF(D_ETS1Amounts!M616="","",D_ETS1Amounts!M616)</f>
        <v/>
      </c>
      <c r="L365" s="737" t="str">
        <f>IF(D_ETS1Amounts!N616="","",D_ETS1Amounts!N616)</f>
        <v/>
      </c>
      <c r="M365" s="681"/>
    </row>
    <row r="366" spans="1:13" hidden="1" x14ac:dyDescent="0.25">
      <c r="A366" s="674" t="s">
        <v>0</v>
      </c>
      <c r="B366" s="679"/>
      <c r="D366" s="496">
        <v>77</v>
      </c>
      <c r="E366" s="736" t="str">
        <f>D_ETS1Amounts!F617</f>
        <v/>
      </c>
      <c r="F366" s="736" t="str">
        <f>IF(D_ETS1Amounts!H617="","",D_ETS1Amounts!H617)</f>
        <v/>
      </c>
      <c r="G366" s="736" t="str">
        <f>IF(D_ETS1Amounts!I617="","",D_ETS1Amounts!I617)</f>
        <v/>
      </c>
      <c r="H366" s="736" t="str">
        <f>IF(D_ETS1Amounts!J617="","",D_ETS1Amounts!J617)</f>
        <v/>
      </c>
      <c r="I366" s="736" t="str">
        <f>IF(D_ETS1Amounts!K617="","",D_ETS1Amounts!K617)</f>
        <v/>
      </c>
      <c r="J366" s="736" t="str">
        <f>IF(D_ETS1Amounts!L617="","",D_ETS1Amounts!L617)</f>
        <v/>
      </c>
      <c r="K366" s="736" t="str">
        <f>IF(D_ETS1Amounts!M617="","",D_ETS1Amounts!M617)</f>
        <v/>
      </c>
      <c r="L366" s="737" t="str">
        <f>IF(D_ETS1Amounts!N617="","",D_ETS1Amounts!N617)</f>
        <v/>
      </c>
      <c r="M366" s="681"/>
    </row>
    <row r="367" spans="1:13" hidden="1" x14ac:dyDescent="0.25">
      <c r="A367" s="674" t="s">
        <v>0</v>
      </c>
      <c r="B367" s="679"/>
      <c r="D367" s="496">
        <v>78</v>
      </c>
      <c r="E367" s="736" t="str">
        <f>D_ETS1Amounts!F618</f>
        <v/>
      </c>
      <c r="F367" s="736" t="str">
        <f>IF(D_ETS1Amounts!H618="","",D_ETS1Amounts!H618)</f>
        <v/>
      </c>
      <c r="G367" s="736" t="str">
        <f>IF(D_ETS1Amounts!I618="","",D_ETS1Amounts!I618)</f>
        <v/>
      </c>
      <c r="H367" s="736" t="str">
        <f>IF(D_ETS1Amounts!J618="","",D_ETS1Amounts!J618)</f>
        <v/>
      </c>
      <c r="I367" s="736" t="str">
        <f>IF(D_ETS1Amounts!K618="","",D_ETS1Amounts!K618)</f>
        <v/>
      </c>
      <c r="J367" s="736" t="str">
        <f>IF(D_ETS1Amounts!L618="","",D_ETS1Amounts!L618)</f>
        <v/>
      </c>
      <c r="K367" s="736" t="str">
        <f>IF(D_ETS1Amounts!M618="","",D_ETS1Amounts!M618)</f>
        <v/>
      </c>
      <c r="L367" s="737" t="str">
        <f>IF(D_ETS1Amounts!N618="","",D_ETS1Amounts!N618)</f>
        <v/>
      </c>
      <c r="M367" s="681"/>
    </row>
    <row r="368" spans="1:13" hidden="1" x14ac:dyDescent="0.25">
      <c r="A368" s="674" t="s">
        <v>0</v>
      </c>
      <c r="B368" s="679"/>
      <c r="D368" s="496">
        <v>79</v>
      </c>
      <c r="E368" s="736" t="str">
        <f>D_ETS1Amounts!F619</f>
        <v/>
      </c>
      <c r="F368" s="736" t="str">
        <f>IF(D_ETS1Amounts!H619="","",D_ETS1Amounts!H619)</f>
        <v/>
      </c>
      <c r="G368" s="736" t="str">
        <f>IF(D_ETS1Amounts!I619="","",D_ETS1Amounts!I619)</f>
        <v/>
      </c>
      <c r="H368" s="736" t="str">
        <f>IF(D_ETS1Amounts!J619="","",D_ETS1Amounts!J619)</f>
        <v/>
      </c>
      <c r="I368" s="736" t="str">
        <f>IF(D_ETS1Amounts!K619="","",D_ETS1Amounts!K619)</f>
        <v/>
      </c>
      <c r="J368" s="736" t="str">
        <f>IF(D_ETS1Amounts!L619="","",D_ETS1Amounts!L619)</f>
        <v/>
      </c>
      <c r="K368" s="736" t="str">
        <f>IF(D_ETS1Amounts!M619="","",D_ETS1Amounts!M619)</f>
        <v/>
      </c>
      <c r="L368" s="737" t="str">
        <f>IF(D_ETS1Amounts!N619="","",D_ETS1Amounts!N619)</f>
        <v/>
      </c>
      <c r="M368" s="681"/>
    </row>
    <row r="369" spans="1:13" hidden="1" x14ac:dyDescent="0.25">
      <c r="A369" s="674" t="s">
        <v>0</v>
      </c>
      <c r="B369" s="679"/>
      <c r="D369" s="496">
        <v>80</v>
      </c>
      <c r="E369" s="736" t="str">
        <f>D_ETS1Amounts!F620</f>
        <v/>
      </c>
      <c r="F369" s="736" t="str">
        <f>IF(D_ETS1Amounts!H620="","",D_ETS1Amounts!H620)</f>
        <v/>
      </c>
      <c r="G369" s="736" t="str">
        <f>IF(D_ETS1Amounts!I620="","",D_ETS1Amounts!I620)</f>
        <v/>
      </c>
      <c r="H369" s="736" t="str">
        <f>IF(D_ETS1Amounts!J620="","",D_ETS1Amounts!J620)</f>
        <v/>
      </c>
      <c r="I369" s="736" t="str">
        <f>IF(D_ETS1Amounts!K620="","",D_ETS1Amounts!K620)</f>
        <v/>
      </c>
      <c r="J369" s="736" t="str">
        <f>IF(D_ETS1Amounts!L620="","",D_ETS1Amounts!L620)</f>
        <v/>
      </c>
      <c r="K369" s="736" t="str">
        <f>IF(D_ETS1Amounts!M620="","",D_ETS1Amounts!M620)</f>
        <v/>
      </c>
      <c r="L369" s="737" t="str">
        <f>IF(D_ETS1Amounts!N620="","",D_ETS1Amounts!N620)</f>
        <v/>
      </c>
      <c r="M369" s="681"/>
    </row>
    <row r="370" spans="1:13" hidden="1" x14ac:dyDescent="0.25">
      <c r="A370" s="674" t="s">
        <v>0</v>
      </c>
      <c r="B370" s="679"/>
      <c r="D370" s="496">
        <v>81</v>
      </c>
      <c r="E370" s="736" t="str">
        <f>D_ETS1Amounts!F621</f>
        <v/>
      </c>
      <c r="F370" s="736" t="str">
        <f>IF(D_ETS1Amounts!H621="","",D_ETS1Amounts!H621)</f>
        <v/>
      </c>
      <c r="G370" s="736" t="str">
        <f>IF(D_ETS1Amounts!I621="","",D_ETS1Amounts!I621)</f>
        <v/>
      </c>
      <c r="H370" s="736" t="str">
        <f>IF(D_ETS1Amounts!J621="","",D_ETS1Amounts!J621)</f>
        <v/>
      </c>
      <c r="I370" s="736" t="str">
        <f>IF(D_ETS1Amounts!K621="","",D_ETS1Amounts!K621)</f>
        <v/>
      </c>
      <c r="J370" s="736" t="str">
        <f>IF(D_ETS1Amounts!L621="","",D_ETS1Amounts!L621)</f>
        <v/>
      </c>
      <c r="K370" s="736" t="str">
        <f>IF(D_ETS1Amounts!M621="","",D_ETS1Amounts!M621)</f>
        <v/>
      </c>
      <c r="L370" s="737" t="str">
        <f>IF(D_ETS1Amounts!N621="","",D_ETS1Amounts!N621)</f>
        <v/>
      </c>
      <c r="M370" s="681"/>
    </row>
    <row r="371" spans="1:13" hidden="1" x14ac:dyDescent="0.25">
      <c r="A371" s="674" t="s">
        <v>0</v>
      </c>
      <c r="B371" s="679"/>
      <c r="D371" s="496">
        <v>82</v>
      </c>
      <c r="E371" s="736" t="str">
        <f>D_ETS1Amounts!F622</f>
        <v/>
      </c>
      <c r="F371" s="736" t="str">
        <f>IF(D_ETS1Amounts!H622="","",D_ETS1Amounts!H622)</f>
        <v/>
      </c>
      <c r="G371" s="736" t="str">
        <f>IF(D_ETS1Amounts!I622="","",D_ETS1Amounts!I622)</f>
        <v/>
      </c>
      <c r="H371" s="736" t="str">
        <f>IF(D_ETS1Amounts!J622="","",D_ETS1Amounts!J622)</f>
        <v/>
      </c>
      <c r="I371" s="736" t="str">
        <f>IF(D_ETS1Amounts!K622="","",D_ETS1Amounts!K622)</f>
        <v/>
      </c>
      <c r="J371" s="736" t="str">
        <f>IF(D_ETS1Amounts!L622="","",D_ETS1Amounts!L622)</f>
        <v/>
      </c>
      <c r="K371" s="736" t="str">
        <f>IF(D_ETS1Amounts!M622="","",D_ETS1Amounts!M622)</f>
        <v/>
      </c>
      <c r="L371" s="737" t="str">
        <f>IF(D_ETS1Amounts!N622="","",D_ETS1Amounts!N622)</f>
        <v/>
      </c>
      <c r="M371" s="681"/>
    </row>
    <row r="372" spans="1:13" hidden="1" x14ac:dyDescent="0.25">
      <c r="A372" s="674" t="s">
        <v>0</v>
      </c>
      <c r="B372" s="679"/>
      <c r="D372" s="496">
        <v>83</v>
      </c>
      <c r="E372" s="736" t="str">
        <f>D_ETS1Amounts!F623</f>
        <v/>
      </c>
      <c r="F372" s="736" t="str">
        <f>IF(D_ETS1Amounts!H623="","",D_ETS1Amounts!H623)</f>
        <v/>
      </c>
      <c r="G372" s="736" t="str">
        <f>IF(D_ETS1Amounts!I623="","",D_ETS1Amounts!I623)</f>
        <v/>
      </c>
      <c r="H372" s="736" t="str">
        <f>IF(D_ETS1Amounts!J623="","",D_ETS1Amounts!J623)</f>
        <v/>
      </c>
      <c r="I372" s="736" t="str">
        <f>IF(D_ETS1Amounts!K623="","",D_ETS1Amounts!K623)</f>
        <v/>
      </c>
      <c r="J372" s="736" t="str">
        <f>IF(D_ETS1Amounts!L623="","",D_ETS1Amounts!L623)</f>
        <v/>
      </c>
      <c r="K372" s="736" t="str">
        <f>IF(D_ETS1Amounts!M623="","",D_ETS1Amounts!M623)</f>
        <v/>
      </c>
      <c r="L372" s="737" t="str">
        <f>IF(D_ETS1Amounts!N623="","",D_ETS1Amounts!N623)</f>
        <v/>
      </c>
      <c r="M372" s="681"/>
    </row>
    <row r="373" spans="1:13" hidden="1" x14ac:dyDescent="0.25">
      <c r="A373" s="674" t="s">
        <v>0</v>
      </c>
      <c r="B373" s="679"/>
      <c r="D373" s="496">
        <v>84</v>
      </c>
      <c r="E373" s="736" t="str">
        <f>D_ETS1Amounts!F624</f>
        <v/>
      </c>
      <c r="F373" s="736" t="str">
        <f>IF(D_ETS1Amounts!H624="","",D_ETS1Amounts!H624)</f>
        <v/>
      </c>
      <c r="G373" s="736" t="str">
        <f>IF(D_ETS1Amounts!I624="","",D_ETS1Amounts!I624)</f>
        <v/>
      </c>
      <c r="H373" s="736" t="str">
        <f>IF(D_ETS1Amounts!J624="","",D_ETS1Amounts!J624)</f>
        <v/>
      </c>
      <c r="I373" s="736" t="str">
        <f>IF(D_ETS1Amounts!K624="","",D_ETS1Amounts!K624)</f>
        <v/>
      </c>
      <c r="J373" s="736" t="str">
        <f>IF(D_ETS1Amounts!L624="","",D_ETS1Amounts!L624)</f>
        <v/>
      </c>
      <c r="K373" s="736" t="str">
        <f>IF(D_ETS1Amounts!M624="","",D_ETS1Amounts!M624)</f>
        <v/>
      </c>
      <c r="L373" s="737" t="str">
        <f>IF(D_ETS1Amounts!N624="","",D_ETS1Amounts!N624)</f>
        <v/>
      </c>
      <c r="M373" s="681"/>
    </row>
    <row r="374" spans="1:13" hidden="1" x14ac:dyDescent="0.25">
      <c r="A374" s="674" t="s">
        <v>0</v>
      </c>
      <c r="B374" s="679"/>
      <c r="D374" s="496">
        <v>85</v>
      </c>
      <c r="E374" s="736" t="str">
        <f>D_ETS1Amounts!F625</f>
        <v/>
      </c>
      <c r="F374" s="736" t="str">
        <f>IF(D_ETS1Amounts!H625="","",D_ETS1Amounts!H625)</f>
        <v/>
      </c>
      <c r="G374" s="736" t="str">
        <f>IF(D_ETS1Amounts!I625="","",D_ETS1Amounts!I625)</f>
        <v/>
      </c>
      <c r="H374" s="736" t="str">
        <f>IF(D_ETS1Amounts!J625="","",D_ETS1Amounts!J625)</f>
        <v/>
      </c>
      <c r="I374" s="736" t="str">
        <f>IF(D_ETS1Amounts!K625="","",D_ETS1Amounts!K625)</f>
        <v/>
      </c>
      <c r="J374" s="736" t="str">
        <f>IF(D_ETS1Amounts!L625="","",D_ETS1Amounts!L625)</f>
        <v/>
      </c>
      <c r="K374" s="736" t="str">
        <f>IF(D_ETS1Amounts!M625="","",D_ETS1Amounts!M625)</f>
        <v/>
      </c>
      <c r="L374" s="737" t="str">
        <f>IF(D_ETS1Amounts!N625="","",D_ETS1Amounts!N625)</f>
        <v/>
      </c>
      <c r="M374" s="681"/>
    </row>
    <row r="375" spans="1:13" hidden="1" x14ac:dyDescent="0.25">
      <c r="A375" s="674" t="s">
        <v>0</v>
      </c>
      <c r="B375" s="679"/>
      <c r="D375" s="496">
        <v>86</v>
      </c>
      <c r="E375" s="736" t="str">
        <f>D_ETS1Amounts!F626</f>
        <v/>
      </c>
      <c r="F375" s="736" t="str">
        <f>IF(D_ETS1Amounts!H626="","",D_ETS1Amounts!H626)</f>
        <v/>
      </c>
      <c r="G375" s="736" t="str">
        <f>IF(D_ETS1Amounts!I626="","",D_ETS1Amounts!I626)</f>
        <v/>
      </c>
      <c r="H375" s="736" t="str">
        <f>IF(D_ETS1Amounts!J626="","",D_ETS1Amounts!J626)</f>
        <v/>
      </c>
      <c r="I375" s="736" t="str">
        <f>IF(D_ETS1Amounts!K626="","",D_ETS1Amounts!K626)</f>
        <v/>
      </c>
      <c r="J375" s="736" t="str">
        <f>IF(D_ETS1Amounts!L626="","",D_ETS1Amounts!L626)</f>
        <v/>
      </c>
      <c r="K375" s="736" t="str">
        <f>IF(D_ETS1Amounts!M626="","",D_ETS1Amounts!M626)</f>
        <v/>
      </c>
      <c r="L375" s="737" t="str">
        <f>IF(D_ETS1Amounts!N626="","",D_ETS1Amounts!N626)</f>
        <v/>
      </c>
      <c r="M375" s="681"/>
    </row>
    <row r="376" spans="1:13" hidden="1" x14ac:dyDescent="0.25">
      <c r="A376" s="674" t="s">
        <v>0</v>
      </c>
      <c r="B376" s="679"/>
      <c r="D376" s="496">
        <v>87</v>
      </c>
      <c r="E376" s="736" t="str">
        <f>D_ETS1Amounts!F627</f>
        <v/>
      </c>
      <c r="F376" s="736" t="str">
        <f>IF(D_ETS1Amounts!H627="","",D_ETS1Amounts!H627)</f>
        <v/>
      </c>
      <c r="G376" s="736" t="str">
        <f>IF(D_ETS1Amounts!I627="","",D_ETS1Amounts!I627)</f>
        <v/>
      </c>
      <c r="H376" s="736" t="str">
        <f>IF(D_ETS1Amounts!J627="","",D_ETS1Amounts!J627)</f>
        <v/>
      </c>
      <c r="I376" s="736" t="str">
        <f>IF(D_ETS1Amounts!K627="","",D_ETS1Amounts!K627)</f>
        <v/>
      </c>
      <c r="J376" s="736" t="str">
        <f>IF(D_ETS1Amounts!L627="","",D_ETS1Amounts!L627)</f>
        <v/>
      </c>
      <c r="K376" s="736" t="str">
        <f>IF(D_ETS1Amounts!M627="","",D_ETS1Amounts!M627)</f>
        <v/>
      </c>
      <c r="L376" s="737" t="str">
        <f>IF(D_ETS1Amounts!N627="","",D_ETS1Amounts!N627)</f>
        <v/>
      </c>
      <c r="M376" s="681"/>
    </row>
    <row r="377" spans="1:13" hidden="1" x14ac:dyDescent="0.25">
      <c r="A377" s="674" t="s">
        <v>0</v>
      </c>
      <c r="B377" s="679"/>
      <c r="D377" s="496">
        <v>88</v>
      </c>
      <c r="E377" s="736" t="str">
        <f>D_ETS1Amounts!F628</f>
        <v/>
      </c>
      <c r="F377" s="736" t="str">
        <f>IF(D_ETS1Amounts!H628="","",D_ETS1Amounts!H628)</f>
        <v/>
      </c>
      <c r="G377" s="736" t="str">
        <f>IF(D_ETS1Amounts!I628="","",D_ETS1Amounts!I628)</f>
        <v/>
      </c>
      <c r="H377" s="736" t="str">
        <f>IF(D_ETS1Amounts!J628="","",D_ETS1Amounts!J628)</f>
        <v/>
      </c>
      <c r="I377" s="736" t="str">
        <f>IF(D_ETS1Amounts!K628="","",D_ETS1Amounts!K628)</f>
        <v/>
      </c>
      <c r="J377" s="736" t="str">
        <f>IF(D_ETS1Amounts!L628="","",D_ETS1Amounts!L628)</f>
        <v/>
      </c>
      <c r="K377" s="736" t="str">
        <f>IF(D_ETS1Amounts!M628="","",D_ETS1Amounts!M628)</f>
        <v/>
      </c>
      <c r="L377" s="737" t="str">
        <f>IF(D_ETS1Amounts!N628="","",D_ETS1Amounts!N628)</f>
        <v/>
      </c>
      <c r="M377" s="681"/>
    </row>
    <row r="378" spans="1:13" hidden="1" x14ac:dyDescent="0.25">
      <c r="A378" s="674" t="s">
        <v>0</v>
      </c>
      <c r="B378" s="679"/>
      <c r="D378" s="496">
        <v>89</v>
      </c>
      <c r="E378" s="736" t="str">
        <f>D_ETS1Amounts!F629</f>
        <v/>
      </c>
      <c r="F378" s="736" t="str">
        <f>IF(D_ETS1Amounts!H629="","",D_ETS1Amounts!H629)</f>
        <v/>
      </c>
      <c r="G378" s="736" t="str">
        <f>IF(D_ETS1Amounts!I629="","",D_ETS1Amounts!I629)</f>
        <v/>
      </c>
      <c r="H378" s="736" t="str">
        <f>IF(D_ETS1Amounts!J629="","",D_ETS1Amounts!J629)</f>
        <v/>
      </c>
      <c r="I378" s="736" t="str">
        <f>IF(D_ETS1Amounts!K629="","",D_ETS1Amounts!K629)</f>
        <v/>
      </c>
      <c r="J378" s="736" t="str">
        <f>IF(D_ETS1Amounts!L629="","",D_ETS1Amounts!L629)</f>
        <v/>
      </c>
      <c r="K378" s="736" t="str">
        <f>IF(D_ETS1Amounts!M629="","",D_ETS1Amounts!M629)</f>
        <v/>
      </c>
      <c r="L378" s="737" t="str">
        <f>IF(D_ETS1Amounts!N629="","",D_ETS1Amounts!N629)</f>
        <v/>
      </c>
      <c r="M378" s="681"/>
    </row>
    <row r="379" spans="1:13" hidden="1" x14ac:dyDescent="0.25">
      <c r="A379" s="674" t="s">
        <v>0</v>
      </c>
      <c r="B379" s="679"/>
      <c r="D379" s="496">
        <v>90</v>
      </c>
      <c r="E379" s="736" t="str">
        <f>D_ETS1Amounts!F630</f>
        <v/>
      </c>
      <c r="F379" s="736" t="str">
        <f>IF(D_ETS1Amounts!H630="","",D_ETS1Amounts!H630)</f>
        <v/>
      </c>
      <c r="G379" s="736" t="str">
        <f>IF(D_ETS1Amounts!I630="","",D_ETS1Amounts!I630)</f>
        <v/>
      </c>
      <c r="H379" s="736" t="str">
        <f>IF(D_ETS1Amounts!J630="","",D_ETS1Amounts!J630)</f>
        <v/>
      </c>
      <c r="I379" s="736" t="str">
        <f>IF(D_ETS1Amounts!K630="","",D_ETS1Amounts!K630)</f>
        <v/>
      </c>
      <c r="J379" s="736" t="str">
        <f>IF(D_ETS1Amounts!L630="","",D_ETS1Amounts!L630)</f>
        <v/>
      </c>
      <c r="K379" s="736" t="str">
        <f>IF(D_ETS1Amounts!M630="","",D_ETS1Amounts!M630)</f>
        <v/>
      </c>
      <c r="L379" s="737" t="str">
        <f>IF(D_ETS1Amounts!N630="","",D_ETS1Amounts!N630)</f>
        <v/>
      </c>
      <c r="M379" s="681"/>
    </row>
    <row r="380" spans="1:13" hidden="1" x14ac:dyDescent="0.25">
      <c r="A380" s="674" t="s">
        <v>0</v>
      </c>
      <c r="B380" s="679"/>
      <c r="D380" s="496">
        <v>91</v>
      </c>
      <c r="E380" s="736" t="str">
        <f>D_ETS1Amounts!F631</f>
        <v/>
      </c>
      <c r="F380" s="736" t="str">
        <f>IF(D_ETS1Amounts!H631="","",D_ETS1Amounts!H631)</f>
        <v/>
      </c>
      <c r="G380" s="736" t="str">
        <f>IF(D_ETS1Amounts!I631="","",D_ETS1Amounts!I631)</f>
        <v/>
      </c>
      <c r="H380" s="736" t="str">
        <f>IF(D_ETS1Amounts!J631="","",D_ETS1Amounts!J631)</f>
        <v/>
      </c>
      <c r="I380" s="736" t="str">
        <f>IF(D_ETS1Amounts!K631="","",D_ETS1Amounts!K631)</f>
        <v/>
      </c>
      <c r="J380" s="736" t="str">
        <f>IF(D_ETS1Amounts!L631="","",D_ETS1Amounts!L631)</f>
        <v/>
      </c>
      <c r="K380" s="736" t="str">
        <f>IF(D_ETS1Amounts!M631="","",D_ETS1Amounts!M631)</f>
        <v/>
      </c>
      <c r="L380" s="737" t="str">
        <f>IF(D_ETS1Amounts!N631="","",D_ETS1Amounts!N631)</f>
        <v/>
      </c>
      <c r="M380" s="681"/>
    </row>
    <row r="381" spans="1:13" hidden="1" x14ac:dyDescent="0.25">
      <c r="A381" s="674" t="s">
        <v>0</v>
      </c>
      <c r="B381" s="679"/>
      <c r="D381" s="496">
        <v>92</v>
      </c>
      <c r="E381" s="736" t="str">
        <f>D_ETS1Amounts!F632</f>
        <v/>
      </c>
      <c r="F381" s="736" t="str">
        <f>IF(D_ETS1Amounts!H632="","",D_ETS1Amounts!H632)</f>
        <v/>
      </c>
      <c r="G381" s="736" t="str">
        <f>IF(D_ETS1Amounts!I632="","",D_ETS1Amounts!I632)</f>
        <v/>
      </c>
      <c r="H381" s="736" t="str">
        <f>IF(D_ETS1Amounts!J632="","",D_ETS1Amounts!J632)</f>
        <v/>
      </c>
      <c r="I381" s="736" t="str">
        <f>IF(D_ETS1Amounts!K632="","",D_ETS1Amounts!K632)</f>
        <v/>
      </c>
      <c r="J381" s="736" t="str">
        <f>IF(D_ETS1Amounts!L632="","",D_ETS1Amounts!L632)</f>
        <v/>
      </c>
      <c r="K381" s="736" t="str">
        <f>IF(D_ETS1Amounts!M632="","",D_ETS1Amounts!M632)</f>
        <v/>
      </c>
      <c r="L381" s="737" t="str">
        <f>IF(D_ETS1Amounts!N632="","",D_ETS1Amounts!N632)</f>
        <v/>
      </c>
      <c r="M381" s="681"/>
    </row>
    <row r="382" spans="1:13" hidden="1" x14ac:dyDescent="0.25">
      <c r="A382" s="674" t="s">
        <v>0</v>
      </c>
      <c r="B382" s="679"/>
      <c r="D382" s="496">
        <v>93</v>
      </c>
      <c r="E382" s="736" t="str">
        <f>D_ETS1Amounts!F633</f>
        <v/>
      </c>
      <c r="F382" s="736" t="str">
        <f>IF(D_ETS1Amounts!H633="","",D_ETS1Amounts!H633)</f>
        <v/>
      </c>
      <c r="G382" s="736" t="str">
        <f>IF(D_ETS1Amounts!I633="","",D_ETS1Amounts!I633)</f>
        <v/>
      </c>
      <c r="H382" s="736" t="str">
        <f>IF(D_ETS1Amounts!J633="","",D_ETS1Amounts!J633)</f>
        <v/>
      </c>
      <c r="I382" s="736" t="str">
        <f>IF(D_ETS1Amounts!K633="","",D_ETS1Amounts!K633)</f>
        <v/>
      </c>
      <c r="J382" s="736" t="str">
        <f>IF(D_ETS1Amounts!L633="","",D_ETS1Amounts!L633)</f>
        <v/>
      </c>
      <c r="K382" s="736" t="str">
        <f>IF(D_ETS1Amounts!M633="","",D_ETS1Amounts!M633)</f>
        <v/>
      </c>
      <c r="L382" s="737" t="str">
        <f>IF(D_ETS1Amounts!N633="","",D_ETS1Amounts!N633)</f>
        <v/>
      </c>
      <c r="M382" s="681"/>
    </row>
    <row r="383" spans="1:13" hidden="1" x14ac:dyDescent="0.25">
      <c r="A383" s="674" t="s">
        <v>0</v>
      </c>
      <c r="B383" s="679"/>
      <c r="D383" s="496">
        <v>94</v>
      </c>
      <c r="E383" s="736" t="str">
        <f>D_ETS1Amounts!F634</f>
        <v/>
      </c>
      <c r="F383" s="736" t="str">
        <f>IF(D_ETS1Amounts!H634="","",D_ETS1Amounts!H634)</f>
        <v/>
      </c>
      <c r="G383" s="736" t="str">
        <f>IF(D_ETS1Amounts!I634="","",D_ETS1Amounts!I634)</f>
        <v/>
      </c>
      <c r="H383" s="736" t="str">
        <f>IF(D_ETS1Amounts!J634="","",D_ETS1Amounts!J634)</f>
        <v/>
      </c>
      <c r="I383" s="736" t="str">
        <f>IF(D_ETS1Amounts!K634="","",D_ETS1Amounts!K634)</f>
        <v/>
      </c>
      <c r="J383" s="736" t="str">
        <f>IF(D_ETS1Amounts!L634="","",D_ETS1Amounts!L634)</f>
        <v/>
      </c>
      <c r="K383" s="736" t="str">
        <f>IF(D_ETS1Amounts!M634="","",D_ETS1Amounts!M634)</f>
        <v/>
      </c>
      <c r="L383" s="737" t="str">
        <f>IF(D_ETS1Amounts!N634="","",D_ETS1Amounts!N634)</f>
        <v/>
      </c>
      <c r="M383" s="681"/>
    </row>
    <row r="384" spans="1:13" hidden="1" x14ac:dyDescent="0.25">
      <c r="A384" s="674" t="s">
        <v>0</v>
      </c>
      <c r="B384" s="679"/>
      <c r="D384" s="496">
        <v>95</v>
      </c>
      <c r="E384" s="736" t="str">
        <f>D_ETS1Amounts!F635</f>
        <v/>
      </c>
      <c r="F384" s="736" t="str">
        <f>IF(D_ETS1Amounts!H635="","",D_ETS1Amounts!H635)</f>
        <v/>
      </c>
      <c r="G384" s="736" t="str">
        <f>IF(D_ETS1Amounts!I635="","",D_ETS1Amounts!I635)</f>
        <v/>
      </c>
      <c r="H384" s="736" t="str">
        <f>IF(D_ETS1Amounts!J635="","",D_ETS1Amounts!J635)</f>
        <v/>
      </c>
      <c r="I384" s="736" t="str">
        <f>IF(D_ETS1Amounts!K635="","",D_ETS1Amounts!K635)</f>
        <v/>
      </c>
      <c r="J384" s="736" t="str">
        <f>IF(D_ETS1Amounts!L635="","",D_ETS1Amounts!L635)</f>
        <v/>
      </c>
      <c r="K384" s="736" t="str">
        <f>IF(D_ETS1Amounts!M635="","",D_ETS1Amounts!M635)</f>
        <v/>
      </c>
      <c r="L384" s="737" t="str">
        <f>IF(D_ETS1Amounts!N635="","",D_ETS1Amounts!N635)</f>
        <v/>
      </c>
      <c r="M384" s="681"/>
    </row>
    <row r="385" spans="1:13" hidden="1" x14ac:dyDescent="0.25">
      <c r="A385" s="674" t="s">
        <v>0</v>
      </c>
      <c r="B385" s="679"/>
      <c r="D385" s="496">
        <v>96</v>
      </c>
      <c r="E385" s="736" t="str">
        <f>D_ETS1Amounts!F636</f>
        <v/>
      </c>
      <c r="F385" s="736" t="str">
        <f>IF(D_ETS1Amounts!H636="","",D_ETS1Amounts!H636)</f>
        <v/>
      </c>
      <c r="G385" s="736" t="str">
        <f>IF(D_ETS1Amounts!I636="","",D_ETS1Amounts!I636)</f>
        <v/>
      </c>
      <c r="H385" s="736" t="str">
        <f>IF(D_ETS1Amounts!J636="","",D_ETS1Amounts!J636)</f>
        <v/>
      </c>
      <c r="I385" s="736" t="str">
        <f>IF(D_ETS1Amounts!K636="","",D_ETS1Amounts!K636)</f>
        <v/>
      </c>
      <c r="J385" s="736" t="str">
        <f>IF(D_ETS1Amounts!L636="","",D_ETS1Amounts!L636)</f>
        <v/>
      </c>
      <c r="K385" s="736" t="str">
        <f>IF(D_ETS1Amounts!M636="","",D_ETS1Amounts!M636)</f>
        <v/>
      </c>
      <c r="L385" s="737" t="str">
        <f>IF(D_ETS1Amounts!N636="","",D_ETS1Amounts!N636)</f>
        <v/>
      </c>
      <c r="M385" s="681"/>
    </row>
    <row r="386" spans="1:13" hidden="1" x14ac:dyDescent="0.25">
      <c r="A386" s="674" t="s">
        <v>0</v>
      </c>
      <c r="B386" s="679"/>
      <c r="D386" s="496">
        <v>97</v>
      </c>
      <c r="E386" s="736" t="str">
        <f>D_ETS1Amounts!F637</f>
        <v/>
      </c>
      <c r="F386" s="736" t="str">
        <f>IF(D_ETS1Amounts!H637="","",D_ETS1Amounts!H637)</f>
        <v/>
      </c>
      <c r="G386" s="736" t="str">
        <f>IF(D_ETS1Amounts!I637="","",D_ETS1Amounts!I637)</f>
        <v/>
      </c>
      <c r="H386" s="736" t="str">
        <f>IF(D_ETS1Amounts!J637="","",D_ETS1Amounts!J637)</f>
        <v/>
      </c>
      <c r="I386" s="736" t="str">
        <f>IF(D_ETS1Amounts!K637="","",D_ETS1Amounts!K637)</f>
        <v/>
      </c>
      <c r="J386" s="736" t="str">
        <f>IF(D_ETS1Amounts!L637="","",D_ETS1Amounts!L637)</f>
        <v/>
      </c>
      <c r="K386" s="736" t="str">
        <f>IF(D_ETS1Amounts!M637="","",D_ETS1Amounts!M637)</f>
        <v/>
      </c>
      <c r="L386" s="737" t="str">
        <f>IF(D_ETS1Amounts!N637="","",D_ETS1Amounts!N637)</f>
        <v/>
      </c>
      <c r="M386" s="681"/>
    </row>
    <row r="387" spans="1:13" hidden="1" x14ac:dyDescent="0.25">
      <c r="A387" s="674" t="s">
        <v>0</v>
      </c>
      <c r="B387" s="679"/>
      <c r="D387" s="496">
        <v>98</v>
      </c>
      <c r="E387" s="736" t="str">
        <f>D_ETS1Amounts!F638</f>
        <v/>
      </c>
      <c r="F387" s="736" t="str">
        <f>IF(D_ETS1Amounts!H638="","",D_ETS1Amounts!H638)</f>
        <v/>
      </c>
      <c r="G387" s="736" t="str">
        <f>IF(D_ETS1Amounts!I638="","",D_ETS1Amounts!I638)</f>
        <v/>
      </c>
      <c r="H387" s="736" t="str">
        <f>IF(D_ETS1Amounts!J638="","",D_ETS1Amounts!J638)</f>
        <v/>
      </c>
      <c r="I387" s="736" t="str">
        <f>IF(D_ETS1Amounts!K638="","",D_ETS1Amounts!K638)</f>
        <v/>
      </c>
      <c r="J387" s="736" t="str">
        <f>IF(D_ETS1Amounts!L638="","",D_ETS1Amounts!L638)</f>
        <v/>
      </c>
      <c r="K387" s="736" t="str">
        <f>IF(D_ETS1Amounts!M638="","",D_ETS1Amounts!M638)</f>
        <v/>
      </c>
      <c r="L387" s="737" t="str">
        <f>IF(D_ETS1Amounts!N638="","",D_ETS1Amounts!N638)</f>
        <v/>
      </c>
      <c r="M387" s="681"/>
    </row>
    <row r="388" spans="1:13" hidden="1" x14ac:dyDescent="0.25">
      <c r="A388" s="674" t="s">
        <v>0</v>
      </c>
      <c r="B388" s="679"/>
      <c r="D388" s="496">
        <v>99</v>
      </c>
      <c r="E388" s="736" t="str">
        <f>D_ETS1Amounts!F639</f>
        <v/>
      </c>
      <c r="F388" s="736" t="str">
        <f>IF(D_ETS1Amounts!H639="","",D_ETS1Amounts!H639)</f>
        <v/>
      </c>
      <c r="G388" s="736" t="str">
        <f>IF(D_ETS1Amounts!I639="","",D_ETS1Amounts!I639)</f>
        <v/>
      </c>
      <c r="H388" s="736" t="str">
        <f>IF(D_ETS1Amounts!J639="","",D_ETS1Amounts!J639)</f>
        <v/>
      </c>
      <c r="I388" s="736" t="str">
        <f>IF(D_ETS1Amounts!K639="","",D_ETS1Amounts!K639)</f>
        <v/>
      </c>
      <c r="J388" s="736" t="str">
        <f>IF(D_ETS1Amounts!L639="","",D_ETS1Amounts!L639)</f>
        <v/>
      </c>
      <c r="K388" s="736" t="str">
        <f>IF(D_ETS1Amounts!M639="","",D_ETS1Amounts!M639)</f>
        <v/>
      </c>
      <c r="L388" s="737" t="str">
        <f>IF(D_ETS1Amounts!N639="","",D_ETS1Amounts!N639)</f>
        <v/>
      </c>
      <c r="M388" s="681"/>
    </row>
    <row r="389" spans="1:13" hidden="1" x14ac:dyDescent="0.25">
      <c r="A389" s="674" t="s">
        <v>0</v>
      </c>
      <c r="B389" s="679"/>
      <c r="D389" s="496">
        <v>100</v>
      </c>
      <c r="E389" s="736" t="str">
        <f>D_ETS1Amounts!F640</f>
        <v/>
      </c>
      <c r="F389" s="736" t="str">
        <f>IF(D_ETS1Amounts!H640="","",D_ETS1Amounts!H640)</f>
        <v/>
      </c>
      <c r="G389" s="736" t="str">
        <f>IF(D_ETS1Amounts!I640="","",D_ETS1Amounts!I640)</f>
        <v/>
      </c>
      <c r="H389" s="736" t="str">
        <f>IF(D_ETS1Amounts!J640="","",D_ETS1Amounts!J640)</f>
        <v/>
      </c>
      <c r="I389" s="736" t="str">
        <f>IF(D_ETS1Amounts!K640="","",D_ETS1Amounts!K640)</f>
        <v/>
      </c>
      <c r="J389" s="736" t="str">
        <f>IF(D_ETS1Amounts!L640="","",D_ETS1Amounts!L640)</f>
        <v/>
      </c>
      <c r="K389" s="736" t="str">
        <f>IF(D_ETS1Amounts!M640="","",D_ETS1Amounts!M640)</f>
        <v/>
      </c>
      <c r="L389" s="737" t="str">
        <f>IF(D_ETS1Amounts!N640="","",D_ETS1Amounts!N640)</f>
        <v/>
      </c>
      <c r="M389" s="681"/>
    </row>
    <row r="390" spans="1:13" hidden="1" x14ac:dyDescent="0.25">
      <c r="A390" s="674" t="s">
        <v>0</v>
      </c>
      <c r="B390" s="679"/>
      <c r="D390" s="496">
        <v>101</v>
      </c>
      <c r="E390" s="736" t="str">
        <f>D_ETS1Amounts!F641</f>
        <v/>
      </c>
      <c r="F390" s="736" t="str">
        <f>IF(D_ETS1Amounts!H641="","",D_ETS1Amounts!H641)</f>
        <v/>
      </c>
      <c r="G390" s="736" t="str">
        <f>IF(D_ETS1Amounts!I641="","",D_ETS1Amounts!I641)</f>
        <v/>
      </c>
      <c r="H390" s="736" t="str">
        <f>IF(D_ETS1Amounts!J641="","",D_ETS1Amounts!J641)</f>
        <v/>
      </c>
      <c r="I390" s="736" t="str">
        <f>IF(D_ETS1Amounts!K641="","",D_ETS1Amounts!K641)</f>
        <v/>
      </c>
      <c r="J390" s="736" t="str">
        <f>IF(D_ETS1Amounts!L641="","",D_ETS1Amounts!L641)</f>
        <v/>
      </c>
      <c r="K390" s="736" t="str">
        <f>IF(D_ETS1Amounts!M641="","",D_ETS1Amounts!M641)</f>
        <v/>
      </c>
      <c r="L390" s="737" t="str">
        <f>IF(D_ETS1Amounts!N641="","",D_ETS1Amounts!N641)</f>
        <v/>
      </c>
      <c r="M390" s="681"/>
    </row>
    <row r="391" spans="1:13" hidden="1" x14ac:dyDescent="0.25">
      <c r="A391" s="674" t="s">
        <v>0</v>
      </c>
      <c r="B391" s="679"/>
      <c r="D391" s="496">
        <v>102</v>
      </c>
      <c r="E391" s="736" t="str">
        <f>D_ETS1Amounts!F642</f>
        <v/>
      </c>
      <c r="F391" s="736" t="str">
        <f>IF(D_ETS1Amounts!H642="","",D_ETS1Amounts!H642)</f>
        <v/>
      </c>
      <c r="G391" s="736" t="str">
        <f>IF(D_ETS1Amounts!I642="","",D_ETS1Amounts!I642)</f>
        <v/>
      </c>
      <c r="H391" s="736" t="str">
        <f>IF(D_ETS1Amounts!J642="","",D_ETS1Amounts!J642)</f>
        <v/>
      </c>
      <c r="I391" s="736" t="str">
        <f>IF(D_ETS1Amounts!K642="","",D_ETS1Amounts!K642)</f>
        <v/>
      </c>
      <c r="J391" s="736" t="str">
        <f>IF(D_ETS1Amounts!L642="","",D_ETS1Amounts!L642)</f>
        <v/>
      </c>
      <c r="K391" s="736" t="str">
        <f>IF(D_ETS1Amounts!M642="","",D_ETS1Amounts!M642)</f>
        <v/>
      </c>
      <c r="L391" s="737" t="str">
        <f>IF(D_ETS1Amounts!N642="","",D_ETS1Amounts!N642)</f>
        <v/>
      </c>
      <c r="M391" s="681"/>
    </row>
    <row r="392" spans="1:13" hidden="1" x14ac:dyDescent="0.25">
      <c r="A392" s="674" t="s">
        <v>0</v>
      </c>
      <c r="B392" s="679"/>
      <c r="D392" s="496">
        <v>103</v>
      </c>
      <c r="E392" s="736" t="str">
        <f>D_ETS1Amounts!F643</f>
        <v/>
      </c>
      <c r="F392" s="736" t="str">
        <f>IF(D_ETS1Amounts!H643="","",D_ETS1Amounts!H643)</f>
        <v/>
      </c>
      <c r="G392" s="736" t="str">
        <f>IF(D_ETS1Amounts!I643="","",D_ETS1Amounts!I643)</f>
        <v/>
      </c>
      <c r="H392" s="736" t="str">
        <f>IF(D_ETS1Amounts!J643="","",D_ETS1Amounts!J643)</f>
        <v/>
      </c>
      <c r="I392" s="736" t="str">
        <f>IF(D_ETS1Amounts!K643="","",D_ETS1Amounts!K643)</f>
        <v/>
      </c>
      <c r="J392" s="736" t="str">
        <f>IF(D_ETS1Amounts!L643="","",D_ETS1Amounts!L643)</f>
        <v/>
      </c>
      <c r="K392" s="736" t="str">
        <f>IF(D_ETS1Amounts!M643="","",D_ETS1Amounts!M643)</f>
        <v/>
      </c>
      <c r="L392" s="737" t="str">
        <f>IF(D_ETS1Amounts!N643="","",D_ETS1Amounts!N643)</f>
        <v/>
      </c>
      <c r="M392" s="681"/>
    </row>
    <row r="393" spans="1:13" hidden="1" x14ac:dyDescent="0.25">
      <c r="A393" s="674" t="s">
        <v>0</v>
      </c>
      <c r="B393" s="679"/>
      <c r="D393" s="496">
        <v>104</v>
      </c>
      <c r="E393" s="736" t="str">
        <f>D_ETS1Amounts!F644</f>
        <v/>
      </c>
      <c r="F393" s="736" t="str">
        <f>IF(D_ETS1Amounts!H644="","",D_ETS1Amounts!H644)</f>
        <v/>
      </c>
      <c r="G393" s="736" t="str">
        <f>IF(D_ETS1Amounts!I644="","",D_ETS1Amounts!I644)</f>
        <v/>
      </c>
      <c r="H393" s="736" t="str">
        <f>IF(D_ETS1Amounts!J644="","",D_ETS1Amounts!J644)</f>
        <v/>
      </c>
      <c r="I393" s="736" t="str">
        <f>IF(D_ETS1Amounts!K644="","",D_ETS1Amounts!K644)</f>
        <v/>
      </c>
      <c r="J393" s="736" t="str">
        <f>IF(D_ETS1Amounts!L644="","",D_ETS1Amounts!L644)</f>
        <v/>
      </c>
      <c r="K393" s="736" t="str">
        <f>IF(D_ETS1Amounts!M644="","",D_ETS1Amounts!M644)</f>
        <v/>
      </c>
      <c r="L393" s="737" t="str">
        <f>IF(D_ETS1Amounts!N644="","",D_ETS1Amounts!N644)</f>
        <v/>
      </c>
      <c r="M393" s="681"/>
    </row>
    <row r="394" spans="1:13" hidden="1" x14ac:dyDescent="0.25">
      <c r="A394" s="674" t="s">
        <v>0</v>
      </c>
      <c r="B394" s="679"/>
      <c r="D394" s="496">
        <v>105</v>
      </c>
      <c r="E394" s="736" t="str">
        <f>D_ETS1Amounts!F645</f>
        <v/>
      </c>
      <c r="F394" s="736" t="str">
        <f>IF(D_ETS1Amounts!H645="","",D_ETS1Amounts!H645)</f>
        <v/>
      </c>
      <c r="G394" s="736" t="str">
        <f>IF(D_ETS1Amounts!I645="","",D_ETS1Amounts!I645)</f>
        <v/>
      </c>
      <c r="H394" s="736" t="str">
        <f>IF(D_ETS1Amounts!J645="","",D_ETS1Amounts!J645)</f>
        <v/>
      </c>
      <c r="I394" s="736" t="str">
        <f>IF(D_ETS1Amounts!K645="","",D_ETS1Amounts!K645)</f>
        <v/>
      </c>
      <c r="J394" s="736" t="str">
        <f>IF(D_ETS1Amounts!L645="","",D_ETS1Amounts!L645)</f>
        <v/>
      </c>
      <c r="K394" s="736" t="str">
        <f>IF(D_ETS1Amounts!M645="","",D_ETS1Amounts!M645)</f>
        <v/>
      </c>
      <c r="L394" s="737" t="str">
        <f>IF(D_ETS1Amounts!N645="","",D_ETS1Amounts!N645)</f>
        <v/>
      </c>
      <c r="M394" s="681"/>
    </row>
    <row r="395" spans="1:13" hidden="1" x14ac:dyDescent="0.25">
      <c r="A395" s="674" t="s">
        <v>0</v>
      </c>
      <c r="B395" s="679"/>
      <c r="D395" s="496">
        <v>106</v>
      </c>
      <c r="E395" s="736" t="str">
        <f>D_ETS1Amounts!F646</f>
        <v/>
      </c>
      <c r="F395" s="736" t="str">
        <f>IF(D_ETS1Amounts!H646="","",D_ETS1Amounts!H646)</f>
        <v/>
      </c>
      <c r="G395" s="736" t="str">
        <f>IF(D_ETS1Amounts!I646="","",D_ETS1Amounts!I646)</f>
        <v/>
      </c>
      <c r="H395" s="736" t="str">
        <f>IF(D_ETS1Amounts!J646="","",D_ETS1Amounts!J646)</f>
        <v/>
      </c>
      <c r="I395" s="736" t="str">
        <f>IF(D_ETS1Amounts!K646="","",D_ETS1Amounts!K646)</f>
        <v/>
      </c>
      <c r="J395" s="736" t="str">
        <f>IF(D_ETS1Amounts!L646="","",D_ETS1Amounts!L646)</f>
        <v/>
      </c>
      <c r="K395" s="736" t="str">
        <f>IF(D_ETS1Amounts!M646="","",D_ETS1Amounts!M646)</f>
        <v/>
      </c>
      <c r="L395" s="737" t="str">
        <f>IF(D_ETS1Amounts!N646="","",D_ETS1Amounts!N646)</f>
        <v/>
      </c>
      <c r="M395" s="681"/>
    </row>
    <row r="396" spans="1:13" hidden="1" x14ac:dyDescent="0.25">
      <c r="A396" s="674" t="s">
        <v>0</v>
      </c>
      <c r="B396" s="679"/>
      <c r="D396" s="496">
        <v>107</v>
      </c>
      <c r="E396" s="736" t="str">
        <f>D_ETS1Amounts!F647</f>
        <v/>
      </c>
      <c r="F396" s="736" t="str">
        <f>IF(D_ETS1Amounts!H647="","",D_ETS1Amounts!H647)</f>
        <v/>
      </c>
      <c r="G396" s="736" t="str">
        <f>IF(D_ETS1Amounts!I647="","",D_ETS1Amounts!I647)</f>
        <v/>
      </c>
      <c r="H396" s="736" t="str">
        <f>IF(D_ETS1Amounts!J647="","",D_ETS1Amounts!J647)</f>
        <v/>
      </c>
      <c r="I396" s="736" t="str">
        <f>IF(D_ETS1Amounts!K647="","",D_ETS1Amounts!K647)</f>
        <v/>
      </c>
      <c r="J396" s="736" t="str">
        <f>IF(D_ETS1Amounts!L647="","",D_ETS1Amounts!L647)</f>
        <v/>
      </c>
      <c r="K396" s="736" t="str">
        <f>IF(D_ETS1Amounts!M647="","",D_ETS1Amounts!M647)</f>
        <v/>
      </c>
      <c r="L396" s="737" t="str">
        <f>IF(D_ETS1Amounts!N647="","",D_ETS1Amounts!N647)</f>
        <v/>
      </c>
      <c r="M396" s="681"/>
    </row>
    <row r="397" spans="1:13" hidden="1" x14ac:dyDescent="0.25">
      <c r="A397" s="674" t="s">
        <v>0</v>
      </c>
      <c r="B397" s="679"/>
      <c r="D397" s="496">
        <v>108</v>
      </c>
      <c r="E397" s="736" t="str">
        <f>D_ETS1Amounts!F648</f>
        <v/>
      </c>
      <c r="F397" s="736" t="str">
        <f>IF(D_ETS1Amounts!H648="","",D_ETS1Amounts!H648)</f>
        <v/>
      </c>
      <c r="G397" s="736" t="str">
        <f>IF(D_ETS1Amounts!I648="","",D_ETS1Amounts!I648)</f>
        <v/>
      </c>
      <c r="H397" s="736" t="str">
        <f>IF(D_ETS1Amounts!J648="","",D_ETS1Amounts!J648)</f>
        <v/>
      </c>
      <c r="I397" s="736" t="str">
        <f>IF(D_ETS1Amounts!K648="","",D_ETS1Amounts!K648)</f>
        <v/>
      </c>
      <c r="J397" s="736" t="str">
        <f>IF(D_ETS1Amounts!L648="","",D_ETS1Amounts!L648)</f>
        <v/>
      </c>
      <c r="K397" s="736" t="str">
        <f>IF(D_ETS1Amounts!M648="","",D_ETS1Amounts!M648)</f>
        <v/>
      </c>
      <c r="L397" s="737" t="str">
        <f>IF(D_ETS1Amounts!N648="","",D_ETS1Amounts!N648)</f>
        <v/>
      </c>
      <c r="M397" s="681"/>
    </row>
    <row r="398" spans="1:13" hidden="1" x14ac:dyDescent="0.25">
      <c r="A398" s="674" t="s">
        <v>0</v>
      </c>
      <c r="B398" s="679"/>
      <c r="D398" s="496">
        <v>109</v>
      </c>
      <c r="E398" s="736" t="str">
        <f>D_ETS1Amounts!F649</f>
        <v/>
      </c>
      <c r="F398" s="736" t="str">
        <f>IF(D_ETS1Amounts!H649="","",D_ETS1Amounts!H649)</f>
        <v/>
      </c>
      <c r="G398" s="736" t="str">
        <f>IF(D_ETS1Amounts!I649="","",D_ETS1Amounts!I649)</f>
        <v/>
      </c>
      <c r="H398" s="736" t="str">
        <f>IF(D_ETS1Amounts!J649="","",D_ETS1Amounts!J649)</f>
        <v/>
      </c>
      <c r="I398" s="736" t="str">
        <f>IF(D_ETS1Amounts!K649="","",D_ETS1Amounts!K649)</f>
        <v/>
      </c>
      <c r="J398" s="736" t="str">
        <f>IF(D_ETS1Amounts!L649="","",D_ETS1Amounts!L649)</f>
        <v/>
      </c>
      <c r="K398" s="736" t="str">
        <f>IF(D_ETS1Amounts!M649="","",D_ETS1Amounts!M649)</f>
        <v/>
      </c>
      <c r="L398" s="737" t="str">
        <f>IF(D_ETS1Amounts!N649="","",D_ETS1Amounts!N649)</f>
        <v/>
      </c>
      <c r="M398" s="681"/>
    </row>
    <row r="399" spans="1:13" hidden="1" x14ac:dyDescent="0.25">
      <c r="A399" s="674" t="s">
        <v>0</v>
      </c>
      <c r="B399" s="679"/>
      <c r="D399" s="496">
        <v>110</v>
      </c>
      <c r="E399" s="736" t="str">
        <f>D_ETS1Amounts!F650</f>
        <v/>
      </c>
      <c r="F399" s="736" t="str">
        <f>IF(D_ETS1Amounts!H650="","",D_ETS1Amounts!H650)</f>
        <v/>
      </c>
      <c r="G399" s="736" t="str">
        <f>IF(D_ETS1Amounts!I650="","",D_ETS1Amounts!I650)</f>
        <v/>
      </c>
      <c r="H399" s="736" t="str">
        <f>IF(D_ETS1Amounts!J650="","",D_ETS1Amounts!J650)</f>
        <v/>
      </c>
      <c r="I399" s="736" t="str">
        <f>IF(D_ETS1Amounts!K650="","",D_ETS1Amounts!K650)</f>
        <v/>
      </c>
      <c r="J399" s="736" t="str">
        <f>IF(D_ETS1Amounts!L650="","",D_ETS1Amounts!L650)</f>
        <v/>
      </c>
      <c r="K399" s="736" t="str">
        <f>IF(D_ETS1Amounts!M650="","",D_ETS1Amounts!M650)</f>
        <v/>
      </c>
      <c r="L399" s="737" t="str">
        <f>IF(D_ETS1Amounts!N650="","",D_ETS1Amounts!N650)</f>
        <v/>
      </c>
      <c r="M399" s="681"/>
    </row>
    <row r="400" spans="1:13" hidden="1" x14ac:dyDescent="0.25">
      <c r="A400" s="674" t="s">
        <v>0</v>
      </c>
      <c r="B400" s="679"/>
      <c r="D400" s="496">
        <v>111</v>
      </c>
      <c r="E400" s="736" t="str">
        <f>D_ETS1Amounts!F651</f>
        <v/>
      </c>
      <c r="F400" s="736" t="str">
        <f>IF(D_ETS1Amounts!H651="","",D_ETS1Amounts!H651)</f>
        <v/>
      </c>
      <c r="G400" s="736" t="str">
        <f>IF(D_ETS1Amounts!I651="","",D_ETS1Amounts!I651)</f>
        <v/>
      </c>
      <c r="H400" s="736" t="str">
        <f>IF(D_ETS1Amounts!J651="","",D_ETS1Amounts!J651)</f>
        <v/>
      </c>
      <c r="I400" s="736" t="str">
        <f>IF(D_ETS1Amounts!K651="","",D_ETS1Amounts!K651)</f>
        <v/>
      </c>
      <c r="J400" s="736" t="str">
        <f>IF(D_ETS1Amounts!L651="","",D_ETS1Amounts!L651)</f>
        <v/>
      </c>
      <c r="K400" s="736" t="str">
        <f>IF(D_ETS1Amounts!M651="","",D_ETS1Amounts!M651)</f>
        <v/>
      </c>
      <c r="L400" s="737" t="str">
        <f>IF(D_ETS1Amounts!N651="","",D_ETS1Amounts!N651)</f>
        <v/>
      </c>
      <c r="M400" s="681"/>
    </row>
    <row r="401" spans="1:13" hidden="1" x14ac:dyDescent="0.25">
      <c r="A401" s="674" t="s">
        <v>0</v>
      </c>
      <c r="B401" s="679"/>
      <c r="D401" s="496">
        <v>112</v>
      </c>
      <c r="E401" s="736" t="str">
        <f>D_ETS1Amounts!F652</f>
        <v/>
      </c>
      <c r="F401" s="736" t="str">
        <f>IF(D_ETS1Amounts!H652="","",D_ETS1Amounts!H652)</f>
        <v/>
      </c>
      <c r="G401" s="736" t="str">
        <f>IF(D_ETS1Amounts!I652="","",D_ETS1Amounts!I652)</f>
        <v/>
      </c>
      <c r="H401" s="736" t="str">
        <f>IF(D_ETS1Amounts!J652="","",D_ETS1Amounts!J652)</f>
        <v/>
      </c>
      <c r="I401" s="736" t="str">
        <f>IF(D_ETS1Amounts!K652="","",D_ETS1Amounts!K652)</f>
        <v/>
      </c>
      <c r="J401" s="736" t="str">
        <f>IF(D_ETS1Amounts!L652="","",D_ETS1Amounts!L652)</f>
        <v/>
      </c>
      <c r="K401" s="736" t="str">
        <f>IF(D_ETS1Amounts!M652="","",D_ETS1Amounts!M652)</f>
        <v/>
      </c>
      <c r="L401" s="737" t="str">
        <f>IF(D_ETS1Amounts!N652="","",D_ETS1Amounts!N652)</f>
        <v/>
      </c>
      <c r="M401" s="681"/>
    </row>
    <row r="402" spans="1:13" hidden="1" x14ac:dyDescent="0.25">
      <c r="A402" s="674" t="s">
        <v>0</v>
      </c>
      <c r="B402" s="679"/>
      <c r="D402" s="496">
        <v>113</v>
      </c>
      <c r="E402" s="736" t="str">
        <f>D_ETS1Amounts!F653</f>
        <v/>
      </c>
      <c r="F402" s="736" t="str">
        <f>IF(D_ETS1Amounts!H653="","",D_ETS1Amounts!H653)</f>
        <v/>
      </c>
      <c r="G402" s="736" t="str">
        <f>IF(D_ETS1Amounts!I653="","",D_ETS1Amounts!I653)</f>
        <v/>
      </c>
      <c r="H402" s="736" t="str">
        <f>IF(D_ETS1Amounts!J653="","",D_ETS1Amounts!J653)</f>
        <v/>
      </c>
      <c r="I402" s="736" t="str">
        <f>IF(D_ETS1Amounts!K653="","",D_ETS1Amounts!K653)</f>
        <v/>
      </c>
      <c r="J402" s="736" t="str">
        <f>IF(D_ETS1Amounts!L653="","",D_ETS1Amounts!L653)</f>
        <v/>
      </c>
      <c r="K402" s="736" t="str">
        <f>IF(D_ETS1Amounts!M653="","",D_ETS1Amounts!M653)</f>
        <v/>
      </c>
      <c r="L402" s="737" t="str">
        <f>IF(D_ETS1Amounts!N653="","",D_ETS1Amounts!N653)</f>
        <v/>
      </c>
      <c r="M402" s="681"/>
    </row>
    <row r="403" spans="1:13" hidden="1" x14ac:dyDescent="0.25">
      <c r="A403" s="674" t="s">
        <v>0</v>
      </c>
      <c r="B403" s="679"/>
      <c r="D403" s="496">
        <v>114</v>
      </c>
      <c r="E403" s="736" t="str">
        <f>D_ETS1Amounts!F654</f>
        <v/>
      </c>
      <c r="F403" s="736" t="str">
        <f>IF(D_ETS1Amounts!H654="","",D_ETS1Amounts!H654)</f>
        <v/>
      </c>
      <c r="G403" s="736" t="str">
        <f>IF(D_ETS1Amounts!I654="","",D_ETS1Amounts!I654)</f>
        <v/>
      </c>
      <c r="H403" s="736" t="str">
        <f>IF(D_ETS1Amounts!J654="","",D_ETS1Amounts!J654)</f>
        <v/>
      </c>
      <c r="I403" s="736" t="str">
        <f>IF(D_ETS1Amounts!K654="","",D_ETS1Amounts!K654)</f>
        <v/>
      </c>
      <c r="J403" s="736" t="str">
        <f>IF(D_ETS1Amounts!L654="","",D_ETS1Amounts!L654)</f>
        <v/>
      </c>
      <c r="K403" s="736" t="str">
        <f>IF(D_ETS1Amounts!M654="","",D_ETS1Amounts!M654)</f>
        <v/>
      </c>
      <c r="L403" s="737" t="str">
        <f>IF(D_ETS1Amounts!N654="","",D_ETS1Amounts!N654)</f>
        <v/>
      </c>
      <c r="M403" s="681"/>
    </row>
    <row r="404" spans="1:13" hidden="1" x14ac:dyDescent="0.25">
      <c r="A404" s="674" t="s">
        <v>0</v>
      </c>
      <c r="B404" s="679"/>
      <c r="D404" s="496">
        <v>115</v>
      </c>
      <c r="E404" s="736" t="str">
        <f>D_ETS1Amounts!F655</f>
        <v/>
      </c>
      <c r="F404" s="736" t="str">
        <f>IF(D_ETS1Amounts!H655="","",D_ETS1Amounts!H655)</f>
        <v/>
      </c>
      <c r="G404" s="736" t="str">
        <f>IF(D_ETS1Amounts!I655="","",D_ETS1Amounts!I655)</f>
        <v/>
      </c>
      <c r="H404" s="736" t="str">
        <f>IF(D_ETS1Amounts!J655="","",D_ETS1Amounts!J655)</f>
        <v/>
      </c>
      <c r="I404" s="736" t="str">
        <f>IF(D_ETS1Amounts!K655="","",D_ETS1Amounts!K655)</f>
        <v/>
      </c>
      <c r="J404" s="736" t="str">
        <f>IF(D_ETS1Amounts!L655="","",D_ETS1Amounts!L655)</f>
        <v/>
      </c>
      <c r="K404" s="736" t="str">
        <f>IF(D_ETS1Amounts!M655="","",D_ETS1Amounts!M655)</f>
        <v/>
      </c>
      <c r="L404" s="737" t="str">
        <f>IF(D_ETS1Amounts!N655="","",D_ETS1Amounts!N655)</f>
        <v/>
      </c>
      <c r="M404" s="681"/>
    </row>
    <row r="405" spans="1:13" hidden="1" x14ac:dyDescent="0.25">
      <c r="A405" s="674" t="s">
        <v>0</v>
      </c>
      <c r="B405" s="679"/>
      <c r="D405" s="496">
        <v>116</v>
      </c>
      <c r="E405" s="736" t="str">
        <f>D_ETS1Amounts!F656</f>
        <v/>
      </c>
      <c r="F405" s="736" t="str">
        <f>IF(D_ETS1Amounts!H656="","",D_ETS1Amounts!H656)</f>
        <v/>
      </c>
      <c r="G405" s="736" t="str">
        <f>IF(D_ETS1Amounts!I656="","",D_ETS1Amounts!I656)</f>
        <v/>
      </c>
      <c r="H405" s="736" t="str">
        <f>IF(D_ETS1Amounts!J656="","",D_ETS1Amounts!J656)</f>
        <v/>
      </c>
      <c r="I405" s="736" t="str">
        <f>IF(D_ETS1Amounts!K656="","",D_ETS1Amounts!K656)</f>
        <v/>
      </c>
      <c r="J405" s="736" t="str">
        <f>IF(D_ETS1Amounts!L656="","",D_ETS1Amounts!L656)</f>
        <v/>
      </c>
      <c r="K405" s="736" t="str">
        <f>IF(D_ETS1Amounts!M656="","",D_ETS1Amounts!M656)</f>
        <v/>
      </c>
      <c r="L405" s="737" t="str">
        <f>IF(D_ETS1Amounts!N656="","",D_ETS1Amounts!N656)</f>
        <v/>
      </c>
      <c r="M405" s="681"/>
    </row>
    <row r="406" spans="1:13" hidden="1" x14ac:dyDescent="0.25">
      <c r="A406" s="674" t="s">
        <v>0</v>
      </c>
      <c r="B406" s="679"/>
      <c r="D406" s="496">
        <v>117</v>
      </c>
      <c r="E406" s="736" t="str">
        <f>D_ETS1Amounts!F657</f>
        <v/>
      </c>
      <c r="F406" s="736" t="str">
        <f>IF(D_ETS1Amounts!H657="","",D_ETS1Amounts!H657)</f>
        <v/>
      </c>
      <c r="G406" s="736" t="str">
        <f>IF(D_ETS1Amounts!I657="","",D_ETS1Amounts!I657)</f>
        <v/>
      </c>
      <c r="H406" s="736" t="str">
        <f>IF(D_ETS1Amounts!J657="","",D_ETS1Amounts!J657)</f>
        <v/>
      </c>
      <c r="I406" s="736" t="str">
        <f>IF(D_ETS1Amounts!K657="","",D_ETS1Amounts!K657)</f>
        <v/>
      </c>
      <c r="J406" s="736" t="str">
        <f>IF(D_ETS1Amounts!L657="","",D_ETS1Amounts!L657)</f>
        <v/>
      </c>
      <c r="K406" s="736" t="str">
        <f>IF(D_ETS1Amounts!M657="","",D_ETS1Amounts!M657)</f>
        <v/>
      </c>
      <c r="L406" s="737" t="str">
        <f>IF(D_ETS1Amounts!N657="","",D_ETS1Amounts!N657)</f>
        <v/>
      </c>
      <c r="M406" s="681"/>
    </row>
    <row r="407" spans="1:13" hidden="1" x14ac:dyDescent="0.25">
      <c r="A407" s="674" t="s">
        <v>0</v>
      </c>
      <c r="B407" s="679"/>
      <c r="D407" s="496">
        <v>118</v>
      </c>
      <c r="E407" s="736" t="str">
        <f>D_ETS1Amounts!F658</f>
        <v/>
      </c>
      <c r="F407" s="736" t="str">
        <f>IF(D_ETS1Amounts!H658="","",D_ETS1Amounts!H658)</f>
        <v/>
      </c>
      <c r="G407" s="736" t="str">
        <f>IF(D_ETS1Amounts!I658="","",D_ETS1Amounts!I658)</f>
        <v/>
      </c>
      <c r="H407" s="736" t="str">
        <f>IF(D_ETS1Amounts!J658="","",D_ETS1Amounts!J658)</f>
        <v/>
      </c>
      <c r="I407" s="736" t="str">
        <f>IF(D_ETS1Amounts!K658="","",D_ETS1Amounts!K658)</f>
        <v/>
      </c>
      <c r="J407" s="736" t="str">
        <f>IF(D_ETS1Amounts!L658="","",D_ETS1Amounts!L658)</f>
        <v/>
      </c>
      <c r="K407" s="736" t="str">
        <f>IF(D_ETS1Amounts!M658="","",D_ETS1Amounts!M658)</f>
        <v/>
      </c>
      <c r="L407" s="737" t="str">
        <f>IF(D_ETS1Amounts!N658="","",D_ETS1Amounts!N658)</f>
        <v/>
      </c>
      <c r="M407" s="681"/>
    </row>
    <row r="408" spans="1:13" hidden="1" x14ac:dyDescent="0.25">
      <c r="A408" s="674" t="s">
        <v>0</v>
      </c>
      <c r="B408" s="679"/>
      <c r="D408" s="496">
        <v>119</v>
      </c>
      <c r="E408" s="736" t="str">
        <f>D_ETS1Amounts!F659</f>
        <v/>
      </c>
      <c r="F408" s="736" t="str">
        <f>IF(D_ETS1Amounts!H659="","",D_ETS1Amounts!H659)</f>
        <v/>
      </c>
      <c r="G408" s="736" t="str">
        <f>IF(D_ETS1Amounts!I659="","",D_ETS1Amounts!I659)</f>
        <v/>
      </c>
      <c r="H408" s="736" t="str">
        <f>IF(D_ETS1Amounts!J659="","",D_ETS1Amounts!J659)</f>
        <v/>
      </c>
      <c r="I408" s="736" t="str">
        <f>IF(D_ETS1Amounts!K659="","",D_ETS1Amounts!K659)</f>
        <v/>
      </c>
      <c r="J408" s="736" t="str">
        <f>IF(D_ETS1Amounts!L659="","",D_ETS1Amounts!L659)</f>
        <v/>
      </c>
      <c r="K408" s="736" t="str">
        <f>IF(D_ETS1Amounts!M659="","",D_ETS1Amounts!M659)</f>
        <v/>
      </c>
      <c r="L408" s="737" t="str">
        <f>IF(D_ETS1Amounts!N659="","",D_ETS1Amounts!N659)</f>
        <v/>
      </c>
      <c r="M408" s="681"/>
    </row>
    <row r="409" spans="1:13" hidden="1" x14ac:dyDescent="0.25">
      <c r="A409" s="674" t="s">
        <v>0</v>
      </c>
      <c r="B409" s="679"/>
      <c r="D409" s="496">
        <v>120</v>
      </c>
      <c r="E409" s="736" t="str">
        <f>D_ETS1Amounts!F660</f>
        <v/>
      </c>
      <c r="F409" s="736" t="str">
        <f>IF(D_ETS1Amounts!H660="","",D_ETS1Amounts!H660)</f>
        <v/>
      </c>
      <c r="G409" s="736" t="str">
        <f>IF(D_ETS1Amounts!I660="","",D_ETS1Amounts!I660)</f>
        <v/>
      </c>
      <c r="H409" s="736" t="str">
        <f>IF(D_ETS1Amounts!J660="","",D_ETS1Amounts!J660)</f>
        <v/>
      </c>
      <c r="I409" s="736" t="str">
        <f>IF(D_ETS1Amounts!K660="","",D_ETS1Amounts!K660)</f>
        <v/>
      </c>
      <c r="J409" s="736" t="str">
        <f>IF(D_ETS1Amounts!L660="","",D_ETS1Amounts!L660)</f>
        <v/>
      </c>
      <c r="K409" s="736" t="str">
        <f>IF(D_ETS1Amounts!M660="","",D_ETS1Amounts!M660)</f>
        <v/>
      </c>
      <c r="L409" s="737" t="str">
        <f>IF(D_ETS1Amounts!N660="","",D_ETS1Amounts!N660)</f>
        <v/>
      </c>
      <c r="M409" s="681"/>
    </row>
    <row r="410" spans="1:13" hidden="1" x14ac:dyDescent="0.25">
      <c r="A410" s="674" t="s">
        <v>0</v>
      </c>
      <c r="B410" s="679"/>
      <c r="D410" s="496">
        <v>121</v>
      </c>
      <c r="E410" s="736" t="str">
        <f>D_ETS1Amounts!F661</f>
        <v/>
      </c>
      <c r="F410" s="736" t="str">
        <f>IF(D_ETS1Amounts!H661="","",D_ETS1Amounts!H661)</f>
        <v/>
      </c>
      <c r="G410" s="736" t="str">
        <f>IF(D_ETS1Amounts!I661="","",D_ETS1Amounts!I661)</f>
        <v/>
      </c>
      <c r="H410" s="736" t="str">
        <f>IF(D_ETS1Amounts!J661="","",D_ETS1Amounts!J661)</f>
        <v/>
      </c>
      <c r="I410" s="736" t="str">
        <f>IF(D_ETS1Amounts!K661="","",D_ETS1Amounts!K661)</f>
        <v/>
      </c>
      <c r="J410" s="736" t="str">
        <f>IF(D_ETS1Amounts!L661="","",D_ETS1Amounts!L661)</f>
        <v/>
      </c>
      <c r="K410" s="736" t="str">
        <f>IF(D_ETS1Amounts!M661="","",D_ETS1Amounts!M661)</f>
        <v/>
      </c>
      <c r="L410" s="737" t="str">
        <f>IF(D_ETS1Amounts!N661="","",D_ETS1Amounts!N661)</f>
        <v/>
      </c>
      <c r="M410" s="681"/>
    </row>
    <row r="411" spans="1:13" hidden="1" x14ac:dyDescent="0.25">
      <c r="A411" s="674" t="s">
        <v>0</v>
      </c>
      <c r="B411" s="679"/>
      <c r="D411" s="496">
        <v>122</v>
      </c>
      <c r="E411" s="736" t="str">
        <f>D_ETS1Amounts!F662</f>
        <v/>
      </c>
      <c r="F411" s="736" t="str">
        <f>IF(D_ETS1Amounts!H662="","",D_ETS1Amounts!H662)</f>
        <v/>
      </c>
      <c r="G411" s="736" t="str">
        <f>IF(D_ETS1Amounts!I662="","",D_ETS1Amounts!I662)</f>
        <v/>
      </c>
      <c r="H411" s="736" t="str">
        <f>IF(D_ETS1Amounts!J662="","",D_ETS1Amounts!J662)</f>
        <v/>
      </c>
      <c r="I411" s="736" t="str">
        <f>IF(D_ETS1Amounts!K662="","",D_ETS1Amounts!K662)</f>
        <v/>
      </c>
      <c r="J411" s="736" t="str">
        <f>IF(D_ETS1Amounts!L662="","",D_ETS1Amounts!L662)</f>
        <v/>
      </c>
      <c r="K411" s="736" t="str">
        <f>IF(D_ETS1Amounts!M662="","",D_ETS1Amounts!M662)</f>
        <v/>
      </c>
      <c r="L411" s="737" t="str">
        <f>IF(D_ETS1Amounts!N662="","",D_ETS1Amounts!N662)</f>
        <v/>
      </c>
      <c r="M411" s="681"/>
    </row>
    <row r="412" spans="1:13" hidden="1" x14ac:dyDescent="0.25">
      <c r="A412" s="674" t="s">
        <v>0</v>
      </c>
      <c r="B412" s="679"/>
      <c r="D412" s="496">
        <v>123</v>
      </c>
      <c r="E412" s="736" t="str">
        <f>D_ETS1Amounts!F663</f>
        <v/>
      </c>
      <c r="F412" s="736" t="str">
        <f>IF(D_ETS1Amounts!H663="","",D_ETS1Amounts!H663)</f>
        <v/>
      </c>
      <c r="G412" s="736" t="str">
        <f>IF(D_ETS1Amounts!I663="","",D_ETS1Amounts!I663)</f>
        <v/>
      </c>
      <c r="H412" s="736" t="str">
        <f>IF(D_ETS1Amounts!J663="","",D_ETS1Amounts!J663)</f>
        <v/>
      </c>
      <c r="I412" s="736" t="str">
        <f>IF(D_ETS1Amounts!K663="","",D_ETS1Amounts!K663)</f>
        <v/>
      </c>
      <c r="J412" s="736" t="str">
        <f>IF(D_ETS1Amounts!L663="","",D_ETS1Amounts!L663)</f>
        <v/>
      </c>
      <c r="K412" s="736" t="str">
        <f>IF(D_ETS1Amounts!M663="","",D_ETS1Amounts!M663)</f>
        <v/>
      </c>
      <c r="L412" s="737" t="str">
        <f>IF(D_ETS1Amounts!N663="","",D_ETS1Amounts!N663)</f>
        <v/>
      </c>
      <c r="M412" s="681"/>
    </row>
    <row r="413" spans="1:13" hidden="1" x14ac:dyDescent="0.25">
      <c r="A413" s="674" t="s">
        <v>0</v>
      </c>
      <c r="B413" s="679"/>
      <c r="D413" s="496">
        <v>124</v>
      </c>
      <c r="E413" s="736" t="str">
        <f>D_ETS1Amounts!F664</f>
        <v/>
      </c>
      <c r="F413" s="736" t="str">
        <f>IF(D_ETS1Amounts!H664="","",D_ETS1Amounts!H664)</f>
        <v/>
      </c>
      <c r="G413" s="736" t="str">
        <f>IF(D_ETS1Amounts!I664="","",D_ETS1Amounts!I664)</f>
        <v/>
      </c>
      <c r="H413" s="736" t="str">
        <f>IF(D_ETS1Amounts!J664="","",D_ETS1Amounts!J664)</f>
        <v/>
      </c>
      <c r="I413" s="736" t="str">
        <f>IF(D_ETS1Amounts!K664="","",D_ETS1Amounts!K664)</f>
        <v/>
      </c>
      <c r="J413" s="736" t="str">
        <f>IF(D_ETS1Amounts!L664="","",D_ETS1Amounts!L664)</f>
        <v/>
      </c>
      <c r="K413" s="736" t="str">
        <f>IF(D_ETS1Amounts!M664="","",D_ETS1Amounts!M664)</f>
        <v/>
      </c>
      <c r="L413" s="737" t="str">
        <f>IF(D_ETS1Amounts!N664="","",D_ETS1Amounts!N664)</f>
        <v/>
      </c>
      <c r="M413" s="681"/>
    </row>
    <row r="414" spans="1:13" hidden="1" x14ac:dyDescent="0.25">
      <c r="A414" s="674" t="s">
        <v>0</v>
      </c>
      <c r="B414" s="679"/>
      <c r="D414" s="496">
        <v>125</v>
      </c>
      <c r="E414" s="736" t="str">
        <f>D_ETS1Amounts!F665</f>
        <v/>
      </c>
      <c r="F414" s="736" t="str">
        <f>IF(D_ETS1Amounts!H665="","",D_ETS1Amounts!H665)</f>
        <v/>
      </c>
      <c r="G414" s="736" t="str">
        <f>IF(D_ETS1Amounts!I665="","",D_ETS1Amounts!I665)</f>
        <v/>
      </c>
      <c r="H414" s="736" t="str">
        <f>IF(D_ETS1Amounts!J665="","",D_ETS1Amounts!J665)</f>
        <v/>
      </c>
      <c r="I414" s="736" t="str">
        <f>IF(D_ETS1Amounts!K665="","",D_ETS1Amounts!K665)</f>
        <v/>
      </c>
      <c r="J414" s="736" t="str">
        <f>IF(D_ETS1Amounts!L665="","",D_ETS1Amounts!L665)</f>
        <v/>
      </c>
      <c r="K414" s="736" t="str">
        <f>IF(D_ETS1Amounts!M665="","",D_ETS1Amounts!M665)</f>
        <v/>
      </c>
      <c r="L414" s="737" t="str">
        <f>IF(D_ETS1Amounts!N665="","",D_ETS1Amounts!N665)</f>
        <v/>
      </c>
      <c r="M414" s="681"/>
    </row>
    <row r="415" spans="1:13" hidden="1" x14ac:dyDescent="0.25">
      <c r="A415" s="674" t="s">
        <v>0</v>
      </c>
      <c r="B415" s="679"/>
      <c r="D415" s="496">
        <v>126</v>
      </c>
      <c r="E415" s="736" t="str">
        <f>D_ETS1Amounts!F666</f>
        <v/>
      </c>
      <c r="F415" s="736" t="str">
        <f>IF(D_ETS1Amounts!H666="","",D_ETS1Amounts!H666)</f>
        <v/>
      </c>
      <c r="G415" s="736" t="str">
        <f>IF(D_ETS1Amounts!I666="","",D_ETS1Amounts!I666)</f>
        <v/>
      </c>
      <c r="H415" s="736" t="str">
        <f>IF(D_ETS1Amounts!J666="","",D_ETS1Amounts!J666)</f>
        <v/>
      </c>
      <c r="I415" s="736" t="str">
        <f>IF(D_ETS1Amounts!K666="","",D_ETS1Amounts!K666)</f>
        <v/>
      </c>
      <c r="J415" s="736" t="str">
        <f>IF(D_ETS1Amounts!L666="","",D_ETS1Amounts!L666)</f>
        <v/>
      </c>
      <c r="K415" s="736" t="str">
        <f>IF(D_ETS1Amounts!M666="","",D_ETS1Amounts!M666)</f>
        <v/>
      </c>
      <c r="L415" s="737" t="str">
        <f>IF(D_ETS1Amounts!N666="","",D_ETS1Amounts!N666)</f>
        <v/>
      </c>
      <c r="M415" s="681"/>
    </row>
    <row r="416" spans="1:13" hidden="1" x14ac:dyDescent="0.25">
      <c r="A416" s="674" t="s">
        <v>0</v>
      </c>
      <c r="B416" s="679"/>
      <c r="D416" s="496">
        <v>127</v>
      </c>
      <c r="E416" s="736" t="str">
        <f>D_ETS1Amounts!F667</f>
        <v/>
      </c>
      <c r="F416" s="736" t="str">
        <f>IF(D_ETS1Amounts!H667="","",D_ETS1Amounts!H667)</f>
        <v/>
      </c>
      <c r="G416" s="736" t="str">
        <f>IF(D_ETS1Amounts!I667="","",D_ETS1Amounts!I667)</f>
        <v/>
      </c>
      <c r="H416" s="736" t="str">
        <f>IF(D_ETS1Amounts!J667="","",D_ETS1Amounts!J667)</f>
        <v/>
      </c>
      <c r="I416" s="736" t="str">
        <f>IF(D_ETS1Amounts!K667="","",D_ETS1Amounts!K667)</f>
        <v/>
      </c>
      <c r="J416" s="736" t="str">
        <f>IF(D_ETS1Amounts!L667="","",D_ETS1Amounts!L667)</f>
        <v/>
      </c>
      <c r="K416" s="736" t="str">
        <f>IF(D_ETS1Amounts!M667="","",D_ETS1Amounts!M667)</f>
        <v/>
      </c>
      <c r="L416" s="737" t="str">
        <f>IF(D_ETS1Amounts!N667="","",D_ETS1Amounts!N667)</f>
        <v/>
      </c>
      <c r="M416" s="681"/>
    </row>
    <row r="417" spans="1:13" hidden="1" x14ac:dyDescent="0.25">
      <c r="A417" s="674" t="s">
        <v>0</v>
      </c>
      <c r="B417" s="679"/>
      <c r="D417" s="496">
        <v>128</v>
      </c>
      <c r="E417" s="736" t="str">
        <f>D_ETS1Amounts!F668</f>
        <v/>
      </c>
      <c r="F417" s="736" t="str">
        <f>IF(D_ETS1Amounts!H668="","",D_ETS1Amounts!H668)</f>
        <v/>
      </c>
      <c r="G417" s="736" t="str">
        <f>IF(D_ETS1Amounts!I668="","",D_ETS1Amounts!I668)</f>
        <v/>
      </c>
      <c r="H417" s="736" t="str">
        <f>IF(D_ETS1Amounts!J668="","",D_ETS1Amounts!J668)</f>
        <v/>
      </c>
      <c r="I417" s="736" t="str">
        <f>IF(D_ETS1Amounts!K668="","",D_ETS1Amounts!K668)</f>
        <v/>
      </c>
      <c r="J417" s="736" t="str">
        <f>IF(D_ETS1Amounts!L668="","",D_ETS1Amounts!L668)</f>
        <v/>
      </c>
      <c r="K417" s="736" t="str">
        <f>IF(D_ETS1Amounts!M668="","",D_ETS1Amounts!M668)</f>
        <v/>
      </c>
      <c r="L417" s="737" t="str">
        <f>IF(D_ETS1Amounts!N668="","",D_ETS1Amounts!N668)</f>
        <v/>
      </c>
      <c r="M417" s="681"/>
    </row>
    <row r="418" spans="1:13" hidden="1" x14ac:dyDescent="0.25">
      <c r="A418" s="674" t="s">
        <v>0</v>
      </c>
      <c r="B418" s="679"/>
      <c r="D418" s="496">
        <v>129</v>
      </c>
      <c r="E418" s="736" t="str">
        <f>D_ETS1Amounts!F669</f>
        <v/>
      </c>
      <c r="F418" s="736" t="str">
        <f>IF(D_ETS1Amounts!H669="","",D_ETS1Amounts!H669)</f>
        <v/>
      </c>
      <c r="G418" s="736" t="str">
        <f>IF(D_ETS1Amounts!I669="","",D_ETS1Amounts!I669)</f>
        <v/>
      </c>
      <c r="H418" s="736" t="str">
        <f>IF(D_ETS1Amounts!J669="","",D_ETS1Amounts!J669)</f>
        <v/>
      </c>
      <c r="I418" s="736" t="str">
        <f>IF(D_ETS1Amounts!K669="","",D_ETS1Amounts!K669)</f>
        <v/>
      </c>
      <c r="J418" s="736" t="str">
        <f>IF(D_ETS1Amounts!L669="","",D_ETS1Amounts!L669)</f>
        <v/>
      </c>
      <c r="K418" s="736" t="str">
        <f>IF(D_ETS1Amounts!M669="","",D_ETS1Amounts!M669)</f>
        <v/>
      </c>
      <c r="L418" s="737" t="str">
        <f>IF(D_ETS1Amounts!N669="","",D_ETS1Amounts!N669)</f>
        <v/>
      </c>
      <c r="M418" s="681"/>
    </row>
    <row r="419" spans="1:13" hidden="1" x14ac:dyDescent="0.25">
      <c r="A419" s="674" t="s">
        <v>0</v>
      </c>
      <c r="B419" s="679"/>
      <c r="D419" s="496">
        <v>130</v>
      </c>
      <c r="E419" s="736" t="str">
        <f>D_ETS1Amounts!F670</f>
        <v/>
      </c>
      <c r="F419" s="736" t="str">
        <f>IF(D_ETS1Amounts!H670="","",D_ETS1Amounts!H670)</f>
        <v/>
      </c>
      <c r="G419" s="736" t="str">
        <f>IF(D_ETS1Amounts!I670="","",D_ETS1Amounts!I670)</f>
        <v/>
      </c>
      <c r="H419" s="736" t="str">
        <f>IF(D_ETS1Amounts!J670="","",D_ETS1Amounts!J670)</f>
        <v/>
      </c>
      <c r="I419" s="736" t="str">
        <f>IF(D_ETS1Amounts!K670="","",D_ETS1Amounts!K670)</f>
        <v/>
      </c>
      <c r="J419" s="736" t="str">
        <f>IF(D_ETS1Amounts!L670="","",D_ETS1Amounts!L670)</f>
        <v/>
      </c>
      <c r="K419" s="736" t="str">
        <f>IF(D_ETS1Amounts!M670="","",D_ETS1Amounts!M670)</f>
        <v/>
      </c>
      <c r="L419" s="737" t="str">
        <f>IF(D_ETS1Amounts!N670="","",D_ETS1Amounts!N670)</f>
        <v/>
      </c>
      <c r="M419" s="681"/>
    </row>
    <row r="420" spans="1:13" hidden="1" x14ac:dyDescent="0.25">
      <c r="A420" s="674" t="s">
        <v>0</v>
      </c>
      <c r="B420" s="679"/>
      <c r="D420" s="496">
        <v>131</v>
      </c>
      <c r="E420" s="736" t="str">
        <f>D_ETS1Amounts!F671</f>
        <v/>
      </c>
      <c r="F420" s="736" t="str">
        <f>IF(D_ETS1Amounts!H671="","",D_ETS1Amounts!H671)</f>
        <v/>
      </c>
      <c r="G420" s="736" t="str">
        <f>IF(D_ETS1Amounts!I671="","",D_ETS1Amounts!I671)</f>
        <v/>
      </c>
      <c r="H420" s="736" t="str">
        <f>IF(D_ETS1Amounts!J671="","",D_ETS1Amounts!J671)</f>
        <v/>
      </c>
      <c r="I420" s="736" t="str">
        <f>IF(D_ETS1Amounts!K671="","",D_ETS1Amounts!K671)</f>
        <v/>
      </c>
      <c r="J420" s="736" t="str">
        <f>IF(D_ETS1Amounts!L671="","",D_ETS1Amounts!L671)</f>
        <v/>
      </c>
      <c r="K420" s="736" t="str">
        <f>IF(D_ETS1Amounts!M671="","",D_ETS1Amounts!M671)</f>
        <v/>
      </c>
      <c r="L420" s="737" t="str">
        <f>IF(D_ETS1Amounts!N671="","",D_ETS1Amounts!N671)</f>
        <v/>
      </c>
      <c r="M420" s="681"/>
    </row>
    <row r="421" spans="1:13" hidden="1" x14ac:dyDescent="0.25">
      <c r="A421" s="674" t="s">
        <v>0</v>
      </c>
      <c r="B421" s="679"/>
      <c r="D421" s="496">
        <v>132</v>
      </c>
      <c r="E421" s="736" t="str">
        <f>D_ETS1Amounts!F672</f>
        <v/>
      </c>
      <c r="F421" s="736" t="str">
        <f>IF(D_ETS1Amounts!H672="","",D_ETS1Amounts!H672)</f>
        <v/>
      </c>
      <c r="G421" s="736" t="str">
        <f>IF(D_ETS1Amounts!I672="","",D_ETS1Amounts!I672)</f>
        <v/>
      </c>
      <c r="H421" s="736" t="str">
        <f>IF(D_ETS1Amounts!J672="","",D_ETS1Amounts!J672)</f>
        <v/>
      </c>
      <c r="I421" s="736" t="str">
        <f>IF(D_ETS1Amounts!K672="","",D_ETS1Amounts!K672)</f>
        <v/>
      </c>
      <c r="J421" s="736" t="str">
        <f>IF(D_ETS1Amounts!L672="","",D_ETS1Amounts!L672)</f>
        <v/>
      </c>
      <c r="K421" s="736" t="str">
        <f>IF(D_ETS1Amounts!M672="","",D_ETS1Amounts!M672)</f>
        <v/>
      </c>
      <c r="L421" s="737" t="str">
        <f>IF(D_ETS1Amounts!N672="","",D_ETS1Amounts!N672)</f>
        <v/>
      </c>
      <c r="M421" s="681"/>
    </row>
    <row r="422" spans="1:13" hidden="1" x14ac:dyDescent="0.25">
      <c r="A422" s="674" t="s">
        <v>0</v>
      </c>
      <c r="B422" s="679"/>
      <c r="D422" s="496">
        <v>133</v>
      </c>
      <c r="E422" s="736" t="str">
        <f>D_ETS1Amounts!F673</f>
        <v/>
      </c>
      <c r="F422" s="736" t="str">
        <f>IF(D_ETS1Amounts!H673="","",D_ETS1Amounts!H673)</f>
        <v/>
      </c>
      <c r="G422" s="736" t="str">
        <f>IF(D_ETS1Amounts!I673="","",D_ETS1Amounts!I673)</f>
        <v/>
      </c>
      <c r="H422" s="736" t="str">
        <f>IF(D_ETS1Amounts!J673="","",D_ETS1Amounts!J673)</f>
        <v/>
      </c>
      <c r="I422" s="736" t="str">
        <f>IF(D_ETS1Amounts!K673="","",D_ETS1Amounts!K673)</f>
        <v/>
      </c>
      <c r="J422" s="736" t="str">
        <f>IF(D_ETS1Amounts!L673="","",D_ETS1Amounts!L673)</f>
        <v/>
      </c>
      <c r="K422" s="736" t="str">
        <f>IF(D_ETS1Amounts!M673="","",D_ETS1Amounts!M673)</f>
        <v/>
      </c>
      <c r="L422" s="737" t="str">
        <f>IF(D_ETS1Amounts!N673="","",D_ETS1Amounts!N673)</f>
        <v/>
      </c>
      <c r="M422" s="681"/>
    </row>
    <row r="423" spans="1:13" hidden="1" x14ac:dyDescent="0.25">
      <c r="A423" s="674" t="s">
        <v>0</v>
      </c>
      <c r="B423" s="679"/>
      <c r="D423" s="496">
        <v>134</v>
      </c>
      <c r="E423" s="736" t="str">
        <f>D_ETS1Amounts!F674</f>
        <v/>
      </c>
      <c r="F423" s="736" t="str">
        <f>IF(D_ETS1Amounts!H674="","",D_ETS1Amounts!H674)</f>
        <v/>
      </c>
      <c r="G423" s="736" t="str">
        <f>IF(D_ETS1Amounts!I674="","",D_ETS1Amounts!I674)</f>
        <v/>
      </c>
      <c r="H423" s="736" t="str">
        <f>IF(D_ETS1Amounts!J674="","",D_ETS1Amounts!J674)</f>
        <v/>
      </c>
      <c r="I423" s="736" t="str">
        <f>IF(D_ETS1Amounts!K674="","",D_ETS1Amounts!K674)</f>
        <v/>
      </c>
      <c r="J423" s="736" t="str">
        <f>IF(D_ETS1Amounts!L674="","",D_ETS1Amounts!L674)</f>
        <v/>
      </c>
      <c r="K423" s="736" t="str">
        <f>IF(D_ETS1Amounts!M674="","",D_ETS1Amounts!M674)</f>
        <v/>
      </c>
      <c r="L423" s="737" t="str">
        <f>IF(D_ETS1Amounts!N674="","",D_ETS1Amounts!N674)</f>
        <v/>
      </c>
      <c r="M423" s="681"/>
    </row>
    <row r="424" spans="1:13" hidden="1" x14ac:dyDescent="0.25">
      <c r="A424" s="674" t="s">
        <v>0</v>
      </c>
      <c r="B424" s="679"/>
      <c r="D424" s="496">
        <v>135</v>
      </c>
      <c r="E424" s="736" t="str">
        <f>D_ETS1Amounts!F675</f>
        <v/>
      </c>
      <c r="F424" s="736" t="str">
        <f>IF(D_ETS1Amounts!H675="","",D_ETS1Amounts!H675)</f>
        <v/>
      </c>
      <c r="G424" s="736" t="str">
        <f>IF(D_ETS1Amounts!I675="","",D_ETS1Amounts!I675)</f>
        <v/>
      </c>
      <c r="H424" s="736" t="str">
        <f>IF(D_ETS1Amounts!J675="","",D_ETS1Amounts!J675)</f>
        <v/>
      </c>
      <c r="I424" s="736" t="str">
        <f>IF(D_ETS1Amounts!K675="","",D_ETS1Amounts!K675)</f>
        <v/>
      </c>
      <c r="J424" s="736" t="str">
        <f>IF(D_ETS1Amounts!L675="","",D_ETS1Amounts!L675)</f>
        <v/>
      </c>
      <c r="K424" s="736" t="str">
        <f>IF(D_ETS1Amounts!M675="","",D_ETS1Amounts!M675)</f>
        <v/>
      </c>
      <c r="L424" s="737" t="str">
        <f>IF(D_ETS1Amounts!N675="","",D_ETS1Amounts!N675)</f>
        <v/>
      </c>
      <c r="M424" s="681"/>
    </row>
    <row r="425" spans="1:13" hidden="1" x14ac:dyDescent="0.25">
      <c r="A425" s="674" t="s">
        <v>0</v>
      </c>
      <c r="B425" s="679"/>
      <c r="D425" s="496">
        <v>136</v>
      </c>
      <c r="E425" s="736" t="str">
        <f>D_ETS1Amounts!F676</f>
        <v/>
      </c>
      <c r="F425" s="736" t="str">
        <f>IF(D_ETS1Amounts!H676="","",D_ETS1Amounts!H676)</f>
        <v/>
      </c>
      <c r="G425" s="736" t="str">
        <f>IF(D_ETS1Amounts!I676="","",D_ETS1Amounts!I676)</f>
        <v/>
      </c>
      <c r="H425" s="736" t="str">
        <f>IF(D_ETS1Amounts!J676="","",D_ETS1Amounts!J676)</f>
        <v/>
      </c>
      <c r="I425" s="736" t="str">
        <f>IF(D_ETS1Amounts!K676="","",D_ETS1Amounts!K676)</f>
        <v/>
      </c>
      <c r="J425" s="736" t="str">
        <f>IF(D_ETS1Amounts!L676="","",D_ETS1Amounts!L676)</f>
        <v/>
      </c>
      <c r="K425" s="736" t="str">
        <f>IF(D_ETS1Amounts!M676="","",D_ETS1Amounts!M676)</f>
        <v/>
      </c>
      <c r="L425" s="737" t="str">
        <f>IF(D_ETS1Amounts!N676="","",D_ETS1Amounts!N676)</f>
        <v/>
      </c>
      <c r="M425" s="681"/>
    </row>
    <row r="426" spans="1:13" hidden="1" x14ac:dyDescent="0.25">
      <c r="A426" s="674" t="s">
        <v>0</v>
      </c>
      <c r="B426" s="679"/>
      <c r="D426" s="496">
        <v>137</v>
      </c>
      <c r="E426" s="736" t="str">
        <f>D_ETS1Amounts!F677</f>
        <v/>
      </c>
      <c r="F426" s="736" t="str">
        <f>IF(D_ETS1Amounts!H677="","",D_ETS1Amounts!H677)</f>
        <v/>
      </c>
      <c r="G426" s="736" t="str">
        <f>IF(D_ETS1Amounts!I677="","",D_ETS1Amounts!I677)</f>
        <v/>
      </c>
      <c r="H426" s="736" t="str">
        <f>IF(D_ETS1Amounts!J677="","",D_ETS1Amounts!J677)</f>
        <v/>
      </c>
      <c r="I426" s="736" t="str">
        <f>IF(D_ETS1Amounts!K677="","",D_ETS1Amounts!K677)</f>
        <v/>
      </c>
      <c r="J426" s="736" t="str">
        <f>IF(D_ETS1Amounts!L677="","",D_ETS1Amounts!L677)</f>
        <v/>
      </c>
      <c r="K426" s="736" t="str">
        <f>IF(D_ETS1Amounts!M677="","",D_ETS1Amounts!M677)</f>
        <v/>
      </c>
      <c r="L426" s="737" t="str">
        <f>IF(D_ETS1Amounts!N677="","",D_ETS1Amounts!N677)</f>
        <v/>
      </c>
      <c r="M426" s="681"/>
    </row>
    <row r="427" spans="1:13" hidden="1" x14ac:dyDescent="0.25">
      <c r="A427" s="674" t="s">
        <v>0</v>
      </c>
      <c r="B427" s="679"/>
      <c r="D427" s="496">
        <v>138</v>
      </c>
      <c r="E427" s="736" t="str">
        <f>D_ETS1Amounts!F678</f>
        <v/>
      </c>
      <c r="F427" s="736" t="str">
        <f>IF(D_ETS1Amounts!H678="","",D_ETS1Amounts!H678)</f>
        <v/>
      </c>
      <c r="G427" s="736" t="str">
        <f>IF(D_ETS1Amounts!I678="","",D_ETS1Amounts!I678)</f>
        <v/>
      </c>
      <c r="H427" s="736" t="str">
        <f>IF(D_ETS1Amounts!J678="","",D_ETS1Amounts!J678)</f>
        <v/>
      </c>
      <c r="I427" s="736" t="str">
        <f>IF(D_ETS1Amounts!K678="","",D_ETS1Amounts!K678)</f>
        <v/>
      </c>
      <c r="J427" s="736" t="str">
        <f>IF(D_ETS1Amounts!L678="","",D_ETS1Amounts!L678)</f>
        <v/>
      </c>
      <c r="K427" s="736" t="str">
        <f>IF(D_ETS1Amounts!M678="","",D_ETS1Amounts!M678)</f>
        <v/>
      </c>
      <c r="L427" s="737" t="str">
        <f>IF(D_ETS1Amounts!N678="","",D_ETS1Amounts!N678)</f>
        <v/>
      </c>
      <c r="M427" s="681"/>
    </row>
    <row r="428" spans="1:13" hidden="1" x14ac:dyDescent="0.25">
      <c r="A428" s="674" t="s">
        <v>0</v>
      </c>
      <c r="B428" s="679"/>
      <c r="D428" s="496">
        <v>139</v>
      </c>
      <c r="E428" s="736" t="str">
        <f>D_ETS1Amounts!F679</f>
        <v/>
      </c>
      <c r="F428" s="736" t="str">
        <f>IF(D_ETS1Amounts!H679="","",D_ETS1Amounts!H679)</f>
        <v/>
      </c>
      <c r="G428" s="736" t="str">
        <f>IF(D_ETS1Amounts!I679="","",D_ETS1Amounts!I679)</f>
        <v/>
      </c>
      <c r="H428" s="736" t="str">
        <f>IF(D_ETS1Amounts!J679="","",D_ETS1Amounts!J679)</f>
        <v/>
      </c>
      <c r="I428" s="736" t="str">
        <f>IF(D_ETS1Amounts!K679="","",D_ETS1Amounts!K679)</f>
        <v/>
      </c>
      <c r="J428" s="736" t="str">
        <f>IF(D_ETS1Amounts!L679="","",D_ETS1Amounts!L679)</f>
        <v/>
      </c>
      <c r="K428" s="736" t="str">
        <f>IF(D_ETS1Amounts!M679="","",D_ETS1Amounts!M679)</f>
        <v/>
      </c>
      <c r="L428" s="737" t="str">
        <f>IF(D_ETS1Amounts!N679="","",D_ETS1Amounts!N679)</f>
        <v/>
      </c>
      <c r="M428" s="681"/>
    </row>
    <row r="429" spans="1:13" hidden="1" x14ac:dyDescent="0.25">
      <c r="A429" s="674" t="s">
        <v>0</v>
      </c>
      <c r="B429" s="679"/>
      <c r="D429" s="496">
        <v>140</v>
      </c>
      <c r="E429" s="736" t="str">
        <f>D_ETS1Amounts!F680</f>
        <v/>
      </c>
      <c r="F429" s="736" t="str">
        <f>IF(D_ETS1Amounts!H680="","",D_ETS1Amounts!H680)</f>
        <v/>
      </c>
      <c r="G429" s="736" t="str">
        <f>IF(D_ETS1Amounts!I680="","",D_ETS1Amounts!I680)</f>
        <v/>
      </c>
      <c r="H429" s="736" t="str">
        <f>IF(D_ETS1Amounts!J680="","",D_ETS1Amounts!J680)</f>
        <v/>
      </c>
      <c r="I429" s="736" t="str">
        <f>IF(D_ETS1Amounts!K680="","",D_ETS1Amounts!K680)</f>
        <v/>
      </c>
      <c r="J429" s="736" t="str">
        <f>IF(D_ETS1Amounts!L680="","",D_ETS1Amounts!L680)</f>
        <v/>
      </c>
      <c r="K429" s="736" t="str">
        <f>IF(D_ETS1Amounts!M680="","",D_ETS1Amounts!M680)</f>
        <v/>
      </c>
      <c r="L429" s="737" t="str">
        <f>IF(D_ETS1Amounts!N680="","",D_ETS1Amounts!N680)</f>
        <v/>
      </c>
      <c r="M429" s="681"/>
    </row>
    <row r="430" spans="1:13" hidden="1" x14ac:dyDescent="0.25">
      <c r="A430" s="674" t="s">
        <v>0</v>
      </c>
      <c r="B430" s="679"/>
      <c r="D430" s="496">
        <v>141</v>
      </c>
      <c r="E430" s="736" t="str">
        <f>D_ETS1Amounts!F681</f>
        <v/>
      </c>
      <c r="F430" s="736" t="str">
        <f>IF(D_ETS1Amounts!H681="","",D_ETS1Amounts!H681)</f>
        <v/>
      </c>
      <c r="G430" s="736" t="str">
        <f>IF(D_ETS1Amounts!I681="","",D_ETS1Amounts!I681)</f>
        <v/>
      </c>
      <c r="H430" s="736" t="str">
        <f>IF(D_ETS1Amounts!J681="","",D_ETS1Amounts!J681)</f>
        <v/>
      </c>
      <c r="I430" s="736" t="str">
        <f>IF(D_ETS1Amounts!K681="","",D_ETS1Amounts!K681)</f>
        <v/>
      </c>
      <c r="J430" s="736" t="str">
        <f>IF(D_ETS1Amounts!L681="","",D_ETS1Amounts!L681)</f>
        <v/>
      </c>
      <c r="K430" s="736" t="str">
        <f>IF(D_ETS1Amounts!M681="","",D_ETS1Amounts!M681)</f>
        <v/>
      </c>
      <c r="L430" s="737" t="str">
        <f>IF(D_ETS1Amounts!N681="","",D_ETS1Amounts!N681)</f>
        <v/>
      </c>
      <c r="M430" s="681"/>
    </row>
    <row r="431" spans="1:13" hidden="1" x14ac:dyDescent="0.25">
      <c r="A431" s="674" t="s">
        <v>0</v>
      </c>
      <c r="B431" s="679"/>
      <c r="D431" s="496">
        <v>142</v>
      </c>
      <c r="E431" s="736" t="str">
        <f>D_ETS1Amounts!F682</f>
        <v/>
      </c>
      <c r="F431" s="736" t="str">
        <f>IF(D_ETS1Amounts!H682="","",D_ETS1Amounts!H682)</f>
        <v/>
      </c>
      <c r="G431" s="736" t="str">
        <f>IF(D_ETS1Amounts!I682="","",D_ETS1Amounts!I682)</f>
        <v/>
      </c>
      <c r="H431" s="736" t="str">
        <f>IF(D_ETS1Amounts!J682="","",D_ETS1Amounts!J682)</f>
        <v/>
      </c>
      <c r="I431" s="736" t="str">
        <f>IF(D_ETS1Amounts!K682="","",D_ETS1Amounts!K682)</f>
        <v/>
      </c>
      <c r="J431" s="736" t="str">
        <f>IF(D_ETS1Amounts!L682="","",D_ETS1Amounts!L682)</f>
        <v/>
      </c>
      <c r="K431" s="736" t="str">
        <f>IF(D_ETS1Amounts!M682="","",D_ETS1Amounts!M682)</f>
        <v/>
      </c>
      <c r="L431" s="737" t="str">
        <f>IF(D_ETS1Amounts!N682="","",D_ETS1Amounts!N682)</f>
        <v/>
      </c>
      <c r="M431" s="681"/>
    </row>
    <row r="432" spans="1:13" hidden="1" x14ac:dyDescent="0.25">
      <c r="A432" s="674" t="s">
        <v>0</v>
      </c>
      <c r="B432" s="679"/>
      <c r="D432" s="496">
        <v>143</v>
      </c>
      <c r="E432" s="736" t="str">
        <f>D_ETS1Amounts!F683</f>
        <v/>
      </c>
      <c r="F432" s="736" t="str">
        <f>IF(D_ETS1Amounts!H683="","",D_ETS1Amounts!H683)</f>
        <v/>
      </c>
      <c r="G432" s="736" t="str">
        <f>IF(D_ETS1Amounts!I683="","",D_ETS1Amounts!I683)</f>
        <v/>
      </c>
      <c r="H432" s="736" t="str">
        <f>IF(D_ETS1Amounts!J683="","",D_ETS1Amounts!J683)</f>
        <v/>
      </c>
      <c r="I432" s="736" t="str">
        <f>IF(D_ETS1Amounts!K683="","",D_ETS1Amounts!K683)</f>
        <v/>
      </c>
      <c r="J432" s="736" t="str">
        <f>IF(D_ETS1Amounts!L683="","",D_ETS1Amounts!L683)</f>
        <v/>
      </c>
      <c r="K432" s="736" t="str">
        <f>IF(D_ETS1Amounts!M683="","",D_ETS1Amounts!M683)</f>
        <v/>
      </c>
      <c r="L432" s="737" t="str">
        <f>IF(D_ETS1Amounts!N683="","",D_ETS1Amounts!N683)</f>
        <v/>
      </c>
      <c r="M432" s="681"/>
    </row>
    <row r="433" spans="1:13" hidden="1" x14ac:dyDescent="0.25">
      <c r="A433" s="674" t="s">
        <v>0</v>
      </c>
      <c r="B433" s="679"/>
      <c r="D433" s="496">
        <v>144</v>
      </c>
      <c r="E433" s="736" t="str">
        <f>D_ETS1Amounts!F684</f>
        <v/>
      </c>
      <c r="F433" s="736" t="str">
        <f>IF(D_ETS1Amounts!H684="","",D_ETS1Amounts!H684)</f>
        <v/>
      </c>
      <c r="G433" s="736" t="str">
        <f>IF(D_ETS1Amounts!I684="","",D_ETS1Amounts!I684)</f>
        <v/>
      </c>
      <c r="H433" s="736" t="str">
        <f>IF(D_ETS1Amounts!J684="","",D_ETS1Amounts!J684)</f>
        <v/>
      </c>
      <c r="I433" s="736" t="str">
        <f>IF(D_ETS1Amounts!K684="","",D_ETS1Amounts!K684)</f>
        <v/>
      </c>
      <c r="J433" s="736" t="str">
        <f>IF(D_ETS1Amounts!L684="","",D_ETS1Amounts!L684)</f>
        <v/>
      </c>
      <c r="K433" s="736" t="str">
        <f>IF(D_ETS1Amounts!M684="","",D_ETS1Amounts!M684)</f>
        <v/>
      </c>
      <c r="L433" s="737" t="str">
        <f>IF(D_ETS1Amounts!N684="","",D_ETS1Amounts!N684)</f>
        <v/>
      </c>
      <c r="M433" s="681"/>
    </row>
    <row r="434" spans="1:13" hidden="1" x14ac:dyDescent="0.25">
      <c r="A434" s="674" t="s">
        <v>0</v>
      </c>
      <c r="B434" s="679"/>
      <c r="D434" s="496">
        <v>145</v>
      </c>
      <c r="E434" s="736" t="str">
        <f>D_ETS1Amounts!F685</f>
        <v/>
      </c>
      <c r="F434" s="736" t="str">
        <f>IF(D_ETS1Amounts!H685="","",D_ETS1Amounts!H685)</f>
        <v/>
      </c>
      <c r="G434" s="736" t="str">
        <f>IF(D_ETS1Amounts!I685="","",D_ETS1Amounts!I685)</f>
        <v/>
      </c>
      <c r="H434" s="736" t="str">
        <f>IF(D_ETS1Amounts!J685="","",D_ETS1Amounts!J685)</f>
        <v/>
      </c>
      <c r="I434" s="736" t="str">
        <f>IF(D_ETS1Amounts!K685="","",D_ETS1Amounts!K685)</f>
        <v/>
      </c>
      <c r="J434" s="736" t="str">
        <f>IF(D_ETS1Amounts!L685="","",D_ETS1Amounts!L685)</f>
        <v/>
      </c>
      <c r="K434" s="736" t="str">
        <f>IF(D_ETS1Amounts!M685="","",D_ETS1Amounts!M685)</f>
        <v/>
      </c>
      <c r="L434" s="737" t="str">
        <f>IF(D_ETS1Amounts!N685="","",D_ETS1Amounts!N685)</f>
        <v/>
      </c>
      <c r="M434" s="681"/>
    </row>
    <row r="435" spans="1:13" hidden="1" x14ac:dyDescent="0.25">
      <c r="A435" s="674" t="s">
        <v>0</v>
      </c>
      <c r="B435" s="679"/>
      <c r="D435" s="496">
        <v>146</v>
      </c>
      <c r="E435" s="736" t="str">
        <f>D_ETS1Amounts!F686</f>
        <v/>
      </c>
      <c r="F435" s="736" t="str">
        <f>IF(D_ETS1Amounts!H686="","",D_ETS1Amounts!H686)</f>
        <v/>
      </c>
      <c r="G435" s="736" t="str">
        <f>IF(D_ETS1Amounts!I686="","",D_ETS1Amounts!I686)</f>
        <v/>
      </c>
      <c r="H435" s="736" t="str">
        <f>IF(D_ETS1Amounts!J686="","",D_ETS1Amounts!J686)</f>
        <v/>
      </c>
      <c r="I435" s="736" t="str">
        <f>IF(D_ETS1Amounts!K686="","",D_ETS1Amounts!K686)</f>
        <v/>
      </c>
      <c r="J435" s="736" t="str">
        <f>IF(D_ETS1Amounts!L686="","",D_ETS1Amounts!L686)</f>
        <v/>
      </c>
      <c r="K435" s="736" t="str">
        <f>IF(D_ETS1Amounts!M686="","",D_ETS1Amounts!M686)</f>
        <v/>
      </c>
      <c r="L435" s="737" t="str">
        <f>IF(D_ETS1Amounts!N686="","",D_ETS1Amounts!N686)</f>
        <v/>
      </c>
      <c r="M435" s="681"/>
    </row>
    <row r="436" spans="1:13" hidden="1" x14ac:dyDescent="0.25">
      <c r="A436" s="674" t="s">
        <v>0</v>
      </c>
      <c r="B436" s="679"/>
      <c r="D436" s="496">
        <v>147</v>
      </c>
      <c r="E436" s="736" t="str">
        <f>D_ETS1Amounts!F687</f>
        <v/>
      </c>
      <c r="F436" s="736" t="str">
        <f>IF(D_ETS1Amounts!H687="","",D_ETS1Amounts!H687)</f>
        <v/>
      </c>
      <c r="G436" s="736" t="str">
        <f>IF(D_ETS1Amounts!I687="","",D_ETS1Amounts!I687)</f>
        <v/>
      </c>
      <c r="H436" s="736" t="str">
        <f>IF(D_ETS1Amounts!J687="","",D_ETS1Amounts!J687)</f>
        <v/>
      </c>
      <c r="I436" s="736" t="str">
        <f>IF(D_ETS1Amounts!K687="","",D_ETS1Amounts!K687)</f>
        <v/>
      </c>
      <c r="J436" s="736" t="str">
        <f>IF(D_ETS1Amounts!L687="","",D_ETS1Amounts!L687)</f>
        <v/>
      </c>
      <c r="K436" s="736" t="str">
        <f>IF(D_ETS1Amounts!M687="","",D_ETS1Amounts!M687)</f>
        <v/>
      </c>
      <c r="L436" s="737" t="str">
        <f>IF(D_ETS1Amounts!N687="","",D_ETS1Amounts!N687)</f>
        <v/>
      </c>
      <c r="M436" s="681"/>
    </row>
    <row r="437" spans="1:13" hidden="1" x14ac:dyDescent="0.25">
      <c r="A437" s="674" t="s">
        <v>0</v>
      </c>
      <c r="B437" s="679"/>
      <c r="D437" s="496">
        <v>148</v>
      </c>
      <c r="E437" s="736" t="str">
        <f>D_ETS1Amounts!F688</f>
        <v/>
      </c>
      <c r="F437" s="736" t="str">
        <f>IF(D_ETS1Amounts!H688="","",D_ETS1Amounts!H688)</f>
        <v/>
      </c>
      <c r="G437" s="736" t="str">
        <f>IF(D_ETS1Amounts!I688="","",D_ETS1Amounts!I688)</f>
        <v/>
      </c>
      <c r="H437" s="736" t="str">
        <f>IF(D_ETS1Amounts!J688="","",D_ETS1Amounts!J688)</f>
        <v/>
      </c>
      <c r="I437" s="736" t="str">
        <f>IF(D_ETS1Amounts!K688="","",D_ETS1Amounts!K688)</f>
        <v/>
      </c>
      <c r="J437" s="736" t="str">
        <f>IF(D_ETS1Amounts!L688="","",D_ETS1Amounts!L688)</f>
        <v/>
      </c>
      <c r="K437" s="736" t="str">
        <f>IF(D_ETS1Amounts!M688="","",D_ETS1Amounts!M688)</f>
        <v/>
      </c>
      <c r="L437" s="737" t="str">
        <f>IF(D_ETS1Amounts!N688="","",D_ETS1Amounts!N688)</f>
        <v/>
      </c>
      <c r="M437" s="681"/>
    </row>
    <row r="438" spans="1:13" hidden="1" x14ac:dyDescent="0.25">
      <c r="A438" s="674" t="s">
        <v>0</v>
      </c>
      <c r="B438" s="679"/>
      <c r="D438" s="496">
        <v>149</v>
      </c>
      <c r="E438" s="736" t="str">
        <f>D_ETS1Amounts!F689</f>
        <v/>
      </c>
      <c r="F438" s="736" t="str">
        <f>IF(D_ETS1Amounts!H689="","",D_ETS1Amounts!H689)</f>
        <v/>
      </c>
      <c r="G438" s="736" t="str">
        <f>IF(D_ETS1Amounts!I689="","",D_ETS1Amounts!I689)</f>
        <v/>
      </c>
      <c r="H438" s="736" t="str">
        <f>IF(D_ETS1Amounts!J689="","",D_ETS1Amounts!J689)</f>
        <v/>
      </c>
      <c r="I438" s="736" t="str">
        <f>IF(D_ETS1Amounts!K689="","",D_ETS1Amounts!K689)</f>
        <v/>
      </c>
      <c r="J438" s="736" t="str">
        <f>IF(D_ETS1Amounts!L689="","",D_ETS1Amounts!L689)</f>
        <v/>
      </c>
      <c r="K438" s="736" t="str">
        <f>IF(D_ETS1Amounts!M689="","",D_ETS1Amounts!M689)</f>
        <v/>
      </c>
      <c r="L438" s="737" t="str">
        <f>IF(D_ETS1Amounts!N689="","",D_ETS1Amounts!N689)</f>
        <v/>
      </c>
      <c r="M438" s="681"/>
    </row>
    <row r="439" spans="1:13" hidden="1" x14ac:dyDescent="0.25">
      <c r="A439" s="674" t="s">
        <v>0</v>
      </c>
      <c r="B439" s="679"/>
      <c r="D439" s="496">
        <v>150</v>
      </c>
      <c r="E439" s="736" t="str">
        <f>D_ETS1Amounts!F690</f>
        <v/>
      </c>
      <c r="F439" s="736" t="str">
        <f>IF(D_ETS1Amounts!H690="","",D_ETS1Amounts!H690)</f>
        <v/>
      </c>
      <c r="G439" s="736" t="str">
        <f>IF(D_ETS1Amounts!I690="","",D_ETS1Amounts!I690)</f>
        <v/>
      </c>
      <c r="H439" s="736" t="str">
        <f>IF(D_ETS1Amounts!J690="","",D_ETS1Amounts!J690)</f>
        <v/>
      </c>
      <c r="I439" s="736" t="str">
        <f>IF(D_ETS1Amounts!K690="","",D_ETS1Amounts!K690)</f>
        <v/>
      </c>
      <c r="J439" s="736" t="str">
        <f>IF(D_ETS1Amounts!L690="","",D_ETS1Amounts!L690)</f>
        <v/>
      </c>
      <c r="K439" s="736" t="str">
        <f>IF(D_ETS1Amounts!M690="","",D_ETS1Amounts!M690)</f>
        <v/>
      </c>
      <c r="L439" s="737" t="str">
        <f>IF(D_ETS1Amounts!N690="","",D_ETS1Amounts!N690)</f>
        <v/>
      </c>
      <c r="M439" s="681"/>
    </row>
    <row r="440" spans="1:13" hidden="1" x14ac:dyDescent="0.25">
      <c r="A440" s="674" t="s">
        <v>0</v>
      </c>
      <c r="B440" s="679"/>
      <c r="D440" s="496">
        <v>151</v>
      </c>
      <c r="E440" s="736" t="str">
        <f>D_ETS1Amounts!F691</f>
        <v/>
      </c>
      <c r="F440" s="736" t="str">
        <f>IF(D_ETS1Amounts!H691="","",D_ETS1Amounts!H691)</f>
        <v/>
      </c>
      <c r="G440" s="736" t="str">
        <f>IF(D_ETS1Amounts!I691="","",D_ETS1Amounts!I691)</f>
        <v/>
      </c>
      <c r="H440" s="736" t="str">
        <f>IF(D_ETS1Amounts!J691="","",D_ETS1Amounts!J691)</f>
        <v/>
      </c>
      <c r="I440" s="736" t="str">
        <f>IF(D_ETS1Amounts!K691="","",D_ETS1Amounts!K691)</f>
        <v/>
      </c>
      <c r="J440" s="736" t="str">
        <f>IF(D_ETS1Amounts!L691="","",D_ETS1Amounts!L691)</f>
        <v/>
      </c>
      <c r="K440" s="736" t="str">
        <f>IF(D_ETS1Amounts!M691="","",D_ETS1Amounts!M691)</f>
        <v/>
      </c>
      <c r="L440" s="737" t="str">
        <f>IF(D_ETS1Amounts!N691="","",D_ETS1Amounts!N691)</f>
        <v/>
      </c>
      <c r="M440" s="681"/>
    </row>
    <row r="441" spans="1:13" hidden="1" x14ac:dyDescent="0.25">
      <c r="A441" s="674" t="s">
        <v>0</v>
      </c>
      <c r="B441" s="679"/>
      <c r="D441" s="496">
        <v>152</v>
      </c>
      <c r="E441" s="736" t="str">
        <f>D_ETS1Amounts!F692</f>
        <v/>
      </c>
      <c r="F441" s="736" t="str">
        <f>IF(D_ETS1Amounts!H692="","",D_ETS1Amounts!H692)</f>
        <v/>
      </c>
      <c r="G441" s="736" t="str">
        <f>IF(D_ETS1Amounts!I692="","",D_ETS1Amounts!I692)</f>
        <v/>
      </c>
      <c r="H441" s="736" t="str">
        <f>IF(D_ETS1Amounts!J692="","",D_ETS1Amounts!J692)</f>
        <v/>
      </c>
      <c r="I441" s="736" t="str">
        <f>IF(D_ETS1Amounts!K692="","",D_ETS1Amounts!K692)</f>
        <v/>
      </c>
      <c r="J441" s="736" t="str">
        <f>IF(D_ETS1Amounts!L692="","",D_ETS1Amounts!L692)</f>
        <v/>
      </c>
      <c r="K441" s="736" t="str">
        <f>IF(D_ETS1Amounts!M692="","",D_ETS1Amounts!M692)</f>
        <v/>
      </c>
      <c r="L441" s="737" t="str">
        <f>IF(D_ETS1Amounts!N692="","",D_ETS1Amounts!N692)</f>
        <v/>
      </c>
      <c r="M441" s="681"/>
    </row>
    <row r="442" spans="1:13" hidden="1" x14ac:dyDescent="0.25">
      <c r="A442" s="674" t="s">
        <v>0</v>
      </c>
      <c r="B442" s="679"/>
      <c r="D442" s="496">
        <v>153</v>
      </c>
      <c r="E442" s="736" t="str">
        <f>D_ETS1Amounts!F693</f>
        <v/>
      </c>
      <c r="F442" s="736" t="str">
        <f>IF(D_ETS1Amounts!H693="","",D_ETS1Amounts!H693)</f>
        <v/>
      </c>
      <c r="G442" s="736" t="str">
        <f>IF(D_ETS1Amounts!I693="","",D_ETS1Amounts!I693)</f>
        <v/>
      </c>
      <c r="H442" s="736" t="str">
        <f>IF(D_ETS1Amounts!J693="","",D_ETS1Amounts!J693)</f>
        <v/>
      </c>
      <c r="I442" s="736" t="str">
        <f>IF(D_ETS1Amounts!K693="","",D_ETS1Amounts!K693)</f>
        <v/>
      </c>
      <c r="J442" s="736" t="str">
        <f>IF(D_ETS1Amounts!L693="","",D_ETS1Amounts!L693)</f>
        <v/>
      </c>
      <c r="K442" s="736" t="str">
        <f>IF(D_ETS1Amounts!M693="","",D_ETS1Amounts!M693)</f>
        <v/>
      </c>
      <c r="L442" s="737" t="str">
        <f>IF(D_ETS1Amounts!N693="","",D_ETS1Amounts!N693)</f>
        <v/>
      </c>
      <c r="M442" s="681"/>
    </row>
    <row r="443" spans="1:13" hidden="1" x14ac:dyDescent="0.25">
      <c r="A443" s="674" t="s">
        <v>0</v>
      </c>
      <c r="B443" s="679"/>
      <c r="D443" s="496">
        <v>154</v>
      </c>
      <c r="E443" s="736" t="str">
        <f>D_ETS1Amounts!F694</f>
        <v/>
      </c>
      <c r="F443" s="736" t="str">
        <f>IF(D_ETS1Amounts!H694="","",D_ETS1Amounts!H694)</f>
        <v/>
      </c>
      <c r="G443" s="736" t="str">
        <f>IF(D_ETS1Amounts!I694="","",D_ETS1Amounts!I694)</f>
        <v/>
      </c>
      <c r="H443" s="736" t="str">
        <f>IF(D_ETS1Amounts!J694="","",D_ETS1Amounts!J694)</f>
        <v/>
      </c>
      <c r="I443" s="736" t="str">
        <f>IF(D_ETS1Amounts!K694="","",D_ETS1Amounts!K694)</f>
        <v/>
      </c>
      <c r="J443" s="736" t="str">
        <f>IF(D_ETS1Amounts!L694="","",D_ETS1Amounts!L694)</f>
        <v/>
      </c>
      <c r="K443" s="736" t="str">
        <f>IF(D_ETS1Amounts!M694="","",D_ETS1Amounts!M694)</f>
        <v/>
      </c>
      <c r="L443" s="737" t="str">
        <f>IF(D_ETS1Amounts!N694="","",D_ETS1Amounts!N694)</f>
        <v/>
      </c>
      <c r="M443" s="681"/>
    </row>
    <row r="444" spans="1:13" hidden="1" x14ac:dyDescent="0.25">
      <c r="A444" s="674" t="s">
        <v>0</v>
      </c>
      <c r="B444" s="679"/>
      <c r="D444" s="496">
        <v>155</v>
      </c>
      <c r="E444" s="736" t="str">
        <f>D_ETS1Amounts!F695</f>
        <v/>
      </c>
      <c r="F444" s="736" t="str">
        <f>IF(D_ETS1Amounts!H695="","",D_ETS1Amounts!H695)</f>
        <v/>
      </c>
      <c r="G444" s="736" t="str">
        <f>IF(D_ETS1Amounts!I695="","",D_ETS1Amounts!I695)</f>
        <v/>
      </c>
      <c r="H444" s="736" t="str">
        <f>IF(D_ETS1Amounts!J695="","",D_ETS1Amounts!J695)</f>
        <v/>
      </c>
      <c r="I444" s="736" t="str">
        <f>IF(D_ETS1Amounts!K695="","",D_ETS1Amounts!K695)</f>
        <v/>
      </c>
      <c r="J444" s="736" t="str">
        <f>IF(D_ETS1Amounts!L695="","",D_ETS1Amounts!L695)</f>
        <v/>
      </c>
      <c r="K444" s="736" t="str">
        <f>IF(D_ETS1Amounts!M695="","",D_ETS1Amounts!M695)</f>
        <v/>
      </c>
      <c r="L444" s="737" t="str">
        <f>IF(D_ETS1Amounts!N695="","",D_ETS1Amounts!N695)</f>
        <v/>
      </c>
      <c r="M444" s="681"/>
    </row>
    <row r="445" spans="1:13" hidden="1" x14ac:dyDescent="0.25">
      <c r="A445" s="674" t="s">
        <v>0</v>
      </c>
      <c r="B445" s="679"/>
      <c r="D445" s="496">
        <v>156</v>
      </c>
      <c r="E445" s="736" t="str">
        <f>D_ETS1Amounts!F696</f>
        <v/>
      </c>
      <c r="F445" s="736" t="str">
        <f>IF(D_ETS1Amounts!H696="","",D_ETS1Amounts!H696)</f>
        <v/>
      </c>
      <c r="G445" s="736" t="str">
        <f>IF(D_ETS1Amounts!I696="","",D_ETS1Amounts!I696)</f>
        <v/>
      </c>
      <c r="H445" s="736" t="str">
        <f>IF(D_ETS1Amounts!J696="","",D_ETS1Amounts!J696)</f>
        <v/>
      </c>
      <c r="I445" s="736" t="str">
        <f>IF(D_ETS1Amounts!K696="","",D_ETS1Amounts!K696)</f>
        <v/>
      </c>
      <c r="J445" s="736" t="str">
        <f>IF(D_ETS1Amounts!L696="","",D_ETS1Amounts!L696)</f>
        <v/>
      </c>
      <c r="K445" s="736" t="str">
        <f>IF(D_ETS1Amounts!M696="","",D_ETS1Amounts!M696)</f>
        <v/>
      </c>
      <c r="L445" s="737" t="str">
        <f>IF(D_ETS1Amounts!N696="","",D_ETS1Amounts!N696)</f>
        <v/>
      </c>
      <c r="M445" s="681"/>
    </row>
    <row r="446" spans="1:13" hidden="1" x14ac:dyDescent="0.25">
      <c r="A446" s="674" t="s">
        <v>0</v>
      </c>
      <c r="B446" s="679"/>
      <c r="D446" s="496">
        <v>157</v>
      </c>
      <c r="E446" s="736" t="str">
        <f>D_ETS1Amounts!F697</f>
        <v/>
      </c>
      <c r="F446" s="736" t="str">
        <f>IF(D_ETS1Amounts!H697="","",D_ETS1Amounts!H697)</f>
        <v/>
      </c>
      <c r="G446" s="736" t="str">
        <f>IF(D_ETS1Amounts!I697="","",D_ETS1Amounts!I697)</f>
        <v/>
      </c>
      <c r="H446" s="736" t="str">
        <f>IF(D_ETS1Amounts!J697="","",D_ETS1Amounts!J697)</f>
        <v/>
      </c>
      <c r="I446" s="736" t="str">
        <f>IF(D_ETS1Amounts!K697="","",D_ETS1Amounts!K697)</f>
        <v/>
      </c>
      <c r="J446" s="736" t="str">
        <f>IF(D_ETS1Amounts!L697="","",D_ETS1Amounts!L697)</f>
        <v/>
      </c>
      <c r="K446" s="736" t="str">
        <f>IF(D_ETS1Amounts!M697="","",D_ETS1Amounts!M697)</f>
        <v/>
      </c>
      <c r="L446" s="737" t="str">
        <f>IF(D_ETS1Amounts!N697="","",D_ETS1Amounts!N697)</f>
        <v/>
      </c>
      <c r="M446" s="681"/>
    </row>
    <row r="447" spans="1:13" hidden="1" x14ac:dyDescent="0.25">
      <c r="A447" s="674" t="s">
        <v>0</v>
      </c>
      <c r="B447" s="679"/>
      <c r="D447" s="496">
        <v>158</v>
      </c>
      <c r="E447" s="736" t="str">
        <f>D_ETS1Amounts!F698</f>
        <v/>
      </c>
      <c r="F447" s="736" t="str">
        <f>IF(D_ETS1Amounts!H698="","",D_ETS1Amounts!H698)</f>
        <v/>
      </c>
      <c r="G447" s="736" t="str">
        <f>IF(D_ETS1Amounts!I698="","",D_ETS1Amounts!I698)</f>
        <v/>
      </c>
      <c r="H447" s="736" t="str">
        <f>IF(D_ETS1Amounts!J698="","",D_ETS1Amounts!J698)</f>
        <v/>
      </c>
      <c r="I447" s="736" t="str">
        <f>IF(D_ETS1Amounts!K698="","",D_ETS1Amounts!K698)</f>
        <v/>
      </c>
      <c r="J447" s="736" t="str">
        <f>IF(D_ETS1Amounts!L698="","",D_ETS1Amounts!L698)</f>
        <v/>
      </c>
      <c r="K447" s="736" t="str">
        <f>IF(D_ETS1Amounts!M698="","",D_ETS1Amounts!M698)</f>
        <v/>
      </c>
      <c r="L447" s="737" t="str">
        <f>IF(D_ETS1Amounts!N698="","",D_ETS1Amounts!N698)</f>
        <v/>
      </c>
      <c r="M447" s="681"/>
    </row>
    <row r="448" spans="1:13" hidden="1" x14ac:dyDescent="0.25">
      <c r="A448" s="674" t="s">
        <v>0</v>
      </c>
      <c r="B448" s="679"/>
      <c r="D448" s="496">
        <v>159</v>
      </c>
      <c r="E448" s="736" t="str">
        <f>D_ETS1Amounts!F699</f>
        <v/>
      </c>
      <c r="F448" s="736" t="str">
        <f>IF(D_ETS1Amounts!H699="","",D_ETS1Amounts!H699)</f>
        <v/>
      </c>
      <c r="G448" s="736" t="str">
        <f>IF(D_ETS1Amounts!I699="","",D_ETS1Amounts!I699)</f>
        <v/>
      </c>
      <c r="H448" s="736" t="str">
        <f>IF(D_ETS1Amounts!J699="","",D_ETS1Amounts!J699)</f>
        <v/>
      </c>
      <c r="I448" s="736" t="str">
        <f>IF(D_ETS1Amounts!K699="","",D_ETS1Amounts!K699)</f>
        <v/>
      </c>
      <c r="J448" s="736" t="str">
        <f>IF(D_ETS1Amounts!L699="","",D_ETS1Amounts!L699)</f>
        <v/>
      </c>
      <c r="K448" s="736" t="str">
        <f>IF(D_ETS1Amounts!M699="","",D_ETS1Amounts!M699)</f>
        <v/>
      </c>
      <c r="L448" s="737" t="str">
        <f>IF(D_ETS1Amounts!N699="","",D_ETS1Amounts!N699)</f>
        <v/>
      </c>
      <c r="M448" s="681"/>
    </row>
    <row r="449" spans="1:13" hidden="1" x14ac:dyDescent="0.25">
      <c r="A449" s="674" t="s">
        <v>0</v>
      </c>
      <c r="B449" s="679"/>
      <c r="D449" s="496">
        <v>160</v>
      </c>
      <c r="E449" s="736" t="str">
        <f>D_ETS1Amounts!F700</f>
        <v/>
      </c>
      <c r="F449" s="736" t="str">
        <f>IF(D_ETS1Amounts!H700="","",D_ETS1Amounts!H700)</f>
        <v/>
      </c>
      <c r="G449" s="736" t="str">
        <f>IF(D_ETS1Amounts!I700="","",D_ETS1Amounts!I700)</f>
        <v/>
      </c>
      <c r="H449" s="736" t="str">
        <f>IF(D_ETS1Amounts!J700="","",D_ETS1Amounts!J700)</f>
        <v/>
      </c>
      <c r="I449" s="736" t="str">
        <f>IF(D_ETS1Amounts!K700="","",D_ETS1Amounts!K700)</f>
        <v/>
      </c>
      <c r="J449" s="736" t="str">
        <f>IF(D_ETS1Amounts!L700="","",D_ETS1Amounts!L700)</f>
        <v/>
      </c>
      <c r="K449" s="736" t="str">
        <f>IF(D_ETS1Amounts!M700="","",D_ETS1Amounts!M700)</f>
        <v/>
      </c>
      <c r="L449" s="737" t="str">
        <f>IF(D_ETS1Amounts!N700="","",D_ETS1Amounts!N700)</f>
        <v/>
      </c>
      <c r="M449" s="681"/>
    </row>
    <row r="450" spans="1:13" hidden="1" x14ac:dyDescent="0.25">
      <c r="A450" s="674" t="s">
        <v>0</v>
      </c>
      <c r="B450" s="679"/>
      <c r="D450" s="496">
        <v>161</v>
      </c>
      <c r="E450" s="736" t="str">
        <f>D_ETS1Amounts!F701</f>
        <v/>
      </c>
      <c r="F450" s="736" t="str">
        <f>IF(D_ETS1Amounts!H701="","",D_ETS1Amounts!H701)</f>
        <v/>
      </c>
      <c r="G450" s="736" t="str">
        <f>IF(D_ETS1Amounts!I701="","",D_ETS1Amounts!I701)</f>
        <v/>
      </c>
      <c r="H450" s="736" t="str">
        <f>IF(D_ETS1Amounts!J701="","",D_ETS1Amounts!J701)</f>
        <v/>
      </c>
      <c r="I450" s="736" t="str">
        <f>IF(D_ETS1Amounts!K701="","",D_ETS1Amounts!K701)</f>
        <v/>
      </c>
      <c r="J450" s="736" t="str">
        <f>IF(D_ETS1Amounts!L701="","",D_ETS1Amounts!L701)</f>
        <v/>
      </c>
      <c r="K450" s="736" t="str">
        <f>IF(D_ETS1Amounts!M701="","",D_ETS1Amounts!M701)</f>
        <v/>
      </c>
      <c r="L450" s="737" t="str">
        <f>IF(D_ETS1Amounts!N701="","",D_ETS1Amounts!N701)</f>
        <v/>
      </c>
      <c r="M450" s="681"/>
    </row>
    <row r="451" spans="1:13" hidden="1" x14ac:dyDescent="0.25">
      <c r="A451" s="674" t="s">
        <v>0</v>
      </c>
      <c r="B451" s="679"/>
      <c r="D451" s="496">
        <v>162</v>
      </c>
      <c r="E451" s="736" t="str">
        <f>D_ETS1Amounts!F702</f>
        <v/>
      </c>
      <c r="F451" s="736" t="str">
        <f>IF(D_ETS1Amounts!H702="","",D_ETS1Amounts!H702)</f>
        <v/>
      </c>
      <c r="G451" s="736" t="str">
        <f>IF(D_ETS1Amounts!I702="","",D_ETS1Amounts!I702)</f>
        <v/>
      </c>
      <c r="H451" s="736" t="str">
        <f>IF(D_ETS1Amounts!J702="","",D_ETS1Amounts!J702)</f>
        <v/>
      </c>
      <c r="I451" s="736" t="str">
        <f>IF(D_ETS1Amounts!K702="","",D_ETS1Amounts!K702)</f>
        <v/>
      </c>
      <c r="J451" s="736" t="str">
        <f>IF(D_ETS1Amounts!L702="","",D_ETS1Amounts!L702)</f>
        <v/>
      </c>
      <c r="K451" s="736" t="str">
        <f>IF(D_ETS1Amounts!M702="","",D_ETS1Amounts!M702)</f>
        <v/>
      </c>
      <c r="L451" s="737" t="str">
        <f>IF(D_ETS1Amounts!N702="","",D_ETS1Amounts!N702)</f>
        <v/>
      </c>
      <c r="M451" s="681"/>
    </row>
    <row r="452" spans="1:13" hidden="1" x14ac:dyDescent="0.25">
      <c r="A452" s="674" t="s">
        <v>0</v>
      </c>
      <c r="B452" s="679"/>
      <c r="D452" s="496">
        <v>163</v>
      </c>
      <c r="E452" s="736" t="str">
        <f>D_ETS1Amounts!F703</f>
        <v/>
      </c>
      <c r="F452" s="736" t="str">
        <f>IF(D_ETS1Amounts!H703="","",D_ETS1Amounts!H703)</f>
        <v/>
      </c>
      <c r="G452" s="736" t="str">
        <f>IF(D_ETS1Amounts!I703="","",D_ETS1Amounts!I703)</f>
        <v/>
      </c>
      <c r="H452" s="736" t="str">
        <f>IF(D_ETS1Amounts!J703="","",D_ETS1Amounts!J703)</f>
        <v/>
      </c>
      <c r="I452" s="736" t="str">
        <f>IF(D_ETS1Amounts!K703="","",D_ETS1Amounts!K703)</f>
        <v/>
      </c>
      <c r="J452" s="736" t="str">
        <f>IF(D_ETS1Amounts!L703="","",D_ETS1Amounts!L703)</f>
        <v/>
      </c>
      <c r="K452" s="736" t="str">
        <f>IF(D_ETS1Amounts!M703="","",D_ETS1Amounts!M703)</f>
        <v/>
      </c>
      <c r="L452" s="737" t="str">
        <f>IF(D_ETS1Amounts!N703="","",D_ETS1Amounts!N703)</f>
        <v/>
      </c>
      <c r="M452" s="681"/>
    </row>
    <row r="453" spans="1:13" hidden="1" x14ac:dyDescent="0.25">
      <c r="A453" s="674" t="s">
        <v>0</v>
      </c>
      <c r="B453" s="679"/>
      <c r="D453" s="496">
        <v>164</v>
      </c>
      <c r="E453" s="736" t="str">
        <f>D_ETS1Amounts!F704</f>
        <v/>
      </c>
      <c r="F453" s="736" t="str">
        <f>IF(D_ETS1Amounts!H704="","",D_ETS1Amounts!H704)</f>
        <v/>
      </c>
      <c r="G453" s="736" t="str">
        <f>IF(D_ETS1Amounts!I704="","",D_ETS1Amounts!I704)</f>
        <v/>
      </c>
      <c r="H453" s="736" t="str">
        <f>IF(D_ETS1Amounts!J704="","",D_ETS1Amounts!J704)</f>
        <v/>
      </c>
      <c r="I453" s="736" t="str">
        <f>IF(D_ETS1Amounts!K704="","",D_ETS1Amounts!K704)</f>
        <v/>
      </c>
      <c r="J453" s="736" t="str">
        <f>IF(D_ETS1Amounts!L704="","",D_ETS1Amounts!L704)</f>
        <v/>
      </c>
      <c r="K453" s="736" t="str">
        <f>IF(D_ETS1Amounts!M704="","",D_ETS1Amounts!M704)</f>
        <v/>
      </c>
      <c r="L453" s="737" t="str">
        <f>IF(D_ETS1Amounts!N704="","",D_ETS1Amounts!N704)</f>
        <v/>
      </c>
      <c r="M453" s="681"/>
    </row>
    <row r="454" spans="1:13" hidden="1" x14ac:dyDescent="0.25">
      <c r="A454" s="674" t="s">
        <v>0</v>
      </c>
      <c r="B454" s="679"/>
      <c r="D454" s="496">
        <v>165</v>
      </c>
      <c r="E454" s="736" t="str">
        <f>D_ETS1Amounts!F705</f>
        <v/>
      </c>
      <c r="F454" s="736" t="str">
        <f>IF(D_ETS1Amounts!H705="","",D_ETS1Amounts!H705)</f>
        <v/>
      </c>
      <c r="G454" s="736" t="str">
        <f>IF(D_ETS1Amounts!I705="","",D_ETS1Amounts!I705)</f>
        <v/>
      </c>
      <c r="H454" s="736" t="str">
        <f>IF(D_ETS1Amounts!J705="","",D_ETS1Amounts!J705)</f>
        <v/>
      </c>
      <c r="I454" s="736" t="str">
        <f>IF(D_ETS1Amounts!K705="","",D_ETS1Amounts!K705)</f>
        <v/>
      </c>
      <c r="J454" s="736" t="str">
        <f>IF(D_ETS1Amounts!L705="","",D_ETS1Amounts!L705)</f>
        <v/>
      </c>
      <c r="K454" s="736" t="str">
        <f>IF(D_ETS1Amounts!M705="","",D_ETS1Amounts!M705)</f>
        <v/>
      </c>
      <c r="L454" s="737" t="str">
        <f>IF(D_ETS1Amounts!N705="","",D_ETS1Amounts!N705)</f>
        <v/>
      </c>
      <c r="M454" s="681"/>
    </row>
    <row r="455" spans="1:13" hidden="1" x14ac:dyDescent="0.25">
      <c r="A455" s="674" t="s">
        <v>0</v>
      </c>
      <c r="B455" s="679"/>
      <c r="D455" s="496">
        <v>166</v>
      </c>
      <c r="E455" s="736" t="str">
        <f>D_ETS1Amounts!F706</f>
        <v/>
      </c>
      <c r="F455" s="736" t="str">
        <f>IF(D_ETS1Amounts!H706="","",D_ETS1Amounts!H706)</f>
        <v/>
      </c>
      <c r="G455" s="736" t="str">
        <f>IF(D_ETS1Amounts!I706="","",D_ETS1Amounts!I706)</f>
        <v/>
      </c>
      <c r="H455" s="736" t="str">
        <f>IF(D_ETS1Amounts!J706="","",D_ETS1Amounts!J706)</f>
        <v/>
      </c>
      <c r="I455" s="736" t="str">
        <f>IF(D_ETS1Amounts!K706="","",D_ETS1Amounts!K706)</f>
        <v/>
      </c>
      <c r="J455" s="736" t="str">
        <f>IF(D_ETS1Amounts!L706="","",D_ETS1Amounts!L706)</f>
        <v/>
      </c>
      <c r="K455" s="736" t="str">
        <f>IF(D_ETS1Amounts!M706="","",D_ETS1Amounts!M706)</f>
        <v/>
      </c>
      <c r="L455" s="737" t="str">
        <f>IF(D_ETS1Amounts!N706="","",D_ETS1Amounts!N706)</f>
        <v/>
      </c>
      <c r="M455" s="681"/>
    </row>
    <row r="456" spans="1:13" hidden="1" x14ac:dyDescent="0.25">
      <c r="A456" s="674" t="s">
        <v>0</v>
      </c>
      <c r="B456" s="679"/>
      <c r="D456" s="496">
        <v>167</v>
      </c>
      <c r="E456" s="736" t="str">
        <f>D_ETS1Amounts!F707</f>
        <v/>
      </c>
      <c r="F456" s="736" t="str">
        <f>IF(D_ETS1Amounts!H707="","",D_ETS1Amounts!H707)</f>
        <v/>
      </c>
      <c r="G456" s="736" t="str">
        <f>IF(D_ETS1Amounts!I707="","",D_ETS1Amounts!I707)</f>
        <v/>
      </c>
      <c r="H456" s="736" t="str">
        <f>IF(D_ETS1Amounts!J707="","",D_ETS1Amounts!J707)</f>
        <v/>
      </c>
      <c r="I456" s="736" t="str">
        <f>IF(D_ETS1Amounts!K707="","",D_ETS1Amounts!K707)</f>
        <v/>
      </c>
      <c r="J456" s="736" t="str">
        <f>IF(D_ETS1Amounts!L707="","",D_ETS1Amounts!L707)</f>
        <v/>
      </c>
      <c r="K456" s="736" t="str">
        <f>IF(D_ETS1Amounts!M707="","",D_ETS1Amounts!M707)</f>
        <v/>
      </c>
      <c r="L456" s="737" t="str">
        <f>IF(D_ETS1Amounts!N707="","",D_ETS1Amounts!N707)</f>
        <v/>
      </c>
      <c r="M456" s="681"/>
    </row>
    <row r="457" spans="1:13" hidden="1" x14ac:dyDescent="0.25">
      <c r="A457" s="674" t="s">
        <v>0</v>
      </c>
      <c r="B457" s="679"/>
      <c r="D457" s="496">
        <v>168</v>
      </c>
      <c r="E457" s="736" t="str">
        <f>D_ETS1Amounts!F708</f>
        <v/>
      </c>
      <c r="F457" s="736" t="str">
        <f>IF(D_ETS1Amounts!H708="","",D_ETS1Amounts!H708)</f>
        <v/>
      </c>
      <c r="G457" s="736" t="str">
        <f>IF(D_ETS1Amounts!I708="","",D_ETS1Amounts!I708)</f>
        <v/>
      </c>
      <c r="H457" s="736" t="str">
        <f>IF(D_ETS1Amounts!J708="","",D_ETS1Amounts!J708)</f>
        <v/>
      </c>
      <c r="I457" s="736" t="str">
        <f>IF(D_ETS1Amounts!K708="","",D_ETS1Amounts!K708)</f>
        <v/>
      </c>
      <c r="J457" s="736" t="str">
        <f>IF(D_ETS1Amounts!L708="","",D_ETS1Amounts!L708)</f>
        <v/>
      </c>
      <c r="K457" s="736" t="str">
        <f>IF(D_ETS1Amounts!M708="","",D_ETS1Amounts!M708)</f>
        <v/>
      </c>
      <c r="L457" s="737" t="str">
        <f>IF(D_ETS1Amounts!N708="","",D_ETS1Amounts!N708)</f>
        <v/>
      </c>
      <c r="M457" s="681"/>
    </row>
    <row r="458" spans="1:13" hidden="1" x14ac:dyDescent="0.25">
      <c r="A458" s="674" t="s">
        <v>0</v>
      </c>
      <c r="B458" s="679"/>
      <c r="D458" s="496">
        <v>169</v>
      </c>
      <c r="E458" s="736" t="str">
        <f>D_ETS1Amounts!F709</f>
        <v/>
      </c>
      <c r="F458" s="736" t="str">
        <f>IF(D_ETS1Amounts!H709="","",D_ETS1Amounts!H709)</f>
        <v/>
      </c>
      <c r="G458" s="736" t="str">
        <f>IF(D_ETS1Amounts!I709="","",D_ETS1Amounts!I709)</f>
        <v/>
      </c>
      <c r="H458" s="736" t="str">
        <f>IF(D_ETS1Amounts!J709="","",D_ETS1Amounts!J709)</f>
        <v/>
      </c>
      <c r="I458" s="736" t="str">
        <f>IF(D_ETS1Amounts!K709="","",D_ETS1Amounts!K709)</f>
        <v/>
      </c>
      <c r="J458" s="736" t="str">
        <f>IF(D_ETS1Amounts!L709="","",D_ETS1Amounts!L709)</f>
        <v/>
      </c>
      <c r="K458" s="736" t="str">
        <f>IF(D_ETS1Amounts!M709="","",D_ETS1Amounts!M709)</f>
        <v/>
      </c>
      <c r="L458" s="737" t="str">
        <f>IF(D_ETS1Amounts!N709="","",D_ETS1Amounts!N709)</f>
        <v/>
      </c>
      <c r="M458" s="681"/>
    </row>
    <row r="459" spans="1:13" hidden="1" x14ac:dyDescent="0.25">
      <c r="A459" s="674" t="s">
        <v>0</v>
      </c>
      <c r="B459" s="679"/>
      <c r="D459" s="496">
        <v>170</v>
      </c>
      <c r="E459" s="736" t="str">
        <f>D_ETS1Amounts!F710</f>
        <v/>
      </c>
      <c r="F459" s="736" t="str">
        <f>IF(D_ETS1Amounts!H710="","",D_ETS1Amounts!H710)</f>
        <v/>
      </c>
      <c r="G459" s="736" t="str">
        <f>IF(D_ETS1Amounts!I710="","",D_ETS1Amounts!I710)</f>
        <v/>
      </c>
      <c r="H459" s="736" t="str">
        <f>IF(D_ETS1Amounts!J710="","",D_ETS1Amounts!J710)</f>
        <v/>
      </c>
      <c r="I459" s="736" t="str">
        <f>IF(D_ETS1Amounts!K710="","",D_ETS1Amounts!K710)</f>
        <v/>
      </c>
      <c r="J459" s="736" t="str">
        <f>IF(D_ETS1Amounts!L710="","",D_ETS1Amounts!L710)</f>
        <v/>
      </c>
      <c r="K459" s="736" t="str">
        <f>IF(D_ETS1Amounts!M710="","",D_ETS1Amounts!M710)</f>
        <v/>
      </c>
      <c r="L459" s="737" t="str">
        <f>IF(D_ETS1Amounts!N710="","",D_ETS1Amounts!N710)</f>
        <v/>
      </c>
      <c r="M459" s="681"/>
    </row>
    <row r="460" spans="1:13" hidden="1" x14ac:dyDescent="0.25">
      <c r="A460" s="674" t="s">
        <v>0</v>
      </c>
      <c r="B460" s="679"/>
      <c r="D460" s="496">
        <v>171</v>
      </c>
      <c r="E460" s="736" t="str">
        <f>D_ETS1Amounts!F711</f>
        <v/>
      </c>
      <c r="F460" s="736" t="str">
        <f>IF(D_ETS1Amounts!H711="","",D_ETS1Amounts!H711)</f>
        <v/>
      </c>
      <c r="G460" s="736" t="str">
        <f>IF(D_ETS1Amounts!I711="","",D_ETS1Amounts!I711)</f>
        <v/>
      </c>
      <c r="H460" s="736" t="str">
        <f>IF(D_ETS1Amounts!J711="","",D_ETS1Amounts!J711)</f>
        <v/>
      </c>
      <c r="I460" s="736" t="str">
        <f>IF(D_ETS1Amounts!K711="","",D_ETS1Amounts!K711)</f>
        <v/>
      </c>
      <c r="J460" s="736" t="str">
        <f>IF(D_ETS1Amounts!L711="","",D_ETS1Amounts!L711)</f>
        <v/>
      </c>
      <c r="K460" s="736" t="str">
        <f>IF(D_ETS1Amounts!M711="","",D_ETS1Amounts!M711)</f>
        <v/>
      </c>
      <c r="L460" s="737" t="str">
        <f>IF(D_ETS1Amounts!N711="","",D_ETS1Amounts!N711)</f>
        <v/>
      </c>
      <c r="M460" s="681"/>
    </row>
    <row r="461" spans="1:13" hidden="1" x14ac:dyDescent="0.25">
      <c r="A461" s="674" t="s">
        <v>0</v>
      </c>
      <c r="B461" s="679"/>
      <c r="D461" s="496">
        <v>172</v>
      </c>
      <c r="E461" s="736" t="str">
        <f>D_ETS1Amounts!F712</f>
        <v/>
      </c>
      <c r="F461" s="736" t="str">
        <f>IF(D_ETS1Amounts!H712="","",D_ETS1Amounts!H712)</f>
        <v/>
      </c>
      <c r="G461" s="736" t="str">
        <f>IF(D_ETS1Amounts!I712="","",D_ETS1Amounts!I712)</f>
        <v/>
      </c>
      <c r="H461" s="736" t="str">
        <f>IF(D_ETS1Amounts!J712="","",D_ETS1Amounts!J712)</f>
        <v/>
      </c>
      <c r="I461" s="736" t="str">
        <f>IF(D_ETS1Amounts!K712="","",D_ETS1Amounts!K712)</f>
        <v/>
      </c>
      <c r="J461" s="736" t="str">
        <f>IF(D_ETS1Amounts!L712="","",D_ETS1Amounts!L712)</f>
        <v/>
      </c>
      <c r="K461" s="736" t="str">
        <f>IF(D_ETS1Amounts!M712="","",D_ETS1Amounts!M712)</f>
        <v/>
      </c>
      <c r="L461" s="737" t="str">
        <f>IF(D_ETS1Amounts!N712="","",D_ETS1Amounts!N712)</f>
        <v/>
      </c>
      <c r="M461" s="681"/>
    </row>
    <row r="462" spans="1:13" hidden="1" x14ac:dyDescent="0.25">
      <c r="A462" s="674" t="s">
        <v>0</v>
      </c>
      <c r="B462" s="679"/>
      <c r="D462" s="496">
        <v>173</v>
      </c>
      <c r="E462" s="736" t="str">
        <f>D_ETS1Amounts!F713</f>
        <v/>
      </c>
      <c r="F462" s="736" t="str">
        <f>IF(D_ETS1Amounts!H713="","",D_ETS1Amounts!H713)</f>
        <v/>
      </c>
      <c r="G462" s="736" t="str">
        <f>IF(D_ETS1Amounts!I713="","",D_ETS1Amounts!I713)</f>
        <v/>
      </c>
      <c r="H462" s="736" t="str">
        <f>IF(D_ETS1Amounts!J713="","",D_ETS1Amounts!J713)</f>
        <v/>
      </c>
      <c r="I462" s="736" t="str">
        <f>IF(D_ETS1Amounts!K713="","",D_ETS1Amounts!K713)</f>
        <v/>
      </c>
      <c r="J462" s="736" t="str">
        <f>IF(D_ETS1Amounts!L713="","",D_ETS1Amounts!L713)</f>
        <v/>
      </c>
      <c r="K462" s="736" t="str">
        <f>IF(D_ETS1Amounts!M713="","",D_ETS1Amounts!M713)</f>
        <v/>
      </c>
      <c r="L462" s="737" t="str">
        <f>IF(D_ETS1Amounts!N713="","",D_ETS1Amounts!N713)</f>
        <v/>
      </c>
      <c r="M462" s="681"/>
    </row>
    <row r="463" spans="1:13" hidden="1" x14ac:dyDescent="0.25">
      <c r="A463" s="674" t="s">
        <v>0</v>
      </c>
      <c r="B463" s="679"/>
      <c r="D463" s="496">
        <v>174</v>
      </c>
      <c r="E463" s="736" t="str">
        <f>D_ETS1Amounts!F714</f>
        <v/>
      </c>
      <c r="F463" s="736" t="str">
        <f>IF(D_ETS1Amounts!H714="","",D_ETS1Amounts!H714)</f>
        <v/>
      </c>
      <c r="G463" s="736" t="str">
        <f>IF(D_ETS1Amounts!I714="","",D_ETS1Amounts!I714)</f>
        <v/>
      </c>
      <c r="H463" s="736" t="str">
        <f>IF(D_ETS1Amounts!J714="","",D_ETS1Amounts!J714)</f>
        <v/>
      </c>
      <c r="I463" s="736" t="str">
        <f>IF(D_ETS1Amounts!K714="","",D_ETS1Amounts!K714)</f>
        <v/>
      </c>
      <c r="J463" s="736" t="str">
        <f>IF(D_ETS1Amounts!L714="","",D_ETS1Amounts!L714)</f>
        <v/>
      </c>
      <c r="K463" s="736" t="str">
        <f>IF(D_ETS1Amounts!M714="","",D_ETS1Amounts!M714)</f>
        <v/>
      </c>
      <c r="L463" s="737" t="str">
        <f>IF(D_ETS1Amounts!N714="","",D_ETS1Amounts!N714)</f>
        <v/>
      </c>
      <c r="M463" s="681"/>
    </row>
    <row r="464" spans="1:13" hidden="1" x14ac:dyDescent="0.25">
      <c r="A464" s="674" t="s">
        <v>0</v>
      </c>
      <c r="B464" s="679"/>
      <c r="D464" s="496">
        <v>175</v>
      </c>
      <c r="E464" s="736" t="str">
        <f>D_ETS1Amounts!F715</f>
        <v/>
      </c>
      <c r="F464" s="736" t="str">
        <f>IF(D_ETS1Amounts!H715="","",D_ETS1Amounts!H715)</f>
        <v/>
      </c>
      <c r="G464" s="736" t="str">
        <f>IF(D_ETS1Amounts!I715="","",D_ETS1Amounts!I715)</f>
        <v/>
      </c>
      <c r="H464" s="736" t="str">
        <f>IF(D_ETS1Amounts!J715="","",D_ETS1Amounts!J715)</f>
        <v/>
      </c>
      <c r="I464" s="736" t="str">
        <f>IF(D_ETS1Amounts!K715="","",D_ETS1Amounts!K715)</f>
        <v/>
      </c>
      <c r="J464" s="736" t="str">
        <f>IF(D_ETS1Amounts!L715="","",D_ETS1Amounts!L715)</f>
        <v/>
      </c>
      <c r="K464" s="736" t="str">
        <f>IF(D_ETS1Amounts!M715="","",D_ETS1Amounts!M715)</f>
        <v/>
      </c>
      <c r="L464" s="737" t="str">
        <f>IF(D_ETS1Amounts!N715="","",D_ETS1Amounts!N715)</f>
        <v/>
      </c>
      <c r="M464" s="681"/>
    </row>
    <row r="465" spans="1:13" hidden="1" x14ac:dyDescent="0.25">
      <c r="A465" s="674" t="s">
        <v>0</v>
      </c>
      <c r="B465" s="679"/>
      <c r="D465" s="496">
        <v>176</v>
      </c>
      <c r="E465" s="736" t="str">
        <f>D_ETS1Amounts!F716</f>
        <v/>
      </c>
      <c r="F465" s="736" t="str">
        <f>IF(D_ETS1Amounts!H716="","",D_ETS1Amounts!H716)</f>
        <v/>
      </c>
      <c r="G465" s="736" t="str">
        <f>IF(D_ETS1Amounts!I716="","",D_ETS1Amounts!I716)</f>
        <v/>
      </c>
      <c r="H465" s="736" t="str">
        <f>IF(D_ETS1Amounts!J716="","",D_ETS1Amounts!J716)</f>
        <v/>
      </c>
      <c r="I465" s="736" t="str">
        <f>IF(D_ETS1Amounts!K716="","",D_ETS1Amounts!K716)</f>
        <v/>
      </c>
      <c r="J465" s="736" t="str">
        <f>IF(D_ETS1Amounts!L716="","",D_ETS1Amounts!L716)</f>
        <v/>
      </c>
      <c r="K465" s="736" t="str">
        <f>IF(D_ETS1Amounts!M716="","",D_ETS1Amounts!M716)</f>
        <v/>
      </c>
      <c r="L465" s="737" t="str">
        <f>IF(D_ETS1Amounts!N716="","",D_ETS1Amounts!N716)</f>
        <v/>
      </c>
      <c r="M465" s="681"/>
    </row>
    <row r="466" spans="1:13" hidden="1" x14ac:dyDescent="0.25">
      <c r="A466" s="674" t="s">
        <v>0</v>
      </c>
      <c r="B466" s="679"/>
      <c r="D466" s="496">
        <v>177</v>
      </c>
      <c r="E466" s="736" t="str">
        <f>D_ETS1Amounts!F717</f>
        <v/>
      </c>
      <c r="F466" s="736" t="str">
        <f>IF(D_ETS1Amounts!H717="","",D_ETS1Amounts!H717)</f>
        <v/>
      </c>
      <c r="G466" s="736" t="str">
        <f>IF(D_ETS1Amounts!I717="","",D_ETS1Amounts!I717)</f>
        <v/>
      </c>
      <c r="H466" s="736" t="str">
        <f>IF(D_ETS1Amounts!J717="","",D_ETS1Amounts!J717)</f>
        <v/>
      </c>
      <c r="I466" s="736" t="str">
        <f>IF(D_ETS1Amounts!K717="","",D_ETS1Amounts!K717)</f>
        <v/>
      </c>
      <c r="J466" s="736" t="str">
        <f>IF(D_ETS1Amounts!L717="","",D_ETS1Amounts!L717)</f>
        <v/>
      </c>
      <c r="K466" s="736" t="str">
        <f>IF(D_ETS1Amounts!M717="","",D_ETS1Amounts!M717)</f>
        <v/>
      </c>
      <c r="L466" s="737" t="str">
        <f>IF(D_ETS1Amounts!N717="","",D_ETS1Amounts!N717)</f>
        <v/>
      </c>
      <c r="M466" s="681"/>
    </row>
    <row r="467" spans="1:13" hidden="1" x14ac:dyDescent="0.25">
      <c r="A467" s="674" t="s">
        <v>0</v>
      </c>
      <c r="B467" s="679"/>
      <c r="D467" s="496">
        <v>178</v>
      </c>
      <c r="E467" s="736" t="str">
        <f>D_ETS1Amounts!F718</f>
        <v/>
      </c>
      <c r="F467" s="736" t="str">
        <f>IF(D_ETS1Amounts!H718="","",D_ETS1Amounts!H718)</f>
        <v/>
      </c>
      <c r="G467" s="736" t="str">
        <f>IF(D_ETS1Amounts!I718="","",D_ETS1Amounts!I718)</f>
        <v/>
      </c>
      <c r="H467" s="736" t="str">
        <f>IF(D_ETS1Amounts!J718="","",D_ETS1Amounts!J718)</f>
        <v/>
      </c>
      <c r="I467" s="736" t="str">
        <f>IF(D_ETS1Amounts!K718="","",D_ETS1Amounts!K718)</f>
        <v/>
      </c>
      <c r="J467" s="736" t="str">
        <f>IF(D_ETS1Amounts!L718="","",D_ETS1Amounts!L718)</f>
        <v/>
      </c>
      <c r="K467" s="736" t="str">
        <f>IF(D_ETS1Amounts!M718="","",D_ETS1Amounts!M718)</f>
        <v/>
      </c>
      <c r="L467" s="737" t="str">
        <f>IF(D_ETS1Amounts!N718="","",D_ETS1Amounts!N718)</f>
        <v/>
      </c>
      <c r="M467" s="681"/>
    </row>
    <row r="468" spans="1:13" hidden="1" x14ac:dyDescent="0.25">
      <c r="A468" s="674" t="s">
        <v>0</v>
      </c>
      <c r="B468" s="679"/>
      <c r="D468" s="496">
        <v>179</v>
      </c>
      <c r="E468" s="736" t="str">
        <f>D_ETS1Amounts!F719</f>
        <v/>
      </c>
      <c r="F468" s="736" t="str">
        <f>IF(D_ETS1Amounts!H719="","",D_ETS1Amounts!H719)</f>
        <v/>
      </c>
      <c r="G468" s="736" t="str">
        <f>IF(D_ETS1Amounts!I719="","",D_ETS1Amounts!I719)</f>
        <v/>
      </c>
      <c r="H468" s="736" t="str">
        <f>IF(D_ETS1Amounts!J719="","",D_ETS1Amounts!J719)</f>
        <v/>
      </c>
      <c r="I468" s="736" t="str">
        <f>IF(D_ETS1Amounts!K719="","",D_ETS1Amounts!K719)</f>
        <v/>
      </c>
      <c r="J468" s="736" t="str">
        <f>IF(D_ETS1Amounts!L719="","",D_ETS1Amounts!L719)</f>
        <v/>
      </c>
      <c r="K468" s="736" t="str">
        <f>IF(D_ETS1Amounts!M719="","",D_ETS1Amounts!M719)</f>
        <v/>
      </c>
      <c r="L468" s="737" t="str">
        <f>IF(D_ETS1Amounts!N719="","",D_ETS1Amounts!N719)</f>
        <v/>
      </c>
      <c r="M468" s="681"/>
    </row>
    <row r="469" spans="1:13" hidden="1" x14ac:dyDescent="0.25">
      <c r="A469" s="674" t="s">
        <v>0</v>
      </c>
      <c r="B469" s="679"/>
      <c r="D469" s="496">
        <v>180</v>
      </c>
      <c r="E469" s="736" t="str">
        <f>D_ETS1Amounts!F720</f>
        <v/>
      </c>
      <c r="F469" s="736" t="str">
        <f>IF(D_ETS1Amounts!H720="","",D_ETS1Amounts!H720)</f>
        <v/>
      </c>
      <c r="G469" s="736" t="str">
        <f>IF(D_ETS1Amounts!I720="","",D_ETS1Amounts!I720)</f>
        <v/>
      </c>
      <c r="H469" s="736" t="str">
        <f>IF(D_ETS1Amounts!J720="","",D_ETS1Amounts!J720)</f>
        <v/>
      </c>
      <c r="I469" s="736" t="str">
        <f>IF(D_ETS1Amounts!K720="","",D_ETS1Amounts!K720)</f>
        <v/>
      </c>
      <c r="J469" s="736" t="str">
        <f>IF(D_ETS1Amounts!L720="","",D_ETS1Amounts!L720)</f>
        <v/>
      </c>
      <c r="K469" s="736" t="str">
        <f>IF(D_ETS1Amounts!M720="","",D_ETS1Amounts!M720)</f>
        <v/>
      </c>
      <c r="L469" s="737" t="str">
        <f>IF(D_ETS1Amounts!N720="","",D_ETS1Amounts!N720)</f>
        <v/>
      </c>
      <c r="M469" s="681"/>
    </row>
    <row r="470" spans="1:13" hidden="1" x14ac:dyDescent="0.25">
      <c r="A470" s="674" t="s">
        <v>0</v>
      </c>
      <c r="B470" s="679"/>
      <c r="D470" s="496">
        <v>181</v>
      </c>
      <c r="E470" s="736" t="str">
        <f>D_ETS1Amounts!F721</f>
        <v/>
      </c>
      <c r="F470" s="736" t="str">
        <f>IF(D_ETS1Amounts!H721="","",D_ETS1Amounts!H721)</f>
        <v/>
      </c>
      <c r="G470" s="736" t="str">
        <f>IF(D_ETS1Amounts!I721="","",D_ETS1Amounts!I721)</f>
        <v/>
      </c>
      <c r="H470" s="736" t="str">
        <f>IF(D_ETS1Amounts!J721="","",D_ETS1Amounts!J721)</f>
        <v/>
      </c>
      <c r="I470" s="736" t="str">
        <f>IF(D_ETS1Amounts!K721="","",D_ETS1Amounts!K721)</f>
        <v/>
      </c>
      <c r="J470" s="736" t="str">
        <f>IF(D_ETS1Amounts!L721="","",D_ETS1Amounts!L721)</f>
        <v/>
      </c>
      <c r="K470" s="736" t="str">
        <f>IF(D_ETS1Amounts!M721="","",D_ETS1Amounts!M721)</f>
        <v/>
      </c>
      <c r="L470" s="737" t="str">
        <f>IF(D_ETS1Amounts!N721="","",D_ETS1Amounts!N721)</f>
        <v/>
      </c>
      <c r="M470" s="681"/>
    </row>
    <row r="471" spans="1:13" hidden="1" x14ac:dyDescent="0.25">
      <c r="A471" s="674" t="s">
        <v>0</v>
      </c>
      <c r="B471" s="679"/>
      <c r="D471" s="496">
        <v>182</v>
      </c>
      <c r="E471" s="736" t="str">
        <f>D_ETS1Amounts!F722</f>
        <v/>
      </c>
      <c r="F471" s="736" t="str">
        <f>IF(D_ETS1Amounts!H722="","",D_ETS1Amounts!H722)</f>
        <v/>
      </c>
      <c r="G471" s="736" t="str">
        <f>IF(D_ETS1Amounts!I722="","",D_ETS1Amounts!I722)</f>
        <v/>
      </c>
      <c r="H471" s="736" t="str">
        <f>IF(D_ETS1Amounts!J722="","",D_ETS1Amounts!J722)</f>
        <v/>
      </c>
      <c r="I471" s="736" t="str">
        <f>IF(D_ETS1Amounts!K722="","",D_ETS1Amounts!K722)</f>
        <v/>
      </c>
      <c r="J471" s="736" t="str">
        <f>IF(D_ETS1Amounts!L722="","",D_ETS1Amounts!L722)</f>
        <v/>
      </c>
      <c r="K471" s="736" t="str">
        <f>IF(D_ETS1Amounts!M722="","",D_ETS1Amounts!M722)</f>
        <v/>
      </c>
      <c r="L471" s="737" t="str">
        <f>IF(D_ETS1Amounts!N722="","",D_ETS1Amounts!N722)</f>
        <v/>
      </c>
      <c r="M471" s="681"/>
    </row>
    <row r="472" spans="1:13" hidden="1" x14ac:dyDescent="0.25">
      <c r="A472" s="674" t="s">
        <v>0</v>
      </c>
      <c r="B472" s="679"/>
      <c r="D472" s="496">
        <v>183</v>
      </c>
      <c r="E472" s="736" t="str">
        <f>D_ETS1Amounts!F723</f>
        <v/>
      </c>
      <c r="F472" s="736" t="str">
        <f>IF(D_ETS1Amounts!H723="","",D_ETS1Amounts!H723)</f>
        <v/>
      </c>
      <c r="G472" s="736" t="str">
        <f>IF(D_ETS1Amounts!I723="","",D_ETS1Amounts!I723)</f>
        <v/>
      </c>
      <c r="H472" s="736" t="str">
        <f>IF(D_ETS1Amounts!J723="","",D_ETS1Amounts!J723)</f>
        <v/>
      </c>
      <c r="I472" s="736" t="str">
        <f>IF(D_ETS1Amounts!K723="","",D_ETS1Amounts!K723)</f>
        <v/>
      </c>
      <c r="J472" s="736" t="str">
        <f>IF(D_ETS1Amounts!L723="","",D_ETS1Amounts!L723)</f>
        <v/>
      </c>
      <c r="K472" s="736" t="str">
        <f>IF(D_ETS1Amounts!M723="","",D_ETS1Amounts!M723)</f>
        <v/>
      </c>
      <c r="L472" s="737" t="str">
        <f>IF(D_ETS1Amounts!N723="","",D_ETS1Amounts!N723)</f>
        <v/>
      </c>
      <c r="M472" s="681"/>
    </row>
    <row r="473" spans="1:13" hidden="1" x14ac:dyDescent="0.25">
      <c r="A473" s="674" t="s">
        <v>0</v>
      </c>
      <c r="B473" s="679"/>
      <c r="D473" s="496">
        <v>184</v>
      </c>
      <c r="E473" s="736" t="str">
        <f>D_ETS1Amounts!F724</f>
        <v/>
      </c>
      <c r="F473" s="736" t="str">
        <f>IF(D_ETS1Amounts!H724="","",D_ETS1Amounts!H724)</f>
        <v/>
      </c>
      <c r="G473" s="736" t="str">
        <f>IF(D_ETS1Amounts!I724="","",D_ETS1Amounts!I724)</f>
        <v/>
      </c>
      <c r="H473" s="736" t="str">
        <f>IF(D_ETS1Amounts!J724="","",D_ETS1Amounts!J724)</f>
        <v/>
      </c>
      <c r="I473" s="736" t="str">
        <f>IF(D_ETS1Amounts!K724="","",D_ETS1Amounts!K724)</f>
        <v/>
      </c>
      <c r="J473" s="736" t="str">
        <f>IF(D_ETS1Amounts!L724="","",D_ETS1Amounts!L724)</f>
        <v/>
      </c>
      <c r="K473" s="736" t="str">
        <f>IF(D_ETS1Amounts!M724="","",D_ETS1Amounts!M724)</f>
        <v/>
      </c>
      <c r="L473" s="737" t="str">
        <f>IF(D_ETS1Amounts!N724="","",D_ETS1Amounts!N724)</f>
        <v/>
      </c>
      <c r="M473" s="681"/>
    </row>
    <row r="474" spans="1:13" hidden="1" x14ac:dyDescent="0.25">
      <c r="A474" s="674" t="s">
        <v>0</v>
      </c>
      <c r="B474" s="679"/>
      <c r="D474" s="496">
        <v>185</v>
      </c>
      <c r="E474" s="736" t="str">
        <f>D_ETS1Amounts!F725</f>
        <v/>
      </c>
      <c r="F474" s="736" t="str">
        <f>IF(D_ETS1Amounts!H725="","",D_ETS1Amounts!H725)</f>
        <v/>
      </c>
      <c r="G474" s="736" t="str">
        <f>IF(D_ETS1Amounts!I725="","",D_ETS1Amounts!I725)</f>
        <v/>
      </c>
      <c r="H474" s="736" t="str">
        <f>IF(D_ETS1Amounts!J725="","",D_ETS1Amounts!J725)</f>
        <v/>
      </c>
      <c r="I474" s="736" t="str">
        <f>IF(D_ETS1Amounts!K725="","",D_ETS1Amounts!K725)</f>
        <v/>
      </c>
      <c r="J474" s="736" t="str">
        <f>IF(D_ETS1Amounts!L725="","",D_ETS1Amounts!L725)</f>
        <v/>
      </c>
      <c r="K474" s="736" t="str">
        <f>IF(D_ETS1Amounts!M725="","",D_ETS1Amounts!M725)</f>
        <v/>
      </c>
      <c r="L474" s="737" t="str">
        <f>IF(D_ETS1Amounts!N725="","",D_ETS1Amounts!N725)</f>
        <v/>
      </c>
      <c r="M474" s="681"/>
    </row>
    <row r="475" spans="1:13" hidden="1" x14ac:dyDescent="0.25">
      <c r="A475" s="674" t="s">
        <v>0</v>
      </c>
      <c r="B475" s="679"/>
      <c r="D475" s="496">
        <v>186</v>
      </c>
      <c r="E475" s="736" t="str">
        <f>D_ETS1Amounts!F726</f>
        <v/>
      </c>
      <c r="F475" s="736" t="str">
        <f>IF(D_ETS1Amounts!H726="","",D_ETS1Amounts!H726)</f>
        <v/>
      </c>
      <c r="G475" s="736" t="str">
        <f>IF(D_ETS1Amounts!I726="","",D_ETS1Amounts!I726)</f>
        <v/>
      </c>
      <c r="H475" s="736" t="str">
        <f>IF(D_ETS1Amounts!J726="","",D_ETS1Amounts!J726)</f>
        <v/>
      </c>
      <c r="I475" s="736" t="str">
        <f>IF(D_ETS1Amounts!K726="","",D_ETS1Amounts!K726)</f>
        <v/>
      </c>
      <c r="J475" s="736" t="str">
        <f>IF(D_ETS1Amounts!L726="","",D_ETS1Amounts!L726)</f>
        <v/>
      </c>
      <c r="K475" s="736" t="str">
        <f>IF(D_ETS1Amounts!M726="","",D_ETS1Amounts!M726)</f>
        <v/>
      </c>
      <c r="L475" s="737" t="str">
        <f>IF(D_ETS1Amounts!N726="","",D_ETS1Amounts!N726)</f>
        <v/>
      </c>
      <c r="M475" s="681"/>
    </row>
    <row r="476" spans="1:13" hidden="1" x14ac:dyDescent="0.25">
      <c r="A476" s="674" t="s">
        <v>0</v>
      </c>
      <c r="B476" s="679"/>
      <c r="D476" s="496">
        <v>187</v>
      </c>
      <c r="E476" s="736" t="str">
        <f>D_ETS1Amounts!F727</f>
        <v/>
      </c>
      <c r="F476" s="736" t="str">
        <f>IF(D_ETS1Amounts!H727="","",D_ETS1Amounts!H727)</f>
        <v/>
      </c>
      <c r="G476" s="736" t="str">
        <f>IF(D_ETS1Amounts!I727="","",D_ETS1Amounts!I727)</f>
        <v/>
      </c>
      <c r="H476" s="736" t="str">
        <f>IF(D_ETS1Amounts!J727="","",D_ETS1Amounts!J727)</f>
        <v/>
      </c>
      <c r="I476" s="736" t="str">
        <f>IF(D_ETS1Amounts!K727="","",D_ETS1Amounts!K727)</f>
        <v/>
      </c>
      <c r="J476" s="736" t="str">
        <f>IF(D_ETS1Amounts!L727="","",D_ETS1Amounts!L727)</f>
        <v/>
      </c>
      <c r="K476" s="736" t="str">
        <f>IF(D_ETS1Amounts!M727="","",D_ETS1Amounts!M727)</f>
        <v/>
      </c>
      <c r="L476" s="737" t="str">
        <f>IF(D_ETS1Amounts!N727="","",D_ETS1Amounts!N727)</f>
        <v/>
      </c>
      <c r="M476" s="681"/>
    </row>
    <row r="477" spans="1:13" hidden="1" x14ac:dyDescent="0.25">
      <c r="A477" s="674" t="s">
        <v>0</v>
      </c>
      <c r="B477" s="679"/>
      <c r="D477" s="496">
        <v>188</v>
      </c>
      <c r="E477" s="736" t="str">
        <f>D_ETS1Amounts!F728</f>
        <v/>
      </c>
      <c r="F477" s="736" t="str">
        <f>IF(D_ETS1Amounts!H728="","",D_ETS1Amounts!H728)</f>
        <v/>
      </c>
      <c r="G477" s="736" t="str">
        <f>IF(D_ETS1Amounts!I728="","",D_ETS1Amounts!I728)</f>
        <v/>
      </c>
      <c r="H477" s="736" t="str">
        <f>IF(D_ETS1Amounts!J728="","",D_ETS1Amounts!J728)</f>
        <v/>
      </c>
      <c r="I477" s="736" t="str">
        <f>IF(D_ETS1Amounts!K728="","",D_ETS1Amounts!K728)</f>
        <v/>
      </c>
      <c r="J477" s="736" t="str">
        <f>IF(D_ETS1Amounts!L728="","",D_ETS1Amounts!L728)</f>
        <v/>
      </c>
      <c r="K477" s="736" t="str">
        <f>IF(D_ETS1Amounts!M728="","",D_ETS1Amounts!M728)</f>
        <v/>
      </c>
      <c r="L477" s="737" t="str">
        <f>IF(D_ETS1Amounts!N728="","",D_ETS1Amounts!N728)</f>
        <v/>
      </c>
      <c r="M477" s="681"/>
    </row>
    <row r="478" spans="1:13" hidden="1" x14ac:dyDescent="0.25">
      <c r="A478" s="674" t="s">
        <v>0</v>
      </c>
      <c r="B478" s="679"/>
      <c r="D478" s="496">
        <v>189</v>
      </c>
      <c r="E478" s="736" t="str">
        <f>D_ETS1Amounts!F729</f>
        <v/>
      </c>
      <c r="F478" s="736" t="str">
        <f>IF(D_ETS1Amounts!H729="","",D_ETS1Amounts!H729)</f>
        <v/>
      </c>
      <c r="G478" s="736" t="str">
        <f>IF(D_ETS1Amounts!I729="","",D_ETS1Amounts!I729)</f>
        <v/>
      </c>
      <c r="H478" s="736" t="str">
        <f>IF(D_ETS1Amounts!J729="","",D_ETS1Amounts!J729)</f>
        <v/>
      </c>
      <c r="I478" s="736" t="str">
        <f>IF(D_ETS1Amounts!K729="","",D_ETS1Amounts!K729)</f>
        <v/>
      </c>
      <c r="J478" s="736" t="str">
        <f>IF(D_ETS1Amounts!L729="","",D_ETS1Amounts!L729)</f>
        <v/>
      </c>
      <c r="K478" s="736" t="str">
        <f>IF(D_ETS1Amounts!M729="","",D_ETS1Amounts!M729)</f>
        <v/>
      </c>
      <c r="L478" s="737" t="str">
        <f>IF(D_ETS1Amounts!N729="","",D_ETS1Amounts!N729)</f>
        <v/>
      </c>
      <c r="M478" s="681"/>
    </row>
    <row r="479" spans="1:13" hidden="1" x14ac:dyDescent="0.25">
      <c r="A479" s="674" t="s">
        <v>0</v>
      </c>
      <c r="B479" s="679"/>
      <c r="D479" s="496">
        <v>190</v>
      </c>
      <c r="E479" s="736" t="str">
        <f>D_ETS1Amounts!F730</f>
        <v/>
      </c>
      <c r="F479" s="736" t="str">
        <f>IF(D_ETS1Amounts!H730="","",D_ETS1Amounts!H730)</f>
        <v/>
      </c>
      <c r="G479" s="736" t="str">
        <f>IF(D_ETS1Amounts!I730="","",D_ETS1Amounts!I730)</f>
        <v/>
      </c>
      <c r="H479" s="736" t="str">
        <f>IF(D_ETS1Amounts!J730="","",D_ETS1Amounts!J730)</f>
        <v/>
      </c>
      <c r="I479" s="736" t="str">
        <f>IF(D_ETS1Amounts!K730="","",D_ETS1Amounts!K730)</f>
        <v/>
      </c>
      <c r="J479" s="736" t="str">
        <f>IF(D_ETS1Amounts!L730="","",D_ETS1Amounts!L730)</f>
        <v/>
      </c>
      <c r="K479" s="736" t="str">
        <f>IF(D_ETS1Amounts!M730="","",D_ETS1Amounts!M730)</f>
        <v/>
      </c>
      <c r="L479" s="737" t="str">
        <f>IF(D_ETS1Amounts!N730="","",D_ETS1Amounts!N730)</f>
        <v/>
      </c>
      <c r="M479" s="681"/>
    </row>
    <row r="480" spans="1:13" hidden="1" x14ac:dyDescent="0.25">
      <c r="A480" s="674" t="s">
        <v>0</v>
      </c>
      <c r="B480" s="679"/>
      <c r="D480" s="496">
        <v>191</v>
      </c>
      <c r="E480" s="736" t="str">
        <f>D_ETS1Amounts!F731</f>
        <v/>
      </c>
      <c r="F480" s="736" t="str">
        <f>IF(D_ETS1Amounts!H731="","",D_ETS1Amounts!H731)</f>
        <v/>
      </c>
      <c r="G480" s="736" t="str">
        <f>IF(D_ETS1Amounts!I731="","",D_ETS1Amounts!I731)</f>
        <v/>
      </c>
      <c r="H480" s="736" t="str">
        <f>IF(D_ETS1Amounts!J731="","",D_ETS1Amounts!J731)</f>
        <v/>
      </c>
      <c r="I480" s="736" t="str">
        <f>IF(D_ETS1Amounts!K731="","",D_ETS1Amounts!K731)</f>
        <v/>
      </c>
      <c r="J480" s="736" t="str">
        <f>IF(D_ETS1Amounts!L731="","",D_ETS1Amounts!L731)</f>
        <v/>
      </c>
      <c r="K480" s="736" t="str">
        <f>IF(D_ETS1Amounts!M731="","",D_ETS1Amounts!M731)</f>
        <v/>
      </c>
      <c r="L480" s="737" t="str">
        <f>IF(D_ETS1Amounts!N731="","",D_ETS1Amounts!N731)</f>
        <v/>
      </c>
      <c r="M480" s="681"/>
    </row>
    <row r="481" spans="1:13" hidden="1" x14ac:dyDescent="0.25">
      <c r="A481" s="674" t="s">
        <v>0</v>
      </c>
      <c r="B481" s="679"/>
      <c r="D481" s="496">
        <v>192</v>
      </c>
      <c r="E481" s="736" t="str">
        <f>D_ETS1Amounts!F732</f>
        <v/>
      </c>
      <c r="F481" s="736" t="str">
        <f>IF(D_ETS1Amounts!H732="","",D_ETS1Amounts!H732)</f>
        <v/>
      </c>
      <c r="G481" s="736" t="str">
        <f>IF(D_ETS1Amounts!I732="","",D_ETS1Amounts!I732)</f>
        <v/>
      </c>
      <c r="H481" s="736" t="str">
        <f>IF(D_ETS1Amounts!J732="","",D_ETS1Amounts!J732)</f>
        <v/>
      </c>
      <c r="I481" s="736" t="str">
        <f>IF(D_ETS1Amounts!K732="","",D_ETS1Amounts!K732)</f>
        <v/>
      </c>
      <c r="J481" s="736" t="str">
        <f>IF(D_ETS1Amounts!L732="","",D_ETS1Amounts!L732)</f>
        <v/>
      </c>
      <c r="K481" s="736" t="str">
        <f>IF(D_ETS1Amounts!M732="","",D_ETS1Amounts!M732)</f>
        <v/>
      </c>
      <c r="L481" s="737" t="str">
        <f>IF(D_ETS1Amounts!N732="","",D_ETS1Amounts!N732)</f>
        <v/>
      </c>
      <c r="M481" s="681"/>
    </row>
    <row r="482" spans="1:13" hidden="1" x14ac:dyDescent="0.25">
      <c r="A482" s="674" t="s">
        <v>0</v>
      </c>
      <c r="B482" s="679"/>
      <c r="D482" s="496">
        <v>193</v>
      </c>
      <c r="E482" s="736" t="str">
        <f>D_ETS1Amounts!F733</f>
        <v/>
      </c>
      <c r="F482" s="736" t="str">
        <f>IF(D_ETS1Amounts!H733="","",D_ETS1Amounts!H733)</f>
        <v/>
      </c>
      <c r="G482" s="736" t="str">
        <f>IF(D_ETS1Amounts!I733="","",D_ETS1Amounts!I733)</f>
        <v/>
      </c>
      <c r="H482" s="736" t="str">
        <f>IF(D_ETS1Amounts!J733="","",D_ETS1Amounts!J733)</f>
        <v/>
      </c>
      <c r="I482" s="736" t="str">
        <f>IF(D_ETS1Amounts!K733="","",D_ETS1Amounts!K733)</f>
        <v/>
      </c>
      <c r="J482" s="736" t="str">
        <f>IF(D_ETS1Amounts!L733="","",D_ETS1Amounts!L733)</f>
        <v/>
      </c>
      <c r="K482" s="736" t="str">
        <f>IF(D_ETS1Amounts!M733="","",D_ETS1Amounts!M733)</f>
        <v/>
      </c>
      <c r="L482" s="737" t="str">
        <f>IF(D_ETS1Amounts!N733="","",D_ETS1Amounts!N733)</f>
        <v/>
      </c>
      <c r="M482" s="681"/>
    </row>
    <row r="483" spans="1:13" hidden="1" x14ac:dyDescent="0.25">
      <c r="A483" s="674" t="s">
        <v>0</v>
      </c>
      <c r="B483" s="679"/>
      <c r="D483" s="496">
        <v>194</v>
      </c>
      <c r="E483" s="736" t="str">
        <f>D_ETS1Amounts!F734</f>
        <v/>
      </c>
      <c r="F483" s="736" t="str">
        <f>IF(D_ETS1Amounts!H734="","",D_ETS1Amounts!H734)</f>
        <v/>
      </c>
      <c r="G483" s="736" t="str">
        <f>IF(D_ETS1Amounts!I734="","",D_ETS1Amounts!I734)</f>
        <v/>
      </c>
      <c r="H483" s="736" t="str">
        <f>IF(D_ETS1Amounts!J734="","",D_ETS1Amounts!J734)</f>
        <v/>
      </c>
      <c r="I483" s="736" t="str">
        <f>IF(D_ETS1Amounts!K734="","",D_ETS1Amounts!K734)</f>
        <v/>
      </c>
      <c r="J483" s="736" t="str">
        <f>IF(D_ETS1Amounts!L734="","",D_ETS1Amounts!L734)</f>
        <v/>
      </c>
      <c r="K483" s="736" t="str">
        <f>IF(D_ETS1Amounts!M734="","",D_ETS1Amounts!M734)</f>
        <v/>
      </c>
      <c r="L483" s="737" t="str">
        <f>IF(D_ETS1Amounts!N734="","",D_ETS1Amounts!N734)</f>
        <v/>
      </c>
      <c r="M483" s="681"/>
    </row>
    <row r="484" spans="1:13" hidden="1" x14ac:dyDescent="0.25">
      <c r="A484" s="674" t="s">
        <v>0</v>
      </c>
      <c r="B484" s="679"/>
      <c r="D484" s="496">
        <v>195</v>
      </c>
      <c r="E484" s="736" t="str">
        <f>D_ETS1Amounts!F735</f>
        <v/>
      </c>
      <c r="F484" s="736" t="str">
        <f>IF(D_ETS1Amounts!H735="","",D_ETS1Amounts!H735)</f>
        <v/>
      </c>
      <c r="G484" s="736" t="str">
        <f>IF(D_ETS1Amounts!I735="","",D_ETS1Amounts!I735)</f>
        <v/>
      </c>
      <c r="H484" s="736" t="str">
        <f>IF(D_ETS1Amounts!J735="","",D_ETS1Amounts!J735)</f>
        <v/>
      </c>
      <c r="I484" s="736" t="str">
        <f>IF(D_ETS1Amounts!K735="","",D_ETS1Amounts!K735)</f>
        <v/>
      </c>
      <c r="J484" s="736" t="str">
        <f>IF(D_ETS1Amounts!L735="","",D_ETS1Amounts!L735)</f>
        <v/>
      </c>
      <c r="K484" s="736" t="str">
        <f>IF(D_ETS1Amounts!M735="","",D_ETS1Amounts!M735)</f>
        <v/>
      </c>
      <c r="L484" s="737" t="str">
        <f>IF(D_ETS1Amounts!N735="","",D_ETS1Amounts!N735)</f>
        <v/>
      </c>
      <c r="M484" s="681"/>
    </row>
    <row r="485" spans="1:13" hidden="1" x14ac:dyDescent="0.25">
      <c r="A485" s="674" t="s">
        <v>0</v>
      </c>
      <c r="B485" s="679"/>
      <c r="D485" s="496">
        <v>196</v>
      </c>
      <c r="E485" s="736" t="str">
        <f>D_ETS1Amounts!F736</f>
        <v/>
      </c>
      <c r="F485" s="736" t="str">
        <f>IF(D_ETS1Amounts!H736="","",D_ETS1Amounts!H736)</f>
        <v/>
      </c>
      <c r="G485" s="736" t="str">
        <f>IF(D_ETS1Amounts!I736="","",D_ETS1Amounts!I736)</f>
        <v/>
      </c>
      <c r="H485" s="736" t="str">
        <f>IF(D_ETS1Amounts!J736="","",D_ETS1Amounts!J736)</f>
        <v/>
      </c>
      <c r="I485" s="736" t="str">
        <f>IF(D_ETS1Amounts!K736="","",D_ETS1Amounts!K736)</f>
        <v/>
      </c>
      <c r="J485" s="736" t="str">
        <f>IF(D_ETS1Amounts!L736="","",D_ETS1Amounts!L736)</f>
        <v/>
      </c>
      <c r="K485" s="736" t="str">
        <f>IF(D_ETS1Amounts!M736="","",D_ETS1Amounts!M736)</f>
        <v/>
      </c>
      <c r="L485" s="737" t="str">
        <f>IF(D_ETS1Amounts!N736="","",D_ETS1Amounts!N736)</f>
        <v/>
      </c>
      <c r="M485" s="681"/>
    </row>
    <row r="486" spans="1:13" hidden="1" x14ac:dyDescent="0.25">
      <c r="A486" s="674" t="s">
        <v>0</v>
      </c>
      <c r="B486" s="679"/>
      <c r="D486" s="496">
        <v>197</v>
      </c>
      <c r="E486" s="736" t="str">
        <f>D_ETS1Amounts!F737</f>
        <v/>
      </c>
      <c r="F486" s="736" t="str">
        <f>IF(D_ETS1Amounts!H737="","",D_ETS1Amounts!H737)</f>
        <v/>
      </c>
      <c r="G486" s="736" t="str">
        <f>IF(D_ETS1Amounts!I737="","",D_ETS1Amounts!I737)</f>
        <v/>
      </c>
      <c r="H486" s="736" t="str">
        <f>IF(D_ETS1Amounts!J737="","",D_ETS1Amounts!J737)</f>
        <v/>
      </c>
      <c r="I486" s="736" t="str">
        <f>IF(D_ETS1Amounts!K737="","",D_ETS1Amounts!K737)</f>
        <v/>
      </c>
      <c r="J486" s="736" t="str">
        <f>IF(D_ETS1Amounts!L737="","",D_ETS1Amounts!L737)</f>
        <v/>
      </c>
      <c r="K486" s="736" t="str">
        <f>IF(D_ETS1Amounts!M737="","",D_ETS1Amounts!M737)</f>
        <v/>
      </c>
      <c r="L486" s="737" t="str">
        <f>IF(D_ETS1Amounts!N737="","",D_ETS1Amounts!N737)</f>
        <v/>
      </c>
      <c r="M486" s="681"/>
    </row>
    <row r="487" spans="1:13" hidden="1" x14ac:dyDescent="0.25">
      <c r="A487" s="674" t="s">
        <v>0</v>
      </c>
      <c r="B487" s="679"/>
      <c r="D487" s="496">
        <v>198</v>
      </c>
      <c r="E487" s="736" t="str">
        <f>D_ETS1Amounts!F738</f>
        <v/>
      </c>
      <c r="F487" s="736" t="str">
        <f>IF(D_ETS1Amounts!H738="","",D_ETS1Amounts!H738)</f>
        <v/>
      </c>
      <c r="G487" s="736" t="str">
        <f>IF(D_ETS1Amounts!I738="","",D_ETS1Amounts!I738)</f>
        <v/>
      </c>
      <c r="H487" s="736" t="str">
        <f>IF(D_ETS1Amounts!J738="","",D_ETS1Amounts!J738)</f>
        <v/>
      </c>
      <c r="I487" s="736" t="str">
        <f>IF(D_ETS1Amounts!K738="","",D_ETS1Amounts!K738)</f>
        <v/>
      </c>
      <c r="J487" s="736" t="str">
        <f>IF(D_ETS1Amounts!L738="","",D_ETS1Amounts!L738)</f>
        <v/>
      </c>
      <c r="K487" s="736" t="str">
        <f>IF(D_ETS1Amounts!M738="","",D_ETS1Amounts!M738)</f>
        <v/>
      </c>
      <c r="L487" s="737" t="str">
        <f>IF(D_ETS1Amounts!N738="","",D_ETS1Amounts!N738)</f>
        <v/>
      </c>
      <c r="M487" s="681"/>
    </row>
    <row r="488" spans="1:13" hidden="1" x14ac:dyDescent="0.25">
      <c r="A488" s="674" t="s">
        <v>0</v>
      </c>
      <c r="B488" s="679"/>
      <c r="D488" s="496">
        <v>199</v>
      </c>
      <c r="E488" s="736" t="str">
        <f>D_ETS1Amounts!F739</f>
        <v/>
      </c>
      <c r="F488" s="736" t="str">
        <f>IF(D_ETS1Amounts!H739="","",D_ETS1Amounts!H739)</f>
        <v/>
      </c>
      <c r="G488" s="736" t="str">
        <f>IF(D_ETS1Amounts!I739="","",D_ETS1Amounts!I739)</f>
        <v/>
      </c>
      <c r="H488" s="736" t="str">
        <f>IF(D_ETS1Amounts!J739="","",D_ETS1Amounts!J739)</f>
        <v/>
      </c>
      <c r="I488" s="736" t="str">
        <f>IF(D_ETS1Amounts!K739="","",D_ETS1Amounts!K739)</f>
        <v/>
      </c>
      <c r="J488" s="736" t="str">
        <f>IF(D_ETS1Amounts!L739="","",D_ETS1Amounts!L739)</f>
        <v/>
      </c>
      <c r="K488" s="736" t="str">
        <f>IF(D_ETS1Amounts!M739="","",D_ETS1Amounts!M739)</f>
        <v/>
      </c>
      <c r="L488" s="737" t="str">
        <f>IF(D_ETS1Amounts!N739="","",D_ETS1Amounts!N739)</f>
        <v/>
      </c>
      <c r="M488" s="681"/>
    </row>
    <row r="489" spans="1:13" hidden="1" x14ac:dyDescent="0.25">
      <c r="A489" s="674" t="s">
        <v>0</v>
      </c>
      <c r="B489" s="679"/>
      <c r="D489" s="496">
        <v>200</v>
      </c>
      <c r="E489" s="736" t="str">
        <f>D_ETS1Amounts!F740</f>
        <v/>
      </c>
      <c r="F489" s="736" t="str">
        <f>IF(D_ETS1Amounts!H740="","",D_ETS1Amounts!H740)</f>
        <v/>
      </c>
      <c r="G489" s="736" t="str">
        <f>IF(D_ETS1Amounts!I740="","",D_ETS1Amounts!I740)</f>
        <v/>
      </c>
      <c r="H489" s="736" t="str">
        <f>IF(D_ETS1Amounts!J740="","",D_ETS1Amounts!J740)</f>
        <v/>
      </c>
      <c r="I489" s="736" t="str">
        <f>IF(D_ETS1Amounts!K740="","",D_ETS1Amounts!K740)</f>
        <v/>
      </c>
      <c r="J489" s="736" t="str">
        <f>IF(D_ETS1Amounts!L740="","",D_ETS1Amounts!L740)</f>
        <v/>
      </c>
      <c r="K489" s="736" t="str">
        <f>IF(D_ETS1Amounts!M740="","",D_ETS1Amounts!M740)</f>
        <v/>
      </c>
      <c r="L489" s="737" t="str">
        <f>IF(D_ETS1Amounts!N740="","",D_ETS1Amounts!N740)</f>
        <v/>
      </c>
      <c r="M489" s="681"/>
    </row>
    <row r="490" spans="1:13" hidden="1" x14ac:dyDescent="0.25">
      <c r="A490" s="674" t="s">
        <v>0</v>
      </c>
      <c r="B490" s="679"/>
      <c r="D490" s="496">
        <v>201</v>
      </c>
      <c r="E490" s="736" t="str">
        <f>D_ETS1Amounts!F741</f>
        <v/>
      </c>
      <c r="F490" s="736" t="str">
        <f>IF(D_ETS1Amounts!H741="","",D_ETS1Amounts!H741)</f>
        <v/>
      </c>
      <c r="G490" s="736" t="str">
        <f>IF(D_ETS1Amounts!I741="","",D_ETS1Amounts!I741)</f>
        <v/>
      </c>
      <c r="H490" s="736" t="str">
        <f>IF(D_ETS1Amounts!J741="","",D_ETS1Amounts!J741)</f>
        <v/>
      </c>
      <c r="I490" s="736" t="str">
        <f>IF(D_ETS1Amounts!K741="","",D_ETS1Amounts!K741)</f>
        <v/>
      </c>
      <c r="J490" s="736" t="str">
        <f>IF(D_ETS1Amounts!L741="","",D_ETS1Amounts!L741)</f>
        <v/>
      </c>
      <c r="K490" s="736" t="str">
        <f>IF(D_ETS1Amounts!M741="","",D_ETS1Amounts!M741)</f>
        <v/>
      </c>
      <c r="L490" s="737" t="str">
        <f>IF(D_ETS1Amounts!N741="","",D_ETS1Amounts!N741)</f>
        <v/>
      </c>
      <c r="M490" s="681"/>
    </row>
    <row r="491" spans="1:13" hidden="1" x14ac:dyDescent="0.25">
      <c r="A491" s="674" t="s">
        <v>0</v>
      </c>
      <c r="B491" s="679"/>
      <c r="D491" s="496">
        <v>202</v>
      </c>
      <c r="E491" s="736" t="str">
        <f>D_ETS1Amounts!F742</f>
        <v/>
      </c>
      <c r="F491" s="736" t="str">
        <f>IF(D_ETS1Amounts!H742="","",D_ETS1Amounts!H742)</f>
        <v/>
      </c>
      <c r="G491" s="736" t="str">
        <f>IF(D_ETS1Amounts!I742="","",D_ETS1Amounts!I742)</f>
        <v/>
      </c>
      <c r="H491" s="736" t="str">
        <f>IF(D_ETS1Amounts!J742="","",D_ETS1Amounts!J742)</f>
        <v/>
      </c>
      <c r="I491" s="736" t="str">
        <f>IF(D_ETS1Amounts!K742="","",D_ETS1Amounts!K742)</f>
        <v/>
      </c>
      <c r="J491" s="736" t="str">
        <f>IF(D_ETS1Amounts!L742="","",D_ETS1Amounts!L742)</f>
        <v/>
      </c>
      <c r="K491" s="736" t="str">
        <f>IF(D_ETS1Amounts!M742="","",D_ETS1Amounts!M742)</f>
        <v/>
      </c>
      <c r="L491" s="737" t="str">
        <f>IF(D_ETS1Amounts!N742="","",D_ETS1Amounts!N742)</f>
        <v/>
      </c>
      <c r="M491" s="681"/>
    </row>
    <row r="492" spans="1:13" hidden="1" x14ac:dyDescent="0.25">
      <c r="A492" s="674" t="s">
        <v>0</v>
      </c>
      <c r="B492" s="679"/>
      <c r="D492" s="496">
        <v>203</v>
      </c>
      <c r="E492" s="736" t="str">
        <f>D_ETS1Amounts!F743</f>
        <v/>
      </c>
      <c r="F492" s="736" t="str">
        <f>IF(D_ETS1Amounts!H743="","",D_ETS1Amounts!H743)</f>
        <v/>
      </c>
      <c r="G492" s="736" t="str">
        <f>IF(D_ETS1Amounts!I743="","",D_ETS1Amounts!I743)</f>
        <v/>
      </c>
      <c r="H492" s="736" t="str">
        <f>IF(D_ETS1Amounts!J743="","",D_ETS1Amounts!J743)</f>
        <v/>
      </c>
      <c r="I492" s="736" t="str">
        <f>IF(D_ETS1Amounts!K743="","",D_ETS1Amounts!K743)</f>
        <v/>
      </c>
      <c r="J492" s="736" t="str">
        <f>IF(D_ETS1Amounts!L743="","",D_ETS1Amounts!L743)</f>
        <v/>
      </c>
      <c r="K492" s="736" t="str">
        <f>IF(D_ETS1Amounts!M743="","",D_ETS1Amounts!M743)</f>
        <v/>
      </c>
      <c r="L492" s="737" t="str">
        <f>IF(D_ETS1Amounts!N743="","",D_ETS1Amounts!N743)</f>
        <v/>
      </c>
      <c r="M492" s="681"/>
    </row>
    <row r="493" spans="1:13" hidden="1" x14ac:dyDescent="0.25">
      <c r="A493" s="674" t="s">
        <v>0</v>
      </c>
      <c r="B493" s="679"/>
      <c r="D493" s="496">
        <v>204</v>
      </c>
      <c r="E493" s="736" t="str">
        <f>D_ETS1Amounts!F744</f>
        <v/>
      </c>
      <c r="F493" s="736" t="str">
        <f>IF(D_ETS1Amounts!H744="","",D_ETS1Amounts!H744)</f>
        <v/>
      </c>
      <c r="G493" s="736" t="str">
        <f>IF(D_ETS1Amounts!I744="","",D_ETS1Amounts!I744)</f>
        <v/>
      </c>
      <c r="H493" s="736" t="str">
        <f>IF(D_ETS1Amounts!J744="","",D_ETS1Amounts!J744)</f>
        <v/>
      </c>
      <c r="I493" s="736" t="str">
        <f>IF(D_ETS1Amounts!K744="","",D_ETS1Amounts!K744)</f>
        <v/>
      </c>
      <c r="J493" s="736" t="str">
        <f>IF(D_ETS1Amounts!L744="","",D_ETS1Amounts!L744)</f>
        <v/>
      </c>
      <c r="K493" s="736" t="str">
        <f>IF(D_ETS1Amounts!M744="","",D_ETS1Amounts!M744)</f>
        <v/>
      </c>
      <c r="L493" s="737" t="str">
        <f>IF(D_ETS1Amounts!N744="","",D_ETS1Amounts!N744)</f>
        <v/>
      </c>
      <c r="M493" s="681"/>
    </row>
    <row r="494" spans="1:13" hidden="1" x14ac:dyDescent="0.25">
      <c r="A494" s="674" t="s">
        <v>0</v>
      </c>
      <c r="B494" s="679"/>
      <c r="D494" s="496">
        <v>205</v>
      </c>
      <c r="E494" s="736" t="str">
        <f>D_ETS1Amounts!F745</f>
        <v/>
      </c>
      <c r="F494" s="736" t="str">
        <f>IF(D_ETS1Amounts!H745="","",D_ETS1Amounts!H745)</f>
        <v/>
      </c>
      <c r="G494" s="736" t="str">
        <f>IF(D_ETS1Amounts!I745="","",D_ETS1Amounts!I745)</f>
        <v/>
      </c>
      <c r="H494" s="736" t="str">
        <f>IF(D_ETS1Amounts!J745="","",D_ETS1Amounts!J745)</f>
        <v/>
      </c>
      <c r="I494" s="736" t="str">
        <f>IF(D_ETS1Amounts!K745="","",D_ETS1Amounts!K745)</f>
        <v/>
      </c>
      <c r="J494" s="736" t="str">
        <f>IF(D_ETS1Amounts!L745="","",D_ETS1Amounts!L745)</f>
        <v/>
      </c>
      <c r="K494" s="736" t="str">
        <f>IF(D_ETS1Amounts!M745="","",D_ETS1Amounts!M745)</f>
        <v/>
      </c>
      <c r="L494" s="737" t="str">
        <f>IF(D_ETS1Amounts!N745="","",D_ETS1Amounts!N745)</f>
        <v/>
      </c>
      <c r="M494" s="681"/>
    </row>
    <row r="495" spans="1:13" hidden="1" x14ac:dyDescent="0.25">
      <c r="A495" s="674" t="s">
        <v>0</v>
      </c>
      <c r="B495" s="679"/>
      <c r="D495" s="496">
        <v>206</v>
      </c>
      <c r="E495" s="736" t="str">
        <f>D_ETS1Amounts!F746</f>
        <v/>
      </c>
      <c r="F495" s="736" t="str">
        <f>IF(D_ETS1Amounts!H746="","",D_ETS1Amounts!H746)</f>
        <v/>
      </c>
      <c r="G495" s="736" t="str">
        <f>IF(D_ETS1Amounts!I746="","",D_ETS1Amounts!I746)</f>
        <v/>
      </c>
      <c r="H495" s="736" t="str">
        <f>IF(D_ETS1Amounts!J746="","",D_ETS1Amounts!J746)</f>
        <v/>
      </c>
      <c r="I495" s="736" t="str">
        <f>IF(D_ETS1Amounts!K746="","",D_ETS1Amounts!K746)</f>
        <v/>
      </c>
      <c r="J495" s="736" t="str">
        <f>IF(D_ETS1Amounts!L746="","",D_ETS1Amounts!L746)</f>
        <v/>
      </c>
      <c r="K495" s="736" t="str">
        <f>IF(D_ETS1Amounts!M746="","",D_ETS1Amounts!M746)</f>
        <v/>
      </c>
      <c r="L495" s="737" t="str">
        <f>IF(D_ETS1Amounts!N746="","",D_ETS1Amounts!N746)</f>
        <v/>
      </c>
      <c r="M495" s="681"/>
    </row>
    <row r="496" spans="1:13" hidden="1" x14ac:dyDescent="0.25">
      <c r="A496" s="674" t="s">
        <v>0</v>
      </c>
      <c r="B496" s="679"/>
      <c r="D496" s="496">
        <v>207</v>
      </c>
      <c r="E496" s="736" t="str">
        <f>D_ETS1Amounts!F747</f>
        <v/>
      </c>
      <c r="F496" s="736" t="str">
        <f>IF(D_ETS1Amounts!H747="","",D_ETS1Amounts!H747)</f>
        <v/>
      </c>
      <c r="G496" s="736" t="str">
        <f>IF(D_ETS1Amounts!I747="","",D_ETS1Amounts!I747)</f>
        <v/>
      </c>
      <c r="H496" s="736" t="str">
        <f>IF(D_ETS1Amounts!J747="","",D_ETS1Amounts!J747)</f>
        <v/>
      </c>
      <c r="I496" s="736" t="str">
        <f>IF(D_ETS1Amounts!K747="","",D_ETS1Amounts!K747)</f>
        <v/>
      </c>
      <c r="J496" s="736" t="str">
        <f>IF(D_ETS1Amounts!L747="","",D_ETS1Amounts!L747)</f>
        <v/>
      </c>
      <c r="K496" s="736" t="str">
        <f>IF(D_ETS1Amounts!M747="","",D_ETS1Amounts!M747)</f>
        <v/>
      </c>
      <c r="L496" s="737" t="str">
        <f>IF(D_ETS1Amounts!N747="","",D_ETS1Amounts!N747)</f>
        <v/>
      </c>
      <c r="M496" s="681"/>
    </row>
    <row r="497" spans="1:13" hidden="1" x14ac:dyDescent="0.25">
      <c r="A497" s="674" t="s">
        <v>0</v>
      </c>
      <c r="B497" s="679"/>
      <c r="D497" s="496">
        <v>208</v>
      </c>
      <c r="E497" s="736" t="str">
        <f>D_ETS1Amounts!F748</f>
        <v/>
      </c>
      <c r="F497" s="736" t="str">
        <f>IF(D_ETS1Amounts!H748="","",D_ETS1Amounts!H748)</f>
        <v/>
      </c>
      <c r="G497" s="736" t="str">
        <f>IF(D_ETS1Amounts!I748="","",D_ETS1Amounts!I748)</f>
        <v/>
      </c>
      <c r="H497" s="736" t="str">
        <f>IF(D_ETS1Amounts!J748="","",D_ETS1Amounts!J748)</f>
        <v/>
      </c>
      <c r="I497" s="736" t="str">
        <f>IF(D_ETS1Amounts!K748="","",D_ETS1Amounts!K748)</f>
        <v/>
      </c>
      <c r="J497" s="736" t="str">
        <f>IF(D_ETS1Amounts!L748="","",D_ETS1Amounts!L748)</f>
        <v/>
      </c>
      <c r="K497" s="736" t="str">
        <f>IF(D_ETS1Amounts!M748="","",D_ETS1Amounts!M748)</f>
        <v/>
      </c>
      <c r="L497" s="737" t="str">
        <f>IF(D_ETS1Amounts!N748="","",D_ETS1Amounts!N748)</f>
        <v/>
      </c>
      <c r="M497" s="681"/>
    </row>
    <row r="498" spans="1:13" hidden="1" x14ac:dyDescent="0.25">
      <c r="A498" s="674" t="s">
        <v>0</v>
      </c>
      <c r="B498" s="679"/>
      <c r="D498" s="496">
        <v>209</v>
      </c>
      <c r="E498" s="736" t="str">
        <f>D_ETS1Amounts!F749</f>
        <v/>
      </c>
      <c r="F498" s="736" t="str">
        <f>IF(D_ETS1Amounts!H749="","",D_ETS1Amounts!H749)</f>
        <v/>
      </c>
      <c r="G498" s="736" t="str">
        <f>IF(D_ETS1Amounts!I749="","",D_ETS1Amounts!I749)</f>
        <v/>
      </c>
      <c r="H498" s="736" t="str">
        <f>IF(D_ETS1Amounts!J749="","",D_ETS1Amounts!J749)</f>
        <v/>
      </c>
      <c r="I498" s="736" t="str">
        <f>IF(D_ETS1Amounts!K749="","",D_ETS1Amounts!K749)</f>
        <v/>
      </c>
      <c r="J498" s="736" t="str">
        <f>IF(D_ETS1Amounts!L749="","",D_ETS1Amounts!L749)</f>
        <v/>
      </c>
      <c r="K498" s="736" t="str">
        <f>IF(D_ETS1Amounts!M749="","",D_ETS1Amounts!M749)</f>
        <v/>
      </c>
      <c r="L498" s="737" t="str">
        <f>IF(D_ETS1Amounts!N749="","",D_ETS1Amounts!N749)</f>
        <v/>
      </c>
      <c r="M498" s="681"/>
    </row>
    <row r="499" spans="1:13" hidden="1" x14ac:dyDescent="0.25">
      <c r="A499" s="674" t="s">
        <v>0</v>
      </c>
      <c r="B499" s="679"/>
      <c r="D499" s="496">
        <v>210</v>
      </c>
      <c r="E499" s="736" t="str">
        <f>D_ETS1Amounts!F750</f>
        <v/>
      </c>
      <c r="F499" s="736" t="str">
        <f>IF(D_ETS1Amounts!H750="","",D_ETS1Amounts!H750)</f>
        <v/>
      </c>
      <c r="G499" s="736" t="str">
        <f>IF(D_ETS1Amounts!I750="","",D_ETS1Amounts!I750)</f>
        <v/>
      </c>
      <c r="H499" s="736" t="str">
        <f>IF(D_ETS1Amounts!J750="","",D_ETS1Amounts!J750)</f>
        <v/>
      </c>
      <c r="I499" s="736" t="str">
        <f>IF(D_ETS1Amounts!K750="","",D_ETS1Amounts!K750)</f>
        <v/>
      </c>
      <c r="J499" s="736" t="str">
        <f>IF(D_ETS1Amounts!L750="","",D_ETS1Amounts!L750)</f>
        <v/>
      </c>
      <c r="K499" s="736" t="str">
        <f>IF(D_ETS1Amounts!M750="","",D_ETS1Amounts!M750)</f>
        <v/>
      </c>
      <c r="L499" s="737" t="str">
        <f>IF(D_ETS1Amounts!N750="","",D_ETS1Amounts!N750)</f>
        <v/>
      </c>
      <c r="M499" s="681"/>
    </row>
    <row r="500" spans="1:13" hidden="1" x14ac:dyDescent="0.25">
      <c r="A500" s="674" t="s">
        <v>0</v>
      </c>
      <c r="B500" s="679"/>
      <c r="D500" s="496">
        <v>211</v>
      </c>
      <c r="E500" s="736" t="str">
        <f>D_ETS1Amounts!F751</f>
        <v/>
      </c>
      <c r="F500" s="736" t="str">
        <f>IF(D_ETS1Amounts!H751="","",D_ETS1Amounts!H751)</f>
        <v/>
      </c>
      <c r="G500" s="736" t="str">
        <f>IF(D_ETS1Amounts!I751="","",D_ETS1Amounts!I751)</f>
        <v/>
      </c>
      <c r="H500" s="736" t="str">
        <f>IF(D_ETS1Amounts!J751="","",D_ETS1Amounts!J751)</f>
        <v/>
      </c>
      <c r="I500" s="736" t="str">
        <f>IF(D_ETS1Amounts!K751="","",D_ETS1Amounts!K751)</f>
        <v/>
      </c>
      <c r="J500" s="736" t="str">
        <f>IF(D_ETS1Amounts!L751="","",D_ETS1Amounts!L751)</f>
        <v/>
      </c>
      <c r="K500" s="736" t="str">
        <f>IF(D_ETS1Amounts!M751="","",D_ETS1Amounts!M751)</f>
        <v/>
      </c>
      <c r="L500" s="737" t="str">
        <f>IF(D_ETS1Amounts!N751="","",D_ETS1Amounts!N751)</f>
        <v/>
      </c>
      <c r="M500" s="681"/>
    </row>
    <row r="501" spans="1:13" hidden="1" x14ac:dyDescent="0.25">
      <c r="A501" s="674" t="s">
        <v>0</v>
      </c>
      <c r="B501" s="679"/>
      <c r="D501" s="496">
        <v>212</v>
      </c>
      <c r="E501" s="736" t="str">
        <f>D_ETS1Amounts!F752</f>
        <v/>
      </c>
      <c r="F501" s="736" t="str">
        <f>IF(D_ETS1Amounts!H752="","",D_ETS1Amounts!H752)</f>
        <v/>
      </c>
      <c r="G501" s="736" t="str">
        <f>IF(D_ETS1Amounts!I752="","",D_ETS1Amounts!I752)</f>
        <v/>
      </c>
      <c r="H501" s="736" t="str">
        <f>IF(D_ETS1Amounts!J752="","",D_ETS1Amounts!J752)</f>
        <v/>
      </c>
      <c r="I501" s="736" t="str">
        <f>IF(D_ETS1Amounts!K752="","",D_ETS1Amounts!K752)</f>
        <v/>
      </c>
      <c r="J501" s="736" t="str">
        <f>IF(D_ETS1Amounts!L752="","",D_ETS1Amounts!L752)</f>
        <v/>
      </c>
      <c r="K501" s="736" t="str">
        <f>IF(D_ETS1Amounts!M752="","",D_ETS1Amounts!M752)</f>
        <v/>
      </c>
      <c r="L501" s="737" t="str">
        <f>IF(D_ETS1Amounts!N752="","",D_ETS1Amounts!N752)</f>
        <v/>
      </c>
      <c r="M501" s="681"/>
    </row>
    <row r="502" spans="1:13" hidden="1" x14ac:dyDescent="0.25">
      <c r="A502" s="674" t="s">
        <v>0</v>
      </c>
      <c r="B502" s="679"/>
      <c r="D502" s="496">
        <v>213</v>
      </c>
      <c r="E502" s="736" t="str">
        <f>D_ETS1Amounts!F753</f>
        <v/>
      </c>
      <c r="F502" s="736" t="str">
        <f>IF(D_ETS1Amounts!H753="","",D_ETS1Amounts!H753)</f>
        <v/>
      </c>
      <c r="G502" s="736" t="str">
        <f>IF(D_ETS1Amounts!I753="","",D_ETS1Amounts!I753)</f>
        <v/>
      </c>
      <c r="H502" s="736" t="str">
        <f>IF(D_ETS1Amounts!J753="","",D_ETS1Amounts!J753)</f>
        <v/>
      </c>
      <c r="I502" s="736" t="str">
        <f>IF(D_ETS1Amounts!K753="","",D_ETS1Amounts!K753)</f>
        <v/>
      </c>
      <c r="J502" s="736" t="str">
        <f>IF(D_ETS1Amounts!L753="","",D_ETS1Amounts!L753)</f>
        <v/>
      </c>
      <c r="K502" s="736" t="str">
        <f>IF(D_ETS1Amounts!M753="","",D_ETS1Amounts!M753)</f>
        <v/>
      </c>
      <c r="L502" s="737" t="str">
        <f>IF(D_ETS1Amounts!N753="","",D_ETS1Amounts!N753)</f>
        <v/>
      </c>
      <c r="M502" s="681"/>
    </row>
    <row r="503" spans="1:13" hidden="1" x14ac:dyDescent="0.25">
      <c r="A503" s="674" t="s">
        <v>0</v>
      </c>
      <c r="B503" s="679"/>
      <c r="D503" s="496">
        <v>214</v>
      </c>
      <c r="E503" s="736" t="str">
        <f>D_ETS1Amounts!F754</f>
        <v/>
      </c>
      <c r="F503" s="736" t="str">
        <f>IF(D_ETS1Amounts!H754="","",D_ETS1Amounts!H754)</f>
        <v/>
      </c>
      <c r="G503" s="736" t="str">
        <f>IF(D_ETS1Amounts!I754="","",D_ETS1Amounts!I754)</f>
        <v/>
      </c>
      <c r="H503" s="736" t="str">
        <f>IF(D_ETS1Amounts!J754="","",D_ETS1Amounts!J754)</f>
        <v/>
      </c>
      <c r="I503" s="736" t="str">
        <f>IF(D_ETS1Amounts!K754="","",D_ETS1Amounts!K754)</f>
        <v/>
      </c>
      <c r="J503" s="736" t="str">
        <f>IF(D_ETS1Amounts!L754="","",D_ETS1Amounts!L754)</f>
        <v/>
      </c>
      <c r="K503" s="736" t="str">
        <f>IF(D_ETS1Amounts!M754="","",D_ETS1Amounts!M754)</f>
        <v/>
      </c>
      <c r="L503" s="737" t="str">
        <f>IF(D_ETS1Amounts!N754="","",D_ETS1Amounts!N754)</f>
        <v/>
      </c>
      <c r="M503" s="681"/>
    </row>
    <row r="504" spans="1:13" hidden="1" x14ac:dyDescent="0.25">
      <c r="A504" s="674" t="s">
        <v>0</v>
      </c>
      <c r="B504" s="679"/>
      <c r="D504" s="496">
        <v>215</v>
      </c>
      <c r="E504" s="736" t="str">
        <f>D_ETS1Amounts!F755</f>
        <v/>
      </c>
      <c r="F504" s="736" t="str">
        <f>IF(D_ETS1Amounts!H755="","",D_ETS1Amounts!H755)</f>
        <v/>
      </c>
      <c r="G504" s="736" t="str">
        <f>IF(D_ETS1Amounts!I755="","",D_ETS1Amounts!I755)</f>
        <v/>
      </c>
      <c r="H504" s="736" t="str">
        <f>IF(D_ETS1Amounts!J755="","",D_ETS1Amounts!J755)</f>
        <v/>
      </c>
      <c r="I504" s="736" t="str">
        <f>IF(D_ETS1Amounts!K755="","",D_ETS1Amounts!K755)</f>
        <v/>
      </c>
      <c r="J504" s="736" t="str">
        <f>IF(D_ETS1Amounts!L755="","",D_ETS1Amounts!L755)</f>
        <v/>
      </c>
      <c r="K504" s="736" t="str">
        <f>IF(D_ETS1Amounts!M755="","",D_ETS1Amounts!M755)</f>
        <v/>
      </c>
      <c r="L504" s="737" t="str">
        <f>IF(D_ETS1Amounts!N755="","",D_ETS1Amounts!N755)</f>
        <v/>
      </c>
      <c r="M504" s="681"/>
    </row>
    <row r="505" spans="1:13" hidden="1" x14ac:dyDescent="0.25">
      <c r="A505" s="674" t="s">
        <v>0</v>
      </c>
      <c r="B505" s="679"/>
      <c r="D505" s="496">
        <v>216</v>
      </c>
      <c r="E505" s="736" t="str">
        <f>D_ETS1Amounts!F756</f>
        <v/>
      </c>
      <c r="F505" s="736" t="str">
        <f>IF(D_ETS1Amounts!H756="","",D_ETS1Amounts!H756)</f>
        <v/>
      </c>
      <c r="G505" s="736" t="str">
        <f>IF(D_ETS1Amounts!I756="","",D_ETS1Amounts!I756)</f>
        <v/>
      </c>
      <c r="H505" s="736" t="str">
        <f>IF(D_ETS1Amounts!J756="","",D_ETS1Amounts!J756)</f>
        <v/>
      </c>
      <c r="I505" s="736" t="str">
        <f>IF(D_ETS1Amounts!K756="","",D_ETS1Amounts!K756)</f>
        <v/>
      </c>
      <c r="J505" s="736" t="str">
        <f>IF(D_ETS1Amounts!L756="","",D_ETS1Amounts!L756)</f>
        <v/>
      </c>
      <c r="K505" s="736" t="str">
        <f>IF(D_ETS1Amounts!M756="","",D_ETS1Amounts!M756)</f>
        <v/>
      </c>
      <c r="L505" s="737" t="str">
        <f>IF(D_ETS1Amounts!N756="","",D_ETS1Amounts!N756)</f>
        <v/>
      </c>
      <c r="M505" s="681"/>
    </row>
    <row r="506" spans="1:13" hidden="1" x14ac:dyDescent="0.25">
      <c r="A506" s="674" t="s">
        <v>0</v>
      </c>
      <c r="B506" s="679"/>
      <c r="D506" s="496">
        <v>217</v>
      </c>
      <c r="E506" s="736" t="str">
        <f>D_ETS1Amounts!F757</f>
        <v/>
      </c>
      <c r="F506" s="736" t="str">
        <f>IF(D_ETS1Amounts!H757="","",D_ETS1Amounts!H757)</f>
        <v/>
      </c>
      <c r="G506" s="736" t="str">
        <f>IF(D_ETS1Amounts!I757="","",D_ETS1Amounts!I757)</f>
        <v/>
      </c>
      <c r="H506" s="736" t="str">
        <f>IF(D_ETS1Amounts!J757="","",D_ETS1Amounts!J757)</f>
        <v/>
      </c>
      <c r="I506" s="736" t="str">
        <f>IF(D_ETS1Amounts!K757="","",D_ETS1Amounts!K757)</f>
        <v/>
      </c>
      <c r="J506" s="736" t="str">
        <f>IF(D_ETS1Amounts!L757="","",D_ETS1Amounts!L757)</f>
        <v/>
      </c>
      <c r="K506" s="736" t="str">
        <f>IF(D_ETS1Amounts!M757="","",D_ETS1Amounts!M757)</f>
        <v/>
      </c>
      <c r="L506" s="737" t="str">
        <f>IF(D_ETS1Amounts!N757="","",D_ETS1Amounts!N757)</f>
        <v/>
      </c>
      <c r="M506" s="681"/>
    </row>
    <row r="507" spans="1:13" hidden="1" x14ac:dyDescent="0.25">
      <c r="A507" s="674" t="s">
        <v>0</v>
      </c>
      <c r="B507" s="679"/>
      <c r="D507" s="496">
        <v>218</v>
      </c>
      <c r="E507" s="736" t="str">
        <f>D_ETS1Amounts!F758</f>
        <v/>
      </c>
      <c r="F507" s="736" t="str">
        <f>IF(D_ETS1Amounts!H758="","",D_ETS1Amounts!H758)</f>
        <v/>
      </c>
      <c r="G507" s="736" t="str">
        <f>IF(D_ETS1Amounts!I758="","",D_ETS1Amounts!I758)</f>
        <v/>
      </c>
      <c r="H507" s="736" t="str">
        <f>IF(D_ETS1Amounts!J758="","",D_ETS1Amounts!J758)</f>
        <v/>
      </c>
      <c r="I507" s="736" t="str">
        <f>IF(D_ETS1Amounts!K758="","",D_ETS1Amounts!K758)</f>
        <v/>
      </c>
      <c r="J507" s="736" t="str">
        <f>IF(D_ETS1Amounts!L758="","",D_ETS1Amounts!L758)</f>
        <v/>
      </c>
      <c r="K507" s="736" t="str">
        <f>IF(D_ETS1Amounts!M758="","",D_ETS1Amounts!M758)</f>
        <v/>
      </c>
      <c r="L507" s="737" t="str">
        <f>IF(D_ETS1Amounts!N758="","",D_ETS1Amounts!N758)</f>
        <v/>
      </c>
      <c r="M507" s="681"/>
    </row>
    <row r="508" spans="1:13" hidden="1" x14ac:dyDescent="0.25">
      <c r="A508" s="674" t="s">
        <v>0</v>
      </c>
      <c r="B508" s="679"/>
      <c r="D508" s="496">
        <v>219</v>
      </c>
      <c r="E508" s="736" t="str">
        <f>D_ETS1Amounts!F759</f>
        <v/>
      </c>
      <c r="F508" s="736" t="str">
        <f>IF(D_ETS1Amounts!H759="","",D_ETS1Amounts!H759)</f>
        <v/>
      </c>
      <c r="G508" s="736" t="str">
        <f>IF(D_ETS1Amounts!I759="","",D_ETS1Amounts!I759)</f>
        <v/>
      </c>
      <c r="H508" s="736" t="str">
        <f>IF(D_ETS1Amounts!J759="","",D_ETS1Amounts!J759)</f>
        <v/>
      </c>
      <c r="I508" s="736" t="str">
        <f>IF(D_ETS1Amounts!K759="","",D_ETS1Amounts!K759)</f>
        <v/>
      </c>
      <c r="J508" s="736" t="str">
        <f>IF(D_ETS1Amounts!L759="","",D_ETS1Amounts!L759)</f>
        <v/>
      </c>
      <c r="K508" s="736" t="str">
        <f>IF(D_ETS1Amounts!M759="","",D_ETS1Amounts!M759)</f>
        <v/>
      </c>
      <c r="L508" s="737" t="str">
        <f>IF(D_ETS1Amounts!N759="","",D_ETS1Amounts!N759)</f>
        <v/>
      </c>
      <c r="M508" s="681"/>
    </row>
    <row r="509" spans="1:13" hidden="1" x14ac:dyDescent="0.25">
      <c r="A509" s="674" t="s">
        <v>0</v>
      </c>
      <c r="B509" s="679"/>
      <c r="D509" s="496">
        <v>220</v>
      </c>
      <c r="E509" s="736" t="str">
        <f>D_ETS1Amounts!F760</f>
        <v/>
      </c>
      <c r="F509" s="736" t="str">
        <f>IF(D_ETS1Amounts!H760="","",D_ETS1Amounts!H760)</f>
        <v/>
      </c>
      <c r="G509" s="736" t="str">
        <f>IF(D_ETS1Amounts!I760="","",D_ETS1Amounts!I760)</f>
        <v/>
      </c>
      <c r="H509" s="736" t="str">
        <f>IF(D_ETS1Amounts!J760="","",D_ETS1Amounts!J760)</f>
        <v/>
      </c>
      <c r="I509" s="736" t="str">
        <f>IF(D_ETS1Amounts!K760="","",D_ETS1Amounts!K760)</f>
        <v/>
      </c>
      <c r="J509" s="736" t="str">
        <f>IF(D_ETS1Amounts!L760="","",D_ETS1Amounts!L760)</f>
        <v/>
      </c>
      <c r="K509" s="736" t="str">
        <f>IF(D_ETS1Amounts!M760="","",D_ETS1Amounts!M760)</f>
        <v/>
      </c>
      <c r="L509" s="737" t="str">
        <f>IF(D_ETS1Amounts!N760="","",D_ETS1Amounts!N760)</f>
        <v/>
      </c>
      <c r="M509" s="681"/>
    </row>
    <row r="510" spans="1:13" hidden="1" x14ac:dyDescent="0.25">
      <c r="A510" s="674" t="s">
        <v>0</v>
      </c>
      <c r="B510" s="679"/>
      <c r="D510" s="496">
        <v>221</v>
      </c>
      <c r="E510" s="736" t="str">
        <f>D_ETS1Amounts!F761</f>
        <v/>
      </c>
      <c r="F510" s="736" t="str">
        <f>IF(D_ETS1Amounts!H761="","",D_ETS1Amounts!H761)</f>
        <v/>
      </c>
      <c r="G510" s="736" t="str">
        <f>IF(D_ETS1Amounts!I761="","",D_ETS1Amounts!I761)</f>
        <v/>
      </c>
      <c r="H510" s="736" t="str">
        <f>IF(D_ETS1Amounts!J761="","",D_ETS1Amounts!J761)</f>
        <v/>
      </c>
      <c r="I510" s="736" t="str">
        <f>IF(D_ETS1Amounts!K761="","",D_ETS1Amounts!K761)</f>
        <v/>
      </c>
      <c r="J510" s="736" t="str">
        <f>IF(D_ETS1Amounts!L761="","",D_ETS1Amounts!L761)</f>
        <v/>
      </c>
      <c r="K510" s="736" t="str">
        <f>IF(D_ETS1Amounts!M761="","",D_ETS1Amounts!M761)</f>
        <v/>
      </c>
      <c r="L510" s="737" t="str">
        <f>IF(D_ETS1Amounts!N761="","",D_ETS1Amounts!N761)</f>
        <v/>
      </c>
      <c r="M510" s="681"/>
    </row>
    <row r="511" spans="1:13" hidden="1" x14ac:dyDescent="0.25">
      <c r="A511" s="674" t="s">
        <v>0</v>
      </c>
      <c r="B511" s="679"/>
      <c r="D511" s="496">
        <v>222</v>
      </c>
      <c r="E511" s="736" t="str">
        <f>D_ETS1Amounts!F762</f>
        <v/>
      </c>
      <c r="F511" s="736" t="str">
        <f>IF(D_ETS1Amounts!H762="","",D_ETS1Amounts!H762)</f>
        <v/>
      </c>
      <c r="G511" s="736" t="str">
        <f>IF(D_ETS1Amounts!I762="","",D_ETS1Amounts!I762)</f>
        <v/>
      </c>
      <c r="H511" s="736" t="str">
        <f>IF(D_ETS1Amounts!J762="","",D_ETS1Amounts!J762)</f>
        <v/>
      </c>
      <c r="I511" s="736" t="str">
        <f>IF(D_ETS1Amounts!K762="","",D_ETS1Amounts!K762)</f>
        <v/>
      </c>
      <c r="J511" s="736" t="str">
        <f>IF(D_ETS1Amounts!L762="","",D_ETS1Amounts!L762)</f>
        <v/>
      </c>
      <c r="K511" s="736" t="str">
        <f>IF(D_ETS1Amounts!M762="","",D_ETS1Amounts!M762)</f>
        <v/>
      </c>
      <c r="L511" s="737" t="str">
        <f>IF(D_ETS1Amounts!N762="","",D_ETS1Amounts!N762)</f>
        <v/>
      </c>
      <c r="M511" s="681"/>
    </row>
    <row r="512" spans="1:13" hidden="1" x14ac:dyDescent="0.25">
      <c r="A512" s="674" t="s">
        <v>0</v>
      </c>
      <c r="B512" s="679"/>
      <c r="D512" s="496">
        <v>223</v>
      </c>
      <c r="E512" s="736" t="str">
        <f>D_ETS1Amounts!F763</f>
        <v/>
      </c>
      <c r="F512" s="736" t="str">
        <f>IF(D_ETS1Amounts!H763="","",D_ETS1Amounts!H763)</f>
        <v/>
      </c>
      <c r="G512" s="736" t="str">
        <f>IF(D_ETS1Amounts!I763="","",D_ETS1Amounts!I763)</f>
        <v/>
      </c>
      <c r="H512" s="736" t="str">
        <f>IF(D_ETS1Amounts!J763="","",D_ETS1Amounts!J763)</f>
        <v/>
      </c>
      <c r="I512" s="736" t="str">
        <f>IF(D_ETS1Amounts!K763="","",D_ETS1Amounts!K763)</f>
        <v/>
      </c>
      <c r="J512" s="736" t="str">
        <f>IF(D_ETS1Amounts!L763="","",D_ETS1Amounts!L763)</f>
        <v/>
      </c>
      <c r="K512" s="736" t="str">
        <f>IF(D_ETS1Amounts!M763="","",D_ETS1Amounts!M763)</f>
        <v/>
      </c>
      <c r="L512" s="737" t="str">
        <f>IF(D_ETS1Amounts!N763="","",D_ETS1Amounts!N763)</f>
        <v/>
      </c>
      <c r="M512" s="681"/>
    </row>
    <row r="513" spans="1:13" hidden="1" x14ac:dyDescent="0.25">
      <c r="A513" s="674" t="s">
        <v>0</v>
      </c>
      <c r="B513" s="679"/>
      <c r="D513" s="496">
        <v>224</v>
      </c>
      <c r="E513" s="736" t="str">
        <f>D_ETS1Amounts!F764</f>
        <v/>
      </c>
      <c r="F513" s="736" t="str">
        <f>IF(D_ETS1Amounts!H764="","",D_ETS1Amounts!H764)</f>
        <v/>
      </c>
      <c r="G513" s="736" t="str">
        <f>IF(D_ETS1Amounts!I764="","",D_ETS1Amounts!I764)</f>
        <v/>
      </c>
      <c r="H513" s="736" t="str">
        <f>IF(D_ETS1Amounts!J764="","",D_ETS1Amounts!J764)</f>
        <v/>
      </c>
      <c r="I513" s="736" t="str">
        <f>IF(D_ETS1Amounts!K764="","",D_ETS1Amounts!K764)</f>
        <v/>
      </c>
      <c r="J513" s="736" t="str">
        <f>IF(D_ETS1Amounts!L764="","",D_ETS1Amounts!L764)</f>
        <v/>
      </c>
      <c r="K513" s="736" t="str">
        <f>IF(D_ETS1Amounts!M764="","",D_ETS1Amounts!M764)</f>
        <v/>
      </c>
      <c r="L513" s="737" t="str">
        <f>IF(D_ETS1Amounts!N764="","",D_ETS1Amounts!N764)</f>
        <v/>
      </c>
      <c r="M513" s="681"/>
    </row>
    <row r="514" spans="1:13" hidden="1" x14ac:dyDescent="0.25">
      <c r="A514" s="674" t="s">
        <v>0</v>
      </c>
      <c r="B514" s="679"/>
      <c r="D514" s="496">
        <v>225</v>
      </c>
      <c r="E514" s="736" t="str">
        <f>D_ETS1Amounts!F765</f>
        <v/>
      </c>
      <c r="F514" s="736" t="str">
        <f>IF(D_ETS1Amounts!H765="","",D_ETS1Amounts!H765)</f>
        <v/>
      </c>
      <c r="G514" s="736" t="str">
        <f>IF(D_ETS1Amounts!I765="","",D_ETS1Amounts!I765)</f>
        <v/>
      </c>
      <c r="H514" s="736" t="str">
        <f>IF(D_ETS1Amounts!J765="","",D_ETS1Amounts!J765)</f>
        <v/>
      </c>
      <c r="I514" s="736" t="str">
        <f>IF(D_ETS1Amounts!K765="","",D_ETS1Amounts!K765)</f>
        <v/>
      </c>
      <c r="J514" s="736" t="str">
        <f>IF(D_ETS1Amounts!L765="","",D_ETS1Amounts!L765)</f>
        <v/>
      </c>
      <c r="K514" s="736" t="str">
        <f>IF(D_ETS1Amounts!M765="","",D_ETS1Amounts!M765)</f>
        <v/>
      </c>
      <c r="L514" s="737" t="str">
        <f>IF(D_ETS1Amounts!N765="","",D_ETS1Amounts!N765)</f>
        <v/>
      </c>
      <c r="M514" s="681"/>
    </row>
    <row r="515" spans="1:13" hidden="1" x14ac:dyDescent="0.25">
      <c r="A515" s="674" t="s">
        <v>0</v>
      </c>
      <c r="B515" s="679"/>
      <c r="D515" s="496">
        <v>226</v>
      </c>
      <c r="E515" s="736" t="str">
        <f>D_ETS1Amounts!F766</f>
        <v/>
      </c>
      <c r="F515" s="736" t="str">
        <f>IF(D_ETS1Amounts!H766="","",D_ETS1Amounts!H766)</f>
        <v/>
      </c>
      <c r="G515" s="736" t="str">
        <f>IF(D_ETS1Amounts!I766="","",D_ETS1Amounts!I766)</f>
        <v/>
      </c>
      <c r="H515" s="736" t="str">
        <f>IF(D_ETS1Amounts!J766="","",D_ETS1Amounts!J766)</f>
        <v/>
      </c>
      <c r="I515" s="736" t="str">
        <f>IF(D_ETS1Amounts!K766="","",D_ETS1Amounts!K766)</f>
        <v/>
      </c>
      <c r="J515" s="736" t="str">
        <f>IF(D_ETS1Amounts!L766="","",D_ETS1Amounts!L766)</f>
        <v/>
      </c>
      <c r="K515" s="736" t="str">
        <f>IF(D_ETS1Amounts!M766="","",D_ETS1Amounts!M766)</f>
        <v/>
      </c>
      <c r="L515" s="737" t="str">
        <f>IF(D_ETS1Amounts!N766="","",D_ETS1Amounts!N766)</f>
        <v/>
      </c>
      <c r="M515" s="681"/>
    </row>
    <row r="516" spans="1:13" hidden="1" x14ac:dyDescent="0.25">
      <c r="A516" s="674" t="s">
        <v>0</v>
      </c>
      <c r="B516" s="679"/>
      <c r="D516" s="496">
        <v>227</v>
      </c>
      <c r="E516" s="736" t="str">
        <f>D_ETS1Amounts!F767</f>
        <v/>
      </c>
      <c r="F516" s="736" t="str">
        <f>IF(D_ETS1Amounts!H767="","",D_ETS1Amounts!H767)</f>
        <v/>
      </c>
      <c r="G516" s="736" t="str">
        <f>IF(D_ETS1Amounts!I767="","",D_ETS1Amounts!I767)</f>
        <v/>
      </c>
      <c r="H516" s="736" t="str">
        <f>IF(D_ETS1Amounts!J767="","",D_ETS1Amounts!J767)</f>
        <v/>
      </c>
      <c r="I516" s="736" t="str">
        <f>IF(D_ETS1Amounts!K767="","",D_ETS1Amounts!K767)</f>
        <v/>
      </c>
      <c r="J516" s="736" t="str">
        <f>IF(D_ETS1Amounts!L767="","",D_ETS1Amounts!L767)</f>
        <v/>
      </c>
      <c r="K516" s="736" t="str">
        <f>IF(D_ETS1Amounts!M767="","",D_ETS1Amounts!M767)</f>
        <v/>
      </c>
      <c r="L516" s="737" t="str">
        <f>IF(D_ETS1Amounts!N767="","",D_ETS1Amounts!N767)</f>
        <v/>
      </c>
      <c r="M516" s="681"/>
    </row>
    <row r="517" spans="1:13" hidden="1" x14ac:dyDescent="0.25">
      <c r="A517" s="674" t="s">
        <v>0</v>
      </c>
      <c r="B517" s="679"/>
      <c r="D517" s="496">
        <v>228</v>
      </c>
      <c r="E517" s="736" t="str">
        <f>D_ETS1Amounts!F768</f>
        <v/>
      </c>
      <c r="F517" s="736" t="str">
        <f>IF(D_ETS1Amounts!H768="","",D_ETS1Amounts!H768)</f>
        <v/>
      </c>
      <c r="G517" s="736" t="str">
        <f>IF(D_ETS1Amounts!I768="","",D_ETS1Amounts!I768)</f>
        <v/>
      </c>
      <c r="H517" s="736" t="str">
        <f>IF(D_ETS1Amounts!J768="","",D_ETS1Amounts!J768)</f>
        <v/>
      </c>
      <c r="I517" s="736" t="str">
        <f>IF(D_ETS1Amounts!K768="","",D_ETS1Amounts!K768)</f>
        <v/>
      </c>
      <c r="J517" s="736" t="str">
        <f>IF(D_ETS1Amounts!L768="","",D_ETS1Amounts!L768)</f>
        <v/>
      </c>
      <c r="K517" s="736" t="str">
        <f>IF(D_ETS1Amounts!M768="","",D_ETS1Amounts!M768)</f>
        <v/>
      </c>
      <c r="L517" s="737" t="str">
        <f>IF(D_ETS1Amounts!N768="","",D_ETS1Amounts!N768)</f>
        <v/>
      </c>
      <c r="M517" s="681"/>
    </row>
    <row r="518" spans="1:13" hidden="1" x14ac:dyDescent="0.25">
      <c r="A518" s="674" t="s">
        <v>0</v>
      </c>
      <c r="B518" s="679"/>
      <c r="D518" s="496">
        <v>229</v>
      </c>
      <c r="E518" s="736" t="str">
        <f>D_ETS1Amounts!F769</f>
        <v/>
      </c>
      <c r="F518" s="736" t="str">
        <f>IF(D_ETS1Amounts!H769="","",D_ETS1Amounts!H769)</f>
        <v/>
      </c>
      <c r="G518" s="736" t="str">
        <f>IF(D_ETS1Amounts!I769="","",D_ETS1Amounts!I769)</f>
        <v/>
      </c>
      <c r="H518" s="736" t="str">
        <f>IF(D_ETS1Amounts!J769="","",D_ETS1Amounts!J769)</f>
        <v/>
      </c>
      <c r="I518" s="736" t="str">
        <f>IF(D_ETS1Amounts!K769="","",D_ETS1Amounts!K769)</f>
        <v/>
      </c>
      <c r="J518" s="736" t="str">
        <f>IF(D_ETS1Amounts!L769="","",D_ETS1Amounts!L769)</f>
        <v/>
      </c>
      <c r="K518" s="736" t="str">
        <f>IF(D_ETS1Amounts!M769="","",D_ETS1Amounts!M769)</f>
        <v/>
      </c>
      <c r="L518" s="737" t="str">
        <f>IF(D_ETS1Amounts!N769="","",D_ETS1Amounts!N769)</f>
        <v/>
      </c>
      <c r="M518" s="681"/>
    </row>
    <row r="519" spans="1:13" hidden="1" x14ac:dyDescent="0.25">
      <c r="A519" s="674" t="s">
        <v>0</v>
      </c>
      <c r="B519" s="679"/>
      <c r="D519" s="496">
        <v>230</v>
      </c>
      <c r="E519" s="736" t="str">
        <f>D_ETS1Amounts!F770</f>
        <v/>
      </c>
      <c r="F519" s="736" t="str">
        <f>IF(D_ETS1Amounts!H770="","",D_ETS1Amounts!H770)</f>
        <v/>
      </c>
      <c r="G519" s="736" t="str">
        <f>IF(D_ETS1Amounts!I770="","",D_ETS1Amounts!I770)</f>
        <v/>
      </c>
      <c r="H519" s="736" t="str">
        <f>IF(D_ETS1Amounts!J770="","",D_ETS1Amounts!J770)</f>
        <v/>
      </c>
      <c r="I519" s="736" t="str">
        <f>IF(D_ETS1Amounts!K770="","",D_ETS1Amounts!K770)</f>
        <v/>
      </c>
      <c r="J519" s="736" t="str">
        <f>IF(D_ETS1Amounts!L770="","",D_ETS1Amounts!L770)</f>
        <v/>
      </c>
      <c r="K519" s="736" t="str">
        <f>IF(D_ETS1Amounts!M770="","",D_ETS1Amounts!M770)</f>
        <v/>
      </c>
      <c r="L519" s="737" t="str">
        <f>IF(D_ETS1Amounts!N770="","",D_ETS1Amounts!N770)</f>
        <v/>
      </c>
      <c r="M519" s="681"/>
    </row>
    <row r="520" spans="1:13" hidden="1" x14ac:dyDescent="0.25">
      <c r="A520" s="674" t="s">
        <v>0</v>
      </c>
      <c r="B520" s="679"/>
      <c r="D520" s="496">
        <v>231</v>
      </c>
      <c r="E520" s="736" t="str">
        <f>D_ETS1Amounts!F771</f>
        <v/>
      </c>
      <c r="F520" s="736" t="str">
        <f>IF(D_ETS1Amounts!H771="","",D_ETS1Amounts!H771)</f>
        <v/>
      </c>
      <c r="G520" s="736" t="str">
        <f>IF(D_ETS1Amounts!I771="","",D_ETS1Amounts!I771)</f>
        <v/>
      </c>
      <c r="H520" s="736" t="str">
        <f>IF(D_ETS1Amounts!J771="","",D_ETS1Amounts!J771)</f>
        <v/>
      </c>
      <c r="I520" s="736" t="str">
        <f>IF(D_ETS1Amounts!K771="","",D_ETS1Amounts!K771)</f>
        <v/>
      </c>
      <c r="J520" s="736" t="str">
        <f>IF(D_ETS1Amounts!L771="","",D_ETS1Amounts!L771)</f>
        <v/>
      </c>
      <c r="K520" s="736" t="str">
        <f>IF(D_ETS1Amounts!M771="","",D_ETS1Amounts!M771)</f>
        <v/>
      </c>
      <c r="L520" s="737" t="str">
        <f>IF(D_ETS1Amounts!N771="","",D_ETS1Amounts!N771)</f>
        <v/>
      </c>
      <c r="M520" s="681"/>
    </row>
    <row r="521" spans="1:13" hidden="1" x14ac:dyDescent="0.25">
      <c r="A521" s="674" t="s">
        <v>0</v>
      </c>
      <c r="B521" s="679"/>
      <c r="D521" s="496">
        <v>232</v>
      </c>
      <c r="E521" s="736" t="str">
        <f>D_ETS1Amounts!F772</f>
        <v/>
      </c>
      <c r="F521" s="736" t="str">
        <f>IF(D_ETS1Amounts!H772="","",D_ETS1Amounts!H772)</f>
        <v/>
      </c>
      <c r="G521" s="736" t="str">
        <f>IF(D_ETS1Amounts!I772="","",D_ETS1Amounts!I772)</f>
        <v/>
      </c>
      <c r="H521" s="736" t="str">
        <f>IF(D_ETS1Amounts!J772="","",D_ETS1Amounts!J772)</f>
        <v/>
      </c>
      <c r="I521" s="736" t="str">
        <f>IF(D_ETS1Amounts!K772="","",D_ETS1Amounts!K772)</f>
        <v/>
      </c>
      <c r="J521" s="736" t="str">
        <f>IF(D_ETS1Amounts!L772="","",D_ETS1Amounts!L772)</f>
        <v/>
      </c>
      <c r="K521" s="736" t="str">
        <f>IF(D_ETS1Amounts!M772="","",D_ETS1Amounts!M772)</f>
        <v/>
      </c>
      <c r="L521" s="737" t="str">
        <f>IF(D_ETS1Amounts!N772="","",D_ETS1Amounts!N772)</f>
        <v/>
      </c>
      <c r="M521" s="681"/>
    </row>
    <row r="522" spans="1:13" hidden="1" x14ac:dyDescent="0.25">
      <c r="A522" s="674" t="s">
        <v>0</v>
      </c>
      <c r="B522" s="679"/>
      <c r="D522" s="496">
        <v>233</v>
      </c>
      <c r="E522" s="736" t="str">
        <f>D_ETS1Amounts!F773</f>
        <v/>
      </c>
      <c r="F522" s="736" t="str">
        <f>IF(D_ETS1Amounts!H773="","",D_ETS1Amounts!H773)</f>
        <v/>
      </c>
      <c r="G522" s="736" t="str">
        <f>IF(D_ETS1Amounts!I773="","",D_ETS1Amounts!I773)</f>
        <v/>
      </c>
      <c r="H522" s="736" t="str">
        <f>IF(D_ETS1Amounts!J773="","",D_ETS1Amounts!J773)</f>
        <v/>
      </c>
      <c r="I522" s="736" t="str">
        <f>IF(D_ETS1Amounts!K773="","",D_ETS1Amounts!K773)</f>
        <v/>
      </c>
      <c r="J522" s="736" t="str">
        <f>IF(D_ETS1Amounts!L773="","",D_ETS1Amounts!L773)</f>
        <v/>
      </c>
      <c r="K522" s="736" t="str">
        <f>IF(D_ETS1Amounts!M773="","",D_ETS1Amounts!M773)</f>
        <v/>
      </c>
      <c r="L522" s="737" t="str">
        <f>IF(D_ETS1Amounts!N773="","",D_ETS1Amounts!N773)</f>
        <v/>
      </c>
      <c r="M522" s="681"/>
    </row>
    <row r="523" spans="1:13" hidden="1" x14ac:dyDescent="0.25">
      <c r="A523" s="674" t="s">
        <v>0</v>
      </c>
      <c r="B523" s="679"/>
      <c r="D523" s="496">
        <v>234</v>
      </c>
      <c r="E523" s="736" t="str">
        <f>D_ETS1Amounts!F774</f>
        <v/>
      </c>
      <c r="F523" s="736" t="str">
        <f>IF(D_ETS1Amounts!H774="","",D_ETS1Amounts!H774)</f>
        <v/>
      </c>
      <c r="G523" s="736" t="str">
        <f>IF(D_ETS1Amounts!I774="","",D_ETS1Amounts!I774)</f>
        <v/>
      </c>
      <c r="H523" s="736" t="str">
        <f>IF(D_ETS1Amounts!J774="","",D_ETS1Amounts!J774)</f>
        <v/>
      </c>
      <c r="I523" s="736" t="str">
        <f>IF(D_ETS1Amounts!K774="","",D_ETS1Amounts!K774)</f>
        <v/>
      </c>
      <c r="J523" s="736" t="str">
        <f>IF(D_ETS1Amounts!L774="","",D_ETS1Amounts!L774)</f>
        <v/>
      </c>
      <c r="K523" s="736" t="str">
        <f>IF(D_ETS1Amounts!M774="","",D_ETS1Amounts!M774)</f>
        <v/>
      </c>
      <c r="L523" s="737" t="str">
        <f>IF(D_ETS1Amounts!N774="","",D_ETS1Amounts!N774)</f>
        <v/>
      </c>
      <c r="M523" s="681"/>
    </row>
    <row r="524" spans="1:13" hidden="1" x14ac:dyDescent="0.25">
      <c r="A524" s="674" t="s">
        <v>0</v>
      </c>
      <c r="B524" s="679"/>
      <c r="D524" s="496">
        <v>235</v>
      </c>
      <c r="E524" s="736" t="str">
        <f>D_ETS1Amounts!F775</f>
        <v/>
      </c>
      <c r="F524" s="736" t="str">
        <f>IF(D_ETS1Amounts!H775="","",D_ETS1Amounts!H775)</f>
        <v/>
      </c>
      <c r="G524" s="736" t="str">
        <f>IF(D_ETS1Amounts!I775="","",D_ETS1Amounts!I775)</f>
        <v/>
      </c>
      <c r="H524" s="736" t="str">
        <f>IF(D_ETS1Amounts!J775="","",D_ETS1Amounts!J775)</f>
        <v/>
      </c>
      <c r="I524" s="736" t="str">
        <f>IF(D_ETS1Amounts!K775="","",D_ETS1Amounts!K775)</f>
        <v/>
      </c>
      <c r="J524" s="736" t="str">
        <f>IF(D_ETS1Amounts!L775="","",D_ETS1Amounts!L775)</f>
        <v/>
      </c>
      <c r="K524" s="736" t="str">
        <f>IF(D_ETS1Amounts!M775="","",D_ETS1Amounts!M775)</f>
        <v/>
      </c>
      <c r="L524" s="737" t="str">
        <f>IF(D_ETS1Amounts!N775="","",D_ETS1Amounts!N775)</f>
        <v/>
      </c>
      <c r="M524" s="681"/>
    </row>
    <row r="525" spans="1:13" hidden="1" x14ac:dyDescent="0.25">
      <c r="A525" s="674" t="s">
        <v>0</v>
      </c>
      <c r="B525" s="679"/>
      <c r="D525" s="496">
        <v>236</v>
      </c>
      <c r="E525" s="736" t="str">
        <f>D_ETS1Amounts!F776</f>
        <v/>
      </c>
      <c r="F525" s="736" t="str">
        <f>IF(D_ETS1Amounts!H776="","",D_ETS1Amounts!H776)</f>
        <v/>
      </c>
      <c r="G525" s="736" t="str">
        <f>IF(D_ETS1Amounts!I776="","",D_ETS1Amounts!I776)</f>
        <v/>
      </c>
      <c r="H525" s="736" t="str">
        <f>IF(D_ETS1Amounts!J776="","",D_ETS1Amounts!J776)</f>
        <v/>
      </c>
      <c r="I525" s="736" t="str">
        <f>IF(D_ETS1Amounts!K776="","",D_ETS1Amounts!K776)</f>
        <v/>
      </c>
      <c r="J525" s="736" t="str">
        <f>IF(D_ETS1Amounts!L776="","",D_ETS1Amounts!L776)</f>
        <v/>
      </c>
      <c r="K525" s="736" t="str">
        <f>IF(D_ETS1Amounts!M776="","",D_ETS1Amounts!M776)</f>
        <v/>
      </c>
      <c r="L525" s="737" t="str">
        <f>IF(D_ETS1Amounts!N776="","",D_ETS1Amounts!N776)</f>
        <v/>
      </c>
      <c r="M525" s="681"/>
    </row>
    <row r="526" spans="1:13" hidden="1" x14ac:dyDescent="0.25">
      <c r="A526" s="674" t="s">
        <v>0</v>
      </c>
      <c r="B526" s="679"/>
      <c r="D526" s="496">
        <v>237</v>
      </c>
      <c r="E526" s="736" t="str">
        <f>D_ETS1Amounts!F777</f>
        <v/>
      </c>
      <c r="F526" s="736" t="str">
        <f>IF(D_ETS1Amounts!H777="","",D_ETS1Amounts!H777)</f>
        <v/>
      </c>
      <c r="G526" s="736" t="str">
        <f>IF(D_ETS1Amounts!I777="","",D_ETS1Amounts!I777)</f>
        <v/>
      </c>
      <c r="H526" s="736" t="str">
        <f>IF(D_ETS1Amounts!J777="","",D_ETS1Amounts!J777)</f>
        <v/>
      </c>
      <c r="I526" s="736" t="str">
        <f>IF(D_ETS1Amounts!K777="","",D_ETS1Amounts!K777)</f>
        <v/>
      </c>
      <c r="J526" s="736" t="str">
        <f>IF(D_ETS1Amounts!L777="","",D_ETS1Amounts!L777)</f>
        <v/>
      </c>
      <c r="K526" s="736" t="str">
        <f>IF(D_ETS1Amounts!M777="","",D_ETS1Amounts!M777)</f>
        <v/>
      </c>
      <c r="L526" s="737" t="str">
        <f>IF(D_ETS1Amounts!N777="","",D_ETS1Amounts!N777)</f>
        <v/>
      </c>
      <c r="M526" s="681"/>
    </row>
    <row r="527" spans="1:13" hidden="1" x14ac:dyDescent="0.25">
      <c r="A527" s="674" t="s">
        <v>0</v>
      </c>
      <c r="B527" s="679"/>
      <c r="D527" s="496">
        <v>238</v>
      </c>
      <c r="E527" s="736" t="str">
        <f>D_ETS1Amounts!F778</f>
        <v/>
      </c>
      <c r="F527" s="736" t="str">
        <f>IF(D_ETS1Amounts!H778="","",D_ETS1Amounts!H778)</f>
        <v/>
      </c>
      <c r="G527" s="736" t="str">
        <f>IF(D_ETS1Amounts!I778="","",D_ETS1Amounts!I778)</f>
        <v/>
      </c>
      <c r="H527" s="736" t="str">
        <f>IF(D_ETS1Amounts!J778="","",D_ETS1Amounts!J778)</f>
        <v/>
      </c>
      <c r="I527" s="736" t="str">
        <f>IF(D_ETS1Amounts!K778="","",D_ETS1Amounts!K778)</f>
        <v/>
      </c>
      <c r="J527" s="736" t="str">
        <f>IF(D_ETS1Amounts!L778="","",D_ETS1Amounts!L778)</f>
        <v/>
      </c>
      <c r="K527" s="736" t="str">
        <f>IF(D_ETS1Amounts!M778="","",D_ETS1Amounts!M778)</f>
        <v/>
      </c>
      <c r="L527" s="737" t="str">
        <f>IF(D_ETS1Amounts!N778="","",D_ETS1Amounts!N778)</f>
        <v/>
      </c>
      <c r="M527" s="681"/>
    </row>
    <row r="528" spans="1:13" hidden="1" x14ac:dyDescent="0.25">
      <c r="A528" s="674" t="s">
        <v>0</v>
      </c>
      <c r="B528" s="679"/>
      <c r="D528" s="496">
        <v>239</v>
      </c>
      <c r="E528" s="736" t="str">
        <f>D_ETS1Amounts!F779</f>
        <v/>
      </c>
      <c r="F528" s="736" t="str">
        <f>IF(D_ETS1Amounts!H779="","",D_ETS1Amounts!H779)</f>
        <v/>
      </c>
      <c r="G528" s="736" t="str">
        <f>IF(D_ETS1Amounts!I779="","",D_ETS1Amounts!I779)</f>
        <v/>
      </c>
      <c r="H528" s="736" t="str">
        <f>IF(D_ETS1Amounts!J779="","",D_ETS1Amounts!J779)</f>
        <v/>
      </c>
      <c r="I528" s="736" t="str">
        <f>IF(D_ETS1Amounts!K779="","",D_ETS1Amounts!K779)</f>
        <v/>
      </c>
      <c r="J528" s="736" t="str">
        <f>IF(D_ETS1Amounts!L779="","",D_ETS1Amounts!L779)</f>
        <v/>
      </c>
      <c r="K528" s="736" t="str">
        <f>IF(D_ETS1Amounts!M779="","",D_ETS1Amounts!M779)</f>
        <v/>
      </c>
      <c r="L528" s="737" t="str">
        <f>IF(D_ETS1Amounts!N779="","",D_ETS1Amounts!N779)</f>
        <v/>
      </c>
      <c r="M528" s="681"/>
    </row>
    <row r="529" spans="1:14" hidden="1" x14ac:dyDescent="0.25">
      <c r="A529" s="674" t="s">
        <v>0</v>
      </c>
      <c r="B529" s="679"/>
      <c r="D529" s="496">
        <v>240</v>
      </c>
      <c r="E529" s="736" t="str">
        <f>D_ETS1Amounts!F780</f>
        <v/>
      </c>
      <c r="F529" s="736" t="str">
        <f>IF(D_ETS1Amounts!H780="","",D_ETS1Amounts!H780)</f>
        <v/>
      </c>
      <c r="G529" s="736" t="str">
        <f>IF(D_ETS1Amounts!I780="","",D_ETS1Amounts!I780)</f>
        <v/>
      </c>
      <c r="H529" s="736" t="str">
        <f>IF(D_ETS1Amounts!J780="","",D_ETS1Amounts!J780)</f>
        <v/>
      </c>
      <c r="I529" s="736" t="str">
        <f>IF(D_ETS1Amounts!K780="","",D_ETS1Amounts!K780)</f>
        <v/>
      </c>
      <c r="J529" s="736" t="str">
        <f>IF(D_ETS1Amounts!L780="","",D_ETS1Amounts!L780)</f>
        <v/>
      </c>
      <c r="K529" s="736" t="str">
        <f>IF(D_ETS1Amounts!M780="","",D_ETS1Amounts!M780)</f>
        <v/>
      </c>
      <c r="L529" s="737" t="str">
        <f>IF(D_ETS1Amounts!N780="","",D_ETS1Amounts!N780)</f>
        <v/>
      </c>
      <c r="M529" s="681"/>
    </row>
    <row r="530" spans="1:14" hidden="1" x14ac:dyDescent="0.25">
      <c r="A530" s="674" t="s">
        <v>0</v>
      </c>
      <c r="B530" s="679"/>
      <c r="D530" s="496">
        <v>241</v>
      </c>
      <c r="E530" s="736" t="str">
        <f>D_ETS1Amounts!F781</f>
        <v/>
      </c>
      <c r="F530" s="736" t="str">
        <f>IF(D_ETS1Amounts!H781="","",D_ETS1Amounts!H781)</f>
        <v/>
      </c>
      <c r="G530" s="736" t="str">
        <f>IF(D_ETS1Amounts!I781="","",D_ETS1Amounts!I781)</f>
        <v/>
      </c>
      <c r="H530" s="736" t="str">
        <f>IF(D_ETS1Amounts!J781="","",D_ETS1Amounts!J781)</f>
        <v/>
      </c>
      <c r="I530" s="736" t="str">
        <f>IF(D_ETS1Amounts!K781="","",D_ETS1Amounts!K781)</f>
        <v/>
      </c>
      <c r="J530" s="736" t="str">
        <f>IF(D_ETS1Amounts!L781="","",D_ETS1Amounts!L781)</f>
        <v/>
      </c>
      <c r="K530" s="736" t="str">
        <f>IF(D_ETS1Amounts!M781="","",D_ETS1Amounts!M781)</f>
        <v/>
      </c>
      <c r="L530" s="737" t="str">
        <f>IF(D_ETS1Amounts!N781="","",D_ETS1Amounts!N781)</f>
        <v/>
      </c>
      <c r="M530" s="681"/>
    </row>
    <row r="531" spans="1:14" hidden="1" x14ac:dyDescent="0.25">
      <c r="A531" s="674" t="s">
        <v>0</v>
      </c>
      <c r="B531" s="679"/>
      <c r="D531" s="496">
        <v>242</v>
      </c>
      <c r="E531" s="736" t="str">
        <f>D_ETS1Amounts!F782</f>
        <v/>
      </c>
      <c r="F531" s="736" t="str">
        <f>IF(D_ETS1Amounts!H782="","",D_ETS1Amounts!H782)</f>
        <v/>
      </c>
      <c r="G531" s="736" t="str">
        <f>IF(D_ETS1Amounts!I782="","",D_ETS1Amounts!I782)</f>
        <v/>
      </c>
      <c r="H531" s="736" t="str">
        <f>IF(D_ETS1Amounts!J782="","",D_ETS1Amounts!J782)</f>
        <v/>
      </c>
      <c r="I531" s="736" t="str">
        <f>IF(D_ETS1Amounts!K782="","",D_ETS1Amounts!K782)</f>
        <v/>
      </c>
      <c r="J531" s="736" t="str">
        <f>IF(D_ETS1Amounts!L782="","",D_ETS1Amounts!L782)</f>
        <v/>
      </c>
      <c r="K531" s="736" t="str">
        <f>IF(D_ETS1Amounts!M782="","",D_ETS1Amounts!M782)</f>
        <v/>
      </c>
      <c r="L531" s="737" t="str">
        <f>IF(D_ETS1Amounts!N782="","",D_ETS1Amounts!N782)</f>
        <v/>
      </c>
      <c r="M531" s="681"/>
    </row>
    <row r="532" spans="1:14" hidden="1" x14ac:dyDescent="0.25">
      <c r="A532" s="674" t="s">
        <v>0</v>
      </c>
      <c r="B532" s="679"/>
      <c r="D532" s="496">
        <v>243</v>
      </c>
      <c r="E532" s="736" t="str">
        <f>D_ETS1Amounts!F783</f>
        <v/>
      </c>
      <c r="F532" s="736" t="str">
        <f>IF(D_ETS1Amounts!H783="","",D_ETS1Amounts!H783)</f>
        <v/>
      </c>
      <c r="G532" s="736" t="str">
        <f>IF(D_ETS1Amounts!I783="","",D_ETS1Amounts!I783)</f>
        <v/>
      </c>
      <c r="H532" s="736" t="str">
        <f>IF(D_ETS1Amounts!J783="","",D_ETS1Amounts!J783)</f>
        <v/>
      </c>
      <c r="I532" s="736" t="str">
        <f>IF(D_ETS1Amounts!K783="","",D_ETS1Amounts!K783)</f>
        <v/>
      </c>
      <c r="J532" s="736" t="str">
        <f>IF(D_ETS1Amounts!L783="","",D_ETS1Amounts!L783)</f>
        <v/>
      </c>
      <c r="K532" s="736" t="str">
        <f>IF(D_ETS1Amounts!M783="","",D_ETS1Amounts!M783)</f>
        <v/>
      </c>
      <c r="L532" s="737" t="str">
        <f>IF(D_ETS1Amounts!N783="","",D_ETS1Amounts!N783)</f>
        <v/>
      </c>
      <c r="M532" s="681"/>
    </row>
    <row r="533" spans="1:14" hidden="1" x14ac:dyDescent="0.25">
      <c r="A533" s="674" t="s">
        <v>0</v>
      </c>
      <c r="B533" s="679"/>
      <c r="D533" s="496">
        <v>244</v>
      </c>
      <c r="E533" s="736" t="str">
        <f>D_ETS1Amounts!F784</f>
        <v/>
      </c>
      <c r="F533" s="736" t="str">
        <f>IF(D_ETS1Amounts!H784="","",D_ETS1Amounts!H784)</f>
        <v/>
      </c>
      <c r="G533" s="736" t="str">
        <f>IF(D_ETS1Amounts!I784="","",D_ETS1Amounts!I784)</f>
        <v/>
      </c>
      <c r="H533" s="736" t="str">
        <f>IF(D_ETS1Amounts!J784="","",D_ETS1Amounts!J784)</f>
        <v/>
      </c>
      <c r="I533" s="736" t="str">
        <f>IF(D_ETS1Amounts!K784="","",D_ETS1Amounts!K784)</f>
        <v/>
      </c>
      <c r="J533" s="736" t="str">
        <f>IF(D_ETS1Amounts!L784="","",D_ETS1Amounts!L784)</f>
        <v/>
      </c>
      <c r="K533" s="736" t="str">
        <f>IF(D_ETS1Amounts!M784="","",D_ETS1Amounts!M784)</f>
        <v/>
      </c>
      <c r="L533" s="737" t="str">
        <f>IF(D_ETS1Amounts!N784="","",D_ETS1Amounts!N784)</f>
        <v/>
      </c>
      <c r="M533" s="681"/>
    </row>
    <row r="534" spans="1:14" hidden="1" x14ac:dyDescent="0.25">
      <c r="A534" s="674" t="s">
        <v>0</v>
      </c>
      <c r="B534" s="679"/>
      <c r="D534" s="496">
        <v>245</v>
      </c>
      <c r="E534" s="736" t="str">
        <f>D_ETS1Amounts!F785</f>
        <v/>
      </c>
      <c r="F534" s="736" t="str">
        <f>IF(D_ETS1Amounts!H785="","",D_ETS1Amounts!H785)</f>
        <v/>
      </c>
      <c r="G534" s="736" t="str">
        <f>IF(D_ETS1Amounts!I785="","",D_ETS1Amounts!I785)</f>
        <v/>
      </c>
      <c r="H534" s="736" t="str">
        <f>IF(D_ETS1Amounts!J785="","",D_ETS1Amounts!J785)</f>
        <v/>
      </c>
      <c r="I534" s="736" t="str">
        <f>IF(D_ETS1Amounts!K785="","",D_ETS1Amounts!K785)</f>
        <v/>
      </c>
      <c r="J534" s="736" t="str">
        <f>IF(D_ETS1Amounts!L785="","",D_ETS1Amounts!L785)</f>
        <v/>
      </c>
      <c r="K534" s="736" t="str">
        <f>IF(D_ETS1Amounts!M785="","",D_ETS1Amounts!M785)</f>
        <v/>
      </c>
      <c r="L534" s="737" t="str">
        <f>IF(D_ETS1Amounts!N785="","",D_ETS1Amounts!N785)</f>
        <v/>
      </c>
      <c r="M534" s="681"/>
    </row>
    <row r="535" spans="1:14" hidden="1" x14ac:dyDescent="0.25">
      <c r="A535" s="674" t="s">
        <v>0</v>
      </c>
      <c r="B535" s="679"/>
      <c r="D535" s="496">
        <v>246</v>
      </c>
      <c r="E535" s="736" t="str">
        <f>D_ETS1Amounts!F786</f>
        <v/>
      </c>
      <c r="F535" s="736" t="str">
        <f>IF(D_ETS1Amounts!H786="","",D_ETS1Amounts!H786)</f>
        <v/>
      </c>
      <c r="G535" s="736" t="str">
        <f>IF(D_ETS1Amounts!I786="","",D_ETS1Amounts!I786)</f>
        <v/>
      </c>
      <c r="H535" s="736" t="str">
        <f>IF(D_ETS1Amounts!J786="","",D_ETS1Amounts!J786)</f>
        <v/>
      </c>
      <c r="I535" s="736" t="str">
        <f>IF(D_ETS1Amounts!K786="","",D_ETS1Amounts!K786)</f>
        <v/>
      </c>
      <c r="J535" s="736" t="str">
        <f>IF(D_ETS1Amounts!L786="","",D_ETS1Amounts!L786)</f>
        <v/>
      </c>
      <c r="K535" s="736" t="str">
        <f>IF(D_ETS1Amounts!M786="","",D_ETS1Amounts!M786)</f>
        <v/>
      </c>
      <c r="L535" s="737" t="str">
        <f>IF(D_ETS1Amounts!N786="","",D_ETS1Amounts!N786)</f>
        <v/>
      </c>
      <c r="M535" s="681"/>
    </row>
    <row r="536" spans="1:14" hidden="1" x14ac:dyDescent="0.25">
      <c r="A536" s="674" t="s">
        <v>0</v>
      </c>
      <c r="B536" s="679"/>
      <c r="D536" s="496">
        <v>247</v>
      </c>
      <c r="E536" s="736" t="str">
        <f>D_ETS1Amounts!F787</f>
        <v/>
      </c>
      <c r="F536" s="736" t="str">
        <f>IF(D_ETS1Amounts!H787="","",D_ETS1Amounts!H787)</f>
        <v/>
      </c>
      <c r="G536" s="736" t="str">
        <f>IF(D_ETS1Amounts!I787="","",D_ETS1Amounts!I787)</f>
        <v/>
      </c>
      <c r="H536" s="736" t="str">
        <f>IF(D_ETS1Amounts!J787="","",D_ETS1Amounts!J787)</f>
        <v/>
      </c>
      <c r="I536" s="736" t="str">
        <f>IF(D_ETS1Amounts!K787="","",D_ETS1Amounts!K787)</f>
        <v/>
      </c>
      <c r="J536" s="736" t="str">
        <f>IF(D_ETS1Amounts!L787="","",D_ETS1Amounts!L787)</f>
        <v/>
      </c>
      <c r="K536" s="736" t="str">
        <f>IF(D_ETS1Amounts!M787="","",D_ETS1Amounts!M787)</f>
        <v/>
      </c>
      <c r="L536" s="737" t="str">
        <f>IF(D_ETS1Amounts!N787="","",D_ETS1Amounts!N787)</f>
        <v/>
      </c>
      <c r="M536" s="681"/>
    </row>
    <row r="537" spans="1:14" hidden="1" x14ac:dyDescent="0.25">
      <c r="A537" s="674" t="s">
        <v>0</v>
      </c>
      <c r="B537" s="679"/>
      <c r="D537" s="496">
        <v>248</v>
      </c>
      <c r="E537" s="736" t="str">
        <f>D_ETS1Amounts!F788</f>
        <v/>
      </c>
      <c r="F537" s="736" t="str">
        <f>IF(D_ETS1Amounts!H788="","",D_ETS1Amounts!H788)</f>
        <v/>
      </c>
      <c r="G537" s="736" t="str">
        <f>IF(D_ETS1Amounts!I788="","",D_ETS1Amounts!I788)</f>
        <v/>
      </c>
      <c r="H537" s="736" t="str">
        <f>IF(D_ETS1Amounts!J788="","",D_ETS1Amounts!J788)</f>
        <v/>
      </c>
      <c r="I537" s="736" t="str">
        <f>IF(D_ETS1Amounts!K788="","",D_ETS1Amounts!K788)</f>
        <v/>
      </c>
      <c r="J537" s="736" t="str">
        <f>IF(D_ETS1Amounts!L788="","",D_ETS1Amounts!L788)</f>
        <v/>
      </c>
      <c r="K537" s="736" t="str">
        <f>IF(D_ETS1Amounts!M788="","",D_ETS1Amounts!M788)</f>
        <v/>
      </c>
      <c r="L537" s="737" t="str">
        <f>IF(D_ETS1Amounts!N788="","",D_ETS1Amounts!N788)</f>
        <v/>
      </c>
      <c r="M537" s="681"/>
    </row>
    <row r="538" spans="1:14" hidden="1" x14ac:dyDescent="0.25">
      <c r="A538" s="674" t="s">
        <v>0</v>
      </c>
      <c r="B538" s="679"/>
      <c r="D538" s="496">
        <v>249</v>
      </c>
      <c r="E538" s="736" t="str">
        <f>D_ETS1Amounts!F789</f>
        <v/>
      </c>
      <c r="F538" s="736" t="str">
        <f>IF(D_ETS1Amounts!H789="","",D_ETS1Amounts!H789)</f>
        <v/>
      </c>
      <c r="G538" s="736" t="str">
        <f>IF(D_ETS1Amounts!I789="","",D_ETS1Amounts!I789)</f>
        <v/>
      </c>
      <c r="H538" s="736" t="str">
        <f>IF(D_ETS1Amounts!J789="","",D_ETS1Amounts!J789)</f>
        <v/>
      </c>
      <c r="I538" s="736" t="str">
        <f>IF(D_ETS1Amounts!K789="","",D_ETS1Amounts!K789)</f>
        <v/>
      </c>
      <c r="J538" s="736" t="str">
        <f>IF(D_ETS1Amounts!L789="","",D_ETS1Amounts!L789)</f>
        <v/>
      </c>
      <c r="K538" s="736" t="str">
        <f>IF(D_ETS1Amounts!M789="","",D_ETS1Amounts!M789)</f>
        <v/>
      </c>
      <c r="L538" s="737" t="str">
        <f>IF(D_ETS1Amounts!N789="","",D_ETS1Amounts!N789)</f>
        <v/>
      </c>
      <c r="M538" s="681"/>
    </row>
    <row r="539" spans="1:14" hidden="1" x14ac:dyDescent="0.25">
      <c r="A539" s="674" t="s">
        <v>0</v>
      </c>
      <c r="B539" s="679"/>
      <c r="D539" s="496">
        <v>250</v>
      </c>
      <c r="E539" s="736" t="str">
        <f>D_ETS1Amounts!F790</f>
        <v/>
      </c>
      <c r="F539" s="736" t="str">
        <f>IF(D_ETS1Amounts!H790="","",D_ETS1Amounts!H790)</f>
        <v/>
      </c>
      <c r="G539" s="736" t="str">
        <f>IF(D_ETS1Amounts!I790="","",D_ETS1Amounts!I790)</f>
        <v/>
      </c>
      <c r="H539" s="736" t="str">
        <f>IF(D_ETS1Amounts!J790="","",D_ETS1Amounts!J790)</f>
        <v/>
      </c>
      <c r="I539" s="736" t="str">
        <f>IF(D_ETS1Amounts!K790="","",D_ETS1Amounts!K790)</f>
        <v/>
      </c>
      <c r="J539" s="736" t="str">
        <f>IF(D_ETS1Amounts!L790="","",D_ETS1Amounts!L790)</f>
        <v/>
      </c>
      <c r="K539" s="736" t="str">
        <f>IF(D_ETS1Amounts!M790="","",D_ETS1Amounts!M790)</f>
        <v/>
      </c>
      <c r="L539" s="737" t="str">
        <f>IF(D_ETS1Amounts!N790="","",D_ETS1Amounts!N790)</f>
        <v/>
      </c>
      <c r="M539" s="681"/>
    </row>
    <row r="540" spans="1:14" x14ac:dyDescent="0.25">
      <c r="B540" s="679"/>
      <c r="D540" s="496"/>
      <c r="E540" s="496"/>
      <c r="F540" s="496"/>
      <c r="G540" s="496"/>
      <c r="H540" s="496"/>
      <c r="I540" s="496"/>
      <c r="J540" s="496"/>
      <c r="K540" s="496"/>
      <c r="L540" s="496"/>
      <c r="M540" s="681"/>
    </row>
    <row r="541" spans="1:14" ht="25.5" customHeight="1" thickBot="1" x14ac:dyDescent="0.3">
      <c r="B541" s="740"/>
      <c r="C541" s="741"/>
      <c r="D541" s="741"/>
      <c r="E541" s="741"/>
      <c r="F541" s="741"/>
      <c r="G541" s="741"/>
      <c r="H541" s="741"/>
      <c r="I541" s="741"/>
      <c r="J541" s="741"/>
      <c r="K541" s="741"/>
      <c r="L541" s="741"/>
      <c r="M541" s="742"/>
    </row>
    <row r="543" spans="1:14" hidden="1" x14ac:dyDescent="0.25">
      <c r="A543" s="674" t="s">
        <v>0</v>
      </c>
      <c r="B543" s="674"/>
      <c r="C543" s="674"/>
      <c r="D543" s="674"/>
      <c r="E543" s="674"/>
      <c r="F543" s="674"/>
      <c r="G543" s="674"/>
      <c r="H543" s="674"/>
      <c r="I543" s="674"/>
      <c r="J543" s="674"/>
      <c r="K543" s="674"/>
      <c r="L543" s="674"/>
      <c r="M543" s="674"/>
      <c r="N543" s="674" t="s">
        <v>3</v>
      </c>
    </row>
  </sheetData>
  <sheetProtection sheet="1" objects="1" scenarios="1" formatCells="0" formatColumns="0" formatRows="0"/>
  <mergeCells count="284">
    <mergeCell ref="E282:F282"/>
    <mergeCell ref="E283:F283"/>
    <mergeCell ref="E284:F284"/>
    <mergeCell ref="E285:F285"/>
    <mergeCell ref="E286:F286"/>
    <mergeCell ref="E277:F277"/>
    <mergeCell ref="E278:F278"/>
    <mergeCell ref="E279:F279"/>
    <mergeCell ref="E280:F280"/>
    <mergeCell ref="E281:F281"/>
    <mergeCell ref="E272:F272"/>
    <mergeCell ref="E273:F273"/>
    <mergeCell ref="E274:F274"/>
    <mergeCell ref="E275:F275"/>
    <mergeCell ref="E276:F276"/>
    <mergeCell ref="E267:F267"/>
    <mergeCell ref="E268:F268"/>
    <mergeCell ref="E269:F269"/>
    <mergeCell ref="E270:F270"/>
    <mergeCell ref="E271:F271"/>
    <mergeCell ref="E262:F262"/>
    <mergeCell ref="E263:F263"/>
    <mergeCell ref="E264:F264"/>
    <mergeCell ref="E265:F265"/>
    <mergeCell ref="E266:F266"/>
    <mergeCell ref="E257:F257"/>
    <mergeCell ref="E258:F258"/>
    <mergeCell ref="E259:F259"/>
    <mergeCell ref="E260:F260"/>
    <mergeCell ref="E261:F261"/>
    <mergeCell ref="E252:F252"/>
    <mergeCell ref="E253:F253"/>
    <mergeCell ref="E254:F254"/>
    <mergeCell ref="E255:F255"/>
    <mergeCell ref="E256:F256"/>
    <mergeCell ref="E247:F247"/>
    <mergeCell ref="E248:F248"/>
    <mergeCell ref="E249:F249"/>
    <mergeCell ref="E250:F250"/>
    <mergeCell ref="E251:F251"/>
    <mergeCell ref="E242:F242"/>
    <mergeCell ref="E243:F243"/>
    <mergeCell ref="E244:F244"/>
    <mergeCell ref="E245:F245"/>
    <mergeCell ref="E246:F246"/>
    <mergeCell ref="E237:F237"/>
    <mergeCell ref="E238:F238"/>
    <mergeCell ref="E239:F239"/>
    <mergeCell ref="E240:F240"/>
    <mergeCell ref="E241:F241"/>
    <mergeCell ref="E232:F232"/>
    <mergeCell ref="E233:F233"/>
    <mergeCell ref="E234:F234"/>
    <mergeCell ref="E235:F235"/>
    <mergeCell ref="E236:F236"/>
    <mergeCell ref="E227:F227"/>
    <mergeCell ref="E228:F228"/>
    <mergeCell ref="E229:F229"/>
    <mergeCell ref="E230:F230"/>
    <mergeCell ref="E231:F231"/>
    <mergeCell ref="E222:F222"/>
    <mergeCell ref="E223:F223"/>
    <mergeCell ref="E224:F224"/>
    <mergeCell ref="E225:F225"/>
    <mergeCell ref="E226:F226"/>
    <mergeCell ref="E217:F217"/>
    <mergeCell ref="E218:F218"/>
    <mergeCell ref="E219:F219"/>
    <mergeCell ref="E220:F220"/>
    <mergeCell ref="E221:F221"/>
    <mergeCell ref="E212:F212"/>
    <mergeCell ref="E213:F213"/>
    <mergeCell ref="E214:F214"/>
    <mergeCell ref="E215:F215"/>
    <mergeCell ref="E216:F216"/>
    <mergeCell ref="E207:F207"/>
    <mergeCell ref="E208:F208"/>
    <mergeCell ref="E209:F209"/>
    <mergeCell ref="E210:F210"/>
    <mergeCell ref="E211:F211"/>
    <mergeCell ref="E202:F202"/>
    <mergeCell ref="E203:F203"/>
    <mergeCell ref="E204:F204"/>
    <mergeCell ref="E205:F205"/>
    <mergeCell ref="E206:F206"/>
    <mergeCell ref="E197:F197"/>
    <mergeCell ref="E198:F198"/>
    <mergeCell ref="E199:F199"/>
    <mergeCell ref="E200:F200"/>
    <mergeCell ref="E201:F201"/>
    <mergeCell ref="E192:F192"/>
    <mergeCell ref="E193:F193"/>
    <mergeCell ref="E194:F194"/>
    <mergeCell ref="E195:F195"/>
    <mergeCell ref="E196:F196"/>
    <mergeCell ref="E187:F187"/>
    <mergeCell ref="E188:F188"/>
    <mergeCell ref="E189:F189"/>
    <mergeCell ref="E190:F190"/>
    <mergeCell ref="E191:F191"/>
    <mergeCell ref="E182:F182"/>
    <mergeCell ref="E183:F183"/>
    <mergeCell ref="E184:F184"/>
    <mergeCell ref="E185:F185"/>
    <mergeCell ref="E186:F186"/>
    <mergeCell ref="E177:F177"/>
    <mergeCell ref="E178:F178"/>
    <mergeCell ref="E179:F179"/>
    <mergeCell ref="E180:F180"/>
    <mergeCell ref="E181:F181"/>
    <mergeCell ref="E172:F172"/>
    <mergeCell ref="E173:F173"/>
    <mergeCell ref="E174:F174"/>
    <mergeCell ref="E175:F175"/>
    <mergeCell ref="E176:F176"/>
    <mergeCell ref="E167:F167"/>
    <mergeCell ref="E168:F168"/>
    <mergeCell ref="E169:F169"/>
    <mergeCell ref="E170:F170"/>
    <mergeCell ref="E171:F171"/>
    <mergeCell ref="E162:F162"/>
    <mergeCell ref="E163:F163"/>
    <mergeCell ref="E164:F164"/>
    <mergeCell ref="E165:F165"/>
    <mergeCell ref="E166:F166"/>
    <mergeCell ref="E157:F157"/>
    <mergeCell ref="E158:F158"/>
    <mergeCell ref="E159:F159"/>
    <mergeCell ref="E160:F160"/>
    <mergeCell ref="E161:F161"/>
    <mergeCell ref="E152:F152"/>
    <mergeCell ref="E153:F153"/>
    <mergeCell ref="E154:F154"/>
    <mergeCell ref="E155:F155"/>
    <mergeCell ref="E156:F156"/>
    <mergeCell ref="E147:F147"/>
    <mergeCell ref="E148:F148"/>
    <mergeCell ref="E149:F149"/>
    <mergeCell ref="E150:F150"/>
    <mergeCell ref="E151:F151"/>
    <mergeCell ref="E142:F142"/>
    <mergeCell ref="E143:F143"/>
    <mergeCell ref="E144:F144"/>
    <mergeCell ref="E145:F145"/>
    <mergeCell ref="E146:F146"/>
    <mergeCell ref="E137:F137"/>
    <mergeCell ref="E138:F138"/>
    <mergeCell ref="E139:F139"/>
    <mergeCell ref="E140:F140"/>
    <mergeCell ref="E141:F141"/>
    <mergeCell ref="E132:F132"/>
    <mergeCell ref="E133:F133"/>
    <mergeCell ref="E134:F134"/>
    <mergeCell ref="E135:F135"/>
    <mergeCell ref="E136:F136"/>
    <mergeCell ref="E127:F127"/>
    <mergeCell ref="E128:F128"/>
    <mergeCell ref="E129:F129"/>
    <mergeCell ref="E130:F130"/>
    <mergeCell ref="E131:F131"/>
    <mergeCell ref="E122:F122"/>
    <mergeCell ref="E123:F123"/>
    <mergeCell ref="E124:F124"/>
    <mergeCell ref="E125:F125"/>
    <mergeCell ref="E126:F126"/>
    <mergeCell ref="E117:F117"/>
    <mergeCell ref="E118:F118"/>
    <mergeCell ref="E119:F119"/>
    <mergeCell ref="E120:F120"/>
    <mergeCell ref="E121:F121"/>
    <mergeCell ref="E112:F112"/>
    <mergeCell ref="E113:F113"/>
    <mergeCell ref="E114:F114"/>
    <mergeCell ref="E115:F115"/>
    <mergeCell ref="E116:F116"/>
    <mergeCell ref="E107:F107"/>
    <mergeCell ref="E108:F108"/>
    <mergeCell ref="E109:F109"/>
    <mergeCell ref="E110:F110"/>
    <mergeCell ref="E111:F111"/>
    <mergeCell ref="E102:F102"/>
    <mergeCell ref="E103:F103"/>
    <mergeCell ref="E104:F104"/>
    <mergeCell ref="E105:F105"/>
    <mergeCell ref="E106:F106"/>
    <mergeCell ref="E97:F97"/>
    <mergeCell ref="E98:F98"/>
    <mergeCell ref="E99:F99"/>
    <mergeCell ref="E100:F100"/>
    <mergeCell ref="E101:F101"/>
    <mergeCell ref="E92:F92"/>
    <mergeCell ref="E93:F93"/>
    <mergeCell ref="E94:F94"/>
    <mergeCell ref="E95:F95"/>
    <mergeCell ref="E96:F96"/>
    <mergeCell ref="E87:F87"/>
    <mergeCell ref="E88:F88"/>
    <mergeCell ref="E89:F89"/>
    <mergeCell ref="E90:F90"/>
    <mergeCell ref="E91:F91"/>
    <mergeCell ref="E83:F83"/>
    <mergeCell ref="E84:F84"/>
    <mergeCell ref="E85:F85"/>
    <mergeCell ref="E86:F86"/>
    <mergeCell ref="E77:F77"/>
    <mergeCell ref="E78:F78"/>
    <mergeCell ref="E79:F79"/>
    <mergeCell ref="E80:F80"/>
    <mergeCell ref="E81:F81"/>
    <mergeCell ref="E74:F74"/>
    <mergeCell ref="E75:F75"/>
    <mergeCell ref="E76:F76"/>
    <mergeCell ref="E67:F67"/>
    <mergeCell ref="E68:F68"/>
    <mergeCell ref="E69:F69"/>
    <mergeCell ref="E70:F70"/>
    <mergeCell ref="E71:F71"/>
    <mergeCell ref="E82:F82"/>
    <mergeCell ref="E65:F65"/>
    <mergeCell ref="E66:F66"/>
    <mergeCell ref="E57:F57"/>
    <mergeCell ref="E58:F58"/>
    <mergeCell ref="E59:F59"/>
    <mergeCell ref="E60:F60"/>
    <mergeCell ref="E61:F61"/>
    <mergeCell ref="E72:F72"/>
    <mergeCell ref="E73:F73"/>
    <mergeCell ref="C6:L6"/>
    <mergeCell ref="E36:F37"/>
    <mergeCell ref="G36:G37"/>
    <mergeCell ref="B2:D4"/>
    <mergeCell ref="E4:F4"/>
    <mergeCell ref="G4:H4"/>
    <mergeCell ref="I4:J4"/>
    <mergeCell ref="I12:L12"/>
    <mergeCell ref="J27:K27"/>
    <mergeCell ref="K2:L2"/>
    <mergeCell ref="E3:F3"/>
    <mergeCell ref="G3:H3"/>
    <mergeCell ref="I3:J3"/>
    <mergeCell ref="K3:L3"/>
    <mergeCell ref="E2:F2"/>
    <mergeCell ref="G2:H2"/>
    <mergeCell ref="I2:J2"/>
    <mergeCell ref="K4:L4"/>
    <mergeCell ref="E56:F56"/>
    <mergeCell ref="K8:L8"/>
    <mergeCell ref="E10:H10"/>
    <mergeCell ref="I10:L10"/>
    <mergeCell ref="E54:F54"/>
    <mergeCell ref="E55:F55"/>
    <mergeCell ref="E48:F48"/>
    <mergeCell ref="E49:F49"/>
    <mergeCell ref="E50:F50"/>
    <mergeCell ref="E51:F51"/>
    <mergeCell ref="E52:F52"/>
    <mergeCell ref="E53:F53"/>
    <mergeCell ref="E18:G18"/>
    <mergeCell ref="E19:G19"/>
    <mergeCell ref="E38:F38"/>
    <mergeCell ref="E287:F287"/>
    <mergeCell ref="H36:H37"/>
    <mergeCell ref="I36:I37"/>
    <mergeCell ref="E11:H11"/>
    <mergeCell ref="I11:L11"/>
    <mergeCell ref="E12:H12"/>
    <mergeCell ref="E39:F39"/>
    <mergeCell ref="E40:F40"/>
    <mergeCell ref="E41:F41"/>
    <mergeCell ref="E42:F42"/>
    <mergeCell ref="E43:F43"/>
    <mergeCell ref="E44:F44"/>
    <mergeCell ref="E45:F45"/>
    <mergeCell ref="E46:F46"/>
    <mergeCell ref="E47:F47"/>
    <mergeCell ref="E27:I27"/>
    <mergeCell ref="E14:G14"/>
    <mergeCell ref="E24:G24"/>
    <mergeCell ref="E15:G15"/>
    <mergeCell ref="E16:G16"/>
    <mergeCell ref="E17:G17"/>
    <mergeCell ref="E62:F62"/>
    <mergeCell ref="E63:F63"/>
    <mergeCell ref="E64:F64"/>
  </mergeCells>
  <conditionalFormatting sqref="H15:L19 H24:L25 J38:L287">
    <cfRule type="cellIs" dxfId="65" priority="1" stopIfTrue="1" operator="equal">
      <formula>0</formula>
    </cfRule>
  </conditionalFormatting>
  <hyperlinks>
    <hyperlink ref="G2:H2" location="JUMP_a_Content" display="Table of contents" xr:uid="{00000000-0004-0000-0A00-000000000000}"/>
  </hyperlinks>
  <pageMargins left="0.78740157480314965" right="0.78740157480314965" top="0.78740157480314965" bottom="0.78740157480314965" header="0.39370078740157483" footer="0.39370078740157483"/>
  <pageSetup paperSize="9" scale="65" fitToHeight="9" orientation="portrait" r:id="rId1"/>
  <headerFooter alignWithMargins="0">
    <oddHeader>&amp;L&amp;F, &amp;A&amp;R&amp;D, &amp;T</oddHeader>
    <oddFooter>&amp;C&amp;P /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201">
    <tabColor theme="2" tint="-0.499984740745262"/>
  </sheetPr>
  <dimension ref="A1:AX62"/>
  <sheetViews>
    <sheetView topLeftCell="B2" zoomScaleNormal="100" workbookViewId="0">
      <selection activeCell="B2" sqref="B2"/>
    </sheetView>
  </sheetViews>
  <sheetFormatPr defaultColWidth="11.453125" defaultRowHeight="12.5" x14ac:dyDescent="0.25"/>
  <cols>
    <col min="1" max="1" width="5.7265625" style="530" hidden="1" customWidth="1"/>
    <col min="2" max="3" width="5.7265625" style="530" customWidth="1"/>
    <col min="4" max="4" width="12.7265625" style="530" customWidth="1"/>
    <col min="5" max="5" width="21.26953125" style="530" customWidth="1"/>
    <col min="6" max="6" width="32" style="530" bestFit="1" customWidth="1"/>
    <col min="7" max="8" width="15.7265625" style="530" customWidth="1"/>
    <col min="9" max="40" width="12.7265625" style="530" customWidth="1"/>
    <col min="41" max="44" width="11.453125" style="530" customWidth="1"/>
    <col min="45" max="50" width="11.453125" style="113" hidden="1" customWidth="1"/>
    <col min="51" max="16384" width="11.453125" style="530"/>
  </cols>
  <sheetData>
    <row r="1" spans="1:50" s="113" customFormat="1" hidden="1" x14ac:dyDescent="0.25">
      <c r="A1" s="110" t="s">
        <v>0</v>
      </c>
      <c r="B1" s="110"/>
      <c r="C1" s="110"/>
      <c r="D1" s="110"/>
      <c r="E1" s="110"/>
      <c r="AS1" s="110" t="s">
        <v>0</v>
      </c>
      <c r="AT1" s="110" t="s">
        <v>0</v>
      </c>
      <c r="AU1" s="110" t="s">
        <v>0</v>
      </c>
      <c r="AV1" s="110" t="s">
        <v>0</v>
      </c>
      <c r="AW1" s="110" t="s">
        <v>0</v>
      </c>
      <c r="AX1" s="110" t="s">
        <v>0</v>
      </c>
    </row>
    <row r="2" spans="1:50" x14ac:dyDescent="0.25">
      <c r="AT2" s="61" t="s">
        <v>2</v>
      </c>
      <c r="AU2" s="67" t="str">
        <f ca="1">IF(ISERROR(CELL("filename",AV2)),"H_Accounting",MID(CELL("filename",AV2),FIND("]",CELL("filename",AV2))+1,1024))</f>
        <v>I_Accounting</v>
      </c>
    </row>
    <row r="3" spans="1:50" ht="25" x14ac:dyDescent="0.25">
      <c r="C3" s="743" t="str">
        <f>Translations!$B$533</f>
        <v>I Accounting sheet</v>
      </c>
      <c r="D3" s="743"/>
      <c r="E3" s="743"/>
    </row>
    <row r="4" spans="1:50" ht="25" x14ac:dyDescent="0.25">
      <c r="C4" s="743"/>
      <c r="D4" s="744" t="str">
        <f>Translations!$B$233</f>
        <v>This sheet summarises the main information at entity and fuel stream level and aims to support the regulated entity, the verifier and the competent authority with understanding the entity's ETS2 activities as well as with exporting data into databases.</v>
      </c>
      <c r="E4" s="743"/>
      <c r="G4" s="744"/>
      <c r="H4" s="744"/>
      <c r="I4" s="744"/>
      <c r="J4" s="744"/>
      <c r="K4" s="744"/>
      <c r="L4" s="744"/>
      <c r="M4" s="744"/>
      <c r="N4" s="744"/>
      <c r="O4" s="744"/>
      <c r="P4" s="744"/>
      <c r="Q4" s="744"/>
      <c r="R4" s="744"/>
      <c r="S4" s="744"/>
      <c r="T4" s="744"/>
      <c r="U4" s="744"/>
      <c r="V4" s="744"/>
    </row>
    <row r="5" spans="1:50" ht="35.15" customHeight="1" x14ac:dyDescent="0.5">
      <c r="D5" s="745" t="str">
        <f>Translations!$B$160</f>
        <v>General information</v>
      </c>
      <c r="F5" s="746"/>
      <c r="G5" s="115"/>
      <c r="H5" s="115"/>
      <c r="I5" s="115"/>
      <c r="K5" s="115"/>
      <c r="L5" s="115"/>
      <c r="M5" s="115"/>
      <c r="N5" s="115"/>
      <c r="O5" s="115"/>
      <c r="P5" s="115"/>
      <c r="Q5" s="115"/>
      <c r="R5" s="115"/>
      <c r="S5" s="115"/>
      <c r="T5" s="115"/>
      <c r="U5" s="115"/>
      <c r="W5" s="115"/>
      <c r="X5" s="115"/>
      <c r="Y5" s="115"/>
      <c r="Z5" s="115"/>
      <c r="AA5" s="115"/>
      <c r="AB5" s="115"/>
      <c r="AC5" s="115"/>
      <c r="AD5" s="115"/>
      <c r="AE5" s="115"/>
      <c r="AF5" s="115"/>
      <c r="AG5" s="115"/>
      <c r="AH5" s="115"/>
      <c r="AI5" s="115"/>
      <c r="AJ5" s="115"/>
      <c r="AK5" s="115"/>
      <c r="AL5" s="115"/>
      <c r="AM5" s="115"/>
      <c r="AN5" s="115"/>
      <c r="AO5" s="115"/>
      <c r="AP5" s="115"/>
      <c r="AQ5" s="115"/>
      <c r="AR5" s="115"/>
    </row>
    <row r="6" spans="1:50" x14ac:dyDescent="0.25">
      <c r="E6" s="1480" t="str">
        <f>Translations!$B$216</f>
        <v>Regulated entity</v>
      </c>
      <c r="F6" s="1480"/>
      <c r="G6" s="1480"/>
      <c r="H6" s="1480"/>
      <c r="I6" s="1480"/>
      <c r="J6" s="1480"/>
      <c r="K6" s="1480"/>
      <c r="L6" s="1480"/>
      <c r="M6" s="1480"/>
      <c r="N6" s="1480"/>
      <c r="O6" s="1480"/>
      <c r="P6" s="115"/>
      <c r="Q6" s="115"/>
      <c r="R6" s="115"/>
      <c r="S6" s="115"/>
      <c r="T6" s="1481" t="str">
        <f>Translations!$B$534</f>
        <v>Verifier</v>
      </c>
      <c r="U6" s="1482"/>
      <c r="V6" s="1482"/>
      <c r="W6" s="1482"/>
      <c r="X6" s="1482"/>
      <c r="Y6" s="1482"/>
      <c r="Z6" s="1483"/>
    </row>
    <row r="7" spans="1:50" s="190" customFormat="1" ht="80.150000000000006" customHeight="1" x14ac:dyDescent="0.3">
      <c r="D7" s="747" t="str">
        <f>A_EntityID!D9</f>
        <v>Reporting year</v>
      </c>
      <c r="E7" s="748" t="str">
        <f>A_EntityID!$E$29</f>
        <v>Unique ID of the regulated entity:</v>
      </c>
      <c r="F7" s="748" t="str">
        <f>A_EntityID!E22</f>
        <v>Emissions trading permit number</v>
      </c>
      <c r="G7" s="748" t="str">
        <f>A_EntityID!E28</f>
        <v>Regulated entity name:</v>
      </c>
      <c r="H7" s="749" t="str">
        <f>Translations!$B$52</f>
        <v>Competent Authority</v>
      </c>
      <c r="I7" s="748" t="str">
        <f>A_EntityID!G50</f>
        <v>Title:</v>
      </c>
      <c r="J7" s="748" t="str">
        <f>A_EntityID!G51</f>
        <v>First Name:</v>
      </c>
      <c r="K7" s="748" t="str">
        <f>A_EntityID!G52</f>
        <v>Surname:</v>
      </c>
      <c r="L7" s="748" t="str">
        <f>A_EntityID!G53</f>
        <v>Job title:</v>
      </c>
      <c r="M7" s="748" t="str">
        <f>A_EntityID!G54</f>
        <v>Organisation name (if different from the regulated entity):</v>
      </c>
      <c r="N7" s="748" t="str">
        <f>A_EntityID!G56</f>
        <v>Telephone number:</v>
      </c>
      <c r="O7" s="748" t="str">
        <f>A_EntityID!G57</f>
        <v>Email address:</v>
      </c>
      <c r="P7" s="747" t="str">
        <f>A_EntityID!E72</f>
        <v>Competent Authority for permitting</v>
      </c>
      <c r="Q7" s="747" t="str">
        <f>A_EntityID!E74</f>
        <v>Latest approved version number of the monitoring plan</v>
      </c>
      <c r="R7" s="747" t="str">
        <f>A_EntityID!E76</f>
        <v>Have there been changes in monitoring plan compared to previous year?</v>
      </c>
      <c r="S7" s="747" t="str">
        <f>A_EntityID!E81</f>
        <v>Unique version identifier:</v>
      </c>
      <c r="T7" s="747" t="str">
        <f>A_EntityID!E95</f>
        <v>Company Name:</v>
      </c>
      <c r="U7" s="747" t="str">
        <f>A_EntityID!E99</f>
        <v>Country:</v>
      </c>
      <c r="V7" s="747" t="str">
        <f>A_EntityID!E103</f>
        <v>Name:</v>
      </c>
      <c r="W7" s="747" t="str">
        <f>A_EntityID!E104</f>
        <v>Email address:</v>
      </c>
      <c r="X7" s="747" t="str">
        <f>A_EntityID!E105</f>
        <v>Telephone number:</v>
      </c>
      <c r="Y7" s="747" t="str">
        <f>A_EntityID!E111</f>
        <v>Accreditation Member State:</v>
      </c>
      <c r="Z7" s="747" t="str">
        <f>A_EntityID!E112</f>
        <v>Registration number issued by the Accreditation body:</v>
      </c>
      <c r="AH7" s="115"/>
      <c r="AI7" s="115"/>
      <c r="AJ7" s="115"/>
      <c r="AK7" s="115"/>
      <c r="AL7" s="115"/>
      <c r="AM7" s="115"/>
      <c r="AN7" s="115"/>
      <c r="AO7" s="115"/>
      <c r="AP7" s="115"/>
      <c r="AQ7" s="115"/>
      <c r="AR7" s="530"/>
      <c r="AS7" s="750"/>
      <c r="AT7" s="113"/>
      <c r="AU7" s="113"/>
      <c r="AV7" s="113"/>
      <c r="AW7" s="113"/>
      <c r="AX7" s="750"/>
    </row>
    <row r="8" spans="1:50" x14ac:dyDescent="0.25">
      <c r="D8" s="751">
        <f>IF(A_EntityID!J9="",2024,A_EntityID!J9)</f>
        <v>2025</v>
      </c>
      <c r="E8" s="752" t="str">
        <f>IF(A_EntityID!$I$29="","",A_EntityID!$I$29)</f>
        <v/>
      </c>
      <c r="F8" s="752" t="str">
        <f>IF(A_EntityID!$K$22="","",A_EntityID!$K$22)</f>
        <v/>
      </c>
      <c r="G8" s="752" t="str">
        <f>IF(A_EntityID!$I$28="","",A_EntityID!$I$28)</f>
        <v/>
      </c>
      <c r="H8" s="753" t="str">
        <f>IF(A_EntityID!$I$18="","",A_EntityID!$I$18)</f>
        <v/>
      </c>
      <c r="I8" s="752" t="str">
        <f>IF(A_EntityID!I50="","",A_EntityID!I50)</f>
        <v/>
      </c>
      <c r="J8" s="752" t="str">
        <f>IF(A_EntityID!I51="","",A_EntityID!I51)</f>
        <v/>
      </c>
      <c r="K8" s="752" t="str">
        <f>IF(A_EntityID!I52="","",A_EntityID!I52)</f>
        <v/>
      </c>
      <c r="L8" s="752" t="str">
        <f>IF(A_EntityID!I53="","",A_EntityID!I53)</f>
        <v/>
      </c>
      <c r="M8" s="752" t="str">
        <f>IF(A_EntityID!I54="","",A_EntityID!I54)</f>
        <v/>
      </c>
      <c r="N8" s="752" t="str">
        <f>IF(A_EntityID!I56="","",A_EntityID!I56)</f>
        <v/>
      </c>
      <c r="O8" s="752" t="str">
        <f>IF(A_EntityID!I57="","",A_EntityID!I57)</f>
        <v/>
      </c>
      <c r="P8" s="752" t="str">
        <f>IF(A_EntityID!I72="","",A_EntityID!I72)</f>
        <v/>
      </c>
      <c r="Q8" s="753" t="str">
        <f>IF(A_EntityID!I74="","",A_EntityID!I74)</f>
        <v/>
      </c>
      <c r="R8" s="753" t="str">
        <f>IF(A_EntityID!I76="","",A_EntityID!I76)</f>
        <v/>
      </c>
      <c r="S8" s="753" t="str">
        <f>A_EntityID!I81</f>
        <v>2025 - 1</v>
      </c>
      <c r="T8" s="754" t="str">
        <f>IF(A_EntityID!I95="","",A_EntityID!I95)</f>
        <v/>
      </c>
      <c r="U8" s="754" t="str">
        <f>IF(A_EntityID!I99="","",A_EntityID!I99)</f>
        <v/>
      </c>
      <c r="V8" s="754" t="str">
        <f>IF(A_EntityID!I103="","",A_EntityID!I103)</f>
        <v/>
      </c>
      <c r="W8" s="754" t="str">
        <f>IF(A_EntityID!I104="","",A_EntityID!I104)</f>
        <v/>
      </c>
      <c r="X8" s="754" t="str">
        <f>IF(A_EntityID!I105="","",A_EntityID!I105)</f>
        <v/>
      </c>
      <c r="Y8" s="754" t="str">
        <f>IF(A_EntityID!I111="","",A_EntityID!I111)</f>
        <v/>
      </c>
      <c r="Z8" s="754" t="str">
        <f>IF(A_EntityID!I112="","",A_EntityID!I112)</f>
        <v/>
      </c>
      <c r="AH8" s="115"/>
      <c r="AI8" s="115"/>
      <c r="AJ8" s="115"/>
      <c r="AK8" s="115"/>
      <c r="AL8" s="115"/>
      <c r="AM8" s="115"/>
      <c r="AN8" s="115"/>
      <c r="AO8" s="115"/>
      <c r="AP8" s="115"/>
      <c r="AQ8" s="115"/>
    </row>
    <row r="9" spans="1:50" ht="12.75" customHeight="1" x14ac:dyDescent="0.25"/>
    <row r="10" spans="1:50" ht="35.15" customHeight="1" x14ac:dyDescent="0.5">
      <c r="D10" s="745" t="str">
        <f>Translations!$B$234</f>
        <v>Fuel streams</v>
      </c>
      <c r="G10" s="746"/>
      <c r="H10" s="746"/>
      <c r="I10" s="746"/>
      <c r="J10" s="746"/>
      <c r="K10" s="746"/>
      <c r="L10" s="746"/>
      <c r="M10" s="746"/>
      <c r="N10" s="746"/>
      <c r="O10" s="746"/>
      <c r="P10" s="746"/>
      <c r="Q10" s="746"/>
      <c r="R10" s="746"/>
      <c r="S10" s="746"/>
      <c r="T10" s="746"/>
      <c r="U10" s="746"/>
      <c r="V10" s="746"/>
      <c r="W10" s="746"/>
      <c r="X10" s="746"/>
      <c r="Y10" s="746"/>
      <c r="Z10" s="746"/>
      <c r="AA10" s="746"/>
      <c r="AB10" s="746"/>
      <c r="AC10" s="746"/>
      <c r="AD10" s="746"/>
      <c r="AE10" s="746"/>
      <c r="AF10" s="746"/>
      <c r="AG10" s="746"/>
      <c r="AH10" s="746"/>
      <c r="AI10" s="746"/>
      <c r="AJ10" s="746"/>
      <c r="AL10" s="746"/>
      <c r="AM10" s="746"/>
      <c r="AN10" s="746"/>
      <c r="AO10" s="746"/>
      <c r="AP10" s="746"/>
      <c r="AQ10" s="746"/>
      <c r="AR10" s="746"/>
    </row>
    <row r="11" spans="1:50" x14ac:dyDescent="0.25">
      <c r="I11" s="1480" t="str">
        <f>Translations!$B$535</f>
        <v>Released fuel amounts (RFA)</v>
      </c>
      <c r="J11" s="1480"/>
      <c r="K11" s="1480"/>
      <c r="L11" s="1480"/>
      <c r="M11" s="1480" t="str">
        <f>Translations!$B$536</f>
        <v>Scope factor (SF)</v>
      </c>
      <c r="N11" s="1480"/>
      <c r="O11" s="1480"/>
      <c r="P11" s="1480" t="str">
        <f>Translations!$B$537</f>
        <v>Emission factor (EF)</v>
      </c>
      <c r="Q11" s="1480"/>
      <c r="R11" s="1480"/>
      <c r="S11" s="1480" t="str">
        <f>Translations!$B$538</f>
        <v>Unit conversion factor (UCF)</v>
      </c>
      <c r="T11" s="1480"/>
      <c r="U11" s="1480"/>
      <c r="V11" s="1480" t="str">
        <f>Translations!$B$539</f>
        <v>Biomass fraction (BF)</v>
      </c>
      <c r="W11" s="1480"/>
      <c r="X11" s="1480" t="str">
        <f>Translations!$B$540</f>
        <v>Non-sust. biomass fraction</v>
      </c>
      <c r="Y11" s="1480"/>
      <c r="Z11" s="1480" t="str">
        <f>Translations!$B$673</f>
        <v>RFNBO or RCF fraction</v>
      </c>
      <c r="AA11" s="1480"/>
      <c r="AB11" s="1480" t="str">
        <f>Translations!$B$674</f>
        <v>SLCF fraction</v>
      </c>
      <c r="AC11" s="1480"/>
    </row>
    <row r="12" spans="1:50" s="190" customFormat="1" ht="52" x14ac:dyDescent="0.3">
      <c r="C12" s="749" t="s">
        <v>197</v>
      </c>
      <c r="D12" s="749" t="str">
        <f>Translations!$B$541</f>
        <v>Reporting Year</v>
      </c>
      <c r="E12" s="749" t="str">
        <f>Translations!$B$182</f>
        <v>Unique ID of the regulated entity:</v>
      </c>
      <c r="F12" s="748" t="s">
        <v>52</v>
      </c>
      <c r="G12" s="749" t="str">
        <f>Translations!$B$542</f>
        <v>Means released</v>
      </c>
      <c r="H12" s="749" t="str">
        <f>Translations!$B$543</f>
        <v>Means (intermediate) parties</v>
      </c>
      <c r="I12" s="747" t="str">
        <f>Translations!$B$376</f>
        <v>RFA Tier</v>
      </c>
      <c r="J12" s="747" t="str">
        <f>Translations!$B$377</f>
        <v>RFA</v>
      </c>
      <c r="K12" s="747" t="str">
        <f>Translations!$B$378</f>
        <v>RFA (in scope)</v>
      </c>
      <c r="L12" s="747" t="str">
        <f>Translations!$B$379</f>
        <v>RFA Unit</v>
      </c>
      <c r="M12" s="747" t="str">
        <f>Translations!$B$380</f>
        <v>SF Tier</v>
      </c>
      <c r="N12" s="747" t="str">
        <f>Translations!$B$380</f>
        <v>SF Tier</v>
      </c>
      <c r="O12" s="747" t="str">
        <f>Translations!$B$381</f>
        <v>SF</v>
      </c>
      <c r="P12" s="747" t="str">
        <f>Translations!$B$382</f>
        <v>EF Tier</v>
      </c>
      <c r="Q12" s="747" t="str">
        <f>Translations!$B$383</f>
        <v>EF</v>
      </c>
      <c r="R12" s="747" t="str">
        <f>Translations!$B$384</f>
        <v>EF Unit</v>
      </c>
      <c r="S12" s="747" t="str">
        <f>Translations!$B$385</f>
        <v>UCF Tier</v>
      </c>
      <c r="T12" s="747" t="str">
        <f>Translations!$B$386</f>
        <v>UCF</v>
      </c>
      <c r="U12" s="747" t="str">
        <f>Translations!$B$387</f>
        <v>UCF Unit</v>
      </c>
      <c r="V12" s="747" t="str">
        <f>Translations!$B$544</f>
        <v>BF Tier</v>
      </c>
      <c r="W12" s="747" t="s">
        <v>113</v>
      </c>
      <c r="X12" s="747" t="str">
        <f>Translations!$B$545</f>
        <v>NonSustBF Tier</v>
      </c>
      <c r="Y12" s="747" t="str">
        <f>Translations!$B$546</f>
        <v>NonSustBF</v>
      </c>
      <c r="Z12" s="747" t="str">
        <f>Translations!B669</f>
        <v>RFNBO/RCF F</v>
      </c>
      <c r="AA12" s="747" t="str">
        <f>Translations!B670</f>
        <v>NonSustRFNBO F</v>
      </c>
      <c r="AB12" s="747" t="str">
        <f>Translations!B671</f>
        <v>SLCF F</v>
      </c>
      <c r="AC12" s="747" t="str">
        <f>Translations!B672</f>
        <v>NonSustSLCF F</v>
      </c>
      <c r="AD12" s="747" t="str">
        <f>Translations!$B$547</f>
        <v>CO2e fossil (t)</v>
      </c>
      <c r="AE12" s="747" t="str">
        <f>Translations!$B$548</f>
        <v>CO2e bio (t)</v>
      </c>
      <c r="AF12" s="747" t="str">
        <f>Translations!$B$549</f>
        <v>CO2e non-sust. bio (t)</v>
      </c>
      <c r="AG12" s="747" t="s">
        <v>121</v>
      </c>
      <c r="AH12" s="747" t="s">
        <v>122</v>
      </c>
      <c r="AI12" s="747" t="s">
        <v>123</v>
      </c>
      <c r="AJ12" s="747" t="s">
        <v>124</v>
      </c>
      <c r="AK12" s="748" t="str">
        <f>Translations!$B$550</f>
        <v>Energy content (fossil), TJ</v>
      </c>
      <c r="AL12" s="748" t="str">
        <f>Translations!$B$551</f>
        <v>Energy content (bio), TJ</v>
      </c>
      <c r="AM12" s="748" t="s">
        <v>126</v>
      </c>
      <c r="AN12" s="748" t="s">
        <v>127</v>
      </c>
      <c r="AO12" s="747" t="str">
        <f>Translations!$B$552</f>
        <v>CRF category 1</v>
      </c>
      <c r="AP12" s="747" t="str">
        <f>Translations!$B$553</f>
        <v>CRF category 2</v>
      </c>
      <c r="AQ12" s="747" t="str">
        <f>Translations!$B$554</f>
        <v>CRF category 3</v>
      </c>
      <c r="AR12" s="747" t="str">
        <f>Translations!$B$665</f>
        <v>Memo: CO2e fossil (t) (before SF)</v>
      </c>
      <c r="AS12" s="750"/>
      <c r="AT12" s="750" t="s">
        <v>198</v>
      </c>
      <c r="AU12" s="750" t="s">
        <v>199</v>
      </c>
      <c r="AV12" s="750" t="s">
        <v>52</v>
      </c>
      <c r="AW12" s="750"/>
      <c r="AX12" s="750"/>
    </row>
    <row r="13" spans="1:50" x14ac:dyDescent="0.25">
      <c r="C13" s="751">
        <v>1</v>
      </c>
      <c r="D13" s="751" t="str">
        <f>IF(F13="","",$D$8)</f>
        <v/>
      </c>
      <c r="E13" s="754" t="str">
        <f t="shared" ref="E13:E31" si="0">IF(F13="","",$E$8)</f>
        <v/>
      </c>
      <c r="F13" s="755" t="str">
        <f>IF(INDEX(C_FuelStreams!BI:BI,MATCH($C13,C_FuelStreams!$A:$A,0))="","",INDEX(C_FuelStreams!BI:BI,MATCH($C13,C_FuelStreams!$A:$A,0)))</f>
        <v/>
      </c>
      <c r="G13" s="755" t="str">
        <f>IF(F13="","",INDEX(C_FuelStreams!K:K,MATCH($C13,C_FuelStreams!$A:$A,0)))</f>
        <v/>
      </c>
      <c r="H13" s="755" t="str">
        <f>IF(F13="","",INDEX(C_FuelStreams!K:K,MATCH($C13,C_FuelStreams!$A:$A,0)+1))</f>
        <v/>
      </c>
      <c r="I13" s="756" t="str">
        <f>IF($F13="","",INDEX(C_FuelStreams!BJ:BJ,MATCH($C13,C_FuelStreams!$A:$A,0)))</f>
        <v/>
      </c>
      <c r="J13" s="757" t="str">
        <f>IF($F13="","",INDEX(C_FuelStreams!BK:BK,MATCH($C13,C_FuelStreams!$A:$A,0)))</f>
        <v/>
      </c>
      <c r="K13" s="757" t="str">
        <f>IF($F13="","",SUM(J13)-INDEX(C_FuelStreams!BL:BL,MATCH($C13,C_FuelStreams!$A:$A,0)))</f>
        <v/>
      </c>
      <c r="L13" s="756" t="str">
        <f>IF($F13="","",INDEX(C_FuelStreams!BM:BM,MATCH($C13,C_FuelStreams!$A:$A,0)))</f>
        <v/>
      </c>
      <c r="M13" s="756" t="str">
        <f>IF($F13="","",INDEX(C_FuelStreams!BN:BN,MATCH($C13,C_FuelStreams!$A:$A,0)))</f>
        <v/>
      </c>
      <c r="N13" s="754" t="str">
        <f>IF($F13="","",INDEX(C_FuelStreams!BO:BO,MATCH($C13,C_FuelStreams!$A:$A,0)))</f>
        <v/>
      </c>
      <c r="O13" s="18" t="str">
        <f>IF($F13="","",INDEX(C_FuelStreams!BP:BP,MATCH($C13,C_FuelStreams!$A:$A,0)))</f>
        <v/>
      </c>
      <c r="P13" s="756" t="str">
        <f>IF($F13="","",INDEX(C_FuelStreams!BQ:BQ,MATCH($C13,C_FuelStreams!$A:$A,0)))</f>
        <v/>
      </c>
      <c r="Q13" s="758" t="str">
        <f>IF($F13="","",INDEX(C_FuelStreams!BR:BR,MATCH($C13,C_FuelStreams!$A:$A,0)))</f>
        <v/>
      </c>
      <c r="R13" s="756" t="str">
        <f>IF($F13="","",INDEX(C_FuelStreams!BS:BS,MATCH($C13,C_FuelStreams!$A:$A,0)))</f>
        <v/>
      </c>
      <c r="S13" s="756" t="str">
        <f>IF($F13="","",INDEX(C_FuelStreams!BT:BT,MATCH($C13,C_FuelStreams!$A:$A,0)))</f>
        <v/>
      </c>
      <c r="T13" s="758" t="str">
        <f>IF($F13="","",INDEX(C_FuelStreams!BU:BU,MATCH($C13,C_FuelStreams!$A:$A,0)))</f>
        <v/>
      </c>
      <c r="U13" s="756" t="str">
        <f>IF($F13="","",INDEX(C_FuelStreams!BV:BV,MATCH($C13,C_FuelStreams!$A:$A,0)))</f>
        <v/>
      </c>
      <c r="V13" s="756" t="str">
        <f>IF($F13="","",INDEX(C_FuelStreams!BW:BW,MATCH($C13,C_FuelStreams!$A:$A,0)))</f>
        <v/>
      </c>
      <c r="W13" s="13" t="str">
        <f>IF($F13="","",INDEX(C_FuelStreams!BX:BX,MATCH($C13,C_FuelStreams!$A:$A,0)))</f>
        <v/>
      </c>
      <c r="X13" s="756" t="str">
        <f>IF($F13="","",INDEX(C_FuelStreams!BY:BY,MATCH($C13,C_FuelStreams!$A:$A,0)))</f>
        <v/>
      </c>
      <c r="Y13" s="13" t="str">
        <f>IF($F13="","",INDEX(C_FuelStreams!BZ:BZ,MATCH($C13,C_FuelStreams!$A:$A,0)))</f>
        <v/>
      </c>
      <c r="Z13" s="13" t="str">
        <f>IF($F13="","",INDEX(C_FuelStreams!CA:CA,MATCH($C13,C_FuelStreams!$A:$A,0)))</f>
        <v/>
      </c>
      <c r="AA13" s="13" t="str">
        <f>IF($F13="","",INDEX(C_FuelStreams!CB:CB,MATCH($C13,C_FuelStreams!$A:$A,0)))</f>
        <v/>
      </c>
      <c r="AB13" s="13" t="str">
        <f>IF($F13="","",INDEX(C_FuelStreams!CC:CC,MATCH($C13,C_FuelStreams!$A:$A,0)))</f>
        <v/>
      </c>
      <c r="AC13" s="13" t="str">
        <f>IF($F13="","",INDEX(C_FuelStreams!CD:CD,MATCH($C13,C_FuelStreams!$A:$A,0)))</f>
        <v/>
      </c>
      <c r="AD13" s="757" t="str">
        <f>IF($F13="","",INDEX(C_FuelStreams!CE:CE,MATCH($C13,C_FuelStreams!$A:$A,0)))</f>
        <v/>
      </c>
      <c r="AE13" s="757" t="str">
        <f>IF($F13="","",INDEX(C_FuelStreams!CF:CF,MATCH($C13,C_FuelStreams!$A:$A,0)))</f>
        <v/>
      </c>
      <c r="AF13" s="757" t="str">
        <f>IF($F13="","",INDEX(C_FuelStreams!CG:CG,MATCH($C13,C_FuelStreams!$A:$A,0)))</f>
        <v/>
      </c>
      <c r="AG13" s="757" t="str">
        <f>IF($F13="","",INDEX(C_FuelStreams!CH:CH,MATCH($C13,C_FuelStreams!$A:$A,0)))</f>
        <v/>
      </c>
      <c r="AH13" s="757" t="str">
        <f>IF($F13="","",INDEX(C_FuelStreams!CI:CI,MATCH($C13,C_FuelStreams!$A:$A,0)))</f>
        <v/>
      </c>
      <c r="AI13" s="757" t="str">
        <f>IF($F13="","",INDEX(C_FuelStreams!CJ:CJ,MATCH($C13,C_FuelStreams!$A:$A,0)))</f>
        <v/>
      </c>
      <c r="AJ13" s="757" t="str">
        <f>IF($F13="","",INDEX(C_FuelStreams!CK:CK,MATCH($C13,C_FuelStreams!$A:$A,0)))</f>
        <v/>
      </c>
      <c r="AK13" s="757" t="str">
        <f>IF($F13="","",INDEX(C_FuelStreams!CL:CL,MATCH($C13,C_FuelStreams!$A:$A,0)))</f>
        <v/>
      </c>
      <c r="AL13" s="757" t="str">
        <f>IF($F13="","",INDEX(C_FuelStreams!CM:CM,MATCH($C13,C_FuelStreams!$A:$A,0)))</f>
        <v/>
      </c>
      <c r="AM13" s="757" t="str">
        <f>IF($F13="","",INDEX(C_FuelStreams!CN:CN,MATCH($C13,C_FuelStreams!$A:$A,0)))</f>
        <v/>
      </c>
      <c r="AN13" s="757" t="str">
        <f>IF($F13="","",INDEX(C_FuelStreams!CO:CO,MATCH($C13,C_FuelStreams!$A:$A,0)))</f>
        <v/>
      </c>
      <c r="AO13" s="759" t="str">
        <f>IF($F13="","",INDEX(C_FuelStreams!BK:BK,MATCH($C13,C_FuelStreams!$A:$A,0)+3))</f>
        <v/>
      </c>
      <c r="AP13" s="759" t="str">
        <f>IF($F13="","",INDEX(C_FuelStreams!BL:BL,MATCH($C13,C_FuelStreams!$A:$A,0)+3))</f>
        <v/>
      </c>
      <c r="AQ13" s="759" t="str">
        <f>IF($F13="","",INDEX(C_FuelStreams!BM:BM,MATCH($C13,C_FuelStreams!$A:$A,0)+3))</f>
        <v/>
      </c>
      <c r="AR13" s="757" t="str">
        <f>IF($F13="","",INDEX(C_FuelStreams!CP:CP,MATCH($C13,C_FuelStreams!$A:$A,0)))</f>
        <v/>
      </c>
      <c r="AT13" s="514" t="str">
        <f>IF($F13="","",INDEX(B_IdentifyFuelStreams!$E$67:$E$116,MATCH($F13,CNTR_SourceStreamNames,0)))</f>
        <v/>
      </c>
      <c r="AU13" s="514" t="str">
        <f>IF($F13="","",INDEX(B_IdentifyFuelStreams!$I$67:$I$116,MATCH($F13,CNTR_SourceStreamNames,0)))</f>
        <v/>
      </c>
      <c r="AV13" s="514" t="str">
        <f>IF($F13="","",IF(INDEX(B_IdentifyFuelStreams!$L$67:$L$116,MATCH($F13,CNTR_SourceStreamNames,0))="","",INDEX(B_IdentifyFuelStreams!$L$67:$L$116,MATCH($F13,CNTR_SourceStreamNames,0))))</f>
        <v/>
      </c>
    </row>
    <row r="14" spans="1:50" x14ac:dyDescent="0.25">
      <c r="C14" s="751">
        <f>C13+1</f>
        <v>2</v>
      </c>
      <c r="D14" s="751" t="str">
        <f t="shared" ref="D14:D31" si="1">IF(F14="","",$D$8)</f>
        <v/>
      </c>
      <c r="E14" s="754" t="str">
        <f t="shared" si="0"/>
        <v/>
      </c>
      <c r="F14" s="755" t="str">
        <f>IF(INDEX(C_FuelStreams!BI:BI,MATCH($C14,C_FuelStreams!$A:$A,0))="","",INDEX(C_FuelStreams!BI:BI,MATCH($C14,C_FuelStreams!$A:$A,0)))</f>
        <v/>
      </c>
      <c r="G14" s="755" t="str">
        <f>IF(F14="","",INDEX(C_FuelStreams!K:K,MATCH($C14,C_FuelStreams!$A:$A,0)))</f>
        <v/>
      </c>
      <c r="H14" s="755" t="str">
        <f>IF(F14="","",INDEX(C_FuelStreams!K:K,MATCH($C14,C_FuelStreams!$A:$A,0)+1))</f>
        <v/>
      </c>
      <c r="I14" s="756" t="str">
        <f>IF($F14="","",INDEX(C_FuelStreams!BJ:BJ,MATCH($C14,C_FuelStreams!$A:$A,0)))</f>
        <v/>
      </c>
      <c r="J14" s="757" t="str">
        <f>IF($F14="","",INDEX(C_FuelStreams!BK:BK,MATCH($C14,C_FuelStreams!$A:$A,0)))</f>
        <v/>
      </c>
      <c r="K14" s="757" t="str">
        <f>IF($F14="","",SUM(J14)-INDEX(C_FuelStreams!BL:BL,MATCH($C14,C_FuelStreams!$A:$A,0)))</f>
        <v/>
      </c>
      <c r="L14" s="756" t="str">
        <f>IF($F14="","",INDEX(C_FuelStreams!BM:BM,MATCH($C14,C_FuelStreams!$A:$A,0)))</f>
        <v/>
      </c>
      <c r="M14" s="756" t="str">
        <f>IF($F14="","",INDEX(C_FuelStreams!BN:BN,MATCH($C14,C_FuelStreams!$A:$A,0)))</f>
        <v/>
      </c>
      <c r="N14" s="754" t="str">
        <f>IF($F14="","",INDEX(C_FuelStreams!BO:BO,MATCH($C14,C_FuelStreams!$A:$A,0)))</f>
        <v/>
      </c>
      <c r="O14" s="18" t="str">
        <f>IF($F14="","",INDEX(C_FuelStreams!BP:BP,MATCH($C14,C_FuelStreams!$A:$A,0)))</f>
        <v/>
      </c>
      <c r="P14" s="756" t="str">
        <f>IF($F14="","",INDEX(C_FuelStreams!BQ:BQ,MATCH($C14,C_FuelStreams!$A:$A,0)))</f>
        <v/>
      </c>
      <c r="Q14" s="758" t="str">
        <f>IF($F14="","",INDEX(C_FuelStreams!BR:BR,MATCH($C14,C_FuelStreams!$A:$A,0)))</f>
        <v/>
      </c>
      <c r="R14" s="756" t="str">
        <f>IF($F14="","",INDEX(C_FuelStreams!BS:BS,MATCH($C14,C_FuelStreams!$A:$A,0)))</f>
        <v/>
      </c>
      <c r="S14" s="756" t="str">
        <f>IF($F14="","",INDEX(C_FuelStreams!BT:BT,MATCH($C14,C_FuelStreams!$A:$A,0)))</f>
        <v/>
      </c>
      <c r="T14" s="758" t="str">
        <f>IF($F14="","",INDEX(C_FuelStreams!BU:BU,MATCH($C14,C_FuelStreams!$A:$A,0)))</f>
        <v/>
      </c>
      <c r="U14" s="756" t="str">
        <f>IF($F14="","",INDEX(C_FuelStreams!BV:BV,MATCH($C14,C_FuelStreams!$A:$A,0)))</f>
        <v/>
      </c>
      <c r="V14" s="756" t="str">
        <f>IF($F14="","",INDEX(C_FuelStreams!BW:BW,MATCH($C14,C_FuelStreams!$A:$A,0)))</f>
        <v/>
      </c>
      <c r="W14" s="13" t="str">
        <f>IF($F14="","",INDEX(C_FuelStreams!BX:BX,MATCH($C14,C_FuelStreams!$A:$A,0)))</f>
        <v/>
      </c>
      <c r="X14" s="756" t="str">
        <f>IF($F14="","",INDEX(C_FuelStreams!BY:BY,MATCH($C14,C_FuelStreams!$A:$A,0)))</f>
        <v/>
      </c>
      <c r="Y14" s="13" t="str">
        <f>IF($F14="","",INDEX(C_FuelStreams!BZ:BZ,MATCH($C14,C_FuelStreams!$A:$A,0)))</f>
        <v/>
      </c>
      <c r="Z14" s="13" t="str">
        <f>IF($F14="","",INDEX(C_FuelStreams!CA:CA,MATCH($C14,C_FuelStreams!$A:$A,0)))</f>
        <v/>
      </c>
      <c r="AA14" s="13" t="str">
        <f>IF($F14="","",INDEX(C_FuelStreams!CB:CB,MATCH($C14,C_FuelStreams!$A:$A,0)))</f>
        <v/>
      </c>
      <c r="AB14" s="13" t="str">
        <f>IF($F14="","",INDEX(C_FuelStreams!CC:CC,MATCH($C14,C_FuelStreams!$A:$A,0)))</f>
        <v/>
      </c>
      <c r="AC14" s="13" t="str">
        <f>IF($F14="","",INDEX(C_FuelStreams!CD:CD,MATCH($C14,C_FuelStreams!$A:$A,0)))</f>
        <v/>
      </c>
      <c r="AD14" s="757" t="str">
        <f>IF($F14="","",INDEX(C_FuelStreams!CE:CE,MATCH($C14,C_FuelStreams!$A:$A,0)))</f>
        <v/>
      </c>
      <c r="AE14" s="757" t="str">
        <f>IF($F14="","",INDEX(C_FuelStreams!CF:CF,MATCH($C14,C_FuelStreams!$A:$A,0)))</f>
        <v/>
      </c>
      <c r="AF14" s="757" t="str">
        <f>IF($F14="","",INDEX(C_FuelStreams!CG:CG,MATCH($C14,C_FuelStreams!$A:$A,0)))</f>
        <v/>
      </c>
      <c r="AG14" s="757" t="str">
        <f>IF($F14="","",INDEX(C_FuelStreams!CH:CH,MATCH($C14,C_FuelStreams!$A:$A,0)))</f>
        <v/>
      </c>
      <c r="AH14" s="757" t="str">
        <f>IF($F14="","",INDEX(C_FuelStreams!CI:CI,MATCH($C14,C_FuelStreams!$A:$A,0)))</f>
        <v/>
      </c>
      <c r="AI14" s="757" t="str">
        <f>IF($F14="","",INDEX(C_FuelStreams!CJ:CJ,MATCH($C14,C_FuelStreams!$A:$A,0)))</f>
        <v/>
      </c>
      <c r="AJ14" s="757" t="str">
        <f>IF($F14="","",INDEX(C_FuelStreams!CK:CK,MATCH($C14,C_FuelStreams!$A:$A,0)))</f>
        <v/>
      </c>
      <c r="AK14" s="757" t="str">
        <f>IF($F14="","",INDEX(C_FuelStreams!CL:CL,MATCH($C14,C_FuelStreams!$A:$A,0)))</f>
        <v/>
      </c>
      <c r="AL14" s="757" t="str">
        <f>IF($F14="","",INDEX(C_FuelStreams!CM:CM,MATCH($C14,C_FuelStreams!$A:$A,0)))</f>
        <v/>
      </c>
      <c r="AM14" s="757" t="str">
        <f>IF($F14="","",INDEX(C_FuelStreams!CN:CN,MATCH($C14,C_FuelStreams!$A:$A,0)))</f>
        <v/>
      </c>
      <c r="AN14" s="757" t="str">
        <f>IF($F14="","",INDEX(C_FuelStreams!CO:CO,MATCH($C14,C_FuelStreams!$A:$A,0)))</f>
        <v/>
      </c>
      <c r="AO14" s="759" t="str">
        <f>IF($F14="","",INDEX(C_FuelStreams!BK:BK,MATCH($C14,C_FuelStreams!$A:$A,0)+3))</f>
        <v/>
      </c>
      <c r="AP14" s="759" t="str">
        <f>IF($F14="","",INDEX(C_FuelStreams!BL:BL,MATCH($C14,C_FuelStreams!$A:$A,0)+3))</f>
        <v/>
      </c>
      <c r="AQ14" s="759" t="str">
        <f>IF($F14="","",INDEX(C_FuelStreams!BM:BM,MATCH($C14,C_FuelStreams!$A:$A,0)+3))</f>
        <v/>
      </c>
      <c r="AR14" s="757" t="str">
        <f>IF($F14="","",INDEX(C_FuelStreams!CP:CP,MATCH($C14,C_FuelStreams!$A:$A,0)))</f>
        <v/>
      </c>
      <c r="AT14" s="514" t="str">
        <f>IF($F14="","",INDEX(B_IdentifyFuelStreams!$E$67:$E$116,MATCH($F14,CNTR_SourceStreamNames,0)))</f>
        <v/>
      </c>
      <c r="AU14" s="514" t="str">
        <f>IF($F14="","",INDEX(B_IdentifyFuelStreams!$I$67:$I$116,MATCH($F14,CNTR_SourceStreamNames,0)))</f>
        <v/>
      </c>
      <c r="AV14" s="514" t="str">
        <f>IF($F14="","",IF(INDEX(B_IdentifyFuelStreams!$L$67:$L$116,MATCH($F14,CNTR_SourceStreamNames,0))="","",INDEX(B_IdentifyFuelStreams!$L$67:$L$116,MATCH($F14,CNTR_SourceStreamNames,0))))</f>
        <v/>
      </c>
    </row>
    <row r="15" spans="1:50" x14ac:dyDescent="0.25">
      <c r="C15" s="751">
        <f t="shared" ref="C15:C32" si="2">C14+1</f>
        <v>3</v>
      </c>
      <c r="D15" s="751" t="str">
        <f t="shared" si="1"/>
        <v/>
      </c>
      <c r="E15" s="754" t="str">
        <f t="shared" si="0"/>
        <v/>
      </c>
      <c r="F15" s="755" t="str">
        <f>IF(INDEX(C_FuelStreams!BI:BI,MATCH($C15,C_FuelStreams!$A:$A,0))="","",INDEX(C_FuelStreams!BI:BI,MATCH($C15,C_FuelStreams!$A:$A,0)))</f>
        <v/>
      </c>
      <c r="G15" s="755" t="str">
        <f>IF(F15="","",INDEX(C_FuelStreams!K:K,MATCH($C15,C_FuelStreams!$A:$A,0)))</f>
        <v/>
      </c>
      <c r="H15" s="755" t="str">
        <f>IF(F15="","",INDEX(C_FuelStreams!K:K,MATCH($C15,C_FuelStreams!$A:$A,0)+1))</f>
        <v/>
      </c>
      <c r="I15" s="756" t="str">
        <f>IF($F15="","",INDEX(C_FuelStreams!BJ:BJ,MATCH($C15,C_FuelStreams!$A:$A,0)))</f>
        <v/>
      </c>
      <c r="J15" s="757" t="str">
        <f>IF($F15="","",INDEX(C_FuelStreams!BK:BK,MATCH($C15,C_FuelStreams!$A:$A,0)))</f>
        <v/>
      </c>
      <c r="K15" s="757" t="str">
        <f>IF($F15="","",SUM(J15)-INDEX(C_FuelStreams!BL:BL,MATCH($C15,C_FuelStreams!$A:$A,0)))</f>
        <v/>
      </c>
      <c r="L15" s="756" t="str">
        <f>IF($F15="","",INDEX(C_FuelStreams!BM:BM,MATCH($C15,C_FuelStreams!$A:$A,0)))</f>
        <v/>
      </c>
      <c r="M15" s="756" t="str">
        <f>IF($F15="","",INDEX(C_FuelStreams!BN:BN,MATCH($C15,C_FuelStreams!$A:$A,0)))</f>
        <v/>
      </c>
      <c r="N15" s="754" t="str">
        <f>IF($F15="","",INDEX(C_FuelStreams!BO:BO,MATCH($C15,C_FuelStreams!$A:$A,0)))</f>
        <v/>
      </c>
      <c r="O15" s="18" t="str">
        <f>IF($F15="","",INDEX(C_FuelStreams!BP:BP,MATCH($C15,C_FuelStreams!$A:$A,0)))</f>
        <v/>
      </c>
      <c r="P15" s="756" t="str">
        <f>IF($F15="","",INDEX(C_FuelStreams!BQ:BQ,MATCH($C15,C_FuelStreams!$A:$A,0)))</f>
        <v/>
      </c>
      <c r="Q15" s="758" t="str">
        <f>IF($F15="","",INDEX(C_FuelStreams!BR:BR,MATCH($C15,C_FuelStreams!$A:$A,0)))</f>
        <v/>
      </c>
      <c r="R15" s="756" t="str">
        <f>IF($F15="","",INDEX(C_FuelStreams!BS:BS,MATCH($C15,C_FuelStreams!$A:$A,0)))</f>
        <v/>
      </c>
      <c r="S15" s="756" t="str">
        <f>IF($F15="","",INDEX(C_FuelStreams!BT:BT,MATCH($C15,C_FuelStreams!$A:$A,0)))</f>
        <v/>
      </c>
      <c r="T15" s="758" t="str">
        <f>IF($F15="","",INDEX(C_FuelStreams!BU:BU,MATCH($C15,C_FuelStreams!$A:$A,0)))</f>
        <v/>
      </c>
      <c r="U15" s="756" t="str">
        <f>IF($F15="","",INDEX(C_FuelStreams!BV:BV,MATCH($C15,C_FuelStreams!$A:$A,0)))</f>
        <v/>
      </c>
      <c r="V15" s="756" t="str">
        <f>IF($F15="","",INDEX(C_FuelStreams!BW:BW,MATCH($C15,C_FuelStreams!$A:$A,0)))</f>
        <v/>
      </c>
      <c r="W15" s="13" t="str">
        <f>IF($F15="","",INDEX(C_FuelStreams!BX:BX,MATCH($C15,C_FuelStreams!$A:$A,0)))</f>
        <v/>
      </c>
      <c r="X15" s="756" t="str">
        <f>IF($F15="","",INDEX(C_FuelStreams!BY:BY,MATCH($C15,C_FuelStreams!$A:$A,0)))</f>
        <v/>
      </c>
      <c r="Y15" s="13" t="str">
        <f>IF($F15="","",INDEX(C_FuelStreams!BZ:BZ,MATCH($C15,C_FuelStreams!$A:$A,0)))</f>
        <v/>
      </c>
      <c r="Z15" s="13" t="str">
        <f>IF($F15="","",INDEX(C_FuelStreams!CA:CA,MATCH($C15,C_FuelStreams!$A:$A,0)))</f>
        <v/>
      </c>
      <c r="AA15" s="13" t="str">
        <f>IF($F15="","",INDEX(C_FuelStreams!CB:CB,MATCH($C15,C_FuelStreams!$A:$A,0)))</f>
        <v/>
      </c>
      <c r="AB15" s="13" t="str">
        <f>IF($F15="","",INDEX(C_FuelStreams!CC:CC,MATCH($C15,C_FuelStreams!$A:$A,0)))</f>
        <v/>
      </c>
      <c r="AC15" s="13" t="str">
        <f>IF($F15="","",INDEX(C_FuelStreams!CD:CD,MATCH($C15,C_FuelStreams!$A:$A,0)))</f>
        <v/>
      </c>
      <c r="AD15" s="757" t="str">
        <f>IF($F15="","",INDEX(C_FuelStreams!CE:CE,MATCH($C15,C_FuelStreams!$A:$A,0)))</f>
        <v/>
      </c>
      <c r="AE15" s="757" t="str">
        <f>IF($F15="","",INDEX(C_FuelStreams!CF:CF,MATCH($C15,C_FuelStreams!$A:$A,0)))</f>
        <v/>
      </c>
      <c r="AF15" s="757" t="str">
        <f>IF($F15="","",INDEX(C_FuelStreams!CG:CG,MATCH($C15,C_FuelStreams!$A:$A,0)))</f>
        <v/>
      </c>
      <c r="AG15" s="757" t="str">
        <f>IF($F15="","",INDEX(C_FuelStreams!CH:CH,MATCH($C15,C_FuelStreams!$A:$A,0)))</f>
        <v/>
      </c>
      <c r="AH15" s="757" t="str">
        <f>IF($F15="","",INDEX(C_FuelStreams!CI:CI,MATCH($C15,C_FuelStreams!$A:$A,0)))</f>
        <v/>
      </c>
      <c r="AI15" s="757" t="str">
        <f>IF($F15="","",INDEX(C_FuelStreams!CJ:CJ,MATCH($C15,C_FuelStreams!$A:$A,0)))</f>
        <v/>
      </c>
      <c r="AJ15" s="757" t="str">
        <f>IF($F15="","",INDEX(C_FuelStreams!CK:CK,MATCH($C15,C_FuelStreams!$A:$A,0)))</f>
        <v/>
      </c>
      <c r="AK15" s="757" t="str">
        <f>IF($F15="","",INDEX(C_FuelStreams!CL:CL,MATCH($C15,C_FuelStreams!$A:$A,0)))</f>
        <v/>
      </c>
      <c r="AL15" s="757" t="str">
        <f>IF($F15="","",INDEX(C_FuelStreams!CM:CM,MATCH($C15,C_FuelStreams!$A:$A,0)))</f>
        <v/>
      </c>
      <c r="AM15" s="757" t="str">
        <f>IF($F15="","",INDEX(C_FuelStreams!CN:CN,MATCH($C15,C_FuelStreams!$A:$A,0)))</f>
        <v/>
      </c>
      <c r="AN15" s="757" t="str">
        <f>IF($F15="","",INDEX(C_FuelStreams!CO:CO,MATCH($C15,C_FuelStreams!$A:$A,0)))</f>
        <v/>
      </c>
      <c r="AO15" s="759" t="str">
        <f>IF($F15="","",INDEX(C_FuelStreams!BK:BK,MATCH($C15,C_FuelStreams!$A:$A,0)+3))</f>
        <v/>
      </c>
      <c r="AP15" s="759" t="str">
        <f>IF($F15="","",INDEX(C_FuelStreams!BL:BL,MATCH($C15,C_FuelStreams!$A:$A,0)+3))</f>
        <v/>
      </c>
      <c r="AQ15" s="759" t="str">
        <f>IF($F15="","",INDEX(C_FuelStreams!BM:BM,MATCH($C15,C_FuelStreams!$A:$A,0)+3))</f>
        <v/>
      </c>
      <c r="AR15" s="757" t="str">
        <f>IF($F15="","",INDEX(C_FuelStreams!CP:CP,MATCH($C15,C_FuelStreams!$A:$A,0)))</f>
        <v/>
      </c>
      <c r="AT15" s="514" t="str">
        <f>IF($F15="","",INDEX(B_IdentifyFuelStreams!$E$67:$E$116,MATCH($F15,CNTR_SourceStreamNames,0)))</f>
        <v/>
      </c>
      <c r="AU15" s="514" t="str">
        <f>IF($F15="","",INDEX(B_IdentifyFuelStreams!$I$67:$I$116,MATCH($F15,CNTR_SourceStreamNames,0)))</f>
        <v/>
      </c>
      <c r="AV15" s="514" t="str">
        <f>IF($F15="","",IF(INDEX(B_IdentifyFuelStreams!$L$67:$L$116,MATCH($F15,CNTR_SourceStreamNames,0))="","",INDEX(B_IdentifyFuelStreams!$L$67:$L$116,MATCH($F15,CNTR_SourceStreamNames,0))))</f>
        <v/>
      </c>
    </row>
    <row r="16" spans="1:50" x14ac:dyDescent="0.25">
      <c r="C16" s="751">
        <f t="shared" si="2"/>
        <v>4</v>
      </c>
      <c r="D16" s="751" t="str">
        <f t="shared" si="1"/>
        <v/>
      </c>
      <c r="E16" s="754" t="str">
        <f t="shared" si="0"/>
        <v/>
      </c>
      <c r="F16" s="755" t="str">
        <f>IF(INDEX(C_FuelStreams!BI:BI,MATCH($C16,C_FuelStreams!$A:$A,0))="","",INDEX(C_FuelStreams!BI:BI,MATCH($C16,C_FuelStreams!$A:$A,0)))</f>
        <v/>
      </c>
      <c r="G16" s="755" t="str">
        <f>IF(F16="","",INDEX(C_FuelStreams!K:K,MATCH($C16,C_FuelStreams!$A:$A,0)))</f>
        <v/>
      </c>
      <c r="H16" s="755" t="str">
        <f>IF(F16="","",INDEX(C_FuelStreams!K:K,MATCH($C16,C_FuelStreams!$A:$A,0)+1))</f>
        <v/>
      </c>
      <c r="I16" s="756" t="str">
        <f>IF($F16="","",INDEX(C_FuelStreams!BJ:BJ,MATCH($C16,C_FuelStreams!$A:$A,0)))</f>
        <v/>
      </c>
      <c r="J16" s="757" t="str">
        <f>IF($F16="","",INDEX(C_FuelStreams!BK:BK,MATCH($C16,C_FuelStreams!$A:$A,0)))</f>
        <v/>
      </c>
      <c r="K16" s="757" t="str">
        <f>IF($F16="","",SUM(J16)-INDEX(C_FuelStreams!BL:BL,MATCH($C16,C_FuelStreams!$A:$A,0)))</f>
        <v/>
      </c>
      <c r="L16" s="756" t="str">
        <f>IF($F16="","",INDEX(C_FuelStreams!BM:BM,MATCH($C16,C_FuelStreams!$A:$A,0)))</f>
        <v/>
      </c>
      <c r="M16" s="756" t="str">
        <f>IF($F16="","",INDEX(C_FuelStreams!BN:BN,MATCH($C16,C_FuelStreams!$A:$A,0)))</f>
        <v/>
      </c>
      <c r="N16" s="754" t="str">
        <f>IF($F16="","",INDEX(C_FuelStreams!BO:BO,MATCH($C16,C_FuelStreams!$A:$A,0)))</f>
        <v/>
      </c>
      <c r="O16" s="18" t="str">
        <f>IF($F16="","",INDEX(C_FuelStreams!BP:BP,MATCH($C16,C_FuelStreams!$A:$A,0)))</f>
        <v/>
      </c>
      <c r="P16" s="756" t="str">
        <f>IF($F16="","",INDEX(C_FuelStreams!BQ:BQ,MATCH($C16,C_FuelStreams!$A:$A,0)))</f>
        <v/>
      </c>
      <c r="Q16" s="758" t="str">
        <f>IF($F16="","",INDEX(C_FuelStreams!BR:BR,MATCH($C16,C_FuelStreams!$A:$A,0)))</f>
        <v/>
      </c>
      <c r="R16" s="756" t="str">
        <f>IF($F16="","",INDEX(C_FuelStreams!BS:BS,MATCH($C16,C_FuelStreams!$A:$A,0)))</f>
        <v/>
      </c>
      <c r="S16" s="756" t="str">
        <f>IF($F16="","",INDEX(C_FuelStreams!BT:BT,MATCH($C16,C_FuelStreams!$A:$A,0)))</f>
        <v/>
      </c>
      <c r="T16" s="758" t="str">
        <f>IF($F16="","",INDEX(C_FuelStreams!BU:BU,MATCH($C16,C_FuelStreams!$A:$A,0)))</f>
        <v/>
      </c>
      <c r="U16" s="756" t="str">
        <f>IF($F16="","",INDEX(C_FuelStreams!BV:BV,MATCH($C16,C_FuelStreams!$A:$A,0)))</f>
        <v/>
      </c>
      <c r="V16" s="756" t="str">
        <f>IF($F16="","",INDEX(C_FuelStreams!BW:BW,MATCH($C16,C_FuelStreams!$A:$A,0)))</f>
        <v/>
      </c>
      <c r="W16" s="13" t="str">
        <f>IF($F16="","",INDEX(C_FuelStreams!BX:BX,MATCH($C16,C_FuelStreams!$A:$A,0)))</f>
        <v/>
      </c>
      <c r="X16" s="756" t="str">
        <f>IF($F16="","",INDEX(C_FuelStreams!BY:BY,MATCH($C16,C_FuelStreams!$A:$A,0)))</f>
        <v/>
      </c>
      <c r="Y16" s="13" t="str">
        <f>IF($F16="","",INDEX(C_FuelStreams!BZ:BZ,MATCH($C16,C_FuelStreams!$A:$A,0)))</f>
        <v/>
      </c>
      <c r="Z16" s="13" t="str">
        <f>IF($F16="","",INDEX(C_FuelStreams!CA:CA,MATCH($C16,C_FuelStreams!$A:$A,0)))</f>
        <v/>
      </c>
      <c r="AA16" s="13" t="str">
        <f>IF($F16="","",INDEX(C_FuelStreams!CB:CB,MATCH($C16,C_FuelStreams!$A:$A,0)))</f>
        <v/>
      </c>
      <c r="AB16" s="13" t="str">
        <f>IF($F16="","",INDEX(C_FuelStreams!CC:CC,MATCH($C16,C_FuelStreams!$A:$A,0)))</f>
        <v/>
      </c>
      <c r="AC16" s="13" t="str">
        <f>IF($F16="","",INDEX(C_FuelStreams!CD:CD,MATCH($C16,C_FuelStreams!$A:$A,0)))</f>
        <v/>
      </c>
      <c r="AD16" s="757" t="str">
        <f>IF($F16="","",INDEX(C_FuelStreams!CE:CE,MATCH($C16,C_FuelStreams!$A:$A,0)))</f>
        <v/>
      </c>
      <c r="AE16" s="757" t="str">
        <f>IF($F16="","",INDEX(C_FuelStreams!CF:CF,MATCH($C16,C_FuelStreams!$A:$A,0)))</f>
        <v/>
      </c>
      <c r="AF16" s="757" t="str">
        <f>IF($F16="","",INDEX(C_FuelStreams!CG:CG,MATCH($C16,C_FuelStreams!$A:$A,0)))</f>
        <v/>
      </c>
      <c r="AG16" s="757" t="str">
        <f>IF($F16="","",INDEX(C_FuelStreams!CH:CH,MATCH($C16,C_FuelStreams!$A:$A,0)))</f>
        <v/>
      </c>
      <c r="AH16" s="757" t="str">
        <f>IF($F16="","",INDEX(C_FuelStreams!CI:CI,MATCH($C16,C_FuelStreams!$A:$A,0)))</f>
        <v/>
      </c>
      <c r="AI16" s="757" t="str">
        <f>IF($F16="","",INDEX(C_FuelStreams!CJ:CJ,MATCH($C16,C_FuelStreams!$A:$A,0)))</f>
        <v/>
      </c>
      <c r="AJ16" s="757" t="str">
        <f>IF($F16="","",INDEX(C_FuelStreams!CK:CK,MATCH($C16,C_FuelStreams!$A:$A,0)))</f>
        <v/>
      </c>
      <c r="AK16" s="757" t="str">
        <f>IF($F16="","",INDEX(C_FuelStreams!CL:CL,MATCH($C16,C_FuelStreams!$A:$A,0)))</f>
        <v/>
      </c>
      <c r="AL16" s="757" t="str">
        <f>IF($F16="","",INDEX(C_FuelStreams!CM:CM,MATCH($C16,C_FuelStreams!$A:$A,0)))</f>
        <v/>
      </c>
      <c r="AM16" s="757" t="str">
        <f>IF($F16="","",INDEX(C_FuelStreams!CN:CN,MATCH($C16,C_FuelStreams!$A:$A,0)))</f>
        <v/>
      </c>
      <c r="AN16" s="757" t="str">
        <f>IF($F16="","",INDEX(C_FuelStreams!CO:CO,MATCH($C16,C_FuelStreams!$A:$A,0)))</f>
        <v/>
      </c>
      <c r="AO16" s="759" t="str">
        <f>IF($F16="","",INDEX(C_FuelStreams!BK:BK,MATCH($C16,C_FuelStreams!$A:$A,0)+3))</f>
        <v/>
      </c>
      <c r="AP16" s="759" t="str">
        <f>IF($F16="","",INDEX(C_FuelStreams!BL:BL,MATCH($C16,C_FuelStreams!$A:$A,0)+3))</f>
        <v/>
      </c>
      <c r="AQ16" s="759" t="str">
        <f>IF($F16="","",INDEX(C_FuelStreams!BM:BM,MATCH($C16,C_FuelStreams!$A:$A,0)+3))</f>
        <v/>
      </c>
      <c r="AR16" s="757" t="str">
        <f>IF($F16="","",INDEX(C_FuelStreams!CP:CP,MATCH($C16,C_FuelStreams!$A:$A,0)))</f>
        <v/>
      </c>
      <c r="AT16" s="514" t="str">
        <f>IF($F16="","",INDEX(B_IdentifyFuelStreams!$E$67:$E$116,MATCH($F16,CNTR_SourceStreamNames,0)))</f>
        <v/>
      </c>
      <c r="AU16" s="514" t="str">
        <f>IF($F16="","",INDEX(B_IdentifyFuelStreams!$I$67:$I$116,MATCH($F16,CNTR_SourceStreamNames,0)))</f>
        <v/>
      </c>
      <c r="AV16" s="514" t="str">
        <f>IF($F16="","",IF(INDEX(B_IdentifyFuelStreams!$L$67:$L$116,MATCH($F16,CNTR_SourceStreamNames,0))="","",INDEX(B_IdentifyFuelStreams!$L$67:$L$116,MATCH($F16,CNTR_SourceStreamNames,0))))</f>
        <v/>
      </c>
    </row>
    <row r="17" spans="3:48" x14ac:dyDescent="0.25">
      <c r="C17" s="751">
        <f t="shared" si="2"/>
        <v>5</v>
      </c>
      <c r="D17" s="751" t="str">
        <f t="shared" si="1"/>
        <v/>
      </c>
      <c r="E17" s="754" t="str">
        <f t="shared" si="0"/>
        <v/>
      </c>
      <c r="F17" s="755" t="str">
        <f>IF(INDEX(C_FuelStreams!BI:BI,MATCH($C17,C_FuelStreams!$A:$A,0))="","",INDEX(C_FuelStreams!BI:BI,MATCH($C17,C_FuelStreams!$A:$A,0)))</f>
        <v/>
      </c>
      <c r="G17" s="755" t="str">
        <f>IF(F17="","",INDEX(C_FuelStreams!K:K,MATCH($C17,C_FuelStreams!$A:$A,0)))</f>
        <v/>
      </c>
      <c r="H17" s="755" t="str">
        <f>IF(F17="","",INDEX(C_FuelStreams!K:K,MATCH($C17,C_FuelStreams!$A:$A,0)+1))</f>
        <v/>
      </c>
      <c r="I17" s="756" t="str">
        <f>IF($F17="","",INDEX(C_FuelStreams!BJ:BJ,MATCH($C17,C_FuelStreams!$A:$A,0)))</f>
        <v/>
      </c>
      <c r="J17" s="757" t="str">
        <f>IF($F17="","",INDEX(C_FuelStreams!BK:BK,MATCH($C17,C_FuelStreams!$A:$A,0)))</f>
        <v/>
      </c>
      <c r="K17" s="757" t="str">
        <f>IF($F17="","",SUM(J17)-INDEX(C_FuelStreams!BL:BL,MATCH($C17,C_FuelStreams!$A:$A,0)))</f>
        <v/>
      </c>
      <c r="L17" s="756" t="str">
        <f>IF($F17="","",INDEX(C_FuelStreams!BM:BM,MATCH($C17,C_FuelStreams!$A:$A,0)))</f>
        <v/>
      </c>
      <c r="M17" s="756" t="str">
        <f>IF($F17="","",INDEX(C_FuelStreams!BN:BN,MATCH($C17,C_FuelStreams!$A:$A,0)))</f>
        <v/>
      </c>
      <c r="N17" s="754" t="str">
        <f>IF($F17="","",INDEX(C_FuelStreams!BO:BO,MATCH($C17,C_FuelStreams!$A:$A,0)))</f>
        <v/>
      </c>
      <c r="O17" s="18" t="str">
        <f>IF($F17="","",INDEX(C_FuelStreams!BP:BP,MATCH($C17,C_FuelStreams!$A:$A,0)))</f>
        <v/>
      </c>
      <c r="P17" s="756" t="str">
        <f>IF($F17="","",INDEX(C_FuelStreams!BQ:BQ,MATCH($C17,C_FuelStreams!$A:$A,0)))</f>
        <v/>
      </c>
      <c r="Q17" s="758" t="str">
        <f>IF($F17="","",INDEX(C_FuelStreams!BR:BR,MATCH($C17,C_FuelStreams!$A:$A,0)))</f>
        <v/>
      </c>
      <c r="R17" s="756" t="str">
        <f>IF($F17="","",INDEX(C_FuelStreams!BS:BS,MATCH($C17,C_FuelStreams!$A:$A,0)))</f>
        <v/>
      </c>
      <c r="S17" s="756" t="str">
        <f>IF($F17="","",INDEX(C_FuelStreams!BT:BT,MATCH($C17,C_FuelStreams!$A:$A,0)))</f>
        <v/>
      </c>
      <c r="T17" s="758" t="str">
        <f>IF($F17="","",INDEX(C_FuelStreams!BU:BU,MATCH($C17,C_FuelStreams!$A:$A,0)))</f>
        <v/>
      </c>
      <c r="U17" s="756" t="str">
        <f>IF($F17="","",INDEX(C_FuelStreams!BV:BV,MATCH($C17,C_FuelStreams!$A:$A,0)))</f>
        <v/>
      </c>
      <c r="V17" s="756" t="str">
        <f>IF($F17="","",INDEX(C_FuelStreams!BW:BW,MATCH($C17,C_FuelStreams!$A:$A,0)))</f>
        <v/>
      </c>
      <c r="W17" s="13" t="str">
        <f>IF($F17="","",INDEX(C_FuelStreams!BX:BX,MATCH($C17,C_FuelStreams!$A:$A,0)))</f>
        <v/>
      </c>
      <c r="X17" s="756" t="str">
        <f>IF($F17="","",INDEX(C_FuelStreams!BY:BY,MATCH($C17,C_FuelStreams!$A:$A,0)))</f>
        <v/>
      </c>
      <c r="Y17" s="13" t="str">
        <f>IF($F17="","",INDEX(C_FuelStreams!BZ:BZ,MATCH($C17,C_FuelStreams!$A:$A,0)))</f>
        <v/>
      </c>
      <c r="Z17" s="13" t="str">
        <f>IF($F17="","",INDEX(C_FuelStreams!CA:CA,MATCH($C17,C_FuelStreams!$A:$A,0)))</f>
        <v/>
      </c>
      <c r="AA17" s="13" t="str">
        <f>IF($F17="","",INDEX(C_FuelStreams!CB:CB,MATCH($C17,C_FuelStreams!$A:$A,0)))</f>
        <v/>
      </c>
      <c r="AB17" s="13" t="str">
        <f>IF($F17="","",INDEX(C_FuelStreams!CC:CC,MATCH($C17,C_FuelStreams!$A:$A,0)))</f>
        <v/>
      </c>
      <c r="AC17" s="13" t="str">
        <f>IF($F17="","",INDEX(C_FuelStreams!CD:CD,MATCH($C17,C_FuelStreams!$A:$A,0)))</f>
        <v/>
      </c>
      <c r="AD17" s="757" t="str">
        <f>IF($F17="","",INDEX(C_FuelStreams!CE:CE,MATCH($C17,C_FuelStreams!$A:$A,0)))</f>
        <v/>
      </c>
      <c r="AE17" s="757" t="str">
        <f>IF($F17="","",INDEX(C_FuelStreams!CF:CF,MATCH($C17,C_FuelStreams!$A:$A,0)))</f>
        <v/>
      </c>
      <c r="AF17" s="757" t="str">
        <f>IF($F17="","",INDEX(C_FuelStreams!CG:CG,MATCH($C17,C_FuelStreams!$A:$A,0)))</f>
        <v/>
      </c>
      <c r="AG17" s="757" t="str">
        <f>IF($F17="","",INDEX(C_FuelStreams!CH:CH,MATCH($C17,C_FuelStreams!$A:$A,0)))</f>
        <v/>
      </c>
      <c r="AH17" s="757" t="str">
        <f>IF($F17="","",INDEX(C_FuelStreams!CI:CI,MATCH($C17,C_FuelStreams!$A:$A,0)))</f>
        <v/>
      </c>
      <c r="AI17" s="757" t="str">
        <f>IF($F17="","",INDEX(C_FuelStreams!CJ:CJ,MATCH($C17,C_FuelStreams!$A:$A,0)))</f>
        <v/>
      </c>
      <c r="AJ17" s="757" t="str">
        <f>IF($F17="","",INDEX(C_FuelStreams!CK:CK,MATCH($C17,C_FuelStreams!$A:$A,0)))</f>
        <v/>
      </c>
      <c r="AK17" s="757" t="str">
        <f>IF($F17="","",INDEX(C_FuelStreams!CL:CL,MATCH($C17,C_FuelStreams!$A:$A,0)))</f>
        <v/>
      </c>
      <c r="AL17" s="757" t="str">
        <f>IF($F17="","",INDEX(C_FuelStreams!CM:CM,MATCH($C17,C_FuelStreams!$A:$A,0)))</f>
        <v/>
      </c>
      <c r="AM17" s="757" t="str">
        <f>IF($F17="","",INDEX(C_FuelStreams!CN:CN,MATCH($C17,C_FuelStreams!$A:$A,0)))</f>
        <v/>
      </c>
      <c r="AN17" s="757" t="str">
        <f>IF($F17="","",INDEX(C_FuelStreams!CO:CO,MATCH($C17,C_FuelStreams!$A:$A,0)))</f>
        <v/>
      </c>
      <c r="AO17" s="759" t="str">
        <f>IF($F17="","",INDEX(C_FuelStreams!BK:BK,MATCH($C17,C_FuelStreams!$A:$A,0)+3))</f>
        <v/>
      </c>
      <c r="AP17" s="759" t="str">
        <f>IF($F17="","",INDEX(C_FuelStreams!BL:BL,MATCH($C17,C_FuelStreams!$A:$A,0)+3))</f>
        <v/>
      </c>
      <c r="AQ17" s="759" t="str">
        <f>IF($F17="","",INDEX(C_FuelStreams!BM:BM,MATCH($C17,C_FuelStreams!$A:$A,0)+3))</f>
        <v/>
      </c>
      <c r="AR17" s="757" t="str">
        <f>IF($F17="","",INDEX(C_FuelStreams!CP:CP,MATCH($C17,C_FuelStreams!$A:$A,0)))</f>
        <v/>
      </c>
      <c r="AT17" s="514" t="str">
        <f>IF($F17="","",INDEX(B_IdentifyFuelStreams!$E$67:$E$116,MATCH($F17,CNTR_SourceStreamNames,0)))</f>
        <v/>
      </c>
      <c r="AU17" s="514" t="str">
        <f>IF($F17="","",INDEX(B_IdentifyFuelStreams!$I$67:$I$116,MATCH($F17,CNTR_SourceStreamNames,0)))</f>
        <v/>
      </c>
      <c r="AV17" s="514" t="str">
        <f>IF($F17="","",IF(INDEX(B_IdentifyFuelStreams!$L$67:$L$116,MATCH($F17,CNTR_SourceStreamNames,0))="","",INDEX(B_IdentifyFuelStreams!$L$67:$L$116,MATCH($F17,CNTR_SourceStreamNames,0))))</f>
        <v/>
      </c>
    </row>
    <row r="18" spans="3:48" x14ac:dyDescent="0.25">
      <c r="C18" s="751">
        <f t="shared" si="2"/>
        <v>6</v>
      </c>
      <c r="D18" s="751" t="str">
        <f t="shared" si="1"/>
        <v/>
      </c>
      <c r="E18" s="754" t="str">
        <f t="shared" si="0"/>
        <v/>
      </c>
      <c r="F18" s="755" t="str">
        <f>IF(INDEX(C_FuelStreams!BI:BI,MATCH($C18,C_FuelStreams!$A:$A,0))="","",INDEX(C_FuelStreams!BI:BI,MATCH($C18,C_FuelStreams!$A:$A,0)))</f>
        <v/>
      </c>
      <c r="G18" s="755" t="str">
        <f>IF(F18="","",INDEX(C_FuelStreams!K:K,MATCH($C18,C_FuelStreams!$A:$A,0)))</f>
        <v/>
      </c>
      <c r="H18" s="755" t="str">
        <f>IF(F18="","",INDEX(C_FuelStreams!K:K,MATCH($C18,C_FuelStreams!$A:$A,0)+1))</f>
        <v/>
      </c>
      <c r="I18" s="756" t="str">
        <f>IF($F18="","",INDEX(C_FuelStreams!BJ:BJ,MATCH($C18,C_FuelStreams!$A:$A,0)))</f>
        <v/>
      </c>
      <c r="J18" s="757" t="str">
        <f>IF($F18="","",INDEX(C_FuelStreams!BK:BK,MATCH($C18,C_FuelStreams!$A:$A,0)))</f>
        <v/>
      </c>
      <c r="K18" s="757" t="str">
        <f>IF($F18="","",SUM(J18)-INDEX(C_FuelStreams!BL:BL,MATCH($C18,C_FuelStreams!$A:$A,0)))</f>
        <v/>
      </c>
      <c r="L18" s="756" t="str">
        <f>IF($F18="","",INDEX(C_FuelStreams!BM:BM,MATCH($C18,C_FuelStreams!$A:$A,0)))</f>
        <v/>
      </c>
      <c r="M18" s="756" t="str">
        <f>IF($F18="","",INDEX(C_FuelStreams!BN:BN,MATCH($C18,C_FuelStreams!$A:$A,0)))</f>
        <v/>
      </c>
      <c r="N18" s="754" t="str">
        <f>IF($F18="","",INDEX(C_FuelStreams!BO:BO,MATCH($C18,C_FuelStreams!$A:$A,0)))</f>
        <v/>
      </c>
      <c r="O18" s="18" t="str">
        <f>IF($F18="","",INDEX(C_FuelStreams!BP:BP,MATCH($C18,C_FuelStreams!$A:$A,0)))</f>
        <v/>
      </c>
      <c r="P18" s="756" t="str">
        <f>IF($F18="","",INDEX(C_FuelStreams!BQ:BQ,MATCH($C18,C_FuelStreams!$A:$A,0)))</f>
        <v/>
      </c>
      <c r="Q18" s="758" t="str">
        <f>IF($F18="","",INDEX(C_FuelStreams!BR:BR,MATCH($C18,C_FuelStreams!$A:$A,0)))</f>
        <v/>
      </c>
      <c r="R18" s="756" t="str">
        <f>IF($F18="","",INDEX(C_FuelStreams!BS:BS,MATCH($C18,C_FuelStreams!$A:$A,0)))</f>
        <v/>
      </c>
      <c r="S18" s="756" t="str">
        <f>IF($F18="","",INDEX(C_FuelStreams!BT:BT,MATCH($C18,C_FuelStreams!$A:$A,0)))</f>
        <v/>
      </c>
      <c r="T18" s="758" t="str">
        <f>IF($F18="","",INDEX(C_FuelStreams!BU:BU,MATCH($C18,C_FuelStreams!$A:$A,0)))</f>
        <v/>
      </c>
      <c r="U18" s="756" t="str">
        <f>IF($F18="","",INDEX(C_FuelStreams!BV:BV,MATCH($C18,C_FuelStreams!$A:$A,0)))</f>
        <v/>
      </c>
      <c r="V18" s="756" t="str">
        <f>IF($F18="","",INDEX(C_FuelStreams!BW:BW,MATCH($C18,C_FuelStreams!$A:$A,0)))</f>
        <v/>
      </c>
      <c r="W18" s="13" t="str">
        <f>IF($F18="","",INDEX(C_FuelStreams!BX:BX,MATCH($C18,C_FuelStreams!$A:$A,0)))</f>
        <v/>
      </c>
      <c r="X18" s="756" t="str">
        <f>IF($F18="","",INDEX(C_FuelStreams!BY:BY,MATCH($C18,C_FuelStreams!$A:$A,0)))</f>
        <v/>
      </c>
      <c r="Y18" s="13" t="str">
        <f>IF($F18="","",INDEX(C_FuelStreams!BZ:BZ,MATCH($C18,C_FuelStreams!$A:$A,0)))</f>
        <v/>
      </c>
      <c r="Z18" s="13" t="str">
        <f>IF($F18="","",INDEX(C_FuelStreams!CA:CA,MATCH($C18,C_FuelStreams!$A:$A,0)))</f>
        <v/>
      </c>
      <c r="AA18" s="13" t="str">
        <f>IF($F18="","",INDEX(C_FuelStreams!CB:CB,MATCH($C18,C_FuelStreams!$A:$A,0)))</f>
        <v/>
      </c>
      <c r="AB18" s="13" t="str">
        <f>IF($F18="","",INDEX(C_FuelStreams!CC:CC,MATCH($C18,C_FuelStreams!$A:$A,0)))</f>
        <v/>
      </c>
      <c r="AC18" s="13" t="str">
        <f>IF($F18="","",INDEX(C_FuelStreams!CD:CD,MATCH($C18,C_FuelStreams!$A:$A,0)))</f>
        <v/>
      </c>
      <c r="AD18" s="757" t="str">
        <f>IF($F18="","",INDEX(C_FuelStreams!CE:CE,MATCH($C18,C_FuelStreams!$A:$A,0)))</f>
        <v/>
      </c>
      <c r="AE18" s="757" t="str">
        <f>IF($F18="","",INDEX(C_FuelStreams!CF:CF,MATCH($C18,C_FuelStreams!$A:$A,0)))</f>
        <v/>
      </c>
      <c r="AF18" s="757" t="str">
        <f>IF($F18="","",INDEX(C_FuelStreams!CG:CG,MATCH($C18,C_FuelStreams!$A:$A,0)))</f>
        <v/>
      </c>
      <c r="AG18" s="757" t="str">
        <f>IF($F18="","",INDEX(C_FuelStreams!CH:CH,MATCH($C18,C_FuelStreams!$A:$A,0)))</f>
        <v/>
      </c>
      <c r="AH18" s="757" t="str">
        <f>IF($F18="","",INDEX(C_FuelStreams!CI:CI,MATCH($C18,C_FuelStreams!$A:$A,0)))</f>
        <v/>
      </c>
      <c r="AI18" s="757" t="str">
        <f>IF($F18="","",INDEX(C_FuelStreams!CJ:CJ,MATCH($C18,C_FuelStreams!$A:$A,0)))</f>
        <v/>
      </c>
      <c r="AJ18" s="757" t="str">
        <f>IF($F18="","",INDEX(C_FuelStreams!CK:CK,MATCH($C18,C_FuelStreams!$A:$A,0)))</f>
        <v/>
      </c>
      <c r="AK18" s="757" t="str">
        <f>IF($F18="","",INDEX(C_FuelStreams!CL:CL,MATCH($C18,C_FuelStreams!$A:$A,0)))</f>
        <v/>
      </c>
      <c r="AL18" s="757" t="str">
        <f>IF($F18="","",INDEX(C_FuelStreams!CM:CM,MATCH($C18,C_FuelStreams!$A:$A,0)))</f>
        <v/>
      </c>
      <c r="AM18" s="757" t="str">
        <f>IF($F18="","",INDEX(C_FuelStreams!CN:CN,MATCH($C18,C_FuelStreams!$A:$A,0)))</f>
        <v/>
      </c>
      <c r="AN18" s="757" t="str">
        <f>IF($F18="","",INDEX(C_FuelStreams!CO:CO,MATCH($C18,C_FuelStreams!$A:$A,0)))</f>
        <v/>
      </c>
      <c r="AO18" s="759" t="str">
        <f>IF($F18="","",INDEX(C_FuelStreams!BK:BK,MATCH($C18,C_FuelStreams!$A:$A,0)+3))</f>
        <v/>
      </c>
      <c r="AP18" s="759" t="str">
        <f>IF($F18="","",INDEX(C_FuelStreams!BL:BL,MATCH($C18,C_FuelStreams!$A:$A,0)+3))</f>
        <v/>
      </c>
      <c r="AQ18" s="759" t="str">
        <f>IF($F18="","",INDEX(C_FuelStreams!BM:BM,MATCH($C18,C_FuelStreams!$A:$A,0)+3))</f>
        <v/>
      </c>
      <c r="AR18" s="757" t="str">
        <f>IF($F18="","",INDEX(C_FuelStreams!CP:CP,MATCH($C18,C_FuelStreams!$A:$A,0)))</f>
        <v/>
      </c>
      <c r="AT18" s="514" t="str">
        <f>IF($F18="","",INDEX(B_IdentifyFuelStreams!$E$67:$E$116,MATCH($F18,CNTR_SourceStreamNames,0)))</f>
        <v/>
      </c>
      <c r="AU18" s="514" t="str">
        <f>IF($F18="","",INDEX(B_IdentifyFuelStreams!$I$67:$I$116,MATCH($F18,CNTR_SourceStreamNames,0)))</f>
        <v/>
      </c>
      <c r="AV18" s="514" t="str">
        <f>IF($F18="","",IF(INDEX(B_IdentifyFuelStreams!$L$67:$L$116,MATCH($F18,CNTR_SourceStreamNames,0))="","",INDEX(B_IdentifyFuelStreams!$L$67:$L$116,MATCH($F18,CNTR_SourceStreamNames,0))))</f>
        <v/>
      </c>
    </row>
    <row r="19" spans="3:48" x14ac:dyDescent="0.25">
      <c r="C19" s="751">
        <f t="shared" si="2"/>
        <v>7</v>
      </c>
      <c r="D19" s="751" t="str">
        <f t="shared" si="1"/>
        <v/>
      </c>
      <c r="E19" s="754" t="str">
        <f t="shared" si="0"/>
        <v/>
      </c>
      <c r="F19" s="755" t="str">
        <f>IF(INDEX(C_FuelStreams!BI:BI,MATCH($C19,C_FuelStreams!$A:$A,0))="","",INDEX(C_FuelStreams!BI:BI,MATCH($C19,C_FuelStreams!$A:$A,0)))</f>
        <v/>
      </c>
      <c r="G19" s="755" t="str">
        <f>IF(F19="","",INDEX(C_FuelStreams!K:K,MATCH($C19,C_FuelStreams!$A:$A,0)))</f>
        <v/>
      </c>
      <c r="H19" s="755" t="str">
        <f>IF(F19="","",INDEX(C_FuelStreams!K:K,MATCH($C19,C_FuelStreams!$A:$A,0)+1))</f>
        <v/>
      </c>
      <c r="I19" s="756" t="str">
        <f>IF($F19="","",INDEX(C_FuelStreams!BJ:BJ,MATCH($C19,C_FuelStreams!$A:$A,0)))</f>
        <v/>
      </c>
      <c r="J19" s="757" t="str">
        <f>IF($F19="","",INDEX(C_FuelStreams!BK:BK,MATCH($C19,C_FuelStreams!$A:$A,0)))</f>
        <v/>
      </c>
      <c r="K19" s="757" t="str">
        <f>IF($F19="","",SUM(J19)-INDEX(C_FuelStreams!BL:BL,MATCH($C19,C_FuelStreams!$A:$A,0)))</f>
        <v/>
      </c>
      <c r="L19" s="756" t="str">
        <f>IF($F19="","",INDEX(C_FuelStreams!BM:BM,MATCH($C19,C_FuelStreams!$A:$A,0)))</f>
        <v/>
      </c>
      <c r="M19" s="756" t="str">
        <f>IF($F19="","",INDEX(C_FuelStreams!BN:BN,MATCH($C19,C_FuelStreams!$A:$A,0)))</f>
        <v/>
      </c>
      <c r="N19" s="754" t="str">
        <f>IF($F19="","",INDEX(C_FuelStreams!BO:BO,MATCH($C19,C_FuelStreams!$A:$A,0)))</f>
        <v/>
      </c>
      <c r="O19" s="18" t="str">
        <f>IF($F19="","",INDEX(C_FuelStreams!BP:BP,MATCH($C19,C_FuelStreams!$A:$A,0)))</f>
        <v/>
      </c>
      <c r="P19" s="756" t="str">
        <f>IF($F19="","",INDEX(C_FuelStreams!BQ:BQ,MATCH($C19,C_FuelStreams!$A:$A,0)))</f>
        <v/>
      </c>
      <c r="Q19" s="758" t="str">
        <f>IF($F19="","",INDEX(C_FuelStreams!BR:BR,MATCH($C19,C_FuelStreams!$A:$A,0)))</f>
        <v/>
      </c>
      <c r="R19" s="756" t="str">
        <f>IF($F19="","",INDEX(C_FuelStreams!BS:BS,MATCH($C19,C_FuelStreams!$A:$A,0)))</f>
        <v/>
      </c>
      <c r="S19" s="756" t="str">
        <f>IF($F19="","",INDEX(C_FuelStreams!BT:BT,MATCH($C19,C_FuelStreams!$A:$A,0)))</f>
        <v/>
      </c>
      <c r="T19" s="758" t="str">
        <f>IF($F19="","",INDEX(C_FuelStreams!BU:BU,MATCH($C19,C_FuelStreams!$A:$A,0)))</f>
        <v/>
      </c>
      <c r="U19" s="756" t="str">
        <f>IF($F19="","",INDEX(C_FuelStreams!BV:BV,MATCH($C19,C_FuelStreams!$A:$A,0)))</f>
        <v/>
      </c>
      <c r="V19" s="756" t="str">
        <f>IF($F19="","",INDEX(C_FuelStreams!BW:BW,MATCH($C19,C_FuelStreams!$A:$A,0)))</f>
        <v/>
      </c>
      <c r="W19" s="13" t="str">
        <f>IF($F19="","",INDEX(C_FuelStreams!BX:BX,MATCH($C19,C_FuelStreams!$A:$A,0)))</f>
        <v/>
      </c>
      <c r="X19" s="756" t="str">
        <f>IF($F19="","",INDEX(C_FuelStreams!BY:BY,MATCH($C19,C_FuelStreams!$A:$A,0)))</f>
        <v/>
      </c>
      <c r="Y19" s="13" t="str">
        <f>IF($F19="","",INDEX(C_FuelStreams!BZ:BZ,MATCH($C19,C_FuelStreams!$A:$A,0)))</f>
        <v/>
      </c>
      <c r="Z19" s="13" t="str">
        <f>IF($F19="","",INDEX(C_FuelStreams!CA:CA,MATCH($C19,C_FuelStreams!$A:$A,0)))</f>
        <v/>
      </c>
      <c r="AA19" s="13" t="str">
        <f>IF($F19="","",INDEX(C_FuelStreams!CB:CB,MATCH($C19,C_FuelStreams!$A:$A,0)))</f>
        <v/>
      </c>
      <c r="AB19" s="13" t="str">
        <f>IF($F19="","",INDEX(C_FuelStreams!CC:CC,MATCH($C19,C_FuelStreams!$A:$A,0)))</f>
        <v/>
      </c>
      <c r="AC19" s="13" t="str">
        <f>IF($F19="","",INDEX(C_FuelStreams!CD:CD,MATCH($C19,C_FuelStreams!$A:$A,0)))</f>
        <v/>
      </c>
      <c r="AD19" s="757" t="str">
        <f>IF($F19="","",INDEX(C_FuelStreams!CE:CE,MATCH($C19,C_FuelStreams!$A:$A,0)))</f>
        <v/>
      </c>
      <c r="AE19" s="757" t="str">
        <f>IF($F19="","",INDEX(C_FuelStreams!CF:CF,MATCH($C19,C_FuelStreams!$A:$A,0)))</f>
        <v/>
      </c>
      <c r="AF19" s="757" t="str">
        <f>IF($F19="","",INDEX(C_FuelStreams!CG:CG,MATCH($C19,C_FuelStreams!$A:$A,0)))</f>
        <v/>
      </c>
      <c r="AG19" s="757" t="str">
        <f>IF($F19="","",INDEX(C_FuelStreams!CH:CH,MATCH($C19,C_FuelStreams!$A:$A,0)))</f>
        <v/>
      </c>
      <c r="AH19" s="757" t="str">
        <f>IF($F19="","",INDEX(C_FuelStreams!CI:CI,MATCH($C19,C_FuelStreams!$A:$A,0)))</f>
        <v/>
      </c>
      <c r="AI19" s="757" t="str">
        <f>IF($F19="","",INDEX(C_FuelStreams!CJ:CJ,MATCH($C19,C_FuelStreams!$A:$A,0)))</f>
        <v/>
      </c>
      <c r="AJ19" s="757" t="str">
        <f>IF($F19="","",INDEX(C_FuelStreams!CK:CK,MATCH($C19,C_FuelStreams!$A:$A,0)))</f>
        <v/>
      </c>
      <c r="AK19" s="757" t="str">
        <f>IF($F19="","",INDEX(C_FuelStreams!CL:CL,MATCH($C19,C_FuelStreams!$A:$A,0)))</f>
        <v/>
      </c>
      <c r="AL19" s="757" t="str">
        <f>IF($F19="","",INDEX(C_FuelStreams!CM:CM,MATCH($C19,C_FuelStreams!$A:$A,0)))</f>
        <v/>
      </c>
      <c r="AM19" s="757" t="str">
        <f>IF($F19="","",INDEX(C_FuelStreams!CN:CN,MATCH($C19,C_FuelStreams!$A:$A,0)))</f>
        <v/>
      </c>
      <c r="AN19" s="757" t="str">
        <f>IF($F19="","",INDEX(C_FuelStreams!CO:CO,MATCH($C19,C_FuelStreams!$A:$A,0)))</f>
        <v/>
      </c>
      <c r="AO19" s="759" t="str">
        <f>IF($F19="","",INDEX(C_FuelStreams!BK:BK,MATCH($C19,C_FuelStreams!$A:$A,0)+3))</f>
        <v/>
      </c>
      <c r="AP19" s="759" t="str">
        <f>IF($F19="","",INDEX(C_FuelStreams!BL:BL,MATCH($C19,C_FuelStreams!$A:$A,0)+3))</f>
        <v/>
      </c>
      <c r="AQ19" s="759" t="str">
        <f>IF($F19="","",INDEX(C_FuelStreams!BM:BM,MATCH($C19,C_FuelStreams!$A:$A,0)+3))</f>
        <v/>
      </c>
      <c r="AR19" s="757" t="str">
        <f>IF($F19="","",INDEX(C_FuelStreams!CP:CP,MATCH($C19,C_FuelStreams!$A:$A,0)))</f>
        <v/>
      </c>
      <c r="AT19" s="514" t="str">
        <f>IF($F19="","",INDEX(B_IdentifyFuelStreams!$E$67:$E$116,MATCH($F19,CNTR_SourceStreamNames,0)))</f>
        <v/>
      </c>
      <c r="AU19" s="514" t="str">
        <f>IF($F19="","",INDEX(B_IdentifyFuelStreams!$I$67:$I$116,MATCH($F19,CNTR_SourceStreamNames,0)))</f>
        <v/>
      </c>
      <c r="AV19" s="514" t="str">
        <f>IF($F19="","",IF(INDEX(B_IdentifyFuelStreams!$L$67:$L$116,MATCH($F19,CNTR_SourceStreamNames,0))="","",INDEX(B_IdentifyFuelStreams!$L$67:$L$116,MATCH($F19,CNTR_SourceStreamNames,0))))</f>
        <v/>
      </c>
    </row>
    <row r="20" spans="3:48" x14ac:dyDescent="0.25">
      <c r="C20" s="751">
        <f t="shared" si="2"/>
        <v>8</v>
      </c>
      <c r="D20" s="751" t="str">
        <f t="shared" si="1"/>
        <v/>
      </c>
      <c r="E20" s="754" t="str">
        <f t="shared" si="0"/>
        <v/>
      </c>
      <c r="F20" s="755" t="str">
        <f>IF(INDEX(C_FuelStreams!BI:BI,MATCH($C20,C_FuelStreams!$A:$A,0))="","",INDEX(C_FuelStreams!BI:BI,MATCH($C20,C_FuelStreams!$A:$A,0)))</f>
        <v/>
      </c>
      <c r="G20" s="755" t="str">
        <f>IF(F20="","",INDEX(C_FuelStreams!K:K,MATCH($C20,C_FuelStreams!$A:$A,0)))</f>
        <v/>
      </c>
      <c r="H20" s="755" t="str">
        <f>IF(F20="","",INDEX(C_FuelStreams!K:K,MATCH($C20,C_FuelStreams!$A:$A,0)+1))</f>
        <v/>
      </c>
      <c r="I20" s="756" t="str">
        <f>IF($F20="","",INDEX(C_FuelStreams!BJ:BJ,MATCH($C20,C_FuelStreams!$A:$A,0)))</f>
        <v/>
      </c>
      <c r="J20" s="757" t="str">
        <f>IF($F20="","",INDEX(C_FuelStreams!BK:BK,MATCH($C20,C_FuelStreams!$A:$A,0)))</f>
        <v/>
      </c>
      <c r="K20" s="757" t="str">
        <f>IF($F20="","",SUM(J20)-INDEX(C_FuelStreams!BL:BL,MATCH($C20,C_FuelStreams!$A:$A,0)))</f>
        <v/>
      </c>
      <c r="L20" s="756" t="str">
        <f>IF($F20="","",INDEX(C_FuelStreams!BM:BM,MATCH($C20,C_FuelStreams!$A:$A,0)))</f>
        <v/>
      </c>
      <c r="M20" s="756" t="str">
        <f>IF($F20="","",INDEX(C_FuelStreams!BN:BN,MATCH($C20,C_FuelStreams!$A:$A,0)))</f>
        <v/>
      </c>
      <c r="N20" s="754" t="str">
        <f>IF($F20="","",INDEX(C_FuelStreams!BO:BO,MATCH($C20,C_FuelStreams!$A:$A,0)))</f>
        <v/>
      </c>
      <c r="O20" s="18" t="str">
        <f>IF($F20="","",INDEX(C_FuelStreams!BP:BP,MATCH($C20,C_FuelStreams!$A:$A,0)))</f>
        <v/>
      </c>
      <c r="P20" s="756" t="str">
        <f>IF($F20="","",INDEX(C_FuelStreams!BQ:BQ,MATCH($C20,C_FuelStreams!$A:$A,0)))</f>
        <v/>
      </c>
      <c r="Q20" s="758" t="str">
        <f>IF($F20="","",INDEX(C_FuelStreams!BR:BR,MATCH($C20,C_FuelStreams!$A:$A,0)))</f>
        <v/>
      </c>
      <c r="R20" s="756" t="str">
        <f>IF($F20="","",INDEX(C_FuelStreams!BS:BS,MATCH($C20,C_FuelStreams!$A:$A,0)))</f>
        <v/>
      </c>
      <c r="S20" s="756" t="str">
        <f>IF($F20="","",INDEX(C_FuelStreams!BT:BT,MATCH($C20,C_FuelStreams!$A:$A,0)))</f>
        <v/>
      </c>
      <c r="T20" s="758" t="str">
        <f>IF($F20="","",INDEX(C_FuelStreams!BU:BU,MATCH($C20,C_FuelStreams!$A:$A,0)))</f>
        <v/>
      </c>
      <c r="U20" s="756" t="str">
        <f>IF($F20="","",INDEX(C_FuelStreams!BV:BV,MATCH($C20,C_FuelStreams!$A:$A,0)))</f>
        <v/>
      </c>
      <c r="V20" s="756" t="str">
        <f>IF($F20="","",INDEX(C_FuelStreams!BW:BW,MATCH($C20,C_FuelStreams!$A:$A,0)))</f>
        <v/>
      </c>
      <c r="W20" s="13" t="str">
        <f>IF($F20="","",INDEX(C_FuelStreams!BX:BX,MATCH($C20,C_FuelStreams!$A:$A,0)))</f>
        <v/>
      </c>
      <c r="X20" s="756" t="str">
        <f>IF($F20="","",INDEX(C_FuelStreams!BY:BY,MATCH($C20,C_FuelStreams!$A:$A,0)))</f>
        <v/>
      </c>
      <c r="Y20" s="13" t="str">
        <f>IF($F20="","",INDEX(C_FuelStreams!BZ:BZ,MATCH($C20,C_FuelStreams!$A:$A,0)))</f>
        <v/>
      </c>
      <c r="Z20" s="13" t="str">
        <f>IF($F20="","",INDEX(C_FuelStreams!CA:CA,MATCH($C20,C_FuelStreams!$A:$A,0)))</f>
        <v/>
      </c>
      <c r="AA20" s="13" t="str">
        <f>IF($F20="","",INDEX(C_FuelStreams!CB:CB,MATCH($C20,C_FuelStreams!$A:$A,0)))</f>
        <v/>
      </c>
      <c r="AB20" s="13" t="str">
        <f>IF($F20="","",INDEX(C_FuelStreams!CC:CC,MATCH($C20,C_FuelStreams!$A:$A,0)))</f>
        <v/>
      </c>
      <c r="AC20" s="13" t="str">
        <f>IF($F20="","",INDEX(C_FuelStreams!CD:CD,MATCH($C20,C_FuelStreams!$A:$A,0)))</f>
        <v/>
      </c>
      <c r="AD20" s="757" t="str">
        <f>IF($F20="","",INDEX(C_FuelStreams!CE:CE,MATCH($C20,C_FuelStreams!$A:$A,0)))</f>
        <v/>
      </c>
      <c r="AE20" s="757" t="str">
        <f>IF($F20="","",INDEX(C_FuelStreams!CF:CF,MATCH($C20,C_FuelStreams!$A:$A,0)))</f>
        <v/>
      </c>
      <c r="AF20" s="757" t="str">
        <f>IF($F20="","",INDEX(C_FuelStreams!CG:CG,MATCH($C20,C_FuelStreams!$A:$A,0)))</f>
        <v/>
      </c>
      <c r="AG20" s="757" t="str">
        <f>IF($F20="","",INDEX(C_FuelStreams!CH:CH,MATCH($C20,C_FuelStreams!$A:$A,0)))</f>
        <v/>
      </c>
      <c r="AH20" s="757" t="str">
        <f>IF($F20="","",INDEX(C_FuelStreams!CI:CI,MATCH($C20,C_FuelStreams!$A:$A,0)))</f>
        <v/>
      </c>
      <c r="AI20" s="757" t="str">
        <f>IF($F20="","",INDEX(C_FuelStreams!CJ:CJ,MATCH($C20,C_FuelStreams!$A:$A,0)))</f>
        <v/>
      </c>
      <c r="AJ20" s="757" t="str">
        <f>IF($F20="","",INDEX(C_FuelStreams!CK:CK,MATCH($C20,C_FuelStreams!$A:$A,0)))</f>
        <v/>
      </c>
      <c r="AK20" s="757" t="str">
        <f>IF($F20="","",INDEX(C_FuelStreams!CL:CL,MATCH($C20,C_FuelStreams!$A:$A,0)))</f>
        <v/>
      </c>
      <c r="AL20" s="757" t="str">
        <f>IF($F20="","",INDEX(C_FuelStreams!CM:CM,MATCH($C20,C_FuelStreams!$A:$A,0)))</f>
        <v/>
      </c>
      <c r="AM20" s="757" t="str">
        <f>IF($F20="","",INDEX(C_FuelStreams!CN:CN,MATCH($C20,C_FuelStreams!$A:$A,0)))</f>
        <v/>
      </c>
      <c r="AN20" s="757" t="str">
        <f>IF($F20="","",INDEX(C_FuelStreams!CO:CO,MATCH($C20,C_FuelStreams!$A:$A,0)))</f>
        <v/>
      </c>
      <c r="AO20" s="759" t="str">
        <f>IF($F20="","",INDEX(C_FuelStreams!BK:BK,MATCH($C20,C_FuelStreams!$A:$A,0)+3))</f>
        <v/>
      </c>
      <c r="AP20" s="759" t="str">
        <f>IF($F20="","",INDEX(C_FuelStreams!BL:BL,MATCH($C20,C_FuelStreams!$A:$A,0)+3))</f>
        <v/>
      </c>
      <c r="AQ20" s="759" t="str">
        <f>IF($F20="","",INDEX(C_FuelStreams!BM:BM,MATCH($C20,C_FuelStreams!$A:$A,0)+3))</f>
        <v/>
      </c>
      <c r="AR20" s="757" t="str">
        <f>IF($F20="","",INDEX(C_FuelStreams!CP:CP,MATCH($C20,C_FuelStreams!$A:$A,0)))</f>
        <v/>
      </c>
      <c r="AT20" s="514" t="str">
        <f>IF($F20="","",INDEX(B_IdentifyFuelStreams!$E$67:$E$116,MATCH($F20,CNTR_SourceStreamNames,0)))</f>
        <v/>
      </c>
      <c r="AU20" s="514" t="str">
        <f>IF($F20="","",INDEX(B_IdentifyFuelStreams!$I$67:$I$116,MATCH($F20,CNTR_SourceStreamNames,0)))</f>
        <v/>
      </c>
      <c r="AV20" s="514" t="str">
        <f>IF($F20="","",IF(INDEX(B_IdentifyFuelStreams!$L$67:$L$116,MATCH($F20,CNTR_SourceStreamNames,0))="","",INDEX(B_IdentifyFuelStreams!$L$67:$L$116,MATCH($F20,CNTR_SourceStreamNames,0))))</f>
        <v/>
      </c>
    </row>
    <row r="21" spans="3:48" x14ac:dyDescent="0.25">
      <c r="C21" s="751">
        <f t="shared" si="2"/>
        <v>9</v>
      </c>
      <c r="D21" s="751" t="str">
        <f t="shared" si="1"/>
        <v/>
      </c>
      <c r="E21" s="754" t="str">
        <f t="shared" si="0"/>
        <v/>
      </c>
      <c r="F21" s="755" t="str">
        <f>IF(INDEX(C_FuelStreams!BI:BI,MATCH($C21,C_FuelStreams!$A:$A,0))="","",INDEX(C_FuelStreams!BI:BI,MATCH($C21,C_FuelStreams!$A:$A,0)))</f>
        <v/>
      </c>
      <c r="G21" s="755" t="str">
        <f>IF(F21="","",INDEX(C_FuelStreams!K:K,MATCH($C21,C_FuelStreams!$A:$A,0)))</f>
        <v/>
      </c>
      <c r="H21" s="755" t="str">
        <f>IF(F21="","",INDEX(C_FuelStreams!K:K,MATCH($C21,C_FuelStreams!$A:$A,0)+1))</f>
        <v/>
      </c>
      <c r="I21" s="756" t="str">
        <f>IF($F21="","",INDEX(C_FuelStreams!BJ:BJ,MATCH($C21,C_FuelStreams!$A:$A,0)))</f>
        <v/>
      </c>
      <c r="J21" s="757" t="str">
        <f>IF($F21="","",INDEX(C_FuelStreams!BK:BK,MATCH($C21,C_FuelStreams!$A:$A,0)))</f>
        <v/>
      </c>
      <c r="K21" s="757" t="str">
        <f>IF($F21="","",SUM(J21)-INDEX(C_FuelStreams!BL:BL,MATCH($C21,C_FuelStreams!$A:$A,0)))</f>
        <v/>
      </c>
      <c r="L21" s="756" t="str">
        <f>IF($F21="","",INDEX(C_FuelStreams!BM:BM,MATCH($C21,C_FuelStreams!$A:$A,0)))</f>
        <v/>
      </c>
      <c r="M21" s="756" t="str">
        <f>IF($F21="","",INDEX(C_FuelStreams!BN:BN,MATCH($C21,C_FuelStreams!$A:$A,0)))</f>
        <v/>
      </c>
      <c r="N21" s="754" t="str">
        <f>IF($F21="","",INDEX(C_FuelStreams!BO:BO,MATCH($C21,C_FuelStreams!$A:$A,0)))</f>
        <v/>
      </c>
      <c r="O21" s="18" t="str">
        <f>IF($F21="","",INDEX(C_FuelStreams!BP:BP,MATCH($C21,C_FuelStreams!$A:$A,0)))</f>
        <v/>
      </c>
      <c r="P21" s="756" t="str">
        <f>IF($F21="","",INDEX(C_FuelStreams!BQ:BQ,MATCH($C21,C_FuelStreams!$A:$A,0)))</f>
        <v/>
      </c>
      <c r="Q21" s="758" t="str">
        <f>IF($F21="","",INDEX(C_FuelStreams!BR:BR,MATCH($C21,C_FuelStreams!$A:$A,0)))</f>
        <v/>
      </c>
      <c r="R21" s="756" t="str">
        <f>IF($F21="","",INDEX(C_FuelStreams!BS:BS,MATCH($C21,C_FuelStreams!$A:$A,0)))</f>
        <v/>
      </c>
      <c r="S21" s="756" t="str">
        <f>IF($F21="","",INDEX(C_FuelStreams!BT:BT,MATCH($C21,C_FuelStreams!$A:$A,0)))</f>
        <v/>
      </c>
      <c r="T21" s="758" t="str">
        <f>IF($F21="","",INDEX(C_FuelStreams!BU:BU,MATCH($C21,C_FuelStreams!$A:$A,0)))</f>
        <v/>
      </c>
      <c r="U21" s="756" t="str">
        <f>IF($F21="","",INDEX(C_FuelStreams!BV:BV,MATCH($C21,C_FuelStreams!$A:$A,0)))</f>
        <v/>
      </c>
      <c r="V21" s="756" t="str">
        <f>IF($F21="","",INDEX(C_FuelStreams!BW:BW,MATCH($C21,C_FuelStreams!$A:$A,0)))</f>
        <v/>
      </c>
      <c r="W21" s="13" t="str">
        <f>IF($F21="","",INDEX(C_FuelStreams!BX:BX,MATCH($C21,C_FuelStreams!$A:$A,0)))</f>
        <v/>
      </c>
      <c r="X21" s="756" t="str">
        <f>IF($F21="","",INDEX(C_FuelStreams!BY:BY,MATCH($C21,C_FuelStreams!$A:$A,0)))</f>
        <v/>
      </c>
      <c r="Y21" s="13" t="str">
        <f>IF($F21="","",INDEX(C_FuelStreams!BZ:BZ,MATCH($C21,C_FuelStreams!$A:$A,0)))</f>
        <v/>
      </c>
      <c r="Z21" s="13" t="str">
        <f>IF($F21="","",INDEX(C_FuelStreams!CA:CA,MATCH($C21,C_FuelStreams!$A:$A,0)))</f>
        <v/>
      </c>
      <c r="AA21" s="13" t="str">
        <f>IF($F21="","",INDEX(C_FuelStreams!CB:CB,MATCH($C21,C_FuelStreams!$A:$A,0)))</f>
        <v/>
      </c>
      <c r="AB21" s="13" t="str">
        <f>IF($F21="","",INDEX(C_FuelStreams!CC:CC,MATCH($C21,C_FuelStreams!$A:$A,0)))</f>
        <v/>
      </c>
      <c r="AC21" s="13" t="str">
        <f>IF($F21="","",INDEX(C_FuelStreams!CD:CD,MATCH($C21,C_FuelStreams!$A:$A,0)))</f>
        <v/>
      </c>
      <c r="AD21" s="757" t="str">
        <f>IF($F21="","",INDEX(C_FuelStreams!CE:CE,MATCH($C21,C_FuelStreams!$A:$A,0)))</f>
        <v/>
      </c>
      <c r="AE21" s="757" t="str">
        <f>IF($F21="","",INDEX(C_FuelStreams!CF:CF,MATCH($C21,C_FuelStreams!$A:$A,0)))</f>
        <v/>
      </c>
      <c r="AF21" s="757" t="str">
        <f>IF($F21="","",INDEX(C_FuelStreams!CG:CG,MATCH($C21,C_FuelStreams!$A:$A,0)))</f>
        <v/>
      </c>
      <c r="AG21" s="757" t="str">
        <f>IF($F21="","",INDEX(C_FuelStreams!CH:CH,MATCH($C21,C_FuelStreams!$A:$A,0)))</f>
        <v/>
      </c>
      <c r="AH21" s="757" t="str">
        <f>IF($F21="","",INDEX(C_FuelStreams!CI:CI,MATCH($C21,C_FuelStreams!$A:$A,0)))</f>
        <v/>
      </c>
      <c r="AI21" s="757" t="str">
        <f>IF($F21="","",INDEX(C_FuelStreams!CJ:CJ,MATCH($C21,C_FuelStreams!$A:$A,0)))</f>
        <v/>
      </c>
      <c r="AJ21" s="757" t="str">
        <f>IF($F21="","",INDEX(C_FuelStreams!CK:CK,MATCH($C21,C_FuelStreams!$A:$A,0)))</f>
        <v/>
      </c>
      <c r="AK21" s="757" t="str">
        <f>IF($F21="","",INDEX(C_FuelStreams!CL:CL,MATCH($C21,C_FuelStreams!$A:$A,0)))</f>
        <v/>
      </c>
      <c r="AL21" s="757" t="str">
        <f>IF($F21="","",INDEX(C_FuelStreams!CM:CM,MATCH($C21,C_FuelStreams!$A:$A,0)))</f>
        <v/>
      </c>
      <c r="AM21" s="757" t="str">
        <f>IF($F21="","",INDEX(C_FuelStreams!CN:CN,MATCH($C21,C_FuelStreams!$A:$A,0)))</f>
        <v/>
      </c>
      <c r="AN21" s="757" t="str">
        <f>IF($F21="","",INDEX(C_FuelStreams!CO:CO,MATCH($C21,C_FuelStreams!$A:$A,0)))</f>
        <v/>
      </c>
      <c r="AO21" s="759" t="str">
        <f>IF($F21="","",INDEX(C_FuelStreams!BK:BK,MATCH($C21,C_FuelStreams!$A:$A,0)+3))</f>
        <v/>
      </c>
      <c r="AP21" s="759" t="str">
        <f>IF($F21="","",INDEX(C_FuelStreams!BL:BL,MATCH($C21,C_FuelStreams!$A:$A,0)+3))</f>
        <v/>
      </c>
      <c r="AQ21" s="759" t="str">
        <f>IF($F21="","",INDEX(C_FuelStreams!BM:BM,MATCH($C21,C_FuelStreams!$A:$A,0)+3))</f>
        <v/>
      </c>
      <c r="AR21" s="757" t="str">
        <f>IF($F21="","",INDEX(C_FuelStreams!CP:CP,MATCH($C21,C_FuelStreams!$A:$A,0)))</f>
        <v/>
      </c>
      <c r="AT21" s="514" t="str">
        <f>IF($F21="","",INDEX(B_IdentifyFuelStreams!$E$67:$E$116,MATCH($F21,CNTR_SourceStreamNames,0)))</f>
        <v/>
      </c>
      <c r="AU21" s="514" t="str">
        <f>IF($F21="","",INDEX(B_IdentifyFuelStreams!$I$67:$I$116,MATCH($F21,CNTR_SourceStreamNames,0)))</f>
        <v/>
      </c>
      <c r="AV21" s="514" t="str">
        <f>IF($F21="","",IF(INDEX(B_IdentifyFuelStreams!$L$67:$L$116,MATCH($F21,CNTR_SourceStreamNames,0))="","",INDEX(B_IdentifyFuelStreams!$L$67:$L$116,MATCH($F21,CNTR_SourceStreamNames,0))))</f>
        <v/>
      </c>
    </row>
    <row r="22" spans="3:48" x14ac:dyDescent="0.25">
      <c r="C22" s="751">
        <f t="shared" si="2"/>
        <v>10</v>
      </c>
      <c r="D22" s="751" t="str">
        <f t="shared" si="1"/>
        <v/>
      </c>
      <c r="E22" s="754" t="str">
        <f t="shared" si="0"/>
        <v/>
      </c>
      <c r="F22" s="755" t="str">
        <f>IF(INDEX(C_FuelStreams!BI:BI,MATCH($C22,C_FuelStreams!$A:$A,0))="","",INDEX(C_FuelStreams!BI:BI,MATCH($C22,C_FuelStreams!$A:$A,0)))</f>
        <v/>
      </c>
      <c r="G22" s="755" t="str">
        <f>IF(F22="","",INDEX(C_FuelStreams!K:K,MATCH($C22,C_FuelStreams!$A:$A,0)))</f>
        <v/>
      </c>
      <c r="H22" s="755" t="str">
        <f>IF(F22="","",INDEX(C_FuelStreams!K:K,MATCH($C22,C_FuelStreams!$A:$A,0)+1))</f>
        <v/>
      </c>
      <c r="I22" s="756" t="str">
        <f>IF($F22="","",INDEX(C_FuelStreams!BJ:BJ,MATCH($C22,C_FuelStreams!$A:$A,0)))</f>
        <v/>
      </c>
      <c r="J22" s="757" t="str">
        <f>IF($F22="","",INDEX(C_FuelStreams!BK:BK,MATCH($C22,C_FuelStreams!$A:$A,0)))</f>
        <v/>
      </c>
      <c r="K22" s="757" t="str">
        <f>IF($F22="","",SUM(J22)-INDEX(C_FuelStreams!BL:BL,MATCH($C22,C_FuelStreams!$A:$A,0)))</f>
        <v/>
      </c>
      <c r="L22" s="756" t="str">
        <f>IF($F22="","",INDEX(C_FuelStreams!BM:BM,MATCH($C22,C_FuelStreams!$A:$A,0)))</f>
        <v/>
      </c>
      <c r="M22" s="756" t="str">
        <f>IF($F22="","",INDEX(C_FuelStreams!BN:BN,MATCH($C22,C_FuelStreams!$A:$A,0)))</f>
        <v/>
      </c>
      <c r="N22" s="754" t="str">
        <f>IF($F22="","",INDEX(C_FuelStreams!BO:BO,MATCH($C22,C_FuelStreams!$A:$A,0)))</f>
        <v/>
      </c>
      <c r="O22" s="18" t="str">
        <f>IF($F22="","",INDEX(C_FuelStreams!BP:BP,MATCH($C22,C_FuelStreams!$A:$A,0)))</f>
        <v/>
      </c>
      <c r="P22" s="756" t="str">
        <f>IF($F22="","",INDEX(C_FuelStreams!BQ:BQ,MATCH($C22,C_FuelStreams!$A:$A,0)))</f>
        <v/>
      </c>
      <c r="Q22" s="758" t="str">
        <f>IF($F22="","",INDEX(C_FuelStreams!BR:BR,MATCH($C22,C_FuelStreams!$A:$A,0)))</f>
        <v/>
      </c>
      <c r="R22" s="756" t="str">
        <f>IF($F22="","",INDEX(C_FuelStreams!BS:BS,MATCH($C22,C_FuelStreams!$A:$A,0)))</f>
        <v/>
      </c>
      <c r="S22" s="756" t="str">
        <f>IF($F22="","",INDEX(C_FuelStreams!BT:BT,MATCH($C22,C_FuelStreams!$A:$A,0)))</f>
        <v/>
      </c>
      <c r="T22" s="758" t="str">
        <f>IF($F22="","",INDEX(C_FuelStreams!BU:BU,MATCH($C22,C_FuelStreams!$A:$A,0)))</f>
        <v/>
      </c>
      <c r="U22" s="756" t="str">
        <f>IF($F22="","",INDEX(C_FuelStreams!BV:BV,MATCH($C22,C_FuelStreams!$A:$A,0)))</f>
        <v/>
      </c>
      <c r="V22" s="756" t="str">
        <f>IF($F22="","",INDEX(C_FuelStreams!BW:BW,MATCH($C22,C_FuelStreams!$A:$A,0)))</f>
        <v/>
      </c>
      <c r="W22" s="13" t="str">
        <f>IF($F22="","",INDEX(C_FuelStreams!BX:BX,MATCH($C22,C_FuelStreams!$A:$A,0)))</f>
        <v/>
      </c>
      <c r="X22" s="756" t="str">
        <f>IF($F22="","",INDEX(C_FuelStreams!BY:BY,MATCH($C22,C_FuelStreams!$A:$A,0)))</f>
        <v/>
      </c>
      <c r="Y22" s="13" t="str">
        <f>IF($F22="","",INDEX(C_FuelStreams!BZ:BZ,MATCH($C22,C_FuelStreams!$A:$A,0)))</f>
        <v/>
      </c>
      <c r="Z22" s="13" t="str">
        <f>IF($F22="","",INDEX(C_FuelStreams!CA:CA,MATCH($C22,C_FuelStreams!$A:$A,0)))</f>
        <v/>
      </c>
      <c r="AA22" s="13" t="str">
        <f>IF($F22="","",INDEX(C_FuelStreams!CB:CB,MATCH($C22,C_FuelStreams!$A:$A,0)))</f>
        <v/>
      </c>
      <c r="AB22" s="13" t="str">
        <f>IF($F22="","",INDEX(C_FuelStreams!CC:CC,MATCH($C22,C_FuelStreams!$A:$A,0)))</f>
        <v/>
      </c>
      <c r="AC22" s="13" t="str">
        <f>IF($F22="","",INDEX(C_FuelStreams!CD:CD,MATCH($C22,C_FuelStreams!$A:$A,0)))</f>
        <v/>
      </c>
      <c r="AD22" s="757" t="str">
        <f>IF($F22="","",INDEX(C_FuelStreams!CE:CE,MATCH($C22,C_FuelStreams!$A:$A,0)))</f>
        <v/>
      </c>
      <c r="AE22" s="757" t="str">
        <f>IF($F22="","",INDEX(C_FuelStreams!CF:CF,MATCH($C22,C_FuelStreams!$A:$A,0)))</f>
        <v/>
      </c>
      <c r="AF22" s="757" t="str">
        <f>IF($F22="","",INDEX(C_FuelStreams!CG:CG,MATCH($C22,C_FuelStreams!$A:$A,0)))</f>
        <v/>
      </c>
      <c r="AG22" s="757" t="str">
        <f>IF($F22="","",INDEX(C_FuelStreams!CH:CH,MATCH($C22,C_FuelStreams!$A:$A,0)))</f>
        <v/>
      </c>
      <c r="AH22" s="757" t="str">
        <f>IF($F22="","",INDEX(C_FuelStreams!CI:CI,MATCH($C22,C_FuelStreams!$A:$A,0)))</f>
        <v/>
      </c>
      <c r="AI22" s="757" t="str">
        <f>IF($F22="","",INDEX(C_FuelStreams!CJ:CJ,MATCH($C22,C_FuelStreams!$A:$A,0)))</f>
        <v/>
      </c>
      <c r="AJ22" s="757" t="str">
        <f>IF($F22="","",INDEX(C_FuelStreams!CK:CK,MATCH($C22,C_FuelStreams!$A:$A,0)))</f>
        <v/>
      </c>
      <c r="AK22" s="757" t="str">
        <f>IF($F22="","",INDEX(C_FuelStreams!CL:CL,MATCH($C22,C_FuelStreams!$A:$A,0)))</f>
        <v/>
      </c>
      <c r="AL22" s="757" t="str">
        <f>IF($F22="","",INDEX(C_FuelStreams!CM:CM,MATCH($C22,C_FuelStreams!$A:$A,0)))</f>
        <v/>
      </c>
      <c r="AM22" s="757" t="str">
        <f>IF($F22="","",INDEX(C_FuelStreams!CN:CN,MATCH($C22,C_FuelStreams!$A:$A,0)))</f>
        <v/>
      </c>
      <c r="AN22" s="757" t="str">
        <f>IF($F22="","",INDEX(C_FuelStreams!CO:CO,MATCH($C22,C_FuelStreams!$A:$A,0)))</f>
        <v/>
      </c>
      <c r="AO22" s="759" t="str">
        <f>IF($F22="","",INDEX(C_FuelStreams!BK:BK,MATCH($C22,C_FuelStreams!$A:$A,0)+3))</f>
        <v/>
      </c>
      <c r="AP22" s="759" t="str">
        <f>IF($F22="","",INDEX(C_FuelStreams!BL:BL,MATCH($C22,C_FuelStreams!$A:$A,0)+3))</f>
        <v/>
      </c>
      <c r="AQ22" s="759" t="str">
        <f>IF($F22="","",INDEX(C_FuelStreams!BM:BM,MATCH($C22,C_FuelStreams!$A:$A,0)+3))</f>
        <v/>
      </c>
      <c r="AR22" s="757" t="str">
        <f>IF($F22="","",INDEX(C_FuelStreams!CP:CP,MATCH($C22,C_FuelStreams!$A:$A,0)))</f>
        <v/>
      </c>
      <c r="AT22" s="514" t="str">
        <f>IF($F22="","",INDEX(B_IdentifyFuelStreams!$E$67:$E$116,MATCH($F22,CNTR_SourceStreamNames,0)))</f>
        <v/>
      </c>
      <c r="AU22" s="514" t="str">
        <f>IF($F22="","",INDEX(B_IdentifyFuelStreams!$I$67:$I$116,MATCH($F22,CNTR_SourceStreamNames,0)))</f>
        <v/>
      </c>
      <c r="AV22" s="514" t="str">
        <f>IF($F22="","",IF(INDEX(B_IdentifyFuelStreams!$L$67:$L$116,MATCH($F22,CNTR_SourceStreamNames,0))="","",INDEX(B_IdentifyFuelStreams!$L$67:$L$116,MATCH($F22,CNTR_SourceStreamNames,0))))</f>
        <v/>
      </c>
    </row>
    <row r="23" spans="3:48" x14ac:dyDescent="0.25">
      <c r="C23" s="751">
        <f t="shared" si="2"/>
        <v>11</v>
      </c>
      <c r="D23" s="751" t="str">
        <f t="shared" si="1"/>
        <v/>
      </c>
      <c r="E23" s="754" t="str">
        <f t="shared" si="0"/>
        <v/>
      </c>
      <c r="F23" s="755" t="str">
        <f>IF(INDEX(C_FuelStreams!BI:BI,MATCH($C23,C_FuelStreams!$A:$A,0))="","",INDEX(C_FuelStreams!BI:BI,MATCH($C23,C_FuelStreams!$A:$A,0)))</f>
        <v/>
      </c>
      <c r="G23" s="755" t="str">
        <f>IF(F23="","",INDEX(C_FuelStreams!K:K,MATCH($C23,C_FuelStreams!$A:$A,0)))</f>
        <v/>
      </c>
      <c r="H23" s="755" t="str">
        <f>IF(F23="","",INDEX(C_FuelStreams!K:K,MATCH($C23,C_FuelStreams!$A:$A,0)+1))</f>
        <v/>
      </c>
      <c r="I23" s="756" t="str">
        <f>IF($F23="","",INDEX(C_FuelStreams!BJ:BJ,MATCH($C23,C_FuelStreams!$A:$A,0)))</f>
        <v/>
      </c>
      <c r="J23" s="757" t="str">
        <f>IF($F23="","",INDEX(C_FuelStreams!BK:BK,MATCH($C23,C_FuelStreams!$A:$A,0)))</f>
        <v/>
      </c>
      <c r="K23" s="757" t="str">
        <f>IF($F23="","",SUM(J23)-INDEX(C_FuelStreams!BL:BL,MATCH($C23,C_FuelStreams!$A:$A,0)))</f>
        <v/>
      </c>
      <c r="L23" s="756" t="str">
        <f>IF($F23="","",INDEX(C_FuelStreams!BM:BM,MATCH($C23,C_FuelStreams!$A:$A,0)))</f>
        <v/>
      </c>
      <c r="M23" s="756" t="str">
        <f>IF($F23="","",INDEX(C_FuelStreams!BN:BN,MATCH($C23,C_FuelStreams!$A:$A,0)))</f>
        <v/>
      </c>
      <c r="N23" s="754" t="str">
        <f>IF($F23="","",INDEX(C_FuelStreams!BO:BO,MATCH($C23,C_FuelStreams!$A:$A,0)))</f>
        <v/>
      </c>
      <c r="O23" s="18" t="str">
        <f>IF($F23="","",INDEX(C_FuelStreams!BP:BP,MATCH($C23,C_FuelStreams!$A:$A,0)))</f>
        <v/>
      </c>
      <c r="P23" s="756" t="str">
        <f>IF($F23="","",INDEX(C_FuelStreams!BQ:BQ,MATCH($C23,C_FuelStreams!$A:$A,0)))</f>
        <v/>
      </c>
      <c r="Q23" s="758" t="str">
        <f>IF($F23="","",INDEX(C_FuelStreams!BR:BR,MATCH($C23,C_FuelStreams!$A:$A,0)))</f>
        <v/>
      </c>
      <c r="R23" s="756" t="str">
        <f>IF($F23="","",INDEX(C_FuelStreams!BS:BS,MATCH($C23,C_FuelStreams!$A:$A,0)))</f>
        <v/>
      </c>
      <c r="S23" s="756" t="str">
        <f>IF($F23="","",INDEX(C_FuelStreams!BT:BT,MATCH($C23,C_FuelStreams!$A:$A,0)))</f>
        <v/>
      </c>
      <c r="T23" s="758" t="str">
        <f>IF($F23="","",INDEX(C_FuelStreams!BU:BU,MATCH($C23,C_FuelStreams!$A:$A,0)))</f>
        <v/>
      </c>
      <c r="U23" s="756" t="str">
        <f>IF($F23="","",INDEX(C_FuelStreams!BV:BV,MATCH($C23,C_FuelStreams!$A:$A,0)))</f>
        <v/>
      </c>
      <c r="V23" s="756" t="str">
        <f>IF($F23="","",INDEX(C_FuelStreams!BW:BW,MATCH($C23,C_FuelStreams!$A:$A,0)))</f>
        <v/>
      </c>
      <c r="W23" s="13" t="str">
        <f>IF($F23="","",INDEX(C_FuelStreams!BX:BX,MATCH($C23,C_FuelStreams!$A:$A,0)))</f>
        <v/>
      </c>
      <c r="X23" s="756" t="str">
        <f>IF($F23="","",INDEX(C_FuelStreams!BY:BY,MATCH($C23,C_FuelStreams!$A:$A,0)))</f>
        <v/>
      </c>
      <c r="Y23" s="13" t="str">
        <f>IF($F23="","",INDEX(C_FuelStreams!BZ:BZ,MATCH($C23,C_FuelStreams!$A:$A,0)))</f>
        <v/>
      </c>
      <c r="Z23" s="13" t="str">
        <f>IF($F23="","",INDEX(C_FuelStreams!CA:CA,MATCH($C23,C_FuelStreams!$A:$A,0)))</f>
        <v/>
      </c>
      <c r="AA23" s="13" t="str">
        <f>IF($F23="","",INDEX(C_FuelStreams!CB:CB,MATCH($C23,C_FuelStreams!$A:$A,0)))</f>
        <v/>
      </c>
      <c r="AB23" s="13" t="str">
        <f>IF($F23="","",INDEX(C_FuelStreams!CC:CC,MATCH($C23,C_FuelStreams!$A:$A,0)))</f>
        <v/>
      </c>
      <c r="AC23" s="13" t="str">
        <f>IF($F23="","",INDEX(C_FuelStreams!CD:CD,MATCH($C23,C_FuelStreams!$A:$A,0)))</f>
        <v/>
      </c>
      <c r="AD23" s="757" t="str">
        <f>IF($F23="","",INDEX(C_FuelStreams!CE:CE,MATCH($C23,C_FuelStreams!$A:$A,0)))</f>
        <v/>
      </c>
      <c r="AE23" s="757" t="str">
        <f>IF($F23="","",INDEX(C_FuelStreams!CF:CF,MATCH($C23,C_FuelStreams!$A:$A,0)))</f>
        <v/>
      </c>
      <c r="AF23" s="757" t="str">
        <f>IF($F23="","",INDEX(C_FuelStreams!CG:CG,MATCH($C23,C_FuelStreams!$A:$A,0)))</f>
        <v/>
      </c>
      <c r="AG23" s="757" t="str">
        <f>IF($F23="","",INDEX(C_FuelStreams!CH:CH,MATCH($C23,C_FuelStreams!$A:$A,0)))</f>
        <v/>
      </c>
      <c r="AH23" s="757" t="str">
        <f>IF($F23="","",INDEX(C_FuelStreams!CI:CI,MATCH($C23,C_FuelStreams!$A:$A,0)))</f>
        <v/>
      </c>
      <c r="AI23" s="757" t="str">
        <f>IF($F23="","",INDEX(C_FuelStreams!CJ:CJ,MATCH($C23,C_FuelStreams!$A:$A,0)))</f>
        <v/>
      </c>
      <c r="AJ23" s="757" t="str">
        <f>IF($F23="","",INDEX(C_FuelStreams!CK:CK,MATCH($C23,C_FuelStreams!$A:$A,0)))</f>
        <v/>
      </c>
      <c r="AK23" s="757" t="str">
        <f>IF($F23="","",INDEX(C_FuelStreams!CL:CL,MATCH($C23,C_FuelStreams!$A:$A,0)))</f>
        <v/>
      </c>
      <c r="AL23" s="757" t="str">
        <f>IF($F23="","",INDEX(C_FuelStreams!CM:CM,MATCH($C23,C_FuelStreams!$A:$A,0)))</f>
        <v/>
      </c>
      <c r="AM23" s="757" t="str">
        <f>IF($F23="","",INDEX(C_FuelStreams!CN:CN,MATCH($C23,C_FuelStreams!$A:$A,0)))</f>
        <v/>
      </c>
      <c r="AN23" s="757" t="str">
        <f>IF($F23="","",INDEX(C_FuelStreams!CO:CO,MATCH($C23,C_FuelStreams!$A:$A,0)))</f>
        <v/>
      </c>
      <c r="AO23" s="759" t="str">
        <f>IF($F23="","",INDEX(C_FuelStreams!BK:BK,MATCH($C23,C_FuelStreams!$A:$A,0)+3))</f>
        <v/>
      </c>
      <c r="AP23" s="759" t="str">
        <f>IF($F23="","",INDEX(C_FuelStreams!BL:BL,MATCH($C23,C_FuelStreams!$A:$A,0)+3))</f>
        <v/>
      </c>
      <c r="AQ23" s="759" t="str">
        <f>IF($F23="","",INDEX(C_FuelStreams!BM:BM,MATCH($C23,C_FuelStreams!$A:$A,0)+3))</f>
        <v/>
      </c>
      <c r="AR23" s="757" t="str">
        <f>IF($F23="","",INDEX(C_FuelStreams!CP:CP,MATCH($C23,C_FuelStreams!$A:$A,0)))</f>
        <v/>
      </c>
      <c r="AT23" s="514" t="str">
        <f>IF($F23="","",INDEX(B_IdentifyFuelStreams!$E$67:$E$116,MATCH($F23,CNTR_SourceStreamNames,0)))</f>
        <v/>
      </c>
      <c r="AU23" s="514" t="str">
        <f>IF($F23="","",INDEX(B_IdentifyFuelStreams!$I$67:$I$116,MATCH($F23,CNTR_SourceStreamNames,0)))</f>
        <v/>
      </c>
      <c r="AV23" s="514" t="str">
        <f>IF($F23="","",IF(INDEX(B_IdentifyFuelStreams!$L$67:$L$116,MATCH($F23,CNTR_SourceStreamNames,0))="","",INDEX(B_IdentifyFuelStreams!$L$67:$L$116,MATCH($F23,CNTR_SourceStreamNames,0))))</f>
        <v/>
      </c>
    </row>
    <row r="24" spans="3:48" x14ac:dyDescent="0.25">
      <c r="C24" s="751">
        <f t="shared" si="2"/>
        <v>12</v>
      </c>
      <c r="D24" s="751" t="str">
        <f t="shared" si="1"/>
        <v/>
      </c>
      <c r="E24" s="754" t="str">
        <f t="shared" si="0"/>
        <v/>
      </c>
      <c r="F24" s="755" t="str">
        <f>IF(INDEX(C_FuelStreams!BI:BI,MATCH($C24,C_FuelStreams!$A:$A,0))="","",INDEX(C_FuelStreams!BI:BI,MATCH($C24,C_FuelStreams!$A:$A,0)))</f>
        <v/>
      </c>
      <c r="G24" s="755" t="str">
        <f>IF(F24="","",INDEX(C_FuelStreams!K:K,MATCH($C24,C_FuelStreams!$A:$A,0)))</f>
        <v/>
      </c>
      <c r="H24" s="755" t="str">
        <f>IF(F24="","",INDEX(C_FuelStreams!K:K,MATCH($C24,C_FuelStreams!$A:$A,0)+1))</f>
        <v/>
      </c>
      <c r="I24" s="756" t="str">
        <f>IF($F24="","",INDEX(C_FuelStreams!BJ:BJ,MATCH($C24,C_FuelStreams!$A:$A,0)))</f>
        <v/>
      </c>
      <c r="J24" s="757" t="str">
        <f>IF($F24="","",INDEX(C_FuelStreams!BK:BK,MATCH($C24,C_FuelStreams!$A:$A,0)))</f>
        <v/>
      </c>
      <c r="K24" s="757" t="str">
        <f>IF($F24="","",SUM(J24)-INDEX(C_FuelStreams!BL:BL,MATCH($C24,C_FuelStreams!$A:$A,0)))</f>
        <v/>
      </c>
      <c r="L24" s="756" t="str">
        <f>IF($F24="","",INDEX(C_FuelStreams!BM:BM,MATCH($C24,C_FuelStreams!$A:$A,0)))</f>
        <v/>
      </c>
      <c r="M24" s="756" t="str">
        <f>IF($F24="","",INDEX(C_FuelStreams!BN:BN,MATCH($C24,C_FuelStreams!$A:$A,0)))</f>
        <v/>
      </c>
      <c r="N24" s="754" t="str">
        <f>IF($F24="","",INDEX(C_FuelStreams!BO:BO,MATCH($C24,C_FuelStreams!$A:$A,0)))</f>
        <v/>
      </c>
      <c r="O24" s="18" t="str">
        <f>IF($F24="","",INDEX(C_FuelStreams!BP:BP,MATCH($C24,C_FuelStreams!$A:$A,0)))</f>
        <v/>
      </c>
      <c r="P24" s="756" t="str">
        <f>IF($F24="","",INDEX(C_FuelStreams!BQ:BQ,MATCH($C24,C_FuelStreams!$A:$A,0)))</f>
        <v/>
      </c>
      <c r="Q24" s="758" t="str">
        <f>IF($F24="","",INDEX(C_FuelStreams!BR:BR,MATCH($C24,C_FuelStreams!$A:$A,0)))</f>
        <v/>
      </c>
      <c r="R24" s="756" t="str">
        <f>IF($F24="","",INDEX(C_FuelStreams!BS:BS,MATCH($C24,C_FuelStreams!$A:$A,0)))</f>
        <v/>
      </c>
      <c r="S24" s="756" t="str">
        <f>IF($F24="","",INDEX(C_FuelStreams!BT:BT,MATCH($C24,C_FuelStreams!$A:$A,0)))</f>
        <v/>
      </c>
      <c r="T24" s="758" t="str">
        <f>IF($F24="","",INDEX(C_FuelStreams!BU:BU,MATCH($C24,C_FuelStreams!$A:$A,0)))</f>
        <v/>
      </c>
      <c r="U24" s="756" t="str">
        <f>IF($F24="","",INDEX(C_FuelStreams!BV:BV,MATCH($C24,C_FuelStreams!$A:$A,0)))</f>
        <v/>
      </c>
      <c r="V24" s="756" t="str">
        <f>IF($F24="","",INDEX(C_FuelStreams!BW:BW,MATCH($C24,C_FuelStreams!$A:$A,0)))</f>
        <v/>
      </c>
      <c r="W24" s="13" t="str">
        <f>IF($F24="","",INDEX(C_FuelStreams!BX:BX,MATCH($C24,C_FuelStreams!$A:$A,0)))</f>
        <v/>
      </c>
      <c r="X24" s="756" t="str">
        <f>IF($F24="","",INDEX(C_FuelStreams!BY:BY,MATCH($C24,C_FuelStreams!$A:$A,0)))</f>
        <v/>
      </c>
      <c r="Y24" s="13" t="str">
        <f>IF($F24="","",INDEX(C_FuelStreams!BZ:BZ,MATCH($C24,C_FuelStreams!$A:$A,0)))</f>
        <v/>
      </c>
      <c r="Z24" s="13" t="str">
        <f>IF($F24="","",INDEX(C_FuelStreams!CA:CA,MATCH($C24,C_FuelStreams!$A:$A,0)))</f>
        <v/>
      </c>
      <c r="AA24" s="13" t="str">
        <f>IF($F24="","",INDEX(C_FuelStreams!CB:CB,MATCH($C24,C_FuelStreams!$A:$A,0)))</f>
        <v/>
      </c>
      <c r="AB24" s="13" t="str">
        <f>IF($F24="","",INDEX(C_FuelStreams!CC:CC,MATCH($C24,C_FuelStreams!$A:$A,0)))</f>
        <v/>
      </c>
      <c r="AC24" s="13" t="str">
        <f>IF($F24="","",INDEX(C_FuelStreams!CD:CD,MATCH($C24,C_FuelStreams!$A:$A,0)))</f>
        <v/>
      </c>
      <c r="AD24" s="757" t="str">
        <f>IF($F24="","",INDEX(C_FuelStreams!CE:CE,MATCH($C24,C_FuelStreams!$A:$A,0)))</f>
        <v/>
      </c>
      <c r="AE24" s="757" t="str">
        <f>IF($F24="","",INDEX(C_FuelStreams!CF:CF,MATCH($C24,C_FuelStreams!$A:$A,0)))</f>
        <v/>
      </c>
      <c r="AF24" s="757" t="str">
        <f>IF($F24="","",INDEX(C_FuelStreams!CG:CG,MATCH($C24,C_FuelStreams!$A:$A,0)))</f>
        <v/>
      </c>
      <c r="AG24" s="757" t="str">
        <f>IF($F24="","",INDEX(C_FuelStreams!CH:CH,MATCH($C24,C_FuelStreams!$A:$A,0)))</f>
        <v/>
      </c>
      <c r="AH24" s="757" t="str">
        <f>IF($F24="","",INDEX(C_FuelStreams!CI:CI,MATCH($C24,C_FuelStreams!$A:$A,0)))</f>
        <v/>
      </c>
      <c r="AI24" s="757" t="str">
        <f>IF($F24="","",INDEX(C_FuelStreams!CJ:CJ,MATCH($C24,C_FuelStreams!$A:$A,0)))</f>
        <v/>
      </c>
      <c r="AJ24" s="757" t="str">
        <f>IF($F24="","",INDEX(C_FuelStreams!CK:CK,MATCH($C24,C_FuelStreams!$A:$A,0)))</f>
        <v/>
      </c>
      <c r="AK24" s="757" t="str">
        <f>IF($F24="","",INDEX(C_FuelStreams!CL:CL,MATCH($C24,C_FuelStreams!$A:$A,0)))</f>
        <v/>
      </c>
      <c r="AL24" s="757" t="str">
        <f>IF($F24="","",INDEX(C_FuelStreams!CM:CM,MATCH($C24,C_FuelStreams!$A:$A,0)))</f>
        <v/>
      </c>
      <c r="AM24" s="757" t="str">
        <f>IF($F24="","",INDEX(C_FuelStreams!CN:CN,MATCH($C24,C_FuelStreams!$A:$A,0)))</f>
        <v/>
      </c>
      <c r="AN24" s="757" t="str">
        <f>IF($F24="","",INDEX(C_FuelStreams!CO:CO,MATCH($C24,C_FuelStreams!$A:$A,0)))</f>
        <v/>
      </c>
      <c r="AO24" s="759" t="str">
        <f>IF($F24="","",INDEX(C_FuelStreams!BK:BK,MATCH($C24,C_FuelStreams!$A:$A,0)+3))</f>
        <v/>
      </c>
      <c r="AP24" s="759" t="str">
        <f>IF($F24="","",INDEX(C_FuelStreams!BL:BL,MATCH($C24,C_FuelStreams!$A:$A,0)+3))</f>
        <v/>
      </c>
      <c r="AQ24" s="759" t="str">
        <f>IF($F24="","",INDEX(C_FuelStreams!BM:BM,MATCH($C24,C_FuelStreams!$A:$A,0)+3))</f>
        <v/>
      </c>
      <c r="AR24" s="757" t="str">
        <f>IF($F24="","",INDEX(C_FuelStreams!CP:CP,MATCH($C24,C_FuelStreams!$A:$A,0)))</f>
        <v/>
      </c>
      <c r="AT24" s="514" t="str">
        <f>IF($F24="","",INDEX(B_IdentifyFuelStreams!$E$67:$E$116,MATCH($F24,CNTR_SourceStreamNames,0)))</f>
        <v/>
      </c>
      <c r="AU24" s="514" t="str">
        <f>IF($F24="","",INDEX(B_IdentifyFuelStreams!$I$67:$I$116,MATCH($F24,CNTR_SourceStreamNames,0)))</f>
        <v/>
      </c>
      <c r="AV24" s="514" t="str">
        <f>IF($F24="","",IF(INDEX(B_IdentifyFuelStreams!$L$67:$L$116,MATCH($F24,CNTR_SourceStreamNames,0))="","",INDEX(B_IdentifyFuelStreams!$L$67:$L$116,MATCH($F24,CNTR_SourceStreamNames,0))))</f>
        <v/>
      </c>
    </row>
    <row r="25" spans="3:48" x14ac:dyDescent="0.25">
      <c r="C25" s="751">
        <f t="shared" si="2"/>
        <v>13</v>
      </c>
      <c r="D25" s="751" t="str">
        <f t="shared" si="1"/>
        <v/>
      </c>
      <c r="E25" s="754" t="str">
        <f t="shared" si="0"/>
        <v/>
      </c>
      <c r="F25" s="755" t="str">
        <f>IF(INDEX(C_FuelStreams!BI:BI,MATCH($C25,C_FuelStreams!$A:$A,0))="","",INDEX(C_FuelStreams!BI:BI,MATCH($C25,C_FuelStreams!$A:$A,0)))</f>
        <v/>
      </c>
      <c r="G25" s="755" t="str">
        <f>IF(F25="","",INDEX(C_FuelStreams!K:K,MATCH($C25,C_FuelStreams!$A:$A,0)))</f>
        <v/>
      </c>
      <c r="H25" s="755" t="str">
        <f>IF(F25="","",INDEX(C_FuelStreams!K:K,MATCH($C25,C_FuelStreams!$A:$A,0)+1))</f>
        <v/>
      </c>
      <c r="I25" s="756" t="str">
        <f>IF($F25="","",INDEX(C_FuelStreams!BJ:BJ,MATCH($C25,C_FuelStreams!$A:$A,0)))</f>
        <v/>
      </c>
      <c r="J25" s="757" t="str">
        <f>IF($F25="","",INDEX(C_FuelStreams!BK:BK,MATCH($C25,C_FuelStreams!$A:$A,0)))</f>
        <v/>
      </c>
      <c r="K25" s="757" t="str">
        <f>IF($F25="","",SUM(J25)-INDEX(C_FuelStreams!BL:BL,MATCH($C25,C_FuelStreams!$A:$A,0)))</f>
        <v/>
      </c>
      <c r="L25" s="756" t="str">
        <f>IF($F25="","",INDEX(C_FuelStreams!BM:BM,MATCH($C25,C_FuelStreams!$A:$A,0)))</f>
        <v/>
      </c>
      <c r="M25" s="756" t="str">
        <f>IF($F25="","",INDEX(C_FuelStreams!BN:BN,MATCH($C25,C_FuelStreams!$A:$A,0)))</f>
        <v/>
      </c>
      <c r="N25" s="754" t="str">
        <f>IF($F25="","",INDEX(C_FuelStreams!BO:BO,MATCH($C25,C_FuelStreams!$A:$A,0)))</f>
        <v/>
      </c>
      <c r="O25" s="18" t="str">
        <f>IF($F25="","",INDEX(C_FuelStreams!BP:BP,MATCH($C25,C_FuelStreams!$A:$A,0)))</f>
        <v/>
      </c>
      <c r="P25" s="756" t="str">
        <f>IF($F25="","",INDEX(C_FuelStreams!BQ:BQ,MATCH($C25,C_FuelStreams!$A:$A,0)))</f>
        <v/>
      </c>
      <c r="Q25" s="758" t="str">
        <f>IF($F25="","",INDEX(C_FuelStreams!BR:BR,MATCH($C25,C_FuelStreams!$A:$A,0)))</f>
        <v/>
      </c>
      <c r="R25" s="756" t="str">
        <f>IF($F25="","",INDEX(C_FuelStreams!BS:BS,MATCH($C25,C_FuelStreams!$A:$A,0)))</f>
        <v/>
      </c>
      <c r="S25" s="756" t="str">
        <f>IF($F25="","",INDEX(C_FuelStreams!BT:BT,MATCH($C25,C_FuelStreams!$A:$A,0)))</f>
        <v/>
      </c>
      <c r="T25" s="758" t="str">
        <f>IF($F25="","",INDEX(C_FuelStreams!BU:BU,MATCH($C25,C_FuelStreams!$A:$A,0)))</f>
        <v/>
      </c>
      <c r="U25" s="756" t="str">
        <f>IF($F25="","",INDEX(C_FuelStreams!BV:BV,MATCH($C25,C_FuelStreams!$A:$A,0)))</f>
        <v/>
      </c>
      <c r="V25" s="756" t="str">
        <f>IF($F25="","",INDEX(C_FuelStreams!BW:BW,MATCH($C25,C_FuelStreams!$A:$A,0)))</f>
        <v/>
      </c>
      <c r="W25" s="13" t="str">
        <f>IF($F25="","",INDEX(C_FuelStreams!BX:BX,MATCH($C25,C_FuelStreams!$A:$A,0)))</f>
        <v/>
      </c>
      <c r="X25" s="756" t="str">
        <f>IF($F25="","",INDEX(C_FuelStreams!BY:BY,MATCH($C25,C_FuelStreams!$A:$A,0)))</f>
        <v/>
      </c>
      <c r="Y25" s="13" t="str">
        <f>IF($F25="","",INDEX(C_FuelStreams!BZ:BZ,MATCH($C25,C_FuelStreams!$A:$A,0)))</f>
        <v/>
      </c>
      <c r="Z25" s="13" t="str">
        <f>IF($F25="","",INDEX(C_FuelStreams!CA:CA,MATCH($C25,C_FuelStreams!$A:$A,0)))</f>
        <v/>
      </c>
      <c r="AA25" s="13" t="str">
        <f>IF($F25="","",INDEX(C_FuelStreams!CB:CB,MATCH($C25,C_FuelStreams!$A:$A,0)))</f>
        <v/>
      </c>
      <c r="AB25" s="13" t="str">
        <f>IF($F25="","",INDEX(C_FuelStreams!CC:CC,MATCH($C25,C_FuelStreams!$A:$A,0)))</f>
        <v/>
      </c>
      <c r="AC25" s="13" t="str">
        <f>IF($F25="","",INDEX(C_FuelStreams!CD:CD,MATCH($C25,C_FuelStreams!$A:$A,0)))</f>
        <v/>
      </c>
      <c r="AD25" s="757" t="str">
        <f>IF($F25="","",INDEX(C_FuelStreams!CE:CE,MATCH($C25,C_FuelStreams!$A:$A,0)))</f>
        <v/>
      </c>
      <c r="AE25" s="757" t="str">
        <f>IF($F25="","",INDEX(C_FuelStreams!CF:CF,MATCH($C25,C_FuelStreams!$A:$A,0)))</f>
        <v/>
      </c>
      <c r="AF25" s="757" t="str">
        <f>IF($F25="","",INDEX(C_FuelStreams!CG:CG,MATCH($C25,C_FuelStreams!$A:$A,0)))</f>
        <v/>
      </c>
      <c r="AG25" s="757" t="str">
        <f>IF($F25="","",INDEX(C_FuelStreams!CH:CH,MATCH($C25,C_FuelStreams!$A:$A,0)))</f>
        <v/>
      </c>
      <c r="AH25" s="757" t="str">
        <f>IF($F25="","",INDEX(C_FuelStreams!CI:CI,MATCH($C25,C_FuelStreams!$A:$A,0)))</f>
        <v/>
      </c>
      <c r="AI25" s="757" t="str">
        <f>IF($F25="","",INDEX(C_FuelStreams!CJ:CJ,MATCH($C25,C_FuelStreams!$A:$A,0)))</f>
        <v/>
      </c>
      <c r="AJ25" s="757" t="str">
        <f>IF($F25="","",INDEX(C_FuelStreams!CK:CK,MATCH($C25,C_FuelStreams!$A:$A,0)))</f>
        <v/>
      </c>
      <c r="AK25" s="757" t="str">
        <f>IF($F25="","",INDEX(C_FuelStreams!CL:CL,MATCH($C25,C_FuelStreams!$A:$A,0)))</f>
        <v/>
      </c>
      <c r="AL25" s="757" t="str">
        <f>IF($F25="","",INDEX(C_FuelStreams!CM:CM,MATCH($C25,C_FuelStreams!$A:$A,0)))</f>
        <v/>
      </c>
      <c r="AM25" s="757" t="str">
        <f>IF($F25="","",INDEX(C_FuelStreams!CN:CN,MATCH($C25,C_FuelStreams!$A:$A,0)))</f>
        <v/>
      </c>
      <c r="AN25" s="757" t="str">
        <f>IF($F25="","",INDEX(C_FuelStreams!CO:CO,MATCH($C25,C_FuelStreams!$A:$A,0)))</f>
        <v/>
      </c>
      <c r="AO25" s="759" t="str">
        <f>IF($F25="","",INDEX(C_FuelStreams!BK:BK,MATCH($C25,C_FuelStreams!$A:$A,0)+3))</f>
        <v/>
      </c>
      <c r="AP25" s="759" t="str">
        <f>IF($F25="","",INDEX(C_FuelStreams!BL:BL,MATCH($C25,C_FuelStreams!$A:$A,0)+3))</f>
        <v/>
      </c>
      <c r="AQ25" s="759" t="str">
        <f>IF($F25="","",INDEX(C_FuelStreams!BM:BM,MATCH($C25,C_FuelStreams!$A:$A,0)+3))</f>
        <v/>
      </c>
      <c r="AR25" s="757" t="str">
        <f>IF($F25="","",INDEX(C_FuelStreams!CP:CP,MATCH($C25,C_FuelStreams!$A:$A,0)))</f>
        <v/>
      </c>
      <c r="AT25" s="514" t="str">
        <f>IF($F25="","",INDEX(B_IdentifyFuelStreams!$E$67:$E$116,MATCH($F25,CNTR_SourceStreamNames,0)))</f>
        <v/>
      </c>
      <c r="AU25" s="514" t="str">
        <f>IF($F25="","",INDEX(B_IdentifyFuelStreams!$I$67:$I$116,MATCH($F25,CNTR_SourceStreamNames,0)))</f>
        <v/>
      </c>
      <c r="AV25" s="514" t="str">
        <f>IF($F25="","",IF(INDEX(B_IdentifyFuelStreams!$L$67:$L$116,MATCH($F25,CNTR_SourceStreamNames,0))="","",INDEX(B_IdentifyFuelStreams!$L$67:$L$116,MATCH($F25,CNTR_SourceStreamNames,0))))</f>
        <v/>
      </c>
    </row>
    <row r="26" spans="3:48" x14ac:dyDescent="0.25">
      <c r="C26" s="751">
        <f t="shared" si="2"/>
        <v>14</v>
      </c>
      <c r="D26" s="751" t="str">
        <f t="shared" si="1"/>
        <v/>
      </c>
      <c r="E26" s="754" t="str">
        <f t="shared" si="0"/>
        <v/>
      </c>
      <c r="F26" s="755" t="str">
        <f>IF(INDEX(C_FuelStreams!BI:BI,MATCH($C26,C_FuelStreams!$A:$A,0))="","",INDEX(C_FuelStreams!BI:BI,MATCH($C26,C_FuelStreams!$A:$A,0)))</f>
        <v/>
      </c>
      <c r="G26" s="755" t="str">
        <f>IF(F26="","",INDEX(C_FuelStreams!K:K,MATCH($C26,C_FuelStreams!$A:$A,0)))</f>
        <v/>
      </c>
      <c r="H26" s="755" t="str">
        <f>IF(F26="","",INDEX(C_FuelStreams!K:K,MATCH($C26,C_FuelStreams!$A:$A,0)+1))</f>
        <v/>
      </c>
      <c r="I26" s="756" t="str">
        <f>IF($F26="","",INDEX(C_FuelStreams!BJ:BJ,MATCH($C26,C_FuelStreams!$A:$A,0)))</f>
        <v/>
      </c>
      <c r="J26" s="757" t="str">
        <f>IF($F26="","",INDEX(C_FuelStreams!BK:BK,MATCH($C26,C_FuelStreams!$A:$A,0)))</f>
        <v/>
      </c>
      <c r="K26" s="757" t="str">
        <f>IF($F26="","",SUM(J26)-INDEX(C_FuelStreams!BL:BL,MATCH($C26,C_FuelStreams!$A:$A,0)))</f>
        <v/>
      </c>
      <c r="L26" s="756" t="str">
        <f>IF($F26="","",INDEX(C_FuelStreams!BM:BM,MATCH($C26,C_FuelStreams!$A:$A,0)))</f>
        <v/>
      </c>
      <c r="M26" s="756" t="str">
        <f>IF($F26="","",INDEX(C_FuelStreams!BN:BN,MATCH($C26,C_FuelStreams!$A:$A,0)))</f>
        <v/>
      </c>
      <c r="N26" s="754" t="str">
        <f>IF($F26="","",INDEX(C_FuelStreams!BO:BO,MATCH($C26,C_FuelStreams!$A:$A,0)))</f>
        <v/>
      </c>
      <c r="O26" s="18" t="str">
        <f>IF($F26="","",INDEX(C_FuelStreams!BP:BP,MATCH($C26,C_FuelStreams!$A:$A,0)))</f>
        <v/>
      </c>
      <c r="P26" s="756" t="str">
        <f>IF($F26="","",INDEX(C_FuelStreams!BQ:BQ,MATCH($C26,C_FuelStreams!$A:$A,0)))</f>
        <v/>
      </c>
      <c r="Q26" s="758" t="str">
        <f>IF($F26="","",INDEX(C_FuelStreams!BR:BR,MATCH($C26,C_FuelStreams!$A:$A,0)))</f>
        <v/>
      </c>
      <c r="R26" s="756" t="str">
        <f>IF($F26="","",INDEX(C_FuelStreams!BS:BS,MATCH($C26,C_FuelStreams!$A:$A,0)))</f>
        <v/>
      </c>
      <c r="S26" s="756" t="str">
        <f>IF($F26="","",INDEX(C_FuelStreams!BT:BT,MATCH($C26,C_FuelStreams!$A:$A,0)))</f>
        <v/>
      </c>
      <c r="T26" s="758" t="str">
        <f>IF($F26="","",INDEX(C_FuelStreams!BU:BU,MATCH($C26,C_FuelStreams!$A:$A,0)))</f>
        <v/>
      </c>
      <c r="U26" s="756" t="str">
        <f>IF($F26="","",INDEX(C_FuelStreams!BV:BV,MATCH($C26,C_FuelStreams!$A:$A,0)))</f>
        <v/>
      </c>
      <c r="V26" s="756" t="str">
        <f>IF($F26="","",INDEX(C_FuelStreams!BW:BW,MATCH($C26,C_FuelStreams!$A:$A,0)))</f>
        <v/>
      </c>
      <c r="W26" s="13" t="str">
        <f>IF($F26="","",INDEX(C_FuelStreams!BX:BX,MATCH($C26,C_FuelStreams!$A:$A,0)))</f>
        <v/>
      </c>
      <c r="X26" s="756" t="str">
        <f>IF($F26="","",INDEX(C_FuelStreams!BY:BY,MATCH($C26,C_FuelStreams!$A:$A,0)))</f>
        <v/>
      </c>
      <c r="Y26" s="13" t="str">
        <f>IF($F26="","",INDEX(C_FuelStreams!BZ:BZ,MATCH($C26,C_FuelStreams!$A:$A,0)))</f>
        <v/>
      </c>
      <c r="Z26" s="13" t="str">
        <f>IF($F26="","",INDEX(C_FuelStreams!CA:CA,MATCH($C26,C_FuelStreams!$A:$A,0)))</f>
        <v/>
      </c>
      <c r="AA26" s="13" t="str">
        <f>IF($F26="","",INDEX(C_FuelStreams!CB:CB,MATCH($C26,C_FuelStreams!$A:$A,0)))</f>
        <v/>
      </c>
      <c r="AB26" s="13" t="str">
        <f>IF($F26="","",INDEX(C_FuelStreams!CC:CC,MATCH($C26,C_FuelStreams!$A:$A,0)))</f>
        <v/>
      </c>
      <c r="AC26" s="13" t="str">
        <f>IF($F26="","",INDEX(C_FuelStreams!CD:CD,MATCH($C26,C_FuelStreams!$A:$A,0)))</f>
        <v/>
      </c>
      <c r="AD26" s="757" t="str">
        <f>IF($F26="","",INDEX(C_FuelStreams!CE:CE,MATCH($C26,C_FuelStreams!$A:$A,0)))</f>
        <v/>
      </c>
      <c r="AE26" s="757" t="str">
        <f>IF($F26="","",INDEX(C_FuelStreams!CF:CF,MATCH($C26,C_FuelStreams!$A:$A,0)))</f>
        <v/>
      </c>
      <c r="AF26" s="757" t="str">
        <f>IF($F26="","",INDEX(C_FuelStreams!CG:CG,MATCH($C26,C_FuelStreams!$A:$A,0)))</f>
        <v/>
      </c>
      <c r="AG26" s="757" t="str">
        <f>IF($F26="","",INDEX(C_FuelStreams!CH:CH,MATCH($C26,C_FuelStreams!$A:$A,0)))</f>
        <v/>
      </c>
      <c r="AH26" s="757" t="str">
        <f>IF($F26="","",INDEX(C_FuelStreams!CI:CI,MATCH($C26,C_FuelStreams!$A:$A,0)))</f>
        <v/>
      </c>
      <c r="AI26" s="757" t="str">
        <f>IF($F26="","",INDEX(C_FuelStreams!CJ:CJ,MATCH($C26,C_FuelStreams!$A:$A,0)))</f>
        <v/>
      </c>
      <c r="AJ26" s="757" t="str">
        <f>IF($F26="","",INDEX(C_FuelStreams!CK:CK,MATCH($C26,C_FuelStreams!$A:$A,0)))</f>
        <v/>
      </c>
      <c r="AK26" s="757" t="str">
        <f>IF($F26="","",INDEX(C_FuelStreams!CL:CL,MATCH($C26,C_FuelStreams!$A:$A,0)))</f>
        <v/>
      </c>
      <c r="AL26" s="757" t="str">
        <f>IF($F26="","",INDEX(C_FuelStreams!CM:CM,MATCH($C26,C_FuelStreams!$A:$A,0)))</f>
        <v/>
      </c>
      <c r="AM26" s="757" t="str">
        <f>IF($F26="","",INDEX(C_FuelStreams!CN:CN,MATCH($C26,C_FuelStreams!$A:$A,0)))</f>
        <v/>
      </c>
      <c r="AN26" s="757" t="str">
        <f>IF($F26="","",INDEX(C_FuelStreams!CO:CO,MATCH($C26,C_FuelStreams!$A:$A,0)))</f>
        <v/>
      </c>
      <c r="AO26" s="759" t="str">
        <f>IF($F26="","",INDEX(C_FuelStreams!BK:BK,MATCH($C26,C_FuelStreams!$A:$A,0)+3))</f>
        <v/>
      </c>
      <c r="AP26" s="759" t="str">
        <f>IF($F26="","",INDEX(C_FuelStreams!BL:BL,MATCH($C26,C_FuelStreams!$A:$A,0)+3))</f>
        <v/>
      </c>
      <c r="AQ26" s="759" t="str">
        <f>IF($F26="","",INDEX(C_FuelStreams!BM:BM,MATCH($C26,C_FuelStreams!$A:$A,0)+3))</f>
        <v/>
      </c>
      <c r="AR26" s="757" t="str">
        <f>IF($F26="","",INDEX(C_FuelStreams!CP:CP,MATCH($C26,C_FuelStreams!$A:$A,0)))</f>
        <v/>
      </c>
      <c r="AT26" s="514" t="str">
        <f>IF($F26="","",INDEX(B_IdentifyFuelStreams!$E$67:$E$116,MATCH($F26,CNTR_SourceStreamNames,0)))</f>
        <v/>
      </c>
      <c r="AU26" s="514" t="str">
        <f>IF($F26="","",INDEX(B_IdentifyFuelStreams!$I$67:$I$116,MATCH($F26,CNTR_SourceStreamNames,0)))</f>
        <v/>
      </c>
      <c r="AV26" s="514" t="str">
        <f>IF($F26="","",IF(INDEX(B_IdentifyFuelStreams!$L$67:$L$116,MATCH($F26,CNTR_SourceStreamNames,0))="","",INDEX(B_IdentifyFuelStreams!$L$67:$L$116,MATCH($F26,CNTR_SourceStreamNames,0))))</f>
        <v/>
      </c>
    </row>
    <row r="27" spans="3:48" x14ac:dyDescent="0.25">
      <c r="C27" s="751">
        <f t="shared" si="2"/>
        <v>15</v>
      </c>
      <c r="D27" s="751" t="str">
        <f t="shared" si="1"/>
        <v/>
      </c>
      <c r="E27" s="754" t="str">
        <f t="shared" si="0"/>
        <v/>
      </c>
      <c r="F27" s="755" t="str">
        <f>IF(INDEX(C_FuelStreams!BI:BI,MATCH($C27,C_FuelStreams!$A:$A,0))="","",INDEX(C_FuelStreams!BI:BI,MATCH($C27,C_FuelStreams!$A:$A,0)))</f>
        <v/>
      </c>
      <c r="G27" s="755" t="str">
        <f>IF(F27="","",INDEX(C_FuelStreams!K:K,MATCH($C27,C_FuelStreams!$A:$A,0)))</f>
        <v/>
      </c>
      <c r="H27" s="755" t="str">
        <f>IF(F27="","",INDEX(C_FuelStreams!K:K,MATCH($C27,C_FuelStreams!$A:$A,0)+1))</f>
        <v/>
      </c>
      <c r="I27" s="756" t="str">
        <f>IF($F27="","",INDEX(C_FuelStreams!BJ:BJ,MATCH($C27,C_FuelStreams!$A:$A,0)))</f>
        <v/>
      </c>
      <c r="J27" s="757" t="str">
        <f>IF($F27="","",INDEX(C_FuelStreams!BK:BK,MATCH($C27,C_FuelStreams!$A:$A,0)))</f>
        <v/>
      </c>
      <c r="K27" s="757" t="str">
        <f>IF($F27="","",SUM(J27)-INDEX(C_FuelStreams!BL:BL,MATCH($C27,C_FuelStreams!$A:$A,0)))</f>
        <v/>
      </c>
      <c r="L27" s="756" t="str">
        <f>IF($F27="","",INDEX(C_FuelStreams!BM:BM,MATCH($C27,C_FuelStreams!$A:$A,0)))</f>
        <v/>
      </c>
      <c r="M27" s="756" t="str">
        <f>IF($F27="","",INDEX(C_FuelStreams!BN:BN,MATCH($C27,C_FuelStreams!$A:$A,0)))</f>
        <v/>
      </c>
      <c r="N27" s="754" t="str">
        <f>IF($F27="","",INDEX(C_FuelStreams!BO:BO,MATCH($C27,C_FuelStreams!$A:$A,0)))</f>
        <v/>
      </c>
      <c r="O27" s="18" t="str">
        <f>IF($F27="","",INDEX(C_FuelStreams!BP:BP,MATCH($C27,C_FuelStreams!$A:$A,0)))</f>
        <v/>
      </c>
      <c r="P27" s="756" t="str">
        <f>IF($F27="","",INDEX(C_FuelStreams!BQ:BQ,MATCH($C27,C_FuelStreams!$A:$A,0)))</f>
        <v/>
      </c>
      <c r="Q27" s="758" t="str">
        <f>IF($F27="","",INDEX(C_FuelStreams!BR:BR,MATCH($C27,C_FuelStreams!$A:$A,0)))</f>
        <v/>
      </c>
      <c r="R27" s="756" t="str">
        <f>IF($F27="","",INDEX(C_FuelStreams!BS:BS,MATCH($C27,C_FuelStreams!$A:$A,0)))</f>
        <v/>
      </c>
      <c r="S27" s="756" t="str">
        <f>IF($F27="","",INDEX(C_FuelStreams!BT:BT,MATCH($C27,C_FuelStreams!$A:$A,0)))</f>
        <v/>
      </c>
      <c r="T27" s="758" t="str">
        <f>IF($F27="","",INDEX(C_FuelStreams!BU:BU,MATCH($C27,C_FuelStreams!$A:$A,0)))</f>
        <v/>
      </c>
      <c r="U27" s="756" t="str">
        <f>IF($F27="","",INDEX(C_FuelStreams!BV:BV,MATCH($C27,C_FuelStreams!$A:$A,0)))</f>
        <v/>
      </c>
      <c r="V27" s="756" t="str">
        <f>IF($F27="","",INDEX(C_FuelStreams!BW:BW,MATCH($C27,C_FuelStreams!$A:$A,0)))</f>
        <v/>
      </c>
      <c r="W27" s="13" t="str">
        <f>IF($F27="","",INDEX(C_FuelStreams!BX:BX,MATCH($C27,C_FuelStreams!$A:$A,0)))</f>
        <v/>
      </c>
      <c r="X27" s="756" t="str">
        <f>IF($F27="","",INDEX(C_FuelStreams!BY:BY,MATCH($C27,C_FuelStreams!$A:$A,0)))</f>
        <v/>
      </c>
      <c r="Y27" s="13" t="str">
        <f>IF($F27="","",INDEX(C_FuelStreams!BZ:BZ,MATCH($C27,C_FuelStreams!$A:$A,0)))</f>
        <v/>
      </c>
      <c r="Z27" s="13" t="str">
        <f>IF($F27="","",INDEX(C_FuelStreams!CA:CA,MATCH($C27,C_FuelStreams!$A:$A,0)))</f>
        <v/>
      </c>
      <c r="AA27" s="13" t="str">
        <f>IF($F27="","",INDEX(C_FuelStreams!CB:CB,MATCH($C27,C_FuelStreams!$A:$A,0)))</f>
        <v/>
      </c>
      <c r="AB27" s="13" t="str">
        <f>IF($F27="","",INDEX(C_FuelStreams!CC:CC,MATCH($C27,C_FuelStreams!$A:$A,0)))</f>
        <v/>
      </c>
      <c r="AC27" s="13" t="str">
        <f>IF($F27="","",INDEX(C_FuelStreams!CD:CD,MATCH($C27,C_FuelStreams!$A:$A,0)))</f>
        <v/>
      </c>
      <c r="AD27" s="757" t="str">
        <f>IF($F27="","",INDEX(C_FuelStreams!CE:CE,MATCH($C27,C_FuelStreams!$A:$A,0)))</f>
        <v/>
      </c>
      <c r="AE27" s="757" t="str">
        <f>IF($F27="","",INDEX(C_FuelStreams!CF:CF,MATCH($C27,C_FuelStreams!$A:$A,0)))</f>
        <v/>
      </c>
      <c r="AF27" s="757" t="str">
        <f>IF($F27="","",INDEX(C_FuelStreams!CG:CG,MATCH($C27,C_FuelStreams!$A:$A,0)))</f>
        <v/>
      </c>
      <c r="AG27" s="757" t="str">
        <f>IF($F27="","",INDEX(C_FuelStreams!CH:CH,MATCH($C27,C_FuelStreams!$A:$A,0)))</f>
        <v/>
      </c>
      <c r="AH27" s="757" t="str">
        <f>IF($F27="","",INDEX(C_FuelStreams!CI:CI,MATCH($C27,C_FuelStreams!$A:$A,0)))</f>
        <v/>
      </c>
      <c r="AI27" s="757" t="str">
        <f>IF($F27="","",INDEX(C_FuelStreams!CJ:CJ,MATCH($C27,C_FuelStreams!$A:$A,0)))</f>
        <v/>
      </c>
      <c r="AJ27" s="757" t="str">
        <f>IF($F27="","",INDEX(C_FuelStreams!CK:CK,MATCH($C27,C_FuelStreams!$A:$A,0)))</f>
        <v/>
      </c>
      <c r="AK27" s="757" t="str">
        <f>IF($F27="","",INDEX(C_FuelStreams!CL:CL,MATCH($C27,C_FuelStreams!$A:$A,0)))</f>
        <v/>
      </c>
      <c r="AL27" s="757" t="str">
        <f>IF($F27="","",INDEX(C_FuelStreams!CM:CM,MATCH($C27,C_FuelStreams!$A:$A,0)))</f>
        <v/>
      </c>
      <c r="AM27" s="757" t="str">
        <f>IF($F27="","",INDEX(C_FuelStreams!CN:CN,MATCH($C27,C_FuelStreams!$A:$A,0)))</f>
        <v/>
      </c>
      <c r="AN27" s="757" t="str">
        <f>IF($F27="","",INDEX(C_FuelStreams!CO:CO,MATCH($C27,C_FuelStreams!$A:$A,0)))</f>
        <v/>
      </c>
      <c r="AO27" s="759" t="str">
        <f>IF($F27="","",INDEX(C_FuelStreams!BK:BK,MATCH($C27,C_FuelStreams!$A:$A,0)+3))</f>
        <v/>
      </c>
      <c r="AP27" s="759" t="str">
        <f>IF($F27="","",INDEX(C_FuelStreams!BL:BL,MATCH($C27,C_FuelStreams!$A:$A,0)+3))</f>
        <v/>
      </c>
      <c r="AQ27" s="759" t="str">
        <f>IF($F27="","",INDEX(C_FuelStreams!BM:BM,MATCH($C27,C_FuelStreams!$A:$A,0)+3))</f>
        <v/>
      </c>
      <c r="AR27" s="757" t="str">
        <f>IF($F27="","",INDEX(C_FuelStreams!CP:CP,MATCH($C27,C_FuelStreams!$A:$A,0)))</f>
        <v/>
      </c>
      <c r="AT27" s="514" t="str">
        <f>IF($F27="","",INDEX(B_IdentifyFuelStreams!$E$67:$E$116,MATCH($F27,CNTR_SourceStreamNames,0)))</f>
        <v/>
      </c>
      <c r="AU27" s="514" t="str">
        <f>IF($F27="","",INDEX(B_IdentifyFuelStreams!$I$67:$I$116,MATCH($F27,CNTR_SourceStreamNames,0)))</f>
        <v/>
      </c>
      <c r="AV27" s="514" t="str">
        <f>IF($F27="","",IF(INDEX(B_IdentifyFuelStreams!$L$67:$L$116,MATCH($F27,CNTR_SourceStreamNames,0))="","",INDEX(B_IdentifyFuelStreams!$L$67:$L$116,MATCH($F27,CNTR_SourceStreamNames,0))))</f>
        <v/>
      </c>
    </row>
    <row r="28" spans="3:48" x14ac:dyDescent="0.25">
      <c r="C28" s="751">
        <f t="shared" si="2"/>
        <v>16</v>
      </c>
      <c r="D28" s="751" t="str">
        <f t="shared" si="1"/>
        <v/>
      </c>
      <c r="E28" s="754" t="str">
        <f t="shared" si="0"/>
        <v/>
      </c>
      <c r="F28" s="755" t="str">
        <f>IF(INDEX(C_FuelStreams!BI:BI,MATCH($C28,C_FuelStreams!$A:$A,0))="","",INDEX(C_FuelStreams!BI:BI,MATCH($C28,C_FuelStreams!$A:$A,0)))</f>
        <v/>
      </c>
      <c r="G28" s="755" t="str">
        <f>IF(F28="","",INDEX(C_FuelStreams!K:K,MATCH($C28,C_FuelStreams!$A:$A,0)))</f>
        <v/>
      </c>
      <c r="H28" s="755" t="str">
        <f>IF(F28="","",INDEX(C_FuelStreams!K:K,MATCH($C28,C_FuelStreams!$A:$A,0)+1))</f>
        <v/>
      </c>
      <c r="I28" s="756" t="str">
        <f>IF($F28="","",INDEX(C_FuelStreams!BJ:BJ,MATCH($C28,C_FuelStreams!$A:$A,0)))</f>
        <v/>
      </c>
      <c r="J28" s="757" t="str">
        <f>IF($F28="","",INDEX(C_FuelStreams!BK:BK,MATCH($C28,C_FuelStreams!$A:$A,0)))</f>
        <v/>
      </c>
      <c r="K28" s="757" t="str">
        <f>IF($F28="","",SUM(J28)-INDEX(C_FuelStreams!BL:BL,MATCH($C28,C_FuelStreams!$A:$A,0)))</f>
        <v/>
      </c>
      <c r="L28" s="756" t="str">
        <f>IF($F28="","",INDEX(C_FuelStreams!BM:BM,MATCH($C28,C_FuelStreams!$A:$A,0)))</f>
        <v/>
      </c>
      <c r="M28" s="756" t="str">
        <f>IF($F28="","",INDEX(C_FuelStreams!BN:BN,MATCH($C28,C_FuelStreams!$A:$A,0)))</f>
        <v/>
      </c>
      <c r="N28" s="754" t="str">
        <f>IF($F28="","",INDEX(C_FuelStreams!BO:BO,MATCH($C28,C_FuelStreams!$A:$A,0)))</f>
        <v/>
      </c>
      <c r="O28" s="18" t="str">
        <f>IF($F28="","",INDEX(C_FuelStreams!BP:BP,MATCH($C28,C_FuelStreams!$A:$A,0)))</f>
        <v/>
      </c>
      <c r="P28" s="756" t="str">
        <f>IF($F28="","",INDEX(C_FuelStreams!BQ:BQ,MATCH($C28,C_FuelStreams!$A:$A,0)))</f>
        <v/>
      </c>
      <c r="Q28" s="758" t="str">
        <f>IF($F28="","",INDEX(C_FuelStreams!BR:BR,MATCH($C28,C_FuelStreams!$A:$A,0)))</f>
        <v/>
      </c>
      <c r="R28" s="756" t="str">
        <f>IF($F28="","",INDEX(C_FuelStreams!BS:BS,MATCH($C28,C_FuelStreams!$A:$A,0)))</f>
        <v/>
      </c>
      <c r="S28" s="756" t="str">
        <f>IF($F28="","",INDEX(C_FuelStreams!BT:BT,MATCH($C28,C_FuelStreams!$A:$A,0)))</f>
        <v/>
      </c>
      <c r="T28" s="758" t="str">
        <f>IF($F28="","",INDEX(C_FuelStreams!BU:BU,MATCH($C28,C_FuelStreams!$A:$A,0)))</f>
        <v/>
      </c>
      <c r="U28" s="756" t="str">
        <f>IF($F28="","",INDEX(C_FuelStreams!BV:BV,MATCH($C28,C_FuelStreams!$A:$A,0)))</f>
        <v/>
      </c>
      <c r="V28" s="756" t="str">
        <f>IF($F28="","",INDEX(C_FuelStreams!BW:BW,MATCH($C28,C_FuelStreams!$A:$A,0)))</f>
        <v/>
      </c>
      <c r="W28" s="13" t="str">
        <f>IF($F28="","",INDEX(C_FuelStreams!BX:BX,MATCH($C28,C_FuelStreams!$A:$A,0)))</f>
        <v/>
      </c>
      <c r="X28" s="756" t="str">
        <f>IF($F28="","",INDEX(C_FuelStreams!BY:BY,MATCH($C28,C_FuelStreams!$A:$A,0)))</f>
        <v/>
      </c>
      <c r="Y28" s="13" t="str">
        <f>IF($F28="","",INDEX(C_FuelStreams!BZ:BZ,MATCH($C28,C_FuelStreams!$A:$A,0)))</f>
        <v/>
      </c>
      <c r="Z28" s="13" t="str">
        <f>IF($F28="","",INDEX(C_FuelStreams!CA:CA,MATCH($C28,C_FuelStreams!$A:$A,0)))</f>
        <v/>
      </c>
      <c r="AA28" s="13" t="str">
        <f>IF($F28="","",INDEX(C_FuelStreams!CB:CB,MATCH($C28,C_FuelStreams!$A:$A,0)))</f>
        <v/>
      </c>
      <c r="AB28" s="13" t="str">
        <f>IF($F28="","",INDEX(C_FuelStreams!CC:CC,MATCH($C28,C_FuelStreams!$A:$A,0)))</f>
        <v/>
      </c>
      <c r="AC28" s="13" t="str">
        <f>IF($F28="","",INDEX(C_FuelStreams!CD:CD,MATCH($C28,C_FuelStreams!$A:$A,0)))</f>
        <v/>
      </c>
      <c r="AD28" s="757" t="str">
        <f>IF($F28="","",INDEX(C_FuelStreams!CE:CE,MATCH($C28,C_FuelStreams!$A:$A,0)))</f>
        <v/>
      </c>
      <c r="AE28" s="757" t="str">
        <f>IF($F28="","",INDEX(C_FuelStreams!CF:CF,MATCH($C28,C_FuelStreams!$A:$A,0)))</f>
        <v/>
      </c>
      <c r="AF28" s="757" t="str">
        <f>IF($F28="","",INDEX(C_FuelStreams!CG:CG,MATCH($C28,C_FuelStreams!$A:$A,0)))</f>
        <v/>
      </c>
      <c r="AG28" s="757" t="str">
        <f>IF($F28="","",INDEX(C_FuelStreams!CH:CH,MATCH($C28,C_FuelStreams!$A:$A,0)))</f>
        <v/>
      </c>
      <c r="AH28" s="757" t="str">
        <f>IF($F28="","",INDEX(C_FuelStreams!CI:CI,MATCH($C28,C_FuelStreams!$A:$A,0)))</f>
        <v/>
      </c>
      <c r="AI28" s="757" t="str">
        <f>IF($F28="","",INDEX(C_FuelStreams!CJ:CJ,MATCH($C28,C_FuelStreams!$A:$A,0)))</f>
        <v/>
      </c>
      <c r="AJ28" s="757" t="str">
        <f>IF($F28="","",INDEX(C_FuelStreams!CK:CK,MATCH($C28,C_FuelStreams!$A:$A,0)))</f>
        <v/>
      </c>
      <c r="AK28" s="757" t="str">
        <f>IF($F28="","",INDEX(C_FuelStreams!CL:CL,MATCH($C28,C_FuelStreams!$A:$A,0)))</f>
        <v/>
      </c>
      <c r="AL28" s="757" t="str">
        <f>IF($F28="","",INDEX(C_FuelStreams!CM:CM,MATCH($C28,C_FuelStreams!$A:$A,0)))</f>
        <v/>
      </c>
      <c r="AM28" s="757" t="str">
        <f>IF($F28="","",INDEX(C_FuelStreams!CN:CN,MATCH($C28,C_FuelStreams!$A:$A,0)))</f>
        <v/>
      </c>
      <c r="AN28" s="757" t="str">
        <f>IF($F28="","",INDEX(C_FuelStreams!CO:CO,MATCH($C28,C_FuelStreams!$A:$A,0)))</f>
        <v/>
      </c>
      <c r="AO28" s="759" t="str">
        <f>IF($F28="","",INDEX(C_FuelStreams!BK:BK,MATCH($C28,C_FuelStreams!$A:$A,0)+3))</f>
        <v/>
      </c>
      <c r="AP28" s="759" t="str">
        <f>IF($F28="","",INDEX(C_FuelStreams!BL:BL,MATCH($C28,C_FuelStreams!$A:$A,0)+3))</f>
        <v/>
      </c>
      <c r="AQ28" s="759" t="str">
        <f>IF($F28="","",INDEX(C_FuelStreams!BM:BM,MATCH($C28,C_FuelStreams!$A:$A,0)+3))</f>
        <v/>
      </c>
      <c r="AR28" s="757" t="str">
        <f>IF($F28="","",INDEX(C_FuelStreams!CP:CP,MATCH($C28,C_FuelStreams!$A:$A,0)))</f>
        <v/>
      </c>
      <c r="AT28" s="514" t="str">
        <f>IF($F28="","",INDEX(B_IdentifyFuelStreams!$E$67:$E$116,MATCH($F28,CNTR_SourceStreamNames,0)))</f>
        <v/>
      </c>
      <c r="AU28" s="514" t="str">
        <f>IF($F28="","",INDEX(B_IdentifyFuelStreams!$I$67:$I$116,MATCH($F28,CNTR_SourceStreamNames,0)))</f>
        <v/>
      </c>
      <c r="AV28" s="514" t="str">
        <f>IF($F28="","",IF(INDEX(B_IdentifyFuelStreams!$L$67:$L$116,MATCH($F28,CNTR_SourceStreamNames,0))="","",INDEX(B_IdentifyFuelStreams!$L$67:$L$116,MATCH($F28,CNTR_SourceStreamNames,0))))</f>
        <v/>
      </c>
    </row>
    <row r="29" spans="3:48" x14ac:dyDescent="0.25">
      <c r="C29" s="751">
        <f t="shared" si="2"/>
        <v>17</v>
      </c>
      <c r="D29" s="751" t="str">
        <f t="shared" si="1"/>
        <v/>
      </c>
      <c r="E29" s="754" t="str">
        <f t="shared" si="0"/>
        <v/>
      </c>
      <c r="F29" s="755" t="str">
        <f>IF(INDEX(C_FuelStreams!BI:BI,MATCH($C29,C_FuelStreams!$A:$A,0))="","",INDEX(C_FuelStreams!BI:BI,MATCH($C29,C_FuelStreams!$A:$A,0)))</f>
        <v/>
      </c>
      <c r="G29" s="755" t="str">
        <f>IF(F29="","",INDEX(C_FuelStreams!K:K,MATCH($C29,C_FuelStreams!$A:$A,0)))</f>
        <v/>
      </c>
      <c r="H29" s="755" t="str">
        <f>IF(F29="","",INDEX(C_FuelStreams!K:K,MATCH($C29,C_FuelStreams!$A:$A,0)+1))</f>
        <v/>
      </c>
      <c r="I29" s="756" t="str">
        <f>IF($F29="","",INDEX(C_FuelStreams!BJ:BJ,MATCH($C29,C_FuelStreams!$A:$A,0)))</f>
        <v/>
      </c>
      <c r="J29" s="757" t="str">
        <f>IF($F29="","",INDEX(C_FuelStreams!BK:BK,MATCH($C29,C_FuelStreams!$A:$A,0)))</f>
        <v/>
      </c>
      <c r="K29" s="757" t="str">
        <f>IF($F29="","",SUM(J29)-INDEX(C_FuelStreams!BL:BL,MATCH($C29,C_FuelStreams!$A:$A,0)))</f>
        <v/>
      </c>
      <c r="L29" s="756" t="str">
        <f>IF($F29="","",INDEX(C_FuelStreams!BM:BM,MATCH($C29,C_FuelStreams!$A:$A,0)))</f>
        <v/>
      </c>
      <c r="M29" s="756" t="str">
        <f>IF($F29="","",INDEX(C_FuelStreams!BN:BN,MATCH($C29,C_FuelStreams!$A:$A,0)))</f>
        <v/>
      </c>
      <c r="N29" s="754" t="str">
        <f>IF($F29="","",INDEX(C_FuelStreams!BO:BO,MATCH($C29,C_FuelStreams!$A:$A,0)))</f>
        <v/>
      </c>
      <c r="O29" s="18" t="str">
        <f>IF($F29="","",INDEX(C_FuelStreams!BP:BP,MATCH($C29,C_FuelStreams!$A:$A,0)))</f>
        <v/>
      </c>
      <c r="P29" s="756" t="str">
        <f>IF($F29="","",INDEX(C_FuelStreams!BQ:BQ,MATCH($C29,C_FuelStreams!$A:$A,0)))</f>
        <v/>
      </c>
      <c r="Q29" s="758" t="str">
        <f>IF($F29="","",INDEX(C_FuelStreams!BR:BR,MATCH($C29,C_FuelStreams!$A:$A,0)))</f>
        <v/>
      </c>
      <c r="R29" s="756" t="str">
        <f>IF($F29="","",INDEX(C_FuelStreams!BS:BS,MATCH($C29,C_FuelStreams!$A:$A,0)))</f>
        <v/>
      </c>
      <c r="S29" s="756" t="str">
        <f>IF($F29="","",INDEX(C_FuelStreams!BT:BT,MATCH($C29,C_FuelStreams!$A:$A,0)))</f>
        <v/>
      </c>
      <c r="T29" s="758" t="str">
        <f>IF($F29="","",INDEX(C_FuelStreams!BU:BU,MATCH($C29,C_FuelStreams!$A:$A,0)))</f>
        <v/>
      </c>
      <c r="U29" s="756" t="str">
        <f>IF($F29="","",INDEX(C_FuelStreams!BV:BV,MATCH($C29,C_FuelStreams!$A:$A,0)))</f>
        <v/>
      </c>
      <c r="V29" s="756" t="str">
        <f>IF($F29="","",INDEX(C_FuelStreams!BW:BW,MATCH($C29,C_FuelStreams!$A:$A,0)))</f>
        <v/>
      </c>
      <c r="W29" s="13" t="str">
        <f>IF($F29="","",INDEX(C_FuelStreams!BX:BX,MATCH($C29,C_FuelStreams!$A:$A,0)))</f>
        <v/>
      </c>
      <c r="X29" s="756" t="str">
        <f>IF($F29="","",INDEX(C_FuelStreams!BY:BY,MATCH($C29,C_FuelStreams!$A:$A,0)))</f>
        <v/>
      </c>
      <c r="Y29" s="13" t="str">
        <f>IF($F29="","",INDEX(C_FuelStreams!BZ:BZ,MATCH($C29,C_FuelStreams!$A:$A,0)))</f>
        <v/>
      </c>
      <c r="Z29" s="13" t="str">
        <f>IF($F29="","",INDEX(C_FuelStreams!CA:CA,MATCH($C29,C_FuelStreams!$A:$A,0)))</f>
        <v/>
      </c>
      <c r="AA29" s="13" t="str">
        <f>IF($F29="","",INDEX(C_FuelStreams!CB:CB,MATCH($C29,C_FuelStreams!$A:$A,0)))</f>
        <v/>
      </c>
      <c r="AB29" s="13" t="str">
        <f>IF($F29="","",INDEX(C_FuelStreams!CC:CC,MATCH($C29,C_FuelStreams!$A:$A,0)))</f>
        <v/>
      </c>
      <c r="AC29" s="13" t="str">
        <f>IF($F29="","",INDEX(C_FuelStreams!CD:CD,MATCH($C29,C_FuelStreams!$A:$A,0)))</f>
        <v/>
      </c>
      <c r="AD29" s="757" t="str">
        <f>IF($F29="","",INDEX(C_FuelStreams!CE:CE,MATCH($C29,C_FuelStreams!$A:$A,0)))</f>
        <v/>
      </c>
      <c r="AE29" s="757" t="str">
        <f>IF($F29="","",INDEX(C_FuelStreams!CF:CF,MATCH($C29,C_FuelStreams!$A:$A,0)))</f>
        <v/>
      </c>
      <c r="AF29" s="757" t="str">
        <f>IF($F29="","",INDEX(C_FuelStreams!CG:CG,MATCH($C29,C_FuelStreams!$A:$A,0)))</f>
        <v/>
      </c>
      <c r="AG29" s="757" t="str">
        <f>IF($F29="","",INDEX(C_FuelStreams!CH:CH,MATCH($C29,C_FuelStreams!$A:$A,0)))</f>
        <v/>
      </c>
      <c r="AH29" s="757" t="str">
        <f>IF($F29="","",INDEX(C_FuelStreams!CI:CI,MATCH($C29,C_FuelStreams!$A:$A,0)))</f>
        <v/>
      </c>
      <c r="AI29" s="757" t="str">
        <f>IF($F29="","",INDEX(C_FuelStreams!CJ:CJ,MATCH($C29,C_FuelStreams!$A:$A,0)))</f>
        <v/>
      </c>
      <c r="AJ29" s="757" t="str">
        <f>IF($F29="","",INDEX(C_FuelStreams!CK:CK,MATCH($C29,C_FuelStreams!$A:$A,0)))</f>
        <v/>
      </c>
      <c r="AK29" s="757" t="str">
        <f>IF($F29="","",INDEX(C_FuelStreams!CL:CL,MATCH($C29,C_FuelStreams!$A:$A,0)))</f>
        <v/>
      </c>
      <c r="AL29" s="757" t="str">
        <f>IF($F29="","",INDEX(C_FuelStreams!CM:CM,MATCH($C29,C_FuelStreams!$A:$A,0)))</f>
        <v/>
      </c>
      <c r="AM29" s="757" t="str">
        <f>IF($F29="","",INDEX(C_FuelStreams!CN:CN,MATCH($C29,C_FuelStreams!$A:$A,0)))</f>
        <v/>
      </c>
      <c r="AN29" s="757" t="str">
        <f>IF($F29="","",INDEX(C_FuelStreams!CO:CO,MATCH($C29,C_FuelStreams!$A:$A,0)))</f>
        <v/>
      </c>
      <c r="AO29" s="759" t="str">
        <f>IF($F29="","",INDEX(C_FuelStreams!BK:BK,MATCH($C29,C_FuelStreams!$A:$A,0)+3))</f>
        <v/>
      </c>
      <c r="AP29" s="759" t="str">
        <f>IF($F29="","",INDEX(C_FuelStreams!BL:BL,MATCH($C29,C_FuelStreams!$A:$A,0)+3))</f>
        <v/>
      </c>
      <c r="AQ29" s="759" t="str">
        <f>IF($F29="","",INDEX(C_FuelStreams!BM:BM,MATCH($C29,C_FuelStreams!$A:$A,0)+3))</f>
        <v/>
      </c>
      <c r="AR29" s="757" t="str">
        <f>IF($F29="","",INDEX(C_FuelStreams!CP:CP,MATCH($C29,C_FuelStreams!$A:$A,0)))</f>
        <v/>
      </c>
      <c r="AT29" s="514" t="str">
        <f>IF($F29="","",INDEX(B_IdentifyFuelStreams!$E$67:$E$116,MATCH($F29,CNTR_SourceStreamNames,0)))</f>
        <v/>
      </c>
      <c r="AU29" s="514" t="str">
        <f>IF($F29="","",INDEX(B_IdentifyFuelStreams!$I$67:$I$116,MATCH($F29,CNTR_SourceStreamNames,0)))</f>
        <v/>
      </c>
      <c r="AV29" s="514" t="str">
        <f>IF($F29="","",IF(INDEX(B_IdentifyFuelStreams!$L$67:$L$116,MATCH($F29,CNTR_SourceStreamNames,0))="","",INDEX(B_IdentifyFuelStreams!$L$67:$L$116,MATCH($F29,CNTR_SourceStreamNames,0))))</f>
        <v/>
      </c>
    </row>
    <row r="30" spans="3:48" x14ac:dyDescent="0.25">
      <c r="C30" s="751">
        <f t="shared" si="2"/>
        <v>18</v>
      </c>
      <c r="D30" s="751" t="str">
        <f t="shared" si="1"/>
        <v/>
      </c>
      <c r="E30" s="754" t="str">
        <f t="shared" si="0"/>
        <v/>
      </c>
      <c r="F30" s="755" t="str">
        <f>IF(INDEX(C_FuelStreams!BI:BI,MATCH($C30,C_FuelStreams!$A:$A,0))="","",INDEX(C_FuelStreams!BI:BI,MATCH($C30,C_FuelStreams!$A:$A,0)))</f>
        <v/>
      </c>
      <c r="G30" s="755" t="str">
        <f>IF(F30="","",INDEX(C_FuelStreams!K:K,MATCH($C30,C_FuelStreams!$A:$A,0)))</f>
        <v/>
      </c>
      <c r="H30" s="755" t="str">
        <f>IF(F30="","",INDEX(C_FuelStreams!K:K,MATCH($C30,C_FuelStreams!$A:$A,0)+1))</f>
        <v/>
      </c>
      <c r="I30" s="756" t="str">
        <f>IF($F30="","",INDEX(C_FuelStreams!BJ:BJ,MATCH($C30,C_FuelStreams!$A:$A,0)))</f>
        <v/>
      </c>
      <c r="J30" s="757" t="str">
        <f>IF($F30="","",INDEX(C_FuelStreams!BK:BK,MATCH($C30,C_FuelStreams!$A:$A,0)))</f>
        <v/>
      </c>
      <c r="K30" s="757" t="str">
        <f>IF($F30="","",SUM(J30)-INDEX(C_FuelStreams!BL:BL,MATCH($C30,C_FuelStreams!$A:$A,0)))</f>
        <v/>
      </c>
      <c r="L30" s="756" t="str">
        <f>IF($F30="","",INDEX(C_FuelStreams!BM:BM,MATCH($C30,C_FuelStreams!$A:$A,0)))</f>
        <v/>
      </c>
      <c r="M30" s="756" t="str">
        <f>IF($F30="","",INDEX(C_FuelStreams!BN:BN,MATCH($C30,C_FuelStreams!$A:$A,0)))</f>
        <v/>
      </c>
      <c r="N30" s="754" t="str">
        <f>IF($F30="","",INDEX(C_FuelStreams!BO:BO,MATCH($C30,C_FuelStreams!$A:$A,0)))</f>
        <v/>
      </c>
      <c r="O30" s="18" t="str">
        <f>IF($F30="","",INDEX(C_FuelStreams!BP:BP,MATCH($C30,C_FuelStreams!$A:$A,0)))</f>
        <v/>
      </c>
      <c r="P30" s="756" t="str">
        <f>IF($F30="","",INDEX(C_FuelStreams!BQ:BQ,MATCH($C30,C_FuelStreams!$A:$A,0)))</f>
        <v/>
      </c>
      <c r="Q30" s="758" t="str">
        <f>IF($F30="","",INDEX(C_FuelStreams!BR:BR,MATCH($C30,C_FuelStreams!$A:$A,0)))</f>
        <v/>
      </c>
      <c r="R30" s="756" t="str">
        <f>IF($F30="","",INDEX(C_FuelStreams!BS:BS,MATCH($C30,C_FuelStreams!$A:$A,0)))</f>
        <v/>
      </c>
      <c r="S30" s="756" t="str">
        <f>IF($F30="","",INDEX(C_FuelStreams!BT:BT,MATCH($C30,C_FuelStreams!$A:$A,0)))</f>
        <v/>
      </c>
      <c r="T30" s="758" t="str">
        <f>IF($F30="","",INDEX(C_FuelStreams!BU:BU,MATCH($C30,C_FuelStreams!$A:$A,0)))</f>
        <v/>
      </c>
      <c r="U30" s="756" t="str">
        <f>IF($F30="","",INDEX(C_FuelStreams!BV:BV,MATCH($C30,C_FuelStreams!$A:$A,0)))</f>
        <v/>
      </c>
      <c r="V30" s="756" t="str">
        <f>IF($F30="","",INDEX(C_FuelStreams!BW:BW,MATCH($C30,C_FuelStreams!$A:$A,0)))</f>
        <v/>
      </c>
      <c r="W30" s="13" t="str">
        <f>IF($F30="","",INDEX(C_FuelStreams!BX:BX,MATCH($C30,C_FuelStreams!$A:$A,0)))</f>
        <v/>
      </c>
      <c r="X30" s="756" t="str">
        <f>IF($F30="","",INDEX(C_FuelStreams!BY:BY,MATCH($C30,C_FuelStreams!$A:$A,0)))</f>
        <v/>
      </c>
      <c r="Y30" s="13" t="str">
        <f>IF($F30="","",INDEX(C_FuelStreams!BZ:BZ,MATCH($C30,C_FuelStreams!$A:$A,0)))</f>
        <v/>
      </c>
      <c r="Z30" s="13" t="str">
        <f>IF($F30="","",INDEX(C_FuelStreams!CA:CA,MATCH($C30,C_FuelStreams!$A:$A,0)))</f>
        <v/>
      </c>
      <c r="AA30" s="13" t="str">
        <f>IF($F30="","",INDEX(C_FuelStreams!CB:CB,MATCH($C30,C_FuelStreams!$A:$A,0)))</f>
        <v/>
      </c>
      <c r="AB30" s="13" t="str">
        <f>IF($F30="","",INDEX(C_FuelStreams!CC:CC,MATCH($C30,C_FuelStreams!$A:$A,0)))</f>
        <v/>
      </c>
      <c r="AC30" s="13" t="str">
        <f>IF($F30="","",INDEX(C_FuelStreams!CD:CD,MATCH($C30,C_FuelStreams!$A:$A,0)))</f>
        <v/>
      </c>
      <c r="AD30" s="757" t="str">
        <f>IF($F30="","",INDEX(C_FuelStreams!CE:CE,MATCH($C30,C_FuelStreams!$A:$A,0)))</f>
        <v/>
      </c>
      <c r="AE30" s="757" t="str">
        <f>IF($F30="","",INDEX(C_FuelStreams!CF:CF,MATCH($C30,C_FuelStreams!$A:$A,0)))</f>
        <v/>
      </c>
      <c r="AF30" s="757" t="str">
        <f>IF($F30="","",INDEX(C_FuelStreams!CG:CG,MATCH($C30,C_FuelStreams!$A:$A,0)))</f>
        <v/>
      </c>
      <c r="AG30" s="757" t="str">
        <f>IF($F30="","",INDEX(C_FuelStreams!CH:CH,MATCH($C30,C_FuelStreams!$A:$A,0)))</f>
        <v/>
      </c>
      <c r="AH30" s="757" t="str">
        <f>IF($F30="","",INDEX(C_FuelStreams!CI:CI,MATCH($C30,C_FuelStreams!$A:$A,0)))</f>
        <v/>
      </c>
      <c r="AI30" s="757" t="str">
        <f>IF($F30="","",INDEX(C_FuelStreams!CJ:CJ,MATCH($C30,C_FuelStreams!$A:$A,0)))</f>
        <v/>
      </c>
      <c r="AJ30" s="757" t="str">
        <f>IF($F30="","",INDEX(C_FuelStreams!CK:CK,MATCH($C30,C_FuelStreams!$A:$A,0)))</f>
        <v/>
      </c>
      <c r="AK30" s="757" t="str">
        <f>IF($F30="","",INDEX(C_FuelStreams!CL:CL,MATCH($C30,C_FuelStreams!$A:$A,0)))</f>
        <v/>
      </c>
      <c r="AL30" s="757" t="str">
        <f>IF($F30="","",INDEX(C_FuelStreams!CM:CM,MATCH($C30,C_FuelStreams!$A:$A,0)))</f>
        <v/>
      </c>
      <c r="AM30" s="757" t="str">
        <f>IF($F30="","",INDEX(C_FuelStreams!CN:CN,MATCH($C30,C_FuelStreams!$A:$A,0)))</f>
        <v/>
      </c>
      <c r="AN30" s="757" t="str">
        <f>IF($F30="","",INDEX(C_FuelStreams!CO:CO,MATCH($C30,C_FuelStreams!$A:$A,0)))</f>
        <v/>
      </c>
      <c r="AO30" s="759" t="str">
        <f>IF($F30="","",INDEX(C_FuelStreams!BK:BK,MATCH($C30,C_FuelStreams!$A:$A,0)+3))</f>
        <v/>
      </c>
      <c r="AP30" s="759" t="str">
        <f>IF($F30="","",INDEX(C_FuelStreams!BL:BL,MATCH($C30,C_FuelStreams!$A:$A,0)+3))</f>
        <v/>
      </c>
      <c r="AQ30" s="759" t="str">
        <f>IF($F30="","",INDEX(C_FuelStreams!BM:BM,MATCH($C30,C_FuelStreams!$A:$A,0)+3))</f>
        <v/>
      </c>
      <c r="AR30" s="757" t="str">
        <f>IF($F30="","",INDEX(C_FuelStreams!CP:CP,MATCH($C30,C_FuelStreams!$A:$A,0)))</f>
        <v/>
      </c>
      <c r="AT30" s="514" t="str">
        <f>IF($F30="","",INDEX(B_IdentifyFuelStreams!$E$67:$E$116,MATCH($F30,CNTR_SourceStreamNames,0)))</f>
        <v/>
      </c>
      <c r="AU30" s="514" t="str">
        <f>IF($F30="","",INDEX(B_IdentifyFuelStreams!$I$67:$I$116,MATCH($F30,CNTR_SourceStreamNames,0)))</f>
        <v/>
      </c>
      <c r="AV30" s="514" t="str">
        <f>IF($F30="","",IF(INDEX(B_IdentifyFuelStreams!$L$67:$L$116,MATCH($F30,CNTR_SourceStreamNames,0))="","",INDEX(B_IdentifyFuelStreams!$L$67:$L$116,MATCH($F30,CNTR_SourceStreamNames,0))))</f>
        <v/>
      </c>
    </row>
    <row r="31" spans="3:48" x14ac:dyDescent="0.25">
      <c r="C31" s="751">
        <f t="shared" si="2"/>
        <v>19</v>
      </c>
      <c r="D31" s="751" t="str">
        <f t="shared" si="1"/>
        <v/>
      </c>
      <c r="E31" s="754" t="str">
        <f t="shared" si="0"/>
        <v/>
      </c>
      <c r="F31" s="755" t="str">
        <f>IF(INDEX(C_FuelStreams!BI:BI,MATCH($C31,C_FuelStreams!$A:$A,0))="","",INDEX(C_FuelStreams!BI:BI,MATCH($C31,C_FuelStreams!$A:$A,0)))</f>
        <v/>
      </c>
      <c r="G31" s="755" t="str">
        <f>IF(F31="","",INDEX(C_FuelStreams!K:K,MATCH($C31,C_FuelStreams!$A:$A,0)))</f>
        <v/>
      </c>
      <c r="H31" s="755" t="str">
        <f>IF(F31="","",INDEX(C_FuelStreams!K:K,MATCH($C31,C_FuelStreams!$A:$A,0)+1))</f>
        <v/>
      </c>
      <c r="I31" s="756" t="str">
        <f>IF($F31="","",INDEX(C_FuelStreams!BJ:BJ,MATCH($C31,C_FuelStreams!$A:$A,0)))</f>
        <v/>
      </c>
      <c r="J31" s="757" t="str">
        <f>IF($F31="","",INDEX(C_FuelStreams!BK:BK,MATCH($C31,C_FuelStreams!$A:$A,0)))</f>
        <v/>
      </c>
      <c r="K31" s="757" t="str">
        <f>IF($F31="","",SUM(J31)-INDEX(C_FuelStreams!BL:BL,MATCH($C31,C_FuelStreams!$A:$A,0)))</f>
        <v/>
      </c>
      <c r="L31" s="756" t="str">
        <f>IF($F31="","",INDEX(C_FuelStreams!BM:BM,MATCH($C31,C_FuelStreams!$A:$A,0)))</f>
        <v/>
      </c>
      <c r="M31" s="756" t="str">
        <f>IF($F31="","",INDEX(C_FuelStreams!BN:BN,MATCH($C31,C_FuelStreams!$A:$A,0)))</f>
        <v/>
      </c>
      <c r="N31" s="754" t="str">
        <f>IF($F31="","",INDEX(C_FuelStreams!BO:BO,MATCH($C31,C_FuelStreams!$A:$A,0)))</f>
        <v/>
      </c>
      <c r="O31" s="18" t="str">
        <f>IF($F31="","",INDEX(C_FuelStreams!BP:BP,MATCH($C31,C_FuelStreams!$A:$A,0)))</f>
        <v/>
      </c>
      <c r="P31" s="756" t="str">
        <f>IF($F31="","",INDEX(C_FuelStreams!BQ:BQ,MATCH($C31,C_FuelStreams!$A:$A,0)))</f>
        <v/>
      </c>
      <c r="Q31" s="758" t="str">
        <f>IF($F31="","",INDEX(C_FuelStreams!BR:BR,MATCH($C31,C_FuelStreams!$A:$A,0)))</f>
        <v/>
      </c>
      <c r="R31" s="756" t="str">
        <f>IF($F31="","",INDEX(C_FuelStreams!BS:BS,MATCH($C31,C_FuelStreams!$A:$A,0)))</f>
        <v/>
      </c>
      <c r="S31" s="756" t="str">
        <f>IF($F31="","",INDEX(C_FuelStreams!BT:BT,MATCH($C31,C_FuelStreams!$A:$A,0)))</f>
        <v/>
      </c>
      <c r="T31" s="758" t="str">
        <f>IF($F31="","",INDEX(C_FuelStreams!BU:BU,MATCH($C31,C_FuelStreams!$A:$A,0)))</f>
        <v/>
      </c>
      <c r="U31" s="756" t="str">
        <f>IF($F31="","",INDEX(C_FuelStreams!BV:BV,MATCH($C31,C_FuelStreams!$A:$A,0)))</f>
        <v/>
      </c>
      <c r="V31" s="756" t="str">
        <f>IF($F31="","",INDEX(C_FuelStreams!BW:BW,MATCH($C31,C_FuelStreams!$A:$A,0)))</f>
        <v/>
      </c>
      <c r="W31" s="13" t="str">
        <f>IF($F31="","",INDEX(C_FuelStreams!BX:BX,MATCH($C31,C_FuelStreams!$A:$A,0)))</f>
        <v/>
      </c>
      <c r="X31" s="756" t="str">
        <f>IF($F31="","",INDEX(C_FuelStreams!BY:BY,MATCH($C31,C_FuelStreams!$A:$A,0)))</f>
        <v/>
      </c>
      <c r="Y31" s="13" t="str">
        <f>IF($F31="","",INDEX(C_FuelStreams!BZ:BZ,MATCH($C31,C_FuelStreams!$A:$A,0)))</f>
        <v/>
      </c>
      <c r="Z31" s="13" t="str">
        <f>IF($F31="","",INDEX(C_FuelStreams!CA:CA,MATCH($C31,C_FuelStreams!$A:$A,0)))</f>
        <v/>
      </c>
      <c r="AA31" s="13" t="str">
        <f>IF($F31="","",INDEX(C_FuelStreams!CB:CB,MATCH($C31,C_FuelStreams!$A:$A,0)))</f>
        <v/>
      </c>
      <c r="AB31" s="13" t="str">
        <f>IF($F31="","",INDEX(C_FuelStreams!CC:CC,MATCH($C31,C_FuelStreams!$A:$A,0)))</f>
        <v/>
      </c>
      <c r="AC31" s="13" t="str">
        <f>IF($F31="","",INDEX(C_FuelStreams!CD:CD,MATCH($C31,C_FuelStreams!$A:$A,0)))</f>
        <v/>
      </c>
      <c r="AD31" s="757" t="str">
        <f>IF($F31="","",INDEX(C_FuelStreams!CE:CE,MATCH($C31,C_FuelStreams!$A:$A,0)))</f>
        <v/>
      </c>
      <c r="AE31" s="757" t="str">
        <f>IF($F31="","",INDEX(C_FuelStreams!CF:CF,MATCH($C31,C_FuelStreams!$A:$A,0)))</f>
        <v/>
      </c>
      <c r="AF31" s="757" t="str">
        <f>IF($F31="","",INDEX(C_FuelStreams!CG:CG,MATCH($C31,C_FuelStreams!$A:$A,0)))</f>
        <v/>
      </c>
      <c r="AG31" s="757" t="str">
        <f>IF($F31="","",INDEX(C_FuelStreams!CH:CH,MATCH($C31,C_FuelStreams!$A:$A,0)))</f>
        <v/>
      </c>
      <c r="AH31" s="757" t="str">
        <f>IF($F31="","",INDEX(C_FuelStreams!CI:CI,MATCH($C31,C_FuelStreams!$A:$A,0)))</f>
        <v/>
      </c>
      <c r="AI31" s="757" t="str">
        <f>IF($F31="","",INDEX(C_FuelStreams!CJ:CJ,MATCH($C31,C_FuelStreams!$A:$A,0)))</f>
        <v/>
      </c>
      <c r="AJ31" s="757" t="str">
        <f>IF($F31="","",INDEX(C_FuelStreams!CK:CK,MATCH($C31,C_FuelStreams!$A:$A,0)))</f>
        <v/>
      </c>
      <c r="AK31" s="757" t="str">
        <f>IF($F31="","",INDEX(C_FuelStreams!CL:CL,MATCH($C31,C_FuelStreams!$A:$A,0)))</f>
        <v/>
      </c>
      <c r="AL31" s="757" t="str">
        <f>IF($F31="","",INDEX(C_FuelStreams!CM:CM,MATCH($C31,C_FuelStreams!$A:$A,0)))</f>
        <v/>
      </c>
      <c r="AM31" s="757" t="str">
        <f>IF($F31="","",INDEX(C_FuelStreams!CN:CN,MATCH($C31,C_FuelStreams!$A:$A,0)))</f>
        <v/>
      </c>
      <c r="AN31" s="757" t="str">
        <f>IF($F31="","",INDEX(C_FuelStreams!CO:CO,MATCH($C31,C_FuelStreams!$A:$A,0)))</f>
        <v/>
      </c>
      <c r="AO31" s="759" t="str">
        <f>IF($F31="","",INDEX(C_FuelStreams!BK:BK,MATCH($C31,C_FuelStreams!$A:$A,0)+3))</f>
        <v/>
      </c>
      <c r="AP31" s="759" t="str">
        <f>IF($F31="","",INDEX(C_FuelStreams!BL:BL,MATCH($C31,C_FuelStreams!$A:$A,0)+3))</f>
        <v/>
      </c>
      <c r="AQ31" s="759" t="str">
        <f>IF($F31="","",INDEX(C_FuelStreams!BM:BM,MATCH($C31,C_FuelStreams!$A:$A,0)+3))</f>
        <v/>
      </c>
      <c r="AR31" s="757" t="str">
        <f>IF($F31="","",INDEX(C_FuelStreams!CP:CP,MATCH($C31,C_FuelStreams!$A:$A,0)))</f>
        <v/>
      </c>
      <c r="AT31" s="514" t="str">
        <f>IF($F31="","",INDEX(B_IdentifyFuelStreams!$E$67:$E$116,MATCH($F31,CNTR_SourceStreamNames,0)))</f>
        <v/>
      </c>
      <c r="AU31" s="514" t="str">
        <f>IF($F31="","",INDEX(B_IdentifyFuelStreams!$I$67:$I$116,MATCH($F31,CNTR_SourceStreamNames,0)))</f>
        <v/>
      </c>
      <c r="AV31" s="514" t="str">
        <f>IF($F31="","",IF(INDEX(B_IdentifyFuelStreams!$L$67:$L$116,MATCH($F31,CNTR_SourceStreamNames,0))="","",INDEX(B_IdentifyFuelStreams!$L$67:$L$116,MATCH($F31,CNTR_SourceStreamNames,0))))</f>
        <v/>
      </c>
    </row>
    <row r="32" spans="3:48" x14ac:dyDescent="0.25">
      <c r="C32" s="751">
        <f t="shared" si="2"/>
        <v>20</v>
      </c>
      <c r="D32" s="751" t="str">
        <f t="shared" ref="D32:D62" si="3">IF(F32="","",$D$8)</f>
        <v/>
      </c>
      <c r="E32" s="754" t="str">
        <f t="shared" ref="E32:E62" si="4">IF(F32="","",$E$8)</f>
        <v/>
      </c>
      <c r="F32" s="755" t="str">
        <f>IF(INDEX(C_FuelStreams!BI:BI,MATCH($C32,C_FuelStreams!$A:$A,0))="","",INDEX(C_FuelStreams!BI:BI,MATCH($C32,C_FuelStreams!$A:$A,0)))</f>
        <v/>
      </c>
      <c r="G32" s="755" t="str">
        <f>IF(F32="","",INDEX(C_FuelStreams!K:K,MATCH($C32,C_FuelStreams!$A:$A,0)))</f>
        <v/>
      </c>
      <c r="H32" s="755" t="str">
        <f>IF(F32="","",INDEX(C_FuelStreams!K:K,MATCH($C32,C_FuelStreams!$A:$A,0)+1))</f>
        <v/>
      </c>
      <c r="I32" s="756" t="str">
        <f>IF($F32="","",INDEX(C_FuelStreams!BJ:BJ,MATCH($C32,C_FuelStreams!$A:$A,0)))</f>
        <v/>
      </c>
      <c r="J32" s="757" t="str">
        <f>IF($F32="","",INDEX(C_FuelStreams!BK:BK,MATCH($C32,C_FuelStreams!$A:$A,0)))</f>
        <v/>
      </c>
      <c r="K32" s="757" t="str">
        <f>IF($F32="","",SUM(J32)-INDEX(C_FuelStreams!BL:BL,MATCH($C32,C_FuelStreams!$A:$A,0)))</f>
        <v/>
      </c>
      <c r="L32" s="756" t="str">
        <f>IF($F32="","",INDEX(C_FuelStreams!BM:BM,MATCH($C32,C_FuelStreams!$A:$A,0)))</f>
        <v/>
      </c>
      <c r="M32" s="756" t="str">
        <f>IF($F32="","",INDEX(C_FuelStreams!BN:BN,MATCH($C32,C_FuelStreams!$A:$A,0)))</f>
        <v/>
      </c>
      <c r="N32" s="754" t="str">
        <f>IF($F32="","",INDEX(C_FuelStreams!BO:BO,MATCH($C32,C_FuelStreams!$A:$A,0)))</f>
        <v/>
      </c>
      <c r="O32" s="18" t="str">
        <f>IF($F32="","",INDEX(C_FuelStreams!BP:BP,MATCH($C32,C_FuelStreams!$A:$A,0)))</f>
        <v/>
      </c>
      <c r="P32" s="756" t="str">
        <f>IF($F32="","",INDEX(C_FuelStreams!BQ:BQ,MATCH($C32,C_FuelStreams!$A:$A,0)))</f>
        <v/>
      </c>
      <c r="Q32" s="758" t="str">
        <f>IF($F32="","",INDEX(C_FuelStreams!BR:BR,MATCH($C32,C_FuelStreams!$A:$A,0)))</f>
        <v/>
      </c>
      <c r="R32" s="756" t="str">
        <f>IF($F32="","",INDEX(C_FuelStreams!BS:BS,MATCH($C32,C_FuelStreams!$A:$A,0)))</f>
        <v/>
      </c>
      <c r="S32" s="756" t="str">
        <f>IF($F32="","",INDEX(C_FuelStreams!BT:BT,MATCH($C32,C_FuelStreams!$A:$A,0)))</f>
        <v/>
      </c>
      <c r="T32" s="758" t="str">
        <f>IF($F32="","",INDEX(C_FuelStreams!BU:BU,MATCH($C32,C_FuelStreams!$A:$A,0)))</f>
        <v/>
      </c>
      <c r="U32" s="756" t="str">
        <f>IF($F32="","",INDEX(C_FuelStreams!BV:BV,MATCH($C32,C_FuelStreams!$A:$A,0)))</f>
        <v/>
      </c>
      <c r="V32" s="756" t="str">
        <f>IF($F32="","",INDEX(C_FuelStreams!BW:BW,MATCH($C32,C_FuelStreams!$A:$A,0)))</f>
        <v/>
      </c>
      <c r="W32" s="13" t="str">
        <f>IF($F32="","",INDEX(C_FuelStreams!BX:BX,MATCH($C32,C_FuelStreams!$A:$A,0)))</f>
        <v/>
      </c>
      <c r="X32" s="756" t="str">
        <f>IF($F32="","",INDEX(C_FuelStreams!BY:BY,MATCH($C32,C_FuelStreams!$A:$A,0)))</f>
        <v/>
      </c>
      <c r="Y32" s="13" t="str">
        <f>IF($F32="","",INDEX(C_FuelStreams!BZ:BZ,MATCH($C32,C_FuelStreams!$A:$A,0)))</f>
        <v/>
      </c>
      <c r="Z32" s="13" t="str">
        <f>IF($F32="","",INDEX(C_FuelStreams!CA:CA,MATCH($C32,C_FuelStreams!$A:$A,0)))</f>
        <v/>
      </c>
      <c r="AA32" s="13" t="str">
        <f>IF($F32="","",INDEX(C_FuelStreams!CB:CB,MATCH($C32,C_FuelStreams!$A:$A,0)))</f>
        <v/>
      </c>
      <c r="AB32" s="13" t="str">
        <f>IF($F32="","",INDEX(C_FuelStreams!CC:CC,MATCH($C32,C_FuelStreams!$A:$A,0)))</f>
        <v/>
      </c>
      <c r="AC32" s="13" t="str">
        <f>IF($F32="","",INDEX(C_FuelStreams!CD:CD,MATCH($C32,C_FuelStreams!$A:$A,0)))</f>
        <v/>
      </c>
      <c r="AD32" s="757" t="str">
        <f>IF($F32="","",INDEX(C_FuelStreams!CE:CE,MATCH($C32,C_FuelStreams!$A:$A,0)))</f>
        <v/>
      </c>
      <c r="AE32" s="757" t="str">
        <f>IF($F32="","",INDEX(C_FuelStreams!CF:CF,MATCH($C32,C_FuelStreams!$A:$A,0)))</f>
        <v/>
      </c>
      <c r="AF32" s="757" t="str">
        <f>IF($F32="","",INDEX(C_FuelStreams!CG:CG,MATCH($C32,C_FuelStreams!$A:$A,0)))</f>
        <v/>
      </c>
      <c r="AG32" s="757" t="str">
        <f>IF($F32="","",INDEX(C_FuelStreams!CH:CH,MATCH($C32,C_FuelStreams!$A:$A,0)))</f>
        <v/>
      </c>
      <c r="AH32" s="757" t="str">
        <f>IF($F32="","",INDEX(C_FuelStreams!CI:CI,MATCH($C32,C_FuelStreams!$A:$A,0)))</f>
        <v/>
      </c>
      <c r="AI32" s="757" t="str">
        <f>IF($F32="","",INDEX(C_FuelStreams!CJ:CJ,MATCH($C32,C_FuelStreams!$A:$A,0)))</f>
        <v/>
      </c>
      <c r="AJ32" s="757" t="str">
        <f>IF($F32="","",INDEX(C_FuelStreams!CK:CK,MATCH($C32,C_FuelStreams!$A:$A,0)))</f>
        <v/>
      </c>
      <c r="AK32" s="757" t="str">
        <f>IF($F32="","",INDEX(C_FuelStreams!CL:CL,MATCH($C32,C_FuelStreams!$A:$A,0)))</f>
        <v/>
      </c>
      <c r="AL32" s="757" t="str">
        <f>IF($F32="","",INDEX(C_FuelStreams!CM:CM,MATCH($C32,C_FuelStreams!$A:$A,0)))</f>
        <v/>
      </c>
      <c r="AM32" s="757" t="str">
        <f>IF($F32="","",INDEX(C_FuelStreams!CN:CN,MATCH($C32,C_FuelStreams!$A:$A,0)))</f>
        <v/>
      </c>
      <c r="AN32" s="757" t="str">
        <f>IF($F32="","",INDEX(C_FuelStreams!CO:CO,MATCH($C32,C_FuelStreams!$A:$A,0)))</f>
        <v/>
      </c>
      <c r="AO32" s="759" t="str">
        <f>IF($F32="","",INDEX(C_FuelStreams!BK:BK,MATCH($C32,C_FuelStreams!$A:$A,0)+3))</f>
        <v/>
      </c>
      <c r="AP32" s="759" t="str">
        <f>IF($F32="","",INDEX(C_FuelStreams!BL:BL,MATCH($C32,C_FuelStreams!$A:$A,0)+3))</f>
        <v/>
      </c>
      <c r="AQ32" s="759" t="str">
        <f>IF($F32="","",INDEX(C_FuelStreams!BM:BM,MATCH($C32,C_FuelStreams!$A:$A,0)+3))</f>
        <v/>
      </c>
      <c r="AR32" s="757" t="str">
        <f>IF($F32="","",INDEX(C_FuelStreams!CP:CP,MATCH($C32,C_FuelStreams!$A:$A,0)))</f>
        <v/>
      </c>
      <c r="AT32" s="514" t="str">
        <f>IF($F32="","",INDEX(B_IdentifyFuelStreams!$E$67:$E$116,MATCH($F32,CNTR_SourceStreamNames,0)))</f>
        <v/>
      </c>
      <c r="AU32" s="514" t="str">
        <f>IF($F32="","",INDEX(B_IdentifyFuelStreams!$I$67:$I$116,MATCH($F32,CNTR_SourceStreamNames,0)))</f>
        <v/>
      </c>
      <c r="AV32" s="514" t="str">
        <f>IF($F32="","",IF(INDEX(B_IdentifyFuelStreams!$L$67:$L$116,MATCH($F32,CNTR_SourceStreamNames,0))="","",INDEX(B_IdentifyFuelStreams!$L$67:$L$116,MATCH($F32,CNTR_SourceStreamNames,0))))</f>
        <v/>
      </c>
    </row>
    <row r="33" spans="3:48" x14ac:dyDescent="0.25">
      <c r="C33" s="751">
        <f>C32+1</f>
        <v>21</v>
      </c>
      <c r="D33" s="751" t="str">
        <f t="shared" si="3"/>
        <v/>
      </c>
      <c r="E33" s="754" t="str">
        <f t="shared" si="4"/>
        <v/>
      </c>
      <c r="F33" s="755" t="str">
        <f>IF(INDEX(C_FuelStreams!BI:BI,MATCH($C33,C_FuelStreams!$A:$A,0))="","",INDEX(C_FuelStreams!BI:BI,MATCH($C33,C_FuelStreams!$A:$A,0)))</f>
        <v/>
      </c>
      <c r="G33" s="755" t="str">
        <f>IF(F33="","",INDEX(C_FuelStreams!K:K,MATCH($C33,C_FuelStreams!$A:$A,0)))</f>
        <v/>
      </c>
      <c r="H33" s="755" t="str">
        <f>IF(F33="","",INDEX(C_FuelStreams!K:K,MATCH($C33,C_FuelStreams!$A:$A,0)+1))</f>
        <v/>
      </c>
      <c r="I33" s="756" t="str">
        <f>IF($F33="","",INDEX(C_FuelStreams!BJ:BJ,MATCH($C33,C_FuelStreams!$A:$A,0)))</f>
        <v/>
      </c>
      <c r="J33" s="757" t="str">
        <f>IF($F33="","",INDEX(C_FuelStreams!BK:BK,MATCH($C33,C_FuelStreams!$A:$A,0)))</f>
        <v/>
      </c>
      <c r="K33" s="757" t="str">
        <f>IF($F33="","",SUM(J33)-INDEX(C_FuelStreams!BL:BL,MATCH($C33,C_FuelStreams!$A:$A,0)))</f>
        <v/>
      </c>
      <c r="L33" s="756" t="str">
        <f>IF($F33="","",INDEX(C_FuelStreams!BM:BM,MATCH($C33,C_FuelStreams!$A:$A,0)))</f>
        <v/>
      </c>
      <c r="M33" s="756" t="str">
        <f>IF($F33="","",INDEX(C_FuelStreams!BN:BN,MATCH($C33,C_FuelStreams!$A:$A,0)))</f>
        <v/>
      </c>
      <c r="N33" s="754" t="str">
        <f>IF($F33="","",INDEX(C_FuelStreams!BO:BO,MATCH($C33,C_FuelStreams!$A:$A,0)))</f>
        <v/>
      </c>
      <c r="O33" s="18" t="str">
        <f>IF($F33="","",INDEX(C_FuelStreams!BP:BP,MATCH($C33,C_FuelStreams!$A:$A,0)))</f>
        <v/>
      </c>
      <c r="P33" s="756" t="str">
        <f>IF($F33="","",INDEX(C_FuelStreams!BQ:BQ,MATCH($C33,C_FuelStreams!$A:$A,0)))</f>
        <v/>
      </c>
      <c r="Q33" s="758" t="str">
        <f>IF($F33="","",INDEX(C_FuelStreams!BR:BR,MATCH($C33,C_FuelStreams!$A:$A,0)))</f>
        <v/>
      </c>
      <c r="R33" s="756" t="str">
        <f>IF($F33="","",INDEX(C_FuelStreams!BS:BS,MATCH($C33,C_FuelStreams!$A:$A,0)))</f>
        <v/>
      </c>
      <c r="S33" s="756" t="str">
        <f>IF($F33="","",INDEX(C_FuelStreams!BT:BT,MATCH($C33,C_FuelStreams!$A:$A,0)))</f>
        <v/>
      </c>
      <c r="T33" s="758" t="str">
        <f>IF($F33="","",INDEX(C_FuelStreams!BU:BU,MATCH($C33,C_FuelStreams!$A:$A,0)))</f>
        <v/>
      </c>
      <c r="U33" s="756" t="str">
        <f>IF($F33="","",INDEX(C_FuelStreams!BV:BV,MATCH($C33,C_FuelStreams!$A:$A,0)))</f>
        <v/>
      </c>
      <c r="V33" s="756" t="str">
        <f>IF($F33="","",INDEX(C_FuelStreams!BW:BW,MATCH($C33,C_FuelStreams!$A:$A,0)))</f>
        <v/>
      </c>
      <c r="W33" s="13" t="str">
        <f>IF($F33="","",INDEX(C_FuelStreams!BX:BX,MATCH($C33,C_FuelStreams!$A:$A,0)))</f>
        <v/>
      </c>
      <c r="X33" s="756" t="str">
        <f>IF($F33="","",INDEX(C_FuelStreams!BY:BY,MATCH($C33,C_FuelStreams!$A:$A,0)))</f>
        <v/>
      </c>
      <c r="Y33" s="13" t="str">
        <f>IF($F33="","",INDEX(C_FuelStreams!BZ:BZ,MATCH($C33,C_FuelStreams!$A:$A,0)))</f>
        <v/>
      </c>
      <c r="Z33" s="13" t="str">
        <f>IF($F33="","",INDEX(C_FuelStreams!CA:CA,MATCH($C33,C_FuelStreams!$A:$A,0)))</f>
        <v/>
      </c>
      <c r="AA33" s="13" t="str">
        <f>IF($F33="","",INDEX(C_FuelStreams!CB:CB,MATCH($C33,C_FuelStreams!$A:$A,0)))</f>
        <v/>
      </c>
      <c r="AB33" s="13" t="str">
        <f>IF($F33="","",INDEX(C_FuelStreams!CC:CC,MATCH($C33,C_FuelStreams!$A:$A,0)))</f>
        <v/>
      </c>
      <c r="AC33" s="13" t="str">
        <f>IF($F33="","",INDEX(C_FuelStreams!CD:CD,MATCH($C33,C_FuelStreams!$A:$A,0)))</f>
        <v/>
      </c>
      <c r="AD33" s="757" t="str">
        <f>IF($F33="","",INDEX(C_FuelStreams!CE:CE,MATCH($C33,C_FuelStreams!$A:$A,0)))</f>
        <v/>
      </c>
      <c r="AE33" s="757" t="str">
        <f>IF($F33="","",INDEX(C_FuelStreams!CF:CF,MATCH($C33,C_FuelStreams!$A:$A,0)))</f>
        <v/>
      </c>
      <c r="AF33" s="757" t="str">
        <f>IF($F33="","",INDEX(C_FuelStreams!CG:CG,MATCH($C33,C_FuelStreams!$A:$A,0)))</f>
        <v/>
      </c>
      <c r="AG33" s="757" t="str">
        <f>IF($F33="","",INDEX(C_FuelStreams!CH:CH,MATCH($C33,C_FuelStreams!$A:$A,0)))</f>
        <v/>
      </c>
      <c r="AH33" s="757" t="str">
        <f>IF($F33="","",INDEX(C_FuelStreams!CI:CI,MATCH($C33,C_FuelStreams!$A:$A,0)))</f>
        <v/>
      </c>
      <c r="AI33" s="757" t="str">
        <f>IF($F33="","",INDEX(C_FuelStreams!CJ:CJ,MATCH($C33,C_FuelStreams!$A:$A,0)))</f>
        <v/>
      </c>
      <c r="AJ33" s="757" t="str">
        <f>IF($F33="","",INDEX(C_FuelStreams!CK:CK,MATCH($C33,C_FuelStreams!$A:$A,0)))</f>
        <v/>
      </c>
      <c r="AK33" s="757" t="str">
        <f>IF($F33="","",INDEX(C_FuelStreams!CL:CL,MATCH($C33,C_FuelStreams!$A:$A,0)))</f>
        <v/>
      </c>
      <c r="AL33" s="757" t="str">
        <f>IF($F33="","",INDEX(C_FuelStreams!CM:CM,MATCH($C33,C_FuelStreams!$A:$A,0)))</f>
        <v/>
      </c>
      <c r="AM33" s="757" t="str">
        <f>IF($F33="","",INDEX(C_FuelStreams!CN:CN,MATCH($C33,C_FuelStreams!$A:$A,0)))</f>
        <v/>
      </c>
      <c r="AN33" s="757" t="str">
        <f>IF($F33="","",INDEX(C_FuelStreams!CO:CO,MATCH($C33,C_FuelStreams!$A:$A,0)))</f>
        <v/>
      </c>
      <c r="AO33" s="759" t="str">
        <f>IF($F33="","",INDEX(C_FuelStreams!BK:BK,MATCH($C33,C_FuelStreams!$A:$A,0)+3))</f>
        <v/>
      </c>
      <c r="AP33" s="759" t="str">
        <f>IF($F33="","",INDEX(C_FuelStreams!BL:BL,MATCH($C33,C_FuelStreams!$A:$A,0)+3))</f>
        <v/>
      </c>
      <c r="AQ33" s="759" t="str">
        <f>IF($F33="","",INDEX(C_FuelStreams!BM:BM,MATCH($C33,C_FuelStreams!$A:$A,0)+3))</f>
        <v/>
      </c>
      <c r="AR33" s="757" t="str">
        <f>IF($F33="","",INDEX(C_FuelStreams!CP:CP,MATCH($C33,C_FuelStreams!$A:$A,0)))</f>
        <v/>
      </c>
      <c r="AT33" s="514" t="str">
        <f>IF($F33="","",INDEX(B_IdentifyFuelStreams!$E$67:$E$116,MATCH($F33,CNTR_SourceStreamNames,0)))</f>
        <v/>
      </c>
      <c r="AU33" s="514" t="str">
        <f>IF($F33="","",INDEX(B_IdentifyFuelStreams!$I$67:$I$116,MATCH($F33,CNTR_SourceStreamNames,0)))</f>
        <v/>
      </c>
      <c r="AV33" s="514" t="str">
        <f>IF($F33="","",IF(INDEX(B_IdentifyFuelStreams!$L$67:$L$116,MATCH($F33,CNTR_SourceStreamNames,0))="","",INDEX(B_IdentifyFuelStreams!$L$67:$L$116,MATCH($F33,CNTR_SourceStreamNames,0))))</f>
        <v/>
      </c>
    </row>
    <row r="34" spans="3:48" x14ac:dyDescent="0.25">
      <c r="C34" s="751">
        <f>C33+1</f>
        <v>22</v>
      </c>
      <c r="D34" s="751" t="str">
        <f t="shared" si="3"/>
        <v/>
      </c>
      <c r="E34" s="754" t="str">
        <f t="shared" si="4"/>
        <v/>
      </c>
      <c r="F34" s="755" t="str">
        <f>IF(INDEX(C_FuelStreams!BI:BI,MATCH($C34,C_FuelStreams!$A:$A,0))="","",INDEX(C_FuelStreams!BI:BI,MATCH($C34,C_FuelStreams!$A:$A,0)))</f>
        <v/>
      </c>
      <c r="G34" s="755" t="str">
        <f>IF(F34="","",INDEX(C_FuelStreams!K:K,MATCH($C34,C_FuelStreams!$A:$A,0)))</f>
        <v/>
      </c>
      <c r="H34" s="755" t="str">
        <f>IF(F34="","",INDEX(C_FuelStreams!K:K,MATCH($C34,C_FuelStreams!$A:$A,0)+1))</f>
        <v/>
      </c>
      <c r="I34" s="756" t="str">
        <f>IF($F34="","",INDEX(C_FuelStreams!BJ:BJ,MATCH($C34,C_FuelStreams!$A:$A,0)))</f>
        <v/>
      </c>
      <c r="J34" s="757" t="str">
        <f>IF($F34="","",INDEX(C_FuelStreams!BK:BK,MATCH($C34,C_FuelStreams!$A:$A,0)))</f>
        <v/>
      </c>
      <c r="K34" s="757" t="str">
        <f>IF($F34="","",SUM(J34)-INDEX(C_FuelStreams!BL:BL,MATCH($C34,C_FuelStreams!$A:$A,0)))</f>
        <v/>
      </c>
      <c r="L34" s="756" t="str">
        <f>IF($F34="","",INDEX(C_FuelStreams!BM:BM,MATCH($C34,C_FuelStreams!$A:$A,0)))</f>
        <v/>
      </c>
      <c r="M34" s="756" t="str">
        <f>IF($F34="","",INDEX(C_FuelStreams!BN:BN,MATCH($C34,C_FuelStreams!$A:$A,0)))</f>
        <v/>
      </c>
      <c r="N34" s="754" t="str">
        <f>IF($F34="","",INDEX(C_FuelStreams!BO:BO,MATCH($C34,C_FuelStreams!$A:$A,0)))</f>
        <v/>
      </c>
      <c r="O34" s="18" t="str">
        <f>IF($F34="","",INDEX(C_FuelStreams!BP:BP,MATCH($C34,C_FuelStreams!$A:$A,0)))</f>
        <v/>
      </c>
      <c r="P34" s="756" t="str">
        <f>IF($F34="","",INDEX(C_FuelStreams!BQ:BQ,MATCH($C34,C_FuelStreams!$A:$A,0)))</f>
        <v/>
      </c>
      <c r="Q34" s="758" t="str">
        <f>IF($F34="","",INDEX(C_FuelStreams!BR:BR,MATCH($C34,C_FuelStreams!$A:$A,0)))</f>
        <v/>
      </c>
      <c r="R34" s="756" t="str">
        <f>IF($F34="","",INDEX(C_FuelStreams!BS:BS,MATCH($C34,C_FuelStreams!$A:$A,0)))</f>
        <v/>
      </c>
      <c r="S34" s="756" t="str">
        <f>IF($F34="","",INDEX(C_FuelStreams!BT:BT,MATCH($C34,C_FuelStreams!$A:$A,0)))</f>
        <v/>
      </c>
      <c r="T34" s="758" t="str">
        <f>IF($F34="","",INDEX(C_FuelStreams!BU:BU,MATCH($C34,C_FuelStreams!$A:$A,0)))</f>
        <v/>
      </c>
      <c r="U34" s="756" t="str">
        <f>IF($F34="","",INDEX(C_FuelStreams!BV:BV,MATCH($C34,C_FuelStreams!$A:$A,0)))</f>
        <v/>
      </c>
      <c r="V34" s="756" t="str">
        <f>IF($F34="","",INDEX(C_FuelStreams!BW:BW,MATCH($C34,C_FuelStreams!$A:$A,0)))</f>
        <v/>
      </c>
      <c r="W34" s="13" t="str">
        <f>IF($F34="","",INDEX(C_FuelStreams!BX:BX,MATCH($C34,C_FuelStreams!$A:$A,0)))</f>
        <v/>
      </c>
      <c r="X34" s="756" t="str">
        <f>IF($F34="","",INDEX(C_FuelStreams!BY:BY,MATCH($C34,C_FuelStreams!$A:$A,0)))</f>
        <v/>
      </c>
      <c r="Y34" s="13" t="str">
        <f>IF($F34="","",INDEX(C_FuelStreams!BZ:BZ,MATCH($C34,C_FuelStreams!$A:$A,0)))</f>
        <v/>
      </c>
      <c r="Z34" s="13" t="str">
        <f>IF($F34="","",INDEX(C_FuelStreams!CA:CA,MATCH($C34,C_FuelStreams!$A:$A,0)))</f>
        <v/>
      </c>
      <c r="AA34" s="13" t="str">
        <f>IF($F34="","",INDEX(C_FuelStreams!CB:CB,MATCH($C34,C_FuelStreams!$A:$A,0)))</f>
        <v/>
      </c>
      <c r="AB34" s="13" t="str">
        <f>IF($F34="","",INDEX(C_FuelStreams!CC:CC,MATCH($C34,C_FuelStreams!$A:$A,0)))</f>
        <v/>
      </c>
      <c r="AC34" s="13" t="str">
        <f>IF($F34="","",INDEX(C_FuelStreams!CD:CD,MATCH($C34,C_FuelStreams!$A:$A,0)))</f>
        <v/>
      </c>
      <c r="AD34" s="757" t="str">
        <f>IF($F34="","",INDEX(C_FuelStreams!CE:CE,MATCH($C34,C_FuelStreams!$A:$A,0)))</f>
        <v/>
      </c>
      <c r="AE34" s="757" t="str">
        <f>IF($F34="","",INDEX(C_FuelStreams!CF:CF,MATCH($C34,C_FuelStreams!$A:$A,0)))</f>
        <v/>
      </c>
      <c r="AF34" s="757" t="str">
        <f>IF($F34="","",INDEX(C_FuelStreams!CG:CG,MATCH($C34,C_FuelStreams!$A:$A,0)))</f>
        <v/>
      </c>
      <c r="AG34" s="757" t="str">
        <f>IF($F34="","",INDEX(C_FuelStreams!CH:CH,MATCH($C34,C_FuelStreams!$A:$A,0)))</f>
        <v/>
      </c>
      <c r="AH34" s="757" t="str">
        <f>IF($F34="","",INDEX(C_FuelStreams!CI:CI,MATCH($C34,C_FuelStreams!$A:$A,0)))</f>
        <v/>
      </c>
      <c r="AI34" s="757" t="str">
        <f>IF($F34="","",INDEX(C_FuelStreams!CJ:CJ,MATCH($C34,C_FuelStreams!$A:$A,0)))</f>
        <v/>
      </c>
      <c r="AJ34" s="757" t="str">
        <f>IF($F34="","",INDEX(C_FuelStreams!CK:CK,MATCH($C34,C_FuelStreams!$A:$A,0)))</f>
        <v/>
      </c>
      <c r="AK34" s="757" t="str">
        <f>IF($F34="","",INDEX(C_FuelStreams!CL:CL,MATCH($C34,C_FuelStreams!$A:$A,0)))</f>
        <v/>
      </c>
      <c r="AL34" s="757" t="str">
        <f>IF($F34="","",INDEX(C_FuelStreams!CM:CM,MATCH($C34,C_FuelStreams!$A:$A,0)))</f>
        <v/>
      </c>
      <c r="AM34" s="757" t="str">
        <f>IF($F34="","",INDEX(C_FuelStreams!CN:CN,MATCH($C34,C_FuelStreams!$A:$A,0)))</f>
        <v/>
      </c>
      <c r="AN34" s="757" t="str">
        <f>IF($F34="","",INDEX(C_FuelStreams!CO:CO,MATCH($C34,C_FuelStreams!$A:$A,0)))</f>
        <v/>
      </c>
      <c r="AO34" s="759" t="str">
        <f>IF($F34="","",INDEX(C_FuelStreams!BK:BK,MATCH($C34,C_FuelStreams!$A:$A,0)+3))</f>
        <v/>
      </c>
      <c r="AP34" s="759" t="str">
        <f>IF($F34="","",INDEX(C_FuelStreams!BL:BL,MATCH($C34,C_FuelStreams!$A:$A,0)+3))</f>
        <v/>
      </c>
      <c r="AQ34" s="759" t="str">
        <f>IF($F34="","",INDEX(C_FuelStreams!BM:BM,MATCH($C34,C_FuelStreams!$A:$A,0)+3))</f>
        <v/>
      </c>
      <c r="AR34" s="757" t="str">
        <f>IF($F34="","",INDEX(C_FuelStreams!CP:CP,MATCH($C34,C_FuelStreams!$A:$A,0)))</f>
        <v/>
      </c>
      <c r="AT34" s="514" t="str">
        <f>IF($F34="","",INDEX(B_IdentifyFuelStreams!$E$67:$E$116,MATCH($F34,CNTR_SourceStreamNames,0)))</f>
        <v/>
      </c>
      <c r="AU34" s="514" t="str">
        <f>IF($F34="","",INDEX(B_IdentifyFuelStreams!$I$67:$I$116,MATCH($F34,CNTR_SourceStreamNames,0)))</f>
        <v/>
      </c>
      <c r="AV34" s="514" t="str">
        <f>IF($F34="","",IF(INDEX(B_IdentifyFuelStreams!$L$67:$L$116,MATCH($F34,CNTR_SourceStreamNames,0))="","",INDEX(B_IdentifyFuelStreams!$L$67:$L$116,MATCH($F34,CNTR_SourceStreamNames,0))))</f>
        <v/>
      </c>
    </row>
    <row r="35" spans="3:48" x14ac:dyDescent="0.25">
      <c r="C35" s="751">
        <f>C34+1</f>
        <v>23</v>
      </c>
      <c r="D35" s="751" t="str">
        <f t="shared" si="3"/>
        <v/>
      </c>
      <c r="E35" s="754" t="str">
        <f t="shared" si="4"/>
        <v/>
      </c>
      <c r="F35" s="755" t="str">
        <f>IF(INDEX(C_FuelStreams!BI:BI,MATCH($C35,C_FuelStreams!$A:$A,0))="","",INDEX(C_FuelStreams!BI:BI,MATCH($C35,C_FuelStreams!$A:$A,0)))</f>
        <v/>
      </c>
      <c r="G35" s="755" t="str">
        <f>IF(F35="","",INDEX(C_FuelStreams!K:K,MATCH($C35,C_FuelStreams!$A:$A,0)))</f>
        <v/>
      </c>
      <c r="H35" s="755" t="str">
        <f>IF(F35="","",INDEX(C_FuelStreams!K:K,MATCH($C35,C_FuelStreams!$A:$A,0)+1))</f>
        <v/>
      </c>
      <c r="I35" s="756" t="str">
        <f>IF($F35="","",INDEX(C_FuelStreams!BJ:BJ,MATCH($C35,C_FuelStreams!$A:$A,0)))</f>
        <v/>
      </c>
      <c r="J35" s="757" t="str">
        <f>IF($F35="","",INDEX(C_FuelStreams!BK:BK,MATCH($C35,C_FuelStreams!$A:$A,0)))</f>
        <v/>
      </c>
      <c r="K35" s="757" t="str">
        <f>IF($F35="","",SUM(J35)-INDEX(C_FuelStreams!BL:BL,MATCH($C35,C_FuelStreams!$A:$A,0)))</f>
        <v/>
      </c>
      <c r="L35" s="756" t="str">
        <f>IF($F35="","",INDEX(C_FuelStreams!BM:BM,MATCH($C35,C_FuelStreams!$A:$A,0)))</f>
        <v/>
      </c>
      <c r="M35" s="756" t="str">
        <f>IF($F35="","",INDEX(C_FuelStreams!BN:BN,MATCH($C35,C_FuelStreams!$A:$A,0)))</f>
        <v/>
      </c>
      <c r="N35" s="754" t="str">
        <f>IF($F35="","",INDEX(C_FuelStreams!BO:BO,MATCH($C35,C_FuelStreams!$A:$A,0)))</f>
        <v/>
      </c>
      <c r="O35" s="18" t="str">
        <f>IF($F35="","",INDEX(C_FuelStreams!BP:BP,MATCH($C35,C_FuelStreams!$A:$A,0)))</f>
        <v/>
      </c>
      <c r="P35" s="756" t="str">
        <f>IF($F35="","",INDEX(C_FuelStreams!BQ:BQ,MATCH($C35,C_FuelStreams!$A:$A,0)))</f>
        <v/>
      </c>
      <c r="Q35" s="758" t="str">
        <f>IF($F35="","",INDEX(C_FuelStreams!BR:BR,MATCH($C35,C_FuelStreams!$A:$A,0)))</f>
        <v/>
      </c>
      <c r="R35" s="756" t="str">
        <f>IF($F35="","",INDEX(C_FuelStreams!BS:BS,MATCH($C35,C_FuelStreams!$A:$A,0)))</f>
        <v/>
      </c>
      <c r="S35" s="756" t="str">
        <f>IF($F35="","",INDEX(C_FuelStreams!BT:BT,MATCH($C35,C_FuelStreams!$A:$A,0)))</f>
        <v/>
      </c>
      <c r="T35" s="758" t="str">
        <f>IF($F35="","",INDEX(C_FuelStreams!BU:BU,MATCH($C35,C_FuelStreams!$A:$A,0)))</f>
        <v/>
      </c>
      <c r="U35" s="756" t="str">
        <f>IF($F35="","",INDEX(C_FuelStreams!BV:BV,MATCH($C35,C_FuelStreams!$A:$A,0)))</f>
        <v/>
      </c>
      <c r="V35" s="756" t="str">
        <f>IF($F35="","",INDEX(C_FuelStreams!BW:BW,MATCH($C35,C_FuelStreams!$A:$A,0)))</f>
        <v/>
      </c>
      <c r="W35" s="13" t="str">
        <f>IF($F35="","",INDEX(C_FuelStreams!BX:BX,MATCH($C35,C_FuelStreams!$A:$A,0)))</f>
        <v/>
      </c>
      <c r="X35" s="756" t="str">
        <f>IF($F35="","",INDEX(C_FuelStreams!BY:BY,MATCH($C35,C_FuelStreams!$A:$A,0)))</f>
        <v/>
      </c>
      <c r="Y35" s="13" t="str">
        <f>IF($F35="","",INDEX(C_FuelStreams!BZ:BZ,MATCH($C35,C_FuelStreams!$A:$A,0)))</f>
        <v/>
      </c>
      <c r="Z35" s="13" t="str">
        <f>IF($F35="","",INDEX(C_FuelStreams!CA:CA,MATCH($C35,C_FuelStreams!$A:$A,0)))</f>
        <v/>
      </c>
      <c r="AA35" s="13" t="str">
        <f>IF($F35="","",INDEX(C_FuelStreams!CB:CB,MATCH($C35,C_FuelStreams!$A:$A,0)))</f>
        <v/>
      </c>
      <c r="AB35" s="13" t="str">
        <f>IF($F35="","",INDEX(C_FuelStreams!CC:CC,MATCH($C35,C_FuelStreams!$A:$A,0)))</f>
        <v/>
      </c>
      <c r="AC35" s="13" t="str">
        <f>IF($F35="","",INDEX(C_FuelStreams!CD:CD,MATCH($C35,C_FuelStreams!$A:$A,0)))</f>
        <v/>
      </c>
      <c r="AD35" s="757" t="str">
        <f>IF($F35="","",INDEX(C_FuelStreams!CE:CE,MATCH($C35,C_FuelStreams!$A:$A,0)))</f>
        <v/>
      </c>
      <c r="AE35" s="757" t="str">
        <f>IF($F35="","",INDEX(C_FuelStreams!CF:CF,MATCH($C35,C_FuelStreams!$A:$A,0)))</f>
        <v/>
      </c>
      <c r="AF35" s="757" t="str">
        <f>IF($F35="","",INDEX(C_FuelStreams!CG:CG,MATCH($C35,C_FuelStreams!$A:$A,0)))</f>
        <v/>
      </c>
      <c r="AG35" s="757" t="str">
        <f>IF($F35="","",INDEX(C_FuelStreams!CH:CH,MATCH($C35,C_FuelStreams!$A:$A,0)))</f>
        <v/>
      </c>
      <c r="AH35" s="757" t="str">
        <f>IF($F35="","",INDEX(C_FuelStreams!CI:CI,MATCH($C35,C_FuelStreams!$A:$A,0)))</f>
        <v/>
      </c>
      <c r="AI35" s="757" t="str">
        <f>IF($F35="","",INDEX(C_FuelStreams!CJ:CJ,MATCH($C35,C_FuelStreams!$A:$A,0)))</f>
        <v/>
      </c>
      <c r="AJ35" s="757" t="str">
        <f>IF($F35="","",INDEX(C_FuelStreams!CK:CK,MATCH($C35,C_FuelStreams!$A:$A,0)))</f>
        <v/>
      </c>
      <c r="AK35" s="757" t="str">
        <f>IF($F35="","",INDEX(C_FuelStreams!CL:CL,MATCH($C35,C_FuelStreams!$A:$A,0)))</f>
        <v/>
      </c>
      <c r="AL35" s="757" t="str">
        <f>IF($F35="","",INDEX(C_FuelStreams!CM:CM,MATCH($C35,C_FuelStreams!$A:$A,0)))</f>
        <v/>
      </c>
      <c r="AM35" s="757" t="str">
        <f>IF($F35="","",INDEX(C_FuelStreams!CN:CN,MATCH($C35,C_FuelStreams!$A:$A,0)))</f>
        <v/>
      </c>
      <c r="AN35" s="757" t="str">
        <f>IF($F35="","",INDEX(C_FuelStreams!CO:CO,MATCH($C35,C_FuelStreams!$A:$A,0)))</f>
        <v/>
      </c>
      <c r="AO35" s="759" t="str">
        <f>IF($F35="","",INDEX(C_FuelStreams!BK:BK,MATCH($C35,C_FuelStreams!$A:$A,0)+3))</f>
        <v/>
      </c>
      <c r="AP35" s="759" t="str">
        <f>IF($F35="","",INDEX(C_FuelStreams!BL:BL,MATCH($C35,C_FuelStreams!$A:$A,0)+3))</f>
        <v/>
      </c>
      <c r="AQ35" s="759" t="str">
        <f>IF($F35="","",INDEX(C_FuelStreams!BM:BM,MATCH($C35,C_FuelStreams!$A:$A,0)+3))</f>
        <v/>
      </c>
      <c r="AR35" s="757" t="str">
        <f>IF($F35="","",INDEX(C_FuelStreams!CP:CP,MATCH($C35,C_FuelStreams!$A:$A,0)))</f>
        <v/>
      </c>
      <c r="AT35" s="514" t="str">
        <f>IF($F35="","",INDEX(B_IdentifyFuelStreams!$E$67:$E$116,MATCH($F35,CNTR_SourceStreamNames,0)))</f>
        <v/>
      </c>
      <c r="AU35" s="514" t="str">
        <f>IF($F35="","",INDEX(B_IdentifyFuelStreams!$I$67:$I$116,MATCH($F35,CNTR_SourceStreamNames,0)))</f>
        <v/>
      </c>
      <c r="AV35" s="514" t="str">
        <f>IF($F35="","",IF(INDEX(B_IdentifyFuelStreams!$L$67:$L$116,MATCH($F35,CNTR_SourceStreamNames,0))="","",INDEX(B_IdentifyFuelStreams!$L$67:$L$116,MATCH($F35,CNTR_SourceStreamNames,0))))</f>
        <v/>
      </c>
    </row>
    <row r="36" spans="3:48" x14ac:dyDescent="0.25">
      <c r="C36" s="751">
        <f>C35+1</f>
        <v>24</v>
      </c>
      <c r="D36" s="751" t="str">
        <f t="shared" si="3"/>
        <v/>
      </c>
      <c r="E36" s="754" t="str">
        <f t="shared" si="4"/>
        <v/>
      </c>
      <c r="F36" s="755" t="str">
        <f>IF(INDEX(C_FuelStreams!BI:BI,MATCH($C36,C_FuelStreams!$A:$A,0))="","",INDEX(C_FuelStreams!BI:BI,MATCH($C36,C_FuelStreams!$A:$A,0)))</f>
        <v/>
      </c>
      <c r="G36" s="755" t="str">
        <f>IF(F36="","",INDEX(C_FuelStreams!K:K,MATCH($C36,C_FuelStreams!$A:$A,0)))</f>
        <v/>
      </c>
      <c r="H36" s="755" t="str">
        <f>IF(F36="","",INDEX(C_FuelStreams!K:K,MATCH($C36,C_FuelStreams!$A:$A,0)+1))</f>
        <v/>
      </c>
      <c r="I36" s="756" t="str">
        <f>IF($F36="","",INDEX(C_FuelStreams!BJ:BJ,MATCH($C36,C_FuelStreams!$A:$A,0)))</f>
        <v/>
      </c>
      <c r="J36" s="757" t="str">
        <f>IF($F36="","",INDEX(C_FuelStreams!BK:BK,MATCH($C36,C_FuelStreams!$A:$A,0)))</f>
        <v/>
      </c>
      <c r="K36" s="757" t="str">
        <f>IF($F36="","",SUM(J36)-INDEX(C_FuelStreams!BL:BL,MATCH($C36,C_FuelStreams!$A:$A,0)))</f>
        <v/>
      </c>
      <c r="L36" s="756" t="str">
        <f>IF($F36="","",INDEX(C_FuelStreams!BM:BM,MATCH($C36,C_FuelStreams!$A:$A,0)))</f>
        <v/>
      </c>
      <c r="M36" s="756" t="str">
        <f>IF($F36="","",INDEX(C_FuelStreams!BN:BN,MATCH($C36,C_FuelStreams!$A:$A,0)))</f>
        <v/>
      </c>
      <c r="N36" s="754" t="str">
        <f>IF($F36="","",INDEX(C_FuelStreams!BO:BO,MATCH($C36,C_FuelStreams!$A:$A,0)))</f>
        <v/>
      </c>
      <c r="O36" s="18" t="str">
        <f>IF($F36="","",INDEX(C_FuelStreams!BP:BP,MATCH($C36,C_FuelStreams!$A:$A,0)))</f>
        <v/>
      </c>
      <c r="P36" s="756" t="str">
        <f>IF($F36="","",INDEX(C_FuelStreams!BQ:BQ,MATCH($C36,C_FuelStreams!$A:$A,0)))</f>
        <v/>
      </c>
      <c r="Q36" s="758" t="str">
        <f>IF($F36="","",INDEX(C_FuelStreams!BR:BR,MATCH($C36,C_FuelStreams!$A:$A,0)))</f>
        <v/>
      </c>
      <c r="R36" s="756" t="str">
        <f>IF($F36="","",INDEX(C_FuelStreams!BS:BS,MATCH($C36,C_FuelStreams!$A:$A,0)))</f>
        <v/>
      </c>
      <c r="S36" s="756" t="str">
        <f>IF($F36="","",INDEX(C_FuelStreams!BT:BT,MATCH($C36,C_FuelStreams!$A:$A,0)))</f>
        <v/>
      </c>
      <c r="T36" s="758" t="str">
        <f>IF($F36="","",INDEX(C_FuelStreams!BU:BU,MATCH($C36,C_FuelStreams!$A:$A,0)))</f>
        <v/>
      </c>
      <c r="U36" s="756" t="str">
        <f>IF($F36="","",INDEX(C_FuelStreams!BV:BV,MATCH($C36,C_FuelStreams!$A:$A,0)))</f>
        <v/>
      </c>
      <c r="V36" s="756" t="str">
        <f>IF($F36="","",INDEX(C_FuelStreams!BW:BW,MATCH($C36,C_FuelStreams!$A:$A,0)))</f>
        <v/>
      </c>
      <c r="W36" s="13" t="str">
        <f>IF($F36="","",INDEX(C_FuelStreams!BX:BX,MATCH($C36,C_FuelStreams!$A:$A,0)))</f>
        <v/>
      </c>
      <c r="X36" s="756" t="str">
        <f>IF($F36="","",INDEX(C_FuelStreams!BY:BY,MATCH($C36,C_FuelStreams!$A:$A,0)))</f>
        <v/>
      </c>
      <c r="Y36" s="13" t="str">
        <f>IF($F36="","",INDEX(C_FuelStreams!BZ:BZ,MATCH($C36,C_FuelStreams!$A:$A,0)))</f>
        <v/>
      </c>
      <c r="Z36" s="13" t="str">
        <f>IF($F36="","",INDEX(C_FuelStreams!CA:CA,MATCH($C36,C_FuelStreams!$A:$A,0)))</f>
        <v/>
      </c>
      <c r="AA36" s="13" t="str">
        <f>IF($F36="","",INDEX(C_FuelStreams!CB:CB,MATCH($C36,C_FuelStreams!$A:$A,0)))</f>
        <v/>
      </c>
      <c r="AB36" s="13" t="str">
        <f>IF($F36="","",INDEX(C_FuelStreams!CC:CC,MATCH($C36,C_FuelStreams!$A:$A,0)))</f>
        <v/>
      </c>
      <c r="AC36" s="13" t="str">
        <f>IF($F36="","",INDEX(C_FuelStreams!CD:CD,MATCH($C36,C_FuelStreams!$A:$A,0)))</f>
        <v/>
      </c>
      <c r="AD36" s="757" t="str">
        <f>IF($F36="","",INDEX(C_FuelStreams!CE:CE,MATCH($C36,C_FuelStreams!$A:$A,0)))</f>
        <v/>
      </c>
      <c r="AE36" s="757" t="str">
        <f>IF($F36="","",INDEX(C_FuelStreams!CF:CF,MATCH($C36,C_FuelStreams!$A:$A,0)))</f>
        <v/>
      </c>
      <c r="AF36" s="757" t="str">
        <f>IF($F36="","",INDEX(C_FuelStreams!CG:CG,MATCH($C36,C_FuelStreams!$A:$A,0)))</f>
        <v/>
      </c>
      <c r="AG36" s="757" t="str">
        <f>IF($F36="","",INDEX(C_FuelStreams!CH:CH,MATCH($C36,C_FuelStreams!$A:$A,0)))</f>
        <v/>
      </c>
      <c r="AH36" s="757" t="str">
        <f>IF($F36="","",INDEX(C_FuelStreams!CI:CI,MATCH($C36,C_FuelStreams!$A:$A,0)))</f>
        <v/>
      </c>
      <c r="AI36" s="757" t="str">
        <f>IF($F36="","",INDEX(C_FuelStreams!CJ:CJ,MATCH($C36,C_FuelStreams!$A:$A,0)))</f>
        <v/>
      </c>
      <c r="AJ36" s="757" t="str">
        <f>IF($F36="","",INDEX(C_FuelStreams!CK:CK,MATCH($C36,C_FuelStreams!$A:$A,0)))</f>
        <v/>
      </c>
      <c r="AK36" s="757" t="str">
        <f>IF($F36="","",INDEX(C_FuelStreams!CL:CL,MATCH($C36,C_FuelStreams!$A:$A,0)))</f>
        <v/>
      </c>
      <c r="AL36" s="757" t="str">
        <f>IF($F36="","",INDEX(C_FuelStreams!CM:CM,MATCH($C36,C_FuelStreams!$A:$A,0)))</f>
        <v/>
      </c>
      <c r="AM36" s="757" t="str">
        <f>IF($F36="","",INDEX(C_FuelStreams!CN:CN,MATCH($C36,C_FuelStreams!$A:$A,0)))</f>
        <v/>
      </c>
      <c r="AN36" s="757" t="str">
        <f>IF($F36="","",INDEX(C_FuelStreams!CO:CO,MATCH($C36,C_FuelStreams!$A:$A,0)))</f>
        <v/>
      </c>
      <c r="AO36" s="759" t="str">
        <f>IF($F36="","",INDEX(C_FuelStreams!BK:BK,MATCH($C36,C_FuelStreams!$A:$A,0)+3))</f>
        <v/>
      </c>
      <c r="AP36" s="759" t="str">
        <f>IF($F36="","",INDEX(C_FuelStreams!BL:BL,MATCH($C36,C_FuelStreams!$A:$A,0)+3))</f>
        <v/>
      </c>
      <c r="AQ36" s="759" t="str">
        <f>IF($F36="","",INDEX(C_FuelStreams!BM:BM,MATCH($C36,C_FuelStreams!$A:$A,0)+3))</f>
        <v/>
      </c>
      <c r="AR36" s="757" t="str">
        <f>IF($F36="","",INDEX(C_FuelStreams!CP:CP,MATCH($C36,C_FuelStreams!$A:$A,0)))</f>
        <v/>
      </c>
      <c r="AT36" s="514" t="str">
        <f>IF($F36="","",INDEX(B_IdentifyFuelStreams!$E$67:$E$116,MATCH($F36,CNTR_SourceStreamNames,0)))</f>
        <v/>
      </c>
      <c r="AU36" s="514" t="str">
        <f>IF($F36="","",INDEX(B_IdentifyFuelStreams!$I$67:$I$116,MATCH($F36,CNTR_SourceStreamNames,0)))</f>
        <v/>
      </c>
      <c r="AV36" s="514" t="str">
        <f>IF($F36="","",IF(INDEX(B_IdentifyFuelStreams!$L$67:$L$116,MATCH($F36,CNTR_SourceStreamNames,0))="","",INDEX(B_IdentifyFuelStreams!$L$67:$L$116,MATCH($F36,CNTR_SourceStreamNames,0))))</f>
        <v/>
      </c>
    </row>
    <row r="37" spans="3:48" x14ac:dyDescent="0.25">
      <c r="C37" s="751">
        <f t="shared" ref="C37:C62" si="5">C36+1</f>
        <v>25</v>
      </c>
      <c r="D37" s="751" t="str">
        <f t="shared" si="3"/>
        <v/>
      </c>
      <c r="E37" s="754" t="str">
        <f t="shared" si="4"/>
        <v/>
      </c>
      <c r="F37" s="755" t="str">
        <f>IF(INDEX(C_FuelStreams!BI:BI,MATCH($C37,C_FuelStreams!$A:$A,0))="","",INDEX(C_FuelStreams!BI:BI,MATCH($C37,C_FuelStreams!$A:$A,0)))</f>
        <v/>
      </c>
      <c r="G37" s="755" t="str">
        <f>IF(F37="","",INDEX(C_FuelStreams!K:K,MATCH($C37,C_FuelStreams!$A:$A,0)))</f>
        <v/>
      </c>
      <c r="H37" s="755" t="str">
        <f>IF(F37="","",INDEX(C_FuelStreams!K:K,MATCH($C37,C_FuelStreams!$A:$A,0)+1))</f>
        <v/>
      </c>
      <c r="I37" s="756" t="str">
        <f>IF($F37="","",INDEX(C_FuelStreams!BJ:BJ,MATCH($C37,C_FuelStreams!$A:$A,0)))</f>
        <v/>
      </c>
      <c r="J37" s="757" t="str">
        <f>IF($F37="","",INDEX(C_FuelStreams!BK:BK,MATCH($C37,C_FuelStreams!$A:$A,0)))</f>
        <v/>
      </c>
      <c r="K37" s="757" t="str">
        <f>IF($F37="","",SUM(J37)-INDEX(C_FuelStreams!BL:BL,MATCH($C37,C_FuelStreams!$A:$A,0)))</f>
        <v/>
      </c>
      <c r="L37" s="756" t="str">
        <f>IF($F37="","",INDEX(C_FuelStreams!BM:BM,MATCH($C37,C_FuelStreams!$A:$A,0)))</f>
        <v/>
      </c>
      <c r="M37" s="756" t="str">
        <f>IF($F37="","",INDEX(C_FuelStreams!BN:BN,MATCH($C37,C_FuelStreams!$A:$A,0)))</f>
        <v/>
      </c>
      <c r="N37" s="754" t="str">
        <f>IF($F37="","",INDEX(C_FuelStreams!BO:BO,MATCH($C37,C_FuelStreams!$A:$A,0)))</f>
        <v/>
      </c>
      <c r="O37" s="18" t="str">
        <f>IF($F37="","",INDEX(C_FuelStreams!BP:BP,MATCH($C37,C_FuelStreams!$A:$A,0)))</f>
        <v/>
      </c>
      <c r="P37" s="756" t="str">
        <f>IF($F37="","",INDEX(C_FuelStreams!BQ:BQ,MATCH($C37,C_FuelStreams!$A:$A,0)))</f>
        <v/>
      </c>
      <c r="Q37" s="758" t="str">
        <f>IF($F37="","",INDEX(C_FuelStreams!BR:BR,MATCH($C37,C_FuelStreams!$A:$A,0)))</f>
        <v/>
      </c>
      <c r="R37" s="756" t="str">
        <f>IF($F37="","",INDEX(C_FuelStreams!BS:BS,MATCH($C37,C_FuelStreams!$A:$A,0)))</f>
        <v/>
      </c>
      <c r="S37" s="756" t="str">
        <f>IF($F37="","",INDEX(C_FuelStreams!BT:BT,MATCH($C37,C_FuelStreams!$A:$A,0)))</f>
        <v/>
      </c>
      <c r="T37" s="758" t="str">
        <f>IF($F37="","",INDEX(C_FuelStreams!BU:BU,MATCH($C37,C_FuelStreams!$A:$A,0)))</f>
        <v/>
      </c>
      <c r="U37" s="756" t="str">
        <f>IF($F37="","",INDEX(C_FuelStreams!BV:BV,MATCH($C37,C_FuelStreams!$A:$A,0)))</f>
        <v/>
      </c>
      <c r="V37" s="756" t="str">
        <f>IF($F37="","",INDEX(C_FuelStreams!BW:BW,MATCH($C37,C_FuelStreams!$A:$A,0)))</f>
        <v/>
      </c>
      <c r="W37" s="13" t="str">
        <f>IF($F37="","",INDEX(C_FuelStreams!BX:BX,MATCH($C37,C_FuelStreams!$A:$A,0)))</f>
        <v/>
      </c>
      <c r="X37" s="756" t="str">
        <f>IF($F37="","",INDEX(C_FuelStreams!BY:BY,MATCH($C37,C_FuelStreams!$A:$A,0)))</f>
        <v/>
      </c>
      <c r="Y37" s="13" t="str">
        <f>IF($F37="","",INDEX(C_FuelStreams!BZ:BZ,MATCH($C37,C_FuelStreams!$A:$A,0)))</f>
        <v/>
      </c>
      <c r="Z37" s="13" t="str">
        <f>IF($F37="","",INDEX(C_FuelStreams!CA:CA,MATCH($C37,C_FuelStreams!$A:$A,0)))</f>
        <v/>
      </c>
      <c r="AA37" s="13" t="str">
        <f>IF($F37="","",INDEX(C_FuelStreams!CB:CB,MATCH($C37,C_FuelStreams!$A:$A,0)))</f>
        <v/>
      </c>
      <c r="AB37" s="13" t="str">
        <f>IF($F37="","",INDEX(C_FuelStreams!CC:CC,MATCH($C37,C_FuelStreams!$A:$A,0)))</f>
        <v/>
      </c>
      <c r="AC37" s="13" t="str">
        <f>IF($F37="","",INDEX(C_FuelStreams!CD:CD,MATCH($C37,C_FuelStreams!$A:$A,0)))</f>
        <v/>
      </c>
      <c r="AD37" s="757" t="str">
        <f>IF($F37="","",INDEX(C_FuelStreams!CE:CE,MATCH($C37,C_FuelStreams!$A:$A,0)))</f>
        <v/>
      </c>
      <c r="AE37" s="757" t="str">
        <f>IF($F37="","",INDEX(C_FuelStreams!CF:CF,MATCH($C37,C_FuelStreams!$A:$A,0)))</f>
        <v/>
      </c>
      <c r="AF37" s="757" t="str">
        <f>IF($F37="","",INDEX(C_FuelStreams!CG:CG,MATCH($C37,C_FuelStreams!$A:$A,0)))</f>
        <v/>
      </c>
      <c r="AG37" s="757" t="str">
        <f>IF($F37="","",INDEX(C_FuelStreams!CH:CH,MATCH($C37,C_FuelStreams!$A:$A,0)))</f>
        <v/>
      </c>
      <c r="AH37" s="757" t="str">
        <f>IF($F37="","",INDEX(C_FuelStreams!CI:CI,MATCH($C37,C_FuelStreams!$A:$A,0)))</f>
        <v/>
      </c>
      <c r="AI37" s="757" t="str">
        <f>IF($F37="","",INDEX(C_FuelStreams!CJ:CJ,MATCH($C37,C_FuelStreams!$A:$A,0)))</f>
        <v/>
      </c>
      <c r="AJ37" s="757" t="str">
        <f>IF($F37="","",INDEX(C_FuelStreams!CK:CK,MATCH($C37,C_FuelStreams!$A:$A,0)))</f>
        <v/>
      </c>
      <c r="AK37" s="757" t="str">
        <f>IF($F37="","",INDEX(C_FuelStreams!CL:CL,MATCH($C37,C_FuelStreams!$A:$A,0)))</f>
        <v/>
      </c>
      <c r="AL37" s="757" t="str">
        <f>IF($F37="","",INDEX(C_FuelStreams!CM:CM,MATCH($C37,C_FuelStreams!$A:$A,0)))</f>
        <v/>
      </c>
      <c r="AM37" s="757" t="str">
        <f>IF($F37="","",INDEX(C_FuelStreams!CN:CN,MATCH($C37,C_FuelStreams!$A:$A,0)))</f>
        <v/>
      </c>
      <c r="AN37" s="757" t="str">
        <f>IF($F37="","",INDEX(C_FuelStreams!CO:CO,MATCH($C37,C_FuelStreams!$A:$A,0)))</f>
        <v/>
      </c>
      <c r="AO37" s="759" t="str">
        <f>IF($F37="","",INDEX(C_FuelStreams!BK:BK,MATCH($C37,C_FuelStreams!$A:$A,0)+3))</f>
        <v/>
      </c>
      <c r="AP37" s="759" t="str">
        <f>IF($F37="","",INDEX(C_FuelStreams!BL:BL,MATCH($C37,C_FuelStreams!$A:$A,0)+3))</f>
        <v/>
      </c>
      <c r="AQ37" s="759" t="str">
        <f>IF($F37="","",INDEX(C_FuelStreams!BM:BM,MATCH($C37,C_FuelStreams!$A:$A,0)+3))</f>
        <v/>
      </c>
      <c r="AR37" s="757" t="str">
        <f>IF($F37="","",INDEX(C_FuelStreams!CP:CP,MATCH($C37,C_FuelStreams!$A:$A,0)))</f>
        <v/>
      </c>
      <c r="AT37" s="514" t="str">
        <f>IF($F37="","",INDEX(B_IdentifyFuelStreams!$E$67:$E$116,MATCH($F37,CNTR_SourceStreamNames,0)))</f>
        <v/>
      </c>
      <c r="AU37" s="514" t="str">
        <f>IF($F37="","",INDEX(B_IdentifyFuelStreams!$I$67:$I$116,MATCH($F37,CNTR_SourceStreamNames,0)))</f>
        <v/>
      </c>
      <c r="AV37" s="514" t="str">
        <f>IF($F37="","",IF(INDEX(B_IdentifyFuelStreams!$L$67:$L$116,MATCH($F37,CNTR_SourceStreamNames,0))="","",INDEX(B_IdentifyFuelStreams!$L$67:$L$116,MATCH($F37,CNTR_SourceStreamNames,0))))</f>
        <v/>
      </c>
    </row>
    <row r="38" spans="3:48" x14ac:dyDescent="0.25">
      <c r="C38" s="751">
        <f t="shared" si="5"/>
        <v>26</v>
      </c>
      <c r="D38" s="751" t="str">
        <f t="shared" si="3"/>
        <v/>
      </c>
      <c r="E38" s="754" t="str">
        <f t="shared" si="4"/>
        <v/>
      </c>
      <c r="F38" s="755" t="str">
        <f>IF(INDEX(C_FuelStreams!BI:BI,MATCH($C38,C_FuelStreams!$A:$A,0))="","",INDEX(C_FuelStreams!BI:BI,MATCH($C38,C_FuelStreams!$A:$A,0)))</f>
        <v/>
      </c>
      <c r="G38" s="755" t="str">
        <f>IF(F38="","",INDEX(C_FuelStreams!K:K,MATCH($C38,C_FuelStreams!$A:$A,0)))</f>
        <v/>
      </c>
      <c r="H38" s="755" t="str">
        <f>IF(F38="","",INDEX(C_FuelStreams!K:K,MATCH($C38,C_FuelStreams!$A:$A,0)+1))</f>
        <v/>
      </c>
      <c r="I38" s="756" t="str">
        <f>IF($F38="","",INDEX(C_FuelStreams!BJ:BJ,MATCH($C38,C_FuelStreams!$A:$A,0)))</f>
        <v/>
      </c>
      <c r="J38" s="757" t="str">
        <f>IF($F38="","",INDEX(C_FuelStreams!BK:BK,MATCH($C38,C_FuelStreams!$A:$A,0)))</f>
        <v/>
      </c>
      <c r="K38" s="757" t="str">
        <f>IF($F38="","",SUM(J38)-INDEX(C_FuelStreams!BL:BL,MATCH($C38,C_FuelStreams!$A:$A,0)))</f>
        <v/>
      </c>
      <c r="L38" s="756" t="str">
        <f>IF($F38="","",INDEX(C_FuelStreams!BM:BM,MATCH($C38,C_FuelStreams!$A:$A,0)))</f>
        <v/>
      </c>
      <c r="M38" s="756" t="str">
        <f>IF($F38="","",INDEX(C_FuelStreams!BN:BN,MATCH($C38,C_FuelStreams!$A:$A,0)))</f>
        <v/>
      </c>
      <c r="N38" s="754" t="str">
        <f>IF($F38="","",INDEX(C_FuelStreams!BO:BO,MATCH($C38,C_FuelStreams!$A:$A,0)))</f>
        <v/>
      </c>
      <c r="O38" s="18" t="str">
        <f>IF($F38="","",INDEX(C_FuelStreams!BP:BP,MATCH($C38,C_FuelStreams!$A:$A,0)))</f>
        <v/>
      </c>
      <c r="P38" s="756" t="str">
        <f>IF($F38="","",INDEX(C_FuelStreams!BQ:BQ,MATCH($C38,C_FuelStreams!$A:$A,0)))</f>
        <v/>
      </c>
      <c r="Q38" s="758" t="str">
        <f>IF($F38="","",INDEX(C_FuelStreams!BR:BR,MATCH($C38,C_FuelStreams!$A:$A,0)))</f>
        <v/>
      </c>
      <c r="R38" s="756" t="str">
        <f>IF($F38="","",INDEX(C_FuelStreams!BS:BS,MATCH($C38,C_FuelStreams!$A:$A,0)))</f>
        <v/>
      </c>
      <c r="S38" s="756" t="str">
        <f>IF($F38="","",INDEX(C_FuelStreams!BT:BT,MATCH($C38,C_FuelStreams!$A:$A,0)))</f>
        <v/>
      </c>
      <c r="T38" s="758" t="str">
        <f>IF($F38="","",INDEX(C_FuelStreams!BU:BU,MATCH($C38,C_FuelStreams!$A:$A,0)))</f>
        <v/>
      </c>
      <c r="U38" s="756" t="str">
        <f>IF($F38="","",INDEX(C_FuelStreams!BV:BV,MATCH($C38,C_FuelStreams!$A:$A,0)))</f>
        <v/>
      </c>
      <c r="V38" s="756" t="str">
        <f>IF($F38="","",INDEX(C_FuelStreams!BW:BW,MATCH($C38,C_FuelStreams!$A:$A,0)))</f>
        <v/>
      </c>
      <c r="W38" s="13" t="str">
        <f>IF($F38="","",INDEX(C_FuelStreams!BX:BX,MATCH($C38,C_FuelStreams!$A:$A,0)))</f>
        <v/>
      </c>
      <c r="X38" s="756" t="str">
        <f>IF($F38="","",INDEX(C_FuelStreams!BY:BY,MATCH($C38,C_FuelStreams!$A:$A,0)))</f>
        <v/>
      </c>
      <c r="Y38" s="13" t="str">
        <f>IF($F38="","",INDEX(C_FuelStreams!BZ:BZ,MATCH($C38,C_FuelStreams!$A:$A,0)))</f>
        <v/>
      </c>
      <c r="Z38" s="13" t="str">
        <f>IF($F38="","",INDEX(C_FuelStreams!CA:CA,MATCH($C38,C_FuelStreams!$A:$A,0)))</f>
        <v/>
      </c>
      <c r="AA38" s="13" t="str">
        <f>IF($F38="","",INDEX(C_FuelStreams!CB:CB,MATCH($C38,C_FuelStreams!$A:$A,0)))</f>
        <v/>
      </c>
      <c r="AB38" s="13" t="str">
        <f>IF($F38="","",INDEX(C_FuelStreams!CC:CC,MATCH($C38,C_FuelStreams!$A:$A,0)))</f>
        <v/>
      </c>
      <c r="AC38" s="13" t="str">
        <f>IF($F38="","",INDEX(C_FuelStreams!CD:CD,MATCH($C38,C_FuelStreams!$A:$A,0)))</f>
        <v/>
      </c>
      <c r="AD38" s="757" t="str">
        <f>IF($F38="","",INDEX(C_FuelStreams!CE:CE,MATCH($C38,C_FuelStreams!$A:$A,0)))</f>
        <v/>
      </c>
      <c r="AE38" s="757" t="str">
        <f>IF($F38="","",INDEX(C_FuelStreams!CF:CF,MATCH($C38,C_FuelStreams!$A:$A,0)))</f>
        <v/>
      </c>
      <c r="AF38" s="757" t="str">
        <f>IF($F38="","",INDEX(C_FuelStreams!CG:CG,MATCH($C38,C_FuelStreams!$A:$A,0)))</f>
        <v/>
      </c>
      <c r="AG38" s="757" t="str">
        <f>IF($F38="","",INDEX(C_FuelStreams!CH:CH,MATCH($C38,C_FuelStreams!$A:$A,0)))</f>
        <v/>
      </c>
      <c r="AH38" s="757" t="str">
        <f>IF($F38="","",INDEX(C_FuelStreams!CI:CI,MATCH($C38,C_FuelStreams!$A:$A,0)))</f>
        <v/>
      </c>
      <c r="AI38" s="757" t="str">
        <f>IF($F38="","",INDEX(C_FuelStreams!CJ:CJ,MATCH($C38,C_FuelStreams!$A:$A,0)))</f>
        <v/>
      </c>
      <c r="AJ38" s="757" t="str">
        <f>IF($F38="","",INDEX(C_FuelStreams!CK:CK,MATCH($C38,C_FuelStreams!$A:$A,0)))</f>
        <v/>
      </c>
      <c r="AK38" s="757" t="str">
        <f>IF($F38="","",INDEX(C_FuelStreams!CL:CL,MATCH($C38,C_FuelStreams!$A:$A,0)))</f>
        <v/>
      </c>
      <c r="AL38" s="757" t="str">
        <f>IF($F38="","",INDEX(C_FuelStreams!CM:CM,MATCH($C38,C_FuelStreams!$A:$A,0)))</f>
        <v/>
      </c>
      <c r="AM38" s="757" t="str">
        <f>IF($F38="","",INDEX(C_FuelStreams!CN:CN,MATCH($C38,C_FuelStreams!$A:$A,0)))</f>
        <v/>
      </c>
      <c r="AN38" s="757" t="str">
        <f>IF($F38="","",INDEX(C_FuelStreams!CO:CO,MATCH($C38,C_FuelStreams!$A:$A,0)))</f>
        <v/>
      </c>
      <c r="AO38" s="759" t="str">
        <f>IF($F38="","",INDEX(C_FuelStreams!BK:BK,MATCH($C38,C_FuelStreams!$A:$A,0)+3))</f>
        <v/>
      </c>
      <c r="AP38" s="759" t="str">
        <f>IF($F38="","",INDEX(C_FuelStreams!BL:BL,MATCH($C38,C_FuelStreams!$A:$A,0)+3))</f>
        <v/>
      </c>
      <c r="AQ38" s="759" t="str">
        <f>IF($F38="","",INDEX(C_FuelStreams!BM:BM,MATCH($C38,C_FuelStreams!$A:$A,0)+3))</f>
        <v/>
      </c>
      <c r="AR38" s="757" t="str">
        <f>IF($F38="","",INDEX(C_FuelStreams!CP:CP,MATCH($C38,C_FuelStreams!$A:$A,0)))</f>
        <v/>
      </c>
      <c r="AT38" s="514" t="str">
        <f>IF($F38="","",INDEX(B_IdentifyFuelStreams!$E$67:$E$116,MATCH($F38,CNTR_SourceStreamNames,0)))</f>
        <v/>
      </c>
      <c r="AU38" s="514" t="str">
        <f>IF($F38="","",INDEX(B_IdentifyFuelStreams!$I$67:$I$116,MATCH($F38,CNTR_SourceStreamNames,0)))</f>
        <v/>
      </c>
      <c r="AV38" s="514" t="str">
        <f>IF($F38="","",IF(INDEX(B_IdentifyFuelStreams!$L$67:$L$116,MATCH($F38,CNTR_SourceStreamNames,0))="","",INDEX(B_IdentifyFuelStreams!$L$67:$L$116,MATCH($F38,CNTR_SourceStreamNames,0))))</f>
        <v/>
      </c>
    </row>
    <row r="39" spans="3:48" x14ac:dyDescent="0.25">
      <c r="C39" s="751">
        <f t="shared" si="5"/>
        <v>27</v>
      </c>
      <c r="D39" s="751" t="str">
        <f t="shared" si="3"/>
        <v/>
      </c>
      <c r="E39" s="754" t="str">
        <f t="shared" si="4"/>
        <v/>
      </c>
      <c r="F39" s="755" t="str">
        <f>IF(INDEX(C_FuelStreams!BI:BI,MATCH($C39,C_FuelStreams!$A:$A,0))="","",INDEX(C_FuelStreams!BI:BI,MATCH($C39,C_FuelStreams!$A:$A,0)))</f>
        <v/>
      </c>
      <c r="G39" s="755" t="str">
        <f>IF(F39="","",INDEX(C_FuelStreams!K:K,MATCH($C39,C_FuelStreams!$A:$A,0)))</f>
        <v/>
      </c>
      <c r="H39" s="755" t="str">
        <f>IF(F39="","",INDEX(C_FuelStreams!K:K,MATCH($C39,C_FuelStreams!$A:$A,0)+1))</f>
        <v/>
      </c>
      <c r="I39" s="756" t="str">
        <f>IF($F39="","",INDEX(C_FuelStreams!BJ:BJ,MATCH($C39,C_FuelStreams!$A:$A,0)))</f>
        <v/>
      </c>
      <c r="J39" s="757" t="str">
        <f>IF($F39="","",INDEX(C_FuelStreams!BK:BK,MATCH($C39,C_FuelStreams!$A:$A,0)))</f>
        <v/>
      </c>
      <c r="K39" s="757" t="str">
        <f>IF($F39="","",SUM(J39)-INDEX(C_FuelStreams!BL:BL,MATCH($C39,C_FuelStreams!$A:$A,0)))</f>
        <v/>
      </c>
      <c r="L39" s="756" t="str">
        <f>IF($F39="","",INDEX(C_FuelStreams!BM:BM,MATCH($C39,C_FuelStreams!$A:$A,0)))</f>
        <v/>
      </c>
      <c r="M39" s="756" t="str">
        <f>IF($F39="","",INDEX(C_FuelStreams!BN:BN,MATCH($C39,C_FuelStreams!$A:$A,0)))</f>
        <v/>
      </c>
      <c r="N39" s="754" t="str">
        <f>IF($F39="","",INDEX(C_FuelStreams!BO:BO,MATCH($C39,C_FuelStreams!$A:$A,0)))</f>
        <v/>
      </c>
      <c r="O39" s="18" t="str">
        <f>IF($F39="","",INDEX(C_FuelStreams!BP:BP,MATCH($C39,C_FuelStreams!$A:$A,0)))</f>
        <v/>
      </c>
      <c r="P39" s="756" t="str">
        <f>IF($F39="","",INDEX(C_FuelStreams!BQ:BQ,MATCH($C39,C_FuelStreams!$A:$A,0)))</f>
        <v/>
      </c>
      <c r="Q39" s="758" t="str">
        <f>IF($F39="","",INDEX(C_FuelStreams!BR:BR,MATCH($C39,C_FuelStreams!$A:$A,0)))</f>
        <v/>
      </c>
      <c r="R39" s="756" t="str">
        <f>IF($F39="","",INDEX(C_FuelStreams!BS:BS,MATCH($C39,C_FuelStreams!$A:$A,0)))</f>
        <v/>
      </c>
      <c r="S39" s="756" t="str">
        <f>IF($F39="","",INDEX(C_FuelStreams!BT:BT,MATCH($C39,C_FuelStreams!$A:$A,0)))</f>
        <v/>
      </c>
      <c r="T39" s="758" t="str">
        <f>IF($F39="","",INDEX(C_FuelStreams!BU:BU,MATCH($C39,C_FuelStreams!$A:$A,0)))</f>
        <v/>
      </c>
      <c r="U39" s="756" t="str">
        <f>IF($F39="","",INDEX(C_FuelStreams!BV:BV,MATCH($C39,C_FuelStreams!$A:$A,0)))</f>
        <v/>
      </c>
      <c r="V39" s="756" t="str">
        <f>IF($F39="","",INDEX(C_FuelStreams!BW:BW,MATCH($C39,C_FuelStreams!$A:$A,0)))</f>
        <v/>
      </c>
      <c r="W39" s="13" t="str">
        <f>IF($F39="","",INDEX(C_FuelStreams!BX:BX,MATCH($C39,C_FuelStreams!$A:$A,0)))</f>
        <v/>
      </c>
      <c r="X39" s="756" t="str">
        <f>IF($F39="","",INDEX(C_FuelStreams!BY:BY,MATCH($C39,C_FuelStreams!$A:$A,0)))</f>
        <v/>
      </c>
      <c r="Y39" s="13" t="str">
        <f>IF($F39="","",INDEX(C_FuelStreams!BZ:BZ,MATCH($C39,C_FuelStreams!$A:$A,0)))</f>
        <v/>
      </c>
      <c r="Z39" s="13" t="str">
        <f>IF($F39="","",INDEX(C_FuelStreams!CA:CA,MATCH($C39,C_FuelStreams!$A:$A,0)))</f>
        <v/>
      </c>
      <c r="AA39" s="13" t="str">
        <f>IF($F39="","",INDEX(C_FuelStreams!CB:CB,MATCH($C39,C_FuelStreams!$A:$A,0)))</f>
        <v/>
      </c>
      <c r="AB39" s="13" t="str">
        <f>IF($F39="","",INDEX(C_FuelStreams!CC:CC,MATCH($C39,C_FuelStreams!$A:$A,0)))</f>
        <v/>
      </c>
      <c r="AC39" s="13" t="str">
        <f>IF($F39="","",INDEX(C_FuelStreams!CD:CD,MATCH($C39,C_FuelStreams!$A:$A,0)))</f>
        <v/>
      </c>
      <c r="AD39" s="757" t="str">
        <f>IF($F39="","",INDEX(C_FuelStreams!CE:CE,MATCH($C39,C_FuelStreams!$A:$A,0)))</f>
        <v/>
      </c>
      <c r="AE39" s="757" t="str">
        <f>IF($F39="","",INDEX(C_FuelStreams!CF:CF,MATCH($C39,C_FuelStreams!$A:$A,0)))</f>
        <v/>
      </c>
      <c r="AF39" s="757" t="str">
        <f>IF($F39="","",INDEX(C_FuelStreams!CG:CG,MATCH($C39,C_FuelStreams!$A:$A,0)))</f>
        <v/>
      </c>
      <c r="AG39" s="757" t="str">
        <f>IF($F39="","",INDEX(C_FuelStreams!CH:CH,MATCH($C39,C_FuelStreams!$A:$A,0)))</f>
        <v/>
      </c>
      <c r="AH39" s="757" t="str">
        <f>IF($F39="","",INDEX(C_FuelStreams!CI:CI,MATCH($C39,C_FuelStreams!$A:$A,0)))</f>
        <v/>
      </c>
      <c r="AI39" s="757" t="str">
        <f>IF($F39="","",INDEX(C_FuelStreams!CJ:CJ,MATCH($C39,C_FuelStreams!$A:$A,0)))</f>
        <v/>
      </c>
      <c r="AJ39" s="757" t="str">
        <f>IF($F39="","",INDEX(C_FuelStreams!CK:CK,MATCH($C39,C_FuelStreams!$A:$A,0)))</f>
        <v/>
      </c>
      <c r="AK39" s="757" t="str">
        <f>IF($F39="","",INDEX(C_FuelStreams!CL:CL,MATCH($C39,C_FuelStreams!$A:$A,0)))</f>
        <v/>
      </c>
      <c r="AL39" s="757" t="str">
        <f>IF($F39="","",INDEX(C_FuelStreams!CM:CM,MATCH($C39,C_FuelStreams!$A:$A,0)))</f>
        <v/>
      </c>
      <c r="AM39" s="757" t="str">
        <f>IF($F39="","",INDEX(C_FuelStreams!CN:CN,MATCH($C39,C_FuelStreams!$A:$A,0)))</f>
        <v/>
      </c>
      <c r="AN39" s="757" t="str">
        <f>IF($F39="","",INDEX(C_FuelStreams!CO:CO,MATCH($C39,C_FuelStreams!$A:$A,0)))</f>
        <v/>
      </c>
      <c r="AO39" s="759" t="str">
        <f>IF($F39="","",INDEX(C_FuelStreams!BK:BK,MATCH($C39,C_FuelStreams!$A:$A,0)+3))</f>
        <v/>
      </c>
      <c r="AP39" s="759" t="str">
        <f>IF($F39="","",INDEX(C_FuelStreams!BL:BL,MATCH($C39,C_FuelStreams!$A:$A,0)+3))</f>
        <v/>
      </c>
      <c r="AQ39" s="759" t="str">
        <f>IF($F39="","",INDEX(C_FuelStreams!BM:BM,MATCH($C39,C_FuelStreams!$A:$A,0)+3))</f>
        <v/>
      </c>
      <c r="AR39" s="757" t="str">
        <f>IF($F39="","",INDEX(C_FuelStreams!CP:CP,MATCH($C39,C_FuelStreams!$A:$A,0)))</f>
        <v/>
      </c>
      <c r="AT39" s="514" t="str">
        <f>IF($F39="","",INDEX(B_IdentifyFuelStreams!$E$67:$E$116,MATCH($F39,CNTR_SourceStreamNames,0)))</f>
        <v/>
      </c>
      <c r="AU39" s="514" t="str">
        <f>IF($F39="","",INDEX(B_IdentifyFuelStreams!$I$67:$I$116,MATCH($F39,CNTR_SourceStreamNames,0)))</f>
        <v/>
      </c>
      <c r="AV39" s="514" t="str">
        <f>IF($F39="","",IF(INDEX(B_IdentifyFuelStreams!$L$67:$L$116,MATCH($F39,CNTR_SourceStreamNames,0))="","",INDEX(B_IdentifyFuelStreams!$L$67:$L$116,MATCH($F39,CNTR_SourceStreamNames,0))))</f>
        <v/>
      </c>
    </row>
    <row r="40" spans="3:48" x14ac:dyDescent="0.25">
      <c r="C40" s="751">
        <f t="shared" si="5"/>
        <v>28</v>
      </c>
      <c r="D40" s="751" t="str">
        <f t="shared" si="3"/>
        <v/>
      </c>
      <c r="E40" s="754" t="str">
        <f t="shared" si="4"/>
        <v/>
      </c>
      <c r="F40" s="755" t="str">
        <f>IF(INDEX(C_FuelStreams!BI:BI,MATCH($C40,C_FuelStreams!$A:$A,0))="","",INDEX(C_FuelStreams!BI:BI,MATCH($C40,C_FuelStreams!$A:$A,0)))</f>
        <v/>
      </c>
      <c r="G40" s="755" t="str">
        <f>IF(F40="","",INDEX(C_FuelStreams!K:K,MATCH($C40,C_FuelStreams!$A:$A,0)))</f>
        <v/>
      </c>
      <c r="H40" s="755" t="str">
        <f>IF(F40="","",INDEX(C_FuelStreams!K:K,MATCH($C40,C_FuelStreams!$A:$A,0)+1))</f>
        <v/>
      </c>
      <c r="I40" s="756" t="str">
        <f>IF($F40="","",INDEX(C_FuelStreams!BJ:BJ,MATCH($C40,C_FuelStreams!$A:$A,0)))</f>
        <v/>
      </c>
      <c r="J40" s="757" t="str">
        <f>IF($F40="","",INDEX(C_FuelStreams!BK:BK,MATCH($C40,C_FuelStreams!$A:$A,0)))</f>
        <v/>
      </c>
      <c r="K40" s="757" t="str">
        <f>IF($F40="","",SUM(J40)-INDEX(C_FuelStreams!BL:BL,MATCH($C40,C_FuelStreams!$A:$A,0)))</f>
        <v/>
      </c>
      <c r="L40" s="756" t="str">
        <f>IF($F40="","",INDEX(C_FuelStreams!BM:BM,MATCH($C40,C_FuelStreams!$A:$A,0)))</f>
        <v/>
      </c>
      <c r="M40" s="756" t="str">
        <f>IF($F40="","",INDEX(C_FuelStreams!BN:BN,MATCH($C40,C_FuelStreams!$A:$A,0)))</f>
        <v/>
      </c>
      <c r="N40" s="754" t="str">
        <f>IF($F40="","",INDEX(C_FuelStreams!BO:BO,MATCH($C40,C_FuelStreams!$A:$A,0)))</f>
        <v/>
      </c>
      <c r="O40" s="18" t="str">
        <f>IF($F40="","",INDEX(C_FuelStreams!BP:BP,MATCH($C40,C_FuelStreams!$A:$A,0)))</f>
        <v/>
      </c>
      <c r="P40" s="756" t="str">
        <f>IF($F40="","",INDEX(C_FuelStreams!BQ:BQ,MATCH($C40,C_FuelStreams!$A:$A,0)))</f>
        <v/>
      </c>
      <c r="Q40" s="758" t="str">
        <f>IF($F40="","",INDEX(C_FuelStreams!BR:BR,MATCH($C40,C_FuelStreams!$A:$A,0)))</f>
        <v/>
      </c>
      <c r="R40" s="756" t="str">
        <f>IF($F40="","",INDEX(C_FuelStreams!BS:BS,MATCH($C40,C_FuelStreams!$A:$A,0)))</f>
        <v/>
      </c>
      <c r="S40" s="756" t="str">
        <f>IF($F40="","",INDEX(C_FuelStreams!BT:BT,MATCH($C40,C_FuelStreams!$A:$A,0)))</f>
        <v/>
      </c>
      <c r="T40" s="758" t="str">
        <f>IF($F40="","",INDEX(C_FuelStreams!BU:BU,MATCH($C40,C_FuelStreams!$A:$A,0)))</f>
        <v/>
      </c>
      <c r="U40" s="756" t="str">
        <f>IF($F40="","",INDEX(C_FuelStreams!BV:BV,MATCH($C40,C_FuelStreams!$A:$A,0)))</f>
        <v/>
      </c>
      <c r="V40" s="756" t="str">
        <f>IF($F40="","",INDEX(C_FuelStreams!BW:BW,MATCH($C40,C_FuelStreams!$A:$A,0)))</f>
        <v/>
      </c>
      <c r="W40" s="13" t="str">
        <f>IF($F40="","",INDEX(C_FuelStreams!BX:BX,MATCH($C40,C_FuelStreams!$A:$A,0)))</f>
        <v/>
      </c>
      <c r="X40" s="756" t="str">
        <f>IF($F40="","",INDEX(C_FuelStreams!BY:BY,MATCH($C40,C_FuelStreams!$A:$A,0)))</f>
        <v/>
      </c>
      <c r="Y40" s="13" t="str">
        <f>IF($F40="","",INDEX(C_FuelStreams!BZ:BZ,MATCH($C40,C_FuelStreams!$A:$A,0)))</f>
        <v/>
      </c>
      <c r="Z40" s="13" t="str">
        <f>IF($F40="","",INDEX(C_FuelStreams!CA:CA,MATCH($C40,C_FuelStreams!$A:$A,0)))</f>
        <v/>
      </c>
      <c r="AA40" s="13" t="str">
        <f>IF($F40="","",INDEX(C_FuelStreams!CB:CB,MATCH($C40,C_FuelStreams!$A:$A,0)))</f>
        <v/>
      </c>
      <c r="AB40" s="13" t="str">
        <f>IF($F40="","",INDEX(C_FuelStreams!CC:CC,MATCH($C40,C_FuelStreams!$A:$A,0)))</f>
        <v/>
      </c>
      <c r="AC40" s="13" t="str">
        <f>IF($F40="","",INDEX(C_FuelStreams!CD:CD,MATCH($C40,C_FuelStreams!$A:$A,0)))</f>
        <v/>
      </c>
      <c r="AD40" s="757" t="str">
        <f>IF($F40="","",INDEX(C_FuelStreams!CE:CE,MATCH($C40,C_FuelStreams!$A:$A,0)))</f>
        <v/>
      </c>
      <c r="AE40" s="757" t="str">
        <f>IF($F40="","",INDEX(C_FuelStreams!CF:CF,MATCH($C40,C_FuelStreams!$A:$A,0)))</f>
        <v/>
      </c>
      <c r="AF40" s="757" t="str">
        <f>IF($F40="","",INDEX(C_FuelStreams!CG:CG,MATCH($C40,C_FuelStreams!$A:$A,0)))</f>
        <v/>
      </c>
      <c r="AG40" s="757" t="str">
        <f>IF($F40="","",INDEX(C_FuelStreams!CH:CH,MATCH($C40,C_FuelStreams!$A:$A,0)))</f>
        <v/>
      </c>
      <c r="AH40" s="757" t="str">
        <f>IF($F40="","",INDEX(C_FuelStreams!CI:CI,MATCH($C40,C_FuelStreams!$A:$A,0)))</f>
        <v/>
      </c>
      <c r="AI40" s="757" t="str">
        <f>IF($F40="","",INDEX(C_FuelStreams!CJ:CJ,MATCH($C40,C_FuelStreams!$A:$A,0)))</f>
        <v/>
      </c>
      <c r="AJ40" s="757" t="str">
        <f>IF($F40="","",INDEX(C_FuelStreams!CK:CK,MATCH($C40,C_FuelStreams!$A:$A,0)))</f>
        <v/>
      </c>
      <c r="AK40" s="757" t="str">
        <f>IF($F40="","",INDEX(C_FuelStreams!CL:CL,MATCH($C40,C_FuelStreams!$A:$A,0)))</f>
        <v/>
      </c>
      <c r="AL40" s="757" t="str">
        <f>IF($F40="","",INDEX(C_FuelStreams!CM:CM,MATCH($C40,C_FuelStreams!$A:$A,0)))</f>
        <v/>
      </c>
      <c r="AM40" s="757" t="str">
        <f>IF($F40="","",INDEX(C_FuelStreams!CN:CN,MATCH($C40,C_FuelStreams!$A:$A,0)))</f>
        <v/>
      </c>
      <c r="AN40" s="757" t="str">
        <f>IF($F40="","",INDEX(C_FuelStreams!CO:CO,MATCH($C40,C_FuelStreams!$A:$A,0)))</f>
        <v/>
      </c>
      <c r="AO40" s="759" t="str">
        <f>IF($F40="","",INDEX(C_FuelStreams!BK:BK,MATCH($C40,C_FuelStreams!$A:$A,0)+3))</f>
        <v/>
      </c>
      <c r="AP40" s="759" t="str">
        <f>IF($F40="","",INDEX(C_FuelStreams!BL:BL,MATCH($C40,C_FuelStreams!$A:$A,0)+3))</f>
        <v/>
      </c>
      <c r="AQ40" s="759" t="str">
        <f>IF($F40="","",INDEX(C_FuelStreams!BM:BM,MATCH($C40,C_FuelStreams!$A:$A,0)+3))</f>
        <v/>
      </c>
      <c r="AR40" s="757" t="str">
        <f>IF($F40="","",INDEX(C_FuelStreams!CP:CP,MATCH($C40,C_FuelStreams!$A:$A,0)))</f>
        <v/>
      </c>
      <c r="AT40" s="514" t="str">
        <f>IF($F40="","",INDEX(B_IdentifyFuelStreams!$E$67:$E$116,MATCH($F40,CNTR_SourceStreamNames,0)))</f>
        <v/>
      </c>
      <c r="AU40" s="514" t="str">
        <f>IF($F40="","",INDEX(B_IdentifyFuelStreams!$I$67:$I$116,MATCH($F40,CNTR_SourceStreamNames,0)))</f>
        <v/>
      </c>
      <c r="AV40" s="514" t="str">
        <f>IF($F40="","",IF(INDEX(B_IdentifyFuelStreams!$L$67:$L$116,MATCH($F40,CNTR_SourceStreamNames,0))="","",INDEX(B_IdentifyFuelStreams!$L$67:$L$116,MATCH($F40,CNTR_SourceStreamNames,0))))</f>
        <v/>
      </c>
    </row>
    <row r="41" spans="3:48" x14ac:dyDescent="0.25">
      <c r="C41" s="751">
        <f t="shared" si="5"/>
        <v>29</v>
      </c>
      <c r="D41" s="751" t="str">
        <f t="shared" si="3"/>
        <v/>
      </c>
      <c r="E41" s="754" t="str">
        <f t="shared" si="4"/>
        <v/>
      </c>
      <c r="F41" s="755" t="str">
        <f>IF(INDEX(C_FuelStreams!BI:BI,MATCH($C41,C_FuelStreams!$A:$A,0))="","",INDEX(C_FuelStreams!BI:BI,MATCH($C41,C_FuelStreams!$A:$A,0)))</f>
        <v/>
      </c>
      <c r="G41" s="755" t="str">
        <f>IF(F41="","",INDEX(C_FuelStreams!K:K,MATCH($C41,C_FuelStreams!$A:$A,0)))</f>
        <v/>
      </c>
      <c r="H41" s="755" t="str">
        <f>IF(F41="","",INDEX(C_FuelStreams!K:K,MATCH($C41,C_FuelStreams!$A:$A,0)+1))</f>
        <v/>
      </c>
      <c r="I41" s="756" t="str">
        <f>IF($F41="","",INDEX(C_FuelStreams!BJ:BJ,MATCH($C41,C_FuelStreams!$A:$A,0)))</f>
        <v/>
      </c>
      <c r="J41" s="757" t="str">
        <f>IF($F41="","",INDEX(C_FuelStreams!BK:BK,MATCH($C41,C_FuelStreams!$A:$A,0)))</f>
        <v/>
      </c>
      <c r="K41" s="757" t="str">
        <f>IF($F41="","",SUM(J41)-INDEX(C_FuelStreams!BL:BL,MATCH($C41,C_FuelStreams!$A:$A,0)))</f>
        <v/>
      </c>
      <c r="L41" s="756" t="str">
        <f>IF($F41="","",INDEX(C_FuelStreams!BM:BM,MATCH($C41,C_FuelStreams!$A:$A,0)))</f>
        <v/>
      </c>
      <c r="M41" s="756" t="str">
        <f>IF($F41="","",INDEX(C_FuelStreams!BN:BN,MATCH($C41,C_FuelStreams!$A:$A,0)))</f>
        <v/>
      </c>
      <c r="N41" s="754" t="str">
        <f>IF($F41="","",INDEX(C_FuelStreams!BO:BO,MATCH($C41,C_FuelStreams!$A:$A,0)))</f>
        <v/>
      </c>
      <c r="O41" s="18" t="str">
        <f>IF($F41="","",INDEX(C_FuelStreams!BP:BP,MATCH($C41,C_FuelStreams!$A:$A,0)))</f>
        <v/>
      </c>
      <c r="P41" s="756" t="str">
        <f>IF($F41="","",INDEX(C_FuelStreams!BQ:BQ,MATCH($C41,C_FuelStreams!$A:$A,0)))</f>
        <v/>
      </c>
      <c r="Q41" s="758" t="str">
        <f>IF($F41="","",INDEX(C_FuelStreams!BR:BR,MATCH($C41,C_FuelStreams!$A:$A,0)))</f>
        <v/>
      </c>
      <c r="R41" s="756" t="str">
        <f>IF($F41="","",INDEX(C_FuelStreams!BS:BS,MATCH($C41,C_FuelStreams!$A:$A,0)))</f>
        <v/>
      </c>
      <c r="S41" s="756" t="str">
        <f>IF($F41="","",INDEX(C_FuelStreams!BT:BT,MATCH($C41,C_FuelStreams!$A:$A,0)))</f>
        <v/>
      </c>
      <c r="T41" s="758" t="str">
        <f>IF($F41="","",INDEX(C_FuelStreams!BU:BU,MATCH($C41,C_FuelStreams!$A:$A,0)))</f>
        <v/>
      </c>
      <c r="U41" s="756" t="str">
        <f>IF($F41="","",INDEX(C_FuelStreams!BV:BV,MATCH($C41,C_FuelStreams!$A:$A,0)))</f>
        <v/>
      </c>
      <c r="V41" s="756" t="str">
        <f>IF($F41="","",INDEX(C_FuelStreams!BW:BW,MATCH($C41,C_FuelStreams!$A:$A,0)))</f>
        <v/>
      </c>
      <c r="W41" s="13" t="str">
        <f>IF($F41="","",INDEX(C_FuelStreams!BX:BX,MATCH($C41,C_FuelStreams!$A:$A,0)))</f>
        <v/>
      </c>
      <c r="X41" s="756" t="str">
        <f>IF($F41="","",INDEX(C_FuelStreams!BY:BY,MATCH($C41,C_FuelStreams!$A:$A,0)))</f>
        <v/>
      </c>
      <c r="Y41" s="13" t="str">
        <f>IF($F41="","",INDEX(C_FuelStreams!BZ:BZ,MATCH($C41,C_FuelStreams!$A:$A,0)))</f>
        <v/>
      </c>
      <c r="Z41" s="13" t="str">
        <f>IF($F41="","",INDEX(C_FuelStreams!CA:CA,MATCH($C41,C_FuelStreams!$A:$A,0)))</f>
        <v/>
      </c>
      <c r="AA41" s="13" t="str">
        <f>IF($F41="","",INDEX(C_FuelStreams!CB:CB,MATCH($C41,C_FuelStreams!$A:$A,0)))</f>
        <v/>
      </c>
      <c r="AB41" s="13" t="str">
        <f>IF($F41="","",INDEX(C_FuelStreams!CC:CC,MATCH($C41,C_FuelStreams!$A:$A,0)))</f>
        <v/>
      </c>
      <c r="AC41" s="13" t="str">
        <f>IF($F41="","",INDEX(C_FuelStreams!CD:CD,MATCH($C41,C_FuelStreams!$A:$A,0)))</f>
        <v/>
      </c>
      <c r="AD41" s="757" t="str">
        <f>IF($F41="","",INDEX(C_FuelStreams!CE:CE,MATCH($C41,C_FuelStreams!$A:$A,0)))</f>
        <v/>
      </c>
      <c r="AE41" s="757" t="str">
        <f>IF($F41="","",INDEX(C_FuelStreams!CF:CF,MATCH($C41,C_FuelStreams!$A:$A,0)))</f>
        <v/>
      </c>
      <c r="AF41" s="757" t="str">
        <f>IF($F41="","",INDEX(C_FuelStreams!CG:CG,MATCH($C41,C_FuelStreams!$A:$A,0)))</f>
        <v/>
      </c>
      <c r="AG41" s="757" t="str">
        <f>IF($F41="","",INDEX(C_FuelStreams!CH:CH,MATCH($C41,C_FuelStreams!$A:$A,0)))</f>
        <v/>
      </c>
      <c r="AH41" s="757" t="str">
        <f>IF($F41="","",INDEX(C_FuelStreams!CI:CI,MATCH($C41,C_FuelStreams!$A:$A,0)))</f>
        <v/>
      </c>
      <c r="AI41" s="757" t="str">
        <f>IF($F41="","",INDEX(C_FuelStreams!CJ:CJ,MATCH($C41,C_FuelStreams!$A:$A,0)))</f>
        <v/>
      </c>
      <c r="AJ41" s="757" t="str">
        <f>IF($F41="","",INDEX(C_FuelStreams!CK:CK,MATCH($C41,C_FuelStreams!$A:$A,0)))</f>
        <v/>
      </c>
      <c r="AK41" s="757" t="str">
        <f>IF($F41="","",INDEX(C_FuelStreams!CL:CL,MATCH($C41,C_FuelStreams!$A:$A,0)))</f>
        <v/>
      </c>
      <c r="AL41" s="757" t="str">
        <f>IF($F41="","",INDEX(C_FuelStreams!CM:CM,MATCH($C41,C_FuelStreams!$A:$A,0)))</f>
        <v/>
      </c>
      <c r="AM41" s="757" t="str">
        <f>IF($F41="","",INDEX(C_FuelStreams!CN:CN,MATCH($C41,C_FuelStreams!$A:$A,0)))</f>
        <v/>
      </c>
      <c r="AN41" s="757" t="str">
        <f>IF($F41="","",INDEX(C_FuelStreams!CO:CO,MATCH($C41,C_FuelStreams!$A:$A,0)))</f>
        <v/>
      </c>
      <c r="AO41" s="759" t="str">
        <f>IF($F41="","",INDEX(C_FuelStreams!BK:BK,MATCH($C41,C_FuelStreams!$A:$A,0)+3))</f>
        <v/>
      </c>
      <c r="AP41" s="759" t="str">
        <f>IF($F41="","",INDEX(C_FuelStreams!BL:BL,MATCH($C41,C_FuelStreams!$A:$A,0)+3))</f>
        <v/>
      </c>
      <c r="AQ41" s="759" t="str">
        <f>IF($F41="","",INDEX(C_FuelStreams!BM:BM,MATCH($C41,C_FuelStreams!$A:$A,0)+3))</f>
        <v/>
      </c>
      <c r="AR41" s="757" t="str">
        <f>IF($F41="","",INDEX(C_FuelStreams!CP:CP,MATCH($C41,C_FuelStreams!$A:$A,0)))</f>
        <v/>
      </c>
      <c r="AT41" s="514" t="str">
        <f>IF($F41="","",INDEX(B_IdentifyFuelStreams!$E$67:$E$116,MATCH($F41,CNTR_SourceStreamNames,0)))</f>
        <v/>
      </c>
      <c r="AU41" s="514" t="str">
        <f>IF($F41="","",INDEX(B_IdentifyFuelStreams!$I$67:$I$116,MATCH($F41,CNTR_SourceStreamNames,0)))</f>
        <v/>
      </c>
      <c r="AV41" s="514" t="str">
        <f>IF($F41="","",IF(INDEX(B_IdentifyFuelStreams!$L$67:$L$116,MATCH($F41,CNTR_SourceStreamNames,0))="","",INDEX(B_IdentifyFuelStreams!$L$67:$L$116,MATCH($F41,CNTR_SourceStreamNames,0))))</f>
        <v/>
      </c>
    </row>
    <row r="42" spans="3:48" x14ac:dyDescent="0.25">
      <c r="C42" s="751">
        <f t="shared" si="5"/>
        <v>30</v>
      </c>
      <c r="D42" s="751" t="str">
        <f t="shared" si="3"/>
        <v/>
      </c>
      <c r="E42" s="754" t="str">
        <f t="shared" si="4"/>
        <v/>
      </c>
      <c r="F42" s="755" t="str">
        <f>IF(INDEX(C_FuelStreams!BI:BI,MATCH($C42,C_FuelStreams!$A:$A,0))="","",INDEX(C_FuelStreams!BI:BI,MATCH($C42,C_FuelStreams!$A:$A,0)))</f>
        <v/>
      </c>
      <c r="G42" s="755" t="str">
        <f>IF(F42="","",INDEX(C_FuelStreams!K:K,MATCH($C42,C_FuelStreams!$A:$A,0)))</f>
        <v/>
      </c>
      <c r="H42" s="755" t="str">
        <f>IF(F42="","",INDEX(C_FuelStreams!K:K,MATCH($C42,C_FuelStreams!$A:$A,0)+1))</f>
        <v/>
      </c>
      <c r="I42" s="756" t="str">
        <f>IF($F42="","",INDEX(C_FuelStreams!BJ:BJ,MATCH($C42,C_FuelStreams!$A:$A,0)))</f>
        <v/>
      </c>
      <c r="J42" s="757" t="str">
        <f>IF($F42="","",INDEX(C_FuelStreams!BK:BK,MATCH($C42,C_FuelStreams!$A:$A,0)))</f>
        <v/>
      </c>
      <c r="K42" s="757" t="str">
        <f>IF($F42="","",SUM(J42)-INDEX(C_FuelStreams!BL:BL,MATCH($C42,C_FuelStreams!$A:$A,0)))</f>
        <v/>
      </c>
      <c r="L42" s="756" t="str">
        <f>IF($F42="","",INDEX(C_FuelStreams!BM:BM,MATCH($C42,C_FuelStreams!$A:$A,0)))</f>
        <v/>
      </c>
      <c r="M42" s="756" t="str">
        <f>IF($F42="","",INDEX(C_FuelStreams!BN:BN,MATCH($C42,C_FuelStreams!$A:$A,0)))</f>
        <v/>
      </c>
      <c r="N42" s="754" t="str">
        <f>IF($F42="","",INDEX(C_FuelStreams!BO:BO,MATCH($C42,C_FuelStreams!$A:$A,0)))</f>
        <v/>
      </c>
      <c r="O42" s="18" t="str">
        <f>IF($F42="","",INDEX(C_FuelStreams!BP:BP,MATCH($C42,C_FuelStreams!$A:$A,0)))</f>
        <v/>
      </c>
      <c r="P42" s="756" t="str">
        <f>IF($F42="","",INDEX(C_FuelStreams!BQ:BQ,MATCH($C42,C_FuelStreams!$A:$A,0)))</f>
        <v/>
      </c>
      <c r="Q42" s="758" t="str">
        <f>IF($F42="","",INDEX(C_FuelStreams!BR:BR,MATCH($C42,C_FuelStreams!$A:$A,0)))</f>
        <v/>
      </c>
      <c r="R42" s="756" t="str">
        <f>IF($F42="","",INDEX(C_FuelStreams!BS:BS,MATCH($C42,C_FuelStreams!$A:$A,0)))</f>
        <v/>
      </c>
      <c r="S42" s="756" t="str">
        <f>IF($F42="","",INDEX(C_FuelStreams!BT:BT,MATCH($C42,C_FuelStreams!$A:$A,0)))</f>
        <v/>
      </c>
      <c r="T42" s="758" t="str">
        <f>IF($F42="","",INDEX(C_FuelStreams!BU:BU,MATCH($C42,C_FuelStreams!$A:$A,0)))</f>
        <v/>
      </c>
      <c r="U42" s="756" t="str">
        <f>IF($F42="","",INDEX(C_FuelStreams!BV:BV,MATCH($C42,C_FuelStreams!$A:$A,0)))</f>
        <v/>
      </c>
      <c r="V42" s="756" t="str">
        <f>IF($F42="","",INDEX(C_FuelStreams!BW:BW,MATCH($C42,C_FuelStreams!$A:$A,0)))</f>
        <v/>
      </c>
      <c r="W42" s="13" t="str">
        <f>IF($F42="","",INDEX(C_FuelStreams!BX:BX,MATCH($C42,C_FuelStreams!$A:$A,0)))</f>
        <v/>
      </c>
      <c r="X42" s="756" t="str">
        <f>IF($F42="","",INDEX(C_FuelStreams!BY:BY,MATCH($C42,C_FuelStreams!$A:$A,0)))</f>
        <v/>
      </c>
      <c r="Y42" s="13" t="str">
        <f>IF($F42="","",INDEX(C_FuelStreams!BZ:BZ,MATCH($C42,C_FuelStreams!$A:$A,0)))</f>
        <v/>
      </c>
      <c r="Z42" s="13" t="str">
        <f>IF($F42="","",INDEX(C_FuelStreams!CA:CA,MATCH($C42,C_FuelStreams!$A:$A,0)))</f>
        <v/>
      </c>
      <c r="AA42" s="13" t="str">
        <f>IF($F42="","",INDEX(C_FuelStreams!CB:CB,MATCH($C42,C_FuelStreams!$A:$A,0)))</f>
        <v/>
      </c>
      <c r="AB42" s="13" t="str">
        <f>IF($F42="","",INDEX(C_FuelStreams!CC:CC,MATCH($C42,C_FuelStreams!$A:$A,0)))</f>
        <v/>
      </c>
      <c r="AC42" s="13" t="str">
        <f>IF($F42="","",INDEX(C_FuelStreams!CD:CD,MATCH($C42,C_FuelStreams!$A:$A,0)))</f>
        <v/>
      </c>
      <c r="AD42" s="757" t="str">
        <f>IF($F42="","",INDEX(C_FuelStreams!CE:CE,MATCH($C42,C_FuelStreams!$A:$A,0)))</f>
        <v/>
      </c>
      <c r="AE42" s="757" t="str">
        <f>IF($F42="","",INDEX(C_FuelStreams!CF:CF,MATCH($C42,C_FuelStreams!$A:$A,0)))</f>
        <v/>
      </c>
      <c r="AF42" s="757" t="str">
        <f>IF($F42="","",INDEX(C_FuelStreams!CG:CG,MATCH($C42,C_FuelStreams!$A:$A,0)))</f>
        <v/>
      </c>
      <c r="AG42" s="757" t="str">
        <f>IF($F42="","",INDEX(C_FuelStreams!CH:CH,MATCH($C42,C_FuelStreams!$A:$A,0)))</f>
        <v/>
      </c>
      <c r="AH42" s="757" t="str">
        <f>IF($F42="","",INDEX(C_FuelStreams!CI:CI,MATCH($C42,C_FuelStreams!$A:$A,0)))</f>
        <v/>
      </c>
      <c r="AI42" s="757" t="str">
        <f>IF($F42="","",INDEX(C_FuelStreams!CJ:CJ,MATCH($C42,C_FuelStreams!$A:$A,0)))</f>
        <v/>
      </c>
      <c r="AJ42" s="757" t="str">
        <f>IF($F42="","",INDEX(C_FuelStreams!CK:CK,MATCH($C42,C_FuelStreams!$A:$A,0)))</f>
        <v/>
      </c>
      <c r="AK42" s="757" t="str">
        <f>IF($F42="","",INDEX(C_FuelStreams!CL:CL,MATCH($C42,C_FuelStreams!$A:$A,0)))</f>
        <v/>
      </c>
      <c r="AL42" s="757" t="str">
        <f>IF($F42="","",INDEX(C_FuelStreams!CM:CM,MATCH($C42,C_FuelStreams!$A:$A,0)))</f>
        <v/>
      </c>
      <c r="AM42" s="757" t="str">
        <f>IF($F42="","",INDEX(C_FuelStreams!CN:CN,MATCH($C42,C_FuelStreams!$A:$A,0)))</f>
        <v/>
      </c>
      <c r="AN42" s="757" t="str">
        <f>IF($F42="","",INDEX(C_FuelStreams!CO:CO,MATCH($C42,C_FuelStreams!$A:$A,0)))</f>
        <v/>
      </c>
      <c r="AO42" s="759" t="str">
        <f>IF($F42="","",INDEX(C_FuelStreams!BK:BK,MATCH($C42,C_FuelStreams!$A:$A,0)+3))</f>
        <v/>
      </c>
      <c r="AP42" s="759" t="str">
        <f>IF($F42="","",INDEX(C_FuelStreams!BL:BL,MATCH($C42,C_FuelStreams!$A:$A,0)+3))</f>
        <v/>
      </c>
      <c r="AQ42" s="759" t="str">
        <f>IF($F42="","",INDEX(C_FuelStreams!BM:BM,MATCH($C42,C_FuelStreams!$A:$A,0)+3))</f>
        <v/>
      </c>
      <c r="AR42" s="757" t="str">
        <f>IF($F42="","",INDEX(C_FuelStreams!CP:CP,MATCH($C42,C_FuelStreams!$A:$A,0)))</f>
        <v/>
      </c>
      <c r="AT42" s="514" t="str">
        <f>IF($F42="","",INDEX(B_IdentifyFuelStreams!$E$67:$E$116,MATCH($F42,CNTR_SourceStreamNames,0)))</f>
        <v/>
      </c>
      <c r="AU42" s="514" t="str">
        <f>IF($F42="","",INDEX(B_IdentifyFuelStreams!$I$67:$I$116,MATCH($F42,CNTR_SourceStreamNames,0)))</f>
        <v/>
      </c>
      <c r="AV42" s="514" t="str">
        <f>IF($F42="","",IF(INDEX(B_IdentifyFuelStreams!$L$67:$L$116,MATCH($F42,CNTR_SourceStreamNames,0))="","",INDEX(B_IdentifyFuelStreams!$L$67:$L$116,MATCH($F42,CNTR_SourceStreamNames,0))))</f>
        <v/>
      </c>
    </row>
    <row r="43" spans="3:48" x14ac:dyDescent="0.25">
      <c r="C43" s="751">
        <f t="shared" si="5"/>
        <v>31</v>
      </c>
      <c r="D43" s="751" t="str">
        <f t="shared" si="3"/>
        <v/>
      </c>
      <c r="E43" s="754" t="str">
        <f t="shared" si="4"/>
        <v/>
      </c>
      <c r="F43" s="755" t="str">
        <f>IF(INDEX(C_FuelStreams!BI:BI,MATCH($C43,C_FuelStreams!$A:$A,0))="","",INDEX(C_FuelStreams!BI:BI,MATCH($C43,C_FuelStreams!$A:$A,0)))</f>
        <v/>
      </c>
      <c r="G43" s="755" t="str">
        <f>IF(F43="","",INDEX(C_FuelStreams!K:K,MATCH($C43,C_FuelStreams!$A:$A,0)))</f>
        <v/>
      </c>
      <c r="H43" s="755" t="str">
        <f>IF(F43="","",INDEX(C_FuelStreams!K:K,MATCH($C43,C_FuelStreams!$A:$A,0)+1))</f>
        <v/>
      </c>
      <c r="I43" s="756" t="str">
        <f>IF($F43="","",INDEX(C_FuelStreams!BJ:BJ,MATCH($C43,C_FuelStreams!$A:$A,0)))</f>
        <v/>
      </c>
      <c r="J43" s="757" t="str">
        <f>IF($F43="","",INDEX(C_FuelStreams!BK:BK,MATCH($C43,C_FuelStreams!$A:$A,0)))</f>
        <v/>
      </c>
      <c r="K43" s="757" t="str">
        <f>IF($F43="","",SUM(J43)-INDEX(C_FuelStreams!BL:BL,MATCH($C43,C_FuelStreams!$A:$A,0)))</f>
        <v/>
      </c>
      <c r="L43" s="756" t="str">
        <f>IF($F43="","",INDEX(C_FuelStreams!BM:BM,MATCH($C43,C_FuelStreams!$A:$A,0)))</f>
        <v/>
      </c>
      <c r="M43" s="756" t="str">
        <f>IF($F43="","",INDEX(C_FuelStreams!BN:BN,MATCH($C43,C_FuelStreams!$A:$A,0)))</f>
        <v/>
      </c>
      <c r="N43" s="754" t="str">
        <f>IF($F43="","",INDEX(C_FuelStreams!BO:BO,MATCH($C43,C_FuelStreams!$A:$A,0)))</f>
        <v/>
      </c>
      <c r="O43" s="18" t="str">
        <f>IF($F43="","",INDEX(C_FuelStreams!BP:BP,MATCH($C43,C_FuelStreams!$A:$A,0)))</f>
        <v/>
      </c>
      <c r="P43" s="756" t="str">
        <f>IF($F43="","",INDEX(C_FuelStreams!BQ:BQ,MATCH($C43,C_FuelStreams!$A:$A,0)))</f>
        <v/>
      </c>
      <c r="Q43" s="758" t="str">
        <f>IF($F43="","",INDEX(C_FuelStreams!BR:BR,MATCH($C43,C_FuelStreams!$A:$A,0)))</f>
        <v/>
      </c>
      <c r="R43" s="756" t="str">
        <f>IF($F43="","",INDEX(C_FuelStreams!BS:BS,MATCH($C43,C_FuelStreams!$A:$A,0)))</f>
        <v/>
      </c>
      <c r="S43" s="756" t="str">
        <f>IF($F43="","",INDEX(C_FuelStreams!BT:BT,MATCH($C43,C_FuelStreams!$A:$A,0)))</f>
        <v/>
      </c>
      <c r="T43" s="758" t="str">
        <f>IF($F43="","",INDEX(C_FuelStreams!BU:BU,MATCH($C43,C_FuelStreams!$A:$A,0)))</f>
        <v/>
      </c>
      <c r="U43" s="756" t="str">
        <f>IF($F43="","",INDEX(C_FuelStreams!BV:BV,MATCH($C43,C_FuelStreams!$A:$A,0)))</f>
        <v/>
      </c>
      <c r="V43" s="756" t="str">
        <f>IF($F43="","",INDEX(C_FuelStreams!BW:BW,MATCH($C43,C_FuelStreams!$A:$A,0)))</f>
        <v/>
      </c>
      <c r="W43" s="13" t="str">
        <f>IF($F43="","",INDEX(C_FuelStreams!BX:BX,MATCH($C43,C_FuelStreams!$A:$A,0)))</f>
        <v/>
      </c>
      <c r="X43" s="756" t="str">
        <f>IF($F43="","",INDEX(C_FuelStreams!BY:BY,MATCH($C43,C_FuelStreams!$A:$A,0)))</f>
        <v/>
      </c>
      <c r="Y43" s="13" t="str">
        <f>IF($F43="","",INDEX(C_FuelStreams!BZ:BZ,MATCH($C43,C_FuelStreams!$A:$A,0)))</f>
        <v/>
      </c>
      <c r="Z43" s="13" t="str">
        <f>IF($F43="","",INDEX(C_FuelStreams!CA:CA,MATCH($C43,C_FuelStreams!$A:$A,0)))</f>
        <v/>
      </c>
      <c r="AA43" s="13" t="str">
        <f>IF($F43="","",INDEX(C_FuelStreams!CB:CB,MATCH($C43,C_FuelStreams!$A:$A,0)))</f>
        <v/>
      </c>
      <c r="AB43" s="13" t="str">
        <f>IF($F43="","",INDEX(C_FuelStreams!CC:CC,MATCH($C43,C_FuelStreams!$A:$A,0)))</f>
        <v/>
      </c>
      <c r="AC43" s="13" t="str">
        <f>IF($F43="","",INDEX(C_FuelStreams!CD:CD,MATCH($C43,C_FuelStreams!$A:$A,0)))</f>
        <v/>
      </c>
      <c r="AD43" s="757" t="str">
        <f>IF($F43="","",INDEX(C_FuelStreams!CE:CE,MATCH($C43,C_FuelStreams!$A:$A,0)))</f>
        <v/>
      </c>
      <c r="AE43" s="757" t="str">
        <f>IF($F43="","",INDEX(C_FuelStreams!CF:CF,MATCH($C43,C_FuelStreams!$A:$A,0)))</f>
        <v/>
      </c>
      <c r="AF43" s="757" t="str">
        <f>IF($F43="","",INDEX(C_FuelStreams!CG:CG,MATCH($C43,C_FuelStreams!$A:$A,0)))</f>
        <v/>
      </c>
      <c r="AG43" s="757" t="str">
        <f>IF($F43="","",INDEX(C_FuelStreams!CH:CH,MATCH($C43,C_FuelStreams!$A:$A,0)))</f>
        <v/>
      </c>
      <c r="AH43" s="757" t="str">
        <f>IF($F43="","",INDEX(C_FuelStreams!CI:CI,MATCH($C43,C_FuelStreams!$A:$A,0)))</f>
        <v/>
      </c>
      <c r="AI43" s="757" t="str">
        <f>IF($F43="","",INDEX(C_FuelStreams!CJ:CJ,MATCH($C43,C_FuelStreams!$A:$A,0)))</f>
        <v/>
      </c>
      <c r="AJ43" s="757" t="str">
        <f>IF($F43="","",INDEX(C_FuelStreams!CK:CK,MATCH($C43,C_FuelStreams!$A:$A,0)))</f>
        <v/>
      </c>
      <c r="AK43" s="757" t="str">
        <f>IF($F43="","",INDEX(C_FuelStreams!CL:CL,MATCH($C43,C_FuelStreams!$A:$A,0)))</f>
        <v/>
      </c>
      <c r="AL43" s="757" t="str">
        <f>IF($F43="","",INDEX(C_FuelStreams!CM:CM,MATCH($C43,C_FuelStreams!$A:$A,0)))</f>
        <v/>
      </c>
      <c r="AM43" s="757" t="str">
        <f>IF($F43="","",INDEX(C_FuelStreams!CN:CN,MATCH($C43,C_FuelStreams!$A:$A,0)))</f>
        <v/>
      </c>
      <c r="AN43" s="757" t="str">
        <f>IF($F43="","",INDEX(C_FuelStreams!CO:CO,MATCH($C43,C_FuelStreams!$A:$A,0)))</f>
        <v/>
      </c>
      <c r="AO43" s="759" t="str">
        <f>IF($F43="","",INDEX(C_FuelStreams!BK:BK,MATCH($C43,C_FuelStreams!$A:$A,0)+3))</f>
        <v/>
      </c>
      <c r="AP43" s="759" t="str">
        <f>IF($F43="","",INDEX(C_FuelStreams!BL:BL,MATCH($C43,C_FuelStreams!$A:$A,0)+3))</f>
        <v/>
      </c>
      <c r="AQ43" s="759" t="str">
        <f>IF($F43="","",INDEX(C_FuelStreams!BM:BM,MATCH($C43,C_FuelStreams!$A:$A,0)+3))</f>
        <v/>
      </c>
      <c r="AR43" s="757" t="str">
        <f>IF($F43="","",INDEX(C_FuelStreams!CP:CP,MATCH($C43,C_FuelStreams!$A:$A,0)))</f>
        <v/>
      </c>
      <c r="AT43" s="514" t="str">
        <f>IF($F43="","",INDEX(B_IdentifyFuelStreams!$E$67:$E$116,MATCH($F43,CNTR_SourceStreamNames,0)))</f>
        <v/>
      </c>
      <c r="AU43" s="514" t="str">
        <f>IF($F43="","",INDEX(B_IdentifyFuelStreams!$I$67:$I$116,MATCH($F43,CNTR_SourceStreamNames,0)))</f>
        <v/>
      </c>
      <c r="AV43" s="514" t="str">
        <f>IF($F43="","",IF(INDEX(B_IdentifyFuelStreams!$L$67:$L$116,MATCH($F43,CNTR_SourceStreamNames,0))="","",INDEX(B_IdentifyFuelStreams!$L$67:$L$116,MATCH($F43,CNTR_SourceStreamNames,0))))</f>
        <v/>
      </c>
    </row>
    <row r="44" spans="3:48" x14ac:dyDescent="0.25">
      <c r="C44" s="751">
        <f t="shared" si="5"/>
        <v>32</v>
      </c>
      <c r="D44" s="751" t="str">
        <f t="shared" si="3"/>
        <v/>
      </c>
      <c r="E44" s="754" t="str">
        <f t="shared" si="4"/>
        <v/>
      </c>
      <c r="F44" s="755" t="str">
        <f>IF(INDEX(C_FuelStreams!BI:BI,MATCH($C44,C_FuelStreams!$A:$A,0))="","",INDEX(C_FuelStreams!BI:BI,MATCH($C44,C_FuelStreams!$A:$A,0)))</f>
        <v/>
      </c>
      <c r="G44" s="755" t="str">
        <f>IF(F44="","",INDEX(C_FuelStreams!K:K,MATCH($C44,C_FuelStreams!$A:$A,0)))</f>
        <v/>
      </c>
      <c r="H44" s="755" t="str">
        <f>IF(F44="","",INDEX(C_FuelStreams!K:K,MATCH($C44,C_FuelStreams!$A:$A,0)+1))</f>
        <v/>
      </c>
      <c r="I44" s="756" t="str">
        <f>IF($F44="","",INDEX(C_FuelStreams!BJ:BJ,MATCH($C44,C_FuelStreams!$A:$A,0)))</f>
        <v/>
      </c>
      <c r="J44" s="757" t="str">
        <f>IF($F44="","",INDEX(C_FuelStreams!BK:BK,MATCH($C44,C_FuelStreams!$A:$A,0)))</f>
        <v/>
      </c>
      <c r="K44" s="757" t="str">
        <f>IF($F44="","",SUM(J44)-INDEX(C_FuelStreams!BL:BL,MATCH($C44,C_FuelStreams!$A:$A,0)))</f>
        <v/>
      </c>
      <c r="L44" s="756" t="str">
        <f>IF($F44="","",INDEX(C_FuelStreams!BM:BM,MATCH($C44,C_FuelStreams!$A:$A,0)))</f>
        <v/>
      </c>
      <c r="M44" s="756" t="str">
        <f>IF($F44="","",INDEX(C_FuelStreams!BN:BN,MATCH($C44,C_FuelStreams!$A:$A,0)))</f>
        <v/>
      </c>
      <c r="N44" s="754" t="str">
        <f>IF($F44="","",INDEX(C_FuelStreams!BO:BO,MATCH($C44,C_FuelStreams!$A:$A,0)))</f>
        <v/>
      </c>
      <c r="O44" s="18" t="str">
        <f>IF($F44="","",INDEX(C_FuelStreams!BP:BP,MATCH($C44,C_FuelStreams!$A:$A,0)))</f>
        <v/>
      </c>
      <c r="P44" s="756" t="str">
        <f>IF($F44="","",INDEX(C_FuelStreams!BQ:BQ,MATCH($C44,C_FuelStreams!$A:$A,0)))</f>
        <v/>
      </c>
      <c r="Q44" s="758" t="str">
        <f>IF($F44="","",INDEX(C_FuelStreams!BR:BR,MATCH($C44,C_FuelStreams!$A:$A,0)))</f>
        <v/>
      </c>
      <c r="R44" s="756" t="str">
        <f>IF($F44="","",INDEX(C_FuelStreams!BS:BS,MATCH($C44,C_FuelStreams!$A:$A,0)))</f>
        <v/>
      </c>
      <c r="S44" s="756" t="str">
        <f>IF($F44="","",INDEX(C_FuelStreams!BT:BT,MATCH($C44,C_FuelStreams!$A:$A,0)))</f>
        <v/>
      </c>
      <c r="T44" s="758" t="str">
        <f>IF($F44="","",INDEX(C_FuelStreams!BU:BU,MATCH($C44,C_FuelStreams!$A:$A,0)))</f>
        <v/>
      </c>
      <c r="U44" s="756" t="str">
        <f>IF($F44="","",INDEX(C_FuelStreams!BV:BV,MATCH($C44,C_FuelStreams!$A:$A,0)))</f>
        <v/>
      </c>
      <c r="V44" s="756" t="str">
        <f>IF($F44="","",INDEX(C_FuelStreams!BW:BW,MATCH($C44,C_FuelStreams!$A:$A,0)))</f>
        <v/>
      </c>
      <c r="W44" s="13" t="str">
        <f>IF($F44="","",INDEX(C_FuelStreams!BX:BX,MATCH($C44,C_FuelStreams!$A:$A,0)))</f>
        <v/>
      </c>
      <c r="X44" s="756" t="str">
        <f>IF($F44="","",INDEX(C_FuelStreams!BY:BY,MATCH($C44,C_FuelStreams!$A:$A,0)))</f>
        <v/>
      </c>
      <c r="Y44" s="13" t="str">
        <f>IF($F44="","",INDEX(C_FuelStreams!BZ:BZ,MATCH($C44,C_FuelStreams!$A:$A,0)))</f>
        <v/>
      </c>
      <c r="Z44" s="13" t="str">
        <f>IF($F44="","",INDEX(C_FuelStreams!CA:CA,MATCH($C44,C_FuelStreams!$A:$A,0)))</f>
        <v/>
      </c>
      <c r="AA44" s="13" t="str">
        <f>IF($F44="","",INDEX(C_FuelStreams!CB:CB,MATCH($C44,C_FuelStreams!$A:$A,0)))</f>
        <v/>
      </c>
      <c r="AB44" s="13" t="str">
        <f>IF($F44="","",INDEX(C_FuelStreams!CC:CC,MATCH($C44,C_FuelStreams!$A:$A,0)))</f>
        <v/>
      </c>
      <c r="AC44" s="13" t="str">
        <f>IF($F44="","",INDEX(C_FuelStreams!CD:CD,MATCH($C44,C_FuelStreams!$A:$A,0)))</f>
        <v/>
      </c>
      <c r="AD44" s="757" t="str">
        <f>IF($F44="","",INDEX(C_FuelStreams!CE:CE,MATCH($C44,C_FuelStreams!$A:$A,0)))</f>
        <v/>
      </c>
      <c r="AE44" s="757" t="str">
        <f>IF($F44="","",INDEX(C_FuelStreams!CF:CF,MATCH($C44,C_FuelStreams!$A:$A,0)))</f>
        <v/>
      </c>
      <c r="AF44" s="757" t="str">
        <f>IF($F44="","",INDEX(C_FuelStreams!CG:CG,MATCH($C44,C_FuelStreams!$A:$A,0)))</f>
        <v/>
      </c>
      <c r="AG44" s="757" t="str">
        <f>IF($F44="","",INDEX(C_FuelStreams!CH:CH,MATCH($C44,C_FuelStreams!$A:$A,0)))</f>
        <v/>
      </c>
      <c r="AH44" s="757" t="str">
        <f>IF($F44="","",INDEX(C_FuelStreams!CI:CI,MATCH($C44,C_FuelStreams!$A:$A,0)))</f>
        <v/>
      </c>
      <c r="AI44" s="757" t="str">
        <f>IF($F44="","",INDEX(C_FuelStreams!CJ:CJ,MATCH($C44,C_FuelStreams!$A:$A,0)))</f>
        <v/>
      </c>
      <c r="AJ44" s="757" t="str">
        <f>IF($F44="","",INDEX(C_FuelStreams!CK:CK,MATCH($C44,C_FuelStreams!$A:$A,0)))</f>
        <v/>
      </c>
      <c r="AK44" s="757" t="str">
        <f>IF($F44="","",INDEX(C_FuelStreams!CL:CL,MATCH($C44,C_FuelStreams!$A:$A,0)))</f>
        <v/>
      </c>
      <c r="AL44" s="757" t="str">
        <f>IF($F44="","",INDEX(C_FuelStreams!CM:CM,MATCH($C44,C_FuelStreams!$A:$A,0)))</f>
        <v/>
      </c>
      <c r="AM44" s="757" t="str">
        <f>IF($F44="","",INDEX(C_FuelStreams!CN:CN,MATCH($C44,C_FuelStreams!$A:$A,0)))</f>
        <v/>
      </c>
      <c r="AN44" s="757" t="str">
        <f>IF($F44="","",INDEX(C_FuelStreams!CO:CO,MATCH($C44,C_FuelStreams!$A:$A,0)))</f>
        <v/>
      </c>
      <c r="AO44" s="759" t="str">
        <f>IF($F44="","",INDEX(C_FuelStreams!BK:BK,MATCH($C44,C_FuelStreams!$A:$A,0)+3))</f>
        <v/>
      </c>
      <c r="AP44" s="759" t="str">
        <f>IF($F44="","",INDEX(C_FuelStreams!BL:BL,MATCH($C44,C_FuelStreams!$A:$A,0)+3))</f>
        <v/>
      </c>
      <c r="AQ44" s="759" t="str">
        <f>IF($F44="","",INDEX(C_FuelStreams!BM:BM,MATCH($C44,C_FuelStreams!$A:$A,0)+3))</f>
        <v/>
      </c>
      <c r="AR44" s="757" t="str">
        <f>IF($F44="","",INDEX(C_FuelStreams!CP:CP,MATCH($C44,C_FuelStreams!$A:$A,0)))</f>
        <v/>
      </c>
      <c r="AT44" s="514" t="str">
        <f>IF($F44="","",INDEX(B_IdentifyFuelStreams!$E$67:$E$116,MATCH($F44,CNTR_SourceStreamNames,0)))</f>
        <v/>
      </c>
      <c r="AU44" s="514" t="str">
        <f>IF($F44="","",INDEX(B_IdentifyFuelStreams!$I$67:$I$116,MATCH($F44,CNTR_SourceStreamNames,0)))</f>
        <v/>
      </c>
      <c r="AV44" s="514" t="str">
        <f>IF($F44="","",IF(INDEX(B_IdentifyFuelStreams!$L$67:$L$116,MATCH($F44,CNTR_SourceStreamNames,0))="","",INDEX(B_IdentifyFuelStreams!$L$67:$L$116,MATCH($F44,CNTR_SourceStreamNames,0))))</f>
        <v/>
      </c>
    </row>
    <row r="45" spans="3:48" x14ac:dyDescent="0.25">
      <c r="C45" s="751">
        <f t="shared" si="5"/>
        <v>33</v>
      </c>
      <c r="D45" s="751" t="str">
        <f t="shared" si="3"/>
        <v/>
      </c>
      <c r="E45" s="754" t="str">
        <f t="shared" si="4"/>
        <v/>
      </c>
      <c r="F45" s="755" t="str">
        <f>IF(INDEX(C_FuelStreams!BI:BI,MATCH($C45,C_FuelStreams!$A:$A,0))="","",INDEX(C_FuelStreams!BI:BI,MATCH($C45,C_FuelStreams!$A:$A,0)))</f>
        <v/>
      </c>
      <c r="G45" s="755" t="str">
        <f>IF(F45="","",INDEX(C_FuelStreams!K:K,MATCH($C45,C_FuelStreams!$A:$A,0)))</f>
        <v/>
      </c>
      <c r="H45" s="755" t="str">
        <f>IF(F45="","",INDEX(C_FuelStreams!K:K,MATCH($C45,C_FuelStreams!$A:$A,0)+1))</f>
        <v/>
      </c>
      <c r="I45" s="756" t="str">
        <f>IF($F45="","",INDEX(C_FuelStreams!BJ:BJ,MATCH($C45,C_FuelStreams!$A:$A,0)))</f>
        <v/>
      </c>
      <c r="J45" s="757" t="str">
        <f>IF($F45="","",INDEX(C_FuelStreams!BK:BK,MATCH($C45,C_FuelStreams!$A:$A,0)))</f>
        <v/>
      </c>
      <c r="K45" s="757" t="str">
        <f>IF($F45="","",SUM(J45)-INDEX(C_FuelStreams!BL:BL,MATCH($C45,C_FuelStreams!$A:$A,0)))</f>
        <v/>
      </c>
      <c r="L45" s="756" t="str">
        <f>IF($F45="","",INDEX(C_FuelStreams!BM:BM,MATCH($C45,C_FuelStreams!$A:$A,0)))</f>
        <v/>
      </c>
      <c r="M45" s="756" t="str">
        <f>IF($F45="","",INDEX(C_FuelStreams!BN:BN,MATCH($C45,C_FuelStreams!$A:$A,0)))</f>
        <v/>
      </c>
      <c r="N45" s="754" t="str">
        <f>IF($F45="","",INDEX(C_FuelStreams!BO:BO,MATCH($C45,C_FuelStreams!$A:$A,0)))</f>
        <v/>
      </c>
      <c r="O45" s="18" t="str">
        <f>IF($F45="","",INDEX(C_FuelStreams!BP:BP,MATCH($C45,C_FuelStreams!$A:$A,0)))</f>
        <v/>
      </c>
      <c r="P45" s="756" t="str">
        <f>IF($F45="","",INDEX(C_FuelStreams!BQ:BQ,MATCH($C45,C_FuelStreams!$A:$A,0)))</f>
        <v/>
      </c>
      <c r="Q45" s="758" t="str">
        <f>IF($F45="","",INDEX(C_FuelStreams!BR:BR,MATCH($C45,C_FuelStreams!$A:$A,0)))</f>
        <v/>
      </c>
      <c r="R45" s="756" t="str">
        <f>IF($F45="","",INDEX(C_FuelStreams!BS:BS,MATCH($C45,C_FuelStreams!$A:$A,0)))</f>
        <v/>
      </c>
      <c r="S45" s="756" t="str">
        <f>IF($F45="","",INDEX(C_FuelStreams!BT:BT,MATCH($C45,C_FuelStreams!$A:$A,0)))</f>
        <v/>
      </c>
      <c r="T45" s="758" t="str">
        <f>IF($F45="","",INDEX(C_FuelStreams!BU:BU,MATCH($C45,C_FuelStreams!$A:$A,0)))</f>
        <v/>
      </c>
      <c r="U45" s="756" t="str">
        <f>IF($F45="","",INDEX(C_FuelStreams!BV:BV,MATCH($C45,C_FuelStreams!$A:$A,0)))</f>
        <v/>
      </c>
      <c r="V45" s="756" t="str">
        <f>IF($F45="","",INDEX(C_FuelStreams!BW:BW,MATCH($C45,C_FuelStreams!$A:$A,0)))</f>
        <v/>
      </c>
      <c r="W45" s="13" t="str">
        <f>IF($F45="","",INDEX(C_FuelStreams!BX:BX,MATCH($C45,C_FuelStreams!$A:$A,0)))</f>
        <v/>
      </c>
      <c r="X45" s="756" t="str">
        <f>IF($F45="","",INDEX(C_FuelStreams!BY:BY,MATCH($C45,C_FuelStreams!$A:$A,0)))</f>
        <v/>
      </c>
      <c r="Y45" s="13" t="str">
        <f>IF($F45="","",INDEX(C_FuelStreams!BZ:BZ,MATCH($C45,C_FuelStreams!$A:$A,0)))</f>
        <v/>
      </c>
      <c r="Z45" s="13" t="str">
        <f>IF($F45="","",INDEX(C_FuelStreams!CA:CA,MATCH($C45,C_FuelStreams!$A:$A,0)))</f>
        <v/>
      </c>
      <c r="AA45" s="13" t="str">
        <f>IF($F45="","",INDEX(C_FuelStreams!CB:CB,MATCH($C45,C_FuelStreams!$A:$A,0)))</f>
        <v/>
      </c>
      <c r="AB45" s="13" t="str">
        <f>IF($F45="","",INDEX(C_FuelStreams!CC:CC,MATCH($C45,C_FuelStreams!$A:$A,0)))</f>
        <v/>
      </c>
      <c r="AC45" s="13" t="str">
        <f>IF($F45="","",INDEX(C_FuelStreams!CD:CD,MATCH($C45,C_FuelStreams!$A:$A,0)))</f>
        <v/>
      </c>
      <c r="AD45" s="757" t="str">
        <f>IF($F45="","",INDEX(C_FuelStreams!CE:CE,MATCH($C45,C_FuelStreams!$A:$A,0)))</f>
        <v/>
      </c>
      <c r="AE45" s="757" t="str">
        <f>IF($F45="","",INDEX(C_FuelStreams!CF:CF,MATCH($C45,C_FuelStreams!$A:$A,0)))</f>
        <v/>
      </c>
      <c r="AF45" s="757" t="str">
        <f>IF($F45="","",INDEX(C_FuelStreams!CG:CG,MATCH($C45,C_FuelStreams!$A:$A,0)))</f>
        <v/>
      </c>
      <c r="AG45" s="757" t="str">
        <f>IF($F45="","",INDEX(C_FuelStreams!CH:CH,MATCH($C45,C_FuelStreams!$A:$A,0)))</f>
        <v/>
      </c>
      <c r="AH45" s="757" t="str">
        <f>IF($F45="","",INDEX(C_FuelStreams!CI:CI,MATCH($C45,C_FuelStreams!$A:$A,0)))</f>
        <v/>
      </c>
      <c r="AI45" s="757" t="str">
        <f>IF($F45="","",INDEX(C_FuelStreams!CJ:CJ,MATCH($C45,C_FuelStreams!$A:$A,0)))</f>
        <v/>
      </c>
      <c r="AJ45" s="757" t="str">
        <f>IF($F45="","",INDEX(C_FuelStreams!CK:CK,MATCH($C45,C_FuelStreams!$A:$A,0)))</f>
        <v/>
      </c>
      <c r="AK45" s="757" t="str">
        <f>IF($F45="","",INDEX(C_FuelStreams!CL:CL,MATCH($C45,C_FuelStreams!$A:$A,0)))</f>
        <v/>
      </c>
      <c r="AL45" s="757" t="str">
        <f>IF($F45="","",INDEX(C_FuelStreams!CM:CM,MATCH($C45,C_FuelStreams!$A:$A,0)))</f>
        <v/>
      </c>
      <c r="AM45" s="757" t="str">
        <f>IF($F45="","",INDEX(C_FuelStreams!CN:CN,MATCH($C45,C_FuelStreams!$A:$A,0)))</f>
        <v/>
      </c>
      <c r="AN45" s="757" t="str">
        <f>IF($F45="","",INDEX(C_FuelStreams!CO:CO,MATCH($C45,C_FuelStreams!$A:$A,0)))</f>
        <v/>
      </c>
      <c r="AO45" s="759" t="str">
        <f>IF($F45="","",INDEX(C_FuelStreams!BK:BK,MATCH($C45,C_FuelStreams!$A:$A,0)+3))</f>
        <v/>
      </c>
      <c r="AP45" s="759" t="str">
        <f>IF($F45="","",INDEX(C_FuelStreams!BL:BL,MATCH($C45,C_FuelStreams!$A:$A,0)+3))</f>
        <v/>
      </c>
      <c r="AQ45" s="759" t="str">
        <f>IF($F45="","",INDEX(C_FuelStreams!BM:BM,MATCH($C45,C_FuelStreams!$A:$A,0)+3))</f>
        <v/>
      </c>
      <c r="AR45" s="757" t="str">
        <f>IF($F45="","",INDEX(C_FuelStreams!CP:CP,MATCH($C45,C_FuelStreams!$A:$A,0)))</f>
        <v/>
      </c>
      <c r="AT45" s="514" t="str">
        <f>IF($F45="","",INDEX(B_IdentifyFuelStreams!$E$67:$E$116,MATCH($F45,CNTR_SourceStreamNames,0)))</f>
        <v/>
      </c>
      <c r="AU45" s="514" t="str">
        <f>IF($F45="","",INDEX(B_IdentifyFuelStreams!$I$67:$I$116,MATCH($F45,CNTR_SourceStreamNames,0)))</f>
        <v/>
      </c>
      <c r="AV45" s="514" t="str">
        <f>IF($F45="","",IF(INDEX(B_IdentifyFuelStreams!$L$67:$L$116,MATCH($F45,CNTR_SourceStreamNames,0))="","",INDEX(B_IdentifyFuelStreams!$L$67:$L$116,MATCH($F45,CNTR_SourceStreamNames,0))))</f>
        <v/>
      </c>
    </row>
    <row r="46" spans="3:48" x14ac:dyDescent="0.25">
      <c r="C46" s="751">
        <f t="shared" si="5"/>
        <v>34</v>
      </c>
      <c r="D46" s="751" t="str">
        <f t="shared" si="3"/>
        <v/>
      </c>
      <c r="E46" s="754" t="str">
        <f t="shared" si="4"/>
        <v/>
      </c>
      <c r="F46" s="755" t="str">
        <f>IF(INDEX(C_FuelStreams!BI:BI,MATCH($C46,C_FuelStreams!$A:$A,0))="","",INDEX(C_FuelStreams!BI:BI,MATCH($C46,C_FuelStreams!$A:$A,0)))</f>
        <v/>
      </c>
      <c r="G46" s="755" t="str">
        <f>IF(F46="","",INDEX(C_FuelStreams!K:K,MATCH($C46,C_FuelStreams!$A:$A,0)))</f>
        <v/>
      </c>
      <c r="H46" s="755" t="str">
        <f>IF(F46="","",INDEX(C_FuelStreams!K:K,MATCH($C46,C_FuelStreams!$A:$A,0)+1))</f>
        <v/>
      </c>
      <c r="I46" s="756" t="str">
        <f>IF($F46="","",INDEX(C_FuelStreams!BJ:BJ,MATCH($C46,C_FuelStreams!$A:$A,0)))</f>
        <v/>
      </c>
      <c r="J46" s="757" t="str">
        <f>IF($F46="","",INDEX(C_FuelStreams!BK:BK,MATCH($C46,C_FuelStreams!$A:$A,0)))</f>
        <v/>
      </c>
      <c r="K46" s="757" t="str">
        <f>IF($F46="","",SUM(J46)-INDEX(C_FuelStreams!BL:BL,MATCH($C46,C_FuelStreams!$A:$A,0)))</f>
        <v/>
      </c>
      <c r="L46" s="756" t="str">
        <f>IF($F46="","",INDEX(C_FuelStreams!BM:BM,MATCH($C46,C_FuelStreams!$A:$A,0)))</f>
        <v/>
      </c>
      <c r="M46" s="756" t="str">
        <f>IF($F46="","",INDEX(C_FuelStreams!BN:BN,MATCH($C46,C_FuelStreams!$A:$A,0)))</f>
        <v/>
      </c>
      <c r="N46" s="754" t="str">
        <f>IF($F46="","",INDEX(C_FuelStreams!BO:BO,MATCH($C46,C_FuelStreams!$A:$A,0)))</f>
        <v/>
      </c>
      <c r="O46" s="18" t="str">
        <f>IF($F46="","",INDEX(C_FuelStreams!BP:BP,MATCH($C46,C_FuelStreams!$A:$A,0)))</f>
        <v/>
      </c>
      <c r="P46" s="756" t="str">
        <f>IF($F46="","",INDEX(C_FuelStreams!BQ:BQ,MATCH($C46,C_FuelStreams!$A:$A,0)))</f>
        <v/>
      </c>
      <c r="Q46" s="758" t="str">
        <f>IF($F46="","",INDEX(C_FuelStreams!BR:BR,MATCH($C46,C_FuelStreams!$A:$A,0)))</f>
        <v/>
      </c>
      <c r="R46" s="756" t="str">
        <f>IF($F46="","",INDEX(C_FuelStreams!BS:BS,MATCH($C46,C_FuelStreams!$A:$A,0)))</f>
        <v/>
      </c>
      <c r="S46" s="756" t="str">
        <f>IF($F46="","",INDEX(C_FuelStreams!BT:BT,MATCH($C46,C_FuelStreams!$A:$A,0)))</f>
        <v/>
      </c>
      <c r="T46" s="758" t="str">
        <f>IF($F46="","",INDEX(C_FuelStreams!BU:BU,MATCH($C46,C_FuelStreams!$A:$A,0)))</f>
        <v/>
      </c>
      <c r="U46" s="756" t="str">
        <f>IF($F46="","",INDEX(C_FuelStreams!BV:BV,MATCH($C46,C_FuelStreams!$A:$A,0)))</f>
        <v/>
      </c>
      <c r="V46" s="756" t="str">
        <f>IF($F46="","",INDEX(C_FuelStreams!BW:BW,MATCH($C46,C_FuelStreams!$A:$A,0)))</f>
        <v/>
      </c>
      <c r="W46" s="13" t="str">
        <f>IF($F46="","",INDEX(C_FuelStreams!BX:BX,MATCH($C46,C_FuelStreams!$A:$A,0)))</f>
        <v/>
      </c>
      <c r="X46" s="756" t="str">
        <f>IF($F46="","",INDEX(C_FuelStreams!BY:BY,MATCH($C46,C_FuelStreams!$A:$A,0)))</f>
        <v/>
      </c>
      <c r="Y46" s="13" t="str">
        <f>IF($F46="","",INDEX(C_FuelStreams!BZ:BZ,MATCH($C46,C_FuelStreams!$A:$A,0)))</f>
        <v/>
      </c>
      <c r="Z46" s="13" t="str">
        <f>IF($F46="","",INDEX(C_FuelStreams!CA:CA,MATCH($C46,C_FuelStreams!$A:$A,0)))</f>
        <v/>
      </c>
      <c r="AA46" s="13" t="str">
        <f>IF($F46="","",INDEX(C_FuelStreams!CB:CB,MATCH($C46,C_FuelStreams!$A:$A,0)))</f>
        <v/>
      </c>
      <c r="AB46" s="13" t="str">
        <f>IF($F46="","",INDEX(C_FuelStreams!CC:CC,MATCH($C46,C_FuelStreams!$A:$A,0)))</f>
        <v/>
      </c>
      <c r="AC46" s="13" t="str">
        <f>IF($F46="","",INDEX(C_FuelStreams!CD:CD,MATCH($C46,C_FuelStreams!$A:$A,0)))</f>
        <v/>
      </c>
      <c r="AD46" s="757" t="str">
        <f>IF($F46="","",INDEX(C_FuelStreams!CE:CE,MATCH($C46,C_FuelStreams!$A:$A,0)))</f>
        <v/>
      </c>
      <c r="AE46" s="757" t="str">
        <f>IF($F46="","",INDEX(C_FuelStreams!CF:CF,MATCH($C46,C_FuelStreams!$A:$A,0)))</f>
        <v/>
      </c>
      <c r="AF46" s="757" t="str">
        <f>IF($F46="","",INDEX(C_FuelStreams!CG:CG,MATCH($C46,C_FuelStreams!$A:$A,0)))</f>
        <v/>
      </c>
      <c r="AG46" s="757" t="str">
        <f>IF($F46="","",INDEX(C_FuelStreams!CH:CH,MATCH($C46,C_FuelStreams!$A:$A,0)))</f>
        <v/>
      </c>
      <c r="AH46" s="757" t="str">
        <f>IF($F46="","",INDEX(C_FuelStreams!CI:CI,MATCH($C46,C_FuelStreams!$A:$A,0)))</f>
        <v/>
      </c>
      <c r="AI46" s="757" t="str">
        <f>IF($F46="","",INDEX(C_FuelStreams!CJ:CJ,MATCH($C46,C_FuelStreams!$A:$A,0)))</f>
        <v/>
      </c>
      <c r="AJ46" s="757" t="str">
        <f>IF($F46="","",INDEX(C_FuelStreams!CK:CK,MATCH($C46,C_FuelStreams!$A:$A,0)))</f>
        <v/>
      </c>
      <c r="AK46" s="757" t="str">
        <f>IF($F46="","",INDEX(C_FuelStreams!CL:CL,MATCH($C46,C_FuelStreams!$A:$A,0)))</f>
        <v/>
      </c>
      <c r="AL46" s="757" t="str">
        <f>IF($F46="","",INDEX(C_FuelStreams!CM:CM,MATCH($C46,C_FuelStreams!$A:$A,0)))</f>
        <v/>
      </c>
      <c r="AM46" s="757" t="str">
        <f>IF($F46="","",INDEX(C_FuelStreams!CN:CN,MATCH($C46,C_FuelStreams!$A:$A,0)))</f>
        <v/>
      </c>
      <c r="AN46" s="757" t="str">
        <f>IF($F46="","",INDEX(C_FuelStreams!CO:CO,MATCH($C46,C_FuelStreams!$A:$A,0)))</f>
        <v/>
      </c>
      <c r="AO46" s="759" t="str">
        <f>IF($F46="","",INDEX(C_FuelStreams!BK:BK,MATCH($C46,C_FuelStreams!$A:$A,0)+3))</f>
        <v/>
      </c>
      <c r="AP46" s="759" t="str">
        <f>IF($F46="","",INDEX(C_FuelStreams!BL:BL,MATCH($C46,C_FuelStreams!$A:$A,0)+3))</f>
        <v/>
      </c>
      <c r="AQ46" s="759" t="str">
        <f>IF($F46="","",INDEX(C_FuelStreams!BM:BM,MATCH($C46,C_FuelStreams!$A:$A,0)+3))</f>
        <v/>
      </c>
      <c r="AR46" s="757" t="str">
        <f>IF($F46="","",INDEX(C_FuelStreams!CP:CP,MATCH($C46,C_FuelStreams!$A:$A,0)))</f>
        <v/>
      </c>
      <c r="AT46" s="514" t="str">
        <f>IF($F46="","",INDEX(B_IdentifyFuelStreams!$E$67:$E$116,MATCH($F46,CNTR_SourceStreamNames,0)))</f>
        <v/>
      </c>
      <c r="AU46" s="514" t="str">
        <f>IF($F46="","",INDEX(B_IdentifyFuelStreams!$I$67:$I$116,MATCH($F46,CNTR_SourceStreamNames,0)))</f>
        <v/>
      </c>
      <c r="AV46" s="514" t="str">
        <f>IF($F46="","",IF(INDEX(B_IdentifyFuelStreams!$L$67:$L$116,MATCH($F46,CNTR_SourceStreamNames,0))="","",INDEX(B_IdentifyFuelStreams!$L$67:$L$116,MATCH($F46,CNTR_SourceStreamNames,0))))</f>
        <v/>
      </c>
    </row>
    <row r="47" spans="3:48" x14ac:dyDescent="0.25">
      <c r="C47" s="751">
        <f t="shared" si="5"/>
        <v>35</v>
      </c>
      <c r="D47" s="751" t="str">
        <f t="shared" si="3"/>
        <v/>
      </c>
      <c r="E47" s="754" t="str">
        <f t="shared" si="4"/>
        <v/>
      </c>
      <c r="F47" s="755" t="str">
        <f>IF(INDEX(C_FuelStreams!BI:BI,MATCH($C47,C_FuelStreams!$A:$A,0))="","",INDEX(C_FuelStreams!BI:BI,MATCH($C47,C_FuelStreams!$A:$A,0)))</f>
        <v/>
      </c>
      <c r="G47" s="755" t="str">
        <f>IF(F47="","",INDEX(C_FuelStreams!K:K,MATCH($C47,C_FuelStreams!$A:$A,0)))</f>
        <v/>
      </c>
      <c r="H47" s="755" t="str">
        <f>IF(F47="","",INDEX(C_FuelStreams!K:K,MATCH($C47,C_FuelStreams!$A:$A,0)+1))</f>
        <v/>
      </c>
      <c r="I47" s="756" t="str">
        <f>IF($F47="","",INDEX(C_FuelStreams!BJ:BJ,MATCH($C47,C_FuelStreams!$A:$A,0)))</f>
        <v/>
      </c>
      <c r="J47" s="757" t="str">
        <f>IF($F47="","",INDEX(C_FuelStreams!BK:BK,MATCH($C47,C_FuelStreams!$A:$A,0)))</f>
        <v/>
      </c>
      <c r="K47" s="757" t="str">
        <f>IF($F47="","",SUM(J47)-INDEX(C_FuelStreams!BL:BL,MATCH($C47,C_FuelStreams!$A:$A,0)))</f>
        <v/>
      </c>
      <c r="L47" s="756" t="str">
        <f>IF($F47="","",INDEX(C_FuelStreams!BM:BM,MATCH($C47,C_FuelStreams!$A:$A,0)))</f>
        <v/>
      </c>
      <c r="M47" s="756" t="str">
        <f>IF($F47="","",INDEX(C_FuelStreams!BN:BN,MATCH($C47,C_FuelStreams!$A:$A,0)))</f>
        <v/>
      </c>
      <c r="N47" s="754" t="str">
        <f>IF($F47="","",INDEX(C_FuelStreams!BO:BO,MATCH($C47,C_FuelStreams!$A:$A,0)))</f>
        <v/>
      </c>
      <c r="O47" s="18" t="str">
        <f>IF($F47="","",INDEX(C_FuelStreams!BP:BP,MATCH($C47,C_FuelStreams!$A:$A,0)))</f>
        <v/>
      </c>
      <c r="P47" s="756" t="str">
        <f>IF($F47="","",INDEX(C_FuelStreams!BQ:BQ,MATCH($C47,C_FuelStreams!$A:$A,0)))</f>
        <v/>
      </c>
      <c r="Q47" s="758" t="str">
        <f>IF($F47="","",INDEX(C_FuelStreams!BR:BR,MATCH($C47,C_FuelStreams!$A:$A,0)))</f>
        <v/>
      </c>
      <c r="R47" s="756" t="str">
        <f>IF($F47="","",INDEX(C_FuelStreams!BS:BS,MATCH($C47,C_FuelStreams!$A:$A,0)))</f>
        <v/>
      </c>
      <c r="S47" s="756" t="str">
        <f>IF($F47="","",INDEX(C_FuelStreams!BT:BT,MATCH($C47,C_FuelStreams!$A:$A,0)))</f>
        <v/>
      </c>
      <c r="T47" s="758" t="str">
        <f>IF($F47="","",INDEX(C_FuelStreams!BU:BU,MATCH($C47,C_FuelStreams!$A:$A,0)))</f>
        <v/>
      </c>
      <c r="U47" s="756" t="str">
        <f>IF($F47="","",INDEX(C_FuelStreams!BV:BV,MATCH($C47,C_FuelStreams!$A:$A,0)))</f>
        <v/>
      </c>
      <c r="V47" s="756" t="str">
        <f>IF($F47="","",INDEX(C_FuelStreams!BW:BW,MATCH($C47,C_FuelStreams!$A:$A,0)))</f>
        <v/>
      </c>
      <c r="W47" s="13" t="str">
        <f>IF($F47="","",INDEX(C_FuelStreams!BX:BX,MATCH($C47,C_FuelStreams!$A:$A,0)))</f>
        <v/>
      </c>
      <c r="X47" s="756" t="str">
        <f>IF($F47="","",INDEX(C_FuelStreams!BY:BY,MATCH($C47,C_FuelStreams!$A:$A,0)))</f>
        <v/>
      </c>
      <c r="Y47" s="13" t="str">
        <f>IF($F47="","",INDEX(C_FuelStreams!BZ:BZ,MATCH($C47,C_FuelStreams!$A:$A,0)))</f>
        <v/>
      </c>
      <c r="Z47" s="13" t="str">
        <f>IF($F47="","",INDEX(C_FuelStreams!CA:CA,MATCH($C47,C_FuelStreams!$A:$A,0)))</f>
        <v/>
      </c>
      <c r="AA47" s="13" t="str">
        <f>IF($F47="","",INDEX(C_FuelStreams!CB:CB,MATCH($C47,C_FuelStreams!$A:$A,0)))</f>
        <v/>
      </c>
      <c r="AB47" s="13" t="str">
        <f>IF($F47="","",INDEX(C_FuelStreams!CC:CC,MATCH($C47,C_FuelStreams!$A:$A,0)))</f>
        <v/>
      </c>
      <c r="AC47" s="13" t="str">
        <f>IF($F47="","",INDEX(C_FuelStreams!CD:CD,MATCH($C47,C_FuelStreams!$A:$A,0)))</f>
        <v/>
      </c>
      <c r="AD47" s="757" t="str">
        <f>IF($F47="","",INDEX(C_FuelStreams!CE:CE,MATCH($C47,C_FuelStreams!$A:$A,0)))</f>
        <v/>
      </c>
      <c r="AE47" s="757" t="str">
        <f>IF($F47="","",INDEX(C_FuelStreams!CF:CF,MATCH($C47,C_FuelStreams!$A:$A,0)))</f>
        <v/>
      </c>
      <c r="AF47" s="757" t="str">
        <f>IF($F47="","",INDEX(C_FuelStreams!CG:CG,MATCH($C47,C_FuelStreams!$A:$A,0)))</f>
        <v/>
      </c>
      <c r="AG47" s="757" t="str">
        <f>IF($F47="","",INDEX(C_FuelStreams!CH:CH,MATCH($C47,C_FuelStreams!$A:$A,0)))</f>
        <v/>
      </c>
      <c r="AH47" s="757" t="str">
        <f>IF($F47="","",INDEX(C_FuelStreams!CI:CI,MATCH($C47,C_FuelStreams!$A:$A,0)))</f>
        <v/>
      </c>
      <c r="AI47" s="757" t="str">
        <f>IF($F47="","",INDEX(C_FuelStreams!CJ:CJ,MATCH($C47,C_FuelStreams!$A:$A,0)))</f>
        <v/>
      </c>
      <c r="AJ47" s="757" t="str">
        <f>IF($F47="","",INDEX(C_FuelStreams!CK:CK,MATCH($C47,C_FuelStreams!$A:$A,0)))</f>
        <v/>
      </c>
      <c r="AK47" s="757" t="str">
        <f>IF($F47="","",INDEX(C_FuelStreams!CL:CL,MATCH($C47,C_FuelStreams!$A:$A,0)))</f>
        <v/>
      </c>
      <c r="AL47" s="757" t="str">
        <f>IF($F47="","",INDEX(C_FuelStreams!CM:CM,MATCH($C47,C_FuelStreams!$A:$A,0)))</f>
        <v/>
      </c>
      <c r="AM47" s="757" t="str">
        <f>IF($F47="","",INDEX(C_FuelStreams!CN:CN,MATCH($C47,C_FuelStreams!$A:$A,0)))</f>
        <v/>
      </c>
      <c r="AN47" s="757" t="str">
        <f>IF($F47="","",INDEX(C_FuelStreams!CO:CO,MATCH($C47,C_FuelStreams!$A:$A,0)))</f>
        <v/>
      </c>
      <c r="AO47" s="759" t="str">
        <f>IF($F47="","",INDEX(C_FuelStreams!BK:BK,MATCH($C47,C_FuelStreams!$A:$A,0)+3))</f>
        <v/>
      </c>
      <c r="AP47" s="759" t="str">
        <f>IF($F47="","",INDEX(C_FuelStreams!BL:BL,MATCH($C47,C_FuelStreams!$A:$A,0)+3))</f>
        <v/>
      </c>
      <c r="AQ47" s="759" t="str">
        <f>IF($F47="","",INDEX(C_FuelStreams!BM:BM,MATCH($C47,C_FuelStreams!$A:$A,0)+3))</f>
        <v/>
      </c>
      <c r="AR47" s="757" t="str">
        <f>IF($F47="","",INDEX(C_FuelStreams!CP:CP,MATCH($C47,C_FuelStreams!$A:$A,0)))</f>
        <v/>
      </c>
      <c r="AT47" s="514" t="str">
        <f>IF($F47="","",INDEX(B_IdentifyFuelStreams!$E$67:$E$116,MATCH($F47,CNTR_SourceStreamNames,0)))</f>
        <v/>
      </c>
      <c r="AU47" s="514" t="str">
        <f>IF($F47="","",INDEX(B_IdentifyFuelStreams!$I$67:$I$116,MATCH($F47,CNTR_SourceStreamNames,0)))</f>
        <v/>
      </c>
      <c r="AV47" s="514" t="str">
        <f>IF($F47="","",IF(INDEX(B_IdentifyFuelStreams!$L$67:$L$116,MATCH($F47,CNTR_SourceStreamNames,0))="","",INDEX(B_IdentifyFuelStreams!$L$67:$L$116,MATCH($F47,CNTR_SourceStreamNames,0))))</f>
        <v/>
      </c>
    </row>
    <row r="48" spans="3:48" x14ac:dyDescent="0.25">
      <c r="C48" s="751">
        <f t="shared" si="5"/>
        <v>36</v>
      </c>
      <c r="D48" s="751" t="str">
        <f t="shared" si="3"/>
        <v/>
      </c>
      <c r="E48" s="754" t="str">
        <f t="shared" si="4"/>
        <v/>
      </c>
      <c r="F48" s="755" t="str">
        <f>IF(INDEX(C_FuelStreams!BI:BI,MATCH($C48,C_FuelStreams!$A:$A,0))="","",INDEX(C_FuelStreams!BI:BI,MATCH($C48,C_FuelStreams!$A:$A,0)))</f>
        <v/>
      </c>
      <c r="G48" s="755" t="str">
        <f>IF(F48="","",INDEX(C_FuelStreams!K:K,MATCH($C48,C_FuelStreams!$A:$A,0)))</f>
        <v/>
      </c>
      <c r="H48" s="755" t="str">
        <f>IF(F48="","",INDEX(C_FuelStreams!K:K,MATCH($C48,C_FuelStreams!$A:$A,0)+1))</f>
        <v/>
      </c>
      <c r="I48" s="756" t="str">
        <f>IF($F48="","",INDEX(C_FuelStreams!BJ:BJ,MATCH($C48,C_FuelStreams!$A:$A,0)))</f>
        <v/>
      </c>
      <c r="J48" s="757" t="str">
        <f>IF($F48="","",INDEX(C_FuelStreams!BK:BK,MATCH($C48,C_FuelStreams!$A:$A,0)))</f>
        <v/>
      </c>
      <c r="K48" s="757" t="str">
        <f>IF($F48="","",SUM(J48)-INDEX(C_FuelStreams!BL:BL,MATCH($C48,C_FuelStreams!$A:$A,0)))</f>
        <v/>
      </c>
      <c r="L48" s="756" t="str">
        <f>IF($F48="","",INDEX(C_FuelStreams!BM:BM,MATCH($C48,C_FuelStreams!$A:$A,0)))</f>
        <v/>
      </c>
      <c r="M48" s="756" t="str">
        <f>IF($F48="","",INDEX(C_FuelStreams!BN:BN,MATCH($C48,C_FuelStreams!$A:$A,0)))</f>
        <v/>
      </c>
      <c r="N48" s="754" t="str">
        <f>IF($F48="","",INDEX(C_FuelStreams!BO:BO,MATCH($C48,C_FuelStreams!$A:$A,0)))</f>
        <v/>
      </c>
      <c r="O48" s="18" t="str">
        <f>IF($F48="","",INDEX(C_FuelStreams!BP:BP,MATCH($C48,C_FuelStreams!$A:$A,0)))</f>
        <v/>
      </c>
      <c r="P48" s="756" t="str">
        <f>IF($F48="","",INDEX(C_FuelStreams!BQ:BQ,MATCH($C48,C_FuelStreams!$A:$A,0)))</f>
        <v/>
      </c>
      <c r="Q48" s="758" t="str">
        <f>IF($F48="","",INDEX(C_FuelStreams!BR:BR,MATCH($C48,C_FuelStreams!$A:$A,0)))</f>
        <v/>
      </c>
      <c r="R48" s="756" t="str">
        <f>IF($F48="","",INDEX(C_FuelStreams!BS:BS,MATCH($C48,C_FuelStreams!$A:$A,0)))</f>
        <v/>
      </c>
      <c r="S48" s="756" t="str">
        <f>IF($F48="","",INDEX(C_FuelStreams!BT:BT,MATCH($C48,C_FuelStreams!$A:$A,0)))</f>
        <v/>
      </c>
      <c r="T48" s="758" t="str">
        <f>IF($F48="","",INDEX(C_FuelStreams!BU:BU,MATCH($C48,C_FuelStreams!$A:$A,0)))</f>
        <v/>
      </c>
      <c r="U48" s="756" t="str">
        <f>IF($F48="","",INDEX(C_FuelStreams!BV:BV,MATCH($C48,C_FuelStreams!$A:$A,0)))</f>
        <v/>
      </c>
      <c r="V48" s="756" t="str">
        <f>IF($F48="","",INDEX(C_FuelStreams!BW:BW,MATCH($C48,C_FuelStreams!$A:$A,0)))</f>
        <v/>
      </c>
      <c r="W48" s="13" t="str">
        <f>IF($F48="","",INDEX(C_FuelStreams!BX:BX,MATCH($C48,C_FuelStreams!$A:$A,0)))</f>
        <v/>
      </c>
      <c r="X48" s="756" t="str">
        <f>IF($F48="","",INDEX(C_FuelStreams!BY:BY,MATCH($C48,C_FuelStreams!$A:$A,0)))</f>
        <v/>
      </c>
      <c r="Y48" s="13" t="str">
        <f>IF($F48="","",INDEX(C_FuelStreams!BZ:BZ,MATCH($C48,C_FuelStreams!$A:$A,0)))</f>
        <v/>
      </c>
      <c r="Z48" s="13" t="str">
        <f>IF($F48="","",INDEX(C_FuelStreams!CA:CA,MATCH($C48,C_FuelStreams!$A:$A,0)))</f>
        <v/>
      </c>
      <c r="AA48" s="13" t="str">
        <f>IF($F48="","",INDEX(C_FuelStreams!CB:CB,MATCH($C48,C_FuelStreams!$A:$A,0)))</f>
        <v/>
      </c>
      <c r="AB48" s="13" t="str">
        <f>IF($F48="","",INDEX(C_FuelStreams!CC:CC,MATCH($C48,C_FuelStreams!$A:$A,0)))</f>
        <v/>
      </c>
      <c r="AC48" s="13" t="str">
        <f>IF($F48="","",INDEX(C_FuelStreams!CD:CD,MATCH($C48,C_FuelStreams!$A:$A,0)))</f>
        <v/>
      </c>
      <c r="AD48" s="757" t="str">
        <f>IF($F48="","",INDEX(C_FuelStreams!CE:CE,MATCH($C48,C_FuelStreams!$A:$A,0)))</f>
        <v/>
      </c>
      <c r="AE48" s="757" t="str">
        <f>IF($F48="","",INDEX(C_FuelStreams!CF:CF,MATCH($C48,C_FuelStreams!$A:$A,0)))</f>
        <v/>
      </c>
      <c r="AF48" s="757" t="str">
        <f>IF($F48="","",INDEX(C_FuelStreams!CG:CG,MATCH($C48,C_FuelStreams!$A:$A,0)))</f>
        <v/>
      </c>
      <c r="AG48" s="757" t="str">
        <f>IF($F48="","",INDEX(C_FuelStreams!CH:CH,MATCH($C48,C_FuelStreams!$A:$A,0)))</f>
        <v/>
      </c>
      <c r="AH48" s="757" t="str">
        <f>IF($F48="","",INDEX(C_FuelStreams!CI:CI,MATCH($C48,C_FuelStreams!$A:$A,0)))</f>
        <v/>
      </c>
      <c r="AI48" s="757" t="str">
        <f>IF($F48="","",INDEX(C_FuelStreams!CJ:CJ,MATCH($C48,C_FuelStreams!$A:$A,0)))</f>
        <v/>
      </c>
      <c r="AJ48" s="757" t="str">
        <f>IF($F48="","",INDEX(C_FuelStreams!CK:CK,MATCH($C48,C_FuelStreams!$A:$A,0)))</f>
        <v/>
      </c>
      <c r="AK48" s="757" t="str">
        <f>IF($F48="","",INDEX(C_FuelStreams!CL:CL,MATCH($C48,C_FuelStreams!$A:$A,0)))</f>
        <v/>
      </c>
      <c r="AL48" s="757" t="str">
        <f>IF($F48="","",INDEX(C_FuelStreams!CM:CM,MATCH($C48,C_FuelStreams!$A:$A,0)))</f>
        <v/>
      </c>
      <c r="AM48" s="757" t="str">
        <f>IF($F48="","",INDEX(C_FuelStreams!CN:CN,MATCH($C48,C_FuelStreams!$A:$A,0)))</f>
        <v/>
      </c>
      <c r="AN48" s="757" t="str">
        <f>IF($F48="","",INDEX(C_FuelStreams!CO:CO,MATCH($C48,C_FuelStreams!$A:$A,0)))</f>
        <v/>
      </c>
      <c r="AO48" s="759" t="str">
        <f>IF($F48="","",INDEX(C_FuelStreams!BK:BK,MATCH($C48,C_FuelStreams!$A:$A,0)+3))</f>
        <v/>
      </c>
      <c r="AP48" s="759" t="str">
        <f>IF($F48="","",INDEX(C_FuelStreams!BL:BL,MATCH($C48,C_FuelStreams!$A:$A,0)+3))</f>
        <v/>
      </c>
      <c r="AQ48" s="759" t="str">
        <f>IF($F48="","",INDEX(C_FuelStreams!BM:BM,MATCH($C48,C_FuelStreams!$A:$A,0)+3))</f>
        <v/>
      </c>
      <c r="AR48" s="757" t="str">
        <f>IF($F48="","",INDEX(C_FuelStreams!CP:CP,MATCH($C48,C_FuelStreams!$A:$A,0)))</f>
        <v/>
      </c>
      <c r="AT48" s="514" t="str">
        <f>IF($F48="","",INDEX(B_IdentifyFuelStreams!$E$67:$E$116,MATCH($F48,CNTR_SourceStreamNames,0)))</f>
        <v/>
      </c>
      <c r="AU48" s="514" t="str">
        <f>IF($F48="","",INDEX(B_IdentifyFuelStreams!$I$67:$I$116,MATCH($F48,CNTR_SourceStreamNames,0)))</f>
        <v/>
      </c>
      <c r="AV48" s="514" t="str">
        <f>IF($F48="","",IF(INDEX(B_IdentifyFuelStreams!$L$67:$L$116,MATCH($F48,CNTR_SourceStreamNames,0))="","",INDEX(B_IdentifyFuelStreams!$L$67:$L$116,MATCH($F48,CNTR_SourceStreamNames,0))))</f>
        <v/>
      </c>
    </row>
    <row r="49" spans="3:48" x14ac:dyDescent="0.25">
      <c r="C49" s="751">
        <f t="shared" si="5"/>
        <v>37</v>
      </c>
      <c r="D49" s="751" t="str">
        <f t="shared" si="3"/>
        <v/>
      </c>
      <c r="E49" s="754" t="str">
        <f t="shared" si="4"/>
        <v/>
      </c>
      <c r="F49" s="755" t="str">
        <f>IF(INDEX(C_FuelStreams!BI:BI,MATCH($C49,C_FuelStreams!$A:$A,0))="","",INDEX(C_FuelStreams!BI:BI,MATCH($C49,C_FuelStreams!$A:$A,0)))</f>
        <v/>
      </c>
      <c r="G49" s="755" t="str">
        <f>IF(F49="","",INDEX(C_FuelStreams!K:K,MATCH($C49,C_FuelStreams!$A:$A,0)))</f>
        <v/>
      </c>
      <c r="H49" s="755" t="str">
        <f>IF(F49="","",INDEX(C_FuelStreams!K:K,MATCH($C49,C_FuelStreams!$A:$A,0)+1))</f>
        <v/>
      </c>
      <c r="I49" s="756" t="str">
        <f>IF($F49="","",INDEX(C_FuelStreams!BJ:BJ,MATCH($C49,C_FuelStreams!$A:$A,0)))</f>
        <v/>
      </c>
      <c r="J49" s="757" t="str">
        <f>IF($F49="","",INDEX(C_FuelStreams!BK:BK,MATCH($C49,C_FuelStreams!$A:$A,0)))</f>
        <v/>
      </c>
      <c r="K49" s="757" t="str">
        <f>IF($F49="","",SUM(J49)-INDEX(C_FuelStreams!BL:BL,MATCH($C49,C_FuelStreams!$A:$A,0)))</f>
        <v/>
      </c>
      <c r="L49" s="756" t="str">
        <f>IF($F49="","",INDEX(C_FuelStreams!BM:BM,MATCH($C49,C_FuelStreams!$A:$A,0)))</f>
        <v/>
      </c>
      <c r="M49" s="756" t="str">
        <f>IF($F49="","",INDEX(C_FuelStreams!BN:BN,MATCH($C49,C_FuelStreams!$A:$A,0)))</f>
        <v/>
      </c>
      <c r="N49" s="754" t="str">
        <f>IF($F49="","",INDEX(C_FuelStreams!BO:BO,MATCH($C49,C_FuelStreams!$A:$A,0)))</f>
        <v/>
      </c>
      <c r="O49" s="18" t="str">
        <f>IF($F49="","",INDEX(C_FuelStreams!BP:BP,MATCH($C49,C_FuelStreams!$A:$A,0)))</f>
        <v/>
      </c>
      <c r="P49" s="756" t="str">
        <f>IF($F49="","",INDEX(C_FuelStreams!BQ:BQ,MATCH($C49,C_FuelStreams!$A:$A,0)))</f>
        <v/>
      </c>
      <c r="Q49" s="758" t="str">
        <f>IF($F49="","",INDEX(C_FuelStreams!BR:BR,MATCH($C49,C_FuelStreams!$A:$A,0)))</f>
        <v/>
      </c>
      <c r="R49" s="756" t="str">
        <f>IF($F49="","",INDEX(C_FuelStreams!BS:BS,MATCH($C49,C_FuelStreams!$A:$A,0)))</f>
        <v/>
      </c>
      <c r="S49" s="756" t="str">
        <f>IF($F49="","",INDEX(C_FuelStreams!BT:BT,MATCH($C49,C_FuelStreams!$A:$A,0)))</f>
        <v/>
      </c>
      <c r="T49" s="758" t="str">
        <f>IF($F49="","",INDEX(C_FuelStreams!BU:BU,MATCH($C49,C_FuelStreams!$A:$A,0)))</f>
        <v/>
      </c>
      <c r="U49" s="756" t="str">
        <f>IF($F49="","",INDEX(C_FuelStreams!BV:BV,MATCH($C49,C_FuelStreams!$A:$A,0)))</f>
        <v/>
      </c>
      <c r="V49" s="756" t="str">
        <f>IF($F49="","",INDEX(C_FuelStreams!BW:BW,MATCH($C49,C_FuelStreams!$A:$A,0)))</f>
        <v/>
      </c>
      <c r="W49" s="13" t="str">
        <f>IF($F49="","",INDEX(C_FuelStreams!BX:BX,MATCH($C49,C_FuelStreams!$A:$A,0)))</f>
        <v/>
      </c>
      <c r="X49" s="756" t="str">
        <f>IF($F49="","",INDEX(C_FuelStreams!BY:BY,MATCH($C49,C_FuelStreams!$A:$A,0)))</f>
        <v/>
      </c>
      <c r="Y49" s="13" t="str">
        <f>IF($F49="","",INDEX(C_FuelStreams!BZ:BZ,MATCH($C49,C_FuelStreams!$A:$A,0)))</f>
        <v/>
      </c>
      <c r="Z49" s="13" t="str">
        <f>IF($F49="","",INDEX(C_FuelStreams!CA:CA,MATCH($C49,C_FuelStreams!$A:$A,0)))</f>
        <v/>
      </c>
      <c r="AA49" s="13" t="str">
        <f>IF($F49="","",INDEX(C_FuelStreams!CB:CB,MATCH($C49,C_FuelStreams!$A:$A,0)))</f>
        <v/>
      </c>
      <c r="AB49" s="13" t="str">
        <f>IF($F49="","",INDEX(C_FuelStreams!CC:CC,MATCH($C49,C_FuelStreams!$A:$A,0)))</f>
        <v/>
      </c>
      <c r="AC49" s="13" t="str">
        <f>IF($F49="","",INDEX(C_FuelStreams!CD:CD,MATCH($C49,C_FuelStreams!$A:$A,0)))</f>
        <v/>
      </c>
      <c r="AD49" s="757" t="str">
        <f>IF($F49="","",INDEX(C_FuelStreams!CE:CE,MATCH($C49,C_FuelStreams!$A:$A,0)))</f>
        <v/>
      </c>
      <c r="AE49" s="757" t="str">
        <f>IF($F49="","",INDEX(C_FuelStreams!CF:CF,MATCH($C49,C_FuelStreams!$A:$A,0)))</f>
        <v/>
      </c>
      <c r="AF49" s="757" t="str">
        <f>IF($F49="","",INDEX(C_FuelStreams!CG:CG,MATCH($C49,C_FuelStreams!$A:$A,0)))</f>
        <v/>
      </c>
      <c r="AG49" s="757" t="str">
        <f>IF($F49="","",INDEX(C_FuelStreams!CH:CH,MATCH($C49,C_FuelStreams!$A:$A,0)))</f>
        <v/>
      </c>
      <c r="AH49" s="757" t="str">
        <f>IF($F49="","",INDEX(C_FuelStreams!CI:CI,MATCH($C49,C_FuelStreams!$A:$A,0)))</f>
        <v/>
      </c>
      <c r="AI49" s="757" t="str">
        <f>IF($F49="","",INDEX(C_FuelStreams!CJ:CJ,MATCH($C49,C_FuelStreams!$A:$A,0)))</f>
        <v/>
      </c>
      <c r="AJ49" s="757" t="str">
        <f>IF($F49="","",INDEX(C_FuelStreams!CK:CK,MATCH($C49,C_FuelStreams!$A:$A,0)))</f>
        <v/>
      </c>
      <c r="AK49" s="757" t="str">
        <f>IF($F49="","",INDEX(C_FuelStreams!CL:CL,MATCH($C49,C_FuelStreams!$A:$A,0)))</f>
        <v/>
      </c>
      <c r="AL49" s="757" t="str">
        <f>IF($F49="","",INDEX(C_FuelStreams!CM:CM,MATCH($C49,C_FuelStreams!$A:$A,0)))</f>
        <v/>
      </c>
      <c r="AM49" s="757" t="str">
        <f>IF($F49="","",INDEX(C_FuelStreams!CN:CN,MATCH($C49,C_FuelStreams!$A:$A,0)))</f>
        <v/>
      </c>
      <c r="AN49" s="757" t="str">
        <f>IF($F49="","",INDEX(C_FuelStreams!CO:CO,MATCH($C49,C_FuelStreams!$A:$A,0)))</f>
        <v/>
      </c>
      <c r="AO49" s="759" t="str">
        <f>IF($F49="","",INDEX(C_FuelStreams!BK:BK,MATCH($C49,C_FuelStreams!$A:$A,0)+3))</f>
        <v/>
      </c>
      <c r="AP49" s="759" t="str">
        <f>IF($F49="","",INDEX(C_FuelStreams!BL:BL,MATCH($C49,C_FuelStreams!$A:$A,0)+3))</f>
        <v/>
      </c>
      <c r="AQ49" s="759" t="str">
        <f>IF($F49="","",INDEX(C_FuelStreams!BM:BM,MATCH($C49,C_FuelStreams!$A:$A,0)+3))</f>
        <v/>
      </c>
      <c r="AR49" s="757" t="str">
        <f>IF($F49="","",INDEX(C_FuelStreams!CP:CP,MATCH($C49,C_FuelStreams!$A:$A,0)))</f>
        <v/>
      </c>
      <c r="AT49" s="514" t="str">
        <f>IF($F49="","",INDEX(B_IdentifyFuelStreams!$E$67:$E$116,MATCH($F49,CNTR_SourceStreamNames,0)))</f>
        <v/>
      </c>
      <c r="AU49" s="514" t="str">
        <f>IF($F49="","",INDEX(B_IdentifyFuelStreams!$I$67:$I$116,MATCH($F49,CNTR_SourceStreamNames,0)))</f>
        <v/>
      </c>
      <c r="AV49" s="514" t="str">
        <f>IF($F49="","",IF(INDEX(B_IdentifyFuelStreams!$L$67:$L$116,MATCH($F49,CNTR_SourceStreamNames,0))="","",INDEX(B_IdentifyFuelStreams!$L$67:$L$116,MATCH($F49,CNTR_SourceStreamNames,0))))</f>
        <v/>
      </c>
    </row>
    <row r="50" spans="3:48" x14ac:dyDescent="0.25">
      <c r="C50" s="751">
        <f t="shared" si="5"/>
        <v>38</v>
      </c>
      <c r="D50" s="751" t="str">
        <f t="shared" si="3"/>
        <v/>
      </c>
      <c r="E50" s="754" t="str">
        <f t="shared" si="4"/>
        <v/>
      </c>
      <c r="F50" s="755" t="str">
        <f>IF(INDEX(C_FuelStreams!BI:BI,MATCH($C50,C_FuelStreams!$A:$A,0))="","",INDEX(C_FuelStreams!BI:BI,MATCH($C50,C_FuelStreams!$A:$A,0)))</f>
        <v/>
      </c>
      <c r="G50" s="755" t="str">
        <f>IF(F50="","",INDEX(C_FuelStreams!K:K,MATCH($C50,C_FuelStreams!$A:$A,0)))</f>
        <v/>
      </c>
      <c r="H50" s="755" t="str">
        <f>IF(F50="","",INDEX(C_FuelStreams!K:K,MATCH($C50,C_FuelStreams!$A:$A,0)+1))</f>
        <v/>
      </c>
      <c r="I50" s="756" t="str">
        <f>IF($F50="","",INDEX(C_FuelStreams!BJ:BJ,MATCH($C50,C_FuelStreams!$A:$A,0)))</f>
        <v/>
      </c>
      <c r="J50" s="757" t="str">
        <f>IF($F50="","",INDEX(C_FuelStreams!BK:BK,MATCH($C50,C_FuelStreams!$A:$A,0)))</f>
        <v/>
      </c>
      <c r="K50" s="757" t="str">
        <f>IF($F50="","",SUM(J50)-INDEX(C_FuelStreams!BL:BL,MATCH($C50,C_FuelStreams!$A:$A,0)))</f>
        <v/>
      </c>
      <c r="L50" s="756" t="str">
        <f>IF($F50="","",INDEX(C_FuelStreams!BM:BM,MATCH($C50,C_FuelStreams!$A:$A,0)))</f>
        <v/>
      </c>
      <c r="M50" s="756" t="str">
        <f>IF($F50="","",INDEX(C_FuelStreams!BN:BN,MATCH($C50,C_FuelStreams!$A:$A,0)))</f>
        <v/>
      </c>
      <c r="N50" s="754" t="str">
        <f>IF($F50="","",INDEX(C_FuelStreams!BO:BO,MATCH($C50,C_FuelStreams!$A:$A,0)))</f>
        <v/>
      </c>
      <c r="O50" s="18" t="str">
        <f>IF($F50="","",INDEX(C_FuelStreams!BP:BP,MATCH($C50,C_FuelStreams!$A:$A,0)))</f>
        <v/>
      </c>
      <c r="P50" s="756" t="str">
        <f>IF($F50="","",INDEX(C_FuelStreams!BQ:BQ,MATCH($C50,C_FuelStreams!$A:$A,0)))</f>
        <v/>
      </c>
      <c r="Q50" s="758" t="str">
        <f>IF($F50="","",INDEX(C_FuelStreams!BR:BR,MATCH($C50,C_FuelStreams!$A:$A,0)))</f>
        <v/>
      </c>
      <c r="R50" s="756" t="str">
        <f>IF($F50="","",INDEX(C_FuelStreams!BS:BS,MATCH($C50,C_FuelStreams!$A:$A,0)))</f>
        <v/>
      </c>
      <c r="S50" s="756" t="str">
        <f>IF($F50="","",INDEX(C_FuelStreams!BT:BT,MATCH($C50,C_FuelStreams!$A:$A,0)))</f>
        <v/>
      </c>
      <c r="T50" s="758" t="str">
        <f>IF($F50="","",INDEX(C_FuelStreams!BU:BU,MATCH($C50,C_FuelStreams!$A:$A,0)))</f>
        <v/>
      </c>
      <c r="U50" s="756" t="str">
        <f>IF($F50="","",INDEX(C_FuelStreams!BV:BV,MATCH($C50,C_FuelStreams!$A:$A,0)))</f>
        <v/>
      </c>
      <c r="V50" s="756" t="str">
        <f>IF($F50="","",INDEX(C_FuelStreams!BW:BW,MATCH($C50,C_FuelStreams!$A:$A,0)))</f>
        <v/>
      </c>
      <c r="W50" s="13" t="str">
        <f>IF($F50="","",INDEX(C_FuelStreams!BX:BX,MATCH($C50,C_FuelStreams!$A:$A,0)))</f>
        <v/>
      </c>
      <c r="X50" s="756" t="str">
        <f>IF($F50="","",INDEX(C_FuelStreams!BY:BY,MATCH($C50,C_FuelStreams!$A:$A,0)))</f>
        <v/>
      </c>
      <c r="Y50" s="13" t="str">
        <f>IF($F50="","",INDEX(C_FuelStreams!BZ:BZ,MATCH($C50,C_FuelStreams!$A:$A,0)))</f>
        <v/>
      </c>
      <c r="Z50" s="13" t="str">
        <f>IF($F50="","",INDEX(C_FuelStreams!CA:CA,MATCH($C50,C_FuelStreams!$A:$A,0)))</f>
        <v/>
      </c>
      <c r="AA50" s="13" t="str">
        <f>IF($F50="","",INDEX(C_FuelStreams!CB:CB,MATCH($C50,C_FuelStreams!$A:$A,0)))</f>
        <v/>
      </c>
      <c r="AB50" s="13" t="str">
        <f>IF($F50="","",INDEX(C_FuelStreams!CC:CC,MATCH($C50,C_FuelStreams!$A:$A,0)))</f>
        <v/>
      </c>
      <c r="AC50" s="13" t="str">
        <f>IF($F50="","",INDEX(C_FuelStreams!CD:CD,MATCH($C50,C_FuelStreams!$A:$A,0)))</f>
        <v/>
      </c>
      <c r="AD50" s="757" t="str">
        <f>IF($F50="","",INDEX(C_FuelStreams!CE:CE,MATCH($C50,C_FuelStreams!$A:$A,0)))</f>
        <v/>
      </c>
      <c r="AE50" s="757" t="str">
        <f>IF($F50="","",INDEX(C_FuelStreams!CF:CF,MATCH($C50,C_FuelStreams!$A:$A,0)))</f>
        <v/>
      </c>
      <c r="AF50" s="757" t="str">
        <f>IF($F50="","",INDEX(C_FuelStreams!CG:CG,MATCH($C50,C_FuelStreams!$A:$A,0)))</f>
        <v/>
      </c>
      <c r="AG50" s="757" t="str">
        <f>IF($F50="","",INDEX(C_FuelStreams!CH:CH,MATCH($C50,C_FuelStreams!$A:$A,0)))</f>
        <v/>
      </c>
      <c r="AH50" s="757" t="str">
        <f>IF($F50="","",INDEX(C_FuelStreams!CI:CI,MATCH($C50,C_FuelStreams!$A:$A,0)))</f>
        <v/>
      </c>
      <c r="AI50" s="757" t="str">
        <f>IF($F50="","",INDEX(C_FuelStreams!CJ:CJ,MATCH($C50,C_FuelStreams!$A:$A,0)))</f>
        <v/>
      </c>
      <c r="AJ50" s="757" t="str">
        <f>IF($F50="","",INDEX(C_FuelStreams!CK:CK,MATCH($C50,C_FuelStreams!$A:$A,0)))</f>
        <v/>
      </c>
      <c r="AK50" s="757" t="str">
        <f>IF($F50="","",INDEX(C_FuelStreams!CL:CL,MATCH($C50,C_FuelStreams!$A:$A,0)))</f>
        <v/>
      </c>
      <c r="AL50" s="757" t="str">
        <f>IF($F50="","",INDEX(C_FuelStreams!CM:CM,MATCH($C50,C_FuelStreams!$A:$A,0)))</f>
        <v/>
      </c>
      <c r="AM50" s="757" t="str">
        <f>IF($F50="","",INDEX(C_FuelStreams!CN:CN,MATCH($C50,C_FuelStreams!$A:$A,0)))</f>
        <v/>
      </c>
      <c r="AN50" s="757" t="str">
        <f>IF($F50="","",INDEX(C_FuelStreams!CO:CO,MATCH($C50,C_FuelStreams!$A:$A,0)))</f>
        <v/>
      </c>
      <c r="AO50" s="759" t="str">
        <f>IF($F50="","",INDEX(C_FuelStreams!BK:BK,MATCH($C50,C_FuelStreams!$A:$A,0)+3))</f>
        <v/>
      </c>
      <c r="AP50" s="759" t="str">
        <f>IF($F50="","",INDEX(C_FuelStreams!BL:BL,MATCH($C50,C_FuelStreams!$A:$A,0)+3))</f>
        <v/>
      </c>
      <c r="AQ50" s="759" t="str">
        <f>IF($F50="","",INDEX(C_FuelStreams!BM:BM,MATCH($C50,C_FuelStreams!$A:$A,0)+3))</f>
        <v/>
      </c>
      <c r="AR50" s="757" t="str">
        <f>IF($F50="","",INDEX(C_FuelStreams!CP:CP,MATCH($C50,C_FuelStreams!$A:$A,0)))</f>
        <v/>
      </c>
      <c r="AT50" s="514" t="str">
        <f>IF($F50="","",INDEX(B_IdentifyFuelStreams!$E$67:$E$116,MATCH($F50,CNTR_SourceStreamNames,0)))</f>
        <v/>
      </c>
      <c r="AU50" s="514" t="str">
        <f>IF($F50="","",INDEX(B_IdentifyFuelStreams!$I$67:$I$116,MATCH($F50,CNTR_SourceStreamNames,0)))</f>
        <v/>
      </c>
      <c r="AV50" s="514" t="str">
        <f>IF($F50="","",IF(INDEX(B_IdentifyFuelStreams!$L$67:$L$116,MATCH($F50,CNTR_SourceStreamNames,0))="","",INDEX(B_IdentifyFuelStreams!$L$67:$L$116,MATCH($F50,CNTR_SourceStreamNames,0))))</f>
        <v/>
      </c>
    </row>
    <row r="51" spans="3:48" x14ac:dyDescent="0.25">
      <c r="C51" s="751">
        <f t="shared" si="5"/>
        <v>39</v>
      </c>
      <c r="D51" s="751" t="str">
        <f t="shared" si="3"/>
        <v/>
      </c>
      <c r="E51" s="754" t="str">
        <f t="shared" si="4"/>
        <v/>
      </c>
      <c r="F51" s="755" t="str">
        <f>IF(INDEX(C_FuelStreams!BI:BI,MATCH($C51,C_FuelStreams!$A:$A,0))="","",INDEX(C_FuelStreams!BI:BI,MATCH($C51,C_FuelStreams!$A:$A,0)))</f>
        <v/>
      </c>
      <c r="G51" s="755" t="str">
        <f>IF(F51="","",INDEX(C_FuelStreams!K:K,MATCH($C51,C_FuelStreams!$A:$A,0)))</f>
        <v/>
      </c>
      <c r="H51" s="755" t="str">
        <f>IF(F51="","",INDEX(C_FuelStreams!K:K,MATCH($C51,C_FuelStreams!$A:$A,0)+1))</f>
        <v/>
      </c>
      <c r="I51" s="756" t="str">
        <f>IF($F51="","",INDEX(C_FuelStreams!BJ:BJ,MATCH($C51,C_FuelStreams!$A:$A,0)))</f>
        <v/>
      </c>
      <c r="J51" s="757" t="str">
        <f>IF($F51="","",INDEX(C_FuelStreams!BK:BK,MATCH($C51,C_FuelStreams!$A:$A,0)))</f>
        <v/>
      </c>
      <c r="K51" s="757" t="str">
        <f>IF($F51="","",SUM(J51)-INDEX(C_FuelStreams!BL:BL,MATCH($C51,C_FuelStreams!$A:$A,0)))</f>
        <v/>
      </c>
      <c r="L51" s="756" t="str">
        <f>IF($F51="","",INDEX(C_FuelStreams!BM:BM,MATCH($C51,C_FuelStreams!$A:$A,0)))</f>
        <v/>
      </c>
      <c r="M51" s="756" t="str">
        <f>IF($F51="","",INDEX(C_FuelStreams!BN:BN,MATCH($C51,C_FuelStreams!$A:$A,0)))</f>
        <v/>
      </c>
      <c r="N51" s="754" t="str">
        <f>IF($F51="","",INDEX(C_FuelStreams!BO:BO,MATCH($C51,C_FuelStreams!$A:$A,0)))</f>
        <v/>
      </c>
      <c r="O51" s="18" t="str">
        <f>IF($F51="","",INDEX(C_FuelStreams!BP:BP,MATCH($C51,C_FuelStreams!$A:$A,0)))</f>
        <v/>
      </c>
      <c r="P51" s="756" t="str">
        <f>IF($F51="","",INDEX(C_FuelStreams!BQ:BQ,MATCH($C51,C_FuelStreams!$A:$A,0)))</f>
        <v/>
      </c>
      <c r="Q51" s="758" t="str">
        <f>IF($F51="","",INDEX(C_FuelStreams!BR:BR,MATCH($C51,C_FuelStreams!$A:$A,0)))</f>
        <v/>
      </c>
      <c r="R51" s="756" t="str">
        <f>IF($F51="","",INDEX(C_FuelStreams!BS:BS,MATCH($C51,C_FuelStreams!$A:$A,0)))</f>
        <v/>
      </c>
      <c r="S51" s="756" t="str">
        <f>IF($F51="","",INDEX(C_FuelStreams!BT:BT,MATCH($C51,C_FuelStreams!$A:$A,0)))</f>
        <v/>
      </c>
      <c r="T51" s="758" t="str">
        <f>IF($F51="","",INDEX(C_FuelStreams!BU:BU,MATCH($C51,C_FuelStreams!$A:$A,0)))</f>
        <v/>
      </c>
      <c r="U51" s="756" t="str">
        <f>IF($F51="","",INDEX(C_FuelStreams!BV:BV,MATCH($C51,C_FuelStreams!$A:$A,0)))</f>
        <v/>
      </c>
      <c r="V51" s="756" t="str">
        <f>IF($F51="","",INDEX(C_FuelStreams!BW:BW,MATCH($C51,C_FuelStreams!$A:$A,0)))</f>
        <v/>
      </c>
      <c r="W51" s="13" t="str">
        <f>IF($F51="","",INDEX(C_FuelStreams!BX:BX,MATCH($C51,C_FuelStreams!$A:$A,0)))</f>
        <v/>
      </c>
      <c r="X51" s="756" t="str">
        <f>IF($F51="","",INDEX(C_FuelStreams!BY:BY,MATCH($C51,C_FuelStreams!$A:$A,0)))</f>
        <v/>
      </c>
      <c r="Y51" s="13" t="str">
        <f>IF($F51="","",INDEX(C_FuelStreams!BZ:BZ,MATCH($C51,C_FuelStreams!$A:$A,0)))</f>
        <v/>
      </c>
      <c r="Z51" s="13" t="str">
        <f>IF($F51="","",INDEX(C_FuelStreams!CA:CA,MATCH($C51,C_FuelStreams!$A:$A,0)))</f>
        <v/>
      </c>
      <c r="AA51" s="13" t="str">
        <f>IF($F51="","",INDEX(C_FuelStreams!CB:CB,MATCH($C51,C_FuelStreams!$A:$A,0)))</f>
        <v/>
      </c>
      <c r="AB51" s="13" t="str">
        <f>IF($F51="","",INDEX(C_FuelStreams!CC:CC,MATCH($C51,C_FuelStreams!$A:$A,0)))</f>
        <v/>
      </c>
      <c r="AC51" s="13" t="str">
        <f>IF($F51="","",INDEX(C_FuelStreams!CD:CD,MATCH($C51,C_FuelStreams!$A:$A,0)))</f>
        <v/>
      </c>
      <c r="AD51" s="757" t="str">
        <f>IF($F51="","",INDEX(C_FuelStreams!CE:CE,MATCH($C51,C_FuelStreams!$A:$A,0)))</f>
        <v/>
      </c>
      <c r="AE51" s="757" t="str">
        <f>IF($F51="","",INDEX(C_FuelStreams!CF:CF,MATCH($C51,C_FuelStreams!$A:$A,0)))</f>
        <v/>
      </c>
      <c r="AF51" s="757" t="str">
        <f>IF($F51="","",INDEX(C_FuelStreams!CG:CG,MATCH($C51,C_FuelStreams!$A:$A,0)))</f>
        <v/>
      </c>
      <c r="AG51" s="757" t="str">
        <f>IF($F51="","",INDEX(C_FuelStreams!CH:CH,MATCH($C51,C_FuelStreams!$A:$A,0)))</f>
        <v/>
      </c>
      <c r="AH51" s="757" t="str">
        <f>IF($F51="","",INDEX(C_FuelStreams!CI:CI,MATCH($C51,C_FuelStreams!$A:$A,0)))</f>
        <v/>
      </c>
      <c r="AI51" s="757" t="str">
        <f>IF($F51="","",INDEX(C_FuelStreams!CJ:CJ,MATCH($C51,C_FuelStreams!$A:$A,0)))</f>
        <v/>
      </c>
      <c r="AJ51" s="757" t="str">
        <f>IF($F51="","",INDEX(C_FuelStreams!CK:CK,MATCH($C51,C_FuelStreams!$A:$A,0)))</f>
        <v/>
      </c>
      <c r="AK51" s="757" t="str">
        <f>IF($F51="","",INDEX(C_FuelStreams!CL:CL,MATCH($C51,C_FuelStreams!$A:$A,0)))</f>
        <v/>
      </c>
      <c r="AL51" s="757" t="str">
        <f>IF($F51="","",INDEX(C_FuelStreams!CM:CM,MATCH($C51,C_FuelStreams!$A:$A,0)))</f>
        <v/>
      </c>
      <c r="AM51" s="757" t="str">
        <f>IF($F51="","",INDEX(C_FuelStreams!CN:CN,MATCH($C51,C_FuelStreams!$A:$A,0)))</f>
        <v/>
      </c>
      <c r="AN51" s="757" t="str">
        <f>IF($F51="","",INDEX(C_FuelStreams!CO:CO,MATCH($C51,C_FuelStreams!$A:$A,0)))</f>
        <v/>
      </c>
      <c r="AO51" s="759" t="str">
        <f>IF($F51="","",INDEX(C_FuelStreams!BK:BK,MATCH($C51,C_FuelStreams!$A:$A,0)+3))</f>
        <v/>
      </c>
      <c r="AP51" s="759" t="str">
        <f>IF($F51="","",INDEX(C_FuelStreams!BL:BL,MATCH($C51,C_FuelStreams!$A:$A,0)+3))</f>
        <v/>
      </c>
      <c r="AQ51" s="759" t="str">
        <f>IF($F51="","",INDEX(C_FuelStreams!BM:BM,MATCH($C51,C_FuelStreams!$A:$A,0)+3))</f>
        <v/>
      </c>
      <c r="AR51" s="757" t="str">
        <f>IF($F51="","",INDEX(C_FuelStreams!CP:CP,MATCH($C51,C_FuelStreams!$A:$A,0)))</f>
        <v/>
      </c>
      <c r="AT51" s="514" t="str">
        <f>IF($F51="","",INDEX(B_IdentifyFuelStreams!$E$67:$E$116,MATCH($F51,CNTR_SourceStreamNames,0)))</f>
        <v/>
      </c>
      <c r="AU51" s="514" t="str">
        <f>IF($F51="","",INDEX(B_IdentifyFuelStreams!$I$67:$I$116,MATCH($F51,CNTR_SourceStreamNames,0)))</f>
        <v/>
      </c>
      <c r="AV51" s="514" t="str">
        <f>IF($F51="","",IF(INDEX(B_IdentifyFuelStreams!$L$67:$L$116,MATCH($F51,CNTR_SourceStreamNames,0))="","",INDEX(B_IdentifyFuelStreams!$L$67:$L$116,MATCH($F51,CNTR_SourceStreamNames,0))))</f>
        <v/>
      </c>
    </row>
    <row r="52" spans="3:48" x14ac:dyDescent="0.25">
      <c r="C52" s="751">
        <f t="shared" si="5"/>
        <v>40</v>
      </c>
      <c r="D52" s="751" t="str">
        <f t="shared" si="3"/>
        <v/>
      </c>
      <c r="E52" s="754" t="str">
        <f t="shared" si="4"/>
        <v/>
      </c>
      <c r="F52" s="755" t="str">
        <f>IF(INDEX(C_FuelStreams!BI:BI,MATCH($C52,C_FuelStreams!$A:$A,0))="","",INDEX(C_FuelStreams!BI:BI,MATCH($C52,C_FuelStreams!$A:$A,0)))</f>
        <v/>
      </c>
      <c r="G52" s="755" t="str">
        <f>IF(F52="","",INDEX(C_FuelStreams!K:K,MATCH($C52,C_FuelStreams!$A:$A,0)))</f>
        <v/>
      </c>
      <c r="H52" s="755" t="str">
        <f>IF(F52="","",INDEX(C_FuelStreams!K:K,MATCH($C52,C_FuelStreams!$A:$A,0)+1))</f>
        <v/>
      </c>
      <c r="I52" s="756" t="str">
        <f>IF($F52="","",INDEX(C_FuelStreams!BJ:BJ,MATCH($C52,C_FuelStreams!$A:$A,0)))</f>
        <v/>
      </c>
      <c r="J52" s="757" t="str">
        <f>IF($F52="","",INDEX(C_FuelStreams!BK:BK,MATCH($C52,C_FuelStreams!$A:$A,0)))</f>
        <v/>
      </c>
      <c r="K52" s="757" t="str">
        <f>IF($F52="","",SUM(J52)-INDEX(C_FuelStreams!BL:BL,MATCH($C52,C_FuelStreams!$A:$A,0)))</f>
        <v/>
      </c>
      <c r="L52" s="756" t="str">
        <f>IF($F52="","",INDEX(C_FuelStreams!BM:BM,MATCH($C52,C_FuelStreams!$A:$A,0)))</f>
        <v/>
      </c>
      <c r="M52" s="756" t="str">
        <f>IF($F52="","",INDEX(C_FuelStreams!BN:BN,MATCH($C52,C_FuelStreams!$A:$A,0)))</f>
        <v/>
      </c>
      <c r="N52" s="754" t="str">
        <f>IF($F52="","",INDEX(C_FuelStreams!BO:BO,MATCH($C52,C_FuelStreams!$A:$A,0)))</f>
        <v/>
      </c>
      <c r="O52" s="18" t="str">
        <f>IF($F52="","",INDEX(C_FuelStreams!BP:BP,MATCH($C52,C_FuelStreams!$A:$A,0)))</f>
        <v/>
      </c>
      <c r="P52" s="756" t="str">
        <f>IF($F52="","",INDEX(C_FuelStreams!BQ:BQ,MATCH($C52,C_FuelStreams!$A:$A,0)))</f>
        <v/>
      </c>
      <c r="Q52" s="758" t="str">
        <f>IF($F52="","",INDEX(C_FuelStreams!BR:BR,MATCH($C52,C_FuelStreams!$A:$A,0)))</f>
        <v/>
      </c>
      <c r="R52" s="756" t="str">
        <f>IF($F52="","",INDEX(C_FuelStreams!BS:BS,MATCH($C52,C_FuelStreams!$A:$A,0)))</f>
        <v/>
      </c>
      <c r="S52" s="756" t="str">
        <f>IF($F52="","",INDEX(C_FuelStreams!BT:BT,MATCH($C52,C_FuelStreams!$A:$A,0)))</f>
        <v/>
      </c>
      <c r="T52" s="758" t="str">
        <f>IF($F52="","",INDEX(C_FuelStreams!BU:BU,MATCH($C52,C_FuelStreams!$A:$A,0)))</f>
        <v/>
      </c>
      <c r="U52" s="756" t="str">
        <f>IF($F52="","",INDEX(C_FuelStreams!BV:BV,MATCH($C52,C_FuelStreams!$A:$A,0)))</f>
        <v/>
      </c>
      <c r="V52" s="756" t="str">
        <f>IF($F52="","",INDEX(C_FuelStreams!BW:BW,MATCH($C52,C_FuelStreams!$A:$A,0)))</f>
        <v/>
      </c>
      <c r="W52" s="13" t="str">
        <f>IF($F52="","",INDEX(C_FuelStreams!BX:BX,MATCH($C52,C_FuelStreams!$A:$A,0)))</f>
        <v/>
      </c>
      <c r="X52" s="756" t="str">
        <f>IF($F52="","",INDEX(C_FuelStreams!BY:BY,MATCH($C52,C_FuelStreams!$A:$A,0)))</f>
        <v/>
      </c>
      <c r="Y52" s="13" t="str">
        <f>IF($F52="","",INDEX(C_FuelStreams!BZ:BZ,MATCH($C52,C_FuelStreams!$A:$A,0)))</f>
        <v/>
      </c>
      <c r="Z52" s="13" t="str">
        <f>IF($F52="","",INDEX(C_FuelStreams!CA:CA,MATCH($C52,C_FuelStreams!$A:$A,0)))</f>
        <v/>
      </c>
      <c r="AA52" s="13" t="str">
        <f>IF($F52="","",INDEX(C_FuelStreams!CB:CB,MATCH($C52,C_FuelStreams!$A:$A,0)))</f>
        <v/>
      </c>
      <c r="AB52" s="13" t="str">
        <f>IF($F52="","",INDEX(C_FuelStreams!CC:CC,MATCH($C52,C_FuelStreams!$A:$A,0)))</f>
        <v/>
      </c>
      <c r="AC52" s="13" t="str">
        <f>IF($F52="","",INDEX(C_FuelStreams!CD:CD,MATCH($C52,C_FuelStreams!$A:$A,0)))</f>
        <v/>
      </c>
      <c r="AD52" s="757" t="str">
        <f>IF($F52="","",INDEX(C_FuelStreams!CE:CE,MATCH($C52,C_FuelStreams!$A:$A,0)))</f>
        <v/>
      </c>
      <c r="AE52" s="757" t="str">
        <f>IF($F52="","",INDEX(C_FuelStreams!CF:CF,MATCH($C52,C_FuelStreams!$A:$A,0)))</f>
        <v/>
      </c>
      <c r="AF52" s="757" t="str">
        <f>IF($F52="","",INDEX(C_FuelStreams!CG:CG,MATCH($C52,C_FuelStreams!$A:$A,0)))</f>
        <v/>
      </c>
      <c r="AG52" s="757" t="str">
        <f>IF($F52="","",INDEX(C_FuelStreams!CH:CH,MATCH($C52,C_FuelStreams!$A:$A,0)))</f>
        <v/>
      </c>
      <c r="AH52" s="757" t="str">
        <f>IF($F52="","",INDEX(C_FuelStreams!CI:CI,MATCH($C52,C_FuelStreams!$A:$A,0)))</f>
        <v/>
      </c>
      <c r="AI52" s="757" t="str">
        <f>IF($F52="","",INDEX(C_FuelStreams!CJ:CJ,MATCH($C52,C_FuelStreams!$A:$A,0)))</f>
        <v/>
      </c>
      <c r="AJ52" s="757" t="str">
        <f>IF($F52="","",INDEX(C_FuelStreams!CK:CK,MATCH($C52,C_FuelStreams!$A:$A,0)))</f>
        <v/>
      </c>
      <c r="AK52" s="757" t="str">
        <f>IF($F52="","",INDEX(C_FuelStreams!CL:CL,MATCH($C52,C_FuelStreams!$A:$A,0)))</f>
        <v/>
      </c>
      <c r="AL52" s="757" t="str">
        <f>IF($F52="","",INDEX(C_FuelStreams!CM:CM,MATCH($C52,C_FuelStreams!$A:$A,0)))</f>
        <v/>
      </c>
      <c r="AM52" s="757" t="str">
        <f>IF($F52="","",INDEX(C_FuelStreams!CN:CN,MATCH($C52,C_FuelStreams!$A:$A,0)))</f>
        <v/>
      </c>
      <c r="AN52" s="757" t="str">
        <f>IF($F52="","",INDEX(C_FuelStreams!CO:CO,MATCH($C52,C_FuelStreams!$A:$A,0)))</f>
        <v/>
      </c>
      <c r="AO52" s="759" t="str">
        <f>IF($F52="","",INDEX(C_FuelStreams!BK:BK,MATCH($C52,C_FuelStreams!$A:$A,0)+3))</f>
        <v/>
      </c>
      <c r="AP52" s="759" t="str">
        <f>IF($F52="","",INDEX(C_FuelStreams!BL:BL,MATCH($C52,C_FuelStreams!$A:$A,0)+3))</f>
        <v/>
      </c>
      <c r="AQ52" s="759" t="str">
        <f>IF($F52="","",INDEX(C_FuelStreams!BM:BM,MATCH($C52,C_FuelStreams!$A:$A,0)+3))</f>
        <v/>
      </c>
      <c r="AR52" s="757" t="str">
        <f>IF($F52="","",INDEX(C_FuelStreams!CP:CP,MATCH($C52,C_FuelStreams!$A:$A,0)))</f>
        <v/>
      </c>
      <c r="AT52" s="514" t="str">
        <f>IF($F52="","",INDEX(B_IdentifyFuelStreams!$E$67:$E$116,MATCH($F52,CNTR_SourceStreamNames,0)))</f>
        <v/>
      </c>
      <c r="AU52" s="514" t="str">
        <f>IF($F52="","",INDEX(B_IdentifyFuelStreams!$I$67:$I$116,MATCH($F52,CNTR_SourceStreamNames,0)))</f>
        <v/>
      </c>
      <c r="AV52" s="514" t="str">
        <f>IF($F52="","",IF(INDEX(B_IdentifyFuelStreams!$L$67:$L$116,MATCH($F52,CNTR_SourceStreamNames,0))="","",INDEX(B_IdentifyFuelStreams!$L$67:$L$116,MATCH($F52,CNTR_SourceStreamNames,0))))</f>
        <v/>
      </c>
    </row>
    <row r="53" spans="3:48" x14ac:dyDescent="0.25">
      <c r="C53" s="751">
        <f t="shared" si="5"/>
        <v>41</v>
      </c>
      <c r="D53" s="751" t="str">
        <f t="shared" si="3"/>
        <v/>
      </c>
      <c r="E53" s="754" t="str">
        <f t="shared" si="4"/>
        <v/>
      </c>
      <c r="F53" s="755" t="str">
        <f>IF(INDEX(C_FuelStreams!BI:BI,MATCH($C53,C_FuelStreams!$A:$A,0))="","",INDEX(C_FuelStreams!BI:BI,MATCH($C53,C_FuelStreams!$A:$A,0)))</f>
        <v/>
      </c>
      <c r="G53" s="755" t="str">
        <f>IF(F53="","",INDEX(C_FuelStreams!K:K,MATCH($C53,C_FuelStreams!$A:$A,0)))</f>
        <v/>
      </c>
      <c r="H53" s="755" t="str">
        <f>IF(F53="","",INDEX(C_FuelStreams!K:K,MATCH($C53,C_FuelStreams!$A:$A,0)+1))</f>
        <v/>
      </c>
      <c r="I53" s="756" t="str">
        <f>IF($F53="","",INDEX(C_FuelStreams!BJ:BJ,MATCH($C53,C_FuelStreams!$A:$A,0)))</f>
        <v/>
      </c>
      <c r="J53" s="757" t="str">
        <f>IF($F53="","",INDEX(C_FuelStreams!BK:BK,MATCH($C53,C_FuelStreams!$A:$A,0)))</f>
        <v/>
      </c>
      <c r="K53" s="757" t="str">
        <f>IF($F53="","",SUM(J53)-INDEX(C_FuelStreams!BL:BL,MATCH($C53,C_FuelStreams!$A:$A,0)))</f>
        <v/>
      </c>
      <c r="L53" s="756" t="str">
        <f>IF($F53="","",INDEX(C_FuelStreams!BM:BM,MATCH($C53,C_FuelStreams!$A:$A,0)))</f>
        <v/>
      </c>
      <c r="M53" s="756" t="str">
        <f>IF($F53="","",INDEX(C_FuelStreams!BN:BN,MATCH($C53,C_FuelStreams!$A:$A,0)))</f>
        <v/>
      </c>
      <c r="N53" s="754" t="str">
        <f>IF($F53="","",INDEX(C_FuelStreams!BO:BO,MATCH($C53,C_FuelStreams!$A:$A,0)))</f>
        <v/>
      </c>
      <c r="O53" s="18" t="str">
        <f>IF($F53="","",INDEX(C_FuelStreams!BP:BP,MATCH($C53,C_FuelStreams!$A:$A,0)))</f>
        <v/>
      </c>
      <c r="P53" s="756" t="str">
        <f>IF($F53="","",INDEX(C_FuelStreams!BQ:BQ,MATCH($C53,C_FuelStreams!$A:$A,0)))</f>
        <v/>
      </c>
      <c r="Q53" s="758" t="str">
        <f>IF($F53="","",INDEX(C_FuelStreams!BR:BR,MATCH($C53,C_FuelStreams!$A:$A,0)))</f>
        <v/>
      </c>
      <c r="R53" s="756" t="str">
        <f>IF($F53="","",INDEX(C_FuelStreams!BS:BS,MATCH($C53,C_FuelStreams!$A:$A,0)))</f>
        <v/>
      </c>
      <c r="S53" s="756" t="str">
        <f>IF($F53="","",INDEX(C_FuelStreams!BT:BT,MATCH($C53,C_FuelStreams!$A:$A,0)))</f>
        <v/>
      </c>
      <c r="T53" s="758" t="str">
        <f>IF($F53="","",INDEX(C_FuelStreams!BU:BU,MATCH($C53,C_FuelStreams!$A:$A,0)))</f>
        <v/>
      </c>
      <c r="U53" s="756" t="str">
        <f>IF($F53="","",INDEX(C_FuelStreams!BV:BV,MATCH($C53,C_FuelStreams!$A:$A,0)))</f>
        <v/>
      </c>
      <c r="V53" s="756" t="str">
        <f>IF($F53="","",INDEX(C_FuelStreams!BW:BW,MATCH($C53,C_FuelStreams!$A:$A,0)))</f>
        <v/>
      </c>
      <c r="W53" s="13" t="str">
        <f>IF($F53="","",INDEX(C_FuelStreams!BX:BX,MATCH($C53,C_FuelStreams!$A:$A,0)))</f>
        <v/>
      </c>
      <c r="X53" s="756" t="str">
        <f>IF($F53="","",INDEX(C_FuelStreams!BY:BY,MATCH($C53,C_FuelStreams!$A:$A,0)))</f>
        <v/>
      </c>
      <c r="Y53" s="13" t="str">
        <f>IF($F53="","",INDEX(C_FuelStreams!BZ:BZ,MATCH($C53,C_FuelStreams!$A:$A,0)))</f>
        <v/>
      </c>
      <c r="Z53" s="13" t="str">
        <f>IF($F53="","",INDEX(C_FuelStreams!CA:CA,MATCH($C53,C_FuelStreams!$A:$A,0)))</f>
        <v/>
      </c>
      <c r="AA53" s="13" t="str">
        <f>IF($F53="","",INDEX(C_FuelStreams!CB:CB,MATCH($C53,C_FuelStreams!$A:$A,0)))</f>
        <v/>
      </c>
      <c r="AB53" s="13" t="str">
        <f>IF($F53="","",INDEX(C_FuelStreams!CC:CC,MATCH($C53,C_FuelStreams!$A:$A,0)))</f>
        <v/>
      </c>
      <c r="AC53" s="13" t="str">
        <f>IF($F53="","",INDEX(C_FuelStreams!CD:CD,MATCH($C53,C_FuelStreams!$A:$A,0)))</f>
        <v/>
      </c>
      <c r="AD53" s="757" t="str">
        <f>IF($F53="","",INDEX(C_FuelStreams!CE:CE,MATCH($C53,C_FuelStreams!$A:$A,0)))</f>
        <v/>
      </c>
      <c r="AE53" s="757" t="str">
        <f>IF($F53="","",INDEX(C_FuelStreams!CF:CF,MATCH($C53,C_FuelStreams!$A:$A,0)))</f>
        <v/>
      </c>
      <c r="AF53" s="757" t="str">
        <f>IF($F53="","",INDEX(C_FuelStreams!CG:CG,MATCH($C53,C_FuelStreams!$A:$A,0)))</f>
        <v/>
      </c>
      <c r="AG53" s="757" t="str">
        <f>IF($F53="","",INDEX(C_FuelStreams!CH:CH,MATCH($C53,C_FuelStreams!$A:$A,0)))</f>
        <v/>
      </c>
      <c r="AH53" s="757" t="str">
        <f>IF($F53="","",INDEX(C_FuelStreams!CI:CI,MATCH($C53,C_FuelStreams!$A:$A,0)))</f>
        <v/>
      </c>
      <c r="AI53" s="757" t="str">
        <f>IF($F53="","",INDEX(C_FuelStreams!CJ:CJ,MATCH($C53,C_FuelStreams!$A:$A,0)))</f>
        <v/>
      </c>
      <c r="AJ53" s="757" t="str">
        <f>IF($F53="","",INDEX(C_FuelStreams!CK:CK,MATCH($C53,C_FuelStreams!$A:$A,0)))</f>
        <v/>
      </c>
      <c r="AK53" s="757" t="str">
        <f>IF($F53="","",INDEX(C_FuelStreams!CL:CL,MATCH($C53,C_FuelStreams!$A:$A,0)))</f>
        <v/>
      </c>
      <c r="AL53" s="757" t="str">
        <f>IF($F53="","",INDEX(C_FuelStreams!CM:CM,MATCH($C53,C_FuelStreams!$A:$A,0)))</f>
        <v/>
      </c>
      <c r="AM53" s="757" t="str">
        <f>IF($F53="","",INDEX(C_FuelStreams!CN:CN,MATCH($C53,C_FuelStreams!$A:$A,0)))</f>
        <v/>
      </c>
      <c r="AN53" s="757" t="str">
        <f>IF($F53="","",INDEX(C_FuelStreams!CO:CO,MATCH($C53,C_FuelStreams!$A:$A,0)))</f>
        <v/>
      </c>
      <c r="AO53" s="759" t="str">
        <f>IF($F53="","",INDEX(C_FuelStreams!BK:BK,MATCH($C53,C_FuelStreams!$A:$A,0)+3))</f>
        <v/>
      </c>
      <c r="AP53" s="759" t="str">
        <f>IF($F53="","",INDEX(C_FuelStreams!BL:BL,MATCH($C53,C_FuelStreams!$A:$A,0)+3))</f>
        <v/>
      </c>
      <c r="AQ53" s="759" t="str">
        <f>IF($F53="","",INDEX(C_FuelStreams!BM:BM,MATCH($C53,C_FuelStreams!$A:$A,0)+3))</f>
        <v/>
      </c>
      <c r="AR53" s="757" t="str">
        <f>IF($F53="","",INDEX(C_FuelStreams!CP:CP,MATCH($C53,C_FuelStreams!$A:$A,0)))</f>
        <v/>
      </c>
      <c r="AT53" s="514" t="str">
        <f>IF($F53="","",INDEX(B_IdentifyFuelStreams!$E$67:$E$116,MATCH($F53,CNTR_SourceStreamNames,0)))</f>
        <v/>
      </c>
      <c r="AU53" s="514" t="str">
        <f>IF($F53="","",INDEX(B_IdentifyFuelStreams!$I$67:$I$116,MATCH($F53,CNTR_SourceStreamNames,0)))</f>
        <v/>
      </c>
      <c r="AV53" s="514" t="str">
        <f>IF($F53="","",IF(INDEX(B_IdentifyFuelStreams!$L$67:$L$116,MATCH($F53,CNTR_SourceStreamNames,0))="","",INDEX(B_IdentifyFuelStreams!$L$67:$L$116,MATCH($F53,CNTR_SourceStreamNames,0))))</f>
        <v/>
      </c>
    </row>
    <row r="54" spans="3:48" x14ac:dyDescent="0.25">
      <c r="C54" s="751">
        <f t="shared" si="5"/>
        <v>42</v>
      </c>
      <c r="D54" s="751" t="str">
        <f t="shared" si="3"/>
        <v/>
      </c>
      <c r="E54" s="754" t="str">
        <f t="shared" si="4"/>
        <v/>
      </c>
      <c r="F54" s="755" t="str">
        <f>IF(INDEX(C_FuelStreams!BI:BI,MATCH($C54,C_FuelStreams!$A:$A,0))="","",INDEX(C_FuelStreams!BI:BI,MATCH($C54,C_FuelStreams!$A:$A,0)))</f>
        <v/>
      </c>
      <c r="G54" s="755" t="str">
        <f>IF(F54="","",INDEX(C_FuelStreams!K:K,MATCH($C54,C_FuelStreams!$A:$A,0)))</f>
        <v/>
      </c>
      <c r="H54" s="755" t="str">
        <f>IF(F54="","",INDEX(C_FuelStreams!K:K,MATCH($C54,C_FuelStreams!$A:$A,0)+1))</f>
        <v/>
      </c>
      <c r="I54" s="756" t="str">
        <f>IF($F54="","",INDEX(C_FuelStreams!BJ:BJ,MATCH($C54,C_FuelStreams!$A:$A,0)))</f>
        <v/>
      </c>
      <c r="J54" s="757" t="str">
        <f>IF($F54="","",INDEX(C_FuelStreams!BK:BK,MATCH($C54,C_FuelStreams!$A:$A,0)))</f>
        <v/>
      </c>
      <c r="K54" s="757" t="str">
        <f>IF($F54="","",SUM(J54)-INDEX(C_FuelStreams!BL:BL,MATCH($C54,C_FuelStreams!$A:$A,0)))</f>
        <v/>
      </c>
      <c r="L54" s="756" t="str">
        <f>IF($F54="","",INDEX(C_FuelStreams!BM:BM,MATCH($C54,C_FuelStreams!$A:$A,0)))</f>
        <v/>
      </c>
      <c r="M54" s="756" t="str">
        <f>IF($F54="","",INDEX(C_FuelStreams!BN:BN,MATCH($C54,C_FuelStreams!$A:$A,0)))</f>
        <v/>
      </c>
      <c r="N54" s="754" t="str">
        <f>IF($F54="","",INDEX(C_FuelStreams!BO:BO,MATCH($C54,C_FuelStreams!$A:$A,0)))</f>
        <v/>
      </c>
      <c r="O54" s="18" t="str">
        <f>IF($F54="","",INDEX(C_FuelStreams!BP:BP,MATCH($C54,C_FuelStreams!$A:$A,0)))</f>
        <v/>
      </c>
      <c r="P54" s="756" t="str">
        <f>IF($F54="","",INDEX(C_FuelStreams!BQ:BQ,MATCH($C54,C_FuelStreams!$A:$A,0)))</f>
        <v/>
      </c>
      <c r="Q54" s="758" t="str">
        <f>IF($F54="","",INDEX(C_FuelStreams!BR:BR,MATCH($C54,C_FuelStreams!$A:$A,0)))</f>
        <v/>
      </c>
      <c r="R54" s="756" t="str">
        <f>IF($F54="","",INDEX(C_FuelStreams!BS:BS,MATCH($C54,C_FuelStreams!$A:$A,0)))</f>
        <v/>
      </c>
      <c r="S54" s="756" t="str">
        <f>IF($F54="","",INDEX(C_FuelStreams!BT:BT,MATCH($C54,C_FuelStreams!$A:$A,0)))</f>
        <v/>
      </c>
      <c r="T54" s="758" t="str">
        <f>IF($F54="","",INDEX(C_FuelStreams!BU:BU,MATCH($C54,C_FuelStreams!$A:$A,0)))</f>
        <v/>
      </c>
      <c r="U54" s="756" t="str">
        <f>IF($F54="","",INDEX(C_FuelStreams!BV:BV,MATCH($C54,C_FuelStreams!$A:$A,0)))</f>
        <v/>
      </c>
      <c r="V54" s="756" t="str">
        <f>IF($F54="","",INDEX(C_FuelStreams!BW:BW,MATCH($C54,C_FuelStreams!$A:$A,0)))</f>
        <v/>
      </c>
      <c r="W54" s="13" t="str">
        <f>IF($F54="","",INDEX(C_FuelStreams!BX:BX,MATCH($C54,C_FuelStreams!$A:$A,0)))</f>
        <v/>
      </c>
      <c r="X54" s="756" t="str">
        <f>IF($F54="","",INDEX(C_FuelStreams!BY:BY,MATCH($C54,C_FuelStreams!$A:$A,0)))</f>
        <v/>
      </c>
      <c r="Y54" s="13" t="str">
        <f>IF($F54="","",INDEX(C_FuelStreams!BZ:BZ,MATCH($C54,C_FuelStreams!$A:$A,0)))</f>
        <v/>
      </c>
      <c r="Z54" s="13" t="str">
        <f>IF($F54="","",INDEX(C_FuelStreams!CA:CA,MATCH($C54,C_FuelStreams!$A:$A,0)))</f>
        <v/>
      </c>
      <c r="AA54" s="13" t="str">
        <f>IF($F54="","",INDEX(C_FuelStreams!CB:CB,MATCH($C54,C_FuelStreams!$A:$A,0)))</f>
        <v/>
      </c>
      <c r="AB54" s="13" t="str">
        <f>IF($F54="","",INDEX(C_FuelStreams!CC:CC,MATCH($C54,C_FuelStreams!$A:$A,0)))</f>
        <v/>
      </c>
      <c r="AC54" s="13" t="str">
        <f>IF($F54="","",INDEX(C_FuelStreams!CD:CD,MATCH($C54,C_FuelStreams!$A:$A,0)))</f>
        <v/>
      </c>
      <c r="AD54" s="757" t="str">
        <f>IF($F54="","",INDEX(C_FuelStreams!CE:CE,MATCH($C54,C_FuelStreams!$A:$A,0)))</f>
        <v/>
      </c>
      <c r="AE54" s="757" t="str">
        <f>IF($F54="","",INDEX(C_FuelStreams!CF:CF,MATCH($C54,C_FuelStreams!$A:$A,0)))</f>
        <v/>
      </c>
      <c r="AF54" s="757" t="str">
        <f>IF($F54="","",INDEX(C_FuelStreams!CG:CG,MATCH($C54,C_FuelStreams!$A:$A,0)))</f>
        <v/>
      </c>
      <c r="AG54" s="757" t="str">
        <f>IF($F54="","",INDEX(C_FuelStreams!CH:CH,MATCH($C54,C_FuelStreams!$A:$A,0)))</f>
        <v/>
      </c>
      <c r="AH54" s="757" t="str">
        <f>IF($F54="","",INDEX(C_FuelStreams!CI:CI,MATCH($C54,C_FuelStreams!$A:$A,0)))</f>
        <v/>
      </c>
      <c r="AI54" s="757" t="str">
        <f>IF($F54="","",INDEX(C_FuelStreams!CJ:CJ,MATCH($C54,C_FuelStreams!$A:$A,0)))</f>
        <v/>
      </c>
      <c r="AJ54" s="757" t="str">
        <f>IF($F54="","",INDEX(C_FuelStreams!CK:CK,MATCH($C54,C_FuelStreams!$A:$A,0)))</f>
        <v/>
      </c>
      <c r="AK54" s="757" t="str">
        <f>IF($F54="","",INDEX(C_FuelStreams!CL:CL,MATCH($C54,C_FuelStreams!$A:$A,0)))</f>
        <v/>
      </c>
      <c r="AL54" s="757" t="str">
        <f>IF($F54="","",INDEX(C_FuelStreams!CM:CM,MATCH($C54,C_FuelStreams!$A:$A,0)))</f>
        <v/>
      </c>
      <c r="AM54" s="757" t="str">
        <f>IF($F54="","",INDEX(C_FuelStreams!CN:CN,MATCH($C54,C_FuelStreams!$A:$A,0)))</f>
        <v/>
      </c>
      <c r="AN54" s="757" t="str">
        <f>IF($F54="","",INDEX(C_FuelStreams!CO:CO,MATCH($C54,C_FuelStreams!$A:$A,0)))</f>
        <v/>
      </c>
      <c r="AO54" s="759" t="str">
        <f>IF($F54="","",INDEX(C_FuelStreams!BK:BK,MATCH($C54,C_FuelStreams!$A:$A,0)+3))</f>
        <v/>
      </c>
      <c r="AP54" s="759" t="str">
        <f>IF($F54="","",INDEX(C_FuelStreams!BL:BL,MATCH($C54,C_FuelStreams!$A:$A,0)+3))</f>
        <v/>
      </c>
      <c r="AQ54" s="759" t="str">
        <f>IF($F54="","",INDEX(C_FuelStreams!BM:BM,MATCH($C54,C_FuelStreams!$A:$A,0)+3))</f>
        <v/>
      </c>
      <c r="AR54" s="757" t="str">
        <f>IF($F54="","",INDEX(C_FuelStreams!CP:CP,MATCH($C54,C_FuelStreams!$A:$A,0)))</f>
        <v/>
      </c>
      <c r="AT54" s="514" t="str">
        <f>IF($F54="","",INDEX(B_IdentifyFuelStreams!$E$67:$E$116,MATCH($F54,CNTR_SourceStreamNames,0)))</f>
        <v/>
      </c>
      <c r="AU54" s="514" t="str">
        <f>IF($F54="","",INDEX(B_IdentifyFuelStreams!$I$67:$I$116,MATCH($F54,CNTR_SourceStreamNames,0)))</f>
        <v/>
      </c>
      <c r="AV54" s="514" t="str">
        <f>IF($F54="","",IF(INDEX(B_IdentifyFuelStreams!$L$67:$L$116,MATCH($F54,CNTR_SourceStreamNames,0))="","",INDEX(B_IdentifyFuelStreams!$L$67:$L$116,MATCH($F54,CNTR_SourceStreamNames,0))))</f>
        <v/>
      </c>
    </row>
    <row r="55" spans="3:48" x14ac:dyDescent="0.25">
      <c r="C55" s="751">
        <f t="shared" si="5"/>
        <v>43</v>
      </c>
      <c r="D55" s="751" t="str">
        <f t="shared" si="3"/>
        <v/>
      </c>
      <c r="E55" s="754" t="str">
        <f t="shared" si="4"/>
        <v/>
      </c>
      <c r="F55" s="755" t="str">
        <f>IF(INDEX(C_FuelStreams!BI:BI,MATCH($C55,C_FuelStreams!$A:$A,0))="","",INDEX(C_FuelStreams!BI:BI,MATCH($C55,C_FuelStreams!$A:$A,0)))</f>
        <v/>
      </c>
      <c r="G55" s="755" t="str">
        <f>IF(F55="","",INDEX(C_FuelStreams!K:K,MATCH($C55,C_FuelStreams!$A:$A,0)))</f>
        <v/>
      </c>
      <c r="H55" s="755" t="str">
        <f>IF(F55="","",INDEX(C_FuelStreams!K:K,MATCH($C55,C_FuelStreams!$A:$A,0)+1))</f>
        <v/>
      </c>
      <c r="I55" s="756" t="str">
        <f>IF($F55="","",INDEX(C_FuelStreams!BJ:BJ,MATCH($C55,C_FuelStreams!$A:$A,0)))</f>
        <v/>
      </c>
      <c r="J55" s="757" t="str">
        <f>IF($F55="","",INDEX(C_FuelStreams!BK:BK,MATCH($C55,C_FuelStreams!$A:$A,0)))</f>
        <v/>
      </c>
      <c r="K55" s="757" t="str">
        <f>IF($F55="","",SUM(J55)-INDEX(C_FuelStreams!BL:BL,MATCH($C55,C_FuelStreams!$A:$A,0)))</f>
        <v/>
      </c>
      <c r="L55" s="756" t="str">
        <f>IF($F55="","",INDEX(C_FuelStreams!BM:BM,MATCH($C55,C_FuelStreams!$A:$A,0)))</f>
        <v/>
      </c>
      <c r="M55" s="756" t="str">
        <f>IF($F55="","",INDEX(C_FuelStreams!BN:BN,MATCH($C55,C_FuelStreams!$A:$A,0)))</f>
        <v/>
      </c>
      <c r="N55" s="754" t="str">
        <f>IF($F55="","",INDEX(C_FuelStreams!BO:BO,MATCH($C55,C_FuelStreams!$A:$A,0)))</f>
        <v/>
      </c>
      <c r="O55" s="18" t="str">
        <f>IF($F55="","",INDEX(C_FuelStreams!BP:BP,MATCH($C55,C_FuelStreams!$A:$A,0)))</f>
        <v/>
      </c>
      <c r="P55" s="756" t="str">
        <f>IF($F55="","",INDEX(C_FuelStreams!BQ:BQ,MATCH($C55,C_FuelStreams!$A:$A,0)))</f>
        <v/>
      </c>
      <c r="Q55" s="758" t="str">
        <f>IF($F55="","",INDEX(C_FuelStreams!BR:BR,MATCH($C55,C_FuelStreams!$A:$A,0)))</f>
        <v/>
      </c>
      <c r="R55" s="756" t="str">
        <f>IF($F55="","",INDEX(C_FuelStreams!BS:BS,MATCH($C55,C_FuelStreams!$A:$A,0)))</f>
        <v/>
      </c>
      <c r="S55" s="756" t="str">
        <f>IF($F55="","",INDEX(C_FuelStreams!BT:BT,MATCH($C55,C_FuelStreams!$A:$A,0)))</f>
        <v/>
      </c>
      <c r="T55" s="758" t="str">
        <f>IF($F55="","",INDEX(C_FuelStreams!BU:BU,MATCH($C55,C_FuelStreams!$A:$A,0)))</f>
        <v/>
      </c>
      <c r="U55" s="756" t="str">
        <f>IF($F55="","",INDEX(C_FuelStreams!BV:BV,MATCH($C55,C_FuelStreams!$A:$A,0)))</f>
        <v/>
      </c>
      <c r="V55" s="756" t="str">
        <f>IF($F55="","",INDEX(C_FuelStreams!BW:BW,MATCH($C55,C_FuelStreams!$A:$A,0)))</f>
        <v/>
      </c>
      <c r="W55" s="13" t="str">
        <f>IF($F55="","",INDEX(C_FuelStreams!BX:BX,MATCH($C55,C_FuelStreams!$A:$A,0)))</f>
        <v/>
      </c>
      <c r="X55" s="756" t="str">
        <f>IF($F55="","",INDEX(C_FuelStreams!BY:BY,MATCH($C55,C_FuelStreams!$A:$A,0)))</f>
        <v/>
      </c>
      <c r="Y55" s="13" t="str">
        <f>IF($F55="","",INDEX(C_FuelStreams!BZ:BZ,MATCH($C55,C_FuelStreams!$A:$A,0)))</f>
        <v/>
      </c>
      <c r="Z55" s="13" t="str">
        <f>IF($F55="","",INDEX(C_FuelStreams!CA:CA,MATCH($C55,C_FuelStreams!$A:$A,0)))</f>
        <v/>
      </c>
      <c r="AA55" s="13" t="str">
        <f>IF($F55="","",INDEX(C_FuelStreams!CB:CB,MATCH($C55,C_FuelStreams!$A:$A,0)))</f>
        <v/>
      </c>
      <c r="AB55" s="13" t="str">
        <f>IF($F55="","",INDEX(C_FuelStreams!CC:CC,MATCH($C55,C_FuelStreams!$A:$A,0)))</f>
        <v/>
      </c>
      <c r="AC55" s="13" t="str">
        <f>IF($F55="","",INDEX(C_FuelStreams!CD:CD,MATCH($C55,C_FuelStreams!$A:$A,0)))</f>
        <v/>
      </c>
      <c r="AD55" s="757" t="str">
        <f>IF($F55="","",INDEX(C_FuelStreams!CE:CE,MATCH($C55,C_FuelStreams!$A:$A,0)))</f>
        <v/>
      </c>
      <c r="AE55" s="757" t="str">
        <f>IF($F55="","",INDEX(C_FuelStreams!CF:CF,MATCH($C55,C_FuelStreams!$A:$A,0)))</f>
        <v/>
      </c>
      <c r="AF55" s="757" t="str">
        <f>IF($F55="","",INDEX(C_FuelStreams!CG:CG,MATCH($C55,C_FuelStreams!$A:$A,0)))</f>
        <v/>
      </c>
      <c r="AG55" s="757" t="str">
        <f>IF($F55="","",INDEX(C_FuelStreams!CH:CH,MATCH($C55,C_FuelStreams!$A:$A,0)))</f>
        <v/>
      </c>
      <c r="AH55" s="757" t="str">
        <f>IF($F55="","",INDEX(C_FuelStreams!CI:CI,MATCH($C55,C_FuelStreams!$A:$A,0)))</f>
        <v/>
      </c>
      <c r="AI55" s="757" t="str">
        <f>IF($F55="","",INDEX(C_FuelStreams!CJ:CJ,MATCH($C55,C_FuelStreams!$A:$A,0)))</f>
        <v/>
      </c>
      <c r="AJ55" s="757" t="str">
        <f>IF($F55="","",INDEX(C_FuelStreams!CK:CK,MATCH($C55,C_FuelStreams!$A:$A,0)))</f>
        <v/>
      </c>
      <c r="AK55" s="757" t="str">
        <f>IF($F55="","",INDEX(C_FuelStreams!CL:CL,MATCH($C55,C_FuelStreams!$A:$A,0)))</f>
        <v/>
      </c>
      <c r="AL55" s="757" t="str">
        <f>IF($F55="","",INDEX(C_FuelStreams!CM:CM,MATCH($C55,C_FuelStreams!$A:$A,0)))</f>
        <v/>
      </c>
      <c r="AM55" s="757" t="str">
        <f>IF($F55="","",INDEX(C_FuelStreams!CN:CN,MATCH($C55,C_FuelStreams!$A:$A,0)))</f>
        <v/>
      </c>
      <c r="AN55" s="757" t="str">
        <f>IF($F55="","",INDEX(C_FuelStreams!CO:CO,MATCH($C55,C_FuelStreams!$A:$A,0)))</f>
        <v/>
      </c>
      <c r="AO55" s="759" t="str">
        <f>IF($F55="","",INDEX(C_FuelStreams!BK:BK,MATCH($C55,C_FuelStreams!$A:$A,0)+3))</f>
        <v/>
      </c>
      <c r="AP55" s="759" t="str">
        <f>IF($F55="","",INDEX(C_FuelStreams!BL:BL,MATCH($C55,C_FuelStreams!$A:$A,0)+3))</f>
        <v/>
      </c>
      <c r="AQ55" s="759" t="str">
        <f>IF($F55="","",INDEX(C_FuelStreams!BM:BM,MATCH($C55,C_FuelStreams!$A:$A,0)+3))</f>
        <v/>
      </c>
      <c r="AR55" s="757" t="str">
        <f>IF($F55="","",INDEX(C_FuelStreams!CP:CP,MATCH($C55,C_FuelStreams!$A:$A,0)))</f>
        <v/>
      </c>
      <c r="AT55" s="514" t="str">
        <f>IF($F55="","",INDEX(B_IdentifyFuelStreams!$E$67:$E$116,MATCH($F55,CNTR_SourceStreamNames,0)))</f>
        <v/>
      </c>
      <c r="AU55" s="514" t="str">
        <f>IF($F55="","",INDEX(B_IdentifyFuelStreams!$I$67:$I$116,MATCH($F55,CNTR_SourceStreamNames,0)))</f>
        <v/>
      </c>
      <c r="AV55" s="514" t="str">
        <f>IF($F55="","",IF(INDEX(B_IdentifyFuelStreams!$L$67:$L$116,MATCH($F55,CNTR_SourceStreamNames,0))="","",INDEX(B_IdentifyFuelStreams!$L$67:$L$116,MATCH($F55,CNTR_SourceStreamNames,0))))</f>
        <v/>
      </c>
    </row>
    <row r="56" spans="3:48" x14ac:dyDescent="0.25">
      <c r="C56" s="751">
        <f t="shared" si="5"/>
        <v>44</v>
      </c>
      <c r="D56" s="751" t="str">
        <f t="shared" si="3"/>
        <v/>
      </c>
      <c r="E56" s="754" t="str">
        <f t="shared" si="4"/>
        <v/>
      </c>
      <c r="F56" s="755" t="str">
        <f>IF(INDEX(C_FuelStreams!BI:BI,MATCH($C56,C_FuelStreams!$A:$A,0))="","",INDEX(C_FuelStreams!BI:BI,MATCH($C56,C_FuelStreams!$A:$A,0)))</f>
        <v/>
      </c>
      <c r="G56" s="755" t="str">
        <f>IF(F56="","",INDEX(C_FuelStreams!K:K,MATCH($C56,C_FuelStreams!$A:$A,0)))</f>
        <v/>
      </c>
      <c r="H56" s="755" t="str">
        <f>IF(F56="","",INDEX(C_FuelStreams!K:K,MATCH($C56,C_FuelStreams!$A:$A,0)+1))</f>
        <v/>
      </c>
      <c r="I56" s="756" t="str">
        <f>IF($F56="","",INDEX(C_FuelStreams!BJ:BJ,MATCH($C56,C_FuelStreams!$A:$A,0)))</f>
        <v/>
      </c>
      <c r="J56" s="757" t="str">
        <f>IF($F56="","",INDEX(C_FuelStreams!BK:BK,MATCH($C56,C_FuelStreams!$A:$A,0)))</f>
        <v/>
      </c>
      <c r="K56" s="757" t="str">
        <f>IF($F56="","",SUM(J56)-INDEX(C_FuelStreams!BL:BL,MATCH($C56,C_FuelStreams!$A:$A,0)))</f>
        <v/>
      </c>
      <c r="L56" s="756" t="str">
        <f>IF($F56="","",INDEX(C_FuelStreams!BM:BM,MATCH($C56,C_FuelStreams!$A:$A,0)))</f>
        <v/>
      </c>
      <c r="M56" s="756" t="str">
        <f>IF($F56="","",INDEX(C_FuelStreams!BN:BN,MATCH($C56,C_FuelStreams!$A:$A,0)))</f>
        <v/>
      </c>
      <c r="N56" s="754" t="str">
        <f>IF($F56="","",INDEX(C_FuelStreams!BO:BO,MATCH($C56,C_FuelStreams!$A:$A,0)))</f>
        <v/>
      </c>
      <c r="O56" s="18" t="str">
        <f>IF($F56="","",INDEX(C_FuelStreams!BP:BP,MATCH($C56,C_FuelStreams!$A:$A,0)))</f>
        <v/>
      </c>
      <c r="P56" s="756" t="str">
        <f>IF($F56="","",INDEX(C_FuelStreams!BQ:BQ,MATCH($C56,C_FuelStreams!$A:$A,0)))</f>
        <v/>
      </c>
      <c r="Q56" s="758" t="str">
        <f>IF($F56="","",INDEX(C_FuelStreams!BR:BR,MATCH($C56,C_FuelStreams!$A:$A,0)))</f>
        <v/>
      </c>
      <c r="R56" s="756" t="str">
        <f>IF($F56="","",INDEX(C_FuelStreams!BS:BS,MATCH($C56,C_FuelStreams!$A:$A,0)))</f>
        <v/>
      </c>
      <c r="S56" s="756" t="str">
        <f>IF($F56="","",INDEX(C_FuelStreams!BT:BT,MATCH($C56,C_FuelStreams!$A:$A,0)))</f>
        <v/>
      </c>
      <c r="T56" s="758" t="str">
        <f>IF($F56="","",INDEX(C_FuelStreams!BU:BU,MATCH($C56,C_FuelStreams!$A:$A,0)))</f>
        <v/>
      </c>
      <c r="U56" s="756" t="str">
        <f>IF($F56="","",INDEX(C_FuelStreams!BV:BV,MATCH($C56,C_FuelStreams!$A:$A,0)))</f>
        <v/>
      </c>
      <c r="V56" s="756" t="str">
        <f>IF($F56="","",INDEX(C_FuelStreams!BW:BW,MATCH($C56,C_FuelStreams!$A:$A,0)))</f>
        <v/>
      </c>
      <c r="W56" s="13" t="str">
        <f>IF($F56="","",INDEX(C_FuelStreams!BX:BX,MATCH($C56,C_FuelStreams!$A:$A,0)))</f>
        <v/>
      </c>
      <c r="X56" s="756" t="str">
        <f>IF($F56="","",INDEX(C_FuelStreams!BY:BY,MATCH($C56,C_FuelStreams!$A:$A,0)))</f>
        <v/>
      </c>
      <c r="Y56" s="13" t="str">
        <f>IF($F56="","",INDEX(C_FuelStreams!BZ:BZ,MATCH($C56,C_FuelStreams!$A:$A,0)))</f>
        <v/>
      </c>
      <c r="Z56" s="13" t="str">
        <f>IF($F56="","",INDEX(C_FuelStreams!CA:CA,MATCH($C56,C_FuelStreams!$A:$A,0)))</f>
        <v/>
      </c>
      <c r="AA56" s="13" t="str">
        <f>IF($F56="","",INDEX(C_FuelStreams!CB:CB,MATCH($C56,C_FuelStreams!$A:$A,0)))</f>
        <v/>
      </c>
      <c r="AB56" s="13" t="str">
        <f>IF($F56="","",INDEX(C_FuelStreams!CC:CC,MATCH($C56,C_FuelStreams!$A:$A,0)))</f>
        <v/>
      </c>
      <c r="AC56" s="13" t="str">
        <f>IF($F56="","",INDEX(C_FuelStreams!CD:CD,MATCH($C56,C_FuelStreams!$A:$A,0)))</f>
        <v/>
      </c>
      <c r="AD56" s="757" t="str">
        <f>IF($F56="","",INDEX(C_FuelStreams!CE:CE,MATCH($C56,C_FuelStreams!$A:$A,0)))</f>
        <v/>
      </c>
      <c r="AE56" s="757" t="str">
        <f>IF($F56="","",INDEX(C_FuelStreams!CF:CF,MATCH($C56,C_FuelStreams!$A:$A,0)))</f>
        <v/>
      </c>
      <c r="AF56" s="757" t="str">
        <f>IF($F56="","",INDEX(C_FuelStreams!CG:CG,MATCH($C56,C_FuelStreams!$A:$A,0)))</f>
        <v/>
      </c>
      <c r="AG56" s="757" t="str">
        <f>IF($F56="","",INDEX(C_FuelStreams!CH:CH,MATCH($C56,C_FuelStreams!$A:$A,0)))</f>
        <v/>
      </c>
      <c r="AH56" s="757" t="str">
        <f>IF($F56="","",INDEX(C_FuelStreams!CI:CI,MATCH($C56,C_FuelStreams!$A:$A,0)))</f>
        <v/>
      </c>
      <c r="AI56" s="757" t="str">
        <f>IF($F56="","",INDEX(C_FuelStreams!CJ:CJ,MATCH($C56,C_FuelStreams!$A:$A,0)))</f>
        <v/>
      </c>
      <c r="AJ56" s="757" t="str">
        <f>IF($F56="","",INDEX(C_FuelStreams!CK:CK,MATCH($C56,C_FuelStreams!$A:$A,0)))</f>
        <v/>
      </c>
      <c r="AK56" s="757" t="str">
        <f>IF($F56="","",INDEX(C_FuelStreams!CL:CL,MATCH($C56,C_FuelStreams!$A:$A,0)))</f>
        <v/>
      </c>
      <c r="AL56" s="757" t="str">
        <f>IF($F56="","",INDEX(C_FuelStreams!CM:CM,MATCH($C56,C_FuelStreams!$A:$A,0)))</f>
        <v/>
      </c>
      <c r="AM56" s="757" t="str">
        <f>IF($F56="","",INDEX(C_FuelStreams!CN:CN,MATCH($C56,C_FuelStreams!$A:$A,0)))</f>
        <v/>
      </c>
      <c r="AN56" s="757" t="str">
        <f>IF($F56="","",INDEX(C_FuelStreams!CO:CO,MATCH($C56,C_FuelStreams!$A:$A,0)))</f>
        <v/>
      </c>
      <c r="AO56" s="759" t="str">
        <f>IF($F56="","",INDEX(C_FuelStreams!BK:BK,MATCH($C56,C_FuelStreams!$A:$A,0)+3))</f>
        <v/>
      </c>
      <c r="AP56" s="759" t="str">
        <f>IF($F56="","",INDEX(C_FuelStreams!BL:BL,MATCH($C56,C_FuelStreams!$A:$A,0)+3))</f>
        <v/>
      </c>
      <c r="AQ56" s="759" t="str">
        <f>IF($F56="","",INDEX(C_FuelStreams!BM:BM,MATCH($C56,C_FuelStreams!$A:$A,0)+3))</f>
        <v/>
      </c>
      <c r="AR56" s="757" t="str">
        <f>IF($F56="","",INDEX(C_FuelStreams!CP:CP,MATCH($C56,C_FuelStreams!$A:$A,0)))</f>
        <v/>
      </c>
      <c r="AT56" s="514" t="str">
        <f>IF($F56="","",INDEX(B_IdentifyFuelStreams!$E$67:$E$116,MATCH($F56,CNTR_SourceStreamNames,0)))</f>
        <v/>
      </c>
      <c r="AU56" s="514" t="str">
        <f>IF($F56="","",INDEX(B_IdentifyFuelStreams!$I$67:$I$116,MATCH($F56,CNTR_SourceStreamNames,0)))</f>
        <v/>
      </c>
      <c r="AV56" s="514" t="str">
        <f>IF($F56="","",IF(INDEX(B_IdentifyFuelStreams!$L$67:$L$116,MATCH($F56,CNTR_SourceStreamNames,0))="","",INDEX(B_IdentifyFuelStreams!$L$67:$L$116,MATCH($F56,CNTR_SourceStreamNames,0))))</f>
        <v/>
      </c>
    </row>
    <row r="57" spans="3:48" x14ac:dyDescent="0.25">
      <c r="C57" s="751">
        <f t="shared" si="5"/>
        <v>45</v>
      </c>
      <c r="D57" s="751" t="str">
        <f t="shared" si="3"/>
        <v/>
      </c>
      <c r="E57" s="754" t="str">
        <f t="shared" si="4"/>
        <v/>
      </c>
      <c r="F57" s="755" t="str">
        <f>IF(INDEX(C_FuelStreams!BI:BI,MATCH($C57,C_FuelStreams!$A:$A,0))="","",INDEX(C_FuelStreams!BI:BI,MATCH($C57,C_FuelStreams!$A:$A,0)))</f>
        <v/>
      </c>
      <c r="G57" s="755" t="str">
        <f>IF(F57="","",INDEX(C_FuelStreams!K:K,MATCH($C57,C_FuelStreams!$A:$A,0)))</f>
        <v/>
      </c>
      <c r="H57" s="755" t="str">
        <f>IF(F57="","",INDEX(C_FuelStreams!K:K,MATCH($C57,C_FuelStreams!$A:$A,0)+1))</f>
        <v/>
      </c>
      <c r="I57" s="756" t="str">
        <f>IF($F57="","",INDEX(C_FuelStreams!BJ:BJ,MATCH($C57,C_FuelStreams!$A:$A,0)))</f>
        <v/>
      </c>
      <c r="J57" s="757" t="str">
        <f>IF($F57="","",INDEX(C_FuelStreams!BK:BK,MATCH($C57,C_FuelStreams!$A:$A,0)))</f>
        <v/>
      </c>
      <c r="K57" s="757" t="str">
        <f>IF($F57="","",SUM(J57)-INDEX(C_FuelStreams!BL:BL,MATCH($C57,C_FuelStreams!$A:$A,0)))</f>
        <v/>
      </c>
      <c r="L57" s="756" t="str">
        <f>IF($F57="","",INDEX(C_FuelStreams!BM:BM,MATCH($C57,C_FuelStreams!$A:$A,0)))</f>
        <v/>
      </c>
      <c r="M57" s="756" t="str">
        <f>IF($F57="","",INDEX(C_FuelStreams!BN:BN,MATCH($C57,C_FuelStreams!$A:$A,0)))</f>
        <v/>
      </c>
      <c r="N57" s="754" t="str">
        <f>IF($F57="","",INDEX(C_FuelStreams!BO:BO,MATCH($C57,C_FuelStreams!$A:$A,0)))</f>
        <v/>
      </c>
      <c r="O57" s="18" t="str">
        <f>IF($F57="","",INDEX(C_FuelStreams!BP:BP,MATCH($C57,C_FuelStreams!$A:$A,0)))</f>
        <v/>
      </c>
      <c r="P57" s="756" t="str">
        <f>IF($F57="","",INDEX(C_FuelStreams!BQ:BQ,MATCH($C57,C_FuelStreams!$A:$A,0)))</f>
        <v/>
      </c>
      <c r="Q57" s="758" t="str">
        <f>IF($F57="","",INDEX(C_FuelStreams!BR:BR,MATCH($C57,C_FuelStreams!$A:$A,0)))</f>
        <v/>
      </c>
      <c r="R57" s="756" t="str">
        <f>IF($F57="","",INDEX(C_FuelStreams!BS:BS,MATCH($C57,C_FuelStreams!$A:$A,0)))</f>
        <v/>
      </c>
      <c r="S57" s="756" t="str">
        <f>IF($F57="","",INDEX(C_FuelStreams!BT:BT,MATCH($C57,C_FuelStreams!$A:$A,0)))</f>
        <v/>
      </c>
      <c r="T57" s="758" t="str">
        <f>IF($F57="","",INDEX(C_FuelStreams!BU:BU,MATCH($C57,C_FuelStreams!$A:$A,0)))</f>
        <v/>
      </c>
      <c r="U57" s="756" t="str">
        <f>IF($F57="","",INDEX(C_FuelStreams!BV:BV,MATCH($C57,C_FuelStreams!$A:$A,0)))</f>
        <v/>
      </c>
      <c r="V57" s="756" t="str">
        <f>IF($F57="","",INDEX(C_FuelStreams!BW:BW,MATCH($C57,C_FuelStreams!$A:$A,0)))</f>
        <v/>
      </c>
      <c r="W57" s="13" t="str">
        <f>IF($F57="","",INDEX(C_FuelStreams!BX:BX,MATCH($C57,C_FuelStreams!$A:$A,0)))</f>
        <v/>
      </c>
      <c r="X57" s="756" t="str">
        <f>IF($F57="","",INDEX(C_FuelStreams!BY:BY,MATCH($C57,C_FuelStreams!$A:$A,0)))</f>
        <v/>
      </c>
      <c r="Y57" s="13" t="str">
        <f>IF($F57="","",INDEX(C_FuelStreams!BZ:BZ,MATCH($C57,C_FuelStreams!$A:$A,0)))</f>
        <v/>
      </c>
      <c r="Z57" s="13" t="str">
        <f>IF($F57="","",INDEX(C_FuelStreams!CA:CA,MATCH($C57,C_FuelStreams!$A:$A,0)))</f>
        <v/>
      </c>
      <c r="AA57" s="13" t="str">
        <f>IF($F57="","",INDEX(C_FuelStreams!CB:CB,MATCH($C57,C_FuelStreams!$A:$A,0)))</f>
        <v/>
      </c>
      <c r="AB57" s="13" t="str">
        <f>IF($F57="","",INDEX(C_FuelStreams!CC:CC,MATCH($C57,C_FuelStreams!$A:$A,0)))</f>
        <v/>
      </c>
      <c r="AC57" s="13" t="str">
        <f>IF($F57="","",INDEX(C_FuelStreams!CD:CD,MATCH($C57,C_FuelStreams!$A:$A,0)))</f>
        <v/>
      </c>
      <c r="AD57" s="757" t="str">
        <f>IF($F57="","",INDEX(C_FuelStreams!CE:CE,MATCH($C57,C_FuelStreams!$A:$A,0)))</f>
        <v/>
      </c>
      <c r="AE57" s="757" t="str">
        <f>IF($F57="","",INDEX(C_FuelStreams!CF:CF,MATCH($C57,C_FuelStreams!$A:$A,0)))</f>
        <v/>
      </c>
      <c r="AF57" s="757" t="str">
        <f>IF($F57="","",INDEX(C_FuelStreams!CG:CG,MATCH($C57,C_FuelStreams!$A:$A,0)))</f>
        <v/>
      </c>
      <c r="AG57" s="757" t="str">
        <f>IF($F57="","",INDEX(C_FuelStreams!CH:CH,MATCH($C57,C_FuelStreams!$A:$A,0)))</f>
        <v/>
      </c>
      <c r="AH57" s="757" t="str">
        <f>IF($F57="","",INDEX(C_FuelStreams!CI:CI,MATCH($C57,C_FuelStreams!$A:$A,0)))</f>
        <v/>
      </c>
      <c r="AI57" s="757" t="str">
        <f>IF($F57="","",INDEX(C_FuelStreams!CJ:CJ,MATCH($C57,C_FuelStreams!$A:$A,0)))</f>
        <v/>
      </c>
      <c r="AJ57" s="757" t="str">
        <f>IF($F57="","",INDEX(C_FuelStreams!CK:CK,MATCH($C57,C_FuelStreams!$A:$A,0)))</f>
        <v/>
      </c>
      <c r="AK57" s="757" t="str">
        <f>IF($F57="","",INDEX(C_FuelStreams!CL:CL,MATCH($C57,C_FuelStreams!$A:$A,0)))</f>
        <v/>
      </c>
      <c r="AL57" s="757" t="str">
        <f>IF($F57="","",INDEX(C_FuelStreams!CM:CM,MATCH($C57,C_FuelStreams!$A:$A,0)))</f>
        <v/>
      </c>
      <c r="AM57" s="757" t="str">
        <f>IF($F57="","",INDEX(C_FuelStreams!CN:CN,MATCH($C57,C_FuelStreams!$A:$A,0)))</f>
        <v/>
      </c>
      <c r="AN57" s="757" t="str">
        <f>IF($F57="","",INDEX(C_FuelStreams!CO:CO,MATCH($C57,C_FuelStreams!$A:$A,0)))</f>
        <v/>
      </c>
      <c r="AO57" s="759" t="str">
        <f>IF($F57="","",INDEX(C_FuelStreams!BK:BK,MATCH($C57,C_FuelStreams!$A:$A,0)+3))</f>
        <v/>
      </c>
      <c r="AP57" s="759" t="str">
        <f>IF($F57="","",INDEX(C_FuelStreams!BL:BL,MATCH($C57,C_FuelStreams!$A:$A,0)+3))</f>
        <v/>
      </c>
      <c r="AQ57" s="759" t="str">
        <f>IF($F57="","",INDEX(C_FuelStreams!BM:BM,MATCH($C57,C_FuelStreams!$A:$A,0)+3))</f>
        <v/>
      </c>
      <c r="AR57" s="757" t="str">
        <f>IF($F57="","",INDEX(C_FuelStreams!CP:CP,MATCH($C57,C_FuelStreams!$A:$A,0)))</f>
        <v/>
      </c>
      <c r="AT57" s="514" t="str">
        <f>IF($F57="","",INDEX(B_IdentifyFuelStreams!$E$67:$E$116,MATCH($F57,CNTR_SourceStreamNames,0)))</f>
        <v/>
      </c>
      <c r="AU57" s="514" t="str">
        <f>IF($F57="","",INDEX(B_IdentifyFuelStreams!$I$67:$I$116,MATCH($F57,CNTR_SourceStreamNames,0)))</f>
        <v/>
      </c>
      <c r="AV57" s="514" t="str">
        <f>IF($F57="","",IF(INDEX(B_IdentifyFuelStreams!$L$67:$L$116,MATCH($F57,CNTR_SourceStreamNames,0))="","",INDEX(B_IdentifyFuelStreams!$L$67:$L$116,MATCH($F57,CNTR_SourceStreamNames,0))))</f>
        <v/>
      </c>
    </row>
    <row r="58" spans="3:48" x14ac:dyDescent="0.25">
      <c r="C58" s="751">
        <f t="shared" si="5"/>
        <v>46</v>
      </c>
      <c r="D58" s="751" t="str">
        <f t="shared" si="3"/>
        <v/>
      </c>
      <c r="E58" s="754" t="str">
        <f t="shared" si="4"/>
        <v/>
      </c>
      <c r="F58" s="755" t="str">
        <f>IF(INDEX(C_FuelStreams!BI:BI,MATCH($C58,C_FuelStreams!$A:$A,0))="","",INDEX(C_FuelStreams!BI:BI,MATCH($C58,C_FuelStreams!$A:$A,0)))</f>
        <v/>
      </c>
      <c r="G58" s="755" t="str">
        <f>IF(F58="","",INDEX(C_FuelStreams!K:K,MATCH($C58,C_FuelStreams!$A:$A,0)))</f>
        <v/>
      </c>
      <c r="H58" s="755" t="str">
        <f>IF(F58="","",INDEX(C_FuelStreams!K:K,MATCH($C58,C_FuelStreams!$A:$A,0)+1))</f>
        <v/>
      </c>
      <c r="I58" s="756" t="str">
        <f>IF($F58="","",INDEX(C_FuelStreams!BJ:BJ,MATCH($C58,C_FuelStreams!$A:$A,0)))</f>
        <v/>
      </c>
      <c r="J58" s="757" t="str">
        <f>IF($F58="","",INDEX(C_FuelStreams!BK:BK,MATCH($C58,C_FuelStreams!$A:$A,0)))</f>
        <v/>
      </c>
      <c r="K58" s="757" t="str">
        <f>IF($F58="","",SUM(J58)-INDEX(C_FuelStreams!BL:BL,MATCH($C58,C_FuelStreams!$A:$A,0)))</f>
        <v/>
      </c>
      <c r="L58" s="756" t="str">
        <f>IF($F58="","",INDEX(C_FuelStreams!BM:BM,MATCH($C58,C_FuelStreams!$A:$A,0)))</f>
        <v/>
      </c>
      <c r="M58" s="756" t="str">
        <f>IF($F58="","",INDEX(C_FuelStreams!BN:BN,MATCH($C58,C_FuelStreams!$A:$A,0)))</f>
        <v/>
      </c>
      <c r="N58" s="754" t="str">
        <f>IF($F58="","",INDEX(C_FuelStreams!BO:BO,MATCH($C58,C_FuelStreams!$A:$A,0)))</f>
        <v/>
      </c>
      <c r="O58" s="18" t="str">
        <f>IF($F58="","",INDEX(C_FuelStreams!BP:BP,MATCH($C58,C_FuelStreams!$A:$A,0)))</f>
        <v/>
      </c>
      <c r="P58" s="756" t="str">
        <f>IF($F58="","",INDEX(C_FuelStreams!BQ:BQ,MATCH($C58,C_FuelStreams!$A:$A,0)))</f>
        <v/>
      </c>
      <c r="Q58" s="758" t="str">
        <f>IF($F58="","",INDEX(C_FuelStreams!BR:BR,MATCH($C58,C_FuelStreams!$A:$A,0)))</f>
        <v/>
      </c>
      <c r="R58" s="756" t="str">
        <f>IF($F58="","",INDEX(C_FuelStreams!BS:BS,MATCH($C58,C_FuelStreams!$A:$A,0)))</f>
        <v/>
      </c>
      <c r="S58" s="756" t="str">
        <f>IF($F58="","",INDEX(C_FuelStreams!BT:BT,MATCH($C58,C_FuelStreams!$A:$A,0)))</f>
        <v/>
      </c>
      <c r="T58" s="758" t="str">
        <f>IF($F58="","",INDEX(C_FuelStreams!BU:BU,MATCH($C58,C_FuelStreams!$A:$A,0)))</f>
        <v/>
      </c>
      <c r="U58" s="756" t="str">
        <f>IF($F58="","",INDEX(C_FuelStreams!BV:BV,MATCH($C58,C_FuelStreams!$A:$A,0)))</f>
        <v/>
      </c>
      <c r="V58" s="756" t="str">
        <f>IF($F58="","",INDEX(C_FuelStreams!BW:BW,MATCH($C58,C_FuelStreams!$A:$A,0)))</f>
        <v/>
      </c>
      <c r="W58" s="13" t="str">
        <f>IF($F58="","",INDEX(C_FuelStreams!BX:BX,MATCH($C58,C_FuelStreams!$A:$A,0)))</f>
        <v/>
      </c>
      <c r="X58" s="756" t="str">
        <f>IF($F58="","",INDEX(C_FuelStreams!BY:BY,MATCH($C58,C_FuelStreams!$A:$A,0)))</f>
        <v/>
      </c>
      <c r="Y58" s="13" t="str">
        <f>IF($F58="","",INDEX(C_FuelStreams!BZ:BZ,MATCH($C58,C_FuelStreams!$A:$A,0)))</f>
        <v/>
      </c>
      <c r="Z58" s="13" t="str">
        <f>IF($F58="","",INDEX(C_FuelStreams!CA:CA,MATCH($C58,C_FuelStreams!$A:$A,0)))</f>
        <v/>
      </c>
      <c r="AA58" s="13" t="str">
        <f>IF($F58="","",INDEX(C_FuelStreams!CB:CB,MATCH($C58,C_FuelStreams!$A:$A,0)))</f>
        <v/>
      </c>
      <c r="AB58" s="13" t="str">
        <f>IF($F58="","",INDEX(C_FuelStreams!CC:CC,MATCH($C58,C_FuelStreams!$A:$A,0)))</f>
        <v/>
      </c>
      <c r="AC58" s="13" t="str">
        <f>IF($F58="","",INDEX(C_FuelStreams!CD:CD,MATCH($C58,C_FuelStreams!$A:$A,0)))</f>
        <v/>
      </c>
      <c r="AD58" s="757" t="str">
        <f>IF($F58="","",INDEX(C_FuelStreams!CE:CE,MATCH($C58,C_FuelStreams!$A:$A,0)))</f>
        <v/>
      </c>
      <c r="AE58" s="757" t="str">
        <f>IF($F58="","",INDEX(C_FuelStreams!CF:CF,MATCH($C58,C_FuelStreams!$A:$A,0)))</f>
        <v/>
      </c>
      <c r="AF58" s="757" t="str">
        <f>IF($F58="","",INDEX(C_FuelStreams!CG:CG,MATCH($C58,C_FuelStreams!$A:$A,0)))</f>
        <v/>
      </c>
      <c r="AG58" s="757" t="str">
        <f>IF($F58="","",INDEX(C_FuelStreams!CH:CH,MATCH($C58,C_FuelStreams!$A:$A,0)))</f>
        <v/>
      </c>
      <c r="AH58" s="757" t="str">
        <f>IF($F58="","",INDEX(C_FuelStreams!CI:CI,MATCH($C58,C_FuelStreams!$A:$A,0)))</f>
        <v/>
      </c>
      <c r="AI58" s="757" t="str">
        <f>IF($F58="","",INDEX(C_FuelStreams!CJ:CJ,MATCH($C58,C_FuelStreams!$A:$A,0)))</f>
        <v/>
      </c>
      <c r="AJ58" s="757" t="str">
        <f>IF($F58="","",INDEX(C_FuelStreams!CK:CK,MATCH($C58,C_FuelStreams!$A:$A,0)))</f>
        <v/>
      </c>
      <c r="AK58" s="757" t="str">
        <f>IF($F58="","",INDEX(C_FuelStreams!CL:CL,MATCH($C58,C_FuelStreams!$A:$A,0)))</f>
        <v/>
      </c>
      <c r="AL58" s="757" t="str">
        <f>IF($F58="","",INDEX(C_FuelStreams!CM:CM,MATCH($C58,C_FuelStreams!$A:$A,0)))</f>
        <v/>
      </c>
      <c r="AM58" s="757" t="str">
        <f>IF($F58="","",INDEX(C_FuelStreams!CN:CN,MATCH($C58,C_FuelStreams!$A:$A,0)))</f>
        <v/>
      </c>
      <c r="AN58" s="757" t="str">
        <f>IF($F58="","",INDEX(C_FuelStreams!CO:CO,MATCH($C58,C_FuelStreams!$A:$A,0)))</f>
        <v/>
      </c>
      <c r="AO58" s="759" t="str">
        <f>IF($F58="","",INDEX(C_FuelStreams!BK:BK,MATCH($C58,C_FuelStreams!$A:$A,0)+3))</f>
        <v/>
      </c>
      <c r="AP58" s="759" t="str">
        <f>IF($F58="","",INDEX(C_FuelStreams!BL:BL,MATCH($C58,C_FuelStreams!$A:$A,0)+3))</f>
        <v/>
      </c>
      <c r="AQ58" s="759" t="str">
        <f>IF($F58="","",INDEX(C_FuelStreams!BM:BM,MATCH($C58,C_FuelStreams!$A:$A,0)+3))</f>
        <v/>
      </c>
      <c r="AR58" s="757" t="str">
        <f>IF($F58="","",INDEX(C_FuelStreams!CP:CP,MATCH($C58,C_FuelStreams!$A:$A,0)))</f>
        <v/>
      </c>
      <c r="AT58" s="514" t="str">
        <f>IF($F58="","",INDEX(B_IdentifyFuelStreams!$E$67:$E$116,MATCH($F58,CNTR_SourceStreamNames,0)))</f>
        <v/>
      </c>
      <c r="AU58" s="514" t="str">
        <f>IF($F58="","",INDEX(B_IdentifyFuelStreams!$I$67:$I$116,MATCH($F58,CNTR_SourceStreamNames,0)))</f>
        <v/>
      </c>
      <c r="AV58" s="514" t="str">
        <f>IF($F58="","",IF(INDEX(B_IdentifyFuelStreams!$L$67:$L$116,MATCH($F58,CNTR_SourceStreamNames,0))="","",INDEX(B_IdentifyFuelStreams!$L$67:$L$116,MATCH($F58,CNTR_SourceStreamNames,0))))</f>
        <v/>
      </c>
    </row>
    <row r="59" spans="3:48" x14ac:dyDescent="0.25">
      <c r="C59" s="751">
        <f t="shared" si="5"/>
        <v>47</v>
      </c>
      <c r="D59" s="751" t="str">
        <f t="shared" si="3"/>
        <v/>
      </c>
      <c r="E59" s="754" t="str">
        <f t="shared" si="4"/>
        <v/>
      </c>
      <c r="F59" s="755" t="str">
        <f>IF(INDEX(C_FuelStreams!BI:BI,MATCH($C59,C_FuelStreams!$A:$A,0))="","",INDEX(C_FuelStreams!BI:BI,MATCH($C59,C_FuelStreams!$A:$A,0)))</f>
        <v/>
      </c>
      <c r="G59" s="755" t="str">
        <f>IF(F59="","",INDEX(C_FuelStreams!K:K,MATCH($C59,C_FuelStreams!$A:$A,0)))</f>
        <v/>
      </c>
      <c r="H59" s="755" t="str">
        <f>IF(F59="","",INDEX(C_FuelStreams!K:K,MATCH($C59,C_FuelStreams!$A:$A,0)+1))</f>
        <v/>
      </c>
      <c r="I59" s="756" t="str">
        <f>IF($F59="","",INDEX(C_FuelStreams!BJ:BJ,MATCH($C59,C_FuelStreams!$A:$A,0)))</f>
        <v/>
      </c>
      <c r="J59" s="757" t="str">
        <f>IF($F59="","",INDEX(C_FuelStreams!BK:BK,MATCH($C59,C_FuelStreams!$A:$A,0)))</f>
        <v/>
      </c>
      <c r="K59" s="757" t="str">
        <f>IF($F59="","",SUM(J59)-INDEX(C_FuelStreams!BL:BL,MATCH($C59,C_FuelStreams!$A:$A,0)))</f>
        <v/>
      </c>
      <c r="L59" s="756" t="str">
        <f>IF($F59="","",INDEX(C_FuelStreams!BM:BM,MATCH($C59,C_FuelStreams!$A:$A,0)))</f>
        <v/>
      </c>
      <c r="M59" s="756" t="str">
        <f>IF($F59="","",INDEX(C_FuelStreams!BN:BN,MATCH($C59,C_FuelStreams!$A:$A,0)))</f>
        <v/>
      </c>
      <c r="N59" s="754" t="str">
        <f>IF($F59="","",INDEX(C_FuelStreams!BO:BO,MATCH($C59,C_FuelStreams!$A:$A,0)))</f>
        <v/>
      </c>
      <c r="O59" s="18" t="str">
        <f>IF($F59="","",INDEX(C_FuelStreams!BP:BP,MATCH($C59,C_FuelStreams!$A:$A,0)))</f>
        <v/>
      </c>
      <c r="P59" s="756" t="str">
        <f>IF($F59="","",INDEX(C_FuelStreams!BQ:BQ,MATCH($C59,C_FuelStreams!$A:$A,0)))</f>
        <v/>
      </c>
      <c r="Q59" s="758" t="str">
        <f>IF($F59="","",INDEX(C_FuelStreams!BR:BR,MATCH($C59,C_FuelStreams!$A:$A,0)))</f>
        <v/>
      </c>
      <c r="R59" s="756" t="str">
        <f>IF($F59="","",INDEX(C_FuelStreams!BS:BS,MATCH($C59,C_FuelStreams!$A:$A,0)))</f>
        <v/>
      </c>
      <c r="S59" s="756" t="str">
        <f>IF($F59="","",INDEX(C_FuelStreams!BT:BT,MATCH($C59,C_FuelStreams!$A:$A,0)))</f>
        <v/>
      </c>
      <c r="T59" s="758" t="str">
        <f>IF($F59="","",INDEX(C_FuelStreams!BU:BU,MATCH($C59,C_FuelStreams!$A:$A,0)))</f>
        <v/>
      </c>
      <c r="U59" s="756" t="str">
        <f>IF($F59="","",INDEX(C_FuelStreams!BV:BV,MATCH($C59,C_FuelStreams!$A:$A,0)))</f>
        <v/>
      </c>
      <c r="V59" s="756" t="str">
        <f>IF($F59="","",INDEX(C_FuelStreams!BW:BW,MATCH($C59,C_FuelStreams!$A:$A,0)))</f>
        <v/>
      </c>
      <c r="W59" s="13" t="str">
        <f>IF($F59="","",INDEX(C_FuelStreams!BX:BX,MATCH($C59,C_FuelStreams!$A:$A,0)))</f>
        <v/>
      </c>
      <c r="X59" s="756" t="str">
        <f>IF($F59="","",INDEX(C_FuelStreams!BY:BY,MATCH($C59,C_FuelStreams!$A:$A,0)))</f>
        <v/>
      </c>
      <c r="Y59" s="13" t="str">
        <f>IF($F59="","",INDEX(C_FuelStreams!BZ:BZ,MATCH($C59,C_FuelStreams!$A:$A,0)))</f>
        <v/>
      </c>
      <c r="Z59" s="13" t="str">
        <f>IF($F59="","",INDEX(C_FuelStreams!CA:CA,MATCH($C59,C_FuelStreams!$A:$A,0)))</f>
        <v/>
      </c>
      <c r="AA59" s="13" t="str">
        <f>IF($F59="","",INDEX(C_FuelStreams!CB:CB,MATCH($C59,C_FuelStreams!$A:$A,0)))</f>
        <v/>
      </c>
      <c r="AB59" s="13" t="str">
        <f>IF($F59="","",INDEX(C_FuelStreams!CC:CC,MATCH($C59,C_FuelStreams!$A:$A,0)))</f>
        <v/>
      </c>
      <c r="AC59" s="13" t="str">
        <f>IF($F59="","",INDEX(C_FuelStreams!CD:CD,MATCH($C59,C_FuelStreams!$A:$A,0)))</f>
        <v/>
      </c>
      <c r="AD59" s="757" t="str">
        <f>IF($F59="","",INDEX(C_FuelStreams!CE:CE,MATCH($C59,C_FuelStreams!$A:$A,0)))</f>
        <v/>
      </c>
      <c r="AE59" s="757" t="str">
        <f>IF($F59="","",INDEX(C_FuelStreams!CF:CF,MATCH($C59,C_FuelStreams!$A:$A,0)))</f>
        <v/>
      </c>
      <c r="AF59" s="757" t="str">
        <f>IF($F59="","",INDEX(C_FuelStreams!CG:CG,MATCH($C59,C_FuelStreams!$A:$A,0)))</f>
        <v/>
      </c>
      <c r="AG59" s="757" t="str">
        <f>IF($F59="","",INDEX(C_FuelStreams!CH:CH,MATCH($C59,C_FuelStreams!$A:$A,0)))</f>
        <v/>
      </c>
      <c r="AH59" s="757" t="str">
        <f>IF($F59="","",INDEX(C_FuelStreams!CI:CI,MATCH($C59,C_FuelStreams!$A:$A,0)))</f>
        <v/>
      </c>
      <c r="AI59" s="757" t="str">
        <f>IF($F59="","",INDEX(C_FuelStreams!CJ:CJ,MATCH($C59,C_FuelStreams!$A:$A,0)))</f>
        <v/>
      </c>
      <c r="AJ59" s="757" t="str">
        <f>IF($F59="","",INDEX(C_FuelStreams!CK:CK,MATCH($C59,C_FuelStreams!$A:$A,0)))</f>
        <v/>
      </c>
      <c r="AK59" s="757" t="str">
        <f>IF($F59="","",INDEX(C_FuelStreams!CL:CL,MATCH($C59,C_FuelStreams!$A:$A,0)))</f>
        <v/>
      </c>
      <c r="AL59" s="757" t="str">
        <f>IF($F59="","",INDEX(C_FuelStreams!CM:CM,MATCH($C59,C_FuelStreams!$A:$A,0)))</f>
        <v/>
      </c>
      <c r="AM59" s="757" t="str">
        <f>IF($F59="","",INDEX(C_FuelStreams!CN:CN,MATCH($C59,C_FuelStreams!$A:$A,0)))</f>
        <v/>
      </c>
      <c r="AN59" s="757" t="str">
        <f>IF($F59="","",INDEX(C_FuelStreams!CO:CO,MATCH($C59,C_FuelStreams!$A:$A,0)))</f>
        <v/>
      </c>
      <c r="AO59" s="759" t="str">
        <f>IF($F59="","",INDEX(C_FuelStreams!BK:BK,MATCH($C59,C_FuelStreams!$A:$A,0)+3))</f>
        <v/>
      </c>
      <c r="AP59" s="759" t="str">
        <f>IF($F59="","",INDEX(C_FuelStreams!BL:BL,MATCH($C59,C_FuelStreams!$A:$A,0)+3))</f>
        <v/>
      </c>
      <c r="AQ59" s="759" t="str">
        <f>IF($F59="","",INDEX(C_FuelStreams!BM:BM,MATCH($C59,C_FuelStreams!$A:$A,0)+3))</f>
        <v/>
      </c>
      <c r="AR59" s="757" t="str">
        <f>IF($F59="","",INDEX(C_FuelStreams!CP:CP,MATCH($C59,C_FuelStreams!$A:$A,0)))</f>
        <v/>
      </c>
      <c r="AT59" s="514" t="str">
        <f>IF($F59="","",INDEX(B_IdentifyFuelStreams!$E$67:$E$116,MATCH($F59,CNTR_SourceStreamNames,0)))</f>
        <v/>
      </c>
      <c r="AU59" s="514" t="str">
        <f>IF($F59="","",INDEX(B_IdentifyFuelStreams!$I$67:$I$116,MATCH($F59,CNTR_SourceStreamNames,0)))</f>
        <v/>
      </c>
      <c r="AV59" s="514" t="str">
        <f>IF($F59="","",IF(INDEX(B_IdentifyFuelStreams!$L$67:$L$116,MATCH($F59,CNTR_SourceStreamNames,0))="","",INDEX(B_IdentifyFuelStreams!$L$67:$L$116,MATCH($F59,CNTR_SourceStreamNames,0))))</f>
        <v/>
      </c>
    </row>
    <row r="60" spans="3:48" x14ac:dyDescent="0.25">
      <c r="C60" s="751">
        <f t="shared" si="5"/>
        <v>48</v>
      </c>
      <c r="D60" s="751" t="str">
        <f t="shared" si="3"/>
        <v/>
      </c>
      <c r="E60" s="754" t="str">
        <f t="shared" si="4"/>
        <v/>
      </c>
      <c r="F60" s="755" t="str">
        <f>IF(INDEX(C_FuelStreams!BI:BI,MATCH($C60,C_FuelStreams!$A:$A,0))="","",INDEX(C_FuelStreams!BI:BI,MATCH($C60,C_FuelStreams!$A:$A,0)))</f>
        <v/>
      </c>
      <c r="G60" s="755" t="str">
        <f>IF(F60="","",INDEX(C_FuelStreams!K:K,MATCH($C60,C_FuelStreams!$A:$A,0)))</f>
        <v/>
      </c>
      <c r="H60" s="755" t="str">
        <f>IF(F60="","",INDEX(C_FuelStreams!K:K,MATCH($C60,C_FuelStreams!$A:$A,0)+1))</f>
        <v/>
      </c>
      <c r="I60" s="756" t="str">
        <f>IF($F60="","",INDEX(C_FuelStreams!BJ:BJ,MATCH($C60,C_FuelStreams!$A:$A,0)))</f>
        <v/>
      </c>
      <c r="J60" s="757" t="str">
        <f>IF($F60="","",INDEX(C_FuelStreams!BK:BK,MATCH($C60,C_FuelStreams!$A:$A,0)))</f>
        <v/>
      </c>
      <c r="K60" s="757" t="str">
        <f>IF($F60="","",SUM(J60)-INDEX(C_FuelStreams!BL:BL,MATCH($C60,C_FuelStreams!$A:$A,0)))</f>
        <v/>
      </c>
      <c r="L60" s="756" t="str">
        <f>IF($F60="","",INDEX(C_FuelStreams!BM:BM,MATCH($C60,C_FuelStreams!$A:$A,0)))</f>
        <v/>
      </c>
      <c r="M60" s="756" t="str">
        <f>IF($F60="","",INDEX(C_FuelStreams!BN:BN,MATCH($C60,C_FuelStreams!$A:$A,0)))</f>
        <v/>
      </c>
      <c r="N60" s="754" t="str">
        <f>IF($F60="","",INDEX(C_FuelStreams!BO:BO,MATCH($C60,C_FuelStreams!$A:$A,0)))</f>
        <v/>
      </c>
      <c r="O60" s="18" t="str">
        <f>IF($F60="","",INDEX(C_FuelStreams!BP:BP,MATCH($C60,C_FuelStreams!$A:$A,0)))</f>
        <v/>
      </c>
      <c r="P60" s="756" t="str">
        <f>IF($F60="","",INDEX(C_FuelStreams!BQ:BQ,MATCH($C60,C_FuelStreams!$A:$A,0)))</f>
        <v/>
      </c>
      <c r="Q60" s="758" t="str">
        <f>IF($F60="","",INDEX(C_FuelStreams!BR:BR,MATCH($C60,C_FuelStreams!$A:$A,0)))</f>
        <v/>
      </c>
      <c r="R60" s="756" t="str">
        <f>IF($F60="","",INDEX(C_FuelStreams!BS:BS,MATCH($C60,C_FuelStreams!$A:$A,0)))</f>
        <v/>
      </c>
      <c r="S60" s="756" t="str">
        <f>IF($F60="","",INDEX(C_FuelStreams!BT:BT,MATCH($C60,C_FuelStreams!$A:$A,0)))</f>
        <v/>
      </c>
      <c r="T60" s="758" t="str">
        <f>IF($F60="","",INDEX(C_FuelStreams!BU:BU,MATCH($C60,C_FuelStreams!$A:$A,0)))</f>
        <v/>
      </c>
      <c r="U60" s="756" t="str">
        <f>IF($F60="","",INDEX(C_FuelStreams!BV:BV,MATCH($C60,C_FuelStreams!$A:$A,0)))</f>
        <v/>
      </c>
      <c r="V60" s="756" t="str">
        <f>IF($F60="","",INDEX(C_FuelStreams!BW:BW,MATCH($C60,C_FuelStreams!$A:$A,0)))</f>
        <v/>
      </c>
      <c r="W60" s="13" t="str">
        <f>IF($F60="","",INDEX(C_FuelStreams!BX:BX,MATCH($C60,C_FuelStreams!$A:$A,0)))</f>
        <v/>
      </c>
      <c r="X60" s="756" t="str">
        <f>IF($F60="","",INDEX(C_FuelStreams!BY:BY,MATCH($C60,C_FuelStreams!$A:$A,0)))</f>
        <v/>
      </c>
      <c r="Y60" s="13" t="str">
        <f>IF($F60="","",INDEX(C_FuelStreams!BZ:BZ,MATCH($C60,C_FuelStreams!$A:$A,0)))</f>
        <v/>
      </c>
      <c r="Z60" s="13" t="str">
        <f>IF($F60="","",INDEX(C_FuelStreams!CA:CA,MATCH($C60,C_FuelStreams!$A:$A,0)))</f>
        <v/>
      </c>
      <c r="AA60" s="13" t="str">
        <f>IF($F60="","",INDEX(C_FuelStreams!CB:CB,MATCH($C60,C_FuelStreams!$A:$A,0)))</f>
        <v/>
      </c>
      <c r="AB60" s="13" t="str">
        <f>IF($F60="","",INDEX(C_FuelStreams!CC:CC,MATCH($C60,C_FuelStreams!$A:$A,0)))</f>
        <v/>
      </c>
      <c r="AC60" s="13" t="str">
        <f>IF($F60="","",INDEX(C_FuelStreams!CD:CD,MATCH($C60,C_FuelStreams!$A:$A,0)))</f>
        <v/>
      </c>
      <c r="AD60" s="757" t="str">
        <f>IF($F60="","",INDEX(C_FuelStreams!CE:CE,MATCH($C60,C_FuelStreams!$A:$A,0)))</f>
        <v/>
      </c>
      <c r="AE60" s="757" t="str">
        <f>IF($F60="","",INDEX(C_FuelStreams!CF:CF,MATCH($C60,C_FuelStreams!$A:$A,0)))</f>
        <v/>
      </c>
      <c r="AF60" s="757" t="str">
        <f>IF($F60="","",INDEX(C_FuelStreams!CG:CG,MATCH($C60,C_FuelStreams!$A:$A,0)))</f>
        <v/>
      </c>
      <c r="AG60" s="757" t="str">
        <f>IF($F60="","",INDEX(C_FuelStreams!CH:CH,MATCH($C60,C_FuelStreams!$A:$A,0)))</f>
        <v/>
      </c>
      <c r="AH60" s="757" t="str">
        <f>IF($F60="","",INDEX(C_FuelStreams!CI:CI,MATCH($C60,C_FuelStreams!$A:$A,0)))</f>
        <v/>
      </c>
      <c r="AI60" s="757" t="str">
        <f>IF($F60="","",INDEX(C_FuelStreams!CJ:CJ,MATCH($C60,C_FuelStreams!$A:$A,0)))</f>
        <v/>
      </c>
      <c r="AJ60" s="757" t="str">
        <f>IF($F60="","",INDEX(C_FuelStreams!CK:CK,MATCH($C60,C_FuelStreams!$A:$A,0)))</f>
        <v/>
      </c>
      <c r="AK60" s="757" t="str">
        <f>IF($F60="","",INDEX(C_FuelStreams!CL:CL,MATCH($C60,C_FuelStreams!$A:$A,0)))</f>
        <v/>
      </c>
      <c r="AL60" s="757" t="str">
        <f>IF($F60="","",INDEX(C_FuelStreams!CM:CM,MATCH($C60,C_FuelStreams!$A:$A,0)))</f>
        <v/>
      </c>
      <c r="AM60" s="757" t="str">
        <f>IF($F60="","",INDEX(C_FuelStreams!CN:CN,MATCH($C60,C_FuelStreams!$A:$A,0)))</f>
        <v/>
      </c>
      <c r="AN60" s="757" t="str">
        <f>IF($F60="","",INDEX(C_FuelStreams!CO:CO,MATCH($C60,C_FuelStreams!$A:$A,0)))</f>
        <v/>
      </c>
      <c r="AO60" s="759" t="str">
        <f>IF($F60="","",INDEX(C_FuelStreams!BK:BK,MATCH($C60,C_FuelStreams!$A:$A,0)+3))</f>
        <v/>
      </c>
      <c r="AP60" s="759" t="str">
        <f>IF($F60="","",INDEX(C_FuelStreams!BL:BL,MATCH($C60,C_FuelStreams!$A:$A,0)+3))</f>
        <v/>
      </c>
      <c r="AQ60" s="759" t="str">
        <f>IF($F60="","",INDEX(C_FuelStreams!BM:BM,MATCH($C60,C_FuelStreams!$A:$A,0)+3))</f>
        <v/>
      </c>
      <c r="AR60" s="757" t="str">
        <f>IF($F60="","",INDEX(C_FuelStreams!CP:CP,MATCH($C60,C_FuelStreams!$A:$A,0)))</f>
        <v/>
      </c>
      <c r="AT60" s="514" t="str">
        <f>IF($F60="","",INDEX(B_IdentifyFuelStreams!$E$67:$E$116,MATCH($F60,CNTR_SourceStreamNames,0)))</f>
        <v/>
      </c>
      <c r="AU60" s="514" t="str">
        <f>IF($F60="","",INDEX(B_IdentifyFuelStreams!$I$67:$I$116,MATCH($F60,CNTR_SourceStreamNames,0)))</f>
        <v/>
      </c>
      <c r="AV60" s="514" t="str">
        <f>IF($F60="","",IF(INDEX(B_IdentifyFuelStreams!$L$67:$L$116,MATCH($F60,CNTR_SourceStreamNames,0))="","",INDEX(B_IdentifyFuelStreams!$L$67:$L$116,MATCH($F60,CNTR_SourceStreamNames,0))))</f>
        <v/>
      </c>
    </row>
    <row r="61" spans="3:48" x14ac:dyDescent="0.25">
      <c r="C61" s="751">
        <f t="shared" si="5"/>
        <v>49</v>
      </c>
      <c r="D61" s="751" t="str">
        <f t="shared" si="3"/>
        <v/>
      </c>
      <c r="E61" s="754" t="str">
        <f t="shared" si="4"/>
        <v/>
      </c>
      <c r="F61" s="755" t="str">
        <f>IF(INDEX(C_FuelStreams!BI:BI,MATCH($C61,C_FuelStreams!$A:$A,0))="","",INDEX(C_FuelStreams!BI:BI,MATCH($C61,C_FuelStreams!$A:$A,0)))</f>
        <v/>
      </c>
      <c r="G61" s="755" t="str">
        <f>IF(F61="","",INDEX(C_FuelStreams!K:K,MATCH($C61,C_FuelStreams!$A:$A,0)))</f>
        <v/>
      </c>
      <c r="H61" s="755" t="str">
        <f>IF(F61="","",INDEX(C_FuelStreams!K:K,MATCH($C61,C_FuelStreams!$A:$A,0)+1))</f>
        <v/>
      </c>
      <c r="I61" s="756" t="str">
        <f>IF($F61="","",INDEX(C_FuelStreams!BJ:BJ,MATCH($C61,C_FuelStreams!$A:$A,0)))</f>
        <v/>
      </c>
      <c r="J61" s="757" t="str">
        <f>IF($F61="","",INDEX(C_FuelStreams!BK:BK,MATCH($C61,C_FuelStreams!$A:$A,0)))</f>
        <v/>
      </c>
      <c r="K61" s="757" t="str">
        <f>IF($F61="","",SUM(J61)-INDEX(C_FuelStreams!BL:BL,MATCH($C61,C_FuelStreams!$A:$A,0)))</f>
        <v/>
      </c>
      <c r="L61" s="756" t="str">
        <f>IF($F61="","",INDEX(C_FuelStreams!BM:BM,MATCH($C61,C_FuelStreams!$A:$A,0)))</f>
        <v/>
      </c>
      <c r="M61" s="756" t="str">
        <f>IF($F61="","",INDEX(C_FuelStreams!BN:BN,MATCH($C61,C_FuelStreams!$A:$A,0)))</f>
        <v/>
      </c>
      <c r="N61" s="754" t="str">
        <f>IF($F61="","",INDEX(C_FuelStreams!BO:BO,MATCH($C61,C_FuelStreams!$A:$A,0)))</f>
        <v/>
      </c>
      <c r="O61" s="18" t="str">
        <f>IF($F61="","",INDEX(C_FuelStreams!BP:BP,MATCH($C61,C_FuelStreams!$A:$A,0)))</f>
        <v/>
      </c>
      <c r="P61" s="756" t="str">
        <f>IF($F61="","",INDEX(C_FuelStreams!BQ:BQ,MATCH($C61,C_FuelStreams!$A:$A,0)))</f>
        <v/>
      </c>
      <c r="Q61" s="758" t="str">
        <f>IF($F61="","",INDEX(C_FuelStreams!BR:BR,MATCH($C61,C_FuelStreams!$A:$A,0)))</f>
        <v/>
      </c>
      <c r="R61" s="756" t="str">
        <f>IF($F61="","",INDEX(C_FuelStreams!BS:BS,MATCH($C61,C_FuelStreams!$A:$A,0)))</f>
        <v/>
      </c>
      <c r="S61" s="756" t="str">
        <f>IF($F61="","",INDEX(C_FuelStreams!BT:BT,MATCH($C61,C_FuelStreams!$A:$A,0)))</f>
        <v/>
      </c>
      <c r="T61" s="758" t="str">
        <f>IF($F61="","",INDEX(C_FuelStreams!BU:BU,MATCH($C61,C_FuelStreams!$A:$A,0)))</f>
        <v/>
      </c>
      <c r="U61" s="756" t="str">
        <f>IF($F61="","",INDEX(C_FuelStreams!BV:BV,MATCH($C61,C_FuelStreams!$A:$A,0)))</f>
        <v/>
      </c>
      <c r="V61" s="756" t="str">
        <f>IF($F61="","",INDEX(C_FuelStreams!BW:BW,MATCH($C61,C_FuelStreams!$A:$A,0)))</f>
        <v/>
      </c>
      <c r="W61" s="13" t="str">
        <f>IF($F61="","",INDEX(C_FuelStreams!BX:BX,MATCH($C61,C_FuelStreams!$A:$A,0)))</f>
        <v/>
      </c>
      <c r="X61" s="756" t="str">
        <f>IF($F61="","",INDEX(C_FuelStreams!BY:BY,MATCH($C61,C_FuelStreams!$A:$A,0)))</f>
        <v/>
      </c>
      <c r="Y61" s="13" t="str">
        <f>IF($F61="","",INDEX(C_FuelStreams!BZ:BZ,MATCH($C61,C_FuelStreams!$A:$A,0)))</f>
        <v/>
      </c>
      <c r="Z61" s="13" t="str">
        <f>IF($F61="","",INDEX(C_FuelStreams!CA:CA,MATCH($C61,C_FuelStreams!$A:$A,0)))</f>
        <v/>
      </c>
      <c r="AA61" s="13" t="str">
        <f>IF($F61="","",INDEX(C_FuelStreams!CB:CB,MATCH($C61,C_FuelStreams!$A:$A,0)))</f>
        <v/>
      </c>
      <c r="AB61" s="13" t="str">
        <f>IF($F61="","",INDEX(C_FuelStreams!CC:CC,MATCH($C61,C_FuelStreams!$A:$A,0)))</f>
        <v/>
      </c>
      <c r="AC61" s="13" t="str">
        <f>IF($F61="","",INDEX(C_FuelStreams!CD:CD,MATCH($C61,C_FuelStreams!$A:$A,0)))</f>
        <v/>
      </c>
      <c r="AD61" s="757" t="str">
        <f>IF($F61="","",INDEX(C_FuelStreams!CE:CE,MATCH($C61,C_FuelStreams!$A:$A,0)))</f>
        <v/>
      </c>
      <c r="AE61" s="757" t="str">
        <f>IF($F61="","",INDEX(C_FuelStreams!CF:CF,MATCH($C61,C_FuelStreams!$A:$A,0)))</f>
        <v/>
      </c>
      <c r="AF61" s="757" t="str">
        <f>IF($F61="","",INDEX(C_FuelStreams!CG:CG,MATCH($C61,C_FuelStreams!$A:$A,0)))</f>
        <v/>
      </c>
      <c r="AG61" s="757" t="str">
        <f>IF($F61="","",INDEX(C_FuelStreams!CH:CH,MATCH($C61,C_FuelStreams!$A:$A,0)))</f>
        <v/>
      </c>
      <c r="AH61" s="757" t="str">
        <f>IF($F61="","",INDEX(C_FuelStreams!CI:CI,MATCH($C61,C_FuelStreams!$A:$A,0)))</f>
        <v/>
      </c>
      <c r="AI61" s="757" t="str">
        <f>IF($F61="","",INDEX(C_FuelStreams!CJ:CJ,MATCH($C61,C_FuelStreams!$A:$A,0)))</f>
        <v/>
      </c>
      <c r="AJ61" s="757" t="str">
        <f>IF($F61="","",INDEX(C_FuelStreams!CK:CK,MATCH($C61,C_FuelStreams!$A:$A,0)))</f>
        <v/>
      </c>
      <c r="AK61" s="757" t="str">
        <f>IF($F61="","",INDEX(C_FuelStreams!CL:CL,MATCH($C61,C_FuelStreams!$A:$A,0)))</f>
        <v/>
      </c>
      <c r="AL61" s="757" t="str">
        <f>IF($F61="","",INDEX(C_FuelStreams!CM:CM,MATCH($C61,C_FuelStreams!$A:$A,0)))</f>
        <v/>
      </c>
      <c r="AM61" s="757" t="str">
        <f>IF($F61="","",INDEX(C_FuelStreams!CN:CN,MATCH($C61,C_FuelStreams!$A:$A,0)))</f>
        <v/>
      </c>
      <c r="AN61" s="757" t="str">
        <f>IF($F61="","",INDEX(C_FuelStreams!CO:CO,MATCH($C61,C_FuelStreams!$A:$A,0)))</f>
        <v/>
      </c>
      <c r="AO61" s="759" t="str">
        <f>IF($F61="","",INDEX(C_FuelStreams!BK:BK,MATCH($C61,C_FuelStreams!$A:$A,0)+3))</f>
        <v/>
      </c>
      <c r="AP61" s="759" t="str">
        <f>IF($F61="","",INDEX(C_FuelStreams!BL:BL,MATCH($C61,C_FuelStreams!$A:$A,0)+3))</f>
        <v/>
      </c>
      <c r="AQ61" s="759" t="str">
        <f>IF($F61="","",INDEX(C_FuelStreams!BM:BM,MATCH($C61,C_FuelStreams!$A:$A,0)+3))</f>
        <v/>
      </c>
      <c r="AR61" s="757" t="str">
        <f>IF($F61="","",INDEX(C_FuelStreams!CP:CP,MATCH($C61,C_FuelStreams!$A:$A,0)))</f>
        <v/>
      </c>
      <c r="AT61" s="514" t="str">
        <f>IF($F61="","",INDEX(B_IdentifyFuelStreams!$E$67:$E$116,MATCH($F61,CNTR_SourceStreamNames,0)))</f>
        <v/>
      </c>
      <c r="AU61" s="514" t="str">
        <f>IF($F61="","",INDEX(B_IdentifyFuelStreams!$I$67:$I$116,MATCH($F61,CNTR_SourceStreamNames,0)))</f>
        <v/>
      </c>
      <c r="AV61" s="514" t="str">
        <f>IF($F61="","",IF(INDEX(B_IdentifyFuelStreams!$L$67:$L$116,MATCH($F61,CNTR_SourceStreamNames,0))="","",INDEX(B_IdentifyFuelStreams!$L$67:$L$116,MATCH($F61,CNTR_SourceStreamNames,0))))</f>
        <v/>
      </c>
    </row>
    <row r="62" spans="3:48" x14ac:dyDescent="0.25">
      <c r="C62" s="751">
        <f t="shared" si="5"/>
        <v>50</v>
      </c>
      <c r="D62" s="751" t="str">
        <f t="shared" si="3"/>
        <v/>
      </c>
      <c r="E62" s="754" t="str">
        <f t="shared" si="4"/>
        <v/>
      </c>
      <c r="F62" s="755" t="str">
        <f>IF(INDEX(C_FuelStreams!BI:BI,MATCH($C62,C_FuelStreams!$A:$A,0))="","",INDEX(C_FuelStreams!BI:BI,MATCH($C62,C_FuelStreams!$A:$A,0)))</f>
        <v/>
      </c>
      <c r="G62" s="755" t="str">
        <f>IF(F62="","",INDEX(C_FuelStreams!K:K,MATCH($C62,C_FuelStreams!$A:$A,0)))</f>
        <v/>
      </c>
      <c r="H62" s="755" t="str">
        <f>IF(F62="","",INDEX(C_FuelStreams!K:K,MATCH($C62,C_FuelStreams!$A:$A,0)+1))</f>
        <v/>
      </c>
      <c r="I62" s="756" t="str">
        <f>IF($F62="","",INDEX(C_FuelStreams!BJ:BJ,MATCH($C62,C_FuelStreams!$A:$A,0)))</f>
        <v/>
      </c>
      <c r="J62" s="757" t="str">
        <f>IF($F62="","",INDEX(C_FuelStreams!BK:BK,MATCH($C62,C_FuelStreams!$A:$A,0)))</f>
        <v/>
      </c>
      <c r="K62" s="757" t="str">
        <f>IF($F62="","",SUM(J62)-INDEX(C_FuelStreams!BL:BL,MATCH($C62,C_FuelStreams!$A:$A,0)))</f>
        <v/>
      </c>
      <c r="L62" s="756" t="str">
        <f>IF($F62="","",INDEX(C_FuelStreams!BM:BM,MATCH($C62,C_FuelStreams!$A:$A,0)))</f>
        <v/>
      </c>
      <c r="M62" s="756" t="str">
        <f>IF($F62="","",INDEX(C_FuelStreams!BN:BN,MATCH($C62,C_FuelStreams!$A:$A,0)))</f>
        <v/>
      </c>
      <c r="N62" s="754" t="str">
        <f>IF($F62="","",INDEX(C_FuelStreams!BO:BO,MATCH($C62,C_FuelStreams!$A:$A,0)))</f>
        <v/>
      </c>
      <c r="O62" s="18" t="str">
        <f>IF($F62="","",INDEX(C_FuelStreams!BP:BP,MATCH($C62,C_FuelStreams!$A:$A,0)))</f>
        <v/>
      </c>
      <c r="P62" s="756" t="str">
        <f>IF($F62="","",INDEX(C_FuelStreams!BQ:BQ,MATCH($C62,C_FuelStreams!$A:$A,0)))</f>
        <v/>
      </c>
      <c r="Q62" s="758" t="str">
        <f>IF($F62="","",INDEX(C_FuelStreams!BR:BR,MATCH($C62,C_FuelStreams!$A:$A,0)))</f>
        <v/>
      </c>
      <c r="R62" s="756" t="str">
        <f>IF($F62="","",INDEX(C_FuelStreams!BS:BS,MATCH($C62,C_FuelStreams!$A:$A,0)))</f>
        <v/>
      </c>
      <c r="S62" s="756" t="str">
        <f>IF($F62="","",INDEX(C_FuelStreams!BT:BT,MATCH($C62,C_FuelStreams!$A:$A,0)))</f>
        <v/>
      </c>
      <c r="T62" s="758" t="str">
        <f>IF($F62="","",INDEX(C_FuelStreams!BU:BU,MATCH($C62,C_FuelStreams!$A:$A,0)))</f>
        <v/>
      </c>
      <c r="U62" s="756" t="str">
        <f>IF($F62="","",INDEX(C_FuelStreams!BV:BV,MATCH($C62,C_FuelStreams!$A:$A,0)))</f>
        <v/>
      </c>
      <c r="V62" s="756" t="str">
        <f>IF($F62="","",INDEX(C_FuelStreams!BW:BW,MATCH($C62,C_FuelStreams!$A:$A,0)))</f>
        <v/>
      </c>
      <c r="W62" s="13" t="str">
        <f>IF($F62="","",INDEX(C_FuelStreams!BX:BX,MATCH($C62,C_FuelStreams!$A:$A,0)))</f>
        <v/>
      </c>
      <c r="X62" s="756" t="str">
        <f>IF($F62="","",INDEX(C_FuelStreams!BY:BY,MATCH($C62,C_FuelStreams!$A:$A,0)))</f>
        <v/>
      </c>
      <c r="Y62" s="13" t="str">
        <f>IF($F62="","",INDEX(C_FuelStreams!BZ:BZ,MATCH($C62,C_FuelStreams!$A:$A,0)))</f>
        <v/>
      </c>
      <c r="Z62" s="13" t="str">
        <f>IF($F62="","",INDEX(C_FuelStreams!CA:CA,MATCH($C62,C_FuelStreams!$A:$A,0)))</f>
        <v/>
      </c>
      <c r="AA62" s="13" t="str">
        <f>IF($F62="","",INDEX(C_FuelStreams!CB:CB,MATCH($C62,C_FuelStreams!$A:$A,0)))</f>
        <v/>
      </c>
      <c r="AB62" s="13" t="str">
        <f>IF($F62="","",INDEX(C_FuelStreams!CC:CC,MATCH($C62,C_FuelStreams!$A:$A,0)))</f>
        <v/>
      </c>
      <c r="AC62" s="13" t="str">
        <f>IF($F62="","",INDEX(C_FuelStreams!CD:CD,MATCH($C62,C_FuelStreams!$A:$A,0)))</f>
        <v/>
      </c>
      <c r="AD62" s="757" t="str">
        <f>IF($F62="","",INDEX(C_FuelStreams!CE:CE,MATCH($C62,C_FuelStreams!$A:$A,0)))</f>
        <v/>
      </c>
      <c r="AE62" s="757" t="str">
        <f>IF($F62="","",INDEX(C_FuelStreams!CF:CF,MATCH($C62,C_FuelStreams!$A:$A,0)))</f>
        <v/>
      </c>
      <c r="AF62" s="757" t="str">
        <f>IF($F62="","",INDEX(C_FuelStreams!CG:CG,MATCH($C62,C_FuelStreams!$A:$A,0)))</f>
        <v/>
      </c>
      <c r="AG62" s="757" t="str">
        <f>IF($F62="","",INDEX(C_FuelStreams!CH:CH,MATCH($C62,C_FuelStreams!$A:$A,0)))</f>
        <v/>
      </c>
      <c r="AH62" s="757" t="str">
        <f>IF($F62="","",INDEX(C_FuelStreams!CI:CI,MATCH($C62,C_FuelStreams!$A:$A,0)))</f>
        <v/>
      </c>
      <c r="AI62" s="757" t="str">
        <f>IF($F62="","",INDEX(C_FuelStreams!CJ:CJ,MATCH($C62,C_FuelStreams!$A:$A,0)))</f>
        <v/>
      </c>
      <c r="AJ62" s="757" t="str">
        <f>IF($F62="","",INDEX(C_FuelStreams!CK:CK,MATCH($C62,C_FuelStreams!$A:$A,0)))</f>
        <v/>
      </c>
      <c r="AK62" s="757" t="str">
        <f>IF($F62="","",INDEX(C_FuelStreams!CL:CL,MATCH($C62,C_FuelStreams!$A:$A,0)))</f>
        <v/>
      </c>
      <c r="AL62" s="757" t="str">
        <f>IF($F62="","",INDEX(C_FuelStreams!CM:CM,MATCH($C62,C_FuelStreams!$A:$A,0)))</f>
        <v/>
      </c>
      <c r="AM62" s="757" t="str">
        <f>IF($F62="","",INDEX(C_FuelStreams!CN:CN,MATCH($C62,C_FuelStreams!$A:$A,0)))</f>
        <v/>
      </c>
      <c r="AN62" s="757" t="str">
        <f>IF($F62="","",INDEX(C_FuelStreams!CO:CO,MATCH($C62,C_FuelStreams!$A:$A,0)))</f>
        <v/>
      </c>
      <c r="AO62" s="759" t="str">
        <f>IF($F62="","",INDEX(C_FuelStreams!BK:BK,MATCH($C62,C_FuelStreams!$A:$A,0)+3))</f>
        <v/>
      </c>
      <c r="AP62" s="759" t="str">
        <f>IF($F62="","",INDEX(C_FuelStreams!BL:BL,MATCH($C62,C_FuelStreams!$A:$A,0)+3))</f>
        <v/>
      </c>
      <c r="AQ62" s="759" t="str">
        <f>IF($F62="","",INDEX(C_FuelStreams!BM:BM,MATCH($C62,C_FuelStreams!$A:$A,0)+3))</f>
        <v/>
      </c>
      <c r="AR62" s="757" t="str">
        <f>IF($F62="","",INDEX(C_FuelStreams!CP:CP,MATCH($C62,C_FuelStreams!$A:$A,0)))</f>
        <v/>
      </c>
      <c r="AT62" s="514" t="str">
        <f>IF($F62="","",INDEX(B_IdentifyFuelStreams!$E$67:$E$116,MATCH($F62,CNTR_SourceStreamNames,0)))</f>
        <v/>
      </c>
      <c r="AU62" s="514" t="str">
        <f>IF($F62="","",INDEX(B_IdentifyFuelStreams!$I$67:$I$116,MATCH($F62,CNTR_SourceStreamNames,0)))</f>
        <v/>
      </c>
      <c r="AV62" s="514" t="str">
        <f>IF($F62="","",IF(INDEX(B_IdentifyFuelStreams!$L$67:$L$116,MATCH($F62,CNTR_SourceStreamNames,0))="","",INDEX(B_IdentifyFuelStreams!$L$67:$L$116,MATCH($F62,CNTR_SourceStreamNames,0))))</f>
        <v/>
      </c>
    </row>
  </sheetData>
  <sheetProtection sheet="1" objects="1" scenarios="1" formatCells="0" formatColumns="0" formatRows="0"/>
  <mergeCells count="10">
    <mergeCell ref="AB11:AC11"/>
    <mergeCell ref="X11:Y11"/>
    <mergeCell ref="T6:Z6"/>
    <mergeCell ref="E6:O6"/>
    <mergeCell ref="I11:L11"/>
    <mergeCell ref="M11:O11"/>
    <mergeCell ref="P11:R11"/>
    <mergeCell ref="S11:U11"/>
    <mergeCell ref="V11:W11"/>
    <mergeCell ref="Z11:AA11"/>
  </mergeCells>
  <pageMargins left="0.7" right="0.7" top="0.78740157499999996" bottom="0.78740157499999996"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5">
    <tabColor indexed="12"/>
    <pageSetUpPr fitToPage="1"/>
  </sheetPr>
  <dimension ref="A1:AR222"/>
  <sheetViews>
    <sheetView zoomScaleNormal="100" workbookViewId="0">
      <pane xSplit="2" topLeftCell="C1" activePane="topRight" state="frozen"/>
      <selection activeCell="A331" sqref="A331"/>
      <selection pane="topRight" activeCell="B11" sqref="B11"/>
    </sheetView>
  </sheetViews>
  <sheetFormatPr defaultColWidth="9.1796875" defaultRowHeight="12.5" x14ac:dyDescent="0.25"/>
  <cols>
    <col min="1" max="1" width="23.26953125" style="760" customWidth="1"/>
    <col min="2" max="44" width="12.7265625" style="760" customWidth="1"/>
    <col min="45" max="16384" width="9.1796875" style="760"/>
  </cols>
  <sheetData>
    <row r="1" spans="1:18" x14ac:dyDescent="0.25">
      <c r="A1" s="61" t="s">
        <v>2</v>
      </c>
      <c r="B1" s="67" t="str">
        <f ca="1">IF(ISERROR(CELL("filename",C1)),"MSParameters",MID(CELL("filename",C1),FIND("]",CELL("filename",C1))+1,1024))</f>
        <v>EUwideConstants</v>
      </c>
    </row>
    <row r="2" spans="1:18" x14ac:dyDescent="0.25">
      <c r="A2" s="286" t="s">
        <v>200</v>
      </c>
      <c r="B2" s="286" t="b">
        <v>1</v>
      </c>
      <c r="C2" s="286" t="b">
        <v>0</v>
      </c>
    </row>
    <row r="3" spans="1:18" x14ac:dyDescent="0.25">
      <c r="A3" s="286" t="s">
        <v>201</v>
      </c>
      <c r="B3" s="761">
        <v>2024</v>
      </c>
      <c r="C3" s="761">
        <f>B3+1</f>
        <v>2025</v>
      </c>
      <c r="D3" s="761">
        <f t="shared" ref="D3:K3" si="0">C3+1</f>
        <v>2026</v>
      </c>
      <c r="E3" s="761">
        <f t="shared" si="0"/>
        <v>2027</v>
      </c>
      <c r="F3" s="761">
        <f t="shared" si="0"/>
        <v>2028</v>
      </c>
      <c r="G3" s="761">
        <f t="shared" si="0"/>
        <v>2029</v>
      </c>
      <c r="H3" s="761">
        <f t="shared" si="0"/>
        <v>2030</v>
      </c>
      <c r="I3" s="761">
        <f t="shared" si="0"/>
        <v>2031</v>
      </c>
      <c r="J3" s="761">
        <f t="shared" si="0"/>
        <v>2032</v>
      </c>
      <c r="K3" s="761">
        <f t="shared" si="0"/>
        <v>2033</v>
      </c>
      <c r="L3" s="761">
        <f t="shared" ref="L3:R3" si="1">K3+1</f>
        <v>2034</v>
      </c>
      <c r="M3" s="761">
        <f t="shared" si="1"/>
        <v>2035</v>
      </c>
      <c r="N3" s="761">
        <f t="shared" si="1"/>
        <v>2036</v>
      </c>
      <c r="O3" s="761">
        <f t="shared" si="1"/>
        <v>2037</v>
      </c>
      <c r="P3" s="761">
        <f t="shared" si="1"/>
        <v>2038</v>
      </c>
      <c r="Q3" s="761">
        <f t="shared" si="1"/>
        <v>2039</v>
      </c>
      <c r="R3" s="761">
        <f t="shared" si="1"/>
        <v>2040</v>
      </c>
    </row>
    <row r="4" spans="1:18" x14ac:dyDescent="0.25">
      <c r="A4" s="286" t="s">
        <v>202</v>
      </c>
      <c r="B4" s="286" t="str">
        <f>Translations!$B$133</f>
        <v>Combustion</v>
      </c>
    </row>
    <row r="5" spans="1:18" x14ac:dyDescent="0.25">
      <c r="A5" s="286" t="s">
        <v>203</v>
      </c>
      <c r="B5" s="286" t="s">
        <v>204</v>
      </c>
    </row>
    <row r="6" spans="1:18" x14ac:dyDescent="0.25">
      <c r="A6" s="286" t="s">
        <v>205</v>
      </c>
      <c r="B6" s="286" t="s">
        <v>206</v>
      </c>
    </row>
    <row r="7" spans="1:18" x14ac:dyDescent="0.25">
      <c r="A7" s="286" t="s">
        <v>207</v>
      </c>
      <c r="B7" s="286" t="s">
        <v>208</v>
      </c>
    </row>
    <row r="8" spans="1:18" x14ac:dyDescent="0.25">
      <c r="A8" s="286" t="s">
        <v>209</v>
      </c>
      <c r="B8" s="286" t="s">
        <v>210</v>
      </c>
    </row>
    <row r="9" spans="1:18" x14ac:dyDescent="0.25">
      <c r="A9" s="286" t="s">
        <v>211</v>
      </c>
      <c r="B9" s="286" t="s">
        <v>212</v>
      </c>
    </row>
    <row r="10" spans="1:18" x14ac:dyDescent="0.25">
      <c r="A10" s="286" t="s">
        <v>213</v>
      </c>
      <c r="B10" s="286" t="str">
        <f>Translations!$B$395</f>
        <v>Value</v>
      </c>
    </row>
    <row r="11" spans="1:18" x14ac:dyDescent="0.25">
      <c r="A11" s="286" t="s">
        <v>214</v>
      </c>
      <c r="B11" s="286" t="str">
        <f>Translations!$B$394</f>
        <v>Unit</v>
      </c>
    </row>
    <row r="12" spans="1:18" x14ac:dyDescent="0.25">
      <c r="A12" s="286" t="s">
        <v>215</v>
      </c>
      <c r="B12" s="286" t="s">
        <v>182</v>
      </c>
    </row>
    <row r="13" spans="1:18" x14ac:dyDescent="0.25">
      <c r="A13" s="286" t="s">
        <v>216</v>
      </c>
      <c r="B13" s="286" t="s">
        <v>217</v>
      </c>
    </row>
    <row r="14" spans="1:18" x14ac:dyDescent="0.25">
      <c r="A14" s="286" t="s">
        <v>218</v>
      </c>
      <c r="B14" s="286" t="s">
        <v>219</v>
      </c>
    </row>
    <row r="15" spans="1:18" x14ac:dyDescent="0.25">
      <c r="A15" s="286" t="s">
        <v>220</v>
      </c>
      <c r="B15" s="286" t="s">
        <v>187</v>
      </c>
    </row>
    <row r="16" spans="1:18" x14ac:dyDescent="0.25">
      <c r="A16" s="286" t="s">
        <v>221</v>
      </c>
      <c r="B16" s="286" t="s">
        <v>222</v>
      </c>
    </row>
    <row r="17" spans="1:3" x14ac:dyDescent="0.25">
      <c r="A17" s="286" t="s">
        <v>223</v>
      </c>
      <c r="B17" s="286" t="str">
        <f>Translations!$B$556</f>
        <v>GWh(gross)</v>
      </c>
    </row>
    <row r="18" spans="1:3" x14ac:dyDescent="0.25">
      <c r="A18" s="286" t="s">
        <v>224</v>
      </c>
      <c r="B18" s="286" t="s">
        <v>225</v>
      </c>
    </row>
    <row r="19" spans="1:3" x14ac:dyDescent="0.25">
      <c r="A19" s="286" t="s">
        <v>226</v>
      </c>
      <c r="B19" s="286" t="str">
        <f>Translations!$B$72</f>
        <v>Type I default values</v>
      </c>
      <c r="C19" s="110" t="str">
        <f>Translations!$B$76</f>
        <v>Type II default values</v>
      </c>
    </row>
    <row r="20" spans="1:3" x14ac:dyDescent="0.25">
      <c r="A20" s="286" t="s">
        <v>227</v>
      </c>
      <c r="B20" s="286" t="str">
        <f>Translations!$B$73</f>
        <v>Type I biomass fraction</v>
      </c>
      <c r="C20" s="110" t="str">
        <f>Translations!$B$74</f>
        <v>Type II biomass fraction</v>
      </c>
    </row>
    <row r="21" spans="1:3" customFormat="1" x14ac:dyDescent="0.25">
      <c r="A21" s="286" t="s">
        <v>228</v>
      </c>
      <c r="B21" s="287" t="s">
        <v>229</v>
      </c>
      <c r="C21" s="209"/>
    </row>
    <row r="22" spans="1:3" customFormat="1" x14ac:dyDescent="0.25">
      <c r="A22" s="286" t="s">
        <v>230</v>
      </c>
      <c r="B22" s="287" t="s">
        <v>231</v>
      </c>
      <c r="C22" s="209"/>
    </row>
    <row r="23" spans="1:3" customFormat="1" x14ac:dyDescent="0.25">
      <c r="A23" s="286" t="s">
        <v>232</v>
      </c>
      <c r="B23" s="287" t="s">
        <v>233</v>
      </c>
      <c r="C23" s="209"/>
    </row>
    <row r="24" spans="1:3" customFormat="1" x14ac:dyDescent="0.25">
      <c r="A24" s="286" t="s">
        <v>234</v>
      </c>
      <c r="B24" s="287" t="s">
        <v>235</v>
      </c>
      <c r="C24" s="209"/>
    </row>
    <row r="25" spans="1:3" customFormat="1" x14ac:dyDescent="0.25">
      <c r="A25" s="286" t="s">
        <v>236</v>
      </c>
      <c r="B25" s="287" t="s">
        <v>237</v>
      </c>
      <c r="C25" s="209"/>
    </row>
    <row r="26" spans="1:3" x14ac:dyDescent="0.25">
      <c r="A26" s="286" t="s">
        <v>238</v>
      </c>
      <c r="B26" s="286" t="s">
        <v>239</v>
      </c>
    </row>
    <row r="27" spans="1:3" x14ac:dyDescent="0.25">
      <c r="A27" s="286" t="s">
        <v>240</v>
      </c>
      <c r="B27" s="286" t="s">
        <v>241</v>
      </c>
    </row>
    <row r="28" spans="1:3" x14ac:dyDescent="0.25">
      <c r="A28" s="286" t="s">
        <v>242</v>
      </c>
      <c r="B28" s="286" t="s">
        <v>243</v>
      </c>
    </row>
    <row r="29" spans="1:3" x14ac:dyDescent="0.25">
      <c r="A29" s="286" t="s">
        <v>244</v>
      </c>
      <c r="B29" s="286" t="s">
        <v>245</v>
      </c>
    </row>
    <row r="30" spans="1:3" x14ac:dyDescent="0.25">
      <c r="A30" s="286" t="s">
        <v>246</v>
      </c>
      <c r="B30" s="286" t="s">
        <v>247</v>
      </c>
    </row>
    <row r="31" spans="1:3" x14ac:dyDescent="0.25">
      <c r="A31" s="286" t="s">
        <v>248</v>
      </c>
      <c r="B31" s="286" t="str">
        <f>Translations!$B$79</f>
        <v xml:space="preserve">&lt;&lt;&lt; Click here to proceed to next sheet &gt;&gt;&gt; </v>
      </c>
    </row>
    <row r="32" spans="1:3" x14ac:dyDescent="0.25">
      <c r="A32" s="286" t="s">
        <v>249</v>
      </c>
      <c r="B32" s="286" t="str">
        <f>Translations!$B$235</f>
        <v>Fuel Stream</v>
      </c>
    </row>
    <row r="33" spans="1:4" x14ac:dyDescent="0.25">
      <c r="A33" s="286" t="s">
        <v>250</v>
      </c>
      <c r="B33" s="286" t="str">
        <f>Translations!$B$216</f>
        <v>Regulated entity</v>
      </c>
      <c r="C33" s="286" t="str">
        <f>Translations!$B$80</f>
        <v>Trade partner</v>
      </c>
    </row>
    <row r="34" spans="1:4" x14ac:dyDescent="0.25">
      <c r="A34" s="286" t="s">
        <v>251</v>
      </c>
      <c r="B34" s="286" t="str">
        <f>Translations!$B$215</f>
        <v>(a): Methods consistent with ETD/ED regime</v>
      </c>
      <c r="C34" s="286" t="str">
        <f>Translations!$B$236</f>
        <v>(b): Batch metering</v>
      </c>
      <c r="D34" s="286" t="str">
        <f>Translations!$B$237</f>
        <v>(c): Continual metering</v>
      </c>
    </row>
    <row r="35" spans="1:4" x14ac:dyDescent="0.25">
      <c r="A35" s="286" t="s">
        <v>252</v>
      </c>
      <c r="B35" s="286" t="str">
        <f>Translations!$B$81</f>
        <v xml:space="preserve">Detailed instructions for data entries in this tool can be found at the top of this sheet. </v>
      </c>
      <c r="C35" s="286"/>
    </row>
    <row r="36" spans="1:4" x14ac:dyDescent="0.25">
      <c r="A36" s="286" t="s">
        <v>253</v>
      </c>
      <c r="B36" s="286" t="str">
        <f>Translations!$B$77</f>
        <v>n.a.</v>
      </c>
    </row>
    <row r="37" spans="1:4" x14ac:dyDescent="0.25">
      <c r="A37" s="286" t="s">
        <v>254</v>
      </c>
      <c r="B37" s="286" t="str">
        <f>Translations!$B$82</f>
        <v>relevant</v>
      </c>
    </row>
    <row r="38" spans="1:4" x14ac:dyDescent="0.25">
      <c r="A38" s="286" t="s">
        <v>255</v>
      </c>
      <c r="B38" s="286" t="str">
        <f>Translations!$B$83</f>
        <v>not relevant</v>
      </c>
    </row>
    <row r="39" spans="1:4" x14ac:dyDescent="0.25">
      <c r="A39" s="286" t="s">
        <v>256</v>
      </c>
      <c r="B39" s="286" t="str">
        <f>Translations!$B$84</f>
        <v>not applicable!</v>
      </c>
    </row>
    <row r="40" spans="1:4" x14ac:dyDescent="0.25">
      <c r="A40" s="286" t="s">
        <v>257</v>
      </c>
      <c r="B40" s="286" t="str">
        <f>Translations!$B$482</f>
        <v>Best estimate</v>
      </c>
    </row>
    <row r="41" spans="1:4" x14ac:dyDescent="0.25">
      <c r="A41" s="286" t="s">
        <v>258</v>
      </c>
      <c r="B41" s="286" t="str">
        <f>Translations!$B$483</f>
        <v>Actual released amounts</v>
      </c>
    </row>
    <row r="42" spans="1:4" x14ac:dyDescent="0.25">
      <c r="A42" s="286" t="s">
        <v>259</v>
      </c>
      <c r="B42" s="286" t="str">
        <f>Translations!$B$557</f>
        <v>incomplete!</v>
      </c>
    </row>
    <row r="43" spans="1:4" x14ac:dyDescent="0.25">
      <c r="A43" s="286" t="s">
        <v>260</v>
      </c>
      <c r="B43" s="286" t="str">
        <f>Translations!$B$558</f>
        <v>inconsistent!</v>
      </c>
    </row>
    <row r="44" spans="1:4" x14ac:dyDescent="0.25">
      <c r="A44" s="286" t="s">
        <v>261</v>
      </c>
      <c r="B44" s="286" t="str">
        <f>Translations!$B$85</f>
        <v>Uncertainty shall not be more than</v>
      </c>
    </row>
    <row r="45" spans="1:4" x14ac:dyDescent="0.25">
      <c r="A45" s="286" t="s">
        <v>248</v>
      </c>
      <c r="B45" s="286" t="str">
        <f>Translations!$B$79</f>
        <v xml:space="preserve">&lt;&lt;&lt; Click here to proceed to next sheet &gt;&gt;&gt; </v>
      </c>
    </row>
    <row r="46" spans="1:4" x14ac:dyDescent="0.25">
      <c r="A46" s="286" t="s">
        <v>262</v>
      </c>
      <c r="B46" s="286" t="str">
        <f>Translations!$B$86</f>
        <v>Please enter data in this section</v>
      </c>
    </row>
    <row r="47" spans="1:4" x14ac:dyDescent="0.25">
      <c r="A47" s="286" t="s">
        <v>263</v>
      </c>
      <c r="B47" s="286" t="str">
        <f>Translations!$B$87</f>
        <v>Please go to the next points below</v>
      </c>
    </row>
    <row r="48" spans="1:4" x14ac:dyDescent="0.25">
      <c r="A48" s="286" t="s">
        <v>264</v>
      </c>
      <c r="B48" s="286" t="str">
        <f>Translations!$B$88</f>
        <v>Please justify why historic data is not available or inappropriate</v>
      </c>
    </row>
    <row r="49" spans="1:32" x14ac:dyDescent="0.25">
      <c r="A49" s="286" t="s">
        <v>265</v>
      </c>
      <c r="B49" s="286" t="str">
        <f>Translations!$B$15</f>
        <v>Previous sheet</v>
      </c>
    </row>
    <row r="50" spans="1:32" x14ac:dyDescent="0.25">
      <c r="A50" s="286" t="s">
        <v>266</v>
      </c>
      <c r="B50" s="286" t="str">
        <f>Translations!$B$16</f>
        <v>Next sheet</v>
      </c>
    </row>
    <row r="51" spans="1:32" x14ac:dyDescent="0.25">
      <c r="A51" s="286" t="s">
        <v>267</v>
      </c>
      <c r="B51" s="286" t="str">
        <f>Translations!$B$89</f>
        <v>No tier</v>
      </c>
    </row>
    <row r="52" spans="1:32" x14ac:dyDescent="0.25">
      <c r="A52" s="286" t="s">
        <v>268</v>
      </c>
      <c r="B52" s="286" t="str">
        <f>Translations!$B$238</f>
        <v>Purchase records or invoices</v>
      </c>
    </row>
    <row r="53" spans="1:32" x14ac:dyDescent="0.25">
      <c r="A53" s="286" t="s">
        <v>269</v>
      </c>
      <c r="B53" s="286" t="str">
        <f>Translations!$B$90</f>
        <v>De-minimis threshold exceeded!</v>
      </c>
    </row>
    <row r="54" spans="1:32" x14ac:dyDescent="0.25">
      <c r="A54" s="286" t="s">
        <v>270</v>
      </c>
      <c r="B54" s="286" t="str">
        <f>Translations!$B$239</f>
        <v>Sum not within 5% of annual emissions (section C.1.c)!</v>
      </c>
    </row>
    <row r="55" spans="1:32" ht="13" x14ac:dyDescent="0.3">
      <c r="A55" s="286" t="s">
        <v>271</v>
      </c>
      <c r="B55" s="286" t="str">
        <f>Translations!$B$91</f>
        <v>Use by Competent Authority only</v>
      </c>
      <c r="C55" s="286" t="str">
        <f>Translations!$B$92</f>
        <v>To be filled in by operator</v>
      </c>
      <c r="E55" s="762"/>
    </row>
    <row r="56" spans="1:32" customFormat="1" x14ac:dyDescent="0.25">
      <c r="A56" s="286" t="s">
        <v>272</v>
      </c>
      <c r="B56" s="287" t="str">
        <f>Translations!$B$93</f>
        <v>Austria</v>
      </c>
      <c r="C56" s="287" t="str">
        <f>Translations!$B$94</f>
        <v>Belgium</v>
      </c>
      <c r="D56" s="151" t="str">
        <f>Translations!$B$95</f>
        <v>Bulgaria</v>
      </c>
      <c r="E56" s="137" t="str">
        <f>Translations!$B$96</f>
        <v>Croatia</v>
      </c>
      <c r="F56" s="151" t="str">
        <f>Translations!$B$97</f>
        <v>Cyprus</v>
      </c>
      <c r="G56" s="151" t="str">
        <f>Translations!$B$559</f>
        <v>Czechia</v>
      </c>
      <c r="H56" s="151" t="str">
        <f>Translations!$B$98</f>
        <v>Denmark</v>
      </c>
      <c r="I56" s="151" t="str">
        <f>Translations!$B$99</f>
        <v>Estonia</v>
      </c>
      <c r="J56" s="151" t="str">
        <f>Translations!$B$100</f>
        <v>Finland</v>
      </c>
      <c r="K56" s="151" t="str">
        <f>Translations!$B$101</f>
        <v>France</v>
      </c>
      <c r="L56" s="151" t="str">
        <f>Translations!$B$102</f>
        <v>Germany</v>
      </c>
      <c r="M56" s="151" t="str">
        <f>Translations!$B$103</f>
        <v>Greece</v>
      </c>
      <c r="N56" s="151" t="str">
        <f>Translations!$B$104</f>
        <v>Hungary</v>
      </c>
      <c r="O56" s="151" t="str">
        <f>Translations!$B$105</f>
        <v>Iceland</v>
      </c>
      <c r="P56" s="151" t="str">
        <f>Translations!$B$106</f>
        <v>Ireland</v>
      </c>
      <c r="Q56" s="151" t="str">
        <f>Translations!$B$107</f>
        <v>Italy</v>
      </c>
      <c r="R56" s="151" t="str">
        <f>Translations!$B$108</f>
        <v>Latvia</v>
      </c>
      <c r="S56" s="151" t="str">
        <f>Translations!$B$109</f>
        <v>Liechtenstein</v>
      </c>
      <c r="T56" s="151" t="str">
        <f>Translations!$B$110</f>
        <v>Lithuania</v>
      </c>
      <c r="U56" s="151" t="str">
        <f>Translations!$B$111</f>
        <v>Luxembourg</v>
      </c>
      <c r="V56" s="151" t="str">
        <f>Translations!$B$112</f>
        <v>Malta</v>
      </c>
      <c r="W56" s="151" t="str">
        <f>Translations!$B$113</f>
        <v>Netherlands</v>
      </c>
      <c r="X56" s="151" t="str">
        <f>Translations!$B$114</f>
        <v>Norway</v>
      </c>
      <c r="Y56" s="151" t="str">
        <f>Translations!$B$115</f>
        <v>Poland</v>
      </c>
      <c r="Z56" s="151" t="str">
        <f>Translations!$B$116</f>
        <v>Portugal</v>
      </c>
      <c r="AA56" s="151" t="str">
        <f>Translations!$B$117</f>
        <v>Romania</v>
      </c>
      <c r="AB56" s="151" t="str">
        <f>Translations!$B$118</f>
        <v>Slovakia</v>
      </c>
      <c r="AC56" s="151" t="str">
        <f>Translations!$B$119</f>
        <v>Slovenia</v>
      </c>
      <c r="AD56" s="151" t="str">
        <f>Translations!$B$120</f>
        <v>Spain</v>
      </c>
      <c r="AE56" s="151" t="str">
        <f>Translations!$B$121</f>
        <v>Sweden</v>
      </c>
    </row>
    <row r="57" spans="1:32" customFormat="1" x14ac:dyDescent="0.25">
      <c r="A57" s="286" t="s">
        <v>273</v>
      </c>
      <c r="B57" s="287" t="s">
        <v>274</v>
      </c>
      <c r="C57" s="287" t="s">
        <v>275</v>
      </c>
      <c r="D57" s="151" t="s">
        <v>276</v>
      </c>
      <c r="E57" s="137" t="s">
        <v>277</v>
      </c>
      <c r="F57" s="151" t="s">
        <v>278</v>
      </c>
      <c r="G57" s="151" t="s">
        <v>279</v>
      </c>
      <c r="H57" s="151" t="s">
        <v>280</v>
      </c>
      <c r="I57" s="151" t="s">
        <v>281</v>
      </c>
      <c r="J57" s="151" t="s">
        <v>282</v>
      </c>
      <c r="K57" s="151" t="s">
        <v>283</v>
      </c>
      <c r="L57" s="151" t="s">
        <v>284</v>
      </c>
      <c r="M57" s="151" t="s">
        <v>285</v>
      </c>
      <c r="N57" s="151" t="s">
        <v>286</v>
      </c>
      <c r="O57" s="151" t="s">
        <v>287</v>
      </c>
      <c r="P57" s="151" t="s">
        <v>288</v>
      </c>
      <c r="Q57" s="151" t="s">
        <v>289</v>
      </c>
      <c r="R57" s="151" t="s">
        <v>290</v>
      </c>
      <c r="S57" s="151" t="s">
        <v>291</v>
      </c>
      <c r="T57" s="151" t="s">
        <v>292</v>
      </c>
      <c r="U57" s="151" t="s">
        <v>293</v>
      </c>
      <c r="V57" s="151" t="s">
        <v>294</v>
      </c>
      <c r="W57" s="151" t="s">
        <v>295</v>
      </c>
      <c r="X57" s="151" t="s">
        <v>296</v>
      </c>
      <c r="Y57" s="151" t="s">
        <v>297</v>
      </c>
      <c r="Z57" s="151" t="s">
        <v>298</v>
      </c>
      <c r="AA57" s="151" t="s">
        <v>299</v>
      </c>
      <c r="AB57" s="151" t="s">
        <v>300</v>
      </c>
      <c r="AC57" s="151" t="s">
        <v>301</v>
      </c>
      <c r="AD57" s="151" t="s">
        <v>302</v>
      </c>
      <c r="AE57" s="151" t="s">
        <v>303</v>
      </c>
    </row>
    <row r="58" spans="1:32" x14ac:dyDescent="0.25">
      <c r="A58" s="286" t="s">
        <v>304</v>
      </c>
      <c r="B58" s="287" t="str">
        <f>Translations!$B$49</f>
        <v>submitted to competent authority</v>
      </c>
      <c r="C58" s="287" t="str">
        <f>Translations!$B$51</f>
        <v>approved by competent authority</v>
      </c>
      <c r="D58" s="287" t="str">
        <f>Translations!$B$122</f>
        <v>rejected by competent authority</v>
      </c>
      <c r="E58" s="287" t="str">
        <f>Translations!$B$50</f>
        <v>returned with remarks</v>
      </c>
      <c r="F58" s="287" t="str">
        <f>Translations!$B$123</f>
        <v>working draft</v>
      </c>
      <c r="G58" s="287"/>
      <c r="AF58"/>
    </row>
    <row r="59" spans="1:32" x14ac:dyDescent="0.25">
      <c r="A59" s="286" t="s">
        <v>305</v>
      </c>
      <c r="B59" s="139" t="str">
        <f>EUconst_NA</f>
        <v>n.a.</v>
      </c>
      <c r="C59" s="763" t="str">
        <f>Translations!$B$161</f>
        <v>June</v>
      </c>
      <c r="D59" s="763" t="str">
        <f>Translations!$B$162</f>
        <v>July</v>
      </c>
      <c r="E59" s="763" t="str">
        <f>Translations!$B$163</f>
        <v>August</v>
      </c>
      <c r="F59" s="763" t="str">
        <f>Translations!$B$164</f>
        <v>September</v>
      </c>
    </row>
    <row r="60" spans="1:32" x14ac:dyDescent="0.25">
      <c r="A60" s="286" t="s">
        <v>306</v>
      </c>
      <c r="B60" s="139" t="s">
        <v>307</v>
      </c>
      <c r="C60" s="763"/>
      <c r="D60" s="763"/>
      <c r="E60" s="763"/>
      <c r="F60" s="763"/>
    </row>
    <row r="62" spans="1:32" s="764" customFormat="1" x14ac:dyDescent="0.25"/>
    <row r="64" spans="1:32" customFormat="1" ht="13" x14ac:dyDescent="0.3">
      <c r="A64" s="762" t="s">
        <v>308</v>
      </c>
    </row>
    <row r="65" spans="1:6" customFormat="1" x14ac:dyDescent="0.25">
      <c r="A65" s="138" t="str">
        <f>Translations!$B$196</f>
        <v>Pipelines</v>
      </c>
    </row>
    <row r="66" spans="1:6" customFormat="1" x14ac:dyDescent="0.25">
      <c r="A66" s="138" t="str">
        <f>Translations!$B$240</f>
        <v>Road vehicles (e.g. trucks)</v>
      </c>
    </row>
    <row r="67" spans="1:6" customFormat="1" x14ac:dyDescent="0.25">
      <c r="A67" s="138" t="str">
        <f>Translations!$B$241</f>
        <v>Trains</v>
      </c>
    </row>
    <row r="68" spans="1:6" customFormat="1" x14ac:dyDescent="0.25">
      <c r="A68" s="138" t="str">
        <f>Translations!$B$242</f>
        <v>Ships</v>
      </c>
    </row>
    <row r="69" spans="1:6" customFormat="1" x14ac:dyDescent="0.25"/>
    <row r="70" spans="1:6" customFormat="1" ht="13" x14ac:dyDescent="0.3">
      <c r="A70" s="762" t="s">
        <v>309</v>
      </c>
    </row>
    <row r="71" spans="1:6" customFormat="1" x14ac:dyDescent="0.25">
      <c r="A71" s="138" t="str">
        <f>Translations!$B$203</f>
        <v>Directly connected to end consumers</v>
      </c>
    </row>
    <row r="72" spans="1:6" customFormat="1" x14ac:dyDescent="0.25">
      <c r="A72" s="138" t="str">
        <f>Translations!$B$243</f>
        <v>Fuel stations</v>
      </c>
    </row>
    <row r="73" spans="1:6" customFormat="1" x14ac:dyDescent="0.25">
      <c r="A73" s="138" t="str">
        <f>Translations!$B$244</f>
        <v>Fuel traders</v>
      </c>
    </row>
    <row r="74" spans="1:6" customFormat="1" x14ac:dyDescent="0.25"/>
    <row r="75" spans="1:6" customFormat="1" x14ac:dyDescent="0.25"/>
    <row r="76" spans="1:6" customFormat="1" ht="13" x14ac:dyDescent="0.3">
      <c r="A76" s="762" t="s">
        <v>310</v>
      </c>
      <c r="B76" t="s">
        <v>311</v>
      </c>
      <c r="C76" t="s">
        <v>312</v>
      </c>
    </row>
    <row r="77" spans="1:6" customFormat="1" x14ac:dyDescent="0.25">
      <c r="A77" s="139">
        <v>1</v>
      </c>
      <c r="B77" s="765" t="str">
        <f ca="1">ADDRESS(ROW(),COLUMN(C77),,,$B$1) &amp; ":" &amp; ADDRESS(ROW(),COLUMN(C77)+COUNTA(C77:F77)-COUNTIF(C77:F77,EUconst_NA)-1)</f>
        <v>EUwideConstants!$C$77:$D$77</v>
      </c>
      <c r="C77" s="110" t="str">
        <f>Translations!$B$245</f>
        <v>Default value = 1</v>
      </c>
      <c r="D77" s="110" t="str">
        <f>Translations!$B$246</f>
        <v>Default value &lt; 1</v>
      </c>
      <c r="E77" s="113" t="str">
        <f>EUconst_NA</f>
        <v>n.a.</v>
      </c>
      <c r="F77" s="113" t="str">
        <f>EUconst_NA</f>
        <v>n.a.</v>
      </c>
    </row>
    <row r="78" spans="1:6" customFormat="1" x14ac:dyDescent="0.25">
      <c r="A78" s="139">
        <v>2</v>
      </c>
      <c r="B78" s="765" t="str">
        <f ca="1">ADDRESS(ROW(),COLUMN(C78),,,$B$1) &amp; ":" &amp; ADDRESS(ROW(),COLUMN(C78)+COUNTA(C78:F78)-COUNTIF(C78:F78,EUconst_NA)-1)</f>
        <v>EUwideConstants!$C$78:$E$78</v>
      </c>
      <c r="C78" s="113" t="str">
        <f>Translations!$B$219</f>
        <v>Chain-of-custody</v>
      </c>
      <c r="D78" s="113" t="str">
        <f>Translations!$B$247</f>
        <v>National marking</v>
      </c>
      <c r="E78" s="113" t="str">
        <f>Translations!$B$248</f>
        <v>Indirect methods</v>
      </c>
      <c r="F78" s="113" t="str">
        <f>EUconst_NA</f>
        <v>n.a.</v>
      </c>
    </row>
    <row r="79" spans="1:6" customFormat="1" x14ac:dyDescent="0.25">
      <c r="A79" s="139">
        <v>3</v>
      </c>
      <c r="B79" s="765" t="str">
        <f ca="1">ADDRESS(ROW(),COLUMN(C79),,,$B$1) &amp; ":" &amp; ADDRESS(ROW(),COLUMN(C79)+COUNTA(C79:F79)-COUNTIF(C79:F79,EUconst_NA)-1)</f>
        <v>EUwideConstants!$C$79:$F$79</v>
      </c>
      <c r="C79" s="110" t="str">
        <f>Translations!$B$249</f>
        <v>Physical distinction</v>
      </c>
      <c r="D79" s="110" t="str">
        <f>Translations!$B$250</f>
        <v>Chemical distinction</v>
      </c>
      <c r="E79" s="110" t="str">
        <f>Translations!$B$251</f>
        <v>Euromarker</v>
      </c>
      <c r="F79" s="110" t="str">
        <f>Translations!$B$252</f>
        <v>ETS1 AER</v>
      </c>
    </row>
    <row r="80" spans="1:6" customFormat="1" x14ac:dyDescent="0.25"/>
    <row r="81" spans="1:2" customFormat="1" ht="13" x14ac:dyDescent="0.3">
      <c r="A81" s="762" t="s">
        <v>313</v>
      </c>
    </row>
    <row r="82" spans="1:2" customFormat="1" x14ac:dyDescent="0.25">
      <c r="A82" s="113" t="str">
        <f>C79</f>
        <v>Physical distinction</v>
      </c>
      <c r="B82" s="113" t="str">
        <f>Translations!$B$253</f>
        <v>Physical distinction of fuel flows</v>
      </c>
    </row>
    <row r="83" spans="1:2" customFormat="1" x14ac:dyDescent="0.25">
      <c r="A83" s="113" t="str">
        <f>D79</f>
        <v>Chemical distinction</v>
      </c>
      <c r="B83" s="113" t="str">
        <f>Translations!$B$254</f>
        <v>Methods based on the chemical properties of fuels</v>
      </c>
    </row>
    <row r="84" spans="1:2" customFormat="1" x14ac:dyDescent="0.25">
      <c r="A84" s="113" t="str">
        <f>E79</f>
        <v>Euromarker</v>
      </c>
      <c r="B84" s="113" t="str">
        <f>Translations!$B$255</f>
        <v>Use of fiscal marker in accordance with the Euromarker Directive</v>
      </c>
    </row>
    <row r="85" spans="1:2" customFormat="1" x14ac:dyDescent="0.25">
      <c r="A85" s="113" t="str">
        <f>F79</f>
        <v>ETS1 AER</v>
      </c>
      <c r="B85" s="113" t="str">
        <f>Translations!$B$256</f>
        <v>Information from ETS1 verified annual emissions report</v>
      </c>
    </row>
    <row r="86" spans="1:2" customFormat="1" x14ac:dyDescent="0.25">
      <c r="A86" s="113" t="str">
        <f>C78</f>
        <v>Chain-of-custody</v>
      </c>
      <c r="B86" s="113" t="str">
        <f>Translations!$B$220</f>
        <v xml:space="preserve">Chain of traceable contractual arrangements and invoices </v>
      </c>
    </row>
    <row r="87" spans="1:2" customFormat="1" x14ac:dyDescent="0.25">
      <c r="A87" s="113" t="str">
        <f>D78</f>
        <v>National marking</v>
      </c>
      <c r="B87" s="113" t="str">
        <f>Translations!$B$257</f>
        <v>Use of national markers or colours (dyes)</v>
      </c>
    </row>
    <row r="88" spans="1:2" customFormat="1" x14ac:dyDescent="0.25">
      <c r="A88" s="113" t="str">
        <f>E78</f>
        <v>Indirect methods</v>
      </c>
      <c r="B88" s="113" t="str">
        <f>Translations!$B$258</f>
        <v>Indirect methods and correlations</v>
      </c>
    </row>
    <row r="89" spans="1:2" customFormat="1" x14ac:dyDescent="0.25">
      <c r="A89" s="113" t="str">
        <f>C77</f>
        <v>Default value = 1</v>
      </c>
      <c r="B89" s="113" t="str">
        <f>Translations!$B$259</f>
        <v>Default scope factor of 1</v>
      </c>
    </row>
    <row r="90" spans="1:2" customFormat="1" x14ac:dyDescent="0.25">
      <c r="A90" s="113" t="str">
        <f>D77</f>
        <v>Default value &lt; 1</v>
      </c>
      <c r="B90" s="113" t="str">
        <f>Translations!$B$260</f>
        <v>Default scope factor lower than 1</v>
      </c>
    </row>
    <row r="91" spans="1:2" customFormat="1" x14ac:dyDescent="0.25"/>
    <row r="92" spans="1:2" customFormat="1" ht="13" x14ac:dyDescent="0.3">
      <c r="A92" s="762" t="s">
        <v>314</v>
      </c>
    </row>
    <row r="93" spans="1:2" customFormat="1" x14ac:dyDescent="0.25">
      <c r="A93" s="139">
        <v>1</v>
      </c>
    </row>
    <row r="94" spans="1:2" customFormat="1" x14ac:dyDescent="0.25">
      <c r="A94" s="139">
        <v>2</v>
      </c>
    </row>
    <row r="95" spans="1:2" customFormat="1" x14ac:dyDescent="0.25">
      <c r="A95" s="139" t="str">
        <f>Translations!$B$262</f>
        <v>3b</v>
      </c>
    </row>
    <row r="96" spans="1:2" customFormat="1" x14ac:dyDescent="0.25">
      <c r="A96" s="138" t="str">
        <f>EUconst_NA</f>
        <v>n.a.</v>
      </c>
    </row>
    <row r="97" spans="1:1" customFormat="1" x14ac:dyDescent="0.25">
      <c r="A97" s="788"/>
    </row>
    <row r="98" spans="1:1" customFormat="1" ht="13" x14ac:dyDescent="0.3">
      <c r="A98" s="762" t="str">
        <f>Translations!$B$124</f>
        <v>BiomassTiers</v>
      </c>
    </row>
    <row r="99" spans="1:1" customFormat="1" x14ac:dyDescent="0.25">
      <c r="A99" s="139">
        <v>1</v>
      </c>
    </row>
    <row r="100" spans="1:1" customFormat="1" x14ac:dyDescent="0.25">
      <c r="A100" s="139">
        <v>2</v>
      </c>
    </row>
    <row r="101" spans="1:1" customFormat="1" x14ac:dyDescent="0.25">
      <c r="A101" s="139" t="str">
        <f>Translations!$B$261</f>
        <v>3a</v>
      </c>
    </row>
    <row r="102" spans="1:1" customFormat="1" x14ac:dyDescent="0.25">
      <c r="A102" s="139" t="str">
        <f>Translations!$B$262</f>
        <v>3b</v>
      </c>
    </row>
    <row r="103" spans="1:1" customFormat="1" x14ac:dyDescent="0.25">
      <c r="A103" s="138" t="str">
        <f>EUconst_NoTier</f>
        <v>No tier</v>
      </c>
    </row>
    <row r="104" spans="1:1" customFormat="1" x14ac:dyDescent="0.25">
      <c r="A104" s="138" t="str">
        <f>EUconst_NA</f>
        <v>n.a.</v>
      </c>
    </row>
    <row r="105" spans="1:1" customFormat="1" x14ac:dyDescent="0.25">
      <c r="A105" s="788"/>
    </row>
    <row r="106" spans="1:1" customFormat="1" ht="13" x14ac:dyDescent="0.3">
      <c r="A106" s="762" t="s">
        <v>315</v>
      </c>
    </row>
    <row r="107" spans="1:1" customFormat="1" x14ac:dyDescent="0.25">
      <c r="A107" s="139">
        <v>1</v>
      </c>
    </row>
    <row r="108" spans="1:1" customFormat="1" x14ac:dyDescent="0.25">
      <c r="A108" s="138" t="str">
        <f>EUconst_NA</f>
        <v>n.a.</v>
      </c>
    </row>
    <row r="109" spans="1:1" customFormat="1" x14ac:dyDescent="0.25">
      <c r="A109" s="788"/>
    </row>
    <row r="110" spans="1:1" ht="13" x14ac:dyDescent="0.3">
      <c r="A110" s="762" t="s">
        <v>316</v>
      </c>
    </row>
    <row r="111" spans="1:1" x14ac:dyDescent="0.25">
      <c r="A111" s="763">
        <v>1</v>
      </c>
    </row>
    <row r="112" spans="1:1" x14ac:dyDescent="0.25">
      <c r="A112" s="139">
        <v>2</v>
      </c>
    </row>
    <row r="113" spans="1:1" x14ac:dyDescent="0.25">
      <c r="A113" s="139">
        <v>3</v>
      </c>
    </row>
    <row r="114" spans="1:1" x14ac:dyDescent="0.25">
      <c r="A114" s="139">
        <v>4</v>
      </c>
    </row>
    <row r="115" spans="1:1" x14ac:dyDescent="0.25">
      <c r="A115" s="138" t="str">
        <f>EUconst_NoTier</f>
        <v>No tier</v>
      </c>
    </row>
    <row r="116" spans="1:1" x14ac:dyDescent="0.25">
      <c r="A116" s="138" t="str">
        <f>EUconst_NA</f>
        <v>n.a.</v>
      </c>
    </row>
    <row r="117" spans="1:1" x14ac:dyDescent="0.25">
      <c r="A117"/>
    </row>
    <row r="118" spans="1:1" ht="13" x14ac:dyDescent="0.3">
      <c r="A118" s="762" t="s">
        <v>317</v>
      </c>
    </row>
    <row r="119" spans="1:1" x14ac:dyDescent="0.25">
      <c r="A119" s="139">
        <v>1</v>
      </c>
    </row>
    <row r="120" spans="1:1" x14ac:dyDescent="0.25">
      <c r="A120" s="138" t="s">
        <v>318</v>
      </c>
    </row>
    <row r="121" spans="1:1" x14ac:dyDescent="0.25">
      <c r="A121" s="138" t="str">
        <f>Translations!$B$125</f>
        <v>2b</v>
      </c>
    </row>
    <row r="122" spans="1:1" x14ac:dyDescent="0.25">
      <c r="A122" s="139">
        <v>3</v>
      </c>
    </row>
    <row r="123" spans="1:1" x14ac:dyDescent="0.25">
      <c r="A123" s="138" t="str">
        <f>EUconst_NoTier</f>
        <v>No tier</v>
      </c>
    </row>
    <row r="124" spans="1:1" x14ac:dyDescent="0.25">
      <c r="A124" s="138" t="str">
        <f>EUconst_NA</f>
        <v>n.a.</v>
      </c>
    </row>
    <row r="125" spans="1:1" x14ac:dyDescent="0.25">
      <c r="A125"/>
    </row>
    <row r="126" spans="1:1" ht="13" x14ac:dyDescent="0.3">
      <c r="A126" s="762" t="s">
        <v>319</v>
      </c>
    </row>
    <row r="127" spans="1:1" x14ac:dyDescent="0.25">
      <c r="A127" s="139">
        <v>1</v>
      </c>
    </row>
    <row r="128" spans="1:1" x14ac:dyDescent="0.25">
      <c r="A128" s="138" t="s">
        <v>318</v>
      </c>
    </row>
    <row r="129" spans="1:7" x14ac:dyDescent="0.25">
      <c r="A129" s="138" t="str">
        <f>Translations!$B$125</f>
        <v>2b</v>
      </c>
    </row>
    <row r="130" spans="1:7" x14ac:dyDescent="0.25">
      <c r="A130" s="139">
        <v>3</v>
      </c>
    </row>
    <row r="131" spans="1:7" x14ac:dyDescent="0.25">
      <c r="A131" s="138" t="str">
        <f>EUconst_NoTier</f>
        <v>No tier</v>
      </c>
    </row>
    <row r="132" spans="1:7" x14ac:dyDescent="0.25">
      <c r="A132" s="138" t="str">
        <f>EUconst_NA</f>
        <v>n.a.</v>
      </c>
    </row>
    <row r="133" spans="1:7" x14ac:dyDescent="0.25">
      <c r="C133" s="760" t="s">
        <v>320</v>
      </c>
    </row>
    <row r="134" spans="1:7" ht="13" x14ac:dyDescent="0.3">
      <c r="A134" s="762" t="s">
        <v>321</v>
      </c>
      <c r="C134" s="761" t="str">
        <f>INDEX(UCFUnits,COLUMNS($C133:C133))</f>
        <v>GJ/t</v>
      </c>
      <c r="D134" s="761" t="str">
        <f>INDEX(UCFUnits,COLUMNS($C133:D133))</f>
        <v>GJ/1000Nm³</v>
      </c>
      <c r="E134" s="761" t="str">
        <f>INDEX(UCFUnits,COLUMNS($C133:E133))</f>
        <v>GJ/GWh(gross)</v>
      </c>
      <c r="F134" s="761" t="str">
        <f>INDEX(UCFUnits,COLUMNS($C133:F133))</f>
        <v>GJ/1000litres</v>
      </c>
      <c r="G134" s="761" t="str">
        <f>INDEX(UCFUnits,COLUMNS($C133:G133))</f>
        <v>t/1000litres</v>
      </c>
    </row>
    <row r="135" spans="1:7" x14ac:dyDescent="0.25">
      <c r="A135" s="763" t="str">
        <f>EUconst_t</f>
        <v>t</v>
      </c>
      <c r="C135" s="561" t="str">
        <f>EUconst_GJ</f>
        <v>GJ</v>
      </c>
      <c r="D135" s="561" t="str">
        <f>EUconst_NA</f>
        <v>n.a.</v>
      </c>
      <c r="E135" s="561" t="str">
        <f>EUconst_NA</f>
        <v>n.a.</v>
      </c>
      <c r="F135" s="561" t="str">
        <f>EUconst_NA</f>
        <v>n.a.</v>
      </c>
      <c r="G135" s="561" t="str">
        <f>EUconst_NA</f>
        <v>n.a.</v>
      </c>
    </row>
    <row r="136" spans="1:7" x14ac:dyDescent="0.25">
      <c r="A136" s="763" t="str">
        <f>EUconst_kNm3</f>
        <v>1000Nm³</v>
      </c>
      <c r="C136" s="561" t="str">
        <f>EUconst_NA</f>
        <v>n.a.</v>
      </c>
      <c r="D136" s="561" t="str">
        <f>EUconst_GJ</f>
        <v>GJ</v>
      </c>
      <c r="E136" s="561" t="str">
        <f>EUconst_NA</f>
        <v>n.a.</v>
      </c>
      <c r="F136" s="561" t="str">
        <f>EUconst_NA</f>
        <v>n.a.</v>
      </c>
      <c r="G136" s="561" t="str">
        <f>EUconst_NA</f>
        <v>n.a.</v>
      </c>
    </row>
    <row r="137" spans="1:7" x14ac:dyDescent="0.25">
      <c r="A137" s="763" t="str">
        <f>EUconst_klitres</f>
        <v>1000litres</v>
      </c>
      <c r="C137" s="561" t="str">
        <f>EUconst_NA</f>
        <v>n.a.</v>
      </c>
      <c r="D137" s="561" t="str">
        <f>EUconst_NA</f>
        <v>n.a.</v>
      </c>
      <c r="E137" s="561" t="str">
        <f>EUconst_NA</f>
        <v>n.a.</v>
      </c>
      <c r="F137" s="561" t="str">
        <f>EUconst_GJ</f>
        <v>GJ</v>
      </c>
      <c r="G137" s="561" t="str">
        <f>EUconst_t</f>
        <v>t</v>
      </c>
    </row>
    <row r="138" spans="1:7" x14ac:dyDescent="0.25">
      <c r="A138" s="763" t="str">
        <f>EUconst_TJ</f>
        <v>TJ</v>
      </c>
      <c r="C138" s="561" t="str">
        <f>EUconst_NA</f>
        <v>n.a.</v>
      </c>
      <c r="D138" s="561" t="str">
        <f>EUconst_NA</f>
        <v>n.a.</v>
      </c>
      <c r="E138" s="561" t="str">
        <f>EUconst_NA</f>
        <v>n.a.</v>
      </c>
      <c r="F138" s="561" t="str">
        <f>EUconst_NA</f>
        <v>n.a.</v>
      </c>
      <c r="G138" s="561" t="str">
        <f>EUconst_NA</f>
        <v>n.a.</v>
      </c>
    </row>
    <row r="139" spans="1:7" x14ac:dyDescent="0.25">
      <c r="A139" s="763" t="str">
        <f>EUconst_GWhgross</f>
        <v>GWh(gross)</v>
      </c>
      <c r="C139" s="561" t="str">
        <f>EUconst_NA</f>
        <v>n.a.</v>
      </c>
      <c r="D139" s="561" t="str">
        <f>EUconst_NA</f>
        <v>n.a.</v>
      </c>
      <c r="E139" s="561" t="str">
        <f>EUconst_GJ</f>
        <v>GJ</v>
      </c>
      <c r="F139" s="561" t="str">
        <f>EUconst_NA</f>
        <v>n.a.</v>
      </c>
      <c r="G139" s="561" t="str">
        <f>EUconst_NA</f>
        <v>n.a.</v>
      </c>
    </row>
    <row r="140" spans="1:7" x14ac:dyDescent="0.25">
      <c r="C140" s="766"/>
      <c r="D140" s="766"/>
      <c r="E140" s="766"/>
      <c r="F140" s="766"/>
      <c r="G140" s="766"/>
    </row>
    <row r="142" spans="1:7" ht="13" x14ac:dyDescent="0.3">
      <c r="A142" s="762" t="s">
        <v>322</v>
      </c>
    </row>
    <row r="143" spans="1:7" x14ac:dyDescent="0.25">
      <c r="A143" s="763" t="str">
        <f>EUconst_GJ&amp;"/"&amp;EUconst_t</f>
        <v>GJ/t</v>
      </c>
    </row>
    <row r="144" spans="1:7" x14ac:dyDescent="0.25">
      <c r="A144" s="763" t="str">
        <f>EUconst_GJ&amp;"/"&amp;EUconst_kNm3</f>
        <v>GJ/1000Nm³</v>
      </c>
    </row>
    <row r="145" spans="1:8" x14ac:dyDescent="0.25">
      <c r="A145" s="763" t="str">
        <f>EUconst_GJ&amp;"/"&amp;EUconst_GWhgross</f>
        <v>GJ/GWh(gross)</v>
      </c>
    </row>
    <row r="146" spans="1:8" x14ac:dyDescent="0.25">
      <c r="A146" s="763" t="str">
        <f>EUconst_GJ&amp;"/"&amp;EUconst_klitres</f>
        <v>GJ/1000litres</v>
      </c>
    </row>
    <row r="147" spans="1:8" x14ac:dyDescent="0.25">
      <c r="A147" s="763" t="str">
        <f>EUconst_t&amp;"/"&amp;EUconst_klitres</f>
        <v>t/1000litres</v>
      </c>
    </row>
    <row r="148" spans="1:8" x14ac:dyDescent="0.25">
      <c r="C148" s="760" t="s">
        <v>323</v>
      </c>
    </row>
    <row r="149" spans="1:8" ht="13" x14ac:dyDescent="0.3">
      <c r="A149" s="762" t="s">
        <v>324</v>
      </c>
      <c r="C149" s="567" t="str">
        <f>INDEX(RFAUnits,1)</f>
        <v>t</v>
      </c>
      <c r="D149" s="567" t="str">
        <f>INDEX(RFAUnits,2)</f>
        <v>1000Nm³</v>
      </c>
      <c r="E149" s="567" t="str">
        <f>INDEX(RFAUnits,3)</f>
        <v>1000litres</v>
      </c>
      <c r="F149" s="567" t="str">
        <f>INDEX(RFAUnits,4)</f>
        <v>TJ</v>
      </c>
      <c r="G149" s="767" t="str">
        <f>EUconst_GJ</f>
        <v>GJ</v>
      </c>
      <c r="H149" s="567" t="str">
        <f>INDEX(RFAUnits,5)</f>
        <v>GWh(gross)</v>
      </c>
    </row>
    <row r="150" spans="1:8" x14ac:dyDescent="0.25">
      <c r="A150" s="763" t="str">
        <f>EUconst_tCO2&amp;"/"&amp;EUconst_TJ</f>
        <v>tCO2/TJ</v>
      </c>
      <c r="C150" s="561" t="str">
        <f>EUconst_NA</f>
        <v>n.a.</v>
      </c>
      <c r="D150" s="561" t="str">
        <f>EUconst_NA</f>
        <v>n.a.</v>
      </c>
      <c r="E150" s="561" t="str">
        <f>EUconst_NA</f>
        <v>n.a.</v>
      </c>
      <c r="F150" s="561">
        <v>1</v>
      </c>
      <c r="G150" s="561">
        <f>1/1000</f>
        <v>1E-3</v>
      </c>
      <c r="H150" s="561" t="str">
        <f>EUconst_NA</f>
        <v>n.a.</v>
      </c>
    </row>
    <row r="151" spans="1:8" x14ac:dyDescent="0.25">
      <c r="A151" s="763" t="str">
        <f>EUconst_tCO2&amp;"/"&amp;EUconst_t</f>
        <v>tCO2/t</v>
      </c>
      <c r="C151" s="561">
        <v>1</v>
      </c>
      <c r="D151" s="561" t="str">
        <f>EUconst_NA</f>
        <v>n.a.</v>
      </c>
      <c r="E151" s="561" t="str">
        <f>EUconst_NA</f>
        <v>n.a.</v>
      </c>
      <c r="F151" s="561" t="str">
        <f>EUconst_NA</f>
        <v>n.a.</v>
      </c>
      <c r="G151" s="561" t="str">
        <f>EUconst_NA</f>
        <v>n.a.</v>
      </c>
      <c r="H151" s="561" t="str">
        <f>EUconst_NA</f>
        <v>n.a.</v>
      </c>
    </row>
    <row r="152" spans="1:8" x14ac:dyDescent="0.25">
      <c r="A152" s="763" t="str">
        <f>EUconst_tCO2&amp;"/"&amp;EUconst_kNm3</f>
        <v>tCO2/1000Nm³</v>
      </c>
      <c r="C152" s="561" t="str">
        <f>EUconst_NA</f>
        <v>n.a.</v>
      </c>
      <c r="D152" s="561">
        <v>1</v>
      </c>
      <c r="E152" s="561" t="str">
        <f>EUconst_NA</f>
        <v>n.a.</v>
      </c>
      <c r="F152" s="561" t="str">
        <f>EUconst_NA</f>
        <v>n.a.</v>
      </c>
      <c r="G152" s="561" t="str">
        <f>EUconst_NA</f>
        <v>n.a.</v>
      </c>
      <c r="H152" s="561" t="str">
        <f>EUconst_NA</f>
        <v>n.a.</v>
      </c>
    </row>
    <row r="153" spans="1:8" x14ac:dyDescent="0.25">
      <c r="A153" s="763" t="str">
        <f>EUconst_tCO2&amp;"/"&amp;EUconst_klitres</f>
        <v>tCO2/1000litres</v>
      </c>
      <c r="C153" s="561" t="str">
        <f>EUconst_NA</f>
        <v>n.a.</v>
      </c>
      <c r="D153" s="561" t="str">
        <f>EUconst_NA</f>
        <v>n.a.</v>
      </c>
      <c r="E153" s="561">
        <v>1</v>
      </c>
      <c r="F153" s="561" t="str">
        <f>EUconst_NA</f>
        <v>n.a.</v>
      </c>
      <c r="G153" s="561" t="str">
        <f>EUconst_NA</f>
        <v>n.a.</v>
      </c>
      <c r="H153" s="561" t="str">
        <f>EUconst_NA</f>
        <v>n.a.</v>
      </c>
    </row>
    <row r="154" spans="1:8" x14ac:dyDescent="0.25">
      <c r="A154" s="763" t="str">
        <f>EUconst_tCO2&amp;"/"&amp;EUconst_GWhgross</f>
        <v>tCO2/GWh(gross)</v>
      </c>
      <c r="C154" s="561" t="str">
        <f>EUconst_NA</f>
        <v>n.a.</v>
      </c>
      <c r="D154" s="561" t="str">
        <f>EUconst_NA</f>
        <v>n.a.</v>
      </c>
      <c r="E154" s="561" t="str">
        <f>EUconst_NA</f>
        <v>n.a.</v>
      </c>
      <c r="F154" s="561" t="str">
        <f>EUconst_NA</f>
        <v>n.a.</v>
      </c>
      <c r="G154" s="561" t="str">
        <f>EUconst_NA</f>
        <v>n.a.</v>
      </c>
      <c r="H154" s="561">
        <v>1</v>
      </c>
    </row>
    <row r="156" spans="1:8" ht="13" x14ac:dyDescent="0.3">
      <c r="A156" s="762" t="s">
        <v>325</v>
      </c>
    </row>
    <row r="157" spans="1:8" x14ac:dyDescent="0.25">
      <c r="A157" s="763" t="s">
        <v>326</v>
      </c>
    </row>
    <row r="158" spans="1:8" x14ac:dyDescent="0.25">
      <c r="A158" s="763"/>
    </row>
    <row r="160" spans="1:8" s="764" customFormat="1" x14ac:dyDescent="0.25"/>
    <row r="162" spans="1:44" s="768" customFormat="1" ht="13" x14ac:dyDescent="0.3">
      <c r="B162" s="769" t="str">
        <f>Translations!$B$126</f>
        <v>Activity data</v>
      </c>
      <c r="C162" s="769"/>
      <c r="G162" s="770" t="str">
        <f>Translations!$B$127</f>
        <v>Tier</v>
      </c>
      <c r="H162" s="770" t="str">
        <f>Translations!$B$127</f>
        <v>Tier</v>
      </c>
      <c r="I162" s="770" t="str">
        <f>Translations!$B$127</f>
        <v>Tier</v>
      </c>
      <c r="J162" s="770" t="str">
        <f>Translations!$B$127</f>
        <v>Tier</v>
      </c>
      <c r="K162" s="770" t="str">
        <f>Translations!$B$127</f>
        <v>Tier</v>
      </c>
      <c r="L162" s="770" t="str">
        <f>Translations!$B$127</f>
        <v>Tier</v>
      </c>
      <c r="M162" s="770" t="str">
        <f>Translations!$B$127</f>
        <v>Tier</v>
      </c>
      <c r="N162" s="770" t="str">
        <f>Translations!$B$127</f>
        <v>Tier</v>
      </c>
      <c r="O162" s="770" t="str">
        <f>Translations!$B$127</f>
        <v>Tier</v>
      </c>
    </row>
    <row r="163" spans="1:44" s="768" customFormat="1" ht="12.75" customHeight="1" x14ac:dyDescent="0.3">
      <c r="B163" s="769"/>
      <c r="C163" s="769" t="str">
        <f>Translations!$B$128</f>
        <v>Short name</v>
      </c>
      <c r="D163" s="769" t="str">
        <f>Translations!$B$129</f>
        <v>Sub-activity</v>
      </c>
      <c r="E163" s="769" t="str">
        <f>Translations!$B$71</f>
        <v>Parameter</v>
      </c>
      <c r="F163" s="769"/>
      <c r="G163" s="770" t="str">
        <f>Translations!$B$130</f>
        <v>Minimum</v>
      </c>
      <c r="H163" s="770">
        <v>1</v>
      </c>
      <c r="I163" s="770">
        <v>2</v>
      </c>
      <c r="J163" s="770" t="s">
        <v>318</v>
      </c>
      <c r="K163" s="770" t="str">
        <f>Translations!$B$125</f>
        <v>2b</v>
      </c>
      <c r="L163" s="770">
        <v>3</v>
      </c>
      <c r="M163" s="770" t="str">
        <f>Translations!$B$261</f>
        <v>3a</v>
      </c>
      <c r="N163" s="770" t="str">
        <f>Translations!$B$262</f>
        <v>3b</v>
      </c>
      <c r="O163" s="770">
        <v>4</v>
      </c>
      <c r="P163" s="770" t="str">
        <f>Translations!$B$131</f>
        <v>Highest</v>
      </c>
      <c r="Q163" s="771"/>
      <c r="Z163" s="768" t="str">
        <f>Translations!$B$132</f>
        <v>make grey?</v>
      </c>
    </row>
    <row r="164" spans="1:44" ht="12.75" customHeight="1" x14ac:dyDescent="0.25">
      <c r="A164" s="760">
        <v>1</v>
      </c>
      <c r="C164" s="286" t="str">
        <f>Translations!$B$133</f>
        <v>Combustion</v>
      </c>
      <c r="D164" s="286" t="str">
        <f>Translations!$B$134</f>
        <v>Commercial standard fuels</v>
      </c>
      <c r="E164" s="286" t="str">
        <f>Translations!$B$263</f>
        <v>Amount of fuel [t], [Nm3], or [TJ]</v>
      </c>
      <c r="F164" s="772"/>
      <c r="G164" s="761">
        <v>2</v>
      </c>
      <c r="H164" s="773" t="str">
        <f>Translations!$B$135</f>
        <v>± 7,5%</v>
      </c>
      <c r="I164" s="773" t="str">
        <f>Translations!$B$136</f>
        <v>± 5,0%</v>
      </c>
      <c r="J164" s="286"/>
      <c r="K164" s="286"/>
      <c r="L164" s="773" t="str">
        <f>Translations!$B$137</f>
        <v>± 2,5%</v>
      </c>
      <c r="M164" s="773"/>
      <c r="N164" s="773"/>
      <c r="O164" s="773" t="str">
        <f>Translations!$B$138</f>
        <v>± 1,5%</v>
      </c>
      <c r="P164" s="761">
        <f>COUNTA(H164:O164)</f>
        <v>4</v>
      </c>
      <c r="Q164" s="774" t="str">
        <f>D164</f>
        <v>Commercial standard fuels</v>
      </c>
      <c r="R164" s="286"/>
      <c r="S164" s="286" t="str">
        <f>EUconst_CNTR_ActivityData&amp;Q164</f>
        <v>ActivityData_Commercial standard fuels</v>
      </c>
      <c r="Z164" s="760" t="b">
        <f>IF(G164=EUconst_NA,TRUE,FALSE)</f>
        <v>0</v>
      </c>
    </row>
    <row r="165" spans="1:44" ht="12.75" customHeight="1" x14ac:dyDescent="0.25">
      <c r="A165" s="760">
        <v>2</v>
      </c>
      <c r="C165" s="286" t="str">
        <f>C164</f>
        <v>Combustion</v>
      </c>
      <c r="D165" s="286" t="str">
        <f>Translations!$B$139</f>
        <v>Other gaseous &amp; liquid fuels</v>
      </c>
      <c r="E165" s="286" t="str">
        <f>Translations!$B$263</f>
        <v>Amount of fuel [t], [Nm3], or [TJ]</v>
      </c>
      <c r="F165" s="772"/>
      <c r="G165" s="761">
        <v>2</v>
      </c>
      <c r="H165" s="773" t="str">
        <f>Translations!$B$135</f>
        <v>± 7,5%</v>
      </c>
      <c r="I165" s="773" t="str">
        <f>Translations!$B$136</f>
        <v>± 5,0%</v>
      </c>
      <c r="J165" s="286"/>
      <c r="K165" s="286"/>
      <c r="L165" s="773" t="str">
        <f>Translations!$B$137</f>
        <v>± 2,5%</v>
      </c>
      <c r="M165" s="773"/>
      <c r="N165" s="773"/>
      <c r="O165" s="773" t="str">
        <f>Translations!$B$138</f>
        <v>± 1,5%</v>
      </c>
      <c r="P165" s="761">
        <f>COUNTA(H165:O165)</f>
        <v>4</v>
      </c>
      <c r="Q165" s="774" t="str">
        <f>D165</f>
        <v>Other gaseous &amp; liquid fuels</v>
      </c>
      <c r="R165" s="286"/>
      <c r="S165" s="286" t="str">
        <f>EUconst_CNTR_ActivityData&amp;Q165</f>
        <v>ActivityData_Other gaseous &amp; liquid fuels</v>
      </c>
      <c r="Z165" s="760" t="b">
        <f>IF(G165=EUconst_NA,TRUE,FALSE)</f>
        <v>0</v>
      </c>
    </row>
    <row r="166" spans="1:44" ht="12.75" customHeight="1" x14ac:dyDescent="0.25">
      <c r="A166" s="760">
        <v>3</v>
      </c>
      <c r="C166" s="286" t="str">
        <f>C165</f>
        <v>Combustion</v>
      </c>
      <c r="D166" s="286" t="str">
        <f>Translations!$B$140</f>
        <v>Solid fuels</v>
      </c>
      <c r="E166" s="286" t="str">
        <f>Translations!$B$263</f>
        <v>Amount of fuel [t], [Nm3], or [TJ]</v>
      </c>
      <c r="F166" s="772"/>
      <c r="G166" s="761">
        <v>1</v>
      </c>
      <c r="H166" s="773" t="str">
        <f>Translations!$B$135</f>
        <v>± 7,5%</v>
      </c>
      <c r="I166" s="773" t="str">
        <f>Translations!$B$136</f>
        <v>± 5,0%</v>
      </c>
      <c r="J166" s="286"/>
      <c r="K166" s="286"/>
      <c r="L166" s="773" t="str">
        <f>Translations!$B$137</f>
        <v>± 2,5%</v>
      </c>
      <c r="M166" s="773"/>
      <c r="N166" s="773"/>
      <c r="O166" s="773" t="str">
        <f>Translations!$B$138</f>
        <v>± 1,5%</v>
      </c>
      <c r="P166" s="761">
        <f>COUNTA(H166:O166)</f>
        <v>4</v>
      </c>
      <c r="Q166" s="774" t="str">
        <f>D166</f>
        <v>Solid fuels</v>
      </c>
      <c r="R166" s="286"/>
      <c r="S166" s="286" t="str">
        <f>EUconst_CNTR_ActivityData&amp;Q166</f>
        <v>ActivityData_Solid fuels</v>
      </c>
      <c r="Z166" s="760" t="b">
        <f>IF(G166=EUconst_NA,TRUE,FALSE)</f>
        <v>0</v>
      </c>
    </row>
    <row r="167" spans="1:44" x14ac:dyDescent="0.25">
      <c r="A167" s="760">
        <v>4</v>
      </c>
      <c r="C167" s="286" t="str">
        <f>C166</f>
        <v>Combustion</v>
      </c>
      <c r="D167" s="286" t="str">
        <f>Translations!$B$264</f>
        <v>Fuels equivalent to commercial standard fuels (Art. 75k(2))</v>
      </c>
      <c r="E167" s="286" t="str">
        <f>Translations!$B$263</f>
        <v>Amount of fuel [t], [Nm3], or [TJ]</v>
      </c>
      <c r="F167" s="286"/>
      <c r="G167" s="761">
        <v>2</v>
      </c>
      <c r="H167" s="773" t="str">
        <f>Translations!$B$135</f>
        <v>± 7,5%</v>
      </c>
      <c r="I167" s="773" t="str">
        <f>Translations!$B$136</f>
        <v>± 5,0%</v>
      </c>
      <c r="J167" s="286"/>
      <c r="K167" s="286"/>
      <c r="L167" s="773" t="str">
        <f>Translations!$B$137</f>
        <v>± 2,5%</v>
      </c>
      <c r="M167" s="773"/>
      <c r="N167" s="773"/>
      <c r="O167" s="773" t="str">
        <f>Translations!$B$138</f>
        <v>± 1,5%</v>
      </c>
      <c r="P167" s="761">
        <f>COUNTA(H167:O167)</f>
        <v>4</v>
      </c>
      <c r="Q167" s="774" t="str">
        <f>D167</f>
        <v>Fuels equivalent to commercial standard fuels (Art. 75k(2))</v>
      </c>
      <c r="R167" s="286"/>
      <c r="S167" s="286" t="str">
        <f>EUconst_CNTR_ActivityData&amp;Q167</f>
        <v>ActivityData_Fuels equivalent to commercial standard fuels (Art. 75k(2))</v>
      </c>
      <c r="Z167" s="760" t="b">
        <f>IF(G167=EUconst_NA,TRUE,FALSE)</f>
        <v>0</v>
      </c>
    </row>
    <row r="169" spans="1:44" s="768" customFormat="1" ht="12.75" customHeight="1" x14ac:dyDescent="0.3">
      <c r="B169" s="769" t="str">
        <f>Translations!$B$217</f>
        <v>Scope factor</v>
      </c>
      <c r="C169" s="769" t="str">
        <f>Translations!$B$128</f>
        <v>Short name</v>
      </c>
      <c r="D169" s="769" t="str">
        <f>Translations!$B$129</f>
        <v>Sub-activity</v>
      </c>
      <c r="E169" s="769" t="str">
        <f>Translations!$B$71</f>
        <v>Parameter</v>
      </c>
      <c r="F169" s="775"/>
      <c r="G169" s="770" t="str">
        <f>Translations!$B$130</f>
        <v>Minimum</v>
      </c>
      <c r="H169" s="770">
        <v>1</v>
      </c>
      <c r="I169" s="770">
        <v>2</v>
      </c>
      <c r="J169" s="770" t="s">
        <v>318</v>
      </c>
      <c r="K169" s="770" t="str">
        <f>Translations!$B$125</f>
        <v>2b</v>
      </c>
      <c r="L169" s="770">
        <v>3</v>
      </c>
      <c r="M169" s="770" t="str">
        <f>Translations!$B$261</f>
        <v>3a</v>
      </c>
      <c r="N169" s="770" t="str">
        <f>Translations!$B$262</f>
        <v>3b</v>
      </c>
      <c r="O169" s="770">
        <v>4</v>
      </c>
      <c r="P169" s="770" t="str">
        <f>Translations!$B$131</f>
        <v>Highest</v>
      </c>
      <c r="Q169" s="771"/>
      <c r="Z169" s="768" t="str">
        <f>Translations!$B$132</f>
        <v>make grey?</v>
      </c>
    </row>
    <row r="170" spans="1:44" x14ac:dyDescent="0.25">
      <c r="A170" s="760">
        <v>1</v>
      </c>
      <c r="C170" s="286" t="str">
        <f>C164</f>
        <v>Combustion</v>
      </c>
      <c r="D170" s="286" t="str">
        <f>D164</f>
        <v>Commercial standard fuels</v>
      </c>
      <c r="E170" s="286" t="str">
        <f>E164</f>
        <v>Amount of fuel [t], [Nm3], or [TJ]</v>
      </c>
      <c r="F170" s="286"/>
      <c r="G170" s="761">
        <v>3</v>
      </c>
      <c r="H170" s="776" t="s">
        <v>327</v>
      </c>
      <c r="I170" s="776" t="str">
        <f>Translations!$B$218</f>
        <v>Tier 2 methods</v>
      </c>
      <c r="J170" s="776"/>
      <c r="K170" s="776"/>
      <c r="L170" s="776" t="str">
        <f>Translations!$B$265</f>
        <v>Tier 3 methods</v>
      </c>
      <c r="M170" s="776"/>
      <c r="N170" s="776"/>
      <c r="O170" s="763"/>
      <c r="P170" s="761">
        <v>3</v>
      </c>
      <c r="Q170" s="774" t="str">
        <f>D170</f>
        <v>Commercial standard fuels</v>
      </c>
      <c r="R170" s="286"/>
      <c r="S170" s="286" t="str">
        <f>EUconst_CNTR_ScopeFactor&amp;Q170</f>
        <v>ScopeFactor_Commercial standard fuels</v>
      </c>
      <c r="Z170" s="760" t="b">
        <f>IF(G170=EUconst_NA,TRUE,FALSE)</f>
        <v>0</v>
      </c>
    </row>
    <row r="171" spans="1:44" x14ac:dyDescent="0.25">
      <c r="A171" s="760">
        <v>2</v>
      </c>
      <c r="C171" s="286" t="str">
        <f t="shared" ref="C171:E173" si="2">C165</f>
        <v>Combustion</v>
      </c>
      <c r="D171" s="286" t="str">
        <f t="shared" si="2"/>
        <v>Other gaseous &amp; liquid fuels</v>
      </c>
      <c r="E171" s="286" t="str">
        <f t="shared" si="2"/>
        <v>Amount of fuel [t], [Nm3], or [TJ]</v>
      </c>
      <c r="F171" s="286"/>
      <c r="G171" s="761">
        <v>3</v>
      </c>
      <c r="H171" s="776" t="s">
        <v>327</v>
      </c>
      <c r="I171" s="776" t="str">
        <f>Translations!$B$218</f>
        <v>Tier 2 methods</v>
      </c>
      <c r="J171" s="776"/>
      <c r="K171" s="776"/>
      <c r="L171" s="776" t="str">
        <f>Translations!$B$265</f>
        <v>Tier 3 methods</v>
      </c>
      <c r="M171" s="776"/>
      <c r="N171" s="776"/>
      <c r="O171" s="763"/>
      <c r="P171" s="761">
        <v>3</v>
      </c>
      <c r="Q171" s="774" t="str">
        <f>D171</f>
        <v>Other gaseous &amp; liquid fuels</v>
      </c>
      <c r="R171" s="286"/>
      <c r="S171" s="286" t="str">
        <f>EUconst_CNTR_ScopeFactor&amp;Q171</f>
        <v>ScopeFactor_Other gaseous &amp; liquid fuels</v>
      </c>
      <c r="Z171" s="760" t="b">
        <f>IF(G171=EUconst_NA,TRUE,FALSE)</f>
        <v>0</v>
      </c>
    </row>
    <row r="172" spans="1:44" x14ac:dyDescent="0.25">
      <c r="A172" s="760">
        <v>3</v>
      </c>
      <c r="C172" s="286" t="str">
        <f t="shared" si="2"/>
        <v>Combustion</v>
      </c>
      <c r="D172" s="286" t="str">
        <f t="shared" si="2"/>
        <v>Solid fuels</v>
      </c>
      <c r="E172" s="286" t="str">
        <f t="shared" si="2"/>
        <v>Amount of fuel [t], [Nm3], or [TJ]</v>
      </c>
      <c r="F172" s="286"/>
      <c r="G172" s="761">
        <v>3</v>
      </c>
      <c r="H172" s="776" t="s">
        <v>327</v>
      </c>
      <c r="I172" s="776" t="str">
        <f>Translations!$B$218</f>
        <v>Tier 2 methods</v>
      </c>
      <c r="J172" s="776"/>
      <c r="K172" s="776"/>
      <c r="L172" s="776" t="str">
        <f>Translations!$B$265</f>
        <v>Tier 3 methods</v>
      </c>
      <c r="M172" s="776"/>
      <c r="N172" s="776"/>
      <c r="O172" s="763"/>
      <c r="P172" s="761">
        <v>3</v>
      </c>
      <c r="Q172" s="774" t="str">
        <f>D172</f>
        <v>Solid fuels</v>
      </c>
      <c r="R172" s="286"/>
      <c r="S172" s="286" t="str">
        <f>EUconst_CNTR_ScopeFactor&amp;Q172</f>
        <v>ScopeFactor_Solid fuels</v>
      </c>
      <c r="Z172" s="760" t="b">
        <f>IF(G172=EUconst_NA,TRUE,FALSE)</f>
        <v>0</v>
      </c>
    </row>
    <row r="173" spans="1:44" x14ac:dyDescent="0.25">
      <c r="A173" s="760">
        <v>4</v>
      </c>
      <c r="C173" s="286" t="str">
        <f t="shared" si="2"/>
        <v>Combustion</v>
      </c>
      <c r="D173" s="286" t="str">
        <f>Translations!$B$264</f>
        <v>Fuels equivalent to commercial standard fuels (Art. 75k(2))</v>
      </c>
      <c r="E173" s="286" t="str">
        <f t="shared" si="2"/>
        <v>Amount of fuel [t], [Nm3], or [TJ]</v>
      </c>
      <c r="F173" s="286"/>
      <c r="G173" s="761">
        <v>3</v>
      </c>
      <c r="H173" s="776" t="s">
        <v>327</v>
      </c>
      <c r="I173" s="776" t="str">
        <f>Translations!$B$218</f>
        <v>Tier 2 methods</v>
      </c>
      <c r="J173" s="776"/>
      <c r="K173" s="776"/>
      <c r="L173" s="776" t="str">
        <f>Translations!$B$265</f>
        <v>Tier 3 methods</v>
      </c>
      <c r="M173" s="776"/>
      <c r="N173" s="776"/>
      <c r="O173" s="763"/>
      <c r="P173" s="761">
        <v>3</v>
      </c>
      <c r="Q173" s="774" t="str">
        <f>D173</f>
        <v>Fuels equivalent to commercial standard fuels (Art. 75k(2))</v>
      </c>
      <c r="R173" s="286"/>
      <c r="S173" s="286" t="str">
        <f>EUconst_CNTR_ScopeFactor&amp;Q173</f>
        <v>ScopeFactor_Fuels equivalent to commercial standard fuels (Art. 75k(2))</v>
      </c>
      <c r="Z173" s="760" t="b">
        <f>IF(G173=EUconst_NA,TRUE,FALSE)</f>
        <v>0</v>
      </c>
    </row>
    <row r="175" spans="1:44" s="768" customFormat="1" ht="12.75" customHeight="1" x14ac:dyDescent="0.3">
      <c r="B175" s="769" t="str">
        <f>Translations!$B$141</f>
        <v>Emission factor</v>
      </c>
      <c r="C175" s="769" t="str">
        <f>Translations!$B$128</f>
        <v>Short name</v>
      </c>
      <c r="D175" s="769" t="str">
        <f>Translations!$B$129</f>
        <v>Sub-activity</v>
      </c>
      <c r="E175" s="769" t="str">
        <f>Translations!$B$71</f>
        <v>Parameter</v>
      </c>
      <c r="F175" s="775"/>
      <c r="G175" s="770" t="str">
        <f>Translations!$B$130</f>
        <v>Minimum</v>
      </c>
      <c r="H175" s="770">
        <v>1</v>
      </c>
      <c r="I175" s="770">
        <v>2</v>
      </c>
      <c r="J175" s="770" t="s">
        <v>318</v>
      </c>
      <c r="K175" s="770" t="str">
        <f>Translations!$B$125</f>
        <v>2b</v>
      </c>
      <c r="L175" s="770">
        <v>3</v>
      </c>
      <c r="M175" s="770" t="str">
        <f>Translations!$B$261</f>
        <v>3a</v>
      </c>
      <c r="N175" s="770" t="str">
        <f>Translations!$B$262</f>
        <v>3b</v>
      </c>
      <c r="O175" s="770">
        <v>4</v>
      </c>
      <c r="P175" s="770" t="str">
        <f>Translations!$B$131</f>
        <v>Highest</v>
      </c>
      <c r="Q175" s="771"/>
      <c r="Z175" s="768" t="str">
        <f>Translations!$B$132</f>
        <v>make grey?</v>
      </c>
      <c r="AK175" s="768" t="s">
        <v>328</v>
      </c>
      <c r="AL175" s="777">
        <v>1</v>
      </c>
      <c r="AM175" s="777">
        <v>2</v>
      </c>
      <c r="AN175" s="777" t="s">
        <v>318</v>
      </c>
      <c r="AO175" s="777" t="str">
        <f>Translations!$B$125</f>
        <v>2b</v>
      </c>
      <c r="AP175" s="777">
        <v>3</v>
      </c>
      <c r="AQ175" s="777" t="str">
        <f>Translations!$B$261</f>
        <v>3a</v>
      </c>
      <c r="AR175" s="777" t="str">
        <f>Translations!$B$262</f>
        <v>3b</v>
      </c>
    </row>
    <row r="176" spans="1:44" x14ac:dyDescent="0.25">
      <c r="A176" s="760">
        <v>1</v>
      </c>
      <c r="C176" s="286" t="str">
        <f t="shared" ref="C176:E179" si="3">C170</f>
        <v>Combustion</v>
      </c>
      <c r="D176" s="286" t="str">
        <f t="shared" si="3"/>
        <v>Commercial standard fuels</v>
      </c>
      <c r="E176" s="286" t="str">
        <f t="shared" si="3"/>
        <v>Amount of fuel [t], [Nm3], or [TJ]</v>
      </c>
      <c r="F176" s="286"/>
      <c r="G176" s="761" t="s">
        <v>329</v>
      </c>
      <c r="H176" s="776" t="str">
        <f>Translations!$B$72</f>
        <v>Type I default values</v>
      </c>
      <c r="I176" s="776"/>
      <c r="J176" s="776" t="str">
        <f>Translations!$B$76</f>
        <v>Type II default values</v>
      </c>
      <c r="K176" s="776"/>
      <c r="L176" s="776" t="str">
        <f>Translations!$B$75</f>
        <v>Laboratory analyses</v>
      </c>
      <c r="M176" s="776"/>
      <c r="N176" s="776"/>
      <c r="O176" s="763"/>
      <c r="P176" s="761" t="str">
        <f>G176</f>
        <v>2a/2b</v>
      </c>
      <c r="Q176" s="774" t="str">
        <f>D176</f>
        <v>Commercial standard fuels</v>
      </c>
      <c r="R176" s="286"/>
      <c r="S176" s="286" t="str">
        <f>EUconst_CNTR_EF&amp;Q176</f>
        <v>EF_Commercial standard fuels</v>
      </c>
      <c r="Z176" s="760" t="b">
        <f>IF(G176=EUconst_NA,TRUE,FALSE)</f>
        <v>0</v>
      </c>
      <c r="AL176" s="766">
        <v>1</v>
      </c>
      <c r="AM176" s="766"/>
      <c r="AN176" s="766">
        <v>1</v>
      </c>
      <c r="AO176" s="766"/>
      <c r="AP176" s="766">
        <v>2</v>
      </c>
      <c r="AQ176" s="766"/>
      <c r="AR176" s="766"/>
    </row>
    <row r="177" spans="1:44" x14ac:dyDescent="0.25">
      <c r="A177" s="760">
        <v>2</v>
      </c>
      <c r="C177" s="286" t="str">
        <f t="shared" si="3"/>
        <v>Combustion</v>
      </c>
      <c r="D177" s="286" t="str">
        <f t="shared" si="3"/>
        <v>Other gaseous &amp; liquid fuels</v>
      </c>
      <c r="E177" s="286" t="str">
        <f t="shared" si="3"/>
        <v>Amount of fuel [t], [Nm3], or [TJ]</v>
      </c>
      <c r="F177" s="286"/>
      <c r="G177" s="761" t="s">
        <v>329</v>
      </c>
      <c r="H177" s="776" t="str">
        <f>Translations!$B$72</f>
        <v>Type I default values</v>
      </c>
      <c r="I177" s="776"/>
      <c r="J177" s="776" t="str">
        <f>Translations!$B$76</f>
        <v>Type II default values</v>
      </c>
      <c r="K177" s="776"/>
      <c r="L177" s="776" t="str">
        <f>Translations!$B$75</f>
        <v>Laboratory analyses</v>
      </c>
      <c r="M177" s="776"/>
      <c r="N177" s="776"/>
      <c r="O177" s="763"/>
      <c r="P177" s="761">
        <v>3</v>
      </c>
      <c r="Q177" s="774" t="str">
        <f>D177</f>
        <v>Other gaseous &amp; liquid fuels</v>
      </c>
      <c r="R177" s="286"/>
      <c r="S177" s="286" t="str">
        <f>EUconst_CNTR_EF&amp;Q177</f>
        <v>EF_Other gaseous &amp; liquid fuels</v>
      </c>
      <c r="Z177" s="760" t="b">
        <f>IF(G177=EUconst_NA,TRUE,FALSE)</f>
        <v>0</v>
      </c>
      <c r="AL177" s="766">
        <v>1</v>
      </c>
      <c r="AM177" s="766"/>
      <c r="AN177" s="766">
        <v>1</v>
      </c>
      <c r="AO177" s="766"/>
      <c r="AP177" s="766">
        <v>2</v>
      </c>
      <c r="AQ177" s="766"/>
      <c r="AR177" s="766"/>
    </row>
    <row r="178" spans="1:44" x14ac:dyDescent="0.25">
      <c r="A178" s="760">
        <v>3</v>
      </c>
      <c r="C178" s="286" t="str">
        <f t="shared" si="3"/>
        <v>Combustion</v>
      </c>
      <c r="D178" s="286" t="str">
        <f t="shared" si="3"/>
        <v>Solid fuels</v>
      </c>
      <c r="E178" s="286" t="str">
        <f t="shared" si="3"/>
        <v>Amount of fuel [t], [Nm3], or [TJ]</v>
      </c>
      <c r="F178" s="286"/>
      <c r="G178" s="761" t="s">
        <v>329</v>
      </c>
      <c r="H178" s="776" t="str">
        <f>Translations!$B$72</f>
        <v>Type I default values</v>
      </c>
      <c r="I178" s="776"/>
      <c r="J178" s="776" t="str">
        <f>Translations!$B$76</f>
        <v>Type II default values</v>
      </c>
      <c r="K178" s="776" t="str">
        <f>Translations!$B$142</f>
        <v>Established proxies (if applicable)</v>
      </c>
      <c r="L178" s="776" t="str">
        <f>Translations!$B$75</f>
        <v>Laboratory analyses</v>
      </c>
      <c r="M178" s="776"/>
      <c r="N178" s="776"/>
      <c r="O178" s="763"/>
      <c r="P178" s="761">
        <v>3</v>
      </c>
      <c r="Q178" s="774" t="str">
        <f>D178</f>
        <v>Solid fuels</v>
      </c>
      <c r="R178" s="286"/>
      <c r="S178" s="286" t="str">
        <f>EUconst_CNTR_EF&amp;Q178</f>
        <v>EF_Solid fuels</v>
      </c>
      <c r="Z178" s="760" t="b">
        <f>IF(G178=EUconst_NA,TRUE,FALSE)</f>
        <v>0</v>
      </c>
      <c r="AL178" s="766">
        <v>1</v>
      </c>
      <c r="AM178" s="766"/>
      <c r="AN178" s="766">
        <v>1</v>
      </c>
      <c r="AO178" s="766"/>
      <c r="AP178" s="766">
        <v>2</v>
      </c>
      <c r="AQ178" s="766"/>
      <c r="AR178" s="766"/>
    </row>
    <row r="179" spans="1:44" x14ac:dyDescent="0.25">
      <c r="A179" s="760">
        <v>4</v>
      </c>
      <c r="C179" s="286" t="str">
        <f t="shared" si="3"/>
        <v>Combustion</v>
      </c>
      <c r="D179" s="286" t="str">
        <f>Translations!$B$264</f>
        <v>Fuels equivalent to commercial standard fuels (Art. 75k(2))</v>
      </c>
      <c r="E179" s="286" t="str">
        <f t="shared" si="3"/>
        <v>Amount of fuel [t], [Nm3], or [TJ]</v>
      </c>
      <c r="F179" s="286"/>
      <c r="G179" s="761" t="s">
        <v>329</v>
      </c>
      <c r="H179" s="776" t="str">
        <f>Translations!$B$72</f>
        <v>Type I default values</v>
      </c>
      <c r="I179" s="776"/>
      <c r="J179" s="776" t="str">
        <f>Translations!$B$76</f>
        <v>Type II default values</v>
      </c>
      <c r="K179" s="776"/>
      <c r="L179" s="776" t="str">
        <f>Translations!$B$75</f>
        <v>Laboratory analyses</v>
      </c>
      <c r="M179" s="776"/>
      <c r="N179" s="776"/>
      <c r="O179" s="763"/>
      <c r="P179" s="761" t="str">
        <f>G179</f>
        <v>2a/2b</v>
      </c>
      <c r="Q179" s="774" t="str">
        <f>D179</f>
        <v>Fuels equivalent to commercial standard fuels (Art. 75k(2))</v>
      </c>
      <c r="R179" s="286"/>
      <c r="S179" s="286" t="str">
        <f>EUconst_CNTR_EF&amp;Q179</f>
        <v>EF_Fuels equivalent to commercial standard fuels (Art. 75k(2))</v>
      </c>
      <c r="Z179" s="760" t="b">
        <f>IF(G179=EUconst_NA,TRUE,FALSE)</f>
        <v>0</v>
      </c>
      <c r="AL179" s="766">
        <v>1</v>
      </c>
      <c r="AM179" s="766"/>
      <c r="AN179" s="766">
        <v>1</v>
      </c>
      <c r="AO179" s="766"/>
      <c r="AP179" s="766">
        <v>2</v>
      </c>
      <c r="AQ179" s="766"/>
      <c r="AR179" s="766"/>
    </row>
    <row r="180" spans="1:44" x14ac:dyDescent="0.25">
      <c r="AL180" s="766"/>
      <c r="AM180" s="766"/>
      <c r="AN180" s="766"/>
      <c r="AO180" s="766"/>
      <c r="AP180" s="766"/>
      <c r="AQ180" s="766"/>
      <c r="AR180" s="766"/>
    </row>
    <row r="181" spans="1:44" s="768" customFormat="1" ht="12.75" customHeight="1" x14ac:dyDescent="0.3">
      <c r="B181" s="769" t="str">
        <f>Translations!$B$232</f>
        <v>Unit conversion factor</v>
      </c>
      <c r="C181" s="769" t="str">
        <f>Translations!$B$128</f>
        <v>Short name</v>
      </c>
      <c r="D181" s="769" t="str">
        <f>Translations!$B$129</f>
        <v>Sub-activity</v>
      </c>
      <c r="E181" s="769" t="str">
        <f>Translations!$B$71</f>
        <v>Parameter</v>
      </c>
      <c r="F181" s="775"/>
      <c r="G181" s="770" t="str">
        <f>Translations!$B$130</f>
        <v>Minimum</v>
      </c>
      <c r="H181" s="770">
        <v>1</v>
      </c>
      <c r="I181" s="770">
        <v>2</v>
      </c>
      <c r="J181" s="770" t="s">
        <v>318</v>
      </c>
      <c r="K181" s="770" t="str">
        <f>Translations!$B$125</f>
        <v>2b</v>
      </c>
      <c r="L181" s="770">
        <v>3</v>
      </c>
      <c r="M181" s="770" t="str">
        <f>Translations!$B$261</f>
        <v>3a</v>
      </c>
      <c r="N181" s="770" t="str">
        <f>Translations!$B$262</f>
        <v>3b</v>
      </c>
      <c r="O181" s="770">
        <v>4</v>
      </c>
      <c r="P181" s="770" t="str">
        <f>Translations!$B$131</f>
        <v>Highest</v>
      </c>
      <c r="Q181" s="771"/>
      <c r="Z181" s="768" t="str">
        <f>Translations!$B$132</f>
        <v>make grey?</v>
      </c>
      <c r="AK181" s="768" t="s">
        <v>328</v>
      </c>
      <c r="AL181" s="777">
        <v>1</v>
      </c>
      <c r="AM181" s="777">
        <v>2</v>
      </c>
      <c r="AN181" s="777" t="s">
        <v>318</v>
      </c>
      <c r="AO181" s="777" t="str">
        <f>Translations!$B$125</f>
        <v>2b</v>
      </c>
      <c r="AP181" s="777">
        <v>3</v>
      </c>
      <c r="AQ181" s="777" t="str">
        <f>Translations!$B$261</f>
        <v>3a</v>
      </c>
      <c r="AR181" s="777" t="str">
        <f>Translations!$B$262</f>
        <v>3b</v>
      </c>
    </row>
    <row r="182" spans="1:44" x14ac:dyDescent="0.25">
      <c r="A182" s="760">
        <v>1</v>
      </c>
      <c r="C182" s="286" t="str">
        <f t="shared" ref="C182:E185" si="4">C176</f>
        <v>Combustion</v>
      </c>
      <c r="D182" s="286" t="str">
        <f t="shared" si="4"/>
        <v>Commercial standard fuels</v>
      </c>
      <c r="E182" s="286" t="str">
        <f t="shared" si="4"/>
        <v>Amount of fuel [t], [Nm3], or [TJ]</v>
      </c>
      <c r="F182" s="286"/>
      <c r="G182" s="761" t="s">
        <v>329</v>
      </c>
      <c r="H182" s="776" t="str">
        <f>Translations!$B$72</f>
        <v>Type I default values</v>
      </c>
      <c r="I182" s="776"/>
      <c r="J182" s="776" t="str">
        <f>Translations!$B$76</f>
        <v>Type II default values</v>
      </c>
      <c r="K182" s="776" t="str">
        <f>Translations!$B$142</f>
        <v>Established proxies (if applicable)</v>
      </c>
      <c r="L182" s="776" t="str">
        <f>Translations!$B$75</f>
        <v>Laboratory analyses</v>
      </c>
      <c r="M182" s="776"/>
      <c r="N182" s="776"/>
      <c r="O182" s="763"/>
      <c r="P182" s="761" t="str">
        <f>G182</f>
        <v>2a/2b</v>
      </c>
      <c r="Q182" s="774" t="str">
        <f>D182</f>
        <v>Commercial standard fuels</v>
      </c>
      <c r="R182" s="286"/>
      <c r="S182" s="286" t="str">
        <f>EUconst_CNTR_UCF&amp;Q182</f>
        <v>UCF_Commercial standard fuels</v>
      </c>
      <c r="Z182" s="760" t="b">
        <f>IF(G182=EUconst_NA,TRUE,FALSE)</f>
        <v>0</v>
      </c>
      <c r="AL182" s="766">
        <v>1</v>
      </c>
      <c r="AM182" s="766"/>
      <c r="AN182" s="766">
        <v>1</v>
      </c>
      <c r="AO182" s="766"/>
      <c r="AP182" s="766">
        <v>2</v>
      </c>
      <c r="AQ182" s="766"/>
      <c r="AR182" s="766"/>
    </row>
    <row r="183" spans="1:44" x14ac:dyDescent="0.25">
      <c r="A183" s="760">
        <v>2</v>
      </c>
      <c r="C183" s="286" t="str">
        <f t="shared" si="4"/>
        <v>Combustion</v>
      </c>
      <c r="D183" s="286" t="str">
        <f t="shared" si="4"/>
        <v>Other gaseous &amp; liquid fuels</v>
      </c>
      <c r="E183" s="286" t="str">
        <f t="shared" si="4"/>
        <v>Amount of fuel [t], [Nm3], or [TJ]</v>
      </c>
      <c r="F183" s="286"/>
      <c r="G183" s="761" t="s">
        <v>329</v>
      </c>
      <c r="H183" s="776" t="str">
        <f>Translations!$B$72</f>
        <v>Type I default values</v>
      </c>
      <c r="I183" s="776"/>
      <c r="J183" s="776" t="str">
        <f>Translations!$B$76</f>
        <v>Type II default values</v>
      </c>
      <c r="K183" s="776" t="str">
        <f>Translations!$B$142</f>
        <v>Established proxies (if applicable)</v>
      </c>
      <c r="L183" s="776" t="str">
        <f>Translations!$B$75</f>
        <v>Laboratory analyses</v>
      </c>
      <c r="M183" s="776"/>
      <c r="N183" s="776"/>
      <c r="O183" s="763"/>
      <c r="P183" s="761">
        <v>3</v>
      </c>
      <c r="Q183" s="774" t="str">
        <f>D183</f>
        <v>Other gaseous &amp; liquid fuels</v>
      </c>
      <c r="R183" s="286"/>
      <c r="S183" s="286" t="str">
        <f>EUconst_CNTR_UCF&amp;Q183</f>
        <v>UCF_Other gaseous &amp; liquid fuels</v>
      </c>
      <c r="Z183" s="760" t="b">
        <f>IF(G183=EUconst_NA,TRUE,FALSE)</f>
        <v>0</v>
      </c>
      <c r="AL183" s="766">
        <v>1</v>
      </c>
      <c r="AM183" s="766"/>
      <c r="AN183" s="766">
        <v>1</v>
      </c>
      <c r="AO183" s="766"/>
      <c r="AP183" s="766">
        <v>2</v>
      </c>
      <c r="AQ183" s="766"/>
      <c r="AR183" s="766"/>
    </row>
    <row r="184" spans="1:44" x14ac:dyDescent="0.25">
      <c r="A184" s="760">
        <v>3</v>
      </c>
      <c r="C184" s="286" t="str">
        <f t="shared" si="4"/>
        <v>Combustion</v>
      </c>
      <c r="D184" s="286" t="str">
        <f t="shared" si="4"/>
        <v>Solid fuels</v>
      </c>
      <c r="E184" s="286" t="str">
        <f t="shared" si="4"/>
        <v>Amount of fuel [t], [Nm3], or [TJ]</v>
      </c>
      <c r="F184" s="286"/>
      <c r="G184" s="761" t="s">
        <v>329</v>
      </c>
      <c r="H184" s="776" t="str">
        <f>Translations!$B$72</f>
        <v>Type I default values</v>
      </c>
      <c r="I184" s="776"/>
      <c r="J184" s="776" t="str">
        <f>Translations!$B$76</f>
        <v>Type II default values</v>
      </c>
      <c r="K184" s="776" t="str">
        <f>Translations!$B$142</f>
        <v>Established proxies (if applicable)</v>
      </c>
      <c r="L184" s="776" t="str">
        <f>Translations!$B$75</f>
        <v>Laboratory analyses</v>
      </c>
      <c r="M184" s="776"/>
      <c r="N184" s="776"/>
      <c r="O184" s="763"/>
      <c r="P184" s="761">
        <v>3</v>
      </c>
      <c r="Q184" s="774" t="str">
        <f>D184</f>
        <v>Solid fuels</v>
      </c>
      <c r="R184" s="286"/>
      <c r="S184" s="286" t="str">
        <f>EUconst_CNTR_UCF&amp;Q184</f>
        <v>UCF_Solid fuels</v>
      </c>
      <c r="Z184" s="760" t="b">
        <f>IF(G184=EUconst_NA,TRUE,FALSE)</f>
        <v>0</v>
      </c>
      <c r="AL184" s="766">
        <v>1</v>
      </c>
      <c r="AM184" s="766"/>
      <c r="AN184" s="766">
        <v>1</v>
      </c>
      <c r="AO184" s="766"/>
      <c r="AP184" s="766">
        <v>2</v>
      </c>
      <c r="AQ184" s="766"/>
      <c r="AR184" s="766"/>
    </row>
    <row r="185" spans="1:44" x14ac:dyDescent="0.25">
      <c r="A185" s="760">
        <v>4</v>
      </c>
      <c r="C185" s="286" t="str">
        <f t="shared" si="4"/>
        <v>Combustion</v>
      </c>
      <c r="D185" s="286" t="str">
        <f>Translations!$B$264</f>
        <v>Fuels equivalent to commercial standard fuels (Art. 75k(2))</v>
      </c>
      <c r="E185" s="286" t="str">
        <f t="shared" si="4"/>
        <v>Amount of fuel [t], [Nm3], or [TJ]</v>
      </c>
      <c r="F185" s="286"/>
      <c r="G185" s="761" t="s">
        <v>329</v>
      </c>
      <c r="H185" s="776" t="str">
        <f>Translations!$B$72</f>
        <v>Type I default values</v>
      </c>
      <c r="I185" s="776"/>
      <c r="J185" s="776" t="str">
        <f>Translations!$B$76</f>
        <v>Type II default values</v>
      </c>
      <c r="K185" s="776" t="str">
        <f>Translations!$B$142</f>
        <v>Established proxies (if applicable)</v>
      </c>
      <c r="L185" s="776" t="str">
        <f>Translations!$B$75</f>
        <v>Laboratory analyses</v>
      </c>
      <c r="M185" s="776"/>
      <c r="N185" s="776"/>
      <c r="O185" s="763"/>
      <c r="P185" s="761" t="str">
        <f>G185</f>
        <v>2a/2b</v>
      </c>
      <c r="Q185" s="774" t="str">
        <f>D185</f>
        <v>Fuels equivalent to commercial standard fuels (Art. 75k(2))</v>
      </c>
      <c r="R185" s="286"/>
      <c r="S185" s="286" t="str">
        <f>EUconst_CNTR_UCF&amp;Q185</f>
        <v>UCF_Fuels equivalent to commercial standard fuels (Art. 75k(2))</v>
      </c>
      <c r="Z185" s="760" t="b">
        <f>IF(G185=EUconst_NA,TRUE,FALSE)</f>
        <v>0</v>
      </c>
      <c r="AL185" s="766">
        <v>1</v>
      </c>
      <c r="AM185" s="766"/>
      <c r="AN185" s="766">
        <v>1</v>
      </c>
      <c r="AO185" s="766"/>
      <c r="AP185" s="766">
        <v>2</v>
      </c>
      <c r="AQ185" s="766"/>
      <c r="AR185" s="766"/>
    </row>
    <row r="186" spans="1:44" x14ac:dyDescent="0.25">
      <c r="AL186" s="766"/>
      <c r="AM186" s="766"/>
      <c r="AN186" s="766"/>
      <c r="AO186" s="766"/>
      <c r="AP186" s="766"/>
      <c r="AQ186" s="766"/>
      <c r="AR186" s="766"/>
    </row>
    <row r="187" spans="1:44" s="768" customFormat="1" ht="12.75" customHeight="1" x14ac:dyDescent="0.3">
      <c r="B187" s="769" t="str">
        <f>Translations!$B$165</f>
        <v>Biomass fraction</v>
      </c>
      <c r="C187" s="769" t="str">
        <f>Translations!$B$128</f>
        <v>Short name</v>
      </c>
      <c r="D187" s="769" t="str">
        <f>Translations!$B$129</f>
        <v>Sub-activity</v>
      </c>
      <c r="E187" s="769" t="str">
        <f>Translations!$B$71</f>
        <v>Parameter</v>
      </c>
      <c r="F187" s="775"/>
      <c r="G187" s="770" t="str">
        <f>Translations!$B$130</f>
        <v>Minimum</v>
      </c>
      <c r="H187" s="770">
        <v>1</v>
      </c>
      <c r="I187" s="770">
        <v>2</v>
      </c>
      <c r="J187" s="770" t="s">
        <v>318</v>
      </c>
      <c r="K187" s="770" t="str">
        <f>Translations!$B$125</f>
        <v>2b</v>
      </c>
      <c r="L187" s="770">
        <v>3</v>
      </c>
      <c r="M187" s="770" t="str">
        <f>Translations!$B$261</f>
        <v>3a</v>
      </c>
      <c r="N187" s="770" t="str">
        <f>Translations!$B$262</f>
        <v>3b</v>
      </c>
      <c r="O187" s="770">
        <v>4</v>
      </c>
      <c r="P187" s="770" t="str">
        <f>Translations!$B$131</f>
        <v>Highest</v>
      </c>
      <c r="Q187" s="771"/>
      <c r="Z187" s="768" t="str">
        <f>Translations!$B$132</f>
        <v>make grey?</v>
      </c>
      <c r="AK187" s="768" t="s">
        <v>328</v>
      </c>
      <c r="AL187" s="777">
        <v>1</v>
      </c>
      <c r="AM187" s="777">
        <v>2</v>
      </c>
      <c r="AN187" s="777" t="s">
        <v>318</v>
      </c>
      <c r="AO187" s="777" t="str">
        <f>Translations!$B$125</f>
        <v>2b</v>
      </c>
      <c r="AP187" s="777">
        <v>3</v>
      </c>
      <c r="AQ187" s="777" t="str">
        <f>Translations!$B$261</f>
        <v>3a</v>
      </c>
      <c r="AR187" s="777" t="str">
        <f>Translations!$B$262</f>
        <v>3b</v>
      </c>
    </row>
    <row r="188" spans="1:44" x14ac:dyDescent="0.25">
      <c r="A188" s="760">
        <v>1</v>
      </c>
      <c r="C188" s="286" t="str">
        <f t="shared" ref="C188:E191" si="5">C182</f>
        <v>Combustion</v>
      </c>
      <c r="D188" s="286" t="str">
        <f t="shared" si="5"/>
        <v>Commercial standard fuels</v>
      </c>
      <c r="E188" s="286" t="str">
        <f t="shared" si="5"/>
        <v>Amount of fuel [t], [Nm3], or [TJ]</v>
      </c>
      <c r="F188" s="286"/>
      <c r="G188" s="761" t="str">
        <f>Translations!$B$267</f>
        <v>3a/3b</v>
      </c>
      <c r="H188" s="776" t="str">
        <f>Translations!$B$73</f>
        <v>Type I biomass fraction</v>
      </c>
      <c r="I188" s="776" t="str">
        <f>Translations!$B$74</f>
        <v>Type II biomass fraction</v>
      </c>
      <c r="J188" s="776"/>
      <c r="K188" s="776"/>
      <c r="L188" s="776"/>
      <c r="M188" s="776" t="str">
        <f>Translations!$B$75</f>
        <v>Laboratory analyses</v>
      </c>
      <c r="N188" s="776" t="str">
        <f>Translations!$B$266</f>
        <v>Estimation on a mass balance of fossil and biomass carbon</v>
      </c>
      <c r="O188" s="763"/>
      <c r="P188" s="761" t="str">
        <f>G188</f>
        <v>3a/3b</v>
      </c>
      <c r="Q188" s="774" t="str">
        <f>D188</f>
        <v>Commercial standard fuels</v>
      </c>
      <c r="R188" s="286"/>
      <c r="S188" s="286" t="str">
        <f>EUconst_CNTR_BiomassContent&amp;Q188</f>
        <v>BioC_Commercial standard fuels</v>
      </c>
      <c r="Z188" s="760" t="b">
        <f>IF(G188=EUconst_NA,TRUE,FALSE)</f>
        <v>0</v>
      </c>
      <c r="AL188" s="766">
        <v>1</v>
      </c>
      <c r="AM188" s="766"/>
      <c r="AN188" s="766"/>
      <c r="AO188" s="766"/>
      <c r="AP188" s="766"/>
      <c r="AQ188" s="766">
        <v>2</v>
      </c>
      <c r="AR188" s="766">
        <v>2</v>
      </c>
    </row>
    <row r="189" spans="1:44" x14ac:dyDescent="0.25">
      <c r="A189" s="760">
        <v>2</v>
      </c>
      <c r="C189" s="286" t="str">
        <f t="shared" si="5"/>
        <v>Combustion</v>
      </c>
      <c r="D189" s="286" t="str">
        <f t="shared" si="5"/>
        <v>Other gaseous &amp; liquid fuels</v>
      </c>
      <c r="E189" s="286" t="str">
        <f t="shared" si="5"/>
        <v>Amount of fuel [t], [Nm3], or [TJ]</v>
      </c>
      <c r="F189" s="286"/>
      <c r="G189" s="761" t="str">
        <f>Translations!$B$267</f>
        <v>3a/3b</v>
      </c>
      <c r="H189" s="776" t="str">
        <f>Translations!$B$73</f>
        <v>Type I biomass fraction</v>
      </c>
      <c r="I189" s="776" t="str">
        <f>Translations!$B$74</f>
        <v>Type II biomass fraction</v>
      </c>
      <c r="J189" s="776"/>
      <c r="K189" s="776"/>
      <c r="L189" s="776"/>
      <c r="M189" s="776" t="str">
        <f>Translations!$B$75</f>
        <v>Laboratory analyses</v>
      </c>
      <c r="N189" s="776" t="str">
        <f>Translations!$B$266</f>
        <v>Estimation on a mass balance of fossil and biomass carbon</v>
      </c>
      <c r="O189" s="763"/>
      <c r="P189" s="761" t="str">
        <f>Translations!$B$267</f>
        <v>3a/3b</v>
      </c>
      <c r="Q189" s="774" t="str">
        <f>D189</f>
        <v>Other gaseous &amp; liquid fuels</v>
      </c>
      <c r="R189" s="286"/>
      <c r="S189" s="286" t="str">
        <f>EUconst_CNTR_BiomassContent&amp;Q189</f>
        <v>BioC_Other gaseous &amp; liquid fuels</v>
      </c>
      <c r="Z189" s="760" t="b">
        <f>IF(G189=EUconst_NA,TRUE,FALSE)</f>
        <v>0</v>
      </c>
      <c r="AL189" s="766">
        <v>1</v>
      </c>
      <c r="AM189" s="766"/>
      <c r="AN189" s="766"/>
      <c r="AO189" s="766"/>
      <c r="AP189" s="766"/>
      <c r="AQ189" s="766">
        <v>2</v>
      </c>
      <c r="AR189" s="766">
        <v>2</v>
      </c>
    </row>
    <row r="190" spans="1:44" x14ac:dyDescent="0.25">
      <c r="A190" s="760">
        <v>3</v>
      </c>
      <c r="C190" s="286" t="str">
        <f t="shared" si="5"/>
        <v>Combustion</v>
      </c>
      <c r="D190" s="286" t="str">
        <f t="shared" si="5"/>
        <v>Solid fuels</v>
      </c>
      <c r="E190" s="286" t="str">
        <f t="shared" si="5"/>
        <v>Amount of fuel [t], [Nm3], or [TJ]</v>
      </c>
      <c r="F190" s="286"/>
      <c r="G190" s="761" t="str">
        <f>Translations!$B$267</f>
        <v>3a/3b</v>
      </c>
      <c r="H190" s="776" t="str">
        <f>Translations!$B$73</f>
        <v>Type I biomass fraction</v>
      </c>
      <c r="I190" s="776" t="str">
        <f>Translations!$B$74</f>
        <v>Type II biomass fraction</v>
      </c>
      <c r="J190" s="776"/>
      <c r="K190" s="776"/>
      <c r="L190" s="776"/>
      <c r="M190" s="776" t="str">
        <f>Translations!$B$75</f>
        <v>Laboratory analyses</v>
      </c>
      <c r="N190" s="776" t="str">
        <f>Translations!$B$266</f>
        <v>Estimation on a mass balance of fossil and biomass carbon</v>
      </c>
      <c r="O190" s="763"/>
      <c r="P190" s="761" t="str">
        <f>Translations!$B$267</f>
        <v>3a/3b</v>
      </c>
      <c r="Q190" s="774" t="str">
        <f>D190</f>
        <v>Solid fuels</v>
      </c>
      <c r="R190" s="286"/>
      <c r="S190" s="286" t="str">
        <f>EUconst_CNTR_BiomassContent&amp;Q190</f>
        <v>BioC_Solid fuels</v>
      </c>
      <c r="Z190" s="760" t="b">
        <f>IF(G190=EUconst_NA,TRUE,FALSE)</f>
        <v>0</v>
      </c>
      <c r="AL190" s="766">
        <v>1</v>
      </c>
      <c r="AM190" s="766"/>
      <c r="AN190" s="766"/>
      <c r="AO190" s="766"/>
      <c r="AP190" s="766"/>
      <c r="AQ190" s="766">
        <v>2</v>
      </c>
      <c r="AR190" s="766">
        <v>2</v>
      </c>
    </row>
    <row r="191" spans="1:44" x14ac:dyDescent="0.25">
      <c r="A191" s="760">
        <v>4</v>
      </c>
      <c r="C191" s="286" t="str">
        <f t="shared" si="5"/>
        <v>Combustion</v>
      </c>
      <c r="D191" s="286" t="str">
        <f>Translations!$B$264</f>
        <v>Fuels equivalent to commercial standard fuels (Art. 75k(2))</v>
      </c>
      <c r="E191" s="286" t="str">
        <f t="shared" si="5"/>
        <v>Amount of fuel [t], [Nm3], or [TJ]</v>
      </c>
      <c r="F191" s="286"/>
      <c r="G191" s="761" t="str">
        <f>Translations!$B$267</f>
        <v>3a/3b</v>
      </c>
      <c r="H191" s="776" t="str">
        <f>Translations!$B$73</f>
        <v>Type I biomass fraction</v>
      </c>
      <c r="I191" s="776" t="str">
        <f>Translations!$B$74</f>
        <v>Type II biomass fraction</v>
      </c>
      <c r="J191" s="776"/>
      <c r="K191" s="776"/>
      <c r="L191" s="776"/>
      <c r="M191" s="776" t="str">
        <f>Translations!$B$75</f>
        <v>Laboratory analyses</v>
      </c>
      <c r="N191" s="776" t="str">
        <f>Translations!$B$266</f>
        <v>Estimation on a mass balance of fossil and biomass carbon</v>
      </c>
      <c r="O191" s="763"/>
      <c r="P191" s="761" t="str">
        <f>G191</f>
        <v>3a/3b</v>
      </c>
      <c r="Q191" s="774" t="str">
        <f>D191</f>
        <v>Fuels equivalent to commercial standard fuels (Art. 75k(2))</v>
      </c>
      <c r="R191" s="286"/>
      <c r="S191" s="286" t="str">
        <f>EUconst_CNTR_BiomassContent&amp;Q191</f>
        <v>BioC_Fuels equivalent to commercial standard fuels (Art. 75k(2))</v>
      </c>
      <c r="Z191" s="760" t="b">
        <f>IF(G191=EUconst_NA,TRUE,FALSE)</f>
        <v>0</v>
      </c>
      <c r="AL191" s="766">
        <v>1</v>
      </c>
      <c r="AM191" s="766"/>
      <c r="AN191" s="766"/>
      <c r="AO191" s="766"/>
      <c r="AP191" s="766"/>
      <c r="AQ191" s="766">
        <v>2</v>
      </c>
      <c r="AR191" s="766">
        <v>2</v>
      </c>
    </row>
    <row r="192" spans="1:44" x14ac:dyDescent="0.25">
      <c r="M192" s="778"/>
      <c r="N192" s="778"/>
    </row>
    <row r="193" spans="1:44" s="768" customFormat="1" ht="12.75" customHeight="1" x14ac:dyDescent="0.3">
      <c r="B193" s="769" t="s">
        <v>330</v>
      </c>
      <c r="C193" s="769" t="str">
        <f>Translations!$B$128</f>
        <v>Short name</v>
      </c>
      <c r="D193" s="769" t="str">
        <f>Translations!$B$129</f>
        <v>Sub-activity</v>
      </c>
      <c r="E193" s="769" t="str">
        <f>Translations!$B$71</f>
        <v>Parameter</v>
      </c>
      <c r="F193" s="775"/>
      <c r="G193" s="770" t="str">
        <f>Translations!$B$130</f>
        <v>Minimum</v>
      </c>
      <c r="H193" s="770">
        <v>1</v>
      </c>
      <c r="I193" s="770">
        <v>2</v>
      </c>
      <c r="J193" s="770" t="s">
        <v>318</v>
      </c>
      <c r="K193" s="770" t="str">
        <f>Translations!$B$125</f>
        <v>2b</v>
      </c>
      <c r="L193" s="770">
        <v>3</v>
      </c>
      <c r="M193" s="770" t="str">
        <f>Translations!$B$261</f>
        <v>3a</v>
      </c>
      <c r="N193" s="770" t="str">
        <f>Translations!$B$262</f>
        <v>3b</v>
      </c>
      <c r="O193" s="770">
        <v>4</v>
      </c>
      <c r="P193" s="770" t="str">
        <f>Translations!$B$131</f>
        <v>Highest</v>
      </c>
      <c r="Q193" s="771"/>
      <c r="Z193" s="768" t="str">
        <f>Translations!$B$132</f>
        <v>make grey?</v>
      </c>
      <c r="AK193" s="768" t="s">
        <v>328</v>
      </c>
      <c r="AL193" s="777">
        <v>1</v>
      </c>
      <c r="AM193" s="777">
        <v>2</v>
      </c>
      <c r="AN193" s="777" t="s">
        <v>318</v>
      </c>
      <c r="AO193" s="777" t="str">
        <f>Translations!$B$125</f>
        <v>2b</v>
      </c>
      <c r="AP193" s="777">
        <v>3</v>
      </c>
      <c r="AQ193" s="777" t="str">
        <f>Translations!$B$261</f>
        <v>3a</v>
      </c>
      <c r="AR193" s="777" t="str">
        <f>Translations!$B$262</f>
        <v>3b</v>
      </c>
    </row>
    <row r="194" spans="1:44" x14ac:dyDescent="0.25">
      <c r="A194" s="760">
        <v>1</v>
      </c>
      <c r="C194" s="286" t="str">
        <f t="shared" ref="C194:E194" si="6">C188</f>
        <v>Combustion</v>
      </c>
      <c r="D194" s="286" t="str">
        <f t="shared" si="6"/>
        <v>Commercial standard fuels</v>
      </c>
      <c r="E194" s="286" t="str">
        <f t="shared" si="6"/>
        <v>Amount of fuel [t], [Nm3], or [TJ]</v>
      </c>
      <c r="F194" s="286"/>
      <c r="G194" s="761">
        <v>1</v>
      </c>
      <c r="H194" s="776" t="str">
        <f>Translations!$B$266</f>
        <v>Estimation on a mass balance of fossil and biomass carbon</v>
      </c>
      <c r="I194" s="776"/>
      <c r="J194" s="776"/>
      <c r="K194" s="776"/>
      <c r="L194" s="776"/>
      <c r="M194" s="776"/>
      <c r="N194" s="776"/>
      <c r="O194" s="763"/>
      <c r="P194" s="761">
        <f>G194</f>
        <v>1</v>
      </c>
      <c r="Q194" s="774" t="str">
        <f>D194</f>
        <v>Commercial standard fuels</v>
      </c>
      <c r="R194" s="286"/>
      <c r="S194" s="286" t="str">
        <f>EUconst_CNTR_RFNBOetcContent&amp;Q194</f>
        <v>RNFBOC_Commercial standard fuels</v>
      </c>
      <c r="Z194" s="760" t="b">
        <f>IF(G194=EUconst_NA,TRUE,FALSE)</f>
        <v>0</v>
      </c>
      <c r="AL194" s="766">
        <v>2</v>
      </c>
      <c r="AM194" s="766"/>
      <c r="AN194" s="766"/>
      <c r="AO194" s="766"/>
      <c r="AP194" s="766"/>
      <c r="AQ194" s="766"/>
      <c r="AR194" s="766"/>
    </row>
    <row r="195" spans="1:44" x14ac:dyDescent="0.25">
      <c r="A195" s="760">
        <v>2</v>
      </c>
      <c r="C195" s="286" t="str">
        <f t="shared" ref="C195:E195" si="7">C189</f>
        <v>Combustion</v>
      </c>
      <c r="D195" s="286" t="str">
        <f t="shared" si="7"/>
        <v>Other gaseous &amp; liquid fuels</v>
      </c>
      <c r="E195" s="286" t="str">
        <f t="shared" si="7"/>
        <v>Amount of fuel [t], [Nm3], or [TJ]</v>
      </c>
      <c r="F195" s="286"/>
      <c r="G195" s="761">
        <v>1</v>
      </c>
      <c r="H195" s="776" t="str">
        <f>Translations!$B$266</f>
        <v>Estimation on a mass balance of fossil and biomass carbon</v>
      </c>
      <c r="I195" s="776"/>
      <c r="J195" s="776"/>
      <c r="K195" s="776"/>
      <c r="L195" s="776"/>
      <c r="M195" s="776"/>
      <c r="N195" s="776"/>
      <c r="O195" s="763"/>
      <c r="P195" s="761" t="str">
        <f>Translations!$B$267</f>
        <v>3a/3b</v>
      </c>
      <c r="Q195" s="774" t="str">
        <f>D195</f>
        <v>Other gaseous &amp; liquid fuels</v>
      </c>
      <c r="R195" s="286"/>
      <c r="S195" s="286" t="str">
        <f>EUconst_CNTR_RFNBOetcContent&amp;Q195</f>
        <v>RNFBOC_Other gaseous &amp; liquid fuels</v>
      </c>
      <c r="Z195" s="760" t="b">
        <f>IF(G195=EUconst_NA,TRUE,FALSE)</f>
        <v>0</v>
      </c>
      <c r="AL195" s="766">
        <v>2</v>
      </c>
      <c r="AM195" s="766"/>
      <c r="AN195" s="766"/>
      <c r="AO195" s="766"/>
      <c r="AP195" s="766"/>
      <c r="AQ195" s="766"/>
      <c r="AR195" s="766"/>
    </row>
    <row r="196" spans="1:44" x14ac:dyDescent="0.25">
      <c r="A196" s="760">
        <v>3</v>
      </c>
      <c r="C196" s="286" t="str">
        <f t="shared" ref="C196:E196" si="8">C190</f>
        <v>Combustion</v>
      </c>
      <c r="D196" s="286" t="str">
        <f t="shared" si="8"/>
        <v>Solid fuels</v>
      </c>
      <c r="E196" s="286" t="str">
        <f t="shared" si="8"/>
        <v>Amount of fuel [t], [Nm3], or [TJ]</v>
      </c>
      <c r="F196" s="286"/>
      <c r="G196" s="761">
        <v>1</v>
      </c>
      <c r="H196" s="776" t="str">
        <f>Translations!$B$266</f>
        <v>Estimation on a mass balance of fossil and biomass carbon</v>
      </c>
      <c r="I196" s="776"/>
      <c r="J196" s="776"/>
      <c r="K196" s="776"/>
      <c r="L196" s="776"/>
      <c r="M196" s="776"/>
      <c r="N196" s="776"/>
      <c r="O196" s="763"/>
      <c r="P196" s="761" t="str">
        <f>Translations!$B$267</f>
        <v>3a/3b</v>
      </c>
      <c r="Q196" s="774" t="str">
        <f>D196</f>
        <v>Solid fuels</v>
      </c>
      <c r="R196" s="286"/>
      <c r="S196" s="286" t="str">
        <f>EUconst_CNTR_RFNBOetcContent&amp;Q196</f>
        <v>RNFBOC_Solid fuels</v>
      </c>
      <c r="Z196" s="760" t="b">
        <f>IF(G196=EUconst_NA,TRUE,FALSE)</f>
        <v>0</v>
      </c>
      <c r="AL196" s="766">
        <v>2</v>
      </c>
      <c r="AM196" s="766"/>
      <c r="AN196" s="766"/>
      <c r="AO196" s="766"/>
      <c r="AP196" s="766"/>
      <c r="AQ196" s="766"/>
      <c r="AR196" s="766"/>
    </row>
    <row r="197" spans="1:44" x14ac:dyDescent="0.25">
      <c r="A197" s="760">
        <v>4</v>
      </c>
      <c r="C197" s="286" t="str">
        <f t="shared" ref="C197" si="9">C191</f>
        <v>Combustion</v>
      </c>
      <c r="D197" s="286" t="str">
        <f>Translations!$B$264</f>
        <v>Fuels equivalent to commercial standard fuels (Art. 75k(2))</v>
      </c>
      <c r="E197" s="286" t="str">
        <f t="shared" ref="E197" si="10">E191</f>
        <v>Amount of fuel [t], [Nm3], or [TJ]</v>
      </c>
      <c r="F197" s="286"/>
      <c r="G197" s="761">
        <v>1</v>
      </c>
      <c r="H197" s="776" t="str">
        <f>Translations!$B$266</f>
        <v>Estimation on a mass balance of fossil and biomass carbon</v>
      </c>
      <c r="I197" s="776"/>
      <c r="J197" s="776"/>
      <c r="K197" s="776"/>
      <c r="L197" s="776"/>
      <c r="M197" s="776"/>
      <c r="N197" s="776"/>
      <c r="O197" s="763"/>
      <c r="P197" s="761">
        <f>G197</f>
        <v>1</v>
      </c>
      <c r="Q197" s="774" t="str">
        <f>D197</f>
        <v>Fuels equivalent to commercial standard fuels (Art. 75k(2))</v>
      </c>
      <c r="R197" s="286"/>
      <c r="S197" s="286" t="str">
        <f>EUconst_CNTR_RFNBOetcContent&amp;Q197</f>
        <v>RNFBOC_Fuels equivalent to commercial standard fuels (Art. 75k(2))</v>
      </c>
      <c r="Z197" s="760" t="b">
        <f>IF(G197=EUconst_NA,TRUE,FALSE)</f>
        <v>0</v>
      </c>
      <c r="AL197" s="766">
        <v>2</v>
      </c>
      <c r="AM197" s="766"/>
      <c r="AN197" s="766"/>
      <c r="AO197" s="766"/>
      <c r="AP197" s="766"/>
      <c r="AQ197" s="766"/>
      <c r="AR197" s="766"/>
    </row>
    <row r="198" spans="1:44" x14ac:dyDescent="0.25">
      <c r="M198" s="778"/>
      <c r="N198" s="778"/>
    </row>
    <row r="199" spans="1:44" x14ac:dyDescent="0.25">
      <c r="B199" s="779"/>
      <c r="C199" s="766"/>
      <c r="D199" s="780"/>
      <c r="E199" s="780"/>
      <c r="F199" s="766"/>
      <c r="G199" s="780"/>
      <c r="H199" s="780"/>
      <c r="J199" s="779"/>
      <c r="K199" s="780"/>
      <c r="L199" s="780"/>
      <c r="M199" s="766"/>
      <c r="N199" s="766"/>
      <c r="O199" s="780"/>
      <c r="P199" s="766"/>
    </row>
    <row r="200" spans="1:44" s="764" customFormat="1" ht="13" x14ac:dyDescent="0.3">
      <c r="B200" s="769" t="str">
        <f>Translations!$B$166</f>
        <v>Tier conversion</v>
      </c>
      <c r="D200" s="777" t="str">
        <f>Translations!$B$143</f>
        <v>Tiers</v>
      </c>
    </row>
    <row r="201" spans="1:44" customFormat="1" x14ac:dyDescent="0.25">
      <c r="B201" s="138"/>
      <c r="C201" s="141">
        <v>1</v>
      </c>
      <c r="D201" s="141">
        <v>1</v>
      </c>
      <c r="E201" s="760"/>
      <c r="F201" s="760"/>
    </row>
    <row r="202" spans="1:44" customFormat="1" x14ac:dyDescent="0.25">
      <c r="B202" s="138"/>
      <c r="C202" s="141">
        <v>2</v>
      </c>
      <c r="D202" s="141">
        <v>2</v>
      </c>
      <c r="E202" s="760"/>
      <c r="F202" s="760"/>
    </row>
    <row r="203" spans="1:44" customFormat="1" x14ac:dyDescent="0.25">
      <c r="B203" s="138"/>
      <c r="C203" s="141">
        <v>3</v>
      </c>
      <c r="D203" s="141" t="s">
        <v>318</v>
      </c>
      <c r="E203" s="760"/>
      <c r="F203" s="760"/>
    </row>
    <row r="204" spans="1:44" customFormat="1" x14ac:dyDescent="0.25">
      <c r="B204" s="138"/>
      <c r="C204" s="141">
        <v>4</v>
      </c>
      <c r="D204" s="141" t="str">
        <f>Translations!$B$125</f>
        <v>2b</v>
      </c>
      <c r="E204" s="760"/>
      <c r="F204" s="760"/>
    </row>
    <row r="205" spans="1:44" customFormat="1" x14ac:dyDescent="0.25">
      <c r="B205" s="138"/>
      <c r="C205" s="141">
        <v>5</v>
      </c>
      <c r="D205" s="141">
        <v>3</v>
      </c>
      <c r="E205" s="760"/>
      <c r="F205" s="760"/>
    </row>
    <row r="206" spans="1:44" customFormat="1" x14ac:dyDescent="0.25">
      <c r="B206" s="138"/>
      <c r="C206" s="141">
        <v>6</v>
      </c>
      <c r="D206" s="141" t="str">
        <f>Translations!$B$261</f>
        <v>3a</v>
      </c>
      <c r="E206" s="760"/>
      <c r="F206" s="760"/>
    </row>
    <row r="207" spans="1:44" customFormat="1" x14ac:dyDescent="0.25">
      <c r="B207" s="138"/>
      <c r="C207" s="141">
        <v>7</v>
      </c>
      <c r="D207" s="141" t="str">
        <f>Translations!$B$262</f>
        <v>3b</v>
      </c>
      <c r="E207" s="760"/>
      <c r="F207" s="760"/>
    </row>
    <row r="208" spans="1:44" customFormat="1" x14ac:dyDescent="0.25">
      <c r="B208" s="138"/>
      <c r="C208" s="141">
        <v>8</v>
      </c>
      <c r="D208" s="141">
        <v>4</v>
      </c>
      <c r="E208" s="760"/>
      <c r="F208" s="760"/>
    </row>
    <row r="210" spans="1:4" s="764" customFormat="1" ht="13" x14ac:dyDescent="0.3">
      <c r="B210" s="769" t="s">
        <v>331</v>
      </c>
      <c r="D210" s="777"/>
    </row>
    <row r="212" spans="1:4" x14ac:dyDescent="0.25">
      <c r="A212" s="760" t="s">
        <v>332</v>
      </c>
      <c r="B212" s="110" t="str">
        <f>Translations!$B$560</f>
        <v>1A3a - Domestic Aviation</v>
      </c>
    </row>
    <row r="213" spans="1:4" x14ac:dyDescent="0.25">
      <c r="B213" s="110" t="str">
        <f>Translations!$B$561</f>
        <v>1A3c - Railways</v>
      </c>
    </row>
    <row r="214" spans="1:4" x14ac:dyDescent="0.25">
      <c r="B214" s="110" t="str">
        <f>Translations!$B$562</f>
        <v>1A3d - Domestic Navigation</v>
      </c>
    </row>
    <row r="215" spans="1:4" x14ac:dyDescent="0.25">
      <c r="B215" s="110" t="str">
        <f>Translations!$B$563</f>
        <v>1A4c - Agriculture/Forestry/Fishing</v>
      </c>
    </row>
    <row r="216" spans="1:4" x14ac:dyDescent="0.25">
      <c r="B216" s="110" t="str">
        <f>Translations!$B$564</f>
        <v>1A5a - Energy - Stationary combustion</v>
      </c>
    </row>
    <row r="217" spans="1:4" x14ac:dyDescent="0.25">
      <c r="B217" s="110" t="str">
        <f>Translations!$B$565</f>
        <v>1A5b - Energy - Mobile combustion</v>
      </c>
    </row>
    <row r="218" spans="1:4" x14ac:dyDescent="0.25">
      <c r="B218" s="110" t="str">
        <f>Translations!$B$568</f>
        <v>ETS1 categories</v>
      </c>
    </row>
    <row r="219" spans="1:4" x14ac:dyDescent="0.25">
      <c r="B219" s="110" t="str">
        <f>Translations!$B$566</f>
        <v>Other categories</v>
      </c>
    </row>
    <row r="220" spans="1:4" x14ac:dyDescent="0.25">
      <c r="B220" s="110" t="str">
        <f>Translations!$B$567</f>
        <v>Unknown</v>
      </c>
    </row>
    <row r="221" spans="1:4" customFormat="1" x14ac:dyDescent="0.25"/>
    <row r="222" spans="1:4" s="138" customFormat="1" x14ac:dyDescent="0.25">
      <c r="A222" s="138" t="s">
        <v>333</v>
      </c>
    </row>
  </sheetData>
  <sheetProtection sheet="1" objects="1" scenarios="1" formatCells="0" formatColumns="0" formatRows="0"/>
  <phoneticPr fontId="45" type="noConversion"/>
  <conditionalFormatting sqref="B200">
    <cfRule type="expression" dxfId="64" priority="83" stopIfTrue="1">
      <formula>$X200</formula>
    </cfRule>
    <cfRule type="containsText" dxfId="63" priority="82" stopIfTrue="1" operator="containsText" text="!">
      <formula>NOT(ISERROR(SEARCH("!",B200)))</formula>
    </cfRule>
  </conditionalFormatting>
  <conditionalFormatting sqref="B210">
    <cfRule type="containsText" dxfId="62" priority="20" stopIfTrue="1" operator="containsText" text="!">
      <formula>NOT(ISERROR(SEARCH("!",B210)))</formula>
    </cfRule>
    <cfRule type="expression" dxfId="61" priority="21" stopIfTrue="1">
      <formula>$X210</formula>
    </cfRule>
  </conditionalFormatting>
  <conditionalFormatting sqref="C170:C173">
    <cfRule type="expression" dxfId="60" priority="64" stopIfTrue="1">
      <formula>$B169&lt;&gt;$B170</formula>
    </cfRule>
  </conditionalFormatting>
  <conditionalFormatting sqref="C179:D179">
    <cfRule type="expression" dxfId="59" priority="24" stopIfTrue="1">
      <formula>$B178&lt;&gt;$B179</formula>
    </cfRule>
  </conditionalFormatting>
  <conditionalFormatting sqref="C185:D185">
    <cfRule type="expression" dxfId="58" priority="23" stopIfTrue="1">
      <formula>$B184&lt;&gt;$B185</formula>
    </cfRule>
  </conditionalFormatting>
  <conditionalFormatting sqref="C188:F190 C191 E191:F191">
    <cfRule type="expression" dxfId="57" priority="52" stopIfTrue="1">
      <formula>$B187&lt;&gt;$B188</formula>
    </cfRule>
    <cfRule type="expression" dxfId="56" priority="49" stopIfTrue="1">
      <formula>$Z188</formula>
    </cfRule>
  </conditionalFormatting>
  <conditionalFormatting sqref="C194:G196 C197 E197:G197">
    <cfRule type="expression" dxfId="55" priority="18" stopIfTrue="1">
      <formula>$Z194</formula>
    </cfRule>
    <cfRule type="expression" dxfId="54" priority="19" stopIfTrue="1">
      <formula>$B193&lt;&gt;$B194</formula>
    </cfRule>
  </conditionalFormatting>
  <conditionalFormatting sqref="C176:P178 E179:P179 C182:P184 E185:P185 C170:G172">
    <cfRule type="expression" dxfId="53" priority="78" stopIfTrue="1">
      <formula>$B169&lt;&gt;$B170</formula>
    </cfRule>
  </conditionalFormatting>
  <conditionalFormatting sqref="C164:S167">
    <cfRule type="expression" dxfId="52" priority="65" stopIfTrue="1">
      <formula>$B163&lt;&gt;$B164</formula>
    </cfRule>
  </conditionalFormatting>
  <conditionalFormatting sqref="D191">
    <cfRule type="expression" dxfId="51" priority="22" stopIfTrue="1">
      <formula>$B190&lt;&gt;$B191</formula>
    </cfRule>
  </conditionalFormatting>
  <conditionalFormatting sqref="D197">
    <cfRule type="expression" dxfId="50" priority="12" stopIfTrue="1">
      <formula>$B196&lt;&gt;$B197</formula>
    </cfRule>
  </conditionalFormatting>
  <conditionalFormatting sqref="D173:G173">
    <cfRule type="expression" dxfId="49" priority="25" stopIfTrue="1">
      <formula>$B172&lt;&gt;$B173</formula>
    </cfRule>
  </conditionalFormatting>
  <conditionalFormatting sqref="G188:G191">
    <cfRule type="expression" dxfId="48" priority="6" stopIfTrue="1">
      <formula>$B187&lt;&gt;$B188</formula>
    </cfRule>
  </conditionalFormatting>
  <conditionalFormatting sqref="H194:H197">
    <cfRule type="expression" dxfId="47" priority="7" stopIfTrue="1">
      <formula>AK194=2</formula>
    </cfRule>
  </conditionalFormatting>
  <conditionalFormatting sqref="H194:L197">
    <cfRule type="expression" dxfId="46" priority="8" stopIfTrue="1">
      <formula>$Z194</formula>
    </cfRule>
    <cfRule type="expression" dxfId="45" priority="9" stopIfTrue="1">
      <formula>AL194=2</formula>
    </cfRule>
    <cfRule type="expression" dxfId="44" priority="10" stopIfTrue="1">
      <formula>AL194=1</formula>
    </cfRule>
    <cfRule type="expression" dxfId="43" priority="11" stopIfTrue="1">
      <formula>$B193&lt;&gt;$B194</formula>
    </cfRule>
  </conditionalFormatting>
  <conditionalFormatting sqref="H170:O173">
    <cfRule type="expression" dxfId="42" priority="37" stopIfTrue="1">
      <formula>AL170=1</formula>
    </cfRule>
    <cfRule type="expression" dxfId="41" priority="35" stopIfTrue="1">
      <formula>$Z170</formula>
    </cfRule>
    <cfRule type="expression" dxfId="40" priority="36" stopIfTrue="1">
      <formula>AL170=2</formula>
    </cfRule>
  </conditionalFormatting>
  <conditionalFormatting sqref="H176:O179">
    <cfRule type="expression" dxfId="39" priority="61" stopIfTrue="1">
      <formula>$Z176</formula>
    </cfRule>
    <cfRule type="expression" dxfId="38" priority="62" stopIfTrue="1">
      <formula>AL176=2</formula>
    </cfRule>
    <cfRule type="expression" dxfId="37" priority="63" stopIfTrue="1">
      <formula>AL176=1</formula>
    </cfRule>
  </conditionalFormatting>
  <conditionalFormatting sqref="H182:O185">
    <cfRule type="expression" dxfId="36" priority="32" stopIfTrue="1">
      <formula>AL182=2</formula>
    </cfRule>
    <cfRule type="expression" dxfId="35" priority="33" stopIfTrue="1">
      <formula>AL182=1</formula>
    </cfRule>
    <cfRule type="expression" dxfId="34" priority="31" stopIfTrue="1">
      <formula>$Z182</formula>
    </cfRule>
  </conditionalFormatting>
  <conditionalFormatting sqref="H188:O191">
    <cfRule type="expression" dxfId="33" priority="29" stopIfTrue="1">
      <formula>AL188=1</formula>
    </cfRule>
    <cfRule type="expression" dxfId="32" priority="28" stopIfTrue="1">
      <formula>AL188=2</formula>
    </cfRule>
    <cfRule type="expression" dxfId="31" priority="27" stopIfTrue="1">
      <formula>$Z188</formula>
    </cfRule>
  </conditionalFormatting>
  <conditionalFormatting sqref="H170:S173">
    <cfRule type="expression" dxfId="30" priority="38" stopIfTrue="1">
      <formula>$B169&lt;&gt;$B170</formula>
    </cfRule>
  </conditionalFormatting>
  <conditionalFormatting sqref="H188:S191">
    <cfRule type="expression" dxfId="29" priority="30" stopIfTrue="1">
      <formula>$B187&lt;&gt;$B188</formula>
    </cfRule>
  </conditionalFormatting>
  <conditionalFormatting sqref="M194:O197">
    <cfRule type="expression" dxfId="28" priority="2" stopIfTrue="1">
      <formula>AQ194=2</formula>
    </cfRule>
    <cfRule type="expression" dxfId="27" priority="3" stopIfTrue="1">
      <formula>AQ194=1</formula>
    </cfRule>
    <cfRule type="expression" dxfId="26" priority="1" stopIfTrue="1">
      <formula>$Z194</formula>
    </cfRule>
  </conditionalFormatting>
  <conditionalFormatting sqref="M194:S197">
    <cfRule type="expression" dxfId="25" priority="5" stopIfTrue="1">
      <formula>$B193&lt;&gt;$B194</formula>
    </cfRule>
  </conditionalFormatting>
  <conditionalFormatting sqref="N170:N173">
    <cfRule type="expression" dxfId="24" priority="34" stopIfTrue="1">
      <formula>AQ170=2</formula>
    </cfRule>
  </conditionalFormatting>
  <conditionalFormatting sqref="N182:N185 N176:N179">
    <cfRule type="expression" dxfId="23" priority="58" stopIfTrue="1">
      <formula>AQ176=2</formula>
    </cfRule>
  </conditionalFormatting>
  <conditionalFormatting sqref="N188:N191">
    <cfRule type="expression" dxfId="22" priority="26" stopIfTrue="1">
      <formula>AQ188=2</formula>
    </cfRule>
  </conditionalFormatting>
  <conditionalFormatting sqref="N194:N197">
    <cfRule type="expression" dxfId="21" priority="4" stopIfTrue="1">
      <formula>AQ194=2</formula>
    </cfRule>
  </conditionalFormatting>
  <conditionalFormatting sqref="Q176:Q179">
    <cfRule type="expression" dxfId="20" priority="47" stopIfTrue="1">
      <formula>$B175&lt;&gt;$B176</formula>
    </cfRule>
  </conditionalFormatting>
  <conditionalFormatting sqref="Q182:Q185">
    <cfRule type="expression" dxfId="19" priority="46" stopIfTrue="1">
      <formula>$B181&lt;&gt;$B182</formula>
    </cfRule>
  </conditionalFormatting>
  <conditionalFormatting sqref="R176:S179">
    <cfRule type="expression" dxfId="18" priority="57" stopIfTrue="1">
      <formula>$Z176</formula>
    </cfRule>
    <cfRule type="expression" dxfId="17" priority="60" stopIfTrue="1">
      <formula>$B175&lt;&gt;$B176</formula>
    </cfRule>
  </conditionalFormatting>
  <conditionalFormatting sqref="R182:S185">
    <cfRule type="expression" dxfId="16" priority="56" stopIfTrue="1">
      <formula>$B181&lt;&gt;$B182</formula>
    </cfRule>
    <cfRule type="expression" dxfId="15" priority="53" stopIfTrue="1">
      <formula>$Z182</formula>
    </cfRule>
  </conditionalFormatting>
  <pageMargins left="0.70866141732283472" right="0.70866141732283472" top="0.78740157480314965" bottom="0.78740157480314965" header="0.31496062992125984" footer="0.31496062992125984"/>
  <pageSetup paperSize="9" scale="49" fitToWidth="3" fitToHeight="10" orientation="portrait" r:id="rId1"/>
  <headerFooter>
    <oddHeader>&amp;L&amp;F, &amp;A&amp;R&amp;D, &amp;T</oddHeader>
    <oddFooter>&amp;C&amp;P /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6">
    <tabColor indexed="12"/>
  </sheetPr>
  <dimension ref="A1:AR73"/>
  <sheetViews>
    <sheetView zoomScaleNormal="100" workbookViewId="0">
      <selection activeCell="M37" sqref="M37"/>
    </sheetView>
  </sheetViews>
  <sheetFormatPr defaultColWidth="9.1796875" defaultRowHeight="12.5" x14ac:dyDescent="0.25"/>
  <cols>
    <col min="1" max="1" width="34.453125" customWidth="1"/>
    <col min="2" max="2" width="5" customWidth="1"/>
    <col min="3" max="3" width="25" customWidth="1"/>
    <col min="4" max="4" width="5" customWidth="1"/>
    <col min="5" max="5" width="25" customWidth="1"/>
    <col min="6" max="35" width="12.7265625" customWidth="1"/>
    <col min="36" max="39" width="12.7265625" hidden="1" customWidth="1"/>
    <col min="40" max="46" width="12.7265625" customWidth="1"/>
  </cols>
  <sheetData>
    <row r="1" spans="1:39" x14ac:dyDescent="0.25">
      <c r="AJ1" s="760" t="s">
        <v>0</v>
      </c>
      <c r="AK1" s="760" t="s">
        <v>0</v>
      </c>
      <c r="AL1" s="760" t="s">
        <v>0</v>
      </c>
      <c r="AM1" s="760" t="s">
        <v>0</v>
      </c>
    </row>
    <row r="2" spans="1:39" ht="23" x14ac:dyDescent="0.5">
      <c r="A2" s="781" t="s">
        <v>334</v>
      </c>
    </row>
    <row r="4" spans="1:39" s="782" customFormat="1" ht="13" x14ac:dyDescent="0.3">
      <c r="A4" s="782" t="s">
        <v>335</v>
      </c>
    </row>
    <row r="5" spans="1:39" ht="13" thickBot="1" x14ac:dyDescent="0.3"/>
    <row r="6" spans="1:39" ht="13" thickBot="1" x14ac:dyDescent="0.3">
      <c r="A6" s="783" t="s">
        <v>336</v>
      </c>
      <c r="E6" s="760"/>
      <c r="M6" s="784" t="s">
        <v>2</v>
      </c>
      <c r="N6" s="785" t="str">
        <f ca="1">IF(ISERROR(CELL("filename",O7)),"MSParameters",MID(CELL("filename",O7),FIND("]",CELL("filename",O7))+1,1024))</f>
        <v>MSParameters</v>
      </c>
    </row>
    <row r="7" spans="1:39" x14ac:dyDescent="0.25">
      <c r="A7" s="783" t="s">
        <v>337</v>
      </c>
      <c r="E7" s="760"/>
    </row>
    <row r="8" spans="1:39" x14ac:dyDescent="0.25">
      <c r="A8" s="783" t="s">
        <v>338</v>
      </c>
      <c r="E8" s="760"/>
      <c r="M8" s="766"/>
      <c r="N8" s="760"/>
    </row>
    <row r="9" spans="1:39" x14ac:dyDescent="0.25">
      <c r="A9" s="783" t="s">
        <v>339</v>
      </c>
      <c r="E9" s="760"/>
    </row>
    <row r="10" spans="1:39" x14ac:dyDescent="0.25">
      <c r="A10" s="783" t="s">
        <v>340</v>
      </c>
      <c r="E10" s="760"/>
      <c r="M10" s="766"/>
      <c r="N10" s="760"/>
    </row>
    <row r="11" spans="1:39" x14ac:dyDescent="0.25">
      <c r="A11" s="783" t="s">
        <v>341</v>
      </c>
      <c r="E11" s="760"/>
    </row>
    <row r="12" spans="1:39" x14ac:dyDescent="0.25">
      <c r="A12" s="783" t="s">
        <v>342</v>
      </c>
      <c r="E12" s="760"/>
    </row>
    <row r="13" spans="1:39" ht="13" thickBot="1" x14ac:dyDescent="0.3">
      <c r="A13" s="783"/>
      <c r="E13" s="760"/>
    </row>
    <row r="14" spans="1:39" ht="16" thickBot="1" x14ac:dyDescent="0.3">
      <c r="A14" s="786"/>
      <c r="B14" s="786"/>
      <c r="C14" s="786"/>
      <c r="D14" s="786"/>
      <c r="E14" s="786"/>
      <c r="F14" s="1484" t="s">
        <v>343</v>
      </c>
      <c r="G14" s="1485"/>
      <c r="H14" s="1485"/>
      <c r="I14" s="1485"/>
      <c r="J14" s="1485"/>
      <c r="K14" s="1485"/>
      <c r="L14" s="1486"/>
      <c r="M14" s="664"/>
      <c r="N14" s="114"/>
      <c r="O14" s="1490" t="s">
        <v>344</v>
      </c>
      <c r="P14" s="1491"/>
      <c r="Q14" s="1491"/>
      <c r="R14" s="1491"/>
      <c r="S14" s="1491"/>
      <c r="T14" s="1492"/>
      <c r="U14" s="787"/>
      <c r="W14" s="760" t="s">
        <v>345</v>
      </c>
    </row>
    <row r="15" spans="1:39" ht="13" thickBot="1" x14ac:dyDescent="0.3">
      <c r="A15" s="788"/>
      <c r="B15" s="788"/>
      <c r="C15" s="788"/>
      <c r="D15" s="788"/>
      <c r="E15" s="788"/>
      <c r="F15" s="1487" t="s">
        <v>346</v>
      </c>
      <c r="G15" s="1488"/>
      <c r="H15" s="1488"/>
      <c r="I15" s="1488"/>
      <c r="J15" s="1488"/>
      <c r="K15" s="1488"/>
      <c r="L15" s="1489"/>
      <c r="M15" s="664"/>
      <c r="N15" s="114"/>
      <c r="O15" s="1493" t="s">
        <v>347</v>
      </c>
      <c r="P15" s="1494"/>
      <c r="Q15" s="1494"/>
      <c r="R15" s="1494"/>
      <c r="S15" s="1494"/>
      <c r="T15" s="1495"/>
      <c r="U15" s="760"/>
      <c r="W15" s="39" t="b">
        <v>0</v>
      </c>
      <c r="X15" s="778" t="s">
        <v>348</v>
      </c>
    </row>
    <row r="16" spans="1:39" x14ac:dyDescent="0.25">
      <c r="A16" s="1341" t="s">
        <v>349</v>
      </c>
      <c r="B16" s="1342" t="s">
        <v>350</v>
      </c>
      <c r="C16" s="1343"/>
      <c r="D16" s="1341" t="s">
        <v>351</v>
      </c>
      <c r="E16" s="1343"/>
      <c r="F16" s="789"/>
      <c r="G16" s="790"/>
      <c r="H16" s="1499" t="str">
        <f>Translations!$B$383</f>
        <v>EF</v>
      </c>
      <c r="I16" s="1500"/>
      <c r="J16" s="1499" t="str">
        <f>Translations!$B$386</f>
        <v>UCF</v>
      </c>
      <c r="K16" s="1500"/>
      <c r="L16" s="791" t="s">
        <v>352</v>
      </c>
      <c r="M16" s="664"/>
      <c r="N16" s="114"/>
      <c r="O16" s="792" t="str">
        <f>Translations!$B$377</f>
        <v>RFA</v>
      </c>
      <c r="P16" s="1497" t="str">
        <f>Translations!$B$386</f>
        <v>UCF</v>
      </c>
      <c r="Q16" s="1498"/>
      <c r="R16" s="1497" t="str">
        <f>Translations!$B$383</f>
        <v>EF</v>
      </c>
      <c r="S16" s="1498"/>
      <c r="T16" s="791" t="s">
        <v>352</v>
      </c>
      <c r="U16" s="760"/>
    </row>
    <row r="17" spans="1:44" ht="13" thickBot="1" x14ac:dyDescent="0.3">
      <c r="A17" s="1496"/>
      <c r="B17" s="1501"/>
      <c r="C17" s="1502"/>
      <c r="D17" s="1496"/>
      <c r="E17" s="1502"/>
      <c r="F17" s="793"/>
      <c r="G17" s="794" t="str">
        <f>Translations!$B$394</f>
        <v>Unit</v>
      </c>
      <c r="H17" s="795" t="str">
        <f>Translations!$B$395</f>
        <v>Value</v>
      </c>
      <c r="I17" s="796" t="str">
        <f>Translations!$B$394</f>
        <v>Unit</v>
      </c>
      <c r="J17" s="795" t="str">
        <f>Translations!$B$395</f>
        <v>Value</v>
      </c>
      <c r="K17" s="796" t="str">
        <f>Translations!$B$394</f>
        <v>Unit</v>
      </c>
      <c r="L17" s="797" t="s">
        <v>353</v>
      </c>
      <c r="M17" s="664"/>
      <c r="N17" s="114"/>
      <c r="O17" s="798" t="str">
        <f>Translations!$B$394</f>
        <v>Unit</v>
      </c>
      <c r="P17" s="799" t="str">
        <f>Translations!$B$395</f>
        <v>Value</v>
      </c>
      <c r="Q17" s="799" t="str">
        <f>Translations!$B$394</f>
        <v>Unit</v>
      </c>
      <c r="R17" s="799" t="str">
        <f>Translations!$B$395</f>
        <v>Value</v>
      </c>
      <c r="S17" s="799" t="str">
        <f>Translations!$B$394</f>
        <v>Unit</v>
      </c>
      <c r="T17" s="797" t="s">
        <v>353</v>
      </c>
      <c r="U17" s="760"/>
    </row>
    <row r="18" spans="1:44" ht="13.5" thickBot="1" x14ac:dyDescent="0.35">
      <c r="A18" s="800" t="s">
        <v>354</v>
      </c>
      <c r="B18" s="801"/>
      <c r="C18" s="802"/>
      <c r="D18" s="801"/>
      <c r="E18" s="803"/>
      <c r="F18" s="800" t="s">
        <v>355</v>
      </c>
      <c r="G18" s="804" t="str">
        <f>EUconst_CNTR_ActivityData&amp;EUconst_Unit&amp;"_"&amp;1</f>
        <v>ActivityData_Unit_1</v>
      </c>
      <c r="H18" s="805" t="str">
        <f>EUconst_CNTR_EF&amp;EUconst_Value&amp;"_"&amp;1</f>
        <v>EF_Value_1</v>
      </c>
      <c r="I18" s="806" t="str">
        <f>EUconst_CNTR_EF&amp;EUconst_Unit&amp;"_"&amp;1</f>
        <v>EF_Unit_1</v>
      </c>
      <c r="J18" s="805" t="str">
        <f>EUconst_CNTR_UCF&amp;EUconst_Value&amp;"_"&amp;1</f>
        <v>UCF_Value_1</v>
      </c>
      <c r="K18" s="806" t="str">
        <f>EUconst_CNTR_UCF&amp;EUconst_Unit&amp;"_"&amp;1</f>
        <v>UCF_Unit_1</v>
      </c>
      <c r="L18" s="807" t="str">
        <f>EUconst_CNTR_BiomassContent&amp;EUconst_Value&amp;"_"&amp;1</f>
        <v>BioC_Value_1</v>
      </c>
      <c r="M18" s="808" t="s">
        <v>356</v>
      </c>
      <c r="N18" s="809" t="s">
        <v>357</v>
      </c>
      <c r="O18" s="810" t="str">
        <f>EUconst_CNTR_ActivityData&amp;EUconst_Unit&amp;"_"&amp;2</f>
        <v>ActivityData_Unit_2</v>
      </c>
      <c r="P18" s="806" t="str">
        <f>EUconst_CNTR_UCF&amp;EUconst_Value&amp;"_"&amp;2</f>
        <v>UCF_Value_2</v>
      </c>
      <c r="Q18" s="806" t="str">
        <f>EUconst_CNTR_UCF&amp;EUconst_Unit&amp;"_"&amp;2</f>
        <v>UCF_Unit_2</v>
      </c>
      <c r="R18" s="806" t="str">
        <f>EUconst_CNTR_EF&amp;EUconst_Value&amp;"_"&amp;2</f>
        <v>EF_Value_2</v>
      </c>
      <c r="S18" s="806" t="str">
        <f>EUconst_CNTR_EF&amp;EUconst_Unit&amp;"_"&amp;2</f>
        <v>EF_Unit_2</v>
      </c>
      <c r="T18" s="807" t="str">
        <f>EUconst_CNTR_BiomassContent&amp;EUconst_Value&amp;"_"&amp;2</f>
        <v>BioC_Value_2</v>
      </c>
      <c r="U18" s="811" t="s">
        <v>358</v>
      </c>
      <c r="W18" s="778" t="s">
        <v>359</v>
      </c>
      <c r="AL18" s="812" t="str">
        <f>INDEX(EUConst_TierActivityListNames,COLUMNS($AB17:AB17))</f>
        <v>Commercial standard fuels</v>
      </c>
      <c r="AM18" s="812" t="str">
        <f>INDEX(EUConst_TierActivityListNames,COLUMNS($AB17:AC17))</f>
        <v>Other gaseous &amp; liquid fuels</v>
      </c>
      <c r="AN18" s="812" t="str">
        <f>INDEX(EUConst_TierActivityListNames,COLUMNS($AB17:AD17))</f>
        <v>Solid fuels</v>
      </c>
      <c r="AO18" s="812" t="str">
        <f>INDEX(EUConst_TierActivityListNames,COLUMNS($AB17:AE17))</f>
        <v>Fuels equivalent to commercial standard fuels (Art. 75k(2))</v>
      </c>
      <c r="AQ18" s="813" t="s">
        <v>19</v>
      </c>
      <c r="AR18" s="778" t="s">
        <v>360</v>
      </c>
    </row>
    <row r="19" spans="1:44" x14ac:dyDescent="0.25">
      <c r="A19" s="29" t="str">
        <f>Translations!B569</f>
        <v>Liquid - Motor Gasoline</v>
      </c>
      <c r="B19" s="38">
        <v>1</v>
      </c>
      <c r="C19" s="814" t="str">
        <f t="shared" ref="C19:C64" si="0">IF(B19="","",INDEX(EUConst_TierActivityListNames,B19))</f>
        <v>Commercial standard fuels</v>
      </c>
      <c r="D19" s="30"/>
      <c r="E19" s="815" t="str">
        <f t="shared" ref="E19:E64" si="1">IF(D19="","",INDEX(EUConst_TierActivityListNames,D19))</f>
        <v/>
      </c>
      <c r="F19" s="816" t="s">
        <v>361</v>
      </c>
      <c r="G19" s="817" t="str">
        <f t="shared" ref="G19:G57" si="2">EUconst_t</f>
        <v>t</v>
      </c>
      <c r="H19" s="818">
        <v>69.3</v>
      </c>
      <c r="I19" s="819" t="str">
        <f t="shared" ref="I19:I58" si="3">EUconst_tCO2&amp;"/"&amp;EUconst_TJ</f>
        <v>tCO2/TJ</v>
      </c>
      <c r="J19" s="818">
        <v>44.3</v>
      </c>
      <c r="K19" s="819" t="str">
        <f t="shared" ref="K19:K58" si="4">EUconst_GJ&amp;"/"&amp;EUconst_t</f>
        <v>GJ/t</v>
      </c>
      <c r="L19" s="820" t="str">
        <f t="shared" ref="L19:L57" si="5">EUconst_NA</f>
        <v>n.a.</v>
      </c>
      <c r="M19" s="31" t="b">
        <v>1</v>
      </c>
      <c r="N19" s="31" t="b">
        <v>0</v>
      </c>
      <c r="O19" s="32" t="s">
        <v>219</v>
      </c>
      <c r="P19" s="33" t="str">
        <f t="shared" ref="P19:P29" si="6">EUconst_NA</f>
        <v>n.a.</v>
      </c>
      <c r="Q19" s="33" t="s">
        <v>362</v>
      </c>
      <c r="R19" s="33" t="str">
        <f t="shared" ref="R19:R29" si="7">EUconst_NA</f>
        <v>n.a.</v>
      </c>
      <c r="S19" s="33" t="s">
        <v>363</v>
      </c>
      <c r="T19" s="34" t="str">
        <f t="shared" ref="T19:T40" si="8">L19</f>
        <v>n.a.</v>
      </c>
      <c r="U19" s="760"/>
      <c r="W19" s="39" t="b">
        <v>1</v>
      </c>
      <c r="AL19" s="821">
        <f>IF(COUNTIF($C19:$E19,AL$18)=0,"",MAX(AL$18:AL18)+1)</f>
        <v>1</v>
      </c>
      <c r="AM19" s="821" t="str">
        <f>IF(COUNTIF($C19:$E19,AM$18)=0,"",MAX(AM$18:AM18)+1)</f>
        <v/>
      </c>
      <c r="AN19" s="821" t="str">
        <f>IF(COUNTIF($C19:$E19,AN$18)=0,"",MAX(AN$18:AN18)+1)</f>
        <v/>
      </c>
      <c r="AO19" s="821" t="str">
        <f>IF(COUNTIF($C19:$E19,AO$18)=0,"",MAX(AO$18:AO18)+1)</f>
        <v/>
      </c>
      <c r="AQ19" s="821">
        <f>IF(W19=TRUE,MAX($AQ$17:AQ18)+1,"")</f>
        <v>1</v>
      </c>
      <c r="AR19" s="822" t="str">
        <f>IFERROR(INDEX(MSPara_SourceStreamCategory,MATCH(ROWS($AQ$19:AQ19),$AQ$19:$AQ$64,0)),EUconst_NA)</f>
        <v>Liquid - Motor Gasoline</v>
      </c>
    </row>
    <row r="20" spans="1:44" x14ac:dyDescent="0.25">
      <c r="A20" s="29" t="str">
        <f>Translations!B570</f>
        <v>Liquid - Gas/Diesel Oil</v>
      </c>
      <c r="B20" s="38">
        <v>1</v>
      </c>
      <c r="C20" s="814" t="str">
        <f t="shared" si="0"/>
        <v>Commercial standard fuels</v>
      </c>
      <c r="D20" s="30"/>
      <c r="E20" s="815" t="str">
        <f t="shared" si="1"/>
        <v/>
      </c>
      <c r="F20" s="816" t="s">
        <v>361</v>
      </c>
      <c r="G20" s="817" t="str">
        <f t="shared" si="2"/>
        <v>t</v>
      </c>
      <c r="H20" s="818">
        <v>74.099999999999994</v>
      </c>
      <c r="I20" s="819" t="str">
        <f t="shared" si="3"/>
        <v>tCO2/TJ</v>
      </c>
      <c r="J20" s="818">
        <v>43</v>
      </c>
      <c r="K20" s="819" t="str">
        <f t="shared" si="4"/>
        <v>GJ/t</v>
      </c>
      <c r="L20" s="820" t="str">
        <f t="shared" si="5"/>
        <v>n.a.</v>
      </c>
      <c r="M20" s="31" t="b">
        <v>1</v>
      </c>
      <c r="N20" s="31" t="b">
        <v>0</v>
      </c>
      <c r="O20" s="32" t="s">
        <v>219</v>
      </c>
      <c r="P20" s="33" t="str">
        <f t="shared" si="6"/>
        <v>n.a.</v>
      </c>
      <c r="Q20" s="33" t="s">
        <v>362</v>
      </c>
      <c r="R20" s="33" t="str">
        <f t="shared" si="7"/>
        <v>n.a.</v>
      </c>
      <c r="S20" s="33" t="s">
        <v>363</v>
      </c>
      <c r="T20" s="34" t="str">
        <f t="shared" si="8"/>
        <v>n.a.</v>
      </c>
      <c r="U20" s="760"/>
      <c r="W20" s="39" t="b">
        <v>1</v>
      </c>
      <c r="AL20" s="821">
        <f>IF(COUNTIF($C20:$E20,AL$18)=0,"",MAX(AL$18:AL19)+1)</f>
        <v>2</v>
      </c>
      <c r="AM20" s="821" t="str">
        <f>IF(COUNTIF($C20:$E20,AM$18)=0,"",MAX(AM$18:AM19)+1)</f>
        <v/>
      </c>
      <c r="AN20" s="821" t="str">
        <f>IF(COUNTIF($C20:$E20,AN$18)=0,"",MAX(AN$18:AN19)+1)</f>
        <v/>
      </c>
      <c r="AO20" s="821" t="str">
        <f>IF(COUNTIF($C20:$E20,AO$18)=0,"",MAX(AO$18:AO19)+1)</f>
        <v/>
      </c>
      <c r="AQ20" s="821">
        <f>IF(W20=TRUE,MAX($AQ$17:AQ19)+1,"")</f>
        <v>2</v>
      </c>
      <c r="AR20" s="822" t="str">
        <f>IFERROR(INDEX(MSPara_SourceStreamCategory,MATCH(ROWS($AQ$19:AQ20),$AQ$19:$AQ$64,0)),EUconst_NA)</f>
        <v>Liquid - Gas/Diesel Oil</v>
      </c>
    </row>
    <row r="21" spans="1:44" x14ac:dyDescent="0.25">
      <c r="A21" s="29" t="str">
        <f>Translations!B571</f>
        <v>Liquid - Motor Gasoline (E5)</v>
      </c>
      <c r="B21" s="38">
        <v>1</v>
      </c>
      <c r="C21" s="814" t="str">
        <f t="shared" si="0"/>
        <v>Commercial standard fuels</v>
      </c>
      <c r="D21" s="30"/>
      <c r="E21" s="815" t="str">
        <f t="shared" si="1"/>
        <v/>
      </c>
      <c r="F21" s="816"/>
      <c r="G21" s="817" t="str">
        <f t="shared" si="2"/>
        <v>t</v>
      </c>
      <c r="H21" s="818"/>
      <c r="I21" s="819" t="str">
        <f t="shared" si="3"/>
        <v>tCO2/TJ</v>
      </c>
      <c r="J21" s="818"/>
      <c r="K21" s="819" t="str">
        <f t="shared" si="4"/>
        <v>GJ/t</v>
      </c>
      <c r="L21" s="820" t="str">
        <f t="shared" si="5"/>
        <v>n.a.</v>
      </c>
      <c r="M21" s="31" t="b">
        <v>1</v>
      </c>
      <c r="N21" s="31" t="b">
        <v>0</v>
      </c>
      <c r="O21" s="32" t="s">
        <v>219</v>
      </c>
      <c r="P21" s="33" t="str">
        <f t="shared" si="6"/>
        <v>n.a.</v>
      </c>
      <c r="Q21" s="33" t="s">
        <v>362</v>
      </c>
      <c r="R21" s="33" t="str">
        <f t="shared" si="7"/>
        <v>n.a.</v>
      </c>
      <c r="S21" s="33" t="s">
        <v>363</v>
      </c>
      <c r="T21" s="34" t="str">
        <f t="shared" si="8"/>
        <v>n.a.</v>
      </c>
      <c r="U21" s="760"/>
      <c r="W21" s="39"/>
      <c r="AL21" s="821">
        <f>IF(COUNTIF($C21:$E21,AL$18)=0,"",MAX(AL$18:AL20)+1)</f>
        <v>3</v>
      </c>
      <c r="AM21" s="821" t="str">
        <f>IF(COUNTIF($C21:$E21,AM$18)=0,"",MAX(AM$18:AM20)+1)</f>
        <v/>
      </c>
      <c r="AN21" s="821" t="str">
        <f>IF(COUNTIF($C21:$E21,AN$18)=0,"",MAX(AN$18:AN20)+1)</f>
        <v/>
      </c>
      <c r="AO21" s="821" t="str">
        <f>IF(COUNTIF($C21:$E21,AO$18)=0,"",MAX(AO$18:AO20)+1)</f>
        <v/>
      </c>
      <c r="AQ21" s="821" t="str">
        <f>IF(W21=TRUE,MAX($AQ$17:AQ20)+1,"")</f>
        <v/>
      </c>
      <c r="AR21" s="822" t="str">
        <f>IFERROR(INDEX(MSPara_SourceStreamCategory,MATCH(ROWS($AQ$19:AQ21),$AQ$19:$AQ$64,0)),EUconst_NA)</f>
        <v>Liquid - Bioethanol</v>
      </c>
    </row>
    <row r="22" spans="1:44" x14ac:dyDescent="0.25">
      <c r="A22" s="29" t="str">
        <f>Translations!B572</f>
        <v>Liquid - Motor Gasoline (E10)</v>
      </c>
      <c r="B22" s="38">
        <v>1</v>
      </c>
      <c r="C22" s="814" t="str">
        <f t="shared" si="0"/>
        <v>Commercial standard fuels</v>
      </c>
      <c r="D22" s="30"/>
      <c r="E22" s="815" t="str">
        <f t="shared" si="1"/>
        <v/>
      </c>
      <c r="F22" s="816"/>
      <c r="G22" s="817" t="str">
        <f t="shared" si="2"/>
        <v>t</v>
      </c>
      <c r="H22" s="818"/>
      <c r="I22" s="819" t="str">
        <f t="shared" si="3"/>
        <v>tCO2/TJ</v>
      </c>
      <c r="J22" s="818"/>
      <c r="K22" s="819" t="str">
        <f t="shared" si="4"/>
        <v>GJ/t</v>
      </c>
      <c r="L22" s="820" t="str">
        <f t="shared" si="5"/>
        <v>n.a.</v>
      </c>
      <c r="M22" s="31" t="b">
        <v>1</v>
      </c>
      <c r="N22" s="31" t="b">
        <v>0</v>
      </c>
      <c r="O22" s="32" t="s">
        <v>219</v>
      </c>
      <c r="P22" s="33" t="str">
        <f t="shared" si="6"/>
        <v>n.a.</v>
      </c>
      <c r="Q22" s="33" t="s">
        <v>362</v>
      </c>
      <c r="R22" s="33" t="str">
        <f t="shared" si="7"/>
        <v>n.a.</v>
      </c>
      <c r="S22" s="33" t="s">
        <v>363</v>
      </c>
      <c r="T22" s="34" t="str">
        <f t="shared" si="8"/>
        <v>n.a.</v>
      </c>
      <c r="U22" s="760"/>
      <c r="W22" s="39"/>
      <c r="AL22" s="821">
        <f>IF(COUNTIF($C22:$E22,AL$18)=0,"",MAX(AL$18:AL21)+1)</f>
        <v>4</v>
      </c>
      <c r="AM22" s="821" t="str">
        <f>IF(COUNTIF($C22:$E22,AM$18)=0,"",MAX(AM$18:AM21)+1)</f>
        <v/>
      </c>
      <c r="AN22" s="821" t="str">
        <f>IF(COUNTIF($C22:$E22,AN$18)=0,"",MAX(AN$18:AN21)+1)</f>
        <v/>
      </c>
      <c r="AO22" s="821" t="str">
        <f>IF(COUNTIF($C22:$E22,AO$18)=0,"",MAX(AO$18:AO21)+1)</f>
        <v/>
      </c>
      <c r="AQ22" s="821" t="str">
        <f>IF(W22=TRUE,MAX($AQ$17:AQ21)+1,"")</f>
        <v/>
      </c>
      <c r="AR22" s="822" t="str">
        <f>IFERROR(INDEX(MSPara_SourceStreamCategory,MATCH(ROWS($AQ$19:AQ22),$AQ$19:$AQ$64,0)),EUconst_NA)</f>
        <v>Liquid - MTBE</v>
      </c>
    </row>
    <row r="23" spans="1:44" x14ac:dyDescent="0.25">
      <c r="A23" s="29" t="str">
        <f>Translations!$B$660</f>
        <v>Liquid - Motor Gasoline (E85)</v>
      </c>
      <c r="B23" s="38">
        <v>1</v>
      </c>
      <c r="C23" s="814" t="str">
        <f t="shared" ref="C23" si="9">IF(B23="","",INDEX(EUConst_TierActivityListNames,B23))</f>
        <v>Commercial standard fuels</v>
      </c>
      <c r="D23" s="30"/>
      <c r="E23" s="815" t="str">
        <f t="shared" ref="E23" si="10">IF(D23="","",INDEX(EUConst_TierActivityListNames,D23))</f>
        <v/>
      </c>
      <c r="F23" s="816"/>
      <c r="G23" s="817" t="str">
        <f t="shared" si="2"/>
        <v>t</v>
      </c>
      <c r="H23" s="818"/>
      <c r="I23" s="819" t="str">
        <f t="shared" si="3"/>
        <v>tCO2/TJ</v>
      </c>
      <c r="J23" s="818"/>
      <c r="K23" s="819" t="str">
        <f t="shared" si="4"/>
        <v>GJ/t</v>
      </c>
      <c r="L23" s="820" t="str">
        <f t="shared" si="5"/>
        <v>n.a.</v>
      </c>
      <c r="M23" s="31" t="b">
        <v>1</v>
      </c>
      <c r="N23" s="31" t="b">
        <v>0</v>
      </c>
      <c r="O23" s="32" t="s">
        <v>219</v>
      </c>
      <c r="P23" s="33" t="str">
        <f t="shared" si="6"/>
        <v>n.a.</v>
      </c>
      <c r="Q23" s="33" t="s">
        <v>362</v>
      </c>
      <c r="R23" s="33" t="str">
        <f t="shared" si="7"/>
        <v>n.a.</v>
      </c>
      <c r="S23" s="33" t="s">
        <v>363</v>
      </c>
      <c r="T23" s="34" t="str">
        <f t="shared" si="8"/>
        <v>n.a.</v>
      </c>
      <c r="U23" s="760"/>
      <c r="W23" s="39"/>
      <c r="AL23" s="821">
        <f>IF(COUNTIF($C23:$E23,AL$18)=0,"",MAX(AL$18:AL22)+1)</f>
        <v>5</v>
      </c>
      <c r="AM23" s="821" t="str">
        <f>IF(COUNTIF($C23:$E23,AM$18)=0,"",MAX(AM$18:AM22)+1)</f>
        <v/>
      </c>
      <c r="AN23" s="821" t="str">
        <f>IF(COUNTIF($C23:$E23,AN$18)=0,"",MAX(AN$18:AN22)+1)</f>
        <v/>
      </c>
      <c r="AO23" s="821" t="str">
        <f>IF(COUNTIF($C23:$E23,AO$18)=0,"",MAX(AO$18:AO22)+1)</f>
        <v/>
      </c>
      <c r="AQ23" s="821" t="str">
        <f>IF(W23=TRUE,MAX($AQ$17:AQ22)+1,"")</f>
        <v/>
      </c>
      <c r="AR23" s="822" t="str">
        <f>IFERROR(INDEX(MSPara_SourceStreamCategory,MATCH(ROWS($AQ$19:AQ23),$AQ$19:$AQ$64,0)),EUconst_NA)</f>
        <v>Liquid - ETBE</v>
      </c>
    </row>
    <row r="24" spans="1:44" x14ac:dyDescent="0.25">
      <c r="A24" s="29" t="str">
        <f>Translations!B573</f>
        <v>Liquid - Diesel oil (B7)</v>
      </c>
      <c r="B24" s="38">
        <v>1</v>
      </c>
      <c r="C24" s="814" t="str">
        <f t="shared" si="0"/>
        <v>Commercial standard fuels</v>
      </c>
      <c r="D24" s="30"/>
      <c r="E24" s="815" t="str">
        <f t="shared" si="1"/>
        <v/>
      </c>
      <c r="F24" s="816"/>
      <c r="G24" s="817" t="str">
        <f t="shared" si="2"/>
        <v>t</v>
      </c>
      <c r="H24" s="818"/>
      <c r="I24" s="819" t="str">
        <f t="shared" si="3"/>
        <v>tCO2/TJ</v>
      </c>
      <c r="J24" s="818"/>
      <c r="K24" s="819" t="str">
        <f t="shared" si="4"/>
        <v>GJ/t</v>
      </c>
      <c r="L24" s="820" t="str">
        <f t="shared" si="5"/>
        <v>n.a.</v>
      </c>
      <c r="M24" s="31" t="b">
        <v>1</v>
      </c>
      <c r="N24" s="31" t="b">
        <v>0</v>
      </c>
      <c r="O24" s="32" t="s">
        <v>219</v>
      </c>
      <c r="P24" s="33" t="str">
        <f t="shared" si="6"/>
        <v>n.a.</v>
      </c>
      <c r="Q24" s="33" t="s">
        <v>362</v>
      </c>
      <c r="R24" s="33" t="str">
        <f t="shared" si="7"/>
        <v>n.a.</v>
      </c>
      <c r="S24" s="33" t="s">
        <v>363</v>
      </c>
      <c r="T24" s="34" t="str">
        <f t="shared" si="8"/>
        <v>n.a.</v>
      </c>
      <c r="U24" s="760"/>
      <c r="W24" s="39"/>
      <c r="AL24" s="821">
        <f>IF(COUNTIF($C24:$E24,AL$18)=0,"",MAX(AL$18:AL23)+1)</f>
        <v>6</v>
      </c>
      <c r="AM24" s="821" t="str">
        <f>IF(COUNTIF($C24:$E24,AM$18)=0,"",MAX(AM$18:AM23)+1)</f>
        <v/>
      </c>
      <c r="AN24" s="821" t="str">
        <f>IF(COUNTIF($C24:$E24,AN$18)=0,"",MAX(AN$18:AN23)+1)</f>
        <v/>
      </c>
      <c r="AO24" s="821" t="str">
        <f>IF(COUNTIF($C24:$E24,AO$18)=0,"",MAX(AO$18:AO23)+1)</f>
        <v/>
      </c>
      <c r="AQ24" s="821" t="str">
        <f>IF(W24=TRUE,MAX($AQ$17:AQ23)+1,"")</f>
        <v/>
      </c>
      <c r="AR24" s="822" t="str">
        <f>IFERROR(INDEX(MSPara_SourceStreamCategory,MATCH(ROWS($AQ$19:AQ24),$AQ$19:$AQ$64,0)),EUconst_NA)</f>
        <v>Liquid - HVO</v>
      </c>
    </row>
    <row r="25" spans="1:44" x14ac:dyDescent="0.25">
      <c r="A25" s="29" t="str">
        <f>Translations!B655</f>
        <v>Liquid - Bioethanol</v>
      </c>
      <c r="B25" s="38">
        <v>1</v>
      </c>
      <c r="C25" s="814" t="str">
        <f>IF(B25="","",INDEX(EUConst_TierActivityListNames,B25))</f>
        <v>Commercial standard fuels</v>
      </c>
      <c r="D25" s="30"/>
      <c r="E25" s="815" t="str">
        <f>IF(D25="","",INDEX(EUConst_TierActivityListNames,D25))</f>
        <v/>
      </c>
      <c r="F25" s="816"/>
      <c r="G25" s="817" t="str">
        <f t="shared" si="2"/>
        <v>t</v>
      </c>
      <c r="H25" s="818"/>
      <c r="I25" s="819" t="str">
        <f t="shared" si="3"/>
        <v>tCO2/TJ</v>
      </c>
      <c r="J25" s="818"/>
      <c r="K25" s="819" t="str">
        <f t="shared" si="4"/>
        <v>GJ/t</v>
      </c>
      <c r="L25" s="823">
        <v>1</v>
      </c>
      <c r="M25" s="31" t="b">
        <v>1</v>
      </c>
      <c r="N25" s="31" t="b">
        <v>0</v>
      </c>
      <c r="O25" s="32" t="s">
        <v>219</v>
      </c>
      <c r="P25" s="33" t="str">
        <f t="shared" si="6"/>
        <v>n.a.</v>
      </c>
      <c r="Q25" s="33" t="s">
        <v>362</v>
      </c>
      <c r="R25" s="33" t="str">
        <f t="shared" si="7"/>
        <v>n.a.</v>
      </c>
      <c r="S25" s="33" t="s">
        <v>363</v>
      </c>
      <c r="T25" s="34">
        <f t="shared" si="8"/>
        <v>1</v>
      </c>
      <c r="U25" s="760"/>
      <c r="W25" s="39" t="b">
        <v>1</v>
      </c>
      <c r="AL25" s="821">
        <f>IF(COUNTIF($C25:$E25,AL$18)=0,"",MAX(AL$18:AL24)+1)</f>
        <v>7</v>
      </c>
      <c r="AM25" s="821" t="str">
        <f>IF(COUNTIF($C25:$E25,AM$18)=0,"",MAX(AM$18:AM24)+1)</f>
        <v/>
      </c>
      <c r="AN25" s="821" t="str">
        <f>IF(COUNTIF($C25:$E25,AN$18)=0,"",MAX(AN$18:AN24)+1)</f>
        <v/>
      </c>
      <c r="AO25" s="821" t="str">
        <f>IF(COUNTIF($C25:$E25,AO$18)=0,"",MAX(AO$18:AO24)+1)</f>
        <v/>
      </c>
      <c r="AQ25" s="821">
        <f>IF(W25=TRUE,MAX($AQ$17:AQ24)+1,"")</f>
        <v>3</v>
      </c>
      <c r="AR25" s="822" t="str">
        <f>IFERROR(INDEX(MSPara_SourceStreamCategory,MATCH(ROWS($AQ$19:AQ25),$AQ$19:$AQ$64,0)),EUconst_NA)</f>
        <v>Liquid - FAME</v>
      </c>
    </row>
    <row r="26" spans="1:44" x14ac:dyDescent="0.25">
      <c r="A26" s="29" t="str">
        <f>Translations!B656</f>
        <v>Liquid - MTBE</v>
      </c>
      <c r="B26" s="38">
        <v>1</v>
      </c>
      <c r="C26" s="814" t="str">
        <f>IF(B26="","",INDEX(EUConst_TierActivityListNames,B26))</f>
        <v>Commercial standard fuels</v>
      </c>
      <c r="D26" s="30"/>
      <c r="E26" s="815" t="str">
        <f>IF(D26="","",INDEX(EUConst_TierActivityListNames,D26))</f>
        <v/>
      </c>
      <c r="F26" s="816"/>
      <c r="G26" s="817" t="str">
        <f t="shared" si="2"/>
        <v>t</v>
      </c>
      <c r="H26" s="818"/>
      <c r="I26" s="819" t="str">
        <f t="shared" si="3"/>
        <v>tCO2/TJ</v>
      </c>
      <c r="J26" s="818"/>
      <c r="K26" s="819" t="str">
        <f t="shared" si="4"/>
        <v>GJ/t</v>
      </c>
      <c r="L26" s="820" t="str">
        <f t="shared" si="5"/>
        <v>n.a.</v>
      </c>
      <c r="M26" s="31" t="b">
        <v>1</v>
      </c>
      <c r="N26" s="31" t="b">
        <v>0</v>
      </c>
      <c r="O26" s="32" t="s">
        <v>219</v>
      </c>
      <c r="P26" s="33" t="str">
        <f t="shared" si="6"/>
        <v>n.a.</v>
      </c>
      <c r="Q26" s="33" t="s">
        <v>362</v>
      </c>
      <c r="R26" s="33" t="str">
        <f t="shared" si="7"/>
        <v>n.a.</v>
      </c>
      <c r="S26" s="33" t="s">
        <v>363</v>
      </c>
      <c r="T26" s="34" t="str">
        <f t="shared" si="8"/>
        <v>n.a.</v>
      </c>
      <c r="U26" s="760"/>
      <c r="W26" s="39" t="b">
        <v>1</v>
      </c>
      <c r="AL26" s="821">
        <f>IF(COUNTIF($C26:$E26,AL$18)=0,"",MAX(AL$18:AL25)+1)</f>
        <v>8</v>
      </c>
      <c r="AM26" s="821" t="str">
        <f>IF(COUNTIF($C26:$E26,AM$18)=0,"",MAX(AM$18:AM25)+1)</f>
        <v/>
      </c>
      <c r="AN26" s="821" t="str">
        <f>IF(COUNTIF($C26:$E26,AN$18)=0,"",MAX(AN$18:AN25)+1)</f>
        <v/>
      </c>
      <c r="AO26" s="821" t="str">
        <f>IF(COUNTIF($C26:$E26,AO$18)=0,"",MAX(AO$18:AO25)+1)</f>
        <v/>
      </c>
      <c r="AQ26" s="821">
        <f>IF(W26=TRUE,MAX($AQ$17:AQ25)+1,"")</f>
        <v>4</v>
      </c>
      <c r="AR26" s="822" t="str">
        <f>IFERROR(INDEX(MSPara_SourceStreamCategory,MATCH(ROWS($AQ$19:AQ26),$AQ$19:$AQ$64,0)),EUconst_NA)</f>
        <v>n.a.</v>
      </c>
    </row>
    <row r="27" spans="1:44" x14ac:dyDescent="0.25">
      <c r="A27" s="29" t="str">
        <f>Translations!B657</f>
        <v>Liquid - ETBE</v>
      </c>
      <c r="B27" s="38">
        <v>1</v>
      </c>
      <c r="C27" s="814" t="str">
        <f>IF(B27="","",INDEX(EUConst_TierActivityListNames,B27))</f>
        <v>Commercial standard fuels</v>
      </c>
      <c r="D27" s="30"/>
      <c r="E27" s="815" t="str">
        <f>IF(D27="","",INDEX(EUConst_TierActivityListNames,D27))</f>
        <v/>
      </c>
      <c r="F27" s="816"/>
      <c r="G27" s="817" t="str">
        <f t="shared" si="2"/>
        <v>t</v>
      </c>
      <c r="H27" s="818"/>
      <c r="I27" s="819" t="str">
        <f t="shared" si="3"/>
        <v>tCO2/TJ</v>
      </c>
      <c r="J27" s="818"/>
      <c r="K27" s="819" t="str">
        <f t="shared" si="4"/>
        <v>GJ/t</v>
      </c>
      <c r="L27" s="820" t="str">
        <f t="shared" si="5"/>
        <v>n.a.</v>
      </c>
      <c r="M27" s="31" t="b">
        <v>1</v>
      </c>
      <c r="N27" s="31" t="b">
        <v>0</v>
      </c>
      <c r="O27" s="32" t="s">
        <v>219</v>
      </c>
      <c r="P27" s="33" t="str">
        <f t="shared" si="6"/>
        <v>n.a.</v>
      </c>
      <c r="Q27" s="33" t="s">
        <v>362</v>
      </c>
      <c r="R27" s="33" t="str">
        <f t="shared" si="7"/>
        <v>n.a.</v>
      </c>
      <c r="S27" s="33" t="s">
        <v>363</v>
      </c>
      <c r="T27" s="34" t="str">
        <f t="shared" si="8"/>
        <v>n.a.</v>
      </c>
      <c r="U27" s="760"/>
      <c r="W27" s="39" t="b">
        <v>1</v>
      </c>
      <c r="AL27" s="821">
        <f>IF(COUNTIF($C27:$E27,AL$18)=0,"",MAX(AL$18:AL26)+1)</f>
        <v>9</v>
      </c>
      <c r="AM27" s="821" t="str">
        <f>IF(COUNTIF($C27:$E27,AM$18)=0,"",MAX(AM$18:AM26)+1)</f>
        <v/>
      </c>
      <c r="AN27" s="821" t="str">
        <f>IF(COUNTIF($C27:$E27,AN$18)=0,"",MAX(AN$18:AN26)+1)</f>
        <v/>
      </c>
      <c r="AO27" s="821" t="str">
        <f>IF(COUNTIF($C27:$E27,AO$18)=0,"",MAX(AO$18:AO26)+1)</f>
        <v/>
      </c>
      <c r="AQ27" s="821">
        <f>IF(W27=TRUE,MAX($AQ$17:AQ26)+1,"")</f>
        <v>5</v>
      </c>
      <c r="AR27" s="822" t="str">
        <f>IFERROR(INDEX(MSPara_SourceStreamCategory,MATCH(ROWS($AQ$19:AQ27),$AQ$19:$AQ$64,0)),EUconst_NA)</f>
        <v>n.a.</v>
      </c>
    </row>
    <row r="28" spans="1:44" x14ac:dyDescent="0.25">
      <c r="A28" s="29" t="str">
        <f>Translations!B658</f>
        <v>Liquid - HVO</v>
      </c>
      <c r="B28" s="38">
        <v>1</v>
      </c>
      <c r="C28" s="814" t="str">
        <f>IF(B28="","",INDEX(EUConst_TierActivityListNames,B28))</f>
        <v>Commercial standard fuels</v>
      </c>
      <c r="D28" s="30"/>
      <c r="E28" s="815" t="str">
        <f>IF(D28="","",INDEX(EUConst_TierActivityListNames,D28))</f>
        <v/>
      </c>
      <c r="F28" s="816"/>
      <c r="G28" s="817" t="str">
        <f t="shared" si="2"/>
        <v>t</v>
      </c>
      <c r="H28" s="818"/>
      <c r="I28" s="819" t="str">
        <f t="shared" si="3"/>
        <v>tCO2/TJ</v>
      </c>
      <c r="J28" s="818"/>
      <c r="K28" s="819" t="str">
        <f t="shared" si="4"/>
        <v>GJ/t</v>
      </c>
      <c r="L28" s="820" t="str">
        <f t="shared" si="5"/>
        <v>n.a.</v>
      </c>
      <c r="M28" s="31" t="b">
        <v>1</v>
      </c>
      <c r="N28" s="31" t="b">
        <v>0</v>
      </c>
      <c r="O28" s="32" t="s">
        <v>219</v>
      </c>
      <c r="P28" s="33" t="str">
        <f t="shared" si="6"/>
        <v>n.a.</v>
      </c>
      <c r="Q28" s="33" t="s">
        <v>362</v>
      </c>
      <c r="R28" s="33" t="str">
        <f t="shared" si="7"/>
        <v>n.a.</v>
      </c>
      <c r="S28" s="33" t="s">
        <v>363</v>
      </c>
      <c r="T28" s="34" t="str">
        <f t="shared" si="8"/>
        <v>n.a.</v>
      </c>
      <c r="U28" s="760"/>
      <c r="W28" s="39" t="b">
        <v>1</v>
      </c>
      <c r="AL28" s="821">
        <f>IF(COUNTIF($C28:$E28,AL$18)=0,"",MAX(AL$18:AL27)+1)</f>
        <v>10</v>
      </c>
      <c r="AM28" s="821" t="str">
        <f>IF(COUNTIF($C28:$E28,AM$18)=0,"",MAX(AM$18:AM27)+1)</f>
        <v/>
      </c>
      <c r="AN28" s="821" t="str">
        <f>IF(COUNTIF($C28:$E28,AN$18)=0,"",MAX(AN$18:AN27)+1)</f>
        <v/>
      </c>
      <c r="AO28" s="821" t="str">
        <f>IF(COUNTIF($C28:$E28,AO$18)=0,"",MAX(AO$18:AO27)+1)</f>
        <v/>
      </c>
      <c r="AQ28" s="821">
        <f>IF(W28=TRUE,MAX($AQ$17:AQ27)+1,"")</f>
        <v>6</v>
      </c>
      <c r="AR28" s="822" t="str">
        <f>IFERROR(INDEX(MSPara_SourceStreamCategory,MATCH(ROWS($AQ$19:AQ28),$AQ$19:$AQ$64,0)),EUconst_NA)</f>
        <v>n.a.</v>
      </c>
    </row>
    <row r="29" spans="1:44" x14ac:dyDescent="0.25">
      <c r="A29" s="29" t="str">
        <f>Translations!B659</f>
        <v>Liquid - FAME</v>
      </c>
      <c r="B29" s="38">
        <v>1</v>
      </c>
      <c r="C29" s="814" t="str">
        <f>IF(B29="","",INDEX(EUConst_TierActivityListNames,B29))</f>
        <v>Commercial standard fuels</v>
      </c>
      <c r="D29" s="30"/>
      <c r="E29" s="815" t="str">
        <f>IF(D29="","",INDEX(EUConst_TierActivityListNames,D29))</f>
        <v/>
      </c>
      <c r="F29" s="816"/>
      <c r="G29" s="817" t="str">
        <f t="shared" si="2"/>
        <v>t</v>
      </c>
      <c r="H29" s="818"/>
      <c r="I29" s="819" t="str">
        <f t="shared" si="3"/>
        <v>tCO2/TJ</v>
      </c>
      <c r="J29" s="818"/>
      <c r="K29" s="819" t="str">
        <f t="shared" si="4"/>
        <v>GJ/t</v>
      </c>
      <c r="L29" s="820" t="str">
        <f t="shared" si="5"/>
        <v>n.a.</v>
      </c>
      <c r="M29" s="31" t="b">
        <v>1</v>
      </c>
      <c r="N29" s="31" t="b">
        <v>0</v>
      </c>
      <c r="O29" s="32" t="s">
        <v>219</v>
      </c>
      <c r="P29" s="33" t="str">
        <f t="shared" si="6"/>
        <v>n.a.</v>
      </c>
      <c r="Q29" s="33" t="s">
        <v>362</v>
      </c>
      <c r="R29" s="33" t="str">
        <f t="shared" si="7"/>
        <v>n.a.</v>
      </c>
      <c r="S29" s="33" t="s">
        <v>363</v>
      </c>
      <c r="T29" s="35" t="str">
        <f t="shared" si="8"/>
        <v>n.a.</v>
      </c>
      <c r="U29" s="760"/>
      <c r="W29" s="39" t="b">
        <v>1</v>
      </c>
      <c r="AL29" s="821">
        <f>IF(COUNTIF($C29:$E29,AL$18)=0,"",MAX(AL$18:AL28)+1)</f>
        <v>11</v>
      </c>
      <c r="AM29" s="821" t="str">
        <f>IF(COUNTIF($C29:$E29,AM$18)=0,"",MAX(AM$18:AM28)+1)</f>
        <v/>
      </c>
      <c r="AN29" s="821" t="str">
        <f>IF(COUNTIF($C29:$E29,AN$18)=0,"",MAX(AN$18:AN28)+1)</f>
        <v/>
      </c>
      <c r="AO29" s="821" t="str">
        <f>IF(COUNTIF($C29:$E29,AO$18)=0,"",MAX(AO$18:AO28)+1)</f>
        <v/>
      </c>
      <c r="AQ29" s="821">
        <f>IF(W29=TRUE,MAX($AQ$17:AQ28)+1,"")</f>
        <v>7</v>
      </c>
      <c r="AR29" s="822" t="str">
        <f>IFERROR(INDEX(MSPara_SourceStreamCategory,MATCH(ROWS($AQ$19:AQ29),$AQ$19:$AQ$64,0)),EUconst_NA)</f>
        <v>n.a.</v>
      </c>
    </row>
    <row r="30" spans="1:44" x14ac:dyDescent="0.25">
      <c r="A30" s="29" t="str">
        <f>Translations!B574</f>
        <v>Liquid - Light Fuel Oil</v>
      </c>
      <c r="B30" s="38">
        <v>1</v>
      </c>
      <c r="C30" s="814" t="str">
        <f t="shared" si="0"/>
        <v>Commercial standard fuels</v>
      </c>
      <c r="D30" s="30"/>
      <c r="E30" s="815" t="str">
        <f t="shared" si="1"/>
        <v/>
      </c>
      <c r="F30" s="816" t="s">
        <v>361</v>
      </c>
      <c r="G30" s="817" t="str">
        <f t="shared" si="2"/>
        <v>t</v>
      </c>
      <c r="H30" s="818">
        <v>74.099999999999994</v>
      </c>
      <c r="I30" s="819" t="str">
        <f t="shared" si="3"/>
        <v>tCO2/TJ</v>
      </c>
      <c r="J30" s="818">
        <v>43</v>
      </c>
      <c r="K30" s="819" t="str">
        <f t="shared" si="4"/>
        <v>GJ/t</v>
      </c>
      <c r="L30" s="820" t="str">
        <f t="shared" si="5"/>
        <v>n.a.</v>
      </c>
      <c r="M30" s="31" t="b">
        <v>1</v>
      </c>
      <c r="N30" s="31" t="b">
        <v>0</v>
      </c>
      <c r="O30" s="32" t="s">
        <v>182</v>
      </c>
      <c r="P30" s="33" t="str">
        <f t="shared" ref="P30:P44" si="11">EUconst_NA</f>
        <v>n.a.</v>
      </c>
      <c r="Q30" s="33" t="s">
        <v>364</v>
      </c>
      <c r="R30" s="33" t="str">
        <f t="shared" ref="R30:T57" si="12">EUconst_NA</f>
        <v>n.a.</v>
      </c>
      <c r="S30" s="33" t="str">
        <f t="shared" ref="S30:S58" si="13">EUconst_tCO2&amp;"/"&amp;EUconst_TJ</f>
        <v>tCO2/TJ</v>
      </c>
      <c r="T30" s="34" t="str">
        <f t="shared" si="8"/>
        <v>n.a.</v>
      </c>
      <c r="U30" s="760"/>
      <c r="W30" s="39"/>
      <c r="AL30" s="821">
        <f>IF(COUNTIF($C30:$E30,AL$18)=0,"",MAX(AL$18:AL29)+1)</f>
        <v>12</v>
      </c>
      <c r="AM30" s="821" t="str">
        <f>IF(COUNTIF($C30:$E30,AM$18)=0,"",MAX(AM$18:AM29)+1)</f>
        <v/>
      </c>
      <c r="AN30" s="821" t="str">
        <f>IF(COUNTIF($C30:$E30,AN$18)=0,"",MAX(AN$18:AN29)+1)</f>
        <v/>
      </c>
      <c r="AO30" s="821" t="str">
        <f>IF(COUNTIF($C30:$E30,AO$18)=0,"",MAX(AO$18:AO29)+1)</f>
        <v/>
      </c>
      <c r="AQ30" s="821" t="str">
        <f>IF(W30=TRUE,MAX($AQ$17:AQ29)+1,"")</f>
        <v/>
      </c>
      <c r="AR30" s="822" t="str">
        <f>IFERROR(INDEX(MSPara_SourceStreamCategory,MATCH(ROWS($AQ$19:AQ30),$AQ$19:$AQ$64,0)),EUconst_NA)</f>
        <v>n.a.</v>
      </c>
    </row>
    <row r="31" spans="1:44" x14ac:dyDescent="0.25">
      <c r="A31" s="29" t="str">
        <f>Translations!B575</f>
        <v>Liquid - Medium Fuel Oil</v>
      </c>
      <c r="B31" s="38">
        <v>2</v>
      </c>
      <c r="C31" s="814" t="str">
        <f t="shared" si="0"/>
        <v>Other gaseous &amp; liquid fuels</v>
      </c>
      <c r="D31" s="30"/>
      <c r="E31" s="815" t="str">
        <f t="shared" si="1"/>
        <v/>
      </c>
      <c r="F31" s="816" t="s">
        <v>361</v>
      </c>
      <c r="G31" s="817" t="str">
        <f t="shared" si="2"/>
        <v>t</v>
      </c>
      <c r="H31" s="818" t="str">
        <f>EUconst_NA</f>
        <v>n.a.</v>
      </c>
      <c r="I31" s="819" t="str">
        <f t="shared" si="3"/>
        <v>tCO2/TJ</v>
      </c>
      <c r="J31" s="818" t="str">
        <f>EUconst_NA</f>
        <v>n.a.</v>
      </c>
      <c r="K31" s="819" t="str">
        <f t="shared" si="4"/>
        <v>GJ/t</v>
      </c>
      <c r="L31" s="818" t="str">
        <f>EUconst_NA</f>
        <v>n.a.</v>
      </c>
      <c r="M31" s="31" t="b">
        <v>1</v>
      </c>
      <c r="N31" s="31" t="b">
        <v>0</v>
      </c>
      <c r="O31" s="32" t="s">
        <v>182</v>
      </c>
      <c r="P31" s="33" t="str">
        <f t="shared" si="11"/>
        <v>n.a.</v>
      </c>
      <c r="Q31" s="33" t="s">
        <v>364</v>
      </c>
      <c r="R31" s="33" t="str">
        <f t="shared" si="12"/>
        <v>n.a.</v>
      </c>
      <c r="S31" s="33" t="str">
        <f t="shared" si="13"/>
        <v>tCO2/TJ</v>
      </c>
      <c r="T31" s="34" t="str">
        <f t="shared" si="8"/>
        <v>n.a.</v>
      </c>
      <c r="U31" s="760"/>
      <c r="W31" s="39"/>
      <c r="AL31" s="821" t="str">
        <f>IF(COUNTIF($C31:$E31,AL$18)=0,"",MAX(AL$18:AL30)+1)</f>
        <v/>
      </c>
      <c r="AM31" s="821">
        <f>IF(COUNTIF($C31:$E31,AM$18)=0,"",MAX(AM$18:AM30)+1)</f>
        <v>1</v>
      </c>
      <c r="AN31" s="821" t="str">
        <f>IF(COUNTIF($C31:$E31,AN$18)=0,"",MAX(AN$18:AN30)+1)</f>
        <v/>
      </c>
      <c r="AO31" s="821" t="str">
        <f>IF(COUNTIF($C31:$E31,AO$18)=0,"",MAX(AO$18:AO30)+1)</f>
        <v/>
      </c>
      <c r="AQ31" s="821" t="str">
        <f>IF(W31=TRUE,MAX($AQ$17:AQ30)+1,"")</f>
        <v/>
      </c>
      <c r="AR31" s="822" t="str">
        <f>IFERROR(INDEX(MSPara_SourceStreamCategory,MATCH(ROWS($AQ$19:AQ31),$AQ$19:$AQ$64,0)),EUconst_NA)</f>
        <v>n.a.</v>
      </c>
    </row>
    <row r="32" spans="1:44" x14ac:dyDescent="0.25">
      <c r="A32" s="29" t="str">
        <f>Translations!B576</f>
        <v>Liquid - Heavy Fuel Oil</v>
      </c>
      <c r="B32" s="38">
        <v>2</v>
      </c>
      <c r="C32" s="814" t="str">
        <f t="shared" si="0"/>
        <v>Other gaseous &amp; liquid fuels</v>
      </c>
      <c r="D32" s="30"/>
      <c r="E32" s="815" t="str">
        <f t="shared" si="1"/>
        <v/>
      </c>
      <c r="F32" s="816" t="s">
        <v>361</v>
      </c>
      <c r="G32" s="817" t="str">
        <f t="shared" si="2"/>
        <v>t</v>
      </c>
      <c r="H32" s="818" t="str">
        <f>EUconst_NA</f>
        <v>n.a.</v>
      </c>
      <c r="I32" s="819" t="str">
        <f t="shared" si="3"/>
        <v>tCO2/TJ</v>
      </c>
      <c r="J32" s="818" t="str">
        <f>EUconst_NA</f>
        <v>n.a.</v>
      </c>
      <c r="K32" s="819" t="str">
        <f t="shared" si="4"/>
        <v>GJ/t</v>
      </c>
      <c r="L32" s="818" t="str">
        <f>EUconst_NA</f>
        <v>n.a.</v>
      </c>
      <c r="M32" s="31" t="b">
        <v>1</v>
      </c>
      <c r="N32" s="31" t="b">
        <v>0</v>
      </c>
      <c r="O32" s="32" t="s">
        <v>182</v>
      </c>
      <c r="P32" s="33" t="str">
        <f t="shared" si="11"/>
        <v>n.a.</v>
      </c>
      <c r="Q32" s="33" t="s">
        <v>364</v>
      </c>
      <c r="R32" s="33" t="str">
        <f t="shared" si="12"/>
        <v>n.a.</v>
      </c>
      <c r="S32" s="33" t="str">
        <f t="shared" si="13"/>
        <v>tCO2/TJ</v>
      </c>
      <c r="T32" s="34" t="str">
        <f t="shared" si="8"/>
        <v>n.a.</v>
      </c>
      <c r="U32" s="760"/>
      <c r="W32" s="39"/>
      <c r="AL32" s="821" t="str">
        <f>IF(COUNTIF($C32:$E32,AL$18)=0,"",MAX(AL$18:AL31)+1)</f>
        <v/>
      </c>
      <c r="AM32" s="821">
        <f>IF(COUNTIF($C32:$E32,AM$18)=0,"",MAX(AM$18:AM31)+1)</f>
        <v>2</v>
      </c>
      <c r="AN32" s="821" t="str">
        <f>IF(COUNTIF($C32:$E32,AN$18)=0,"",MAX(AN$18:AN31)+1)</f>
        <v/>
      </c>
      <c r="AO32" s="821" t="str">
        <f>IF(COUNTIF($C32:$E32,AO$18)=0,"",MAX(AO$18:AO31)+1)</f>
        <v/>
      </c>
      <c r="AQ32" s="821" t="str">
        <f>IF(W32=TRUE,MAX($AQ$17:AQ31)+1,"")</f>
        <v/>
      </c>
      <c r="AR32" s="822" t="str">
        <f>IFERROR(INDEX(MSPara_SourceStreamCategory,MATCH(ROWS($AQ$19:AQ32),$AQ$19:$AQ$64,0)),EUconst_NA)</f>
        <v>n.a.</v>
      </c>
    </row>
    <row r="33" spans="1:44" x14ac:dyDescent="0.25">
      <c r="A33" s="29" t="str">
        <f>Translations!B577</f>
        <v>Liquid - Liquefied Petroleum Gases</v>
      </c>
      <c r="B33" s="38">
        <v>2</v>
      </c>
      <c r="C33" s="814" t="str">
        <f t="shared" si="0"/>
        <v>Other gaseous &amp; liquid fuels</v>
      </c>
      <c r="D33" s="30"/>
      <c r="E33" s="815" t="str">
        <f t="shared" si="1"/>
        <v/>
      </c>
      <c r="F33" s="816" t="s">
        <v>361</v>
      </c>
      <c r="G33" s="817" t="str">
        <f t="shared" si="2"/>
        <v>t</v>
      </c>
      <c r="H33" s="818">
        <v>63.1</v>
      </c>
      <c r="I33" s="819" t="str">
        <f t="shared" si="3"/>
        <v>tCO2/TJ</v>
      </c>
      <c r="J33" s="818">
        <v>47.3</v>
      </c>
      <c r="K33" s="819" t="str">
        <f t="shared" si="4"/>
        <v>GJ/t</v>
      </c>
      <c r="L33" s="820" t="str">
        <f t="shared" si="5"/>
        <v>n.a.</v>
      </c>
      <c r="M33" s="31" t="b">
        <f>TRUE</f>
        <v>1</v>
      </c>
      <c r="N33" s="31" t="b">
        <v>0</v>
      </c>
      <c r="O33" s="32" t="s">
        <v>182</v>
      </c>
      <c r="P33" s="33" t="str">
        <f t="shared" si="11"/>
        <v>n.a.</v>
      </c>
      <c r="Q33" s="33" t="s">
        <v>364</v>
      </c>
      <c r="R33" s="33" t="str">
        <f t="shared" si="12"/>
        <v>n.a.</v>
      </c>
      <c r="S33" s="33" t="str">
        <f t="shared" si="13"/>
        <v>tCO2/TJ</v>
      </c>
      <c r="T33" s="34" t="str">
        <f t="shared" si="8"/>
        <v>n.a.</v>
      </c>
      <c r="U33" s="760"/>
      <c r="W33" s="39"/>
      <c r="AL33" s="821" t="str">
        <f>IF(COUNTIF($C33:$E33,AL$18)=0,"",MAX(AL$18:AL32)+1)</f>
        <v/>
      </c>
      <c r="AM33" s="821">
        <f>IF(COUNTIF($C33:$E33,AM$18)=0,"",MAX(AM$18:AM32)+1)</f>
        <v>3</v>
      </c>
      <c r="AN33" s="821" t="str">
        <f>IF(COUNTIF($C33:$E33,AN$18)=0,"",MAX(AN$18:AN32)+1)</f>
        <v/>
      </c>
      <c r="AO33" s="821" t="str">
        <f>IF(COUNTIF($C33:$E33,AO$18)=0,"",MAX(AO$18:AO32)+1)</f>
        <v/>
      </c>
      <c r="AQ33" s="821" t="str">
        <f>IF(W33=TRUE,MAX($AQ$17:AQ32)+1,"")</f>
        <v/>
      </c>
      <c r="AR33" s="822" t="str">
        <f>IFERROR(INDEX(MSPara_SourceStreamCategory,MATCH(ROWS($AQ$19:AQ33),$AQ$19:$AQ$64,0)),EUconst_NA)</f>
        <v>n.a.</v>
      </c>
    </row>
    <row r="34" spans="1:44" x14ac:dyDescent="0.25">
      <c r="A34" s="29" t="str">
        <f>Translations!B578</f>
        <v>Liquid - Kerosene</v>
      </c>
      <c r="B34" s="38">
        <v>1</v>
      </c>
      <c r="C34" s="814" t="str">
        <f t="shared" si="0"/>
        <v>Commercial standard fuels</v>
      </c>
      <c r="D34" s="30"/>
      <c r="E34" s="815" t="str">
        <f t="shared" si="1"/>
        <v/>
      </c>
      <c r="F34" s="816" t="s">
        <v>361</v>
      </c>
      <c r="G34" s="817" t="str">
        <f t="shared" si="2"/>
        <v>t</v>
      </c>
      <c r="H34" s="818">
        <v>71.900000000000006</v>
      </c>
      <c r="I34" s="819" t="str">
        <f t="shared" si="3"/>
        <v>tCO2/TJ</v>
      </c>
      <c r="J34" s="818">
        <v>43.8</v>
      </c>
      <c r="K34" s="819" t="str">
        <f t="shared" si="4"/>
        <v>GJ/t</v>
      </c>
      <c r="L34" s="820" t="str">
        <f t="shared" si="5"/>
        <v>n.a.</v>
      </c>
      <c r="M34" s="31" t="b">
        <f>TRUE</f>
        <v>1</v>
      </c>
      <c r="N34" s="31" t="b">
        <v>0</v>
      </c>
      <c r="O34" s="32" t="s">
        <v>182</v>
      </c>
      <c r="P34" s="33" t="str">
        <f t="shared" si="11"/>
        <v>n.a.</v>
      </c>
      <c r="Q34" s="33" t="s">
        <v>364</v>
      </c>
      <c r="R34" s="33" t="str">
        <f t="shared" si="12"/>
        <v>n.a.</v>
      </c>
      <c r="S34" s="33" t="str">
        <f t="shared" si="13"/>
        <v>tCO2/TJ</v>
      </c>
      <c r="T34" s="34" t="str">
        <f t="shared" si="8"/>
        <v>n.a.</v>
      </c>
      <c r="U34" s="760"/>
      <c r="W34" s="39"/>
      <c r="AL34" s="821">
        <f>IF(COUNTIF($C34:$E34,AL$18)=0,"",MAX(AL$18:AL33)+1)</f>
        <v>13</v>
      </c>
      <c r="AM34" s="821" t="str">
        <f>IF(COUNTIF($C34:$E34,AM$18)=0,"",MAX(AM$18:AM33)+1)</f>
        <v/>
      </c>
      <c r="AN34" s="821" t="str">
        <f>IF(COUNTIF($C34:$E34,AN$18)=0,"",MAX(AN$18:AN33)+1)</f>
        <v/>
      </c>
      <c r="AO34" s="821" t="str">
        <f>IF(COUNTIF($C34:$E34,AO$18)=0,"",MAX(AO$18:AO33)+1)</f>
        <v/>
      </c>
      <c r="AQ34" s="821" t="str">
        <f>IF(W34=TRUE,MAX($AQ$17:AQ33)+1,"")</f>
        <v/>
      </c>
      <c r="AR34" s="822" t="str">
        <f>IFERROR(INDEX(MSPara_SourceStreamCategory,MATCH(ROWS($AQ$19:AQ34),$AQ$19:$AQ$64,0)),EUconst_NA)</f>
        <v>n.a.</v>
      </c>
    </row>
    <row r="35" spans="1:44" x14ac:dyDescent="0.25">
      <c r="A35" s="29" t="str">
        <f>Translations!B579</f>
        <v>Liquid - Natural Gas Liquids</v>
      </c>
      <c r="B35" s="38">
        <v>2</v>
      </c>
      <c r="C35" s="814" t="str">
        <f t="shared" si="0"/>
        <v>Other gaseous &amp; liquid fuels</v>
      </c>
      <c r="D35" s="30"/>
      <c r="E35" s="815" t="str">
        <f t="shared" si="1"/>
        <v/>
      </c>
      <c r="F35" s="816" t="s">
        <v>361</v>
      </c>
      <c r="G35" s="817" t="str">
        <f t="shared" si="2"/>
        <v>t</v>
      </c>
      <c r="H35" s="818">
        <v>64.2</v>
      </c>
      <c r="I35" s="819" t="str">
        <f t="shared" si="3"/>
        <v>tCO2/TJ</v>
      </c>
      <c r="J35" s="818">
        <v>44.2</v>
      </c>
      <c r="K35" s="819" t="str">
        <f t="shared" si="4"/>
        <v>GJ/t</v>
      </c>
      <c r="L35" s="820" t="str">
        <f t="shared" si="5"/>
        <v>n.a.</v>
      </c>
      <c r="M35" s="31" t="b">
        <v>1</v>
      </c>
      <c r="N35" s="31" t="b">
        <v>0</v>
      </c>
      <c r="O35" s="32" t="s">
        <v>182</v>
      </c>
      <c r="P35" s="33" t="str">
        <f t="shared" si="11"/>
        <v>n.a.</v>
      </c>
      <c r="Q35" s="33" t="s">
        <v>364</v>
      </c>
      <c r="R35" s="33" t="str">
        <f t="shared" si="12"/>
        <v>n.a.</v>
      </c>
      <c r="S35" s="33" t="str">
        <f t="shared" si="13"/>
        <v>tCO2/TJ</v>
      </c>
      <c r="T35" s="34" t="str">
        <f t="shared" si="8"/>
        <v>n.a.</v>
      </c>
      <c r="U35" s="760"/>
      <c r="W35" s="39"/>
      <c r="AL35" s="821" t="str">
        <f>IF(COUNTIF($C35:$E35,AL$18)=0,"",MAX(AL$18:AL34)+1)</f>
        <v/>
      </c>
      <c r="AM35" s="821">
        <f>IF(COUNTIF($C35:$E35,AM$18)=0,"",MAX(AM$18:AM34)+1)</f>
        <v>4</v>
      </c>
      <c r="AN35" s="821" t="str">
        <f>IF(COUNTIF($C35:$E35,AN$18)=0,"",MAX(AN$18:AN34)+1)</f>
        <v/>
      </c>
      <c r="AO35" s="821" t="str">
        <f>IF(COUNTIF($C35:$E35,AO$18)=0,"",MAX(AO$18:AO34)+1)</f>
        <v/>
      </c>
      <c r="AQ35" s="821" t="str">
        <f>IF(W35=TRUE,MAX($AQ$17:AQ34)+1,"")</f>
        <v/>
      </c>
      <c r="AR35" s="822" t="str">
        <f>IFERROR(INDEX(MSPara_SourceStreamCategory,MATCH(ROWS($AQ$19:AQ35),$AQ$19:$AQ$64,0)),EUconst_NA)</f>
        <v>n.a.</v>
      </c>
    </row>
    <row r="36" spans="1:44" x14ac:dyDescent="0.25">
      <c r="A36" s="29" t="str">
        <f>Translations!B580</f>
        <v>Liquid - Aviation gasoline (AvGas)</v>
      </c>
      <c r="B36" s="38">
        <v>1</v>
      </c>
      <c r="C36" s="814" t="str">
        <f t="shared" si="0"/>
        <v>Commercial standard fuels</v>
      </c>
      <c r="D36" s="30"/>
      <c r="E36" s="815" t="str">
        <f t="shared" si="1"/>
        <v/>
      </c>
      <c r="F36" s="816" t="s">
        <v>361</v>
      </c>
      <c r="G36" s="817" t="str">
        <f t="shared" si="2"/>
        <v>t</v>
      </c>
      <c r="H36" s="818">
        <v>70</v>
      </c>
      <c r="I36" s="819" t="str">
        <f t="shared" si="3"/>
        <v>tCO2/TJ</v>
      </c>
      <c r="J36" s="818">
        <v>44.3</v>
      </c>
      <c r="K36" s="819" t="str">
        <f t="shared" si="4"/>
        <v>GJ/t</v>
      </c>
      <c r="L36" s="820" t="str">
        <f t="shared" si="5"/>
        <v>n.a.</v>
      </c>
      <c r="M36" s="31" t="b">
        <f>TRUE</f>
        <v>1</v>
      </c>
      <c r="N36" s="31" t="b">
        <v>0</v>
      </c>
      <c r="O36" s="32" t="s">
        <v>182</v>
      </c>
      <c r="P36" s="33" t="str">
        <f t="shared" si="11"/>
        <v>n.a.</v>
      </c>
      <c r="Q36" s="33" t="s">
        <v>364</v>
      </c>
      <c r="R36" s="33" t="str">
        <f t="shared" si="12"/>
        <v>n.a.</v>
      </c>
      <c r="S36" s="33" t="str">
        <f t="shared" si="13"/>
        <v>tCO2/TJ</v>
      </c>
      <c r="T36" s="34" t="str">
        <f t="shared" si="8"/>
        <v>n.a.</v>
      </c>
      <c r="U36" s="760"/>
      <c r="W36" s="39"/>
      <c r="AL36" s="821">
        <f>IF(COUNTIF($C36:$E36,AL$18)=0,"",MAX(AL$18:AL35)+1)</f>
        <v>14</v>
      </c>
      <c r="AM36" s="821" t="str">
        <f>IF(COUNTIF($C36:$E36,AM$18)=0,"",MAX(AM$18:AM35)+1)</f>
        <v/>
      </c>
      <c r="AN36" s="821" t="str">
        <f>IF(COUNTIF($C36:$E36,AN$18)=0,"",MAX(AN$18:AN35)+1)</f>
        <v/>
      </c>
      <c r="AO36" s="821" t="str">
        <f>IF(COUNTIF($C36:$E36,AO$18)=0,"",MAX(AO$18:AO35)+1)</f>
        <v/>
      </c>
      <c r="AQ36" s="821" t="str">
        <f>IF(W36=TRUE,MAX($AQ$17:AQ35)+1,"")</f>
        <v/>
      </c>
      <c r="AR36" s="822" t="str">
        <f>IFERROR(INDEX(MSPara_SourceStreamCategory,MATCH(ROWS($AQ$19:AQ36),$AQ$19:$AQ$64,0)),EUconst_NA)</f>
        <v>n.a.</v>
      </c>
    </row>
    <row r="37" spans="1:44" x14ac:dyDescent="0.25">
      <c r="A37" s="29" t="str">
        <f>Translations!B581</f>
        <v>Liquid - Jet gasoline (Jet B)</v>
      </c>
      <c r="B37" s="38">
        <v>1</v>
      </c>
      <c r="C37" s="814" t="str">
        <f t="shared" si="0"/>
        <v>Commercial standard fuels</v>
      </c>
      <c r="D37" s="30"/>
      <c r="E37" s="815" t="str">
        <f t="shared" si="1"/>
        <v/>
      </c>
      <c r="F37" s="816" t="s">
        <v>361</v>
      </c>
      <c r="G37" s="817" t="str">
        <f t="shared" si="2"/>
        <v>t</v>
      </c>
      <c r="H37" s="818">
        <v>70</v>
      </c>
      <c r="I37" s="819" t="str">
        <f t="shared" si="3"/>
        <v>tCO2/TJ</v>
      </c>
      <c r="J37" s="818">
        <v>44.3</v>
      </c>
      <c r="K37" s="819" t="str">
        <f t="shared" si="4"/>
        <v>GJ/t</v>
      </c>
      <c r="L37" s="820" t="str">
        <f t="shared" si="5"/>
        <v>n.a.</v>
      </c>
      <c r="M37" s="31" t="b">
        <f>TRUE</f>
        <v>1</v>
      </c>
      <c r="N37" s="31" t="b">
        <v>0</v>
      </c>
      <c r="O37" s="32" t="s">
        <v>182</v>
      </c>
      <c r="P37" s="33" t="str">
        <f t="shared" si="11"/>
        <v>n.a.</v>
      </c>
      <c r="Q37" s="33" t="s">
        <v>364</v>
      </c>
      <c r="R37" s="33" t="str">
        <f t="shared" si="12"/>
        <v>n.a.</v>
      </c>
      <c r="S37" s="33" t="str">
        <f t="shared" si="13"/>
        <v>tCO2/TJ</v>
      </c>
      <c r="T37" s="34" t="str">
        <f t="shared" si="8"/>
        <v>n.a.</v>
      </c>
      <c r="U37" s="760"/>
      <c r="W37" s="39"/>
      <c r="AL37" s="821">
        <f>IF(COUNTIF($C37:$E37,AL$18)=0,"",MAX(AL$18:AL36)+1)</f>
        <v>15</v>
      </c>
      <c r="AM37" s="821" t="str">
        <f>IF(COUNTIF($C37:$E37,AM$18)=0,"",MAX(AM$18:AM36)+1)</f>
        <v/>
      </c>
      <c r="AN37" s="821" t="str">
        <f>IF(COUNTIF($C37:$E37,AN$18)=0,"",MAX(AN$18:AN36)+1)</f>
        <v/>
      </c>
      <c r="AO37" s="821" t="str">
        <f>IF(COUNTIF($C37:$E37,AO$18)=0,"",MAX(AO$18:AO36)+1)</f>
        <v/>
      </c>
      <c r="AQ37" s="821" t="str">
        <f>IF(W37=TRUE,MAX($AQ$17:AQ36)+1,"")</f>
        <v/>
      </c>
      <c r="AR37" s="822" t="str">
        <f>IFERROR(INDEX(MSPara_SourceStreamCategory,MATCH(ROWS($AQ$19:AQ37),$AQ$19:$AQ$64,0)),EUconst_NA)</f>
        <v>n.a.</v>
      </c>
    </row>
    <row r="38" spans="1:44" x14ac:dyDescent="0.25">
      <c r="A38" s="29" t="str">
        <f>Translations!B582</f>
        <v>Liquid - Jet kerosene (jet A1 or jet A)</v>
      </c>
      <c r="B38" s="38">
        <v>1</v>
      </c>
      <c r="C38" s="814" t="str">
        <f t="shared" si="0"/>
        <v>Commercial standard fuels</v>
      </c>
      <c r="D38" s="30"/>
      <c r="E38" s="815" t="str">
        <f t="shared" si="1"/>
        <v/>
      </c>
      <c r="F38" s="816" t="s">
        <v>361</v>
      </c>
      <c r="G38" s="817" t="str">
        <f t="shared" si="2"/>
        <v>t</v>
      </c>
      <c r="H38" s="818">
        <v>71.5</v>
      </c>
      <c r="I38" s="819" t="str">
        <f t="shared" si="3"/>
        <v>tCO2/TJ</v>
      </c>
      <c r="J38" s="818">
        <v>44.1</v>
      </c>
      <c r="K38" s="819" t="str">
        <f t="shared" si="4"/>
        <v>GJ/t</v>
      </c>
      <c r="L38" s="820" t="str">
        <f t="shared" si="5"/>
        <v>n.a.</v>
      </c>
      <c r="M38" s="31" t="b">
        <f>TRUE</f>
        <v>1</v>
      </c>
      <c r="N38" s="31" t="b">
        <v>0</v>
      </c>
      <c r="O38" s="32" t="s">
        <v>182</v>
      </c>
      <c r="P38" s="33" t="str">
        <f t="shared" si="11"/>
        <v>n.a.</v>
      </c>
      <c r="Q38" s="33" t="s">
        <v>364</v>
      </c>
      <c r="R38" s="33" t="str">
        <f t="shared" si="12"/>
        <v>n.a.</v>
      </c>
      <c r="S38" s="33" t="str">
        <f t="shared" si="13"/>
        <v>tCO2/TJ</v>
      </c>
      <c r="T38" s="34" t="str">
        <f t="shared" si="8"/>
        <v>n.a.</v>
      </c>
      <c r="U38" s="760"/>
      <c r="W38" s="39"/>
      <c r="AL38" s="821">
        <f>IF(COUNTIF($C38:$E38,AL$18)=0,"",MAX(AL$18:AL37)+1)</f>
        <v>16</v>
      </c>
      <c r="AM38" s="821" t="str">
        <f>IF(COUNTIF($C38:$E38,AM$18)=0,"",MAX(AM$18:AM37)+1)</f>
        <v/>
      </c>
      <c r="AN38" s="821" t="str">
        <f>IF(COUNTIF($C38:$E38,AN$18)=0,"",MAX(AN$18:AN37)+1)</f>
        <v/>
      </c>
      <c r="AO38" s="821" t="str">
        <f>IF(COUNTIF($C38:$E38,AO$18)=0,"",MAX(AO$18:AO37)+1)</f>
        <v/>
      </c>
      <c r="AQ38" s="821" t="str">
        <f>IF(W38=TRUE,MAX($AQ$17:AQ37)+1,"")</f>
        <v/>
      </c>
      <c r="AR38" s="822" t="str">
        <f>IFERROR(INDEX(MSPara_SourceStreamCategory,MATCH(ROWS($AQ$19:AQ38),$AQ$19:$AQ$64,0)),EUconst_NA)</f>
        <v>n.a.</v>
      </c>
    </row>
    <row r="39" spans="1:44" x14ac:dyDescent="0.25">
      <c r="A39" s="29" t="str">
        <f>Translations!B583</f>
        <v>Liquid - Shale Oil</v>
      </c>
      <c r="B39" s="38">
        <v>2</v>
      </c>
      <c r="C39" s="814" t="str">
        <f t="shared" si="0"/>
        <v>Other gaseous &amp; liquid fuels</v>
      </c>
      <c r="D39" s="30"/>
      <c r="E39" s="815" t="str">
        <f t="shared" si="1"/>
        <v/>
      </c>
      <c r="F39" s="816" t="s">
        <v>361</v>
      </c>
      <c r="G39" s="817" t="str">
        <f t="shared" si="2"/>
        <v>t</v>
      </c>
      <c r="H39" s="818">
        <v>73.3</v>
      </c>
      <c r="I39" s="819" t="str">
        <f t="shared" si="3"/>
        <v>tCO2/TJ</v>
      </c>
      <c r="J39" s="818">
        <v>38.1</v>
      </c>
      <c r="K39" s="819" t="str">
        <f t="shared" si="4"/>
        <v>GJ/t</v>
      </c>
      <c r="L39" s="820" t="str">
        <f t="shared" si="5"/>
        <v>n.a.</v>
      </c>
      <c r="M39" s="31" t="b">
        <f>FALSE</f>
        <v>0</v>
      </c>
      <c r="N39" s="31" t="b">
        <v>1</v>
      </c>
      <c r="O39" s="32" t="s">
        <v>182</v>
      </c>
      <c r="P39" s="33" t="str">
        <f t="shared" si="11"/>
        <v>n.a.</v>
      </c>
      <c r="Q39" s="33" t="s">
        <v>364</v>
      </c>
      <c r="R39" s="33" t="str">
        <f t="shared" si="12"/>
        <v>n.a.</v>
      </c>
      <c r="S39" s="33" t="str">
        <f t="shared" si="13"/>
        <v>tCO2/TJ</v>
      </c>
      <c r="T39" s="34" t="str">
        <f t="shared" si="8"/>
        <v>n.a.</v>
      </c>
      <c r="U39" s="760"/>
      <c r="W39" s="39"/>
      <c r="AL39" s="821" t="str">
        <f>IF(COUNTIF($C39:$E39,AL$18)=0,"",MAX(AL$18:AL38)+1)</f>
        <v/>
      </c>
      <c r="AM39" s="821">
        <f>IF(COUNTIF($C39:$E39,AM$18)=0,"",MAX(AM$18:AM38)+1)</f>
        <v>5</v>
      </c>
      <c r="AN39" s="821" t="str">
        <f>IF(COUNTIF($C39:$E39,AN$18)=0,"",MAX(AN$18:AN38)+1)</f>
        <v/>
      </c>
      <c r="AO39" s="821" t="str">
        <f>IF(COUNTIF($C39:$E39,AO$18)=0,"",MAX(AO$18:AO38)+1)</f>
        <v/>
      </c>
      <c r="AQ39" s="821" t="str">
        <f>IF(W39=TRUE,MAX($AQ$17:AQ38)+1,"")</f>
        <v/>
      </c>
      <c r="AR39" s="822" t="str">
        <f>IFERROR(INDEX(MSPara_SourceStreamCategory,MATCH(ROWS($AQ$19:AQ39),$AQ$19:$AQ$64,0)),EUconst_NA)</f>
        <v>n.a.</v>
      </c>
    </row>
    <row r="40" spans="1:44" x14ac:dyDescent="0.25">
      <c r="A40" s="29" t="str">
        <f>Translations!B584</f>
        <v>Liquid - Biogasoline</v>
      </c>
      <c r="B40" s="38">
        <v>2</v>
      </c>
      <c r="C40" s="814" t="str">
        <f t="shared" si="0"/>
        <v>Other gaseous &amp; liquid fuels</v>
      </c>
      <c r="D40" s="30"/>
      <c r="E40" s="815" t="str">
        <f t="shared" si="1"/>
        <v/>
      </c>
      <c r="F40" s="816" t="s">
        <v>361</v>
      </c>
      <c r="G40" s="817" t="str">
        <f t="shared" si="2"/>
        <v>t</v>
      </c>
      <c r="H40" s="818" t="str">
        <f>EUconst_NA</f>
        <v>n.a.</v>
      </c>
      <c r="I40" s="819" t="str">
        <f t="shared" si="3"/>
        <v>tCO2/TJ</v>
      </c>
      <c r="J40" s="818">
        <v>27</v>
      </c>
      <c r="K40" s="819" t="str">
        <f t="shared" si="4"/>
        <v>GJ/t</v>
      </c>
      <c r="L40" s="823">
        <v>1</v>
      </c>
      <c r="M40" s="31" t="b">
        <v>1</v>
      </c>
      <c r="N40" s="31" t="b">
        <v>0</v>
      </c>
      <c r="O40" s="32" t="s">
        <v>182</v>
      </c>
      <c r="P40" s="33" t="str">
        <f t="shared" si="11"/>
        <v>n.a.</v>
      </c>
      <c r="Q40" s="33" t="s">
        <v>364</v>
      </c>
      <c r="R40" s="33" t="str">
        <f t="shared" si="12"/>
        <v>n.a.</v>
      </c>
      <c r="S40" s="33" t="str">
        <f t="shared" si="13"/>
        <v>tCO2/TJ</v>
      </c>
      <c r="T40" s="35">
        <f t="shared" si="8"/>
        <v>1</v>
      </c>
      <c r="U40" s="760"/>
      <c r="W40" s="39"/>
      <c r="AL40" s="821" t="str">
        <f>IF(COUNTIF($C40:$E40,AL$18)=0,"",MAX(AL$18:AL39)+1)</f>
        <v/>
      </c>
      <c r="AM40" s="821">
        <f>IF(COUNTIF($C40:$E40,AM$18)=0,"",MAX(AM$18:AM39)+1)</f>
        <v>6</v>
      </c>
      <c r="AN40" s="821" t="str">
        <f>IF(COUNTIF($C40:$E40,AN$18)=0,"",MAX(AN$18:AN39)+1)</f>
        <v/>
      </c>
      <c r="AO40" s="821" t="str">
        <f>IF(COUNTIF($C40:$E40,AO$18)=0,"",MAX(AO$18:AO39)+1)</f>
        <v/>
      </c>
      <c r="AQ40" s="821" t="str">
        <f>IF(W40=TRUE,MAX($AQ$17:AQ39)+1,"")</f>
        <v/>
      </c>
      <c r="AR40" s="822" t="str">
        <f>IFERROR(INDEX(MSPara_SourceStreamCategory,MATCH(ROWS($AQ$19:AQ40),$AQ$19:$AQ$64,0)),EUconst_NA)</f>
        <v>n.a.</v>
      </c>
    </row>
    <row r="41" spans="1:44" x14ac:dyDescent="0.25">
      <c r="A41" s="29" t="str">
        <f>Translations!B585</f>
        <v>Liquid - Biodiesels</v>
      </c>
      <c r="B41" s="38">
        <v>2</v>
      </c>
      <c r="C41" s="814" t="str">
        <f t="shared" si="0"/>
        <v>Other gaseous &amp; liquid fuels</v>
      </c>
      <c r="D41" s="30"/>
      <c r="E41" s="815" t="str">
        <f t="shared" si="1"/>
        <v/>
      </c>
      <c r="F41" s="816" t="s">
        <v>361</v>
      </c>
      <c r="G41" s="817" t="str">
        <f t="shared" si="2"/>
        <v>t</v>
      </c>
      <c r="H41" s="818" t="str">
        <f>EUconst_NA</f>
        <v>n.a.</v>
      </c>
      <c r="I41" s="819" t="str">
        <f t="shared" si="3"/>
        <v>tCO2/TJ</v>
      </c>
      <c r="J41" s="818">
        <v>27</v>
      </c>
      <c r="K41" s="819" t="str">
        <f t="shared" si="4"/>
        <v>GJ/t</v>
      </c>
      <c r="L41" s="823">
        <v>1</v>
      </c>
      <c r="M41" s="31" t="b">
        <v>1</v>
      </c>
      <c r="N41" s="31" t="b">
        <v>0</v>
      </c>
      <c r="O41" s="32" t="s">
        <v>182</v>
      </c>
      <c r="P41" s="33" t="str">
        <f t="shared" si="11"/>
        <v>n.a.</v>
      </c>
      <c r="Q41" s="33" t="s">
        <v>364</v>
      </c>
      <c r="R41" s="33" t="str">
        <f t="shared" si="12"/>
        <v>n.a.</v>
      </c>
      <c r="S41" s="33" t="str">
        <f t="shared" si="13"/>
        <v>tCO2/TJ</v>
      </c>
      <c r="T41" s="35">
        <f t="shared" ref="T41:T58" si="14">L41</f>
        <v>1</v>
      </c>
      <c r="U41" s="760"/>
      <c r="W41" s="39"/>
      <c r="AL41" s="821" t="str">
        <f>IF(COUNTIF($C41:$E41,AL$18)=0,"",MAX(AL$18:AL40)+1)</f>
        <v/>
      </c>
      <c r="AM41" s="821">
        <f>IF(COUNTIF($C41:$E41,AM$18)=0,"",MAX(AM$18:AM40)+1)</f>
        <v>7</v>
      </c>
      <c r="AN41" s="821" t="str">
        <f>IF(COUNTIF($C41:$E41,AN$18)=0,"",MAX(AN$18:AN40)+1)</f>
        <v/>
      </c>
      <c r="AO41" s="821" t="str">
        <f>IF(COUNTIF($C41:$E41,AO$18)=0,"",MAX(AO$18:AO40)+1)</f>
        <v/>
      </c>
      <c r="AQ41" s="821" t="str">
        <f>IF(W41=TRUE,MAX($AQ$17:AQ40)+1,"")</f>
        <v/>
      </c>
      <c r="AR41" s="822" t="str">
        <f>IFERROR(INDEX(MSPara_SourceStreamCategory,MATCH(ROWS($AQ$19:AQ41),$AQ$19:$AQ$64,0)),EUconst_NA)</f>
        <v>n.a.</v>
      </c>
    </row>
    <row r="42" spans="1:44" x14ac:dyDescent="0.25">
      <c r="A42" s="29" t="str">
        <f>Translations!B586</f>
        <v>Liquid - Waste Oils</v>
      </c>
      <c r="B42" s="38">
        <v>2</v>
      </c>
      <c r="C42" s="814" t="str">
        <f t="shared" si="0"/>
        <v>Other gaseous &amp; liquid fuels</v>
      </c>
      <c r="D42" s="30"/>
      <c r="E42" s="815" t="str">
        <f t="shared" si="1"/>
        <v/>
      </c>
      <c r="F42" s="816" t="s">
        <v>361</v>
      </c>
      <c r="G42" s="817" t="str">
        <f t="shared" si="2"/>
        <v>t</v>
      </c>
      <c r="H42" s="818">
        <v>73.3</v>
      </c>
      <c r="I42" s="819" t="str">
        <f t="shared" si="3"/>
        <v>tCO2/TJ</v>
      </c>
      <c r="J42" s="818">
        <v>40.200000000000003</v>
      </c>
      <c r="K42" s="819" t="str">
        <f t="shared" si="4"/>
        <v>GJ/t</v>
      </c>
      <c r="L42" s="823">
        <v>1</v>
      </c>
      <c r="M42" s="31" t="b">
        <f>FALSE</f>
        <v>0</v>
      </c>
      <c r="N42" s="31" t="b">
        <v>0</v>
      </c>
      <c r="O42" s="32" t="s">
        <v>182</v>
      </c>
      <c r="P42" s="33" t="str">
        <f t="shared" si="11"/>
        <v>n.a.</v>
      </c>
      <c r="Q42" s="33" t="s">
        <v>364</v>
      </c>
      <c r="R42" s="33" t="str">
        <f t="shared" si="12"/>
        <v>n.a.</v>
      </c>
      <c r="S42" s="33" t="str">
        <f t="shared" si="13"/>
        <v>tCO2/TJ</v>
      </c>
      <c r="T42" s="34">
        <f t="shared" si="14"/>
        <v>1</v>
      </c>
      <c r="U42" s="760"/>
      <c r="W42" s="39"/>
      <c r="AL42" s="821" t="str">
        <f>IF(COUNTIF($C42:$E42,AL$18)=0,"",MAX(AL$18:AL41)+1)</f>
        <v/>
      </c>
      <c r="AM42" s="821">
        <f>IF(COUNTIF($C42:$E42,AM$18)=0,"",MAX(AM$18:AM41)+1)</f>
        <v>8</v>
      </c>
      <c r="AN42" s="821" t="str">
        <f>IF(COUNTIF($C42:$E42,AN$18)=0,"",MAX(AN$18:AN41)+1)</f>
        <v/>
      </c>
      <c r="AO42" s="821" t="str">
        <f>IF(COUNTIF($C42:$E42,AO$18)=0,"",MAX(AO$18:AO41)+1)</f>
        <v/>
      </c>
      <c r="AQ42" s="821" t="str">
        <f>IF(W42=TRUE,MAX($AQ$17:AQ41)+1,"")</f>
        <v/>
      </c>
      <c r="AR42" s="822" t="str">
        <f>IFERROR(INDEX(MSPara_SourceStreamCategory,MATCH(ROWS($AQ$19:AQ42),$AQ$19:$AQ$64,0)),EUconst_NA)</f>
        <v>n.a.</v>
      </c>
    </row>
    <row r="43" spans="1:44" x14ac:dyDescent="0.25">
      <c r="A43" s="29" t="str">
        <f>Translations!B587</f>
        <v>Liquid - Other liquid fuels</v>
      </c>
      <c r="B43" s="38">
        <v>2</v>
      </c>
      <c r="C43" s="814" t="str">
        <f t="shared" si="0"/>
        <v>Other gaseous &amp; liquid fuels</v>
      </c>
      <c r="D43" s="30"/>
      <c r="E43" s="815" t="str">
        <f t="shared" si="1"/>
        <v/>
      </c>
      <c r="F43" s="816" t="s">
        <v>361</v>
      </c>
      <c r="G43" s="817" t="str">
        <f t="shared" si="2"/>
        <v>t</v>
      </c>
      <c r="H43" s="818" t="str">
        <f>EUconst_NA</f>
        <v>n.a.</v>
      </c>
      <c r="I43" s="819" t="str">
        <f t="shared" si="3"/>
        <v>tCO2/TJ</v>
      </c>
      <c r="J43" s="818" t="str">
        <f>EUconst_NA</f>
        <v>n.a.</v>
      </c>
      <c r="K43" s="819" t="str">
        <f t="shared" si="4"/>
        <v>GJ/t</v>
      </c>
      <c r="L43" s="818" t="str">
        <f>EUconst_NA</f>
        <v>n.a.</v>
      </c>
      <c r="M43" s="31" t="b">
        <v>0</v>
      </c>
      <c r="N43" s="31" t="b">
        <v>0</v>
      </c>
      <c r="O43" s="32" t="s">
        <v>182</v>
      </c>
      <c r="P43" s="33" t="str">
        <f t="shared" si="11"/>
        <v>n.a.</v>
      </c>
      <c r="Q43" s="33" t="s">
        <v>364</v>
      </c>
      <c r="R43" s="33" t="str">
        <f t="shared" si="12"/>
        <v>n.a.</v>
      </c>
      <c r="S43" s="33" t="str">
        <f t="shared" si="13"/>
        <v>tCO2/TJ</v>
      </c>
      <c r="T43" s="34" t="str">
        <f t="shared" si="14"/>
        <v>n.a.</v>
      </c>
      <c r="U43" s="760"/>
      <c r="W43" s="39"/>
      <c r="AL43" s="821" t="str">
        <f>IF(COUNTIF($C43:$E43,AL$18)=0,"",MAX(AL$18:AL42)+1)</f>
        <v/>
      </c>
      <c r="AM43" s="821">
        <f>IF(COUNTIF($C43:$E43,AM$18)=0,"",MAX(AM$18:AM42)+1)</f>
        <v>9</v>
      </c>
      <c r="AN43" s="821" t="str">
        <f>IF(COUNTIF($C43:$E43,AN$18)=0,"",MAX(AN$18:AN42)+1)</f>
        <v/>
      </c>
      <c r="AO43" s="821" t="str">
        <f>IF(COUNTIF($C43:$E43,AO$18)=0,"",MAX(AO$18:AO42)+1)</f>
        <v/>
      </c>
      <c r="AQ43" s="821" t="str">
        <f>IF(W43=TRUE,MAX($AQ$17:AQ42)+1,"")</f>
        <v/>
      </c>
      <c r="AR43" s="822" t="str">
        <f>IFERROR(INDEX(MSPara_SourceStreamCategory,MATCH(ROWS($AQ$19:AQ43),$AQ$19:$AQ$64,0)),EUconst_NA)</f>
        <v>n.a.</v>
      </c>
    </row>
    <row r="44" spans="1:44" x14ac:dyDescent="0.25">
      <c r="A44" s="29" t="str">
        <f>Translations!B588</f>
        <v>Gaseous - Natural Gas</v>
      </c>
      <c r="B44" s="38">
        <v>2</v>
      </c>
      <c r="C44" s="814" t="str">
        <f t="shared" si="0"/>
        <v>Other gaseous &amp; liquid fuels</v>
      </c>
      <c r="D44" s="30"/>
      <c r="E44" s="815" t="str">
        <f t="shared" si="1"/>
        <v/>
      </c>
      <c r="F44" s="816" t="s">
        <v>361</v>
      </c>
      <c r="G44" s="817" t="str">
        <f t="shared" si="2"/>
        <v>t</v>
      </c>
      <c r="H44" s="818">
        <v>56.1</v>
      </c>
      <c r="I44" s="819" t="str">
        <f t="shared" si="3"/>
        <v>tCO2/TJ</v>
      </c>
      <c r="J44" s="818">
        <v>48</v>
      </c>
      <c r="K44" s="819" t="str">
        <f t="shared" si="4"/>
        <v>GJ/t</v>
      </c>
      <c r="L44" s="823">
        <v>1</v>
      </c>
      <c r="M44" s="31" t="b">
        <v>1</v>
      </c>
      <c r="N44" s="31" t="b">
        <v>0</v>
      </c>
      <c r="O44" s="32" t="s">
        <v>217</v>
      </c>
      <c r="P44" s="33" t="str">
        <f t="shared" si="11"/>
        <v>n.a.</v>
      </c>
      <c r="Q44" s="33" t="s">
        <v>365</v>
      </c>
      <c r="R44" s="33" t="str">
        <f t="shared" si="12"/>
        <v>n.a.</v>
      </c>
      <c r="S44" s="33" t="str">
        <f t="shared" si="13"/>
        <v>tCO2/TJ</v>
      </c>
      <c r="T44" s="34">
        <f t="shared" si="14"/>
        <v>1</v>
      </c>
      <c r="U44" s="760"/>
      <c r="W44" s="39"/>
      <c r="AL44" s="821" t="str">
        <f>IF(COUNTIF($C44:$E44,AL$18)=0,"",MAX(AL$18:AL43)+1)</f>
        <v/>
      </c>
      <c r="AM44" s="821">
        <f>IF(COUNTIF($C44:$E44,AM$18)=0,"",MAX(AM$18:AM43)+1)</f>
        <v>10</v>
      </c>
      <c r="AN44" s="821" t="str">
        <f>IF(COUNTIF($C44:$E44,AN$18)=0,"",MAX(AN$18:AN43)+1)</f>
        <v/>
      </c>
      <c r="AO44" s="821" t="str">
        <f>IF(COUNTIF($C44:$E44,AO$18)=0,"",MAX(AO$18:AO43)+1)</f>
        <v/>
      </c>
      <c r="AQ44" s="821" t="str">
        <f>IF(W44=TRUE,MAX($AQ$17:AQ43)+1,"")</f>
        <v/>
      </c>
      <c r="AR44" s="822" t="str">
        <f>IFERROR(INDEX(MSPara_SourceStreamCategory,MATCH(ROWS($AQ$19:AQ44),$AQ$19:$AQ$64,0)),EUconst_NA)</f>
        <v>n.a.</v>
      </c>
    </row>
    <row r="45" spans="1:44" x14ac:dyDescent="0.25">
      <c r="A45" s="29" t="str">
        <f>Translations!B589</f>
        <v>Gaseous - Landfill Gas</v>
      </c>
      <c r="B45" s="38">
        <v>2</v>
      </c>
      <c r="C45" s="814" t="str">
        <f t="shared" si="0"/>
        <v>Other gaseous &amp; liquid fuels</v>
      </c>
      <c r="D45" s="30"/>
      <c r="E45" s="815" t="str">
        <f t="shared" si="1"/>
        <v/>
      </c>
      <c r="F45" s="816" t="s">
        <v>361</v>
      </c>
      <c r="G45" s="817" t="str">
        <f t="shared" si="2"/>
        <v>t</v>
      </c>
      <c r="H45" s="818" t="str">
        <f>EUconst_NA</f>
        <v>n.a.</v>
      </c>
      <c r="I45" s="819" t="str">
        <f t="shared" si="3"/>
        <v>tCO2/TJ</v>
      </c>
      <c r="J45" s="818">
        <v>50.4</v>
      </c>
      <c r="K45" s="819" t="str">
        <f t="shared" si="4"/>
        <v>GJ/t</v>
      </c>
      <c r="L45" s="823">
        <v>1</v>
      </c>
      <c r="M45" s="31" t="b">
        <f>FALSE</f>
        <v>0</v>
      </c>
      <c r="N45" s="31" t="b">
        <v>0</v>
      </c>
      <c r="O45" s="32" t="s">
        <v>182</v>
      </c>
      <c r="P45" s="33" t="str">
        <f t="shared" ref="P45:P58" si="15">EUconst_NA</f>
        <v>n.a.</v>
      </c>
      <c r="Q45" s="33" t="s">
        <v>364</v>
      </c>
      <c r="R45" s="33" t="str">
        <f t="shared" si="12"/>
        <v>n.a.</v>
      </c>
      <c r="S45" s="33" t="str">
        <f t="shared" si="13"/>
        <v>tCO2/TJ</v>
      </c>
      <c r="T45" s="34">
        <f t="shared" si="14"/>
        <v>1</v>
      </c>
      <c r="U45" s="760"/>
      <c r="W45" s="39"/>
      <c r="AL45" s="821" t="str">
        <f>IF(COUNTIF($C45:$E45,AL$18)=0,"",MAX(AL$18:AL44)+1)</f>
        <v/>
      </c>
      <c r="AM45" s="821">
        <f>IF(COUNTIF($C45:$E45,AM$18)=0,"",MAX(AM$18:AM44)+1)</f>
        <v>11</v>
      </c>
      <c r="AN45" s="821" t="str">
        <f>IF(COUNTIF($C45:$E45,AN$18)=0,"",MAX(AN$18:AN44)+1)</f>
        <v/>
      </c>
      <c r="AO45" s="821" t="str">
        <f>IF(COUNTIF($C45:$E45,AO$18)=0,"",MAX(AO$18:AO44)+1)</f>
        <v/>
      </c>
      <c r="AQ45" s="821" t="str">
        <f>IF(W45=TRUE,MAX($AQ$17:AQ44)+1,"")</f>
        <v/>
      </c>
      <c r="AR45" s="822" t="str">
        <f>IFERROR(INDEX(MSPara_SourceStreamCategory,MATCH(ROWS($AQ$19:AQ45),$AQ$19:$AQ$64,0)),EUconst_NA)</f>
        <v>n.a.</v>
      </c>
    </row>
    <row r="46" spans="1:44" x14ac:dyDescent="0.25">
      <c r="A46" s="29" t="str">
        <f>Translations!B590</f>
        <v>Gaseous - Sludge Gas</v>
      </c>
      <c r="B46" s="38">
        <v>2</v>
      </c>
      <c r="C46" s="814" t="str">
        <f t="shared" si="0"/>
        <v>Other gaseous &amp; liquid fuels</v>
      </c>
      <c r="D46" s="30"/>
      <c r="E46" s="815" t="str">
        <f t="shared" si="1"/>
        <v/>
      </c>
      <c r="F46" s="816" t="s">
        <v>361</v>
      </c>
      <c r="G46" s="817" t="str">
        <f t="shared" si="2"/>
        <v>t</v>
      </c>
      <c r="H46" s="818" t="str">
        <f>EUconst_NA</f>
        <v>n.a.</v>
      </c>
      <c r="I46" s="819" t="str">
        <f t="shared" si="3"/>
        <v>tCO2/TJ</v>
      </c>
      <c r="J46" s="818">
        <v>50.4</v>
      </c>
      <c r="K46" s="819" t="str">
        <f t="shared" si="4"/>
        <v>GJ/t</v>
      </c>
      <c r="L46" s="823">
        <v>1</v>
      </c>
      <c r="M46" s="31" t="b">
        <f>FALSE</f>
        <v>0</v>
      </c>
      <c r="N46" s="31" t="b">
        <v>0</v>
      </c>
      <c r="O46" s="32" t="s">
        <v>182</v>
      </c>
      <c r="P46" s="33" t="str">
        <f t="shared" si="15"/>
        <v>n.a.</v>
      </c>
      <c r="Q46" s="33" t="s">
        <v>364</v>
      </c>
      <c r="R46" s="33" t="str">
        <f t="shared" si="12"/>
        <v>n.a.</v>
      </c>
      <c r="S46" s="33" t="str">
        <f t="shared" si="13"/>
        <v>tCO2/TJ</v>
      </c>
      <c r="T46" s="34">
        <f t="shared" si="14"/>
        <v>1</v>
      </c>
      <c r="U46" s="760"/>
      <c r="W46" s="39"/>
      <c r="AL46" s="821" t="str">
        <f>IF(COUNTIF($C46:$E46,AL$18)=0,"",MAX(AL$18:AL45)+1)</f>
        <v/>
      </c>
      <c r="AM46" s="821">
        <f>IF(COUNTIF($C46:$E46,AM$18)=0,"",MAX(AM$18:AM45)+1)</f>
        <v>12</v>
      </c>
      <c r="AN46" s="821" t="str">
        <f>IF(COUNTIF($C46:$E46,AN$18)=0,"",MAX(AN$18:AN45)+1)</f>
        <v/>
      </c>
      <c r="AO46" s="821" t="str">
        <f>IF(COUNTIF($C46:$E46,AO$18)=0,"",MAX(AO$18:AO45)+1)</f>
        <v/>
      </c>
      <c r="AQ46" s="821" t="str">
        <f>IF(W46=TRUE,MAX($AQ$17:AQ45)+1,"")</f>
        <v/>
      </c>
      <c r="AR46" s="822" t="str">
        <f>IFERROR(INDEX(MSPara_SourceStreamCategory,MATCH(ROWS($AQ$19:AQ46),$AQ$19:$AQ$64,0)),EUconst_NA)</f>
        <v>n.a.</v>
      </c>
    </row>
    <row r="47" spans="1:44" x14ac:dyDescent="0.25">
      <c r="A47" s="29" t="str">
        <f>Translations!B591</f>
        <v>Gaseous - Ethane</v>
      </c>
      <c r="B47" s="38">
        <v>1</v>
      </c>
      <c r="C47" s="814" t="str">
        <f t="shared" si="0"/>
        <v>Commercial standard fuels</v>
      </c>
      <c r="D47" s="30"/>
      <c r="E47" s="815" t="str">
        <f t="shared" si="1"/>
        <v/>
      </c>
      <c r="F47" s="816" t="s">
        <v>361</v>
      </c>
      <c r="G47" s="817" t="str">
        <f t="shared" si="2"/>
        <v>t</v>
      </c>
      <c r="H47" s="818">
        <v>61.6</v>
      </c>
      <c r="I47" s="819" t="str">
        <f t="shared" si="3"/>
        <v>tCO2/TJ</v>
      </c>
      <c r="J47" s="818">
        <v>46.4</v>
      </c>
      <c r="K47" s="819" t="str">
        <f t="shared" si="4"/>
        <v>GJ/t</v>
      </c>
      <c r="L47" s="818" t="str">
        <f>EUconst_NA</f>
        <v>n.a.</v>
      </c>
      <c r="M47" s="31" t="b">
        <v>1</v>
      </c>
      <c r="N47" s="31" t="b">
        <v>1</v>
      </c>
      <c r="O47" s="32" t="s">
        <v>182</v>
      </c>
      <c r="P47" s="33" t="str">
        <f t="shared" si="15"/>
        <v>n.a.</v>
      </c>
      <c r="Q47" s="33" t="s">
        <v>364</v>
      </c>
      <c r="R47" s="33" t="str">
        <f t="shared" si="12"/>
        <v>n.a.</v>
      </c>
      <c r="S47" s="33" t="str">
        <f t="shared" si="13"/>
        <v>tCO2/TJ</v>
      </c>
      <c r="T47" s="33" t="str">
        <f t="shared" si="12"/>
        <v>n.a.</v>
      </c>
      <c r="U47" s="760"/>
      <c r="W47" s="39"/>
      <c r="AL47" s="821">
        <f>IF(COUNTIF($C47:$E47,AL$18)=0,"",MAX(AL$18:AL46)+1)</f>
        <v>17</v>
      </c>
      <c r="AM47" s="821" t="str">
        <f>IF(COUNTIF($C47:$E47,AM$18)=0,"",MAX(AM$18:AM46)+1)</f>
        <v/>
      </c>
      <c r="AN47" s="821" t="str">
        <f>IF(COUNTIF($C47:$E47,AN$18)=0,"",MAX(AN$18:AN46)+1)</f>
        <v/>
      </c>
      <c r="AO47" s="821" t="str">
        <f>IF(COUNTIF($C47:$E47,AO$18)=0,"",MAX(AO$18:AO46)+1)</f>
        <v/>
      </c>
      <c r="AQ47" s="821" t="str">
        <f>IF(W47=TRUE,MAX($AQ$17:AQ46)+1,"")</f>
        <v/>
      </c>
      <c r="AR47" s="822" t="str">
        <f>IFERROR(INDEX(MSPara_SourceStreamCategory,MATCH(ROWS($AQ$19:AQ47),$AQ$19:$AQ$64,0)),EUconst_NA)</f>
        <v>n.a.</v>
      </c>
    </row>
    <row r="48" spans="1:44" x14ac:dyDescent="0.25">
      <c r="A48" s="29" t="str">
        <f>Translations!B592</f>
        <v>Gaseous - Propane</v>
      </c>
      <c r="B48" s="38">
        <v>1</v>
      </c>
      <c r="C48" s="814" t="str">
        <f t="shared" si="0"/>
        <v>Commercial standard fuels</v>
      </c>
      <c r="D48" s="30"/>
      <c r="E48" s="815" t="str">
        <f t="shared" si="1"/>
        <v/>
      </c>
      <c r="F48" s="816" t="s">
        <v>361</v>
      </c>
      <c r="G48" s="817" t="str">
        <f t="shared" si="2"/>
        <v>t</v>
      </c>
      <c r="H48" s="818">
        <v>2.9929999999999999</v>
      </c>
      <c r="I48" s="819" t="s">
        <v>366</v>
      </c>
      <c r="J48" s="818" t="str">
        <f>EUconst_NA</f>
        <v>n.a.</v>
      </c>
      <c r="K48" s="819" t="str">
        <f t="shared" si="4"/>
        <v>GJ/t</v>
      </c>
      <c r="L48" s="818" t="str">
        <f>EUconst_NA</f>
        <v>n.a.</v>
      </c>
      <c r="M48" s="31" t="b">
        <v>1</v>
      </c>
      <c r="N48" s="31" t="b">
        <v>1</v>
      </c>
      <c r="O48" s="32" t="s">
        <v>182</v>
      </c>
      <c r="P48" s="33" t="str">
        <f t="shared" si="15"/>
        <v>n.a.</v>
      </c>
      <c r="Q48" s="33" t="s">
        <v>364</v>
      </c>
      <c r="R48" s="33" t="str">
        <f t="shared" si="12"/>
        <v>n.a.</v>
      </c>
      <c r="S48" s="33" t="str">
        <f t="shared" si="13"/>
        <v>tCO2/TJ</v>
      </c>
      <c r="T48" s="33" t="str">
        <f t="shared" si="12"/>
        <v>n.a.</v>
      </c>
      <c r="U48" s="760"/>
      <c r="W48" s="39"/>
      <c r="AL48" s="821">
        <f>IF(COUNTIF($C48:$E48,AL$18)=0,"",MAX(AL$18:AL47)+1)</f>
        <v>18</v>
      </c>
      <c r="AM48" s="821" t="str">
        <f>IF(COUNTIF($C48:$E48,AM$18)=0,"",MAX(AM$18:AM47)+1)</f>
        <v/>
      </c>
      <c r="AN48" s="821" t="str">
        <f>IF(COUNTIF($C48:$E48,AN$18)=0,"",MAX(AN$18:AN47)+1)</f>
        <v/>
      </c>
      <c r="AO48" s="821" t="str">
        <f>IF(COUNTIF($C48:$E48,AO$18)=0,"",MAX(AO$18:AO47)+1)</f>
        <v/>
      </c>
      <c r="AQ48" s="821" t="str">
        <f>IF(W48=TRUE,MAX($AQ$17:AQ47)+1,"")</f>
        <v/>
      </c>
      <c r="AR48" s="822" t="str">
        <f>IFERROR(INDEX(MSPara_SourceStreamCategory,MATCH(ROWS($AQ$19:AQ48),$AQ$19:$AQ$64,0)),EUconst_NA)</f>
        <v>n.a.</v>
      </c>
    </row>
    <row r="49" spans="1:44" x14ac:dyDescent="0.25">
      <c r="A49" s="29" t="str">
        <f>Translations!B593</f>
        <v>Gaseous - Butane</v>
      </c>
      <c r="B49" s="38">
        <v>1</v>
      </c>
      <c r="C49" s="814" t="str">
        <f t="shared" si="0"/>
        <v>Commercial standard fuels</v>
      </c>
      <c r="D49" s="30"/>
      <c r="E49" s="815" t="str">
        <f t="shared" si="1"/>
        <v/>
      </c>
      <c r="F49" s="816" t="s">
        <v>361</v>
      </c>
      <c r="G49" s="817" t="str">
        <f t="shared" si="2"/>
        <v>t</v>
      </c>
      <c r="H49" s="818" t="str">
        <f>EUconst_NA</f>
        <v>n.a.</v>
      </c>
      <c r="I49" s="819" t="s">
        <v>366</v>
      </c>
      <c r="J49" s="818" t="str">
        <f>EUconst_NA</f>
        <v>n.a.</v>
      </c>
      <c r="K49" s="819" t="str">
        <f t="shared" si="4"/>
        <v>GJ/t</v>
      </c>
      <c r="L49" s="818" t="str">
        <f>EUconst_NA</f>
        <v>n.a.</v>
      </c>
      <c r="M49" s="31" t="b">
        <v>1</v>
      </c>
      <c r="N49" s="31" t="b">
        <v>1</v>
      </c>
      <c r="O49" s="32" t="s">
        <v>182</v>
      </c>
      <c r="P49" s="33" t="str">
        <f t="shared" si="15"/>
        <v>n.a.</v>
      </c>
      <c r="Q49" s="33" t="s">
        <v>364</v>
      </c>
      <c r="R49" s="33" t="str">
        <f t="shared" si="12"/>
        <v>n.a.</v>
      </c>
      <c r="S49" s="33" t="str">
        <f t="shared" si="13"/>
        <v>tCO2/TJ</v>
      </c>
      <c r="T49" s="33" t="str">
        <f t="shared" si="12"/>
        <v>n.a.</v>
      </c>
      <c r="U49" s="760"/>
      <c r="W49" s="39"/>
      <c r="AL49" s="821">
        <f>IF(COUNTIF($C49:$E49,AL$18)=0,"",MAX(AL$18:AL48)+1)</f>
        <v>19</v>
      </c>
      <c r="AM49" s="821" t="str">
        <f>IF(COUNTIF($C49:$E49,AM$18)=0,"",MAX(AM$18:AM48)+1)</f>
        <v/>
      </c>
      <c r="AN49" s="821" t="str">
        <f>IF(COUNTIF($C49:$E49,AN$18)=0,"",MAX(AN$18:AN48)+1)</f>
        <v/>
      </c>
      <c r="AO49" s="821" t="str">
        <f>IF(COUNTIF($C49:$E49,AO$18)=0,"",MAX(AO$18:AO48)+1)</f>
        <v/>
      </c>
      <c r="AQ49" s="821" t="str">
        <f>IF(W49=TRUE,MAX($AQ$17:AQ48)+1,"")</f>
        <v/>
      </c>
      <c r="AR49" s="822" t="str">
        <f>IFERROR(INDEX(MSPara_SourceStreamCategory,MATCH(ROWS($AQ$19:AQ49),$AQ$19:$AQ$64,0)),EUconst_NA)</f>
        <v>n.a.</v>
      </c>
    </row>
    <row r="50" spans="1:44" x14ac:dyDescent="0.25">
      <c r="A50" s="29" t="str">
        <f>Translations!B594</f>
        <v>Gaseous - Other gaseous fuels</v>
      </c>
      <c r="B50" s="38">
        <v>2</v>
      </c>
      <c r="C50" s="814" t="str">
        <f t="shared" si="0"/>
        <v>Other gaseous &amp; liquid fuels</v>
      </c>
      <c r="D50" s="30"/>
      <c r="E50" s="815" t="str">
        <f t="shared" si="1"/>
        <v/>
      </c>
      <c r="F50" s="816" t="s">
        <v>361</v>
      </c>
      <c r="G50" s="817" t="str">
        <f t="shared" si="2"/>
        <v>t</v>
      </c>
      <c r="H50" s="818" t="str">
        <f>EUconst_NA</f>
        <v>n.a.</v>
      </c>
      <c r="I50" s="819" t="str">
        <f t="shared" si="3"/>
        <v>tCO2/TJ</v>
      </c>
      <c r="J50" s="818" t="str">
        <f>EUconst_NA</f>
        <v>n.a.</v>
      </c>
      <c r="K50" s="819" t="str">
        <f t="shared" si="4"/>
        <v>GJ/t</v>
      </c>
      <c r="L50" s="818" t="str">
        <f>EUconst_NA</f>
        <v>n.a.</v>
      </c>
      <c r="M50" s="31" t="b">
        <v>0</v>
      </c>
      <c r="N50" s="31" t="b">
        <v>0</v>
      </c>
      <c r="O50" s="32" t="s">
        <v>182</v>
      </c>
      <c r="P50" s="33" t="str">
        <f t="shared" si="15"/>
        <v>n.a.</v>
      </c>
      <c r="Q50" s="33" t="s">
        <v>364</v>
      </c>
      <c r="R50" s="33" t="str">
        <f t="shared" si="12"/>
        <v>n.a.</v>
      </c>
      <c r="S50" s="33" t="str">
        <f t="shared" si="13"/>
        <v>tCO2/TJ</v>
      </c>
      <c r="T50" s="34" t="str">
        <f t="shared" si="14"/>
        <v>n.a.</v>
      </c>
      <c r="U50" s="760"/>
      <c r="W50" s="39"/>
      <c r="AL50" s="821" t="str">
        <f>IF(COUNTIF($C50:$E50,AL$18)=0,"",MAX(AL$18:AL49)+1)</f>
        <v/>
      </c>
      <c r="AM50" s="821">
        <f>IF(COUNTIF($C50:$E50,AM$18)=0,"",MAX(AM$18:AM49)+1)</f>
        <v>13</v>
      </c>
      <c r="AN50" s="821" t="str">
        <f>IF(COUNTIF($C50:$E50,AN$18)=0,"",MAX(AN$18:AN49)+1)</f>
        <v/>
      </c>
      <c r="AO50" s="821" t="str">
        <f>IF(COUNTIF($C50:$E50,AO$18)=0,"",MAX(AO$18:AO49)+1)</f>
        <v/>
      </c>
      <c r="AQ50" s="821" t="str">
        <f>IF(W50=TRUE,MAX($AQ$17:AQ49)+1,"")</f>
        <v/>
      </c>
      <c r="AR50" s="822" t="str">
        <f>IFERROR(INDEX(MSPara_SourceStreamCategory,MATCH(ROWS($AQ$19:AQ50),$AQ$19:$AQ$64,0)),EUconst_NA)</f>
        <v>n.a.</v>
      </c>
    </row>
    <row r="51" spans="1:44" x14ac:dyDescent="0.25">
      <c r="A51" s="29" t="str">
        <f>Translations!B595</f>
        <v>Solid - Lignite</v>
      </c>
      <c r="B51" s="38">
        <v>3</v>
      </c>
      <c r="C51" s="814" t="str">
        <f t="shared" si="0"/>
        <v>Solid fuels</v>
      </c>
      <c r="D51" s="30"/>
      <c r="E51" s="815" t="str">
        <f t="shared" si="1"/>
        <v/>
      </c>
      <c r="F51" s="816" t="s">
        <v>361</v>
      </c>
      <c r="G51" s="817" t="str">
        <f t="shared" si="2"/>
        <v>t</v>
      </c>
      <c r="H51" s="818">
        <v>101</v>
      </c>
      <c r="I51" s="819" t="str">
        <f t="shared" si="3"/>
        <v>tCO2/TJ</v>
      </c>
      <c r="J51" s="818">
        <v>11.9</v>
      </c>
      <c r="K51" s="819" t="str">
        <f t="shared" si="4"/>
        <v>GJ/t</v>
      </c>
      <c r="L51" s="820" t="str">
        <f t="shared" si="5"/>
        <v>n.a.</v>
      </c>
      <c r="M51" s="31" t="b">
        <f>TRUE</f>
        <v>1</v>
      </c>
      <c r="N51" s="31" t="b">
        <v>1</v>
      </c>
      <c r="O51" s="32" t="s">
        <v>182</v>
      </c>
      <c r="P51" s="33" t="str">
        <f t="shared" si="15"/>
        <v>n.a.</v>
      </c>
      <c r="Q51" s="33" t="s">
        <v>364</v>
      </c>
      <c r="R51" s="33" t="str">
        <f t="shared" si="12"/>
        <v>n.a.</v>
      </c>
      <c r="S51" s="33" t="str">
        <f t="shared" si="13"/>
        <v>tCO2/TJ</v>
      </c>
      <c r="T51" s="34" t="str">
        <f t="shared" si="14"/>
        <v>n.a.</v>
      </c>
      <c r="U51" s="760"/>
      <c r="W51" s="39"/>
      <c r="AL51" s="821" t="str">
        <f>IF(COUNTIF($C51:$E51,AL$18)=0,"",MAX(AL$18:AL50)+1)</f>
        <v/>
      </c>
      <c r="AM51" s="821" t="str">
        <f>IF(COUNTIF($C51:$E51,AM$18)=0,"",MAX(AM$18:AM50)+1)</f>
        <v/>
      </c>
      <c r="AN51" s="821">
        <f>IF(COUNTIF($C51:$E51,AN$18)=0,"",MAX(AN$18:AN50)+1)</f>
        <v>1</v>
      </c>
      <c r="AO51" s="821" t="str">
        <f>IF(COUNTIF($C51:$E51,AO$18)=0,"",MAX(AO$18:AO50)+1)</f>
        <v/>
      </c>
      <c r="AQ51" s="821" t="str">
        <f>IF(W51=TRUE,MAX($AQ$17:AQ50)+1,"")</f>
        <v/>
      </c>
      <c r="AR51" s="822" t="str">
        <f>IFERROR(INDEX(MSPara_SourceStreamCategory,MATCH(ROWS($AQ$19:AQ51),$AQ$19:$AQ$64,0)),EUconst_NA)</f>
        <v>n.a.</v>
      </c>
    </row>
    <row r="52" spans="1:44" x14ac:dyDescent="0.25">
      <c r="A52" s="29" t="str">
        <f>Translations!B596</f>
        <v>Solid - Anthracite</v>
      </c>
      <c r="B52" s="38">
        <v>3</v>
      </c>
      <c r="C52" s="814" t="str">
        <f t="shared" si="0"/>
        <v>Solid fuels</v>
      </c>
      <c r="D52" s="30"/>
      <c r="E52" s="815" t="str">
        <f t="shared" si="1"/>
        <v/>
      </c>
      <c r="F52" s="816" t="s">
        <v>361</v>
      </c>
      <c r="G52" s="817" t="str">
        <f t="shared" si="2"/>
        <v>t</v>
      </c>
      <c r="H52" s="818">
        <v>98.3</v>
      </c>
      <c r="I52" s="819" t="str">
        <f t="shared" si="3"/>
        <v>tCO2/TJ</v>
      </c>
      <c r="J52" s="818">
        <v>26.7</v>
      </c>
      <c r="K52" s="819" t="str">
        <f t="shared" si="4"/>
        <v>GJ/t</v>
      </c>
      <c r="L52" s="820" t="str">
        <f t="shared" si="5"/>
        <v>n.a.</v>
      </c>
      <c r="M52" s="31" t="b">
        <f>TRUE</f>
        <v>1</v>
      </c>
      <c r="N52" s="31" t="b">
        <v>1</v>
      </c>
      <c r="O52" s="32" t="s">
        <v>182</v>
      </c>
      <c r="P52" s="33" t="str">
        <f t="shared" si="15"/>
        <v>n.a.</v>
      </c>
      <c r="Q52" s="33" t="s">
        <v>364</v>
      </c>
      <c r="R52" s="33" t="str">
        <f t="shared" si="12"/>
        <v>n.a.</v>
      </c>
      <c r="S52" s="33" t="str">
        <f t="shared" si="13"/>
        <v>tCO2/TJ</v>
      </c>
      <c r="T52" s="34" t="str">
        <f t="shared" si="14"/>
        <v>n.a.</v>
      </c>
      <c r="U52" s="760"/>
      <c r="W52" s="39"/>
      <c r="AL52" s="821" t="str">
        <f>IF(COUNTIF($C52:$E52,AL$18)=0,"",MAX(AL$18:AL51)+1)</f>
        <v/>
      </c>
      <c r="AM52" s="821" t="str">
        <f>IF(COUNTIF($C52:$E52,AM$18)=0,"",MAX(AM$18:AM51)+1)</f>
        <v/>
      </c>
      <c r="AN52" s="821">
        <f>IF(COUNTIF($C52:$E52,AN$18)=0,"",MAX(AN$18:AN51)+1)</f>
        <v>2</v>
      </c>
      <c r="AO52" s="821" t="str">
        <f>IF(COUNTIF($C52:$E52,AO$18)=0,"",MAX(AO$18:AO51)+1)</f>
        <v/>
      </c>
      <c r="AQ52" s="821" t="str">
        <f>IF(W52=TRUE,MAX($AQ$17:AQ51)+1,"")</f>
        <v/>
      </c>
      <c r="AR52" s="822" t="str">
        <f>IFERROR(INDEX(MSPara_SourceStreamCategory,MATCH(ROWS($AQ$19:AQ52),$AQ$19:$AQ$64,0)),EUconst_NA)</f>
        <v>n.a.</v>
      </c>
    </row>
    <row r="53" spans="1:44" x14ac:dyDescent="0.25">
      <c r="A53" s="29" t="str">
        <f>Translations!B597</f>
        <v>Solid - Coking Coal</v>
      </c>
      <c r="B53" s="38">
        <v>3</v>
      </c>
      <c r="C53" s="814" t="str">
        <f t="shared" si="0"/>
        <v>Solid fuels</v>
      </c>
      <c r="D53" s="30"/>
      <c r="E53" s="815" t="str">
        <f t="shared" si="1"/>
        <v/>
      </c>
      <c r="F53" s="816" t="s">
        <v>361</v>
      </c>
      <c r="G53" s="817" t="str">
        <f t="shared" si="2"/>
        <v>t</v>
      </c>
      <c r="H53" s="818">
        <v>94.6</v>
      </c>
      <c r="I53" s="819" t="str">
        <f t="shared" si="3"/>
        <v>tCO2/TJ</v>
      </c>
      <c r="J53" s="818">
        <v>28.2</v>
      </c>
      <c r="K53" s="819" t="str">
        <f t="shared" si="4"/>
        <v>GJ/t</v>
      </c>
      <c r="L53" s="820" t="str">
        <f t="shared" si="5"/>
        <v>n.a.</v>
      </c>
      <c r="M53" s="31" t="b">
        <f>TRUE</f>
        <v>1</v>
      </c>
      <c r="N53" s="31" t="b">
        <v>1</v>
      </c>
      <c r="O53" s="32" t="s">
        <v>182</v>
      </c>
      <c r="P53" s="33" t="str">
        <f t="shared" si="15"/>
        <v>n.a.</v>
      </c>
      <c r="Q53" s="33" t="s">
        <v>364</v>
      </c>
      <c r="R53" s="33" t="str">
        <f t="shared" si="12"/>
        <v>n.a.</v>
      </c>
      <c r="S53" s="33" t="str">
        <f t="shared" si="13"/>
        <v>tCO2/TJ</v>
      </c>
      <c r="T53" s="34" t="str">
        <f t="shared" si="14"/>
        <v>n.a.</v>
      </c>
      <c r="U53" s="760"/>
      <c r="W53" s="39"/>
      <c r="AL53" s="821" t="str">
        <f>IF(COUNTIF($C53:$E53,AL$18)=0,"",MAX(AL$18:AL52)+1)</f>
        <v/>
      </c>
      <c r="AM53" s="821" t="str">
        <f>IF(COUNTIF($C53:$E53,AM$18)=0,"",MAX(AM$18:AM52)+1)</f>
        <v/>
      </c>
      <c r="AN53" s="821">
        <f>IF(COUNTIF($C53:$E53,AN$18)=0,"",MAX(AN$18:AN52)+1)</f>
        <v>3</v>
      </c>
      <c r="AO53" s="821" t="str">
        <f>IF(COUNTIF($C53:$E53,AO$18)=0,"",MAX(AO$18:AO52)+1)</f>
        <v/>
      </c>
      <c r="AQ53" s="821" t="str">
        <f>IF(W53=TRUE,MAX($AQ$17:AQ52)+1,"")</f>
        <v/>
      </c>
      <c r="AR53" s="822" t="str">
        <f>IFERROR(INDEX(MSPara_SourceStreamCategory,MATCH(ROWS($AQ$19:AQ53),$AQ$19:$AQ$64,0)),EUconst_NA)</f>
        <v>n.a.</v>
      </c>
    </row>
    <row r="54" spans="1:44" x14ac:dyDescent="0.25">
      <c r="A54" s="29" t="str">
        <f>Translations!B598</f>
        <v>Solid - Charcoal</v>
      </c>
      <c r="B54" s="38">
        <v>3</v>
      </c>
      <c r="C54" s="814" t="str">
        <f t="shared" si="0"/>
        <v>Solid fuels</v>
      </c>
      <c r="D54" s="30"/>
      <c r="E54" s="815" t="str">
        <f t="shared" si="1"/>
        <v/>
      </c>
      <c r="F54" s="816" t="s">
        <v>361</v>
      </c>
      <c r="G54" s="817" t="str">
        <f>EUconst_t</f>
        <v>t</v>
      </c>
      <c r="H54" s="818" t="str">
        <f>EUconst_NA</f>
        <v>n.a.</v>
      </c>
      <c r="I54" s="819" t="str">
        <f t="shared" si="3"/>
        <v>tCO2/TJ</v>
      </c>
      <c r="J54" s="818">
        <v>29.5</v>
      </c>
      <c r="K54" s="819" t="str">
        <f t="shared" si="4"/>
        <v>GJ/t</v>
      </c>
      <c r="L54" s="823">
        <v>1</v>
      </c>
      <c r="M54" s="31" t="b">
        <f>FALSE</f>
        <v>0</v>
      </c>
      <c r="N54" s="31" t="b">
        <v>0</v>
      </c>
      <c r="O54" s="32" t="s">
        <v>182</v>
      </c>
      <c r="P54" s="33" t="str">
        <f t="shared" si="15"/>
        <v>n.a.</v>
      </c>
      <c r="Q54" s="33" t="s">
        <v>364</v>
      </c>
      <c r="R54" s="33" t="str">
        <f t="shared" si="12"/>
        <v>n.a.</v>
      </c>
      <c r="S54" s="33" t="str">
        <f t="shared" si="13"/>
        <v>tCO2/TJ</v>
      </c>
      <c r="T54" s="34">
        <f t="shared" si="14"/>
        <v>1</v>
      </c>
      <c r="U54" s="760"/>
      <c r="W54" s="39"/>
      <c r="AL54" s="821" t="str">
        <f>IF(COUNTIF($C54:$E54,AL$18)=0,"",MAX(AL$18:AL53)+1)</f>
        <v/>
      </c>
      <c r="AM54" s="821" t="str">
        <f>IF(COUNTIF($C54:$E54,AM$18)=0,"",MAX(AM$18:AM53)+1)</f>
        <v/>
      </c>
      <c r="AN54" s="821">
        <f>IF(COUNTIF($C54:$E54,AN$18)=0,"",MAX(AN$18:AN53)+1)</f>
        <v>4</v>
      </c>
      <c r="AO54" s="821" t="str">
        <f>IF(COUNTIF($C54:$E54,AO$18)=0,"",MAX(AO$18:AO53)+1)</f>
        <v/>
      </c>
      <c r="AQ54" s="821" t="str">
        <f>IF(W54=TRUE,MAX($AQ$17:AQ53)+1,"")</f>
        <v/>
      </c>
      <c r="AR54" s="822" t="str">
        <f>IFERROR(INDEX(MSPara_SourceStreamCategory,MATCH(ROWS($AQ$19:AQ54),$AQ$19:$AQ$64,0)),EUconst_NA)</f>
        <v>n.a.</v>
      </c>
    </row>
    <row r="55" spans="1:44" x14ac:dyDescent="0.25">
      <c r="A55" s="29" t="str">
        <f>Translations!B599</f>
        <v>Solid - Sub-Bituminous Coal</v>
      </c>
      <c r="B55" s="38">
        <v>3</v>
      </c>
      <c r="C55" s="814" t="str">
        <f t="shared" si="0"/>
        <v>Solid fuels</v>
      </c>
      <c r="D55" s="30"/>
      <c r="E55" s="815" t="str">
        <f t="shared" si="1"/>
        <v/>
      </c>
      <c r="F55" s="816" t="s">
        <v>361</v>
      </c>
      <c r="G55" s="817" t="str">
        <f t="shared" si="2"/>
        <v>t</v>
      </c>
      <c r="H55" s="818">
        <v>96.1</v>
      </c>
      <c r="I55" s="819" t="str">
        <f t="shared" si="3"/>
        <v>tCO2/TJ</v>
      </c>
      <c r="J55" s="818">
        <v>18.899999999999999</v>
      </c>
      <c r="K55" s="819" t="str">
        <f t="shared" si="4"/>
        <v>GJ/t</v>
      </c>
      <c r="L55" s="820" t="str">
        <f t="shared" si="5"/>
        <v>n.a.</v>
      </c>
      <c r="M55" s="31" t="b">
        <f>TRUE</f>
        <v>1</v>
      </c>
      <c r="N55" s="31" t="b">
        <v>1</v>
      </c>
      <c r="O55" s="32" t="s">
        <v>182</v>
      </c>
      <c r="P55" s="33" t="str">
        <f t="shared" si="15"/>
        <v>n.a.</v>
      </c>
      <c r="Q55" s="33" t="s">
        <v>364</v>
      </c>
      <c r="R55" s="33" t="str">
        <f t="shared" si="12"/>
        <v>n.a.</v>
      </c>
      <c r="S55" s="33" t="str">
        <f t="shared" si="13"/>
        <v>tCO2/TJ</v>
      </c>
      <c r="T55" s="34" t="str">
        <f t="shared" si="14"/>
        <v>n.a.</v>
      </c>
      <c r="U55" s="760"/>
      <c r="W55" s="39"/>
      <c r="AL55" s="821" t="str">
        <f>IF(COUNTIF($C55:$E55,AL$18)=0,"",MAX(AL$18:AL54)+1)</f>
        <v/>
      </c>
      <c r="AM55" s="821" t="str">
        <f>IF(COUNTIF($C55:$E55,AM$18)=0,"",MAX(AM$18:AM54)+1)</f>
        <v/>
      </c>
      <c r="AN55" s="821">
        <f>IF(COUNTIF($C55:$E55,AN$18)=0,"",MAX(AN$18:AN54)+1)</f>
        <v>5</v>
      </c>
      <c r="AO55" s="821" t="str">
        <f>IF(COUNTIF($C55:$E55,AO$18)=0,"",MAX(AO$18:AO54)+1)</f>
        <v/>
      </c>
      <c r="AQ55" s="821" t="str">
        <f>IF(W55=TRUE,MAX($AQ$17:AQ54)+1,"")</f>
        <v/>
      </c>
      <c r="AR55" s="822" t="str">
        <f>IFERROR(INDEX(MSPara_SourceStreamCategory,MATCH(ROWS($AQ$19:AQ55),$AQ$19:$AQ$64,0)),EUconst_NA)</f>
        <v>n.a.</v>
      </c>
    </row>
    <row r="56" spans="1:44" x14ac:dyDescent="0.25">
      <c r="A56" s="29" t="str">
        <f>Translations!B600</f>
        <v>Solid - Other Bituminous Coal</v>
      </c>
      <c r="B56" s="38">
        <v>3</v>
      </c>
      <c r="C56" s="814" t="str">
        <f t="shared" si="0"/>
        <v>Solid fuels</v>
      </c>
      <c r="D56" s="30"/>
      <c r="E56" s="815" t="str">
        <f t="shared" si="1"/>
        <v/>
      </c>
      <c r="F56" s="816" t="s">
        <v>361</v>
      </c>
      <c r="G56" s="817" t="str">
        <f t="shared" si="2"/>
        <v>t</v>
      </c>
      <c r="H56" s="818">
        <v>94.6</v>
      </c>
      <c r="I56" s="819" t="str">
        <f t="shared" si="3"/>
        <v>tCO2/TJ</v>
      </c>
      <c r="J56" s="818">
        <v>25.8</v>
      </c>
      <c r="K56" s="819" t="str">
        <f t="shared" si="4"/>
        <v>GJ/t</v>
      </c>
      <c r="L56" s="820" t="str">
        <f t="shared" si="5"/>
        <v>n.a.</v>
      </c>
      <c r="M56" s="31" t="b">
        <f>FALSE</f>
        <v>0</v>
      </c>
      <c r="N56" s="31" t="b">
        <v>1</v>
      </c>
      <c r="O56" s="32" t="s">
        <v>182</v>
      </c>
      <c r="P56" s="33" t="str">
        <f t="shared" si="15"/>
        <v>n.a.</v>
      </c>
      <c r="Q56" s="33" t="s">
        <v>364</v>
      </c>
      <c r="R56" s="33" t="str">
        <f t="shared" si="12"/>
        <v>n.a.</v>
      </c>
      <c r="S56" s="33" t="str">
        <f t="shared" si="13"/>
        <v>tCO2/TJ</v>
      </c>
      <c r="T56" s="34" t="str">
        <f t="shared" si="14"/>
        <v>n.a.</v>
      </c>
      <c r="U56" s="760"/>
      <c r="W56" s="39"/>
      <c r="AL56" s="821" t="str">
        <f>IF(COUNTIF($C56:$E56,AL$18)=0,"",MAX(AL$18:AL55)+1)</f>
        <v/>
      </c>
      <c r="AM56" s="821" t="str">
        <f>IF(COUNTIF($C56:$E56,AM$18)=0,"",MAX(AM$18:AM55)+1)</f>
        <v/>
      </c>
      <c r="AN56" s="821">
        <f>IF(COUNTIF($C56:$E56,AN$18)=0,"",MAX(AN$18:AN55)+1)</f>
        <v>6</v>
      </c>
      <c r="AO56" s="821" t="str">
        <f>IF(COUNTIF($C56:$E56,AO$18)=0,"",MAX(AO$18:AO55)+1)</f>
        <v/>
      </c>
      <c r="AQ56" s="821" t="str">
        <f>IF(W56=TRUE,MAX($AQ$17:AQ55)+1,"")</f>
        <v/>
      </c>
      <c r="AR56" s="822" t="str">
        <f>IFERROR(INDEX(MSPara_SourceStreamCategory,MATCH(ROWS($AQ$19:AQ56),$AQ$19:$AQ$64,0)),EUconst_NA)</f>
        <v>n.a.</v>
      </c>
    </row>
    <row r="57" spans="1:44" x14ac:dyDescent="0.25">
      <c r="A57" s="29" t="str">
        <f>Translations!B601</f>
        <v>Solid - Petroleum Coke</v>
      </c>
      <c r="B57" s="38">
        <v>3</v>
      </c>
      <c r="C57" s="814" t="str">
        <f t="shared" si="0"/>
        <v>Solid fuels</v>
      </c>
      <c r="D57" s="30"/>
      <c r="E57" s="815" t="str">
        <f t="shared" si="1"/>
        <v/>
      </c>
      <c r="F57" s="816" t="s">
        <v>361</v>
      </c>
      <c r="G57" s="817" t="str">
        <f t="shared" si="2"/>
        <v>t</v>
      </c>
      <c r="H57" s="818">
        <v>97.5</v>
      </c>
      <c r="I57" s="819" t="str">
        <f t="shared" si="3"/>
        <v>tCO2/TJ</v>
      </c>
      <c r="J57" s="818">
        <v>32.5</v>
      </c>
      <c r="K57" s="819" t="str">
        <f t="shared" si="4"/>
        <v>GJ/t</v>
      </c>
      <c r="L57" s="820" t="str">
        <f t="shared" si="5"/>
        <v>n.a.</v>
      </c>
      <c r="M57" s="31" t="b">
        <f>TRUE</f>
        <v>1</v>
      </c>
      <c r="N57" s="31" t="b">
        <v>1</v>
      </c>
      <c r="O57" s="32" t="s">
        <v>182</v>
      </c>
      <c r="P57" s="33" t="str">
        <f t="shared" si="15"/>
        <v>n.a.</v>
      </c>
      <c r="Q57" s="33" t="s">
        <v>364</v>
      </c>
      <c r="R57" s="33" t="str">
        <f t="shared" si="12"/>
        <v>n.a.</v>
      </c>
      <c r="S57" s="33" t="str">
        <f t="shared" si="13"/>
        <v>tCO2/TJ</v>
      </c>
      <c r="T57" s="34" t="str">
        <f t="shared" si="14"/>
        <v>n.a.</v>
      </c>
      <c r="U57" s="760"/>
      <c r="W57" s="39"/>
      <c r="AL57" s="821" t="str">
        <f>IF(COUNTIF($C57:$E57,AL$18)=0,"",MAX(AL$18:AL56)+1)</f>
        <v/>
      </c>
      <c r="AM57" s="821" t="str">
        <f>IF(COUNTIF($C57:$E57,AM$18)=0,"",MAX(AM$18:AM56)+1)</f>
        <v/>
      </c>
      <c r="AN57" s="821">
        <f>IF(COUNTIF($C57:$E57,AN$18)=0,"",MAX(AN$18:AN56)+1)</f>
        <v>7</v>
      </c>
      <c r="AO57" s="821" t="str">
        <f>IF(COUNTIF($C57:$E57,AO$18)=0,"",MAX(AO$18:AO56)+1)</f>
        <v/>
      </c>
      <c r="AQ57" s="821" t="str">
        <f>IF(W57=TRUE,MAX($AQ$17:AQ56)+1,"")</f>
        <v/>
      </c>
      <c r="AR57" s="822" t="str">
        <f>IFERROR(INDEX(MSPara_SourceStreamCategory,MATCH(ROWS($AQ$19:AQ57),$AQ$19:$AQ$64,0)),EUconst_NA)</f>
        <v>n.a.</v>
      </c>
    </row>
    <row r="58" spans="1:44" x14ac:dyDescent="0.25">
      <c r="A58" s="29" t="str">
        <f>Translations!B602</f>
        <v>Solid - Other solid fuels</v>
      </c>
      <c r="B58" s="38">
        <v>3</v>
      </c>
      <c r="C58" s="814" t="str">
        <f t="shared" si="0"/>
        <v>Solid fuels</v>
      </c>
      <c r="D58" s="30"/>
      <c r="E58" s="815" t="str">
        <f t="shared" si="1"/>
        <v/>
      </c>
      <c r="F58" s="816" t="s">
        <v>361</v>
      </c>
      <c r="G58" s="817" t="s">
        <v>182</v>
      </c>
      <c r="H58" s="818">
        <v>0</v>
      </c>
      <c r="I58" s="819" t="str">
        <f t="shared" si="3"/>
        <v>tCO2/TJ</v>
      </c>
      <c r="J58" s="818">
        <v>15.6</v>
      </c>
      <c r="K58" s="819" t="str">
        <f t="shared" si="4"/>
        <v>GJ/t</v>
      </c>
      <c r="L58" s="823">
        <v>1</v>
      </c>
      <c r="M58" s="31" t="b">
        <v>0</v>
      </c>
      <c r="N58" s="31" t="b">
        <v>0</v>
      </c>
      <c r="O58" s="32" t="s">
        <v>182</v>
      </c>
      <c r="P58" s="33" t="str">
        <f t="shared" si="15"/>
        <v>n.a.</v>
      </c>
      <c r="Q58" s="33" t="s">
        <v>364</v>
      </c>
      <c r="R58" s="33" t="str">
        <f>EUconst_NA</f>
        <v>n.a.</v>
      </c>
      <c r="S58" s="33" t="str">
        <f t="shared" si="13"/>
        <v>tCO2/TJ</v>
      </c>
      <c r="T58" s="34">
        <f t="shared" si="14"/>
        <v>1</v>
      </c>
      <c r="U58" s="760"/>
      <c r="W58" s="39"/>
      <c r="AL58" s="821" t="str">
        <f>IF(COUNTIF($C58:$E58,AL$18)=0,"",MAX(AL$18:AL57)+1)</f>
        <v/>
      </c>
      <c r="AM58" s="821" t="str">
        <f>IF(COUNTIF($C58:$E58,AM$18)=0,"",MAX(AM$18:AM57)+1)</f>
        <v/>
      </c>
      <c r="AN58" s="821">
        <f>IF(COUNTIF($C58:$E58,AN$18)=0,"",MAX(AN$18:AN57)+1)</f>
        <v>8</v>
      </c>
      <c r="AO58" s="821" t="str">
        <f>IF(COUNTIF($C58:$E58,AO$18)=0,"",MAX(AO$18:AO57)+1)</f>
        <v/>
      </c>
      <c r="AQ58" s="821" t="str">
        <f>IF(W58=TRUE,MAX($AQ$17:AQ57)+1,"")</f>
        <v/>
      </c>
      <c r="AR58" s="822" t="str">
        <f>IFERROR(INDEX(MSPara_SourceStreamCategory,MATCH(ROWS($AQ$19:AQ58),$AQ$19:$AQ$64,0)),EUconst_NA)</f>
        <v>n.a.</v>
      </c>
    </row>
    <row r="59" spans="1:44" x14ac:dyDescent="0.25">
      <c r="A59" s="29"/>
      <c r="B59" s="30"/>
      <c r="C59" s="814" t="str">
        <f t="shared" si="0"/>
        <v/>
      </c>
      <c r="D59" s="30"/>
      <c r="E59" s="815" t="str">
        <f t="shared" si="1"/>
        <v/>
      </c>
      <c r="F59" s="816"/>
      <c r="G59" s="817"/>
      <c r="H59" s="818"/>
      <c r="I59" s="819"/>
      <c r="J59" s="818"/>
      <c r="K59" s="819"/>
      <c r="L59" s="820"/>
      <c r="M59" s="31"/>
      <c r="N59" s="31"/>
      <c r="O59" s="32"/>
      <c r="P59" s="33"/>
      <c r="Q59" s="33"/>
      <c r="R59" s="33"/>
      <c r="S59" s="33"/>
      <c r="T59" s="34"/>
      <c r="U59" s="760"/>
      <c r="W59" s="39"/>
      <c r="AL59" s="821" t="str">
        <f>IF(COUNTIF($C59:$E59,AL$18)=0,"",MAX(AL$18:AL58)+1)</f>
        <v/>
      </c>
      <c r="AM59" s="821" t="str">
        <f>IF(COUNTIF($C59:$E59,AM$18)=0,"",MAX(AM$18:AM58)+1)</f>
        <v/>
      </c>
      <c r="AN59" s="821" t="str">
        <f>IF(COUNTIF($C59:$E59,AN$18)=0,"",MAX(AN$18:AN58)+1)</f>
        <v/>
      </c>
      <c r="AO59" s="821" t="str">
        <f>IF(COUNTIF($C59:$E59,AO$18)=0,"",MAX(AO$18:AO58)+1)</f>
        <v/>
      </c>
      <c r="AQ59" s="821" t="str">
        <f>IF(W59=TRUE,MAX($AQ$17:AQ58)+1,"")</f>
        <v/>
      </c>
      <c r="AR59" s="822" t="str">
        <f>IFERROR(INDEX(MSPara_SourceStreamCategory,MATCH(ROWS($AQ$19:AQ59),$AQ$19:$AQ$64,0)),EUconst_NA)</f>
        <v>n.a.</v>
      </c>
    </row>
    <row r="60" spans="1:44" x14ac:dyDescent="0.25">
      <c r="A60" s="29"/>
      <c r="B60" s="30"/>
      <c r="C60" s="814" t="str">
        <f t="shared" si="0"/>
        <v/>
      </c>
      <c r="D60" s="30"/>
      <c r="E60" s="815" t="str">
        <f t="shared" si="1"/>
        <v/>
      </c>
      <c r="F60" s="816"/>
      <c r="G60" s="817"/>
      <c r="H60" s="818"/>
      <c r="I60" s="819"/>
      <c r="J60" s="818"/>
      <c r="K60" s="819"/>
      <c r="L60" s="820"/>
      <c r="M60" s="31"/>
      <c r="N60" s="31"/>
      <c r="O60" s="32"/>
      <c r="P60" s="33"/>
      <c r="Q60" s="33"/>
      <c r="R60" s="33"/>
      <c r="S60" s="33"/>
      <c r="T60" s="34"/>
      <c r="U60" s="760"/>
      <c r="W60" s="39"/>
      <c r="AL60" s="821" t="str">
        <f>IF(COUNTIF($C60:$E60,AL$18)=0,"",MAX(AL$18:AL59)+1)</f>
        <v/>
      </c>
      <c r="AM60" s="821" t="str">
        <f>IF(COUNTIF($C60:$E60,AM$18)=0,"",MAX(AM$18:AM59)+1)</f>
        <v/>
      </c>
      <c r="AN60" s="821" t="str">
        <f>IF(COUNTIF($C60:$E60,AN$18)=0,"",MAX(AN$18:AN59)+1)</f>
        <v/>
      </c>
      <c r="AO60" s="821" t="str">
        <f>IF(COUNTIF($C60:$E60,AO$18)=0,"",MAX(AO$18:AO59)+1)</f>
        <v/>
      </c>
      <c r="AQ60" s="821" t="str">
        <f>IF(W60=TRUE,MAX($AQ$17:AQ59)+1,"")</f>
        <v/>
      </c>
      <c r="AR60" s="822" t="str">
        <f>IFERROR(INDEX(MSPara_SourceStreamCategory,MATCH(ROWS($AQ$19:AQ60),$AQ$19:$AQ$64,0)),EUconst_NA)</f>
        <v>n.a.</v>
      </c>
    </row>
    <row r="61" spans="1:44" x14ac:dyDescent="0.25">
      <c r="A61" s="29"/>
      <c r="B61" s="30"/>
      <c r="C61" s="814" t="str">
        <f t="shared" si="0"/>
        <v/>
      </c>
      <c r="D61" s="30"/>
      <c r="E61" s="815" t="str">
        <f t="shared" si="1"/>
        <v/>
      </c>
      <c r="F61" s="816"/>
      <c r="G61" s="817"/>
      <c r="H61" s="818"/>
      <c r="I61" s="819"/>
      <c r="J61" s="818"/>
      <c r="K61" s="819"/>
      <c r="L61" s="820"/>
      <c r="M61" s="31"/>
      <c r="N61" s="31"/>
      <c r="O61" s="32"/>
      <c r="P61" s="33"/>
      <c r="Q61" s="33"/>
      <c r="R61" s="33"/>
      <c r="S61" s="33"/>
      <c r="T61" s="34"/>
      <c r="U61" s="760"/>
      <c r="W61" s="39"/>
      <c r="AL61" s="821" t="str">
        <f>IF(COUNTIF($C61:$E61,AL$18)=0,"",MAX(AL$18:AL60)+1)</f>
        <v/>
      </c>
      <c r="AM61" s="821" t="str">
        <f>IF(COUNTIF($C61:$E61,AM$18)=0,"",MAX(AM$18:AM60)+1)</f>
        <v/>
      </c>
      <c r="AN61" s="821" t="str">
        <f>IF(COUNTIF($C61:$E61,AN$18)=0,"",MAX(AN$18:AN60)+1)</f>
        <v/>
      </c>
      <c r="AO61" s="821" t="str">
        <f>IF(COUNTIF($C61:$E61,AO$18)=0,"",MAX(AO$18:AO60)+1)</f>
        <v/>
      </c>
      <c r="AQ61" s="821" t="str">
        <f>IF(W61=TRUE,MAX($AQ$17:AQ60)+1,"")</f>
        <v/>
      </c>
      <c r="AR61" s="822" t="str">
        <f>IFERROR(INDEX(MSPara_SourceStreamCategory,MATCH(ROWS($AQ$19:AQ61),$AQ$19:$AQ$64,0)),EUconst_NA)</f>
        <v>n.a.</v>
      </c>
    </row>
    <row r="62" spans="1:44" x14ac:dyDescent="0.25">
      <c r="A62" s="29"/>
      <c r="B62" s="30"/>
      <c r="C62" s="814" t="str">
        <f t="shared" si="0"/>
        <v/>
      </c>
      <c r="D62" s="30"/>
      <c r="E62" s="815" t="str">
        <f t="shared" si="1"/>
        <v/>
      </c>
      <c r="F62" s="816"/>
      <c r="G62" s="817"/>
      <c r="H62" s="818"/>
      <c r="I62" s="819"/>
      <c r="J62" s="818"/>
      <c r="K62" s="819"/>
      <c r="L62" s="820"/>
      <c r="M62" s="31"/>
      <c r="N62" s="31"/>
      <c r="O62" s="32"/>
      <c r="P62" s="33"/>
      <c r="Q62" s="33"/>
      <c r="R62" s="33"/>
      <c r="S62" s="33"/>
      <c r="T62" s="34"/>
      <c r="U62" s="760"/>
      <c r="W62" s="39"/>
      <c r="AL62" s="821" t="str">
        <f>IF(COUNTIF($C62:$E62,AL$18)=0,"",MAX(AL$18:AL61)+1)</f>
        <v/>
      </c>
      <c r="AM62" s="821" t="str">
        <f>IF(COUNTIF($C62:$E62,AM$18)=0,"",MAX(AM$18:AM61)+1)</f>
        <v/>
      </c>
      <c r="AN62" s="821" t="str">
        <f>IF(COUNTIF($C62:$E62,AN$18)=0,"",MAX(AN$18:AN61)+1)</f>
        <v/>
      </c>
      <c r="AO62" s="821" t="str">
        <f>IF(COUNTIF($C62:$E62,AO$18)=0,"",MAX(AO$18:AO61)+1)</f>
        <v/>
      </c>
      <c r="AQ62" s="821" t="str">
        <f>IF(W62=TRUE,MAX($AQ$17:AQ61)+1,"")</f>
        <v/>
      </c>
      <c r="AR62" s="822" t="str">
        <f>IFERROR(INDEX(MSPara_SourceStreamCategory,MATCH(ROWS($AQ$19:AQ62),$AQ$19:$AQ$64,0)),EUconst_NA)</f>
        <v>n.a.</v>
      </c>
    </row>
    <row r="63" spans="1:44" x14ac:dyDescent="0.25">
      <c r="A63" s="29"/>
      <c r="B63" s="30"/>
      <c r="C63" s="814" t="str">
        <f t="shared" si="0"/>
        <v/>
      </c>
      <c r="D63" s="30"/>
      <c r="E63" s="815" t="str">
        <f t="shared" si="1"/>
        <v/>
      </c>
      <c r="F63" s="816"/>
      <c r="G63" s="817"/>
      <c r="H63" s="818"/>
      <c r="I63" s="819"/>
      <c r="J63" s="818"/>
      <c r="K63" s="819"/>
      <c r="L63" s="820"/>
      <c r="M63" s="31"/>
      <c r="N63" s="31"/>
      <c r="O63" s="32"/>
      <c r="P63" s="33"/>
      <c r="Q63" s="33"/>
      <c r="R63" s="33"/>
      <c r="S63" s="33"/>
      <c r="T63" s="34"/>
      <c r="U63" s="760"/>
      <c r="W63" s="39"/>
      <c r="AL63" s="821" t="str">
        <f>IF(COUNTIF($C63:$E63,AL$18)=0,"",MAX(AL$18:AL62)+1)</f>
        <v/>
      </c>
      <c r="AM63" s="821" t="str">
        <f>IF(COUNTIF($C63:$E63,AM$18)=0,"",MAX(AM$18:AM62)+1)</f>
        <v/>
      </c>
      <c r="AN63" s="821" t="str">
        <f>IF(COUNTIF($C63:$E63,AN$18)=0,"",MAX(AN$18:AN62)+1)</f>
        <v/>
      </c>
      <c r="AO63" s="821" t="str">
        <f>IF(COUNTIF($C63:$E63,AO$18)=0,"",MAX(AO$18:AO62)+1)</f>
        <v/>
      </c>
      <c r="AQ63" s="821" t="str">
        <f>IF(W63=TRUE,MAX($AQ$17:AQ62)+1,"")</f>
        <v/>
      </c>
      <c r="AR63" s="822" t="str">
        <f>IFERROR(INDEX(MSPara_SourceStreamCategory,MATCH(ROWS($AQ$19:AQ63),$AQ$19:$AQ$64,0)),EUconst_NA)</f>
        <v>n.a.</v>
      </c>
    </row>
    <row r="64" spans="1:44" ht="13" thickBot="1" x14ac:dyDescent="0.3">
      <c r="A64" s="29"/>
      <c r="B64" s="30"/>
      <c r="C64" s="814" t="str">
        <f t="shared" si="0"/>
        <v/>
      </c>
      <c r="D64" s="30"/>
      <c r="E64" s="815" t="str">
        <f t="shared" si="1"/>
        <v/>
      </c>
      <c r="F64" s="816"/>
      <c r="G64" s="817"/>
      <c r="H64" s="818"/>
      <c r="I64" s="819"/>
      <c r="J64" s="818"/>
      <c r="K64" s="819"/>
      <c r="L64" s="820"/>
      <c r="M64" s="31"/>
      <c r="N64" s="31"/>
      <c r="O64" s="32"/>
      <c r="P64" s="33"/>
      <c r="Q64" s="33"/>
      <c r="R64" s="33"/>
      <c r="S64" s="33"/>
      <c r="T64" s="34"/>
      <c r="U64" s="760"/>
      <c r="W64" s="39"/>
      <c r="AL64" s="821" t="str">
        <f>IF(COUNTIF($C64:$E64,AL$18)=0,"",MAX(AL$18:AL63)+1)</f>
        <v/>
      </c>
      <c r="AM64" s="821" t="str">
        <f>IF(COUNTIF($C64:$E64,AM$18)=0,"",MAX(AM$18:AM63)+1)</f>
        <v/>
      </c>
      <c r="AN64" s="821" t="str">
        <f>IF(COUNTIF($C64:$E64,AN$18)=0,"",MAX(AN$18:AN63)+1)</f>
        <v/>
      </c>
      <c r="AO64" s="821" t="str">
        <f>IF(COUNTIF($C64:$E64,AO$18)=0,"",MAX(AO$18:AO63)+1)</f>
        <v/>
      </c>
      <c r="AQ64" s="821" t="str">
        <f>IF(W64=TRUE,MAX($AQ$17:AQ63)+1,"")</f>
        <v/>
      </c>
      <c r="AR64" s="822" t="str">
        <f>IFERROR(INDEX(MSPara_SourceStreamCategory,MATCH(ROWS($AQ$19:AQ64),$AQ$19:$AQ$64,0)),EUconst_NA)</f>
        <v>n.a.</v>
      </c>
    </row>
    <row r="65" spans="1:34" ht="13" thickBot="1" x14ac:dyDescent="0.3">
      <c r="A65" s="824" t="s">
        <v>333</v>
      </c>
      <c r="B65" s="825"/>
      <c r="C65" s="824"/>
      <c r="D65" s="825"/>
      <c r="E65" s="824"/>
      <c r="F65" s="824"/>
      <c r="G65" s="826"/>
      <c r="H65" s="827"/>
      <c r="I65" s="827"/>
      <c r="J65" s="827"/>
      <c r="K65" s="827"/>
      <c r="L65" s="828"/>
      <c r="M65" s="829"/>
      <c r="N65" s="826"/>
      <c r="O65" s="830"/>
      <c r="P65" s="827"/>
      <c r="Q65" s="827"/>
      <c r="R65" s="827"/>
      <c r="S65" s="827"/>
      <c r="T65" s="831"/>
      <c r="U65" s="760"/>
    </row>
    <row r="67" spans="1:34" s="782" customFormat="1" ht="13.5" thickBot="1" x14ac:dyDescent="0.35">
      <c r="A67" s="782" t="s">
        <v>367</v>
      </c>
    </row>
    <row r="68" spans="1:34" ht="13" thickBot="1" x14ac:dyDescent="0.3">
      <c r="E68" s="760"/>
      <c r="M68" s="832" t="str">
        <f>IF(COUNTIF(MSPara_CategoryMatrix,"")&gt;0,EUconst_ERR_Incomplete,"")</f>
        <v/>
      </c>
    </row>
    <row r="69" spans="1:34" ht="13.5" thickBot="1" x14ac:dyDescent="0.35">
      <c r="C69" s="833" t="s">
        <v>368</v>
      </c>
      <c r="E69" s="834" t="s">
        <v>369</v>
      </c>
    </row>
    <row r="70" spans="1:34" x14ac:dyDescent="0.25">
      <c r="A70" s="835">
        <v>1</v>
      </c>
      <c r="B70" s="836" t="str">
        <f>INDEX(EUConst_TierActivityListNames,A70)</f>
        <v>Commercial standard fuels</v>
      </c>
      <c r="C70" s="837" t="str">
        <f ca="1">ADDRESS(ROW(),COLUMN(E70),,,$N$6)&amp;":"&amp;ADDRESS(ROW(),COLUMN(E70)+MAX(0,COUNTBLANK($E$74:$AH$74)-1-COUNTIF(E70:AH70,EUconst_NA)-COUNTIF(E70:AH70,"")))</f>
        <v>MSParameters!$E$70:$W$70</v>
      </c>
      <c r="E70" s="838" t="str">
        <f>IFERROR(INDEX(MSPara_SourceStreamCategory,MATCH(COLUMNS($E70:E70),INDEX($AL$19:$AO$64,,MATCH($B70,$AL$18:$AO$18,0)),0)),EUconst_NA)</f>
        <v>Liquid - Motor Gasoline</v>
      </c>
      <c r="F70" s="839" t="str">
        <f>IFERROR(INDEX(MSPara_SourceStreamCategory,MATCH(COLUMNS($E70:F70),INDEX($AL$19:$AO$64,,MATCH($B70,$AL$18:$AO$18,0)),0)),EUconst_NA)</f>
        <v>Liquid - Gas/Diesel Oil</v>
      </c>
      <c r="G70" s="839" t="str">
        <f>IFERROR(INDEX(MSPara_SourceStreamCategory,MATCH(COLUMNS($E70:G70),INDEX($AL$19:$AO$64,,MATCH($B70,$AL$18:$AO$18,0)),0)),EUconst_NA)</f>
        <v>Liquid - Motor Gasoline (E5)</v>
      </c>
      <c r="H70" s="839" t="str">
        <f>IFERROR(INDEX(MSPara_SourceStreamCategory,MATCH(COLUMNS($E70:H70),INDEX($AL$19:$AO$64,,MATCH($B70,$AL$18:$AO$18,0)),0)),EUconst_NA)</f>
        <v>Liquid - Motor Gasoline (E10)</v>
      </c>
      <c r="I70" s="839" t="str">
        <f>IFERROR(INDEX(MSPara_SourceStreamCategory,MATCH(COLUMNS($E70:I70),INDEX($AL$19:$AO$64,,MATCH($B70,$AL$18:$AO$18,0)),0)),EUconst_NA)</f>
        <v>Liquid - Motor Gasoline (E85)</v>
      </c>
      <c r="J70" s="839" t="str">
        <f>IFERROR(INDEX(MSPara_SourceStreamCategory,MATCH(COLUMNS($E70:J70),INDEX($AL$19:$AO$64,,MATCH($B70,$AL$18:$AO$18,0)),0)),EUconst_NA)</f>
        <v>Liquid - Diesel oil (B7)</v>
      </c>
      <c r="K70" s="839" t="str">
        <f>IFERROR(INDEX(MSPara_SourceStreamCategory,MATCH(COLUMNS($E70:K70),INDEX($AL$19:$AO$64,,MATCH($B70,$AL$18:$AO$18,0)),0)),EUconst_NA)</f>
        <v>Liquid - Bioethanol</v>
      </c>
      <c r="L70" s="840" t="str">
        <f>IFERROR(INDEX(MSPara_SourceStreamCategory,MATCH(COLUMNS($E70:L70),INDEX($AL$19:$AO$64,,MATCH($B70,$AL$18:$AO$18,0)),0)),EUconst_NA)</f>
        <v>Liquid - MTBE</v>
      </c>
      <c r="M70" s="840" t="str">
        <f>IFERROR(INDEX(MSPara_SourceStreamCategory,MATCH(COLUMNS($E70:M70),INDEX($AL$19:$AO$64,,MATCH($B70,$AL$18:$AO$18,0)),0)),EUconst_NA)</f>
        <v>Liquid - ETBE</v>
      </c>
      <c r="N70" s="840" t="str">
        <f>IFERROR(INDEX(MSPara_SourceStreamCategory,MATCH(COLUMNS($E70:N70),INDEX($AL$19:$AO$64,,MATCH($B70,$AL$18:$AO$18,0)),0)),EUconst_NA)</f>
        <v>Liquid - HVO</v>
      </c>
      <c r="O70" s="840" t="str">
        <f>IFERROR(INDEX(MSPara_SourceStreamCategory,MATCH(COLUMNS($E70:O70),INDEX($AL$19:$AO$64,,MATCH($B70,$AL$18:$AO$18,0)),0)),EUconst_NA)</f>
        <v>Liquid - FAME</v>
      </c>
      <c r="P70" s="841" t="str">
        <f>IFERROR(INDEX(MSPara_SourceStreamCategory,MATCH(COLUMNS($E70:P70),INDEX($AL$19:$AO$64,,MATCH($B70,$AL$18:$AO$18,0)),0)),EUconst_NA)</f>
        <v>Liquid - Light Fuel Oil</v>
      </c>
      <c r="Q70" s="841" t="str">
        <f>IFERROR(INDEX(MSPara_SourceStreamCategory,MATCH(COLUMNS($E70:Q70),INDEX($AL$19:$AO$64,,MATCH($B70,$AL$18:$AO$18,0)),0)),EUconst_NA)</f>
        <v>Liquid - Kerosene</v>
      </c>
      <c r="R70" s="841" t="str">
        <f>IFERROR(INDEX(MSPara_SourceStreamCategory,MATCH(COLUMNS($E70:R70),INDEX($AL$19:$AO$64,,MATCH($B70,$AL$18:$AO$18,0)),0)),EUconst_NA)</f>
        <v>Liquid - Aviation gasoline (AvGas)</v>
      </c>
      <c r="S70" s="841" t="str">
        <f>IFERROR(INDEX(MSPara_SourceStreamCategory,MATCH(COLUMNS($E70:S70),INDEX($AL$19:$AO$64,,MATCH($B70,$AL$18:$AO$18,0)),0)),EUconst_NA)</f>
        <v>Liquid - Jet gasoline (Jet B)</v>
      </c>
      <c r="T70" s="841" t="str">
        <f>IFERROR(INDEX(MSPara_SourceStreamCategory,MATCH(COLUMNS($E70:T70),INDEX($AL$19:$AO$64,,MATCH($B70,$AL$18:$AO$18,0)),0)),EUconst_NA)</f>
        <v>Liquid - Jet kerosene (jet A1 or jet A)</v>
      </c>
      <c r="U70" s="841" t="str">
        <f>IFERROR(INDEX(MSPara_SourceStreamCategory,MATCH(COLUMNS($E70:U70),INDEX($AL$19:$AO$64,,MATCH($B70,$AL$18:$AO$18,0)),0)),EUconst_NA)</f>
        <v>Gaseous - Ethane</v>
      </c>
      <c r="V70" s="841" t="str">
        <f>IFERROR(INDEX(MSPara_SourceStreamCategory,MATCH(COLUMNS($E70:V70),INDEX($AL$19:$AO$64,,MATCH($B70,$AL$18:$AO$18,0)),0)),EUconst_NA)</f>
        <v>Gaseous - Propane</v>
      </c>
      <c r="W70" s="841" t="str">
        <f>IFERROR(INDEX(MSPara_SourceStreamCategory,MATCH(COLUMNS($E70:W70),INDEX($AL$19:$AO$64,,MATCH($B70,$AL$18:$AO$18,0)),0)),EUconst_NA)</f>
        <v>Gaseous - Butane</v>
      </c>
      <c r="X70" s="841" t="str">
        <f>IFERROR(INDEX(MSPara_SourceStreamCategory,MATCH(COLUMNS($E70:X70),INDEX($AL$19:$AO$64,,MATCH($B70,$AL$18:$AO$18,0)),0)),EUconst_NA)</f>
        <v>n.a.</v>
      </c>
      <c r="Y70" s="841" t="str">
        <f>IFERROR(INDEX(MSPara_SourceStreamCategory,MATCH(COLUMNS($E70:Y70),INDEX($AL$19:$AO$64,,MATCH($B70,$AL$18:$AO$18,0)),0)),EUconst_NA)</f>
        <v>n.a.</v>
      </c>
      <c r="Z70" s="841" t="str">
        <f>IFERROR(INDEX(MSPara_SourceStreamCategory,MATCH(COLUMNS($E70:Z70),INDEX($AL$19:$AO$64,,MATCH($B70,$AL$18:$AO$18,0)),0)),EUconst_NA)</f>
        <v>n.a.</v>
      </c>
      <c r="AA70" s="841" t="str">
        <f>IFERROR(INDEX(MSPara_SourceStreamCategory,MATCH(COLUMNS($E70:AA70),INDEX($AL$19:$AO$64,,MATCH($B70,$AL$18:$AO$18,0)),0)),EUconst_NA)</f>
        <v>n.a.</v>
      </c>
      <c r="AB70" s="841" t="str">
        <f>IFERROR(INDEX(MSPara_SourceStreamCategory,MATCH(COLUMNS($E70:AB70),INDEX($AL$19:$AO$64,,MATCH($B70,$AL$18:$AO$18,0)),0)),EUconst_NA)</f>
        <v>n.a.</v>
      </c>
      <c r="AC70" s="841" t="str">
        <f>IFERROR(INDEX(MSPara_SourceStreamCategory,MATCH(COLUMNS($E70:AC70),INDEX($AL$19:$AO$64,,MATCH($B70,$AL$18:$AO$18,0)),0)),EUconst_NA)</f>
        <v>n.a.</v>
      </c>
      <c r="AD70" s="841" t="str">
        <f>IFERROR(INDEX(MSPara_SourceStreamCategory,MATCH(COLUMNS($E70:AD70),INDEX($AL$19:$AO$64,,MATCH($B70,$AL$18:$AO$18,0)),0)),EUconst_NA)</f>
        <v>n.a.</v>
      </c>
      <c r="AE70" s="841" t="str">
        <f>IFERROR(INDEX(MSPara_SourceStreamCategory,MATCH(COLUMNS($E70:AE70),INDEX($AL$19:$AO$64,,MATCH($B70,$AL$18:$AO$18,0)),0)),EUconst_NA)</f>
        <v>n.a.</v>
      </c>
      <c r="AF70" s="841" t="str">
        <f>IFERROR(INDEX(MSPara_SourceStreamCategory,MATCH(COLUMNS($E70:AF70),INDEX($AL$19:$AO$64,,MATCH($B70,$AL$18:$AO$18,0)),0)),EUconst_NA)</f>
        <v>n.a.</v>
      </c>
      <c r="AG70" s="841" t="str">
        <f>IFERROR(INDEX(MSPara_SourceStreamCategory,MATCH(COLUMNS($E70:AG70),INDEX($AL$19:$AO$64,,MATCH($B70,$AL$18:$AO$18,0)),0)),EUconst_NA)</f>
        <v>n.a.</v>
      </c>
      <c r="AH70" s="842" t="str">
        <f>IFERROR(INDEX(MSPara_SourceStreamCategory,MATCH(COLUMNS($E70:AH70),INDEX($AL$19:$AO$64,,MATCH($B70,$AL$18:$AO$18,0)),0)),EUconst_NA)</f>
        <v>n.a.</v>
      </c>
    </row>
    <row r="71" spans="1:34" x14ac:dyDescent="0.25">
      <c r="A71" s="835">
        <v>2</v>
      </c>
      <c r="B71" s="836" t="str">
        <f>INDEX(EUConst_TierActivityListNames,A71)</f>
        <v>Other gaseous &amp; liquid fuels</v>
      </c>
      <c r="C71" s="843" t="str">
        <f ca="1">ADDRESS(ROW(),COLUMN(E71),,,$N$6)&amp;":"&amp;ADDRESS(ROW(),COLUMN(E71)+MAX(0,COUNTBLANK($E$74:$AH$74)-1-COUNTIF(E71:AH71,EUconst_NA)-COUNTIF(E71:AH71,"")))</f>
        <v>MSParameters!$E$71:$Q$71</v>
      </c>
      <c r="E71" s="844" t="str">
        <f>IFERROR(INDEX(MSPara_SourceStreamCategory,MATCH(COLUMNS($E71:E71),INDEX($AL$19:$AO$64,,MATCH($B71,$AL$18:$AO$18,0)),0)),EUconst_NA)</f>
        <v>Liquid - Medium Fuel Oil</v>
      </c>
      <c r="F71" s="845" t="str">
        <f>IFERROR(INDEX(MSPara_SourceStreamCategory,MATCH(COLUMNS($E71:F71),INDEX($AL$19:$AO$64,,MATCH($B71,$AL$18:$AO$18,0)),0)),EUconst_NA)</f>
        <v>Liquid - Heavy Fuel Oil</v>
      </c>
      <c r="G71" s="845" t="str">
        <f>IFERROR(INDEX(MSPara_SourceStreamCategory,MATCH(COLUMNS($E71:G71),INDEX($AL$19:$AO$64,,MATCH($B71,$AL$18:$AO$18,0)),0)),EUconst_NA)</f>
        <v>Liquid - Liquefied Petroleum Gases</v>
      </c>
      <c r="H71" s="845" t="str">
        <f>IFERROR(INDEX(MSPara_SourceStreamCategory,MATCH(COLUMNS($E71:H71),INDEX($AL$19:$AO$64,,MATCH($B71,$AL$18:$AO$18,0)),0)),EUconst_NA)</f>
        <v>Liquid - Natural Gas Liquids</v>
      </c>
      <c r="I71" s="845" t="str">
        <f>IFERROR(INDEX(MSPara_SourceStreamCategory,MATCH(COLUMNS($E71:I71),INDEX($AL$19:$AO$64,,MATCH($B71,$AL$18:$AO$18,0)),0)),EUconst_NA)</f>
        <v>Liquid - Shale Oil</v>
      </c>
      <c r="J71" s="846" t="str">
        <f>IFERROR(INDEX(MSPara_SourceStreamCategory,MATCH(COLUMNS($E71:J71),INDEX($AL$19:$AO$64,,MATCH($B71,$AL$18:$AO$18,0)),0)),EUconst_NA)</f>
        <v>Liquid - Biogasoline</v>
      </c>
      <c r="K71" s="846" t="str">
        <f>IFERROR(INDEX(MSPara_SourceStreamCategory,MATCH(COLUMNS($E71:K71),INDEX($AL$19:$AO$64,,MATCH($B71,$AL$18:$AO$18,0)),0)),EUconst_NA)</f>
        <v>Liquid - Biodiesels</v>
      </c>
      <c r="L71" s="846" t="str">
        <f>IFERROR(INDEX(MSPara_SourceStreamCategory,MATCH(COLUMNS($E71:L71),INDEX($AL$19:$AO$64,,MATCH($B71,$AL$18:$AO$18,0)),0)),EUconst_NA)</f>
        <v>Liquid - Waste Oils</v>
      </c>
      <c r="M71" s="846" t="str">
        <f>IFERROR(INDEX(MSPara_SourceStreamCategory,MATCH(COLUMNS($E71:M71),INDEX($AL$19:$AO$64,,MATCH($B71,$AL$18:$AO$18,0)),0)),EUconst_NA)</f>
        <v>Liquid - Other liquid fuels</v>
      </c>
      <c r="N71" s="846" t="str">
        <f>IFERROR(INDEX(MSPara_SourceStreamCategory,MATCH(COLUMNS($E71:N71),INDEX($AL$19:$AO$64,,MATCH($B71,$AL$18:$AO$18,0)),0)),EUconst_NA)</f>
        <v>Gaseous - Natural Gas</v>
      </c>
      <c r="O71" s="846" t="str">
        <f>IFERROR(INDEX(MSPara_SourceStreamCategory,MATCH(COLUMNS($E71:O71),INDEX($AL$19:$AO$64,,MATCH($B71,$AL$18:$AO$18,0)),0)),EUconst_NA)</f>
        <v>Gaseous - Landfill Gas</v>
      </c>
      <c r="P71" s="846" t="str">
        <f>IFERROR(INDEX(MSPara_SourceStreamCategory,MATCH(COLUMNS($E71:P71),INDEX($AL$19:$AO$64,,MATCH($B71,$AL$18:$AO$18,0)),0)),EUconst_NA)</f>
        <v>Gaseous - Sludge Gas</v>
      </c>
      <c r="Q71" s="846" t="str">
        <f>IFERROR(INDEX(MSPara_SourceStreamCategory,MATCH(COLUMNS($E71:Q71),INDEX($AL$19:$AO$64,,MATCH($B71,$AL$18:$AO$18,0)),0)),EUconst_NA)</f>
        <v>Gaseous - Other gaseous fuels</v>
      </c>
      <c r="R71" s="846" t="str">
        <f>IFERROR(INDEX(MSPara_SourceStreamCategory,MATCH(COLUMNS($E71:R71),INDEX($AL$19:$AO$64,,MATCH($B71,$AL$18:$AO$18,0)),0)),EUconst_NA)</f>
        <v>n.a.</v>
      </c>
      <c r="S71" s="845" t="str">
        <f>IFERROR(INDEX(MSPara_SourceStreamCategory,MATCH(COLUMNS($E71:S71),INDEX($AL$19:$AO$64,,MATCH($B71,$AL$18:$AO$18,0)),0)),EUconst_NA)</f>
        <v>n.a.</v>
      </c>
      <c r="T71" s="845" t="str">
        <f>IFERROR(INDEX(MSPara_SourceStreamCategory,MATCH(COLUMNS($E71:T71),INDEX($AL$19:$AO$64,,MATCH($B71,$AL$18:$AO$18,0)),0)),EUconst_NA)</f>
        <v>n.a.</v>
      </c>
      <c r="U71" s="845" t="str">
        <f>IFERROR(INDEX(MSPara_SourceStreamCategory,MATCH(COLUMNS($E71:U71),INDEX($AL$19:$AO$64,,MATCH($B71,$AL$18:$AO$18,0)),0)),EUconst_NA)</f>
        <v>n.a.</v>
      </c>
      <c r="V71" s="845" t="str">
        <f>IFERROR(INDEX(MSPara_SourceStreamCategory,MATCH(COLUMNS($E71:V71),INDEX($AL$19:$AO$64,,MATCH($B71,$AL$18:$AO$18,0)),0)),EUconst_NA)</f>
        <v>n.a.</v>
      </c>
      <c r="W71" s="845" t="str">
        <f>IFERROR(INDEX(MSPara_SourceStreamCategory,MATCH(COLUMNS($E71:W71),INDEX($AL$19:$AO$64,,MATCH($B71,$AL$18:$AO$18,0)),0)),EUconst_NA)</f>
        <v>n.a.</v>
      </c>
      <c r="X71" s="845" t="str">
        <f>IFERROR(INDEX(MSPara_SourceStreamCategory,MATCH(COLUMNS($E71:X71),INDEX($AL$19:$AO$64,,MATCH($B71,$AL$18:$AO$18,0)),0)),EUconst_NA)</f>
        <v>n.a.</v>
      </c>
      <c r="Y71" s="845" t="str">
        <f>IFERROR(INDEX(MSPara_SourceStreamCategory,MATCH(COLUMNS($E71:Y71),INDEX($AL$19:$AO$64,,MATCH($B71,$AL$18:$AO$18,0)),0)),EUconst_NA)</f>
        <v>n.a.</v>
      </c>
      <c r="Z71" s="845" t="str">
        <f>IFERROR(INDEX(MSPara_SourceStreamCategory,MATCH(COLUMNS($E71:Z71),INDEX($AL$19:$AO$64,,MATCH($B71,$AL$18:$AO$18,0)),0)),EUconst_NA)</f>
        <v>n.a.</v>
      </c>
      <c r="AA71" s="845" t="str">
        <f>IFERROR(INDEX(MSPara_SourceStreamCategory,MATCH(COLUMNS($E71:AA71),INDEX($AL$19:$AO$64,,MATCH($B71,$AL$18:$AO$18,0)),0)),EUconst_NA)</f>
        <v>n.a.</v>
      </c>
      <c r="AB71" s="845" t="str">
        <f>IFERROR(INDEX(MSPara_SourceStreamCategory,MATCH(COLUMNS($E71:AB71),INDEX($AL$19:$AO$64,,MATCH($B71,$AL$18:$AO$18,0)),0)),EUconst_NA)</f>
        <v>n.a.</v>
      </c>
      <c r="AC71" s="845" t="str">
        <f>IFERROR(INDEX(MSPara_SourceStreamCategory,MATCH(COLUMNS($E71:AC71),INDEX($AL$19:$AO$64,,MATCH($B71,$AL$18:$AO$18,0)),0)),EUconst_NA)</f>
        <v>n.a.</v>
      </c>
      <c r="AD71" s="845" t="str">
        <f>IFERROR(INDEX(MSPara_SourceStreamCategory,MATCH(COLUMNS($E71:AD71),INDEX($AL$19:$AO$64,,MATCH($B71,$AL$18:$AO$18,0)),0)),EUconst_NA)</f>
        <v>n.a.</v>
      </c>
      <c r="AE71" s="845" t="str">
        <f>IFERROR(INDEX(MSPara_SourceStreamCategory,MATCH(COLUMNS($E71:AE71),INDEX($AL$19:$AO$64,,MATCH($B71,$AL$18:$AO$18,0)),0)),EUconst_NA)</f>
        <v>n.a.</v>
      </c>
      <c r="AF71" s="845" t="str">
        <f>IFERROR(INDEX(MSPara_SourceStreamCategory,MATCH(COLUMNS($E71:AF71),INDEX($AL$19:$AO$64,,MATCH($B71,$AL$18:$AO$18,0)),0)),EUconst_NA)</f>
        <v>n.a.</v>
      </c>
      <c r="AG71" s="845" t="str">
        <f>IFERROR(INDEX(MSPara_SourceStreamCategory,MATCH(COLUMNS($E71:AG71),INDEX($AL$19:$AO$64,,MATCH($B71,$AL$18:$AO$18,0)),0)),EUconst_NA)</f>
        <v>n.a.</v>
      </c>
      <c r="AH71" s="847" t="str">
        <f>IFERROR(INDEX(MSPara_SourceStreamCategory,MATCH(COLUMNS($E71:AH71),INDEX($AL$19:$AO$64,,MATCH($B71,$AL$18:$AO$18,0)),0)),EUconst_NA)</f>
        <v>n.a.</v>
      </c>
    </row>
    <row r="72" spans="1:34" x14ac:dyDescent="0.25">
      <c r="A72" s="835">
        <v>3</v>
      </c>
      <c r="B72" s="836" t="str">
        <f>INDEX(EUConst_TierActivityListNames,A72)</f>
        <v>Solid fuels</v>
      </c>
      <c r="C72" s="843" t="str">
        <f ca="1">ADDRESS(ROW(),COLUMN(E72),,,$N$6)&amp;":"&amp;ADDRESS(ROW(),COLUMN(E72)+MAX(0,COUNTBLANK($E$74:$AH$74)-1-COUNTIF(E72:AH72,EUconst_NA)-COUNTIF(E72:AH72,"")))</f>
        <v>MSParameters!$E$72:$L$72</v>
      </c>
      <c r="E72" s="844" t="str">
        <f>IFERROR(INDEX(MSPara_SourceStreamCategory,MATCH(COLUMNS($E72:E72),INDEX($AL$19:$AO$64,,MATCH($B72,$AL$18:$AO$18,0)),0)),EUconst_NA)</f>
        <v>Solid - Lignite</v>
      </c>
      <c r="F72" s="845" t="str">
        <f>IFERROR(INDEX(MSPara_SourceStreamCategory,MATCH(COLUMNS($E72:F72),INDEX($AL$19:$AO$64,,MATCH($B72,$AL$18:$AO$18,0)),0)),EUconst_NA)</f>
        <v>Solid - Anthracite</v>
      </c>
      <c r="G72" s="845" t="str">
        <f>IFERROR(INDEX(MSPara_SourceStreamCategory,MATCH(COLUMNS($E72:G72),INDEX($AL$19:$AO$64,,MATCH($B72,$AL$18:$AO$18,0)),0)),EUconst_NA)</f>
        <v>Solid - Coking Coal</v>
      </c>
      <c r="H72" s="845" t="str">
        <f>IFERROR(INDEX(MSPara_SourceStreamCategory,MATCH(COLUMNS($E72:H72),INDEX($AL$19:$AO$64,,MATCH($B72,$AL$18:$AO$18,0)),0)),EUconst_NA)</f>
        <v>Solid - Charcoal</v>
      </c>
      <c r="I72" s="845" t="str">
        <f>IFERROR(INDEX(MSPara_SourceStreamCategory,MATCH(COLUMNS($E72:I72),INDEX($AL$19:$AO$64,,MATCH($B72,$AL$18:$AO$18,0)),0)),EUconst_NA)</f>
        <v>Solid - Sub-Bituminous Coal</v>
      </c>
      <c r="J72" s="845" t="str">
        <f>IFERROR(INDEX(MSPara_SourceStreamCategory,MATCH(COLUMNS($E72:J72),INDEX($AL$19:$AO$64,,MATCH($B72,$AL$18:$AO$18,0)),0)),EUconst_NA)</f>
        <v>Solid - Other Bituminous Coal</v>
      </c>
      <c r="K72" s="845" t="str">
        <f>IFERROR(INDEX(MSPara_SourceStreamCategory,MATCH(COLUMNS($E72:K72),INDEX($AL$19:$AO$64,,MATCH($B72,$AL$18:$AO$18,0)),0)),EUconst_NA)</f>
        <v>Solid - Petroleum Coke</v>
      </c>
      <c r="L72" s="845" t="str">
        <f>IFERROR(INDEX(MSPara_SourceStreamCategory,MATCH(COLUMNS($E72:L72),INDEX($AL$19:$AO$64,,MATCH($B72,$AL$18:$AO$18,0)),0)),EUconst_NA)</f>
        <v>Solid - Other solid fuels</v>
      </c>
      <c r="M72" s="845" t="str">
        <f>IFERROR(INDEX(MSPara_SourceStreamCategory,MATCH(COLUMNS($E72:M72),INDEX($AL$19:$AO$64,,MATCH($B72,$AL$18:$AO$18,0)),0)),EUconst_NA)</f>
        <v>n.a.</v>
      </c>
      <c r="N72" s="846" t="str">
        <f>IFERROR(INDEX(MSPara_SourceStreamCategory,MATCH(COLUMNS($E72:N72),INDEX($AL$19:$AO$64,,MATCH($B72,$AL$18:$AO$18,0)),0)),EUconst_NA)</f>
        <v>n.a.</v>
      </c>
      <c r="O72" s="846" t="str">
        <f>IFERROR(INDEX(MSPara_SourceStreamCategory,MATCH(COLUMNS($E72:O72),INDEX($AL$19:$AO$64,,MATCH($B72,$AL$18:$AO$18,0)),0)),EUconst_NA)</f>
        <v>n.a.</v>
      </c>
      <c r="P72" s="846" t="str">
        <f>IFERROR(INDEX(MSPara_SourceStreamCategory,MATCH(COLUMNS($E72:P72),INDEX($AL$19:$AO$64,,MATCH($B72,$AL$18:$AO$18,0)),0)),EUconst_NA)</f>
        <v>n.a.</v>
      </c>
      <c r="Q72" s="846" t="str">
        <f>IFERROR(INDEX(MSPara_SourceStreamCategory,MATCH(COLUMNS($E72:Q72),INDEX($AL$19:$AO$64,,MATCH($B72,$AL$18:$AO$18,0)),0)),EUconst_NA)</f>
        <v>n.a.</v>
      </c>
      <c r="R72" s="846" t="str">
        <f>IFERROR(INDEX(MSPara_SourceStreamCategory,MATCH(COLUMNS($E72:R72),INDEX($AL$19:$AO$64,,MATCH($B72,$AL$18:$AO$18,0)),0)),EUconst_NA)</f>
        <v>n.a.</v>
      </c>
      <c r="S72" s="846" t="str">
        <f>IFERROR(INDEX(MSPara_SourceStreamCategory,MATCH(COLUMNS($E72:S72),INDEX($AL$19:$AO$64,,MATCH($B72,$AL$18:$AO$18,0)),0)),EUconst_NA)</f>
        <v>n.a.</v>
      </c>
      <c r="T72" s="846" t="str">
        <f>IFERROR(INDEX(MSPara_SourceStreamCategory,MATCH(COLUMNS($E72:T72),INDEX($AL$19:$AO$64,,MATCH($B72,$AL$18:$AO$18,0)),0)),EUconst_NA)</f>
        <v>n.a.</v>
      </c>
      <c r="U72" s="846" t="str">
        <f>IFERROR(INDEX(MSPara_SourceStreamCategory,MATCH(COLUMNS($E72:U72),INDEX($AL$19:$AO$64,,MATCH($B72,$AL$18:$AO$18,0)),0)),EUconst_NA)</f>
        <v>n.a.</v>
      </c>
      <c r="V72" s="846" t="str">
        <f>IFERROR(INDEX(MSPara_SourceStreamCategory,MATCH(COLUMNS($E72:V72),INDEX($AL$19:$AO$64,,MATCH($B72,$AL$18:$AO$18,0)),0)),EUconst_NA)</f>
        <v>n.a.</v>
      </c>
      <c r="W72" s="846" t="str">
        <f>IFERROR(INDEX(MSPara_SourceStreamCategory,MATCH(COLUMNS($E72:W72),INDEX($AL$19:$AO$64,,MATCH($B72,$AL$18:$AO$18,0)),0)),EUconst_NA)</f>
        <v>n.a.</v>
      </c>
      <c r="X72" s="846" t="str">
        <f>IFERROR(INDEX(MSPara_SourceStreamCategory,MATCH(COLUMNS($E72:X72),INDEX($AL$19:$AO$64,,MATCH($B72,$AL$18:$AO$18,0)),0)),EUconst_NA)</f>
        <v>n.a.</v>
      </c>
      <c r="Y72" s="846" t="str">
        <f>IFERROR(INDEX(MSPara_SourceStreamCategory,MATCH(COLUMNS($E72:Y72),INDEX($AL$19:$AO$64,,MATCH($B72,$AL$18:$AO$18,0)),0)),EUconst_NA)</f>
        <v>n.a.</v>
      </c>
      <c r="Z72" s="846" t="str">
        <f>IFERROR(INDEX(MSPara_SourceStreamCategory,MATCH(COLUMNS($E72:Z72),INDEX($AL$19:$AO$64,,MATCH($B72,$AL$18:$AO$18,0)),0)),EUconst_NA)</f>
        <v>n.a.</v>
      </c>
      <c r="AA72" s="846" t="str">
        <f>IFERROR(INDEX(MSPara_SourceStreamCategory,MATCH(COLUMNS($E72:AA72),INDEX($AL$19:$AO$64,,MATCH($B72,$AL$18:$AO$18,0)),0)),EUconst_NA)</f>
        <v>n.a.</v>
      </c>
      <c r="AB72" s="846" t="str">
        <f>IFERROR(INDEX(MSPara_SourceStreamCategory,MATCH(COLUMNS($E72:AB72),INDEX($AL$19:$AO$64,,MATCH($B72,$AL$18:$AO$18,0)),0)),EUconst_NA)</f>
        <v>n.a.</v>
      </c>
      <c r="AC72" s="846" t="str">
        <f>IFERROR(INDEX(MSPara_SourceStreamCategory,MATCH(COLUMNS($E72:AC72),INDEX($AL$19:$AO$64,,MATCH($B72,$AL$18:$AO$18,0)),0)),EUconst_NA)</f>
        <v>n.a.</v>
      </c>
      <c r="AD72" s="846" t="str">
        <f>IFERROR(INDEX(MSPara_SourceStreamCategory,MATCH(COLUMNS($E72:AD72),INDEX($AL$19:$AO$64,,MATCH($B72,$AL$18:$AO$18,0)),0)),EUconst_NA)</f>
        <v>n.a.</v>
      </c>
      <c r="AE72" s="846" t="str">
        <f>IFERROR(INDEX(MSPara_SourceStreamCategory,MATCH(COLUMNS($E72:AE72),INDEX($AL$19:$AO$64,,MATCH($B72,$AL$18:$AO$18,0)),0)),EUconst_NA)</f>
        <v>n.a.</v>
      </c>
      <c r="AF72" s="845" t="str">
        <f>IFERROR(INDEX(MSPara_SourceStreamCategory,MATCH(COLUMNS($E72:AF72),INDEX($AL$19:$AO$64,,MATCH($B72,$AL$18:$AO$18,0)),0)),EUconst_NA)</f>
        <v>n.a.</v>
      </c>
      <c r="AG72" s="845" t="str">
        <f>IFERROR(INDEX(MSPara_SourceStreamCategory,MATCH(COLUMNS($E72:AG72),INDEX($AL$19:$AO$64,,MATCH($B72,$AL$18:$AO$18,0)),0)),EUconst_NA)</f>
        <v>n.a.</v>
      </c>
      <c r="AH72" s="847" t="str">
        <f>IFERROR(INDEX(MSPara_SourceStreamCategory,MATCH(COLUMNS($E72:AH72),INDEX($AL$19:$AO$64,,MATCH($B72,$AL$18:$AO$18,0)),0)),EUconst_NA)</f>
        <v>n.a.</v>
      </c>
    </row>
    <row r="73" spans="1:34" ht="13" thickBot="1" x14ac:dyDescent="0.3">
      <c r="A73" s="835">
        <v>4</v>
      </c>
      <c r="B73" s="836" t="str">
        <f>INDEX(EUConst_TierActivityListNames,A73)</f>
        <v>Fuels equivalent to commercial standard fuels (Art. 75k(2))</v>
      </c>
      <c r="C73" s="848" t="str">
        <f ca="1">ADDRESS(ROW(),COLUMN(E73),,,$N$6)&amp;":"&amp;ADDRESS(ROW(),COLUMN(E73)+MAX(0,COUNTBLANK($E$74:$AH$74)-1-COUNTIF(E73:AH73,EUconst_NA)-COUNTIF(E73:AH73,"")))</f>
        <v>MSParameters!$E$73:$E$73</v>
      </c>
      <c r="E73" s="849" t="str">
        <f>IFERROR(INDEX(MSPara_SourceStreamCategory,MATCH(COLUMNS($E73:E73),INDEX($AL$19:$AO$64,,MATCH($B73,$AL$18:$AO$18,0)),0)),EUconst_NA)</f>
        <v>n.a.</v>
      </c>
      <c r="F73" s="850" t="str">
        <f>IFERROR(INDEX(MSPara_SourceStreamCategory,MATCH(COLUMNS($E73:F73),INDEX($AL$19:$AO$64,,MATCH($B73,$AL$18:$AO$18,0)),0)),EUconst_NA)</f>
        <v>n.a.</v>
      </c>
      <c r="G73" s="850" t="str">
        <f>IFERROR(INDEX(MSPara_SourceStreamCategory,MATCH(COLUMNS($E73:G73),INDEX($AL$19:$AO$64,,MATCH($B73,$AL$18:$AO$18,0)),0)),EUconst_NA)</f>
        <v>n.a.</v>
      </c>
      <c r="H73" s="850" t="str">
        <f>IFERROR(INDEX(MSPara_SourceStreamCategory,MATCH(COLUMNS($E73:H73),INDEX($AL$19:$AO$64,,MATCH($B73,$AL$18:$AO$18,0)),0)),EUconst_NA)</f>
        <v>n.a.</v>
      </c>
      <c r="I73" s="850" t="str">
        <f>IFERROR(INDEX(MSPara_SourceStreamCategory,MATCH(COLUMNS($E73:I73),INDEX($AL$19:$AO$64,,MATCH($B73,$AL$18:$AO$18,0)),0)),EUconst_NA)</f>
        <v>n.a.</v>
      </c>
      <c r="J73" s="850" t="str">
        <f>IFERROR(INDEX(MSPara_SourceStreamCategory,MATCH(COLUMNS($E73:J73),INDEX($AL$19:$AO$64,,MATCH($B73,$AL$18:$AO$18,0)),0)),EUconst_NA)</f>
        <v>n.a.</v>
      </c>
      <c r="K73" s="850" t="str">
        <f>IFERROR(INDEX(MSPara_SourceStreamCategory,MATCH(COLUMNS($E73:K73),INDEX($AL$19:$AO$64,,MATCH($B73,$AL$18:$AO$18,0)),0)),EUconst_NA)</f>
        <v>n.a.</v>
      </c>
      <c r="L73" s="850" t="str">
        <f>IFERROR(INDEX(MSPara_SourceStreamCategory,MATCH(COLUMNS($E73:L73),INDEX($AL$19:$AO$64,,MATCH($B73,$AL$18:$AO$18,0)),0)),EUconst_NA)</f>
        <v>n.a.</v>
      </c>
      <c r="M73" s="851" t="str">
        <f>IFERROR(INDEX(MSPara_SourceStreamCategory,MATCH(COLUMNS($E73:M73),INDEX($AL$19:$AO$64,,MATCH($B73,$AL$18:$AO$18,0)),0)),EUconst_NA)</f>
        <v>n.a.</v>
      </c>
      <c r="N73" s="851" t="str">
        <f>IFERROR(INDEX(MSPara_SourceStreamCategory,MATCH(COLUMNS($E73:N73),INDEX($AL$19:$AO$64,,MATCH($B73,$AL$18:$AO$18,0)),0)),EUconst_NA)</f>
        <v>n.a.</v>
      </c>
      <c r="O73" s="851" t="str">
        <f>IFERROR(INDEX(MSPara_SourceStreamCategory,MATCH(COLUMNS($E73:O73),INDEX($AL$19:$AO$64,,MATCH($B73,$AL$18:$AO$18,0)),0)),EUconst_NA)</f>
        <v>n.a.</v>
      </c>
      <c r="P73" s="851" t="str">
        <f>IFERROR(INDEX(MSPara_SourceStreamCategory,MATCH(COLUMNS($E73:P73),INDEX($AL$19:$AO$64,,MATCH($B73,$AL$18:$AO$18,0)),0)),EUconst_NA)</f>
        <v>n.a.</v>
      </c>
      <c r="Q73" s="851" t="str">
        <f>IFERROR(INDEX(MSPara_SourceStreamCategory,MATCH(COLUMNS($E73:Q73),INDEX($AL$19:$AO$64,,MATCH($B73,$AL$18:$AO$18,0)),0)),EUconst_NA)</f>
        <v>n.a.</v>
      </c>
      <c r="R73" s="851" t="str">
        <f>IFERROR(INDEX(MSPara_SourceStreamCategory,MATCH(COLUMNS($E73:R73),INDEX($AL$19:$AO$64,,MATCH($B73,$AL$18:$AO$18,0)),0)),EUconst_NA)</f>
        <v>n.a.</v>
      </c>
      <c r="S73" s="851" t="str">
        <f>IFERROR(INDEX(MSPara_SourceStreamCategory,MATCH(COLUMNS($E73:S73),INDEX($AL$19:$AO$64,,MATCH($B73,$AL$18:$AO$18,0)),0)),EUconst_NA)</f>
        <v>n.a.</v>
      </c>
      <c r="T73" s="851" t="str">
        <f>IFERROR(INDEX(MSPara_SourceStreamCategory,MATCH(COLUMNS($E73:T73),INDEX($AL$19:$AO$64,,MATCH($B73,$AL$18:$AO$18,0)),0)),EUconst_NA)</f>
        <v>n.a.</v>
      </c>
      <c r="U73" s="851" t="str">
        <f>IFERROR(INDEX(MSPara_SourceStreamCategory,MATCH(COLUMNS($E73:U73),INDEX($AL$19:$AO$64,,MATCH($B73,$AL$18:$AO$18,0)),0)),EUconst_NA)</f>
        <v>n.a.</v>
      </c>
      <c r="V73" s="851" t="str">
        <f>IFERROR(INDEX(MSPara_SourceStreamCategory,MATCH(COLUMNS($E73:V73),INDEX($AL$19:$AO$64,,MATCH($B73,$AL$18:$AO$18,0)),0)),EUconst_NA)</f>
        <v>n.a.</v>
      </c>
      <c r="W73" s="851" t="str">
        <f>IFERROR(INDEX(MSPara_SourceStreamCategory,MATCH(COLUMNS($E73:W73),INDEX($AL$19:$AO$64,,MATCH($B73,$AL$18:$AO$18,0)),0)),EUconst_NA)</f>
        <v>n.a.</v>
      </c>
      <c r="X73" s="851" t="str">
        <f>IFERROR(INDEX(MSPara_SourceStreamCategory,MATCH(COLUMNS($E73:X73),INDEX($AL$19:$AO$64,,MATCH($B73,$AL$18:$AO$18,0)),0)),EUconst_NA)</f>
        <v>n.a.</v>
      </c>
      <c r="Y73" s="851" t="str">
        <f>IFERROR(INDEX(MSPara_SourceStreamCategory,MATCH(COLUMNS($E73:Y73),INDEX($AL$19:$AO$64,,MATCH($B73,$AL$18:$AO$18,0)),0)),EUconst_NA)</f>
        <v>n.a.</v>
      </c>
      <c r="Z73" s="851" t="str">
        <f>IFERROR(INDEX(MSPara_SourceStreamCategory,MATCH(COLUMNS($E73:Z73),INDEX($AL$19:$AO$64,,MATCH($B73,$AL$18:$AO$18,0)),0)),EUconst_NA)</f>
        <v>n.a.</v>
      </c>
      <c r="AA73" s="851" t="str">
        <f>IFERROR(INDEX(MSPara_SourceStreamCategory,MATCH(COLUMNS($E73:AA73),INDEX($AL$19:$AO$64,,MATCH($B73,$AL$18:$AO$18,0)),0)),EUconst_NA)</f>
        <v>n.a.</v>
      </c>
      <c r="AB73" s="851" t="str">
        <f>IFERROR(INDEX(MSPara_SourceStreamCategory,MATCH(COLUMNS($E73:AB73),INDEX($AL$19:$AO$64,,MATCH($B73,$AL$18:$AO$18,0)),0)),EUconst_NA)</f>
        <v>n.a.</v>
      </c>
      <c r="AC73" s="851" t="str">
        <f>IFERROR(INDEX(MSPara_SourceStreamCategory,MATCH(COLUMNS($E73:AC73),INDEX($AL$19:$AO$64,,MATCH($B73,$AL$18:$AO$18,0)),0)),EUconst_NA)</f>
        <v>n.a.</v>
      </c>
      <c r="AD73" s="851" t="str">
        <f>IFERROR(INDEX(MSPara_SourceStreamCategory,MATCH(COLUMNS($E73:AD73),INDEX($AL$19:$AO$64,,MATCH($B73,$AL$18:$AO$18,0)),0)),EUconst_NA)</f>
        <v>n.a.</v>
      </c>
      <c r="AE73" s="851" t="str">
        <f>IFERROR(INDEX(MSPara_SourceStreamCategory,MATCH(COLUMNS($E73:AE73),INDEX($AL$19:$AO$64,,MATCH($B73,$AL$18:$AO$18,0)),0)),EUconst_NA)</f>
        <v>n.a.</v>
      </c>
      <c r="AF73" s="851" t="str">
        <f>IFERROR(INDEX(MSPara_SourceStreamCategory,MATCH(COLUMNS($E73:AF73),INDEX($AL$19:$AO$64,,MATCH($B73,$AL$18:$AO$18,0)),0)),EUconst_NA)</f>
        <v>n.a.</v>
      </c>
      <c r="AG73" s="851" t="str">
        <f>IFERROR(INDEX(MSPara_SourceStreamCategory,MATCH(COLUMNS($E73:AG73),INDEX($AL$19:$AO$64,,MATCH($B73,$AL$18:$AO$18,0)),0)),EUconst_NA)</f>
        <v>n.a.</v>
      </c>
      <c r="AH73" s="852" t="str">
        <f>IFERROR(INDEX(MSPara_SourceStreamCategory,MATCH(COLUMNS($E73:AH73),INDEX($AL$19:$AO$64,,MATCH($B73,$AL$18:$AO$18,0)),0)),EUconst_NA)</f>
        <v>n.a.</v>
      </c>
    </row>
  </sheetData>
  <sheetProtection sheet="1" objects="1" scenarios="1" formatCells="0" formatColumns="0" formatRows="0"/>
  <mergeCells count="11">
    <mergeCell ref="F14:L14"/>
    <mergeCell ref="F15:L15"/>
    <mergeCell ref="O14:T14"/>
    <mergeCell ref="O15:T15"/>
    <mergeCell ref="A16:A17"/>
    <mergeCell ref="P16:Q16"/>
    <mergeCell ref="R16:S16"/>
    <mergeCell ref="H16:I16"/>
    <mergeCell ref="J16:K16"/>
    <mergeCell ref="B16:C17"/>
    <mergeCell ref="D16:E17"/>
  </mergeCells>
  <phoneticPr fontId="49" type="noConversion"/>
  <conditionalFormatting sqref="L70:O70 E71:AH72">
    <cfRule type="containsText" dxfId="14" priority="2" stopIfTrue="1" operator="containsText" text="XXX">
      <formula>NOT(ISERROR(SEARCH("XXX",E70)))</formula>
    </cfRule>
  </conditionalFormatting>
  <dataValidations count="5">
    <dataValidation type="list" allowBlank="1" showInputMessage="1" showErrorMessage="1" sqref="W15 W19:W64 M19:N64" xr:uid="{00000000-0002-0000-0D00-000000000000}">
      <formula1>EUconst_TrueFalse</formula1>
    </dataValidation>
    <dataValidation type="list" allowBlank="1" showInputMessage="1" sqref="I19:I64 S19:S64" xr:uid="{00000000-0002-0000-0D00-000001000000}">
      <formula1>EFUnits</formula1>
    </dataValidation>
    <dataValidation type="list" allowBlank="1" showInputMessage="1" sqref="G19:G64 O19:O64" xr:uid="{00000000-0002-0000-0D00-000002000000}">
      <formula1>RFAUnits</formula1>
    </dataValidation>
    <dataValidation type="list" allowBlank="1" showInputMessage="1" sqref="K19:K64 Q19:Q64" xr:uid="{00000000-0002-0000-0D00-000003000000}">
      <formula1>UCFUnits</formula1>
    </dataValidation>
    <dataValidation type="list" allowBlank="1" showInputMessage="1" showErrorMessage="1" sqref="B19:B64 D19:D64" xr:uid="{00000000-0002-0000-0D00-000004000000}">
      <formula1>"1,2,3,4"</formula1>
    </dataValidation>
  </dataValidations>
  <pageMargins left="0.7" right="0.7" top="0.78740157499999996" bottom="0.78740157499999996" header="0.3" footer="0.3"/>
  <pageSetup paperSize="9" orientation="portrait" r:id="rId1"/>
  <headerFooter>
    <oddHeader>&amp;L&amp;F, &amp;A&amp;R&amp;D, &amp;T</oddHeader>
    <oddFooter>&amp;C&amp;P /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7">
    <tabColor indexed="12"/>
  </sheetPr>
  <dimension ref="A1:D676"/>
  <sheetViews>
    <sheetView topLeftCell="A587" zoomScaleNormal="100" workbookViewId="0">
      <selection activeCell="B603" sqref="B603"/>
    </sheetView>
  </sheetViews>
  <sheetFormatPr defaultColWidth="9.1796875" defaultRowHeight="12.5" x14ac:dyDescent="0.25"/>
  <cols>
    <col min="1" max="1" width="8.26953125" customWidth="1"/>
    <col min="2" max="3" width="70.7265625" customWidth="1"/>
  </cols>
  <sheetData>
    <row r="1" spans="1:4" ht="14.5" x14ac:dyDescent="0.35">
      <c r="A1" s="853" t="s">
        <v>370</v>
      </c>
      <c r="B1" s="853" t="s">
        <v>371</v>
      </c>
      <c r="C1" s="853" t="s">
        <v>372</v>
      </c>
      <c r="D1" s="854"/>
    </row>
    <row r="2" spans="1:4" x14ac:dyDescent="0.25">
      <c r="A2" s="855">
        <v>11</v>
      </c>
      <c r="B2" s="856" t="s">
        <v>373</v>
      </c>
    </row>
    <row r="3" spans="1:4" x14ac:dyDescent="0.25">
      <c r="A3" s="855">
        <v>43</v>
      </c>
      <c r="B3" s="856" t="s">
        <v>374</v>
      </c>
    </row>
    <row r="4" spans="1:4" ht="13.5" thickBot="1" x14ac:dyDescent="0.3">
      <c r="A4" s="855">
        <v>44</v>
      </c>
      <c r="B4" s="182" t="s">
        <v>375</v>
      </c>
    </row>
    <row r="5" spans="1:4" ht="13" thickBot="1" x14ac:dyDescent="0.3">
      <c r="A5" s="855">
        <v>50</v>
      </c>
      <c r="B5" s="857" t="s">
        <v>376</v>
      </c>
    </row>
    <row r="6" spans="1:4" x14ac:dyDescent="0.25">
      <c r="A6" s="855">
        <v>51</v>
      </c>
      <c r="B6" s="858" t="s">
        <v>377</v>
      </c>
    </row>
    <row r="7" spans="1:4" ht="13.5" thickBot="1" x14ac:dyDescent="0.3">
      <c r="A7" s="855">
        <v>52</v>
      </c>
      <c r="B7" s="182" t="s">
        <v>378</v>
      </c>
    </row>
    <row r="8" spans="1:4" x14ac:dyDescent="0.25">
      <c r="A8" s="855">
        <v>53</v>
      </c>
      <c r="B8" s="859" t="s">
        <v>379</v>
      </c>
    </row>
    <row r="9" spans="1:4" x14ac:dyDescent="0.25">
      <c r="A9" s="855">
        <v>54</v>
      </c>
      <c r="B9" s="860" t="s">
        <v>380</v>
      </c>
    </row>
    <row r="10" spans="1:4" x14ac:dyDescent="0.25">
      <c r="A10" s="855">
        <v>55</v>
      </c>
      <c r="B10" s="860" t="s">
        <v>381</v>
      </c>
    </row>
    <row r="11" spans="1:4" ht="13" thickBot="1" x14ac:dyDescent="0.3">
      <c r="A11" s="855">
        <v>56</v>
      </c>
      <c r="B11" s="861" t="s">
        <v>382</v>
      </c>
    </row>
    <row r="12" spans="1:4" ht="26.5" thickBot="1" x14ac:dyDescent="0.3">
      <c r="A12" s="855">
        <v>57</v>
      </c>
      <c r="B12" s="862" t="s">
        <v>383</v>
      </c>
    </row>
    <row r="13" spans="1:4" ht="13.5" thickBot="1" x14ac:dyDescent="0.35">
      <c r="A13" s="855">
        <v>58</v>
      </c>
      <c r="B13" s="863" t="s">
        <v>384</v>
      </c>
      <c r="D13" t="s">
        <v>385</v>
      </c>
    </row>
    <row r="14" spans="1:4" x14ac:dyDescent="0.25">
      <c r="A14" s="855">
        <v>59</v>
      </c>
      <c r="B14" t="s">
        <v>386</v>
      </c>
    </row>
    <row r="15" spans="1:4" x14ac:dyDescent="0.25">
      <c r="A15" s="855">
        <v>60</v>
      </c>
      <c r="B15" t="s">
        <v>387</v>
      </c>
    </row>
    <row r="16" spans="1:4" x14ac:dyDescent="0.25">
      <c r="A16" s="855">
        <v>61</v>
      </c>
      <c r="B16" t="s">
        <v>388</v>
      </c>
    </row>
    <row r="17" spans="1:2" ht="18" x14ac:dyDescent="0.25">
      <c r="A17" s="855">
        <v>64</v>
      </c>
      <c r="B17" s="864" t="s">
        <v>389</v>
      </c>
    </row>
    <row r="18" spans="1:2" x14ac:dyDescent="0.25">
      <c r="A18" s="855">
        <v>66</v>
      </c>
      <c r="B18" s="865" t="s">
        <v>390</v>
      </c>
    </row>
    <row r="19" spans="1:2" ht="25" x14ac:dyDescent="0.25">
      <c r="A19" s="855">
        <v>79</v>
      </c>
      <c r="B19" s="865" t="s">
        <v>391</v>
      </c>
    </row>
    <row r="20" spans="1:2" ht="13" x14ac:dyDescent="0.25">
      <c r="A20" s="855">
        <v>81</v>
      </c>
      <c r="B20" s="125" t="s">
        <v>392</v>
      </c>
    </row>
    <row r="21" spans="1:2" x14ac:dyDescent="0.25">
      <c r="A21" s="855">
        <v>82</v>
      </c>
      <c r="B21" s="866" t="s">
        <v>393</v>
      </c>
    </row>
    <row r="22" spans="1:2" ht="37.5" x14ac:dyDescent="0.25">
      <c r="A22" s="855">
        <v>84</v>
      </c>
      <c r="B22" s="865" t="s">
        <v>394</v>
      </c>
    </row>
    <row r="23" spans="1:2" ht="37.5" x14ac:dyDescent="0.25">
      <c r="A23" s="855">
        <v>85</v>
      </c>
      <c r="B23" s="865" t="s">
        <v>395</v>
      </c>
    </row>
    <row r="24" spans="1:2" x14ac:dyDescent="0.25">
      <c r="A24" s="855">
        <v>87</v>
      </c>
      <c r="B24" s="867" t="s">
        <v>396</v>
      </c>
    </row>
    <row r="25" spans="1:2" ht="14" x14ac:dyDescent="0.25">
      <c r="A25" s="855">
        <v>93</v>
      </c>
      <c r="B25" s="129" t="s">
        <v>397</v>
      </c>
    </row>
    <row r="26" spans="1:2" ht="13" x14ac:dyDescent="0.3">
      <c r="A26" s="855">
        <v>94</v>
      </c>
      <c r="B26" s="868" t="s">
        <v>398</v>
      </c>
    </row>
    <row r="27" spans="1:2" x14ac:dyDescent="0.25">
      <c r="A27" s="855">
        <v>95</v>
      </c>
      <c r="B27" s="131" t="s">
        <v>399</v>
      </c>
    </row>
    <row r="28" spans="1:2" x14ac:dyDescent="0.25">
      <c r="A28" s="855">
        <v>96</v>
      </c>
      <c r="B28" t="s">
        <v>400</v>
      </c>
    </row>
    <row r="29" spans="1:2" x14ac:dyDescent="0.25">
      <c r="A29" s="855">
        <v>97</v>
      </c>
      <c r="B29" s="131" t="s">
        <v>401</v>
      </c>
    </row>
    <row r="30" spans="1:2" x14ac:dyDescent="0.25">
      <c r="A30" s="855">
        <v>99</v>
      </c>
      <c r="B30" s="131" t="s">
        <v>402</v>
      </c>
    </row>
    <row r="31" spans="1:2" ht="13" x14ac:dyDescent="0.3">
      <c r="A31" s="855">
        <v>100</v>
      </c>
      <c r="B31" s="868" t="s">
        <v>403</v>
      </c>
    </row>
    <row r="32" spans="1:2" x14ac:dyDescent="0.25">
      <c r="A32" s="855">
        <v>101</v>
      </c>
      <c r="B32" s="869" t="s">
        <v>404</v>
      </c>
    </row>
    <row r="33" spans="1:2" ht="13" x14ac:dyDescent="0.3">
      <c r="A33" s="855">
        <v>102</v>
      </c>
      <c r="B33" s="868" t="s">
        <v>405</v>
      </c>
    </row>
    <row r="34" spans="1:2" x14ac:dyDescent="0.25">
      <c r="A34" s="855">
        <v>103</v>
      </c>
      <c r="B34" s="869" t="s">
        <v>406</v>
      </c>
    </row>
    <row r="35" spans="1:2" ht="15.5" x14ac:dyDescent="0.25">
      <c r="A35" s="855">
        <v>104</v>
      </c>
      <c r="B35" s="133" t="s">
        <v>407</v>
      </c>
    </row>
    <row r="36" spans="1:2" ht="62.5" x14ac:dyDescent="0.25">
      <c r="A36" s="855">
        <v>107</v>
      </c>
      <c r="B36" s="865" t="s">
        <v>408</v>
      </c>
    </row>
    <row r="37" spans="1:2" x14ac:dyDescent="0.25">
      <c r="A37" s="855">
        <v>108</v>
      </c>
      <c r="B37" s="866" t="s">
        <v>409</v>
      </c>
    </row>
    <row r="38" spans="1:2" ht="13" x14ac:dyDescent="0.25">
      <c r="A38" s="855">
        <v>109</v>
      </c>
      <c r="B38" s="203" t="s">
        <v>410</v>
      </c>
    </row>
    <row r="39" spans="1:2" x14ac:dyDescent="0.25">
      <c r="A39" s="855">
        <v>110</v>
      </c>
      <c r="B39" s="865" t="s">
        <v>411</v>
      </c>
    </row>
    <row r="40" spans="1:2" x14ac:dyDescent="0.25">
      <c r="A40" s="855">
        <v>111</v>
      </c>
      <c r="B40" s="870" t="s">
        <v>412</v>
      </c>
    </row>
    <row r="41" spans="1:2" ht="25" x14ac:dyDescent="0.25">
      <c r="A41" s="855">
        <v>112</v>
      </c>
      <c r="B41" s="865" t="s">
        <v>413</v>
      </c>
    </row>
    <row r="42" spans="1:2" x14ac:dyDescent="0.25">
      <c r="A42" s="855">
        <v>114</v>
      </c>
      <c r="B42" s="865" t="s">
        <v>414</v>
      </c>
    </row>
    <row r="43" spans="1:2" ht="25" x14ac:dyDescent="0.25">
      <c r="A43" s="855">
        <v>115</v>
      </c>
      <c r="B43" s="865" t="s">
        <v>415</v>
      </c>
    </row>
    <row r="44" spans="1:2" x14ac:dyDescent="0.25">
      <c r="A44" s="855">
        <v>116</v>
      </c>
      <c r="B44" s="865" t="s">
        <v>416</v>
      </c>
    </row>
    <row r="45" spans="1:2" x14ac:dyDescent="0.25">
      <c r="A45" s="855">
        <v>118</v>
      </c>
      <c r="B45" s="865" t="s">
        <v>417</v>
      </c>
    </row>
    <row r="46" spans="1:2" ht="62.5" x14ac:dyDescent="0.25">
      <c r="A46" s="855">
        <v>120</v>
      </c>
      <c r="B46" s="135" t="s">
        <v>418</v>
      </c>
    </row>
    <row r="47" spans="1:2" ht="62.5" x14ac:dyDescent="0.25">
      <c r="A47" s="855">
        <v>121</v>
      </c>
      <c r="B47" s="134" t="s">
        <v>419</v>
      </c>
    </row>
    <row r="48" spans="1:2" ht="15.5" x14ac:dyDescent="0.25">
      <c r="A48" s="855">
        <v>128</v>
      </c>
      <c r="B48" s="133" t="s">
        <v>420</v>
      </c>
    </row>
    <row r="49" spans="1:4" x14ac:dyDescent="0.25">
      <c r="A49" s="855">
        <v>139</v>
      </c>
      <c r="B49" s="871" t="s">
        <v>421</v>
      </c>
    </row>
    <row r="50" spans="1:4" x14ac:dyDescent="0.25">
      <c r="A50" s="855">
        <v>141</v>
      </c>
      <c r="B50" s="871" t="s">
        <v>422</v>
      </c>
    </row>
    <row r="51" spans="1:4" x14ac:dyDescent="0.25">
      <c r="A51" s="855">
        <v>144</v>
      </c>
      <c r="B51" s="871" t="s">
        <v>423</v>
      </c>
    </row>
    <row r="52" spans="1:4" x14ac:dyDescent="0.25">
      <c r="A52" s="855">
        <v>151</v>
      </c>
      <c r="B52" s="174" t="s">
        <v>424</v>
      </c>
    </row>
    <row r="53" spans="1:4" x14ac:dyDescent="0.25">
      <c r="A53" s="855">
        <v>152</v>
      </c>
      <c r="B53" s="174" t="s">
        <v>425</v>
      </c>
      <c r="D53" t="s">
        <v>426</v>
      </c>
    </row>
    <row r="54" spans="1:4" x14ac:dyDescent="0.25">
      <c r="A54" s="855">
        <v>153</v>
      </c>
      <c r="B54" s="174" t="s">
        <v>427</v>
      </c>
    </row>
    <row r="55" spans="1:4" x14ac:dyDescent="0.25">
      <c r="A55" s="855">
        <v>154</v>
      </c>
      <c r="B55" s="872" t="s">
        <v>428</v>
      </c>
    </row>
    <row r="56" spans="1:4" x14ac:dyDescent="0.25">
      <c r="A56" s="855">
        <v>164</v>
      </c>
      <c r="B56" s="873" t="s">
        <v>429</v>
      </c>
    </row>
    <row r="57" spans="1:4" x14ac:dyDescent="0.25">
      <c r="A57" s="855">
        <v>165</v>
      </c>
      <c r="B57" s="873" t="s">
        <v>430</v>
      </c>
    </row>
    <row r="58" spans="1:4" x14ac:dyDescent="0.25">
      <c r="A58" s="855">
        <v>166</v>
      </c>
      <c r="B58" s="873" t="s">
        <v>431</v>
      </c>
      <c r="D58" t="s">
        <v>432</v>
      </c>
    </row>
    <row r="59" spans="1:4" x14ac:dyDescent="0.25">
      <c r="A59" s="855">
        <v>167</v>
      </c>
      <c r="B59" s="873" t="s">
        <v>433</v>
      </c>
    </row>
    <row r="60" spans="1:4" x14ac:dyDescent="0.25">
      <c r="A60" s="855">
        <v>168</v>
      </c>
      <c r="B60" s="873" t="s">
        <v>434</v>
      </c>
    </row>
    <row r="61" spans="1:4" x14ac:dyDescent="0.25">
      <c r="A61" s="855">
        <v>169</v>
      </c>
      <c r="B61" s="873" t="s">
        <v>435</v>
      </c>
      <c r="D61" t="s">
        <v>436</v>
      </c>
    </row>
    <row r="62" spans="1:4" ht="13" x14ac:dyDescent="0.25">
      <c r="A62" s="855">
        <v>172</v>
      </c>
      <c r="B62" s="171" t="s">
        <v>437</v>
      </c>
    </row>
    <row r="63" spans="1:4" ht="13" x14ac:dyDescent="0.25">
      <c r="A63" s="855">
        <v>174</v>
      </c>
      <c r="B63" s="171" t="s">
        <v>438</v>
      </c>
    </row>
    <row r="64" spans="1:4" ht="13" x14ac:dyDescent="0.25">
      <c r="A64" s="855">
        <v>175</v>
      </c>
      <c r="B64" s="171" t="s">
        <v>439</v>
      </c>
    </row>
    <row r="65" spans="1:4" ht="13" x14ac:dyDescent="0.25">
      <c r="A65" s="855">
        <v>176</v>
      </c>
      <c r="B65" s="171" t="s">
        <v>440</v>
      </c>
    </row>
    <row r="66" spans="1:4" ht="13" x14ac:dyDescent="0.25">
      <c r="A66" s="855">
        <v>177</v>
      </c>
      <c r="B66" s="171" t="s">
        <v>441</v>
      </c>
    </row>
    <row r="67" spans="1:4" ht="13" x14ac:dyDescent="0.25">
      <c r="A67" s="855">
        <v>178</v>
      </c>
      <c r="B67" s="171" t="s">
        <v>442</v>
      </c>
    </row>
    <row r="68" spans="1:4" ht="13" x14ac:dyDescent="0.25">
      <c r="A68" s="855">
        <v>180</v>
      </c>
      <c r="B68" s="171" t="s">
        <v>443</v>
      </c>
      <c r="D68" t="s">
        <v>444</v>
      </c>
    </row>
    <row r="69" spans="1:4" ht="13" x14ac:dyDescent="0.25">
      <c r="A69" s="855">
        <v>181</v>
      </c>
      <c r="B69" s="171" t="s">
        <v>445</v>
      </c>
      <c r="D69" t="s">
        <v>446</v>
      </c>
    </row>
    <row r="70" spans="1:4" ht="13" x14ac:dyDescent="0.25">
      <c r="A70" s="855">
        <v>182</v>
      </c>
      <c r="B70" s="171" t="s">
        <v>447</v>
      </c>
    </row>
    <row r="71" spans="1:4" x14ac:dyDescent="0.25">
      <c r="A71" s="855">
        <v>388</v>
      </c>
      <c r="B71" s="224" t="s">
        <v>448</v>
      </c>
    </row>
    <row r="72" spans="1:4" x14ac:dyDescent="0.25">
      <c r="A72" s="855">
        <v>492</v>
      </c>
      <c r="B72" s="874" t="s">
        <v>449</v>
      </c>
      <c r="D72" t="s">
        <v>450</v>
      </c>
    </row>
    <row r="73" spans="1:4" x14ac:dyDescent="0.25">
      <c r="A73" s="855">
        <v>504</v>
      </c>
      <c r="B73" s="875" t="s">
        <v>451</v>
      </c>
      <c r="D73" t="s">
        <v>452</v>
      </c>
    </row>
    <row r="74" spans="1:4" x14ac:dyDescent="0.25">
      <c r="A74" s="855">
        <v>509</v>
      </c>
      <c r="B74" s="876" t="s">
        <v>453</v>
      </c>
      <c r="D74" t="s">
        <v>454</v>
      </c>
    </row>
    <row r="75" spans="1:4" ht="13" x14ac:dyDescent="0.25">
      <c r="A75" s="855">
        <v>526</v>
      </c>
      <c r="B75" s="877" t="s">
        <v>455</v>
      </c>
    </row>
    <row r="76" spans="1:4" ht="13" x14ac:dyDescent="0.25">
      <c r="A76" s="855">
        <v>527</v>
      </c>
      <c r="B76" s="877" t="s">
        <v>456</v>
      </c>
      <c r="D76" t="s">
        <v>457</v>
      </c>
    </row>
    <row r="77" spans="1:4" ht="13" x14ac:dyDescent="0.25">
      <c r="A77" s="855">
        <v>529</v>
      </c>
      <c r="B77" s="878" t="s">
        <v>158</v>
      </c>
    </row>
    <row r="78" spans="1:4" ht="13" x14ac:dyDescent="0.25">
      <c r="A78" s="855">
        <v>781</v>
      </c>
      <c r="B78" s="203" t="s">
        <v>458</v>
      </c>
    </row>
    <row r="79" spans="1:4" x14ac:dyDescent="0.25">
      <c r="A79" s="855">
        <v>784</v>
      </c>
      <c r="B79" s="763" t="s">
        <v>459</v>
      </c>
    </row>
    <row r="80" spans="1:4" x14ac:dyDescent="0.25">
      <c r="A80" s="855">
        <v>787</v>
      </c>
      <c r="B80" s="763" t="s">
        <v>460</v>
      </c>
    </row>
    <row r="81" spans="1:2" x14ac:dyDescent="0.25">
      <c r="A81" s="855">
        <v>789</v>
      </c>
      <c r="B81" s="763" t="s">
        <v>461</v>
      </c>
    </row>
    <row r="82" spans="1:2" x14ac:dyDescent="0.25">
      <c r="A82" s="855">
        <v>790</v>
      </c>
      <c r="B82" s="763" t="s">
        <v>462</v>
      </c>
    </row>
    <row r="83" spans="1:2" x14ac:dyDescent="0.25">
      <c r="A83" s="855">
        <v>791</v>
      </c>
      <c r="B83" s="763" t="s">
        <v>463</v>
      </c>
    </row>
    <row r="84" spans="1:2" x14ac:dyDescent="0.25">
      <c r="A84" s="855">
        <v>792</v>
      </c>
      <c r="B84" s="763" t="s">
        <v>464</v>
      </c>
    </row>
    <row r="85" spans="1:2" x14ac:dyDescent="0.25">
      <c r="A85" s="855">
        <v>793</v>
      </c>
      <c r="B85" s="763" t="s">
        <v>465</v>
      </c>
    </row>
    <row r="86" spans="1:2" x14ac:dyDescent="0.25">
      <c r="A86" s="855">
        <v>795</v>
      </c>
      <c r="B86" s="763" t="s">
        <v>466</v>
      </c>
    </row>
    <row r="87" spans="1:2" x14ac:dyDescent="0.25">
      <c r="A87" s="855">
        <v>796</v>
      </c>
      <c r="B87" s="763" t="s">
        <v>467</v>
      </c>
    </row>
    <row r="88" spans="1:2" x14ac:dyDescent="0.25">
      <c r="A88" s="855">
        <v>797</v>
      </c>
      <c r="B88" s="763" t="s">
        <v>468</v>
      </c>
    </row>
    <row r="89" spans="1:2" x14ac:dyDescent="0.25">
      <c r="A89" s="855">
        <v>798</v>
      </c>
      <c r="B89" s="763" t="s">
        <v>469</v>
      </c>
    </row>
    <row r="90" spans="1:2" x14ac:dyDescent="0.25">
      <c r="A90" s="855">
        <v>800</v>
      </c>
      <c r="B90" s="763" t="s">
        <v>470</v>
      </c>
    </row>
    <row r="91" spans="1:2" x14ac:dyDescent="0.25">
      <c r="A91" s="855">
        <v>803</v>
      </c>
      <c r="B91" s="763" t="s">
        <v>471</v>
      </c>
    </row>
    <row r="92" spans="1:2" x14ac:dyDescent="0.25">
      <c r="A92" s="855">
        <v>804</v>
      </c>
      <c r="B92" s="763" t="s">
        <v>472</v>
      </c>
    </row>
    <row r="93" spans="1:2" x14ac:dyDescent="0.25">
      <c r="A93" s="855">
        <v>805</v>
      </c>
      <c r="B93" s="879" t="s">
        <v>473</v>
      </c>
    </row>
    <row r="94" spans="1:2" x14ac:dyDescent="0.25">
      <c r="A94" s="855">
        <v>806</v>
      </c>
      <c r="B94" s="879" t="s">
        <v>177</v>
      </c>
    </row>
    <row r="95" spans="1:2" x14ac:dyDescent="0.25">
      <c r="A95" s="855">
        <v>807</v>
      </c>
      <c r="B95" s="880" t="s">
        <v>474</v>
      </c>
    </row>
    <row r="96" spans="1:2" x14ac:dyDescent="0.25">
      <c r="A96" s="855">
        <v>808</v>
      </c>
      <c r="B96" s="881" t="s">
        <v>475</v>
      </c>
    </row>
    <row r="97" spans="1:2" x14ac:dyDescent="0.25">
      <c r="A97" s="855">
        <v>809</v>
      </c>
      <c r="B97" s="880" t="s">
        <v>476</v>
      </c>
    </row>
    <row r="98" spans="1:2" x14ac:dyDescent="0.25">
      <c r="A98" s="855">
        <v>811</v>
      </c>
      <c r="B98" s="880" t="s">
        <v>477</v>
      </c>
    </row>
    <row r="99" spans="1:2" x14ac:dyDescent="0.25">
      <c r="A99" s="855">
        <v>812</v>
      </c>
      <c r="B99" s="880" t="s">
        <v>478</v>
      </c>
    </row>
    <row r="100" spans="1:2" x14ac:dyDescent="0.25">
      <c r="A100" s="855">
        <v>813</v>
      </c>
      <c r="B100" s="880" t="s">
        <v>479</v>
      </c>
    </row>
    <row r="101" spans="1:2" x14ac:dyDescent="0.25">
      <c r="A101" s="855">
        <v>814</v>
      </c>
      <c r="B101" s="880" t="s">
        <v>480</v>
      </c>
    </row>
    <row r="102" spans="1:2" x14ac:dyDescent="0.25">
      <c r="A102" s="855">
        <v>815</v>
      </c>
      <c r="B102" s="880" t="s">
        <v>481</v>
      </c>
    </row>
    <row r="103" spans="1:2" x14ac:dyDescent="0.25">
      <c r="A103" s="855">
        <v>816</v>
      </c>
      <c r="B103" s="880" t="s">
        <v>482</v>
      </c>
    </row>
    <row r="104" spans="1:2" x14ac:dyDescent="0.25">
      <c r="A104" s="855">
        <v>817</v>
      </c>
      <c r="B104" s="880" t="s">
        <v>483</v>
      </c>
    </row>
    <row r="105" spans="1:2" x14ac:dyDescent="0.25">
      <c r="A105" s="855">
        <v>818</v>
      </c>
      <c r="B105" s="880" t="s">
        <v>484</v>
      </c>
    </row>
    <row r="106" spans="1:2" x14ac:dyDescent="0.25">
      <c r="A106" s="855">
        <v>819</v>
      </c>
      <c r="B106" s="880" t="s">
        <v>485</v>
      </c>
    </row>
    <row r="107" spans="1:2" x14ac:dyDescent="0.25">
      <c r="A107" s="855">
        <v>820</v>
      </c>
      <c r="B107" s="880" t="s">
        <v>486</v>
      </c>
    </row>
    <row r="108" spans="1:2" x14ac:dyDescent="0.25">
      <c r="A108" s="855">
        <v>821</v>
      </c>
      <c r="B108" s="880" t="s">
        <v>487</v>
      </c>
    </row>
    <row r="109" spans="1:2" x14ac:dyDescent="0.25">
      <c r="A109" s="855">
        <v>822</v>
      </c>
      <c r="B109" s="880" t="s">
        <v>488</v>
      </c>
    </row>
    <row r="110" spans="1:2" x14ac:dyDescent="0.25">
      <c r="A110" s="855">
        <v>823</v>
      </c>
      <c r="B110" s="880" t="s">
        <v>489</v>
      </c>
    </row>
    <row r="111" spans="1:2" x14ac:dyDescent="0.25">
      <c r="A111" s="855">
        <v>824</v>
      </c>
      <c r="B111" s="880" t="s">
        <v>490</v>
      </c>
    </row>
    <row r="112" spans="1:2" x14ac:dyDescent="0.25">
      <c r="A112" s="855">
        <v>825</v>
      </c>
      <c r="B112" s="880" t="s">
        <v>491</v>
      </c>
    </row>
    <row r="113" spans="1:4" x14ac:dyDescent="0.25">
      <c r="A113" s="855">
        <v>826</v>
      </c>
      <c r="B113" s="880" t="s">
        <v>178</v>
      </c>
    </row>
    <row r="114" spans="1:4" x14ac:dyDescent="0.25">
      <c r="A114" s="855">
        <v>827</v>
      </c>
      <c r="B114" s="880" t="s">
        <v>492</v>
      </c>
    </row>
    <row r="115" spans="1:4" x14ac:dyDescent="0.25">
      <c r="A115" s="855">
        <v>828</v>
      </c>
      <c r="B115" s="880" t="s">
        <v>493</v>
      </c>
    </row>
    <row r="116" spans="1:4" x14ac:dyDescent="0.25">
      <c r="A116" s="855">
        <v>829</v>
      </c>
      <c r="B116" s="880" t="s">
        <v>494</v>
      </c>
    </row>
    <row r="117" spans="1:4" x14ac:dyDescent="0.25">
      <c r="A117" s="855">
        <v>830</v>
      </c>
      <c r="B117" s="880" t="s">
        <v>495</v>
      </c>
    </row>
    <row r="118" spans="1:4" x14ac:dyDescent="0.25">
      <c r="A118" s="855">
        <v>831</v>
      </c>
      <c r="B118" s="880" t="s">
        <v>496</v>
      </c>
    </row>
    <row r="119" spans="1:4" x14ac:dyDescent="0.25">
      <c r="A119" s="855">
        <v>832</v>
      </c>
      <c r="B119" s="880" t="s">
        <v>497</v>
      </c>
    </row>
    <row r="120" spans="1:4" x14ac:dyDescent="0.25">
      <c r="A120" s="855">
        <v>833</v>
      </c>
      <c r="B120" s="880" t="s">
        <v>498</v>
      </c>
    </row>
    <row r="121" spans="1:4" x14ac:dyDescent="0.25">
      <c r="A121" s="855">
        <v>834</v>
      </c>
      <c r="B121" s="880" t="s">
        <v>499</v>
      </c>
    </row>
    <row r="122" spans="1:4" x14ac:dyDescent="0.25">
      <c r="A122" s="855">
        <v>836</v>
      </c>
      <c r="B122" s="879" t="s">
        <v>500</v>
      </c>
    </row>
    <row r="123" spans="1:4" x14ac:dyDescent="0.25">
      <c r="A123" s="855">
        <v>837</v>
      </c>
      <c r="B123" s="879" t="s">
        <v>501</v>
      </c>
    </row>
    <row r="124" spans="1:4" ht="13" x14ac:dyDescent="0.3">
      <c r="A124" s="855">
        <v>923</v>
      </c>
      <c r="B124" s="882" t="s">
        <v>502</v>
      </c>
    </row>
    <row r="125" spans="1:4" x14ac:dyDescent="0.25">
      <c r="A125" s="855">
        <v>927</v>
      </c>
      <c r="B125" s="139" t="s">
        <v>503</v>
      </c>
    </row>
    <row r="126" spans="1:4" ht="13" x14ac:dyDescent="0.3">
      <c r="A126" s="855">
        <v>953</v>
      </c>
      <c r="B126" s="883" t="s">
        <v>504</v>
      </c>
    </row>
    <row r="127" spans="1:4" ht="13" x14ac:dyDescent="0.3">
      <c r="A127" s="855">
        <v>954</v>
      </c>
      <c r="B127" s="883" t="s">
        <v>505</v>
      </c>
      <c r="D127" t="s">
        <v>506</v>
      </c>
    </row>
    <row r="128" spans="1:4" ht="13" x14ac:dyDescent="0.3">
      <c r="A128" s="855">
        <v>956</v>
      </c>
      <c r="B128" s="883" t="s">
        <v>507</v>
      </c>
    </row>
    <row r="129" spans="1:4" ht="13" x14ac:dyDescent="0.3">
      <c r="A129" s="855">
        <v>957</v>
      </c>
      <c r="B129" s="883" t="s">
        <v>508</v>
      </c>
    </row>
    <row r="130" spans="1:4" ht="13" x14ac:dyDescent="0.3">
      <c r="A130" s="855">
        <v>959</v>
      </c>
      <c r="B130" s="883" t="s">
        <v>509</v>
      </c>
    </row>
    <row r="131" spans="1:4" ht="13" x14ac:dyDescent="0.3">
      <c r="A131" s="855">
        <v>960</v>
      </c>
      <c r="B131" s="883" t="s">
        <v>510</v>
      </c>
    </row>
    <row r="132" spans="1:4" x14ac:dyDescent="0.25">
      <c r="A132" s="855">
        <v>961</v>
      </c>
      <c r="B132" s="771" t="s">
        <v>511</v>
      </c>
    </row>
    <row r="133" spans="1:4" x14ac:dyDescent="0.25">
      <c r="A133" s="855">
        <v>963</v>
      </c>
      <c r="B133" s="763" t="s">
        <v>512</v>
      </c>
    </row>
    <row r="134" spans="1:4" x14ac:dyDescent="0.25">
      <c r="A134" s="855">
        <v>964</v>
      </c>
      <c r="B134" s="763" t="s">
        <v>513</v>
      </c>
    </row>
    <row r="135" spans="1:4" x14ac:dyDescent="0.25">
      <c r="A135" s="855">
        <v>965</v>
      </c>
      <c r="B135" s="884" t="s">
        <v>514</v>
      </c>
    </row>
    <row r="136" spans="1:4" x14ac:dyDescent="0.25">
      <c r="A136" s="855">
        <v>966</v>
      </c>
      <c r="B136" s="884" t="s">
        <v>515</v>
      </c>
    </row>
    <row r="137" spans="1:4" x14ac:dyDescent="0.25">
      <c r="A137" s="855">
        <v>967</v>
      </c>
      <c r="B137" s="884" t="s">
        <v>516</v>
      </c>
    </row>
    <row r="138" spans="1:4" x14ac:dyDescent="0.25">
      <c r="A138" s="855">
        <v>968</v>
      </c>
      <c r="B138" s="884" t="s">
        <v>517</v>
      </c>
    </row>
    <row r="139" spans="1:4" x14ac:dyDescent="0.25">
      <c r="A139" s="855">
        <v>969</v>
      </c>
      <c r="B139" s="763" t="s">
        <v>518</v>
      </c>
    </row>
    <row r="140" spans="1:4" x14ac:dyDescent="0.25">
      <c r="A140" s="855">
        <v>970</v>
      </c>
      <c r="B140" s="763" t="s">
        <v>519</v>
      </c>
    </row>
    <row r="141" spans="1:4" ht="13" x14ac:dyDescent="0.3">
      <c r="A141" s="855">
        <v>1058</v>
      </c>
      <c r="B141" s="883" t="s">
        <v>520</v>
      </c>
    </row>
    <row r="142" spans="1:4" x14ac:dyDescent="0.25">
      <c r="A142" s="855">
        <v>1060</v>
      </c>
      <c r="B142" s="885" t="s">
        <v>521</v>
      </c>
    </row>
    <row r="143" spans="1:4" x14ac:dyDescent="0.25">
      <c r="A143" s="855">
        <v>1132</v>
      </c>
      <c r="B143" s="771" t="s">
        <v>522</v>
      </c>
      <c r="D143" t="s">
        <v>523</v>
      </c>
    </row>
    <row r="144" spans="1:4" ht="37.5" x14ac:dyDescent="0.25">
      <c r="A144" s="886">
        <v>1504</v>
      </c>
      <c r="B144" s="865" t="s">
        <v>524</v>
      </c>
    </row>
    <row r="145" spans="1:2" x14ac:dyDescent="0.25">
      <c r="A145" s="886">
        <v>1521</v>
      </c>
      <c r="B145" s="887" t="s">
        <v>525</v>
      </c>
    </row>
    <row r="146" spans="1:2" x14ac:dyDescent="0.25">
      <c r="A146" s="886">
        <v>1522</v>
      </c>
      <c r="B146" s="484" t="s">
        <v>526</v>
      </c>
    </row>
    <row r="147" spans="1:2" x14ac:dyDescent="0.25">
      <c r="A147" s="886">
        <v>1523</v>
      </c>
      <c r="B147" s="178" t="s">
        <v>527</v>
      </c>
    </row>
    <row r="148" spans="1:2" ht="20" x14ac:dyDescent="0.25">
      <c r="A148" s="886">
        <v>1524</v>
      </c>
      <c r="B148" s="305" t="s">
        <v>528</v>
      </c>
    </row>
    <row r="149" spans="1:2" x14ac:dyDescent="0.25">
      <c r="A149" s="886">
        <v>1526</v>
      </c>
      <c r="B149" s="484" t="s">
        <v>529</v>
      </c>
    </row>
    <row r="150" spans="1:2" ht="20" x14ac:dyDescent="0.25">
      <c r="A150" s="886">
        <v>1527</v>
      </c>
      <c r="B150" s="178" t="s">
        <v>530</v>
      </c>
    </row>
    <row r="151" spans="1:2" x14ac:dyDescent="0.25">
      <c r="A151" s="886">
        <v>1530</v>
      </c>
      <c r="B151" s="887" t="s">
        <v>531</v>
      </c>
    </row>
    <row r="152" spans="1:2" x14ac:dyDescent="0.25">
      <c r="A152" s="886">
        <v>1531</v>
      </c>
      <c r="B152" s="874" t="s">
        <v>532</v>
      </c>
    </row>
    <row r="153" spans="1:2" x14ac:dyDescent="0.25">
      <c r="A153" s="886">
        <v>1532</v>
      </c>
      <c r="B153" s="887" t="s">
        <v>533</v>
      </c>
    </row>
    <row r="154" spans="1:2" x14ac:dyDescent="0.25">
      <c r="A154" s="886">
        <v>1535</v>
      </c>
      <c r="B154" s="887" t="s">
        <v>534</v>
      </c>
    </row>
    <row r="155" spans="1:2" x14ac:dyDescent="0.25">
      <c r="A155" s="886">
        <v>1536</v>
      </c>
      <c r="B155" s="178" t="s">
        <v>535</v>
      </c>
    </row>
    <row r="156" spans="1:2" x14ac:dyDescent="0.25">
      <c r="A156" s="886">
        <v>1538</v>
      </c>
      <c r="B156" s="178" t="s">
        <v>536</v>
      </c>
    </row>
    <row r="157" spans="1:2" ht="30" x14ac:dyDescent="0.25">
      <c r="A157" s="886">
        <v>1540</v>
      </c>
      <c r="B157" s="305" t="s">
        <v>537</v>
      </c>
    </row>
    <row r="158" spans="1:2" x14ac:dyDescent="0.25">
      <c r="A158" s="886">
        <v>1541</v>
      </c>
      <c r="B158" s="887" t="s">
        <v>538</v>
      </c>
    </row>
    <row r="159" spans="1:2" x14ac:dyDescent="0.25">
      <c r="A159" s="886">
        <v>1545</v>
      </c>
      <c r="B159" s="876" t="s">
        <v>539</v>
      </c>
    </row>
    <row r="160" spans="1:2" ht="25" x14ac:dyDescent="0.5">
      <c r="A160" s="886">
        <v>1586</v>
      </c>
      <c r="B160" s="745" t="s">
        <v>540</v>
      </c>
    </row>
    <row r="161" spans="1:4" x14ac:dyDescent="0.25">
      <c r="A161" s="886">
        <v>1594</v>
      </c>
      <c r="B161" s="763" t="s">
        <v>541</v>
      </c>
    </row>
    <row r="162" spans="1:4" x14ac:dyDescent="0.25">
      <c r="A162" s="886">
        <v>1595</v>
      </c>
      <c r="B162" s="763" t="s">
        <v>542</v>
      </c>
    </row>
    <row r="163" spans="1:4" x14ac:dyDescent="0.25">
      <c r="A163" s="886">
        <v>1596</v>
      </c>
      <c r="B163" s="763" t="s">
        <v>543</v>
      </c>
    </row>
    <row r="164" spans="1:4" x14ac:dyDescent="0.25">
      <c r="A164" s="886">
        <v>1597</v>
      </c>
      <c r="B164" s="763" t="s">
        <v>544</v>
      </c>
    </row>
    <row r="165" spans="1:4" ht="13" x14ac:dyDescent="0.3">
      <c r="A165" s="886">
        <v>1614</v>
      </c>
      <c r="B165" s="883" t="s">
        <v>545</v>
      </c>
    </row>
    <row r="166" spans="1:4" ht="13.5" thickBot="1" x14ac:dyDescent="0.35">
      <c r="A166" s="886">
        <v>1616</v>
      </c>
      <c r="B166" s="883" t="s">
        <v>546</v>
      </c>
    </row>
    <row r="167" spans="1:4" ht="13" x14ac:dyDescent="0.25">
      <c r="A167" s="886">
        <v>2002</v>
      </c>
      <c r="B167" s="888" t="s">
        <v>547</v>
      </c>
    </row>
    <row r="168" spans="1:4" ht="15.5" x14ac:dyDescent="0.25">
      <c r="A168" s="886">
        <v>2004</v>
      </c>
      <c r="B168" s="889" t="s">
        <v>548</v>
      </c>
    </row>
    <row r="169" spans="1:4" x14ac:dyDescent="0.25">
      <c r="A169" s="886">
        <v>2005</v>
      </c>
      <c r="B169" s="202" t="s">
        <v>549</v>
      </c>
    </row>
    <row r="170" spans="1:4" x14ac:dyDescent="0.25">
      <c r="A170" s="886">
        <v>2006</v>
      </c>
      <c r="B170" s="202" t="s">
        <v>550</v>
      </c>
    </row>
    <row r="171" spans="1:4" x14ac:dyDescent="0.25">
      <c r="A171" s="886">
        <v>2008</v>
      </c>
      <c r="B171" s="4" t="s">
        <v>551</v>
      </c>
    </row>
    <row r="172" spans="1:4" ht="91" x14ac:dyDescent="0.25">
      <c r="A172" s="886">
        <v>2011</v>
      </c>
      <c r="B172" s="121" t="s">
        <v>552</v>
      </c>
    </row>
    <row r="173" spans="1:4" ht="25" x14ac:dyDescent="0.25">
      <c r="A173" s="886">
        <v>2017</v>
      </c>
      <c r="B173" s="3" t="s">
        <v>553</v>
      </c>
      <c r="D173" t="s">
        <v>554</v>
      </c>
    </row>
    <row r="174" spans="1:4" ht="37.5" x14ac:dyDescent="0.25">
      <c r="A174" s="886">
        <v>2019</v>
      </c>
      <c r="B174" s="865" t="s">
        <v>555</v>
      </c>
    </row>
    <row r="175" spans="1:4" x14ac:dyDescent="0.25">
      <c r="A175" s="886">
        <v>2022</v>
      </c>
      <c r="B175" s="5" t="s">
        <v>556</v>
      </c>
    </row>
    <row r="176" spans="1:4" ht="26.5" thickBot="1" x14ac:dyDescent="0.3">
      <c r="A176" s="886">
        <v>2024</v>
      </c>
      <c r="B176" s="125" t="s">
        <v>557</v>
      </c>
    </row>
    <row r="177" spans="1:4" ht="104.5" thickBot="1" x14ac:dyDescent="0.3">
      <c r="A177" s="886">
        <v>2025</v>
      </c>
      <c r="B177" s="136" t="s">
        <v>558</v>
      </c>
    </row>
    <row r="178" spans="1:4" ht="15.5" x14ac:dyDescent="0.35">
      <c r="A178" s="886">
        <v>2035</v>
      </c>
      <c r="B178" s="168" t="s">
        <v>559</v>
      </c>
    </row>
    <row r="179" spans="1:4" ht="15.5" x14ac:dyDescent="0.35">
      <c r="A179" s="886">
        <v>2036</v>
      </c>
      <c r="B179" s="168" t="s">
        <v>560</v>
      </c>
    </row>
    <row r="180" spans="1:4" ht="13" x14ac:dyDescent="0.25">
      <c r="A180" s="886">
        <v>2037</v>
      </c>
      <c r="B180" s="182" t="s">
        <v>561</v>
      </c>
    </row>
    <row r="181" spans="1:4" x14ac:dyDescent="0.25">
      <c r="A181" s="886">
        <v>2038</v>
      </c>
      <c r="B181" s="873" t="s">
        <v>562</v>
      </c>
      <c r="D181" t="s">
        <v>563</v>
      </c>
    </row>
    <row r="182" spans="1:4" x14ac:dyDescent="0.25">
      <c r="A182" s="886">
        <v>2039</v>
      </c>
      <c r="B182" s="873" t="s">
        <v>564</v>
      </c>
      <c r="D182" t="s">
        <v>565</v>
      </c>
    </row>
    <row r="183" spans="1:4" x14ac:dyDescent="0.25">
      <c r="A183" s="886">
        <v>2040</v>
      </c>
      <c r="B183" s="178" t="s">
        <v>566</v>
      </c>
    </row>
    <row r="184" spans="1:4" x14ac:dyDescent="0.25">
      <c r="A184" s="886">
        <v>2041</v>
      </c>
      <c r="B184" s="890" t="s">
        <v>567</v>
      </c>
    </row>
    <row r="185" spans="1:4" x14ac:dyDescent="0.25">
      <c r="A185" s="886">
        <v>2042</v>
      </c>
      <c r="B185" s="873" t="s">
        <v>568</v>
      </c>
    </row>
    <row r="186" spans="1:4" ht="40" x14ac:dyDescent="0.25">
      <c r="A186" s="886">
        <v>2043</v>
      </c>
      <c r="B186" s="178" t="s">
        <v>569</v>
      </c>
    </row>
    <row r="187" spans="1:4" ht="13" x14ac:dyDescent="0.3">
      <c r="A187" s="886">
        <v>2044</v>
      </c>
      <c r="B187" s="891" t="s">
        <v>570</v>
      </c>
    </row>
    <row r="188" spans="1:4" ht="20" x14ac:dyDescent="0.25">
      <c r="A188" s="886">
        <v>2045</v>
      </c>
      <c r="B188" s="178" t="s">
        <v>571</v>
      </c>
    </row>
    <row r="189" spans="1:4" ht="13" x14ac:dyDescent="0.25">
      <c r="A189" s="886">
        <v>2046</v>
      </c>
      <c r="B189" s="171" t="s">
        <v>572</v>
      </c>
    </row>
    <row r="190" spans="1:4" ht="15.5" x14ac:dyDescent="0.25">
      <c r="A190" s="886">
        <v>2070</v>
      </c>
      <c r="B190" s="216" t="s">
        <v>573</v>
      </c>
    </row>
    <row r="191" spans="1:4" x14ac:dyDescent="0.25">
      <c r="A191" s="886">
        <v>2071</v>
      </c>
      <c r="B191" s="892" t="s">
        <v>574</v>
      </c>
    </row>
    <row r="192" spans="1:4" ht="13" x14ac:dyDescent="0.25">
      <c r="A192" s="886">
        <v>2072</v>
      </c>
      <c r="B192" s="182" t="s">
        <v>575</v>
      </c>
    </row>
    <row r="193" spans="1:2" x14ac:dyDescent="0.25">
      <c r="A193" s="886">
        <v>2076</v>
      </c>
      <c r="B193" s="245" t="s">
        <v>576</v>
      </c>
    </row>
    <row r="194" spans="1:2" x14ac:dyDescent="0.25">
      <c r="A194" s="886">
        <v>2077</v>
      </c>
      <c r="B194" s="224" t="s">
        <v>577</v>
      </c>
    </row>
    <row r="195" spans="1:2" x14ac:dyDescent="0.25">
      <c r="A195" s="886">
        <v>2078</v>
      </c>
      <c r="B195" s="224" t="s">
        <v>578</v>
      </c>
    </row>
    <row r="196" spans="1:2" x14ac:dyDescent="0.25">
      <c r="A196" s="886">
        <v>2079</v>
      </c>
      <c r="B196" s="227" t="s">
        <v>579</v>
      </c>
    </row>
    <row r="197" spans="1:2" x14ac:dyDescent="0.25">
      <c r="A197" s="886">
        <v>2080</v>
      </c>
      <c r="B197" s="227" t="s">
        <v>580</v>
      </c>
    </row>
    <row r="198" spans="1:2" x14ac:dyDescent="0.25">
      <c r="A198" s="886">
        <v>2081</v>
      </c>
      <c r="B198" s="229" t="s">
        <v>581</v>
      </c>
    </row>
    <row r="199" spans="1:2" x14ac:dyDescent="0.25">
      <c r="A199" s="886">
        <v>2082</v>
      </c>
      <c r="B199" s="229" t="s">
        <v>582</v>
      </c>
    </row>
    <row r="200" spans="1:2" ht="13" x14ac:dyDescent="0.25">
      <c r="A200" s="886">
        <v>2083</v>
      </c>
      <c r="B200" s="182" t="s">
        <v>583</v>
      </c>
    </row>
    <row r="201" spans="1:2" x14ac:dyDescent="0.25">
      <c r="A201" s="886">
        <v>2085</v>
      </c>
      <c r="B201" s="245" t="s">
        <v>584</v>
      </c>
    </row>
    <row r="202" spans="1:2" x14ac:dyDescent="0.25">
      <c r="A202" s="886">
        <v>2086</v>
      </c>
      <c r="B202" s="227" t="s">
        <v>585</v>
      </c>
    </row>
    <row r="203" spans="1:2" x14ac:dyDescent="0.25">
      <c r="A203" s="886">
        <v>2087</v>
      </c>
      <c r="B203" s="229" t="s">
        <v>586</v>
      </c>
    </row>
    <row r="204" spans="1:2" x14ac:dyDescent="0.25">
      <c r="A204" s="886">
        <v>2088</v>
      </c>
      <c r="B204" s="229" t="s">
        <v>587</v>
      </c>
    </row>
    <row r="205" spans="1:2" ht="15.5" x14ac:dyDescent="0.25">
      <c r="A205" s="886">
        <v>2089</v>
      </c>
      <c r="B205" s="216" t="s">
        <v>588</v>
      </c>
    </row>
    <row r="206" spans="1:2" ht="13" x14ac:dyDescent="0.25">
      <c r="A206" s="886">
        <v>2090</v>
      </c>
      <c r="B206" s="239" t="s">
        <v>589</v>
      </c>
    </row>
    <row r="207" spans="1:2" x14ac:dyDescent="0.25">
      <c r="A207" s="886">
        <v>2097</v>
      </c>
      <c r="B207" s="245" t="s">
        <v>590</v>
      </c>
    </row>
    <row r="208" spans="1:2" x14ac:dyDescent="0.25">
      <c r="A208" s="886">
        <v>2098</v>
      </c>
      <c r="B208" s="245" t="s">
        <v>591</v>
      </c>
    </row>
    <row r="209" spans="1:4" x14ac:dyDescent="0.25">
      <c r="A209" s="886">
        <v>2099</v>
      </c>
      <c r="B209" s="245" t="s">
        <v>592</v>
      </c>
    </row>
    <row r="210" spans="1:4" x14ac:dyDescent="0.25">
      <c r="A210" s="886">
        <v>2101</v>
      </c>
      <c r="B210" s="257" t="s">
        <v>593</v>
      </c>
    </row>
    <row r="211" spans="1:4" x14ac:dyDescent="0.25">
      <c r="A211" s="886">
        <v>2103</v>
      </c>
      <c r="B211" s="259" t="s">
        <v>594</v>
      </c>
    </row>
    <row r="212" spans="1:4" ht="13" thickBot="1" x14ac:dyDescent="0.3">
      <c r="A212" s="886">
        <v>2114</v>
      </c>
      <c r="B212" s="224" t="s">
        <v>595</v>
      </c>
    </row>
    <row r="213" spans="1:4" ht="13" thickBot="1" x14ac:dyDescent="0.3">
      <c r="A213" s="886">
        <v>2117</v>
      </c>
      <c r="B213" s="893" t="s">
        <v>596</v>
      </c>
    </row>
    <row r="214" spans="1:4" ht="13" thickBot="1" x14ac:dyDescent="0.3">
      <c r="A214" s="886">
        <v>2118</v>
      </c>
      <c r="B214" s="893" t="s">
        <v>597</v>
      </c>
    </row>
    <row r="215" spans="1:4" ht="13" x14ac:dyDescent="0.25">
      <c r="A215" s="886">
        <v>2195</v>
      </c>
      <c r="B215" s="894" t="s">
        <v>598</v>
      </c>
    </row>
    <row r="216" spans="1:4" ht="13" x14ac:dyDescent="0.25">
      <c r="A216" s="886">
        <v>2199</v>
      </c>
      <c r="B216" s="895" t="s">
        <v>599</v>
      </c>
      <c r="D216" t="s">
        <v>600</v>
      </c>
    </row>
    <row r="217" spans="1:4" ht="13" x14ac:dyDescent="0.25">
      <c r="A217" s="886">
        <v>2212</v>
      </c>
      <c r="B217" s="896" t="s">
        <v>601</v>
      </c>
    </row>
    <row r="218" spans="1:4" x14ac:dyDescent="0.25">
      <c r="A218" s="886">
        <v>2215</v>
      </c>
      <c r="B218" s="897" t="s">
        <v>602</v>
      </c>
    </row>
    <row r="219" spans="1:4" x14ac:dyDescent="0.25">
      <c r="A219" s="886">
        <v>2216</v>
      </c>
      <c r="B219" s="898" t="s">
        <v>603</v>
      </c>
    </row>
    <row r="220" spans="1:4" x14ac:dyDescent="0.25">
      <c r="A220" s="886">
        <v>2217</v>
      </c>
      <c r="B220" s="897" t="s">
        <v>604</v>
      </c>
    </row>
    <row r="221" spans="1:4" x14ac:dyDescent="0.25">
      <c r="A221" s="886">
        <v>2225</v>
      </c>
      <c r="B221" s="887" t="s">
        <v>605</v>
      </c>
    </row>
    <row r="222" spans="1:4" ht="20" x14ac:dyDescent="0.25">
      <c r="A222" s="886">
        <v>2226</v>
      </c>
      <c r="B222" s="178" t="s">
        <v>606</v>
      </c>
    </row>
    <row r="223" spans="1:4" ht="20" x14ac:dyDescent="0.25">
      <c r="A223" s="886">
        <v>2227</v>
      </c>
      <c r="B223" s="899" t="s">
        <v>607</v>
      </c>
    </row>
    <row r="224" spans="1:4" ht="30" x14ac:dyDescent="0.25">
      <c r="A224" s="886">
        <v>2228</v>
      </c>
      <c r="B224" s="484" t="s">
        <v>608</v>
      </c>
    </row>
    <row r="225" spans="1:4" ht="20" x14ac:dyDescent="0.25">
      <c r="A225" s="886">
        <v>2229</v>
      </c>
      <c r="B225" s="486" t="s">
        <v>609</v>
      </c>
    </row>
    <row r="226" spans="1:4" ht="30" x14ac:dyDescent="0.25">
      <c r="A226" s="886">
        <v>2230</v>
      </c>
      <c r="B226" s="484" t="s">
        <v>610</v>
      </c>
    </row>
    <row r="227" spans="1:4" ht="20" x14ac:dyDescent="0.25">
      <c r="A227" s="886">
        <v>2231</v>
      </c>
      <c r="B227" s="178" t="s">
        <v>611</v>
      </c>
    </row>
    <row r="228" spans="1:4" ht="20" x14ac:dyDescent="0.25">
      <c r="A228" s="886">
        <v>2232</v>
      </c>
      <c r="B228" s="305" t="s">
        <v>612</v>
      </c>
    </row>
    <row r="229" spans="1:4" ht="20" x14ac:dyDescent="0.25">
      <c r="A229" s="886">
        <v>2233</v>
      </c>
      <c r="B229" s="305" t="s">
        <v>613</v>
      </c>
    </row>
    <row r="230" spans="1:4" x14ac:dyDescent="0.25">
      <c r="A230" s="886">
        <v>2234</v>
      </c>
      <c r="B230" s="876" t="s">
        <v>614</v>
      </c>
    </row>
    <row r="231" spans="1:4" ht="30" x14ac:dyDescent="0.25">
      <c r="A231" s="886">
        <v>2235</v>
      </c>
      <c r="B231" s="305" t="s">
        <v>615</v>
      </c>
    </row>
    <row r="232" spans="1:4" x14ac:dyDescent="0.25">
      <c r="A232" s="886">
        <v>2236</v>
      </c>
      <c r="B232" s="900" t="s">
        <v>616</v>
      </c>
    </row>
    <row r="233" spans="1:4" ht="13" x14ac:dyDescent="0.25">
      <c r="A233" s="886">
        <v>2261</v>
      </c>
      <c r="B233" s="901" t="s">
        <v>617</v>
      </c>
    </row>
    <row r="234" spans="1:4" ht="25" x14ac:dyDescent="0.5">
      <c r="A234" s="886">
        <v>2262</v>
      </c>
      <c r="B234" s="745" t="s">
        <v>618</v>
      </c>
    </row>
    <row r="235" spans="1:4" x14ac:dyDescent="0.25">
      <c r="A235" s="886">
        <v>2276</v>
      </c>
      <c r="B235" s="763" t="s">
        <v>619</v>
      </c>
      <c r="D235" t="s">
        <v>620</v>
      </c>
    </row>
    <row r="236" spans="1:4" x14ac:dyDescent="0.25">
      <c r="A236" s="886">
        <v>2277</v>
      </c>
      <c r="B236" s="763" t="s">
        <v>621</v>
      </c>
    </row>
    <row r="237" spans="1:4" x14ac:dyDescent="0.25">
      <c r="A237" s="886">
        <v>2278</v>
      </c>
      <c r="B237" s="763" t="s">
        <v>622</v>
      </c>
    </row>
    <row r="238" spans="1:4" x14ac:dyDescent="0.25">
      <c r="A238" s="886">
        <v>2279</v>
      </c>
      <c r="B238" s="763" t="s">
        <v>623</v>
      </c>
    </row>
    <row r="239" spans="1:4" x14ac:dyDescent="0.25">
      <c r="A239" s="886">
        <v>2280</v>
      </c>
      <c r="B239" s="763" t="s">
        <v>624</v>
      </c>
    </row>
    <row r="240" spans="1:4" x14ac:dyDescent="0.25">
      <c r="A240" s="886">
        <v>2281</v>
      </c>
      <c r="B240" s="139" t="s">
        <v>625</v>
      </c>
    </row>
    <row r="241" spans="1:2" x14ac:dyDescent="0.25">
      <c r="A241" s="886">
        <v>2282</v>
      </c>
      <c r="B241" s="139" t="s">
        <v>626</v>
      </c>
    </row>
    <row r="242" spans="1:2" x14ac:dyDescent="0.25">
      <c r="A242" s="886">
        <v>2283</v>
      </c>
      <c r="B242" s="139" t="s">
        <v>627</v>
      </c>
    </row>
    <row r="243" spans="1:2" x14ac:dyDescent="0.25">
      <c r="A243" s="886">
        <v>2284</v>
      </c>
      <c r="B243" s="139" t="s">
        <v>628</v>
      </c>
    </row>
    <row r="244" spans="1:2" x14ac:dyDescent="0.25">
      <c r="A244" s="886">
        <v>2285</v>
      </c>
      <c r="B244" s="139" t="s">
        <v>629</v>
      </c>
    </row>
    <row r="245" spans="1:2" x14ac:dyDescent="0.25">
      <c r="A245" s="886">
        <v>2286</v>
      </c>
      <c r="B245" s="902" t="s">
        <v>630</v>
      </c>
    </row>
    <row r="246" spans="1:2" x14ac:dyDescent="0.25">
      <c r="A246" s="886">
        <v>2287</v>
      </c>
      <c r="B246" s="902" t="s">
        <v>631</v>
      </c>
    </row>
    <row r="247" spans="1:2" x14ac:dyDescent="0.25">
      <c r="A247" s="886">
        <v>2288</v>
      </c>
      <c r="B247" s="516" t="s">
        <v>632</v>
      </c>
    </row>
    <row r="248" spans="1:2" x14ac:dyDescent="0.25">
      <c r="A248" s="886">
        <v>2289</v>
      </c>
      <c r="B248" s="516" t="s">
        <v>633</v>
      </c>
    </row>
    <row r="249" spans="1:2" x14ac:dyDescent="0.25">
      <c r="A249" s="886">
        <v>2290</v>
      </c>
      <c r="B249" s="902" t="s">
        <v>634</v>
      </c>
    </row>
    <row r="250" spans="1:2" x14ac:dyDescent="0.25">
      <c r="A250" s="886">
        <v>2291</v>
      </c>
      <c r="B250" s="902" t="s">
        <v>635</v>
      </c>
    </row>
    <row r="251" spans="1:2" x14ac:dyDescent="0.25">
      <c r="A251" s="886">
        <v>2292</v>
      </c>
      <c r="B251" s="902" t="s">
        <v>636</v>
      </c>
    </row>
    <row r="252" spans="1:2" x14ac:dyDescent="0.25">
      <c r="A252" s="886">
        <v>2293</v>
      </c>
      <c r="B252" s="902" t="s">
        <v>637</v>
      </c>
    </row>
    <row r="253" spans="1:2" x14ac:dyDescent="0.25">
      <c r="A253" s="886">
        <v>2294</v>
      </c>
      <c r="B253" s="516" t="s">
        <v>638</v>
      </c>
    </row>
    <row r="254" spans="1:2" x14ac:dyDescent="0.25">
      <c r="A254" s="886">
        <v>2295</v>
      </c>
      <c r="B254" s="516" t="s">
        <v>639</v>
      </c>
    </row>
    <row r="255" spans="1:2" x14ac:dyDescent="0.25">
      <c r="A255" s="886">
        <v>2296</v>
      </c>
      <c r="B255" s="516" t="s">
        <v>640</v>
      </c>
    </row>
    <row r="256" spans="1:2" x14ac:dyDescent="0.25">
      <c r="A256" s="886">
        <v>2297</v>
      </c>
      <c r="B256" s="516" t="s">
        <v>641</v>
      </c>
    </row>
    <row r="257" spans="1:4" x14ac:dyDescent="0.25">
      <c r="A257" s="886">
        <v>2298</v>
      </c>
      <c r="B257" s="516" t="s">
        <v>642</v>
      </c>
    </row>
    <row r="258" spans="1:4" x14ac:dyDescent="0.25">
      <c r="A258" s="886">
        <v>2299</v>
      </c>
      <c r="B258" s="516" t="s">
        <v>643</v>
      </c>
    </row>
    <row r="259" spans="1:4" x14ac:dyDescent="0.25">
      <c r="A259" s="886">
        <v>2300</v>
      </c>
      <c r="B259" s="516" t="s">
        <v>644</v>
      </c>
    </row>
    <row r="260" spans="1:4" x14ac:dyDescent="0.25">
      <c r="A260" s="886">
        <v>2301</v>
      </c>
      <c r="B260" s="516" t="s">
        <v>645</v>
      </c>
    </row>
    <row r="261" spans="1:4" x14ac:dyDescent="0.25">
      <c r="A261" s="886">
        <v>2302</v>
      </c>
      <c r="B261" s="139" t="s">
        <v>646</v>
      </c>
    </row>
    <row r="262" spans="1:4" x14ac:dyDescent="0.25">
      <c r="A262" s="886">
        <v>2303</v>
      </c>
      <c r="B262" s="139" t="s">
        <v>647</v>
      </c>
    </row>
    <row r="263" spans="1:4" x14ac:dyDescent="0.25">
      <c r="A263" s="886">
        <v>2311</v>
      </c>
      <c r="B263" s="763" t="s">
        <v>648</v>
      </c>
    </row>
    <row r="264" spans="1:4" x14ac:dyDescent="0.25">
      <c r="A264" s="886">
        <v>2312</v>
      </c>
      <c r="B264" s="763" t="s">
        <v>649</v>
      </c>
    </row>
    <row r="265" spans="1:4" x14ac:dyDescent="0.25">
      <c r="A265" s="886">
        <v>2313</v>
      </c>
      <c r="B265" s="903" t="s">
        <v>650</v>
      </c>
    </row>
    <row r="266" spans="1:4" x14ac:dyDescent="0.25">
      <c r="A266" s="886">
        <v>2314</v>
      </c>
      <c r="B266" s="903" t="s">
        <v>651</v>
      </c>
    </row>
    <row r="267" spans="1:4" x14ac:dyDescent="0.25">
      <c r="A267" s="886">
        <v>2315</v>
      </c>
      <c r="B267" s="763" t="s">
        <v>652</v>
      </c>
    </row>
    <row r="268" spans="1:4" ht="25" x14ac:dyDescent="0.25">
      <c r="A268" s="886">
        <v>2500</v>
      </c>
      <c r="B268" s="904" t="s">
        <v>653</v>
      </c>
      <c r="D268" s="905" t="s">
        <v>654</v>
      </c>
    </row>
    <row r="269" spans="1:4" x14ac:dyDescent="0.25">
      <c r="A269" s="886">
        <v>2501</v>
      </c>
      <c r="B269" s="202" t="s">
        <v>655</v>
      </c>
      <c r="D269" s="905" t="s">
        <v>656</v>
      </c>
    </row>
    <row r="270" spans="1:4" ht="26" x14ac:dyDescent="0.25">
      <c r="A270" s="886">
        <v>2502</v>
      </c>
      <c r="B270" s="239" t="s">
        <v>657</v>
      </c>
      <c r="D270" s="905" t="s">
        <v>658</v>
      </c>
    </row>
    <row r="271" spans="1:4" ht="62.5" x14ac:dyDescent="0.25">
      <c r="A271" s="886">
        <v>2503</v>
      </c>
      <c r="B271" s="865" t="s">
        <v>659</v>
      </c>
      <c r="D271" s="905" t="s">
        <v>660</v>
      </c>
    </row>
    <row r="272" spans="1:4" ht="25" x14ac:dyDescent="0.25">
      <c r="A272" s="886">
        <v>2504</v>
      </c>
      <c r="B272" s="865" t="s">
        <v>661</v>
      </c>
      <c r="D272" s="905" t="s">
        <v>662</v>
      </c>
    </row>
    <row r="273" spans="1:4" ht="26" x14ac:dyDescent="0.25">
      <c r="A273" s="886">
        <v>2505</v>
      </c>
      <c r="B273" s="121" t="s">
        <v>663</v>
      </c>
      <c r="D273" s="905" t="s">
        <v>664</v>
      </c>
    </row>
    <row r="274" spans="1:4" x14ac:dyDescent="0.25">
      <c r="A274" s="886">
        <v>2506</v>
      </c>
      <c r="B274" s="865" t="s">
        <v>665</v>
      </c>
      <c r="D274" s="905" t="s">
        <v>666</v>
      </c>
    </row>
    <row r="275" spans="1:4" ht="62.5" x14ac:dyDescent="0.25">
      <c r="A275" s="886">
        <v>2507</v>
      </c>
      <c r="B275" s="865" t="s">
        <v>667</v>
      </c>
      <c r="D275" s="905" t="s">
        <v>668</v>
      </c>
    </row>
    <row r="276" spans="1:4" ht="25" x14ac:dyDescent="0.25">
      <c r="A276" s="886">
        <v>2508</v>
      </c>
      <c r="B276" s="865" t="s">
        <v>669</v>
      </c>
      <c r="D276" s="905" t="s">
        <v>670</v>
      </c>
    </row>
    <row r="277" spans="1:4" ht="52.5" x14ac:dyDescent="0.25">
      <c r="A277" s="886">
        <v>2509</v>
      </c>
      <c r="B277" s="122" t="s">
        <v>671</v>
      </c>
      <c r="D277" s="905" t="s">
        <v>672</v>
      </c>
    </row>
    <row r="278" spans="1:4" ht="26" x14ac:dyDescent="0.25">
      <c r="A278" s="886">
        <v>2510</v>
      </c>
      <c r="B278" s="906" t="s">
        <v>673</v>
      </c>
      <c r="D278" s="905" t="s">
        <v>674</v>
      </c>
    </row>
    <row r="279" spans="1:4" ht="26" x14ac:dyDescent="0.25">
      <c r="A279" s="886">
        <v>2511</v>
      </c>
      <c r="B279" s="906" t="s">
        <v>675</v>
      </c>
      <c r="D279" s="905" t="s">
        <v>676</v>
      </c>
    </row>
    <row r="280" spans="1:4" ht="52" x14ac:dyDescent="0.25">
      <c r="A280" s="886">
        <v>2512</v>
      </c>
      <c r="B280" s="906" t="s">
        <v>677</v>
      </c>
      <c r="D280" s="905" t="s">
        <v>678</v>
      </c>
    </row>
    <row r="281" spans="1:4" x14ac:dyDescent="0.25">
      <c r="A281" s="886">
        <v>2513</v>
      </c>
      <c r="B281" s="865" t="s">
        <v>679</v>
      </c>
      <c r="D281" s="905" t="s">
        <v>680</v>
      </c>
    </row>
    <row r="282" spans="1:4" ht="25" x14ac:dyDescent="0.25">
      <c r="A282" s="886">
        <v>2514</v>
      </c>
      <c r="B282" s="865" t="s">
        <v>681</v>
      </c>
      <c r="D282" s="905" t="s">
        <v>682</v>
      </c>
    </row>
    <row r="283" spans="1:4" ht="37.5" x14ac:dyDescent="0.25">
      <c r="A283" s="886">
        <v>2515</v>
      </c>
      <c r="B283" s="865" t="s">
        <v>683</v>
      </c>
      <c r="D283" s="905" t="s">
        <v>684</v>
      </c>
    </row>
    <row r="284" spans="1:4" ht="104" x14ac:dyDescent="0.25">
      <c r="A284" s="886">
        <v>2516</v>
      </c>
      <c r="B284" s="125" t="s">
        <v>685</v>
      </c>
      <c r="D284" s="905" t="s">
        <v>686</v>
      </c>
    </row>
    <row r="285" spans="1:4" ht="37.5" x14ac:dyDescent="0.25">
      <c r="A285" s="886">
        <v>2517</v>
      </c>
      <c r="B285" s="865" t="s">
        <v>687</v>
      </c>
      <c r="D285" s="905" t="s">
        <v>688</v>
      </c>
    </row>
    <row r="286" spans="1:4" ht="37.5" x14ac:dyDescent="0.25">
      <c r="A286" s="886">
        <v>2518</v>
      </c>
      <c r="B286" s="865" t="s">
        <v>689</v>
      </c>
      <c r="D286" s="905" t="s">
        <v>690</v>
      </c>
    </row>
    <row r="287" spans="1:4" ht="25" x14ac:dyDescent="0.25">
      <c r="A287" s="886">
        <v>2519</v>
      </c>
      <c r="B287" s="865" t="s">
        <v>691</v>
      </c>
      <c r="D287" s="905" t="s">
        <v>692</v>
      </c>
    </row>
    <row r="288" spans="1:4" ht="37.5" x14ac:dyDescent="0.25">
      <c r="A288" s="886">
        <v>2520</v>
      </c>
      <c r="B288" s="907" t="s">
        <v>693</v>
      </c>
      <c r="D288" s="905" t="s">
        <v>694</v>
      </c>
    </row>
    <row r="289" spans="1:4" ht="75.5" thickBot="1" x14ac:dyDescent="0.3">
      <c r="A289" s="886">
        <v>2521</v>
      </c>
      <c r="B289" s="865" t="s">
        <v>695</v>
      </c>
      <c r="D289" s="905" t="s">
        <v>696</v>
      </c>
    </row>
    <row r="290" spans="1:4" ht="13" x14ac:dyDescent="0.25">
      <c r="A290" s="886">
        <v>2522</v>
      </c>
      <c r="B290" s="888" t="s">
        <v>697</v>
      </c>
      <c r="D290" s="905" t="s">
        <v>698</v>
      </c>
    </row>
    <row r="291" spans="1:4" ht="18" x14ac:dyDescent="0.25">
      <c r="A291" s="886">
        <v>2523</v>
      </c>
      <c r="B291" s="864" t="s">
        <v>699</v>
      </c>
      <c r="D291" s="905" t="s">
        <v>700</v>
      </c>
    </row>
    <row r="292" spans="1:4" ht="18" x14ac:dyDescent="0.25">
      <c r="A292" s="886">
        <v>2524</v>
      </c>
      <c r="B292" s="158" t="s">
        <v>701</v>
      </c>
      <c r="D292" s="905" t="s">
        <v>702</v>
      </c>
    </row>
    <row r="293" spans="1:4" ht="30" x14ac:dyDescent="0.25">
      <c r="A293" s="886">
        <v>2525</v>
      </c>
      <c r="B293" s="164" t="s">
        <v>703</v>
      </c>
      <c r="D293" s="905" t="s">
        <v>704</v>
      </c>
    </row>
    <row r="294" spans="1:4" ht="20" x14ac:dyDescent="0.25">
      <c r="A294" s="886">
        <v>2526</v>
      </c>
      <c r="B294" s="166" t="s">
        <v>705</v>
      </c>
      <c r="D294" s="905" t="s">
        <v>706</v>
      </c>
    </row>
    <row r="295" spans="1:4" x14ac:dyDescent="0.25">
      <c r="A295" s="886">
        <v>2527</v>
      </c>
      <c r="B295" s="908" t="s">
        <v>707</v>
      </c>
      <c r="D295" s="905" t="s">
        <v>708</v>
      </c>
    </row>
    <row r="296" spans="1:4" ht="15.5" x14ac:dyDescent="0.35">
      <c r="A296" s="886">
        <v>2528</v>
      </c>
      <c r="B296" s="168" t="s">
        <v>709</v>
      </c>
      <c r="D296" s="905" t="s">
        <v>710</v>
      </c>
    </row>
    <row r="297" spans="1:4" ht="13" x14ac:dyDescent="0.3">
      <c r="A297" s="886">
        <v>2529</v>
      </c>
      <c r="B297" s="891" t="s">
        <v>711</v>
      </c>
      <c r="D297" s="905" t="s">
        <v>712</v>
      </c>
    </row>
    <row r="298" spans="1:4" x14ac:dyDescent="0.25">
      <c r="A298" s="886">
        <v>2530</v>
      </c>
      <c r="B298" s="200" t="s">
        <v>713</v>
      </c>
      <c r="D298" s="905" t="s">
        <v>714</v>
      </c>
    </row>
    <row r="299" spans="1:4" x14ac:dyDescent="0.25">
      <c r="A299" s="886">
        <v>2531</v>
      </c>
      <c r="B299" s="200" t="s">
        <v>715</v>
      </c>
      <c r="D299" s="905" t="s">
        <v>716</v>
      </c>
    </row>
    <row r="300" spans="1:4" x14ac:dyDescent="0.25">
      <c r="A300" s="886">
        <v>2532</v>
      </c>
      <c r="B300" s="200" t="s">
        <v>717</v>
      </c>
      <c r="D300" s="905" t="s">
        <v>718</v>
      </c>
    </row>
    <row r="301" spans="1:4" ht="13" x14ac:dyDescent="0.3">
      <c r="A301" s="886">
        <v>2533</v>
      </c>
      <c r="B301" s="891" t="s">
        <v>719</v>
      </c>
      <c r="D301" s="905" t="s">
        <v>720</v>
      </c>
    </row>
    <row r="302" spans="1:4" x14ac:dyDescent="0.25">
      <c r="A302" s="886">
        <v>2534</v>
      </c>
      <c r="B302" s="200" t="s">
        <v>721</v>
      </c>
      <c r="D302" s="905" t="s">
        <v>722</v>
      </c>
    </row>
    <row r="303" spans="1:4" x14ac:dyDescent="0.25">
      <c r="A303" s="886">
        <v>2535</v>
      </c>
      <c r="B303" s="200" t="s">
        <v>723</v>
      </c>
      <c r="D303" s="905" t="s">
        <v>724</v>
      </c>
    </row>
    <row r="304" spans="1:4" ht="13" x14ac:dyDescent="0.25">
      <c r="A304" s="886">
        <v>2536</v>
      </c>
      <c r="B304" s="203" t="s">
        <v>725</v>
      </c>
      <c r="D304" s="905" t="s">
        <v>726</v>
      </c>
    </row>
    <row r="305" spans="1:4" ht="40" x14ac:dyDescent="0.25">
      <c r="A305" s="886">
        <v>2537</v>
      </c>
      <c r="B305" s="204" t="s">
        <v>727</v>
      </c>
      <c r="D305" s="905" t="s">
        <v>728</v>
      </c>
    </row>
    <row r="306" spans="1:4" ht="30" x14ac:dyDescent="0.25">
      <c r="A306" s="886">
        <v>2538</v>
      </c>
      <c r="B306" s="206" t="s">
        <v>729</v>
      </c>
      <c r="D306" s="905" t="s">
        <v>730</v>
      </c>
    </row>
    <row r="307" spans="1:4" ht="15.5" x14ac:dyDescent="0.35">
      <c r="A307" s="886">
        <v>2539</v>
      </c>
      <c r="B307" s="168" t="s">
        <v>731</v>
      </c>
      <c r="D307" s="905" t="s">
        <v>732</v>
      </c>
    </row>
    <row r="308" spans="1:4" ht="13" x14ac:dyDescent="0.25">
      <c r="A308" s="886">
        <v>2540</v>
      </c>
      <c r="B308" s="203" t="s">
        <v>733</v>
      </c>
      <c r="D308" s="905" t="s">
        <v>734</v>
      </c>
    </row>
    <row r="309" spans="1:4" x14ac:dyDescent="0.25">
      <c r="A309" s="886">
        <v>2541</v>
      </c>
      <c r="B309" s="207" t="s">
        <v>735</v>
      </c>
      <c r="D309" s="905" t="s">
        <v>736</v>
      </c>
    </row>
    <row r="310" spans="1:4" x14ac:dyDescent="0.25">
      <c r="A310" s="886">
        <v>2542</v>
      </c>
      <c r="B310" s="207" t="s">
        <v>737</v>
      </c>
      <c r="D310" s="905" t="s">
        <v>738</v>
      </c>
    </row>
    <row r="311" spans="1:4" x14ac:dyDescent="0.25">
      <c r="A311" s="886">
        <v>2543</v>
      </c>
      <c r="B311" s="207" t="s">
        <v>739</v>
      </c>
      <c r="D311" s="905" t="s">
        <v>740</v>
      </c>
    </row>
    <row r="312" spans="1:4" ht="13" x14ac:dyDescent="0.25">
      <c r="A312" s="886">
        <v>2544</v>
      </c>
      <c r="B312" s="203" t="s">
        <v>741</v>
      </c>
      <c r="D312" s="905" t="s">
        <v>742</v>
      </c>
    </row>
    <row r="313" spans="1:4" x14ac:dyDescent="0.25">
      <c r="A313" s="886">
        <v>2545</v>
      </c>
      <c r="B313" s="204" t="s">
        <v>743</v>
      </c>
      <c r="D313" s="905" t="s">
        <v>744</v>
      </c>
    </row>
    <row r="314" spans="1:4" x14ac:dyDescent="0.25">
      <c r="A314" s="886">
        <v>2546</v>
      </c>
      <c r="B314" s="207" t="s">
        <v>745</v>
      </c>
      <c r="D314" s="905" t="s">
        <v>746</v>
      </c>
    </row>
    <row r="315" spans="1:4" ht="13" x14ac:dyDescent="0.25">
      <c r="A315" s="886">
        <v>2547</v>
      </c>
      <c r="B315" s="203" t="s">
        <v>747</v>
      </c>
      <c r="D315" s="905" t="s">
        <v>748</v>
      </c>
    </row>
    <row r="316" spans="1:4" ht="30" x14ac:dyDescent="0.25">
      <c r="A316" s="886">
        <v>2548</v>
      </c>
      <c r="B316" s="204" t="s">
        <v>749</v>
      </c>
      <c r="D316" s="905" t="s">
        <v>750</v>
      </c>
    </row>
    <row r="317" spans="1:4" ht="20" x14ac:dyDescent="0.25">
      <c r="A317" s="886">
        <v>2549</v>
      </c>
      <c r="B317" s="204" t="s">
        <v>751</v>
      </c>
      <c r="D317" s="905" t="s">
        <v>752</v>
      </c>
    </row>
    <row r="318" spans="1:4" ht="20" x14ac:dyDescent="0.25">
      <c r="A318" s="886">
        <v>2550</v>
      </c>
      <c r="B318" s="204" t="s">
        <v>753</v>
      </c>
      <c r="D318" s="905" t="s">
        <v>754</v>
      </c>
    </row>
    <row r="319" spans="1:4" x14ac:dyDescent="0.25">
      <c r="A319" s="886">
        <v>2551</v>
      </c>
      <c r="B319" s="207" t="s">
        <v>755</v>
      </c>
      <c r="D319" s="905" t="s">
        <v>756</v>
      </c>
    </row>
    <row r="320" spans="1:4" ht="13" thickBot="1" x14ac:dyDescent="0.3">
      <c r="A320" s="886">
        <v>2552</v>
      </c>
      <c r="B320" s="200" t="s">
        <v>757</v>
      </c>
      <c r="D320" s="905" t="s">
        <v>758</v>
      </c>
    </row>
    <row r="321" spans="1:4" ht="13" x14ac:dyDescent="0.25">
      <c r="A321" s="886">
        <v>2553</v>
      </c>
      <c r="B321" s="888" t="s">
        <v>759</v>
      </c>
      <c r="D321" s="905" t="s">
        <v>760</v>
      </c>
    </row>
    <row r="322" spans="1:4" ht="36" x14ac:dyDescent="0.25">
      <c r="A322" s="886">
        <v>2554</v>
      </c>
      <c r="B322" s="154" t="s">
        <v>761</v>
      </c>
      <c r="D322" s="905" t="s">
        <v>762</v>
      </c>
    </row>
    <row r="323" spans="1:4" ht="20" x14ac:dyDescent="0.25">
      <c r="A323" s="886">
        <v>2555</v>
      </c>
      <c r="B323" s="178" t="s">
        <v>763</v>
      </c>
      <c r="D323" s="905" t="s">
        <v>764</v>
      </c>
    </row>
    <row r="324" spans="1:4" ht="30" x14ac:dyDescent="0.25">
      <c r="A324" s="886">
        <v>2556</v>
      </c>
      <c r="B324" s="178" t="s">
        <v>765</v>
      </c>
      <c r="D324" s="905" t="s">
        <v>766</v>
      </c>
    </row>
    <row r="325" spans="1:4" ht="20" x14ac:dyDescent="0.25">
      <c r="A325" s="886">
        <v>2557</v>
      </c>
      <c r="B325" s="221" t="s">
        <v>767</v>
      </c>
      <c r="D325" s="905" t="s">
        <v>768</v>
      </c>
    </row>
    <row r="326" spans="1:4" ht="50" x14ac:dyDescent="0.25">
      <c r="A326" s="886">
        <v>2558</v>
      </c>
      <c r="B326" s="178" t="s">
        <v>769</v>
      </c>
      <c r="D326" s="905" t="s">
        <v>770</v>
      </c>
    </row>
    <row r="327" spans="1:4" ht="20" x14ac:dyDescent="0.25">
      <c r="A327" s="886">
        <v>2559</v>
      </c>
      <c r="B327" s="178" t="s">
        <v>771</v>
      </c>
      <c r="D327" s="905" t="s">
        <v>772</v>
      </c>
    </row>
    <row r="328" spans="1:4" x14ac:dyDescent="0.25">
      <c r="A328" s="886">
        <v>2560</v>
      </c>
      <c r="B328" s="178" t="s">
        <v>773</v>
      </c>
      <c r="D328" s="905" t="s">
        <v>774</v>
      </c>
    </row>
    <row r="329" spans="1:4" x14ac:dyDescent="0.25">
      <c r="A329" s="886">
        <v>2561</v>
      </c>
      <c r="B329" s="178" t="s">
        <v>775</v>
      </c>
      <c r="D329" s="905" t="s">
        <v>776</v>
      </c>
    </row>
    <row r="330" spans="1:4" ht="20" x14ac:dyDescent="0.25">
      <c r="A330" s="886">
        <v>2562</v>
      </c>
      <c r="B330" s="178" t="s">
        <v>777</v>
      </c>
      <c r="D330" s="905" t="s">
        <v>778</v>
      </c>
    </row>
    <row r="331" spans="1:4" x14ac:dyDescent="0.25">
      <c r="A331" s="886">
        <v>2563</v>
      </c>
      <c r="B331" s="178" t="s">
        <v>779</v>
      </c>
      <c r="D331" s="905" t="s">
        <v>780</v>
      </c>
    </row>
    <row r="332" spans="1:4" ht="20" x14ac:dyDescent="0.25">
      <c r="A332" s="886">
        <v>2564</v>
      </c>
      <c r="B332" s="178" t="s">
        <v>781</v>
      </c>
      <c r="D332" s="905" t="s">
        <v>782</v>
      </c>
    </row>
    <row r="333" spans="1:4" ht="50" x14ac:dyDescent="0.25">
      <c r="A333" s="886">
        <v>2565</v>
      </c>
      <c r="B333" s="221" t="s">
        <v>783</v>
      </c>
      <c r="D333" s="905" t="s">
        <v>784</v>
      </c>
    </row>
    <row r="334" spans="1:4" x14ac:dyDescent="0.25">
      <c r="A334" s="886">
        <v>2566</v>
      </c>
      <c r="B334" s="178" t="s">
        <v>785</v>
      </c>
      <c r="D334" s="905" t="s">
        <v>786</v>
      </c>
    </row>
    <row r="335" spans="1:4" ht="30" x14ac:dyDescent="0.25">
      <c r="A335" s="886">
        <v>2567</v>
      </c>
      <c r="B335" s="178" t="s">
        <v>787</v>
      </c>
      <c r="D335" s="905" t="s">
        <v>788</v>
      </c>
    </row>
    <row r="336" spans="1:4" ht="50" x14ac:dyDescent="0.25">
      <c r="A336" s="886">
        <v>2568</v>
      </c>
      <c r="B336" s="178" t="s">
        <v>789</v>
      </c>
      <c r="D336" s="905" t="s">
        <v>790</v>
      </c>
    </row>
    <row r="337" spans="1:4" x14ac:dyDescent="0.25">
      <c r="A337" s="886">
        <v>2569</v>
      </c>
      <c r="B337" s="221" t="s">
        <v>791</v>
      </c>
      <c r="D337" s="905" t="s">
        <v>792</v>
      </c>
    </row>
    <row r="338" spans="1:4" x14ac:dyDescent="0.25">
      <c r="A338" s="886">
        <v>2570</v>
      </c>
      <c r="B338" s="245" t="s">
        <v>793</v>
      </c>
      <c r="D338" s="905" t="s">
        <v>794</v>
      </c>
    </row>
    <row r="339" spans="1:4" x14ac:dyDescent="0.25">
      <c r="A339" s="886">
        <v>2571</v>
      </c>
      <c r="B339" s="245" t="s">
        <v>795</v>
      </c>
      <c r="D339" s="905" t="s">
        <v>796</v>
      </c>
    </row>
    <row r="340" spans="1:4" x14ac:dyDescent="0.25">
      <c r="A340" s="886">
        <v>2572</v>
      </c>
      <c r="B340" s="245" t="s">
        <v>797</v>
      </c>
      <c r="D340" s="905" t="s">
        <v>798</v>
      </c>
    </row>
    <row r="341" spans="1:4" x14ac:dyDescent="0.25">
      <c r="A341" s="886">
        <v>2573</v>
      </c>
      <c r="B341" s="909" t="s">
        <v>799</v>
      </c>
      <c r="D341" s="905" t="s">
        <v>800</v>
      </c>
    </row>
    <row r="342" spans="1:4" x14ac:dyDescent="0.25">
      <c r="A342" s="886">
        <v>2574</v>
      </c>
      <c r="B342" s="910" t="s">
        <v>801</v>
      </c>
      <c r="D342" s="905" t="s">
        <v>802</v>
      </c>
    </row>
    <row r="343" spans="1:4" x14ac:dyDescent="0.25">
      <c r="A343" s="886">
        <v>2575</v>
      </c>
      <c r="B343" s="911" t="s">
        <v>803</v>
      </c>
      <c r="D343" s="905" t="s">
        <v>804</v>
      </c>
    </row>
    <row r="344" spans="1:4" x14ac:dyDescent="0.25">
      <c r="A344" s="886">
        <v>2576</v>
      </c>
      <c r="B344" s="912" t="s">
        <v>805</v>
      </c>
      <c r="D344" s="905" t="s">
        <v>806</v>
      </c>
    </row>
    <row r="345" spans="1:4" x14ac:dyDescent="0.25">
      <c r="A345" s="886">
        <v>2577</v>
      </c>
      <c r="B345" s="913" t="s">
        <v>807</v>
      </c>
      <c r="D345" s="905" t="s">
        <v>808</v>
      </c>
    </row>
    <row r="346" spans="1:4" ht="13" x14ac:dyDescent="0.25">
      <c r="A346" s="886">
        <v>2578</v>
      </c>
      <c r="B346" s="182" t="s">
        <v>809</v>
      </c>
      <c r="D346" s="905" t="s">
        <v>810</v>
      </c>
    </row>
    <row r="347" spans="1:4" ht="40" x14ac:dyDescent="0.25">
      <c r="A347" s="886">
        <v>2579</v>
      </c>
      <c r="B347" s="178" t="s">
        <v>811</v>
      </c>
      <c r="D347" s="905" t="s">
        <v>812</v>
      </c>
    </row>
    <row r="348" spans="1:4" x14ac:dyDescent="0.25">
      <c r="A348" s="886">
        <v>2580</v>
      </c>
      <c r="B348" s="227" t="s">
        <v>813</v>
      </c>
      <c r="D348" s="905" t="s">
        <v>814</v>
      </c>
    </row>
    <row r="349" spans="1:4" x14ac:dyDescent="0.25">
      <c r="A349" s="886">
        <v>2581</v>
      </c>
      <c r="B349" s="257" t="s">
        <v>815</v>
      </c>
      <c r="D349" s="905" t="s">
        <v>816</v>
      </c>
    </row>
    <row r="350" spans="1:4" x14ac:dyDescent="0.25">
      <c r="A350" s="886">
        <v>2582</v>
      </c>
      <c r="B350" s="229" t="s">
        <v>817</v>
      </c>
      <c r="D350" s="905" t="s">
        <v>818</v>
      </c>
    </row>
    <row r="351" spans="1:4" ht="13" thickBot="1" x14ac:dyDescent="0.3">
      <c r="A351" s="886">
        <v>2583</v>
      </c>
      <c r="B351" s="259" t="s">
        <v>819</v>
      </c>
      <c r="D351" s="905" t="s">
        <v>820</v>
      </c>
    </row>
    <row r="352" spans="1:4" ht="13" x14ac:dyDescent="0.25">
      <c r="A352" s="886">
        <v>2584</v>
      </c>
      <c r="B352" s="888" t="s">
        <v>821</v>
      </c>
      <c r="D352" s="905" t="s">
        <v>822</v>
      </c>
    </row>
    <row r="353" spans="1:4" ht="18" x14ac:dyDescent="0.25">
      <c r="A353" s="886">
        <v>2585</v>
      </c>
      <c r="B353" s="154" t="s">
        <v>823</v>
      </c>
      <c r="D353" s="905" t="s">
        <v>824</v>
      </c>
    </row>
    <row r="354" spans="1:4" ht="15.5" x14ac:dyDescent="0.25">
      <c r="A354" s="886">
        <v>2586</v>
      </c>
      <c r="B354" s="216" t="s">
        <v>825</v>
      </c>
      <c r="D354" s="905" t="s">
        <v>826</v>
      </c>
    </row>
    <row r="355" spans="1:4" ht="14" x14ac:dyDescent="0.25">
      <c r="A355" s="886">
        <v>2587</v>
      </c>
      <c r="B355" s="482" t="s">
        <v>827</v>
      </c>
      <c r="D355" s="905" t="s">
        <v>828</v>
      </c>
    </row>
    <row r="356" spans="1:4" x14ac:dyDescent="0.25">
      <c r="A356" s="886">
        <v>2588</v>
      </c>
      <c r="B356" s="887" t="s">
        <v>829</v>
      </c>
      <c r="D356" s="905" t="s">
        <v>830</v>
      </c>
    </row>
    <row r="357" spans="1:4" x14ac:dyDescent="0.25">
      <c r="A357" s="886">
        <v>2589</v>
      </c>
      <c r="B357" s="484" t="s">
        <v>831</v>
      </c>
      <c r="D357" s="905" t="s">
        <v>832</v>
      </c>
    </row>
    <row r="358" spans="1:4" x14ac:dyDescent="0.25">
      <c r="A358" s="886">
        <v>2590</v>
      </c>
      <c r="B358" s="874" t="s">
        <v>833</v>
      </c>
      <c r="D358" s="905" t="s">
        <v>834</v>
      </c>
    </row>
    <row r="359" spans="1:4" ht="30" x14ac:dyDescent="0.25">
      <c r="A359" s="886">
        <v>2591</v>
      </c>
      <c r="B359" s="486" t="s">
        <v>835</v>
      </c>
      <c r="D359" s="905" t="s">
        <v>836</v>
      </c>
    </row>
    <row r="360" spans="1:4" x14ac:dyDescent="0.25">
      <c r="A360" s="886">
        <v>2592</v>
      </c>
      <c r="B360" s="874" t="s">
        <v>837</v>
      </c>
      <c r="D360" s="905" t="s">
        <v>838</v>
      </c>
    </row>
    <row r="361" spans="1:4" ht="40" x14ac:dyDescent="0.25">
      <c r="A361" s="886">
        <v>2593</v>
      </c>
      <c r="B361" s="486" t="s">
        <v>839</v>
      </c>
      <c r="D361" s="905" t="s">
        <v>840</v>
      </c>
    </row>
    <row r="362" spans="1:4" x14ac:dyDescent="0.25">
      <c r="A362" s="886">
        <v>2594</v>
      </c>
      <c r="B362" s="875" t="s">
        <v>841</v>
      </c>
      <c r="D362" s="905" t="s">
        <v>842</v>
      </c>
    </row>
    <row r="363" spans="1:4" ht="20" x14ac:dyDescent="0.25">
      <c r="A363" s="886">
        <v>2595</v>
      </c>
      <c r="B363" s="178" t="s">
        <v>843</v>
      </c>
      <c r="D363" s="905" t="s">
        <v>844</v>
      </c>
    </row>
    <row r="364" spans="1:4" x14ac:dyDescent="0.25">
      <c r="A364" s="886">
        <v>2596</v>
      </c>
      <c r="B364" s="178" t="s">
        <v>845</v>
      </c>
      <c r="D364" s="905" t="s">
        <v>846</v>
      </c>
    </row>
    <row r="365" spans="1:4" x14ac:dyDescent="0.25">
      <c r="A365" s="886">
        <v>2597</v>
      </c>
      <c r="B365" s="178" t="s">
        <v>847</v>
      </c>
      <c r="D365" s="905" t="s">
        <v>848</v>
      </c>
    </row>
    <row r="366" spans="1:4" x14ac:dyDescent="0.25">
      <c r="A366" s="886">
        <v>2598</v>
      </c>
      <c r="B366" s="178" t="s">
        <v>849</v>
      </c>
      <c r="D366" s="905" t="s">
        <v>850</v>
      </c>
    </row>
    <row r="367" spans="1:4" x14ac:dyDescent="0.25">
      <c r="A367" s="886">
        <v>2599</v>
      </c>
      <c r="B367" s="178" t="s">
        <v>851</v>
      </c>
      <c r="D367" s="905" t="s">
        <v>852</v>
      </c>
    </row>
    <row r="368" spans="1:4" x14ac:dyDescent="0.25">
      <c r="A368" s="886">
        <v>2600</v>
      </c>
      <c r="B368" s="875" t="s">
        <v>853</v>
      </c>
      <c r="D368" s="905" t="s">
        <v>854</v>
      </c>
    </row>
    <row r="369" spans="1:4" ht="20" x14ac:dyDescent="0.25">
      <c r="A369" s="886">
        <v>2601</v>
      </c>
      <c r="B369" s="484" t="s">
        <v>855</v>
      </c>
      <c r="D369" s="905" t="s">
        <v>856</v>
      </c>
    </row>
    <row r="370" spans="1:4" ht="20" x14ac:dyDescent="0.25">
      <c r="A370" s="886">
        <v>2602</v>
      </c>
      <c r="B370" s="178" t="s">
        <v>857</v>
      </c>
      <c r="D370" s="905" t="s">
        <v>858</v>
      </c>
    </row>
    <row r="371" spans="1:4" x14ac:dyDescent="0.25">
      <c r="A371" s="886">
        <v>2603</v>
      </c>
      <c r="B371" s="178" t="s">
        <v>859</v>
      </c>
      <c r="D371" s="905" t="s">
        <v>860</v>
      </c>
    </row>
    <row r="372" spans="1:4" x14ac:dyDescent="0.25">
      <c r="A372" s="886">
        <v>2604</v>
      </c>
      <c r="B372" s="876" t="s">
        <v>861</v>
      </c>
      <c r="D372" s="905" t="s">
        <v>862</v>
      </c>
    </row>
    <row r="373" spans="1:4" ht="20" x14ac:dyDescent="0.25">
      <c r="A373" s="886">
        <v>2605</v>
      </c>
      <c r="B373" s="305" t="s">
        <v>863</v>
      </c>
      <c r="D373" s="905" t="s">
        <v>864</v>
      </c>
    </row>
    <row r="374" spans="1:4" ht="13" x14ac:dyDescent="0.25">
      <c r="A374" s="886">
        <v>2606</v>
      </c>
      <c r="B374" s="182" t="s">
        <v>865</v>
      </c>
      <c r="D374" s="905" t="s">
        <v>866</v>
      </c>
    </row>
    <row r="375" spans="1:4" ht="13" x14ac:dyDescent="0.25">
      <c r="A375" s="886">
        <v>2607</v>
      </c>
      <c r="B375" s="914" t="s">
        <v>867</v>
      </c>
      <c r="D375" s="905" t="s">
        <v>868</v>
      </c>
    </row>
    <row r="376" spans="1:4" x14ac:dyDescent="0.25">
      <c r="A376" s="886">
        <v>2608</v>
      </c>
      <c r="B376" s="327" t="s">
        <v>869</v>
      </c>
      <c r="D376" s="905" t="s">
        <v>870</v>
      </c>
    </row>
    <row r="377" spans="1:4" x14ac:dyDescent="0.25">
      <c r="A377" s="886">
        <v>2609</v>
      </c>
      <c r="B377" s="327" t="s">
        <v>871</v>
      </c>
      <c r="D377" s="905" t="s">
        <v>872</v>
      </c>
    </row>
    <row r="378" spans="1:4" x14ac:dyDescent="0.25">
      <c r="A378" s="886">
        <v>2610</v>
      </c>
      <c r="B378" s="327" t="s">
        <v>873</v>
      </c>
      <c r="D378" s="905" t="s">
        <v>874</v>
      </c>
    </row>
    <row r="379" spans="1:4" x14ac:dyDescent="0.25">
      <c r="A379" s="886">
        <v>2611</v>
      </c>
      <c r="B379" s="327" t="s">
        <v>875</v>
      </c>
      <c r="D379" s="905" t="s">
        <v>876</v>
      </c>
    </row>
    <row r="380" spans="1:4" x14ac:dyDescent="0.25">
      <c r="A380" s="886">
        <v>2612</v>
      </c>
      <c r="B380" s="327" t="s">
        <v>877</v>
      </c>
      <c r="D380" s="905" t="s">
        <v>878</v>
      </c>
    </row>
    <row r="381" spans="1:4" x14ac:dyDescent="0.25">
      <c r="A381" s="886">
        <v>2613</v>
      </c>
      <c r="B381" s="327" t="s">
        <v>879</v>
      </c>
      <c r="D381" s="905" t="s">
        <v>880</v>
      </c>
    </row>
    <row r="382" spans="1:4" x14ac:dyDescent="0.25">
      <c r="A382" s="886">
        <v>2614</v>
      </c>
      <c r="B382" s="327" t="s">
        <v>881</v>
      </c>
      <c r="D382" s="905" t="s">
        <v>882</v>
      </c>
    </row>
    <row r="383" spans="1:4" x14ac:dyDescent="0.25">
      <c r="A383" s="886">
        <v>2615</v>
      </c>
      <c r="B383" s="327" t="s">
        <v>883</v>
      </c>
      <c r="D383" s="905" t="s">
        <v>884</v>
      </c>
    </row>
    <row r="384" spans="1:4" x14ac:dyDescent="0.25">
      <c r="A384" s="886">
        <v>2616</v>
      </c>
      <c r="B384" s="327" t="s">
        <v>885</v>
      </c>
      <c r="D384" s="905" t="s">
        <v>886</v>
      </c>
    </row>
    <row r="385" spans="1:4" x14ac:dyDescent="0.25">
      <c r="A385" s="886">
        <v>2617</v>
      </c>
      <c r="B385" s="327" t="s">
        <v>170</v>
      </c>
      <c r="D385" s="905" t="s">
        <v>887</v>
      </c>
    </row>
    <row r="386" spans="1:4" x14ac:dyDescent="0.25">
      <c r="A386" s="886">
        <v>2618</v>
      </c>
      <c r="B386" s="327" t="s">
        <v>171</v>
      </c>
      <c r="D386" s="905" t="s">
        <v>888</v>
      </c>
    </row>
    <row r="387" spans="1:4" x14ac:dyDescent="0.25">
      <c r="A387" s="886">
        <v>2619</v>
      </c>
      <c r="B387" s="327" t="s">
        <v>172</v>
      </c>
      <c r="D387" s="905" t="s">
        <v>889</v>
      </c>
    </row>
    <row r="388" spans="1:4" x14ac:dyDescent="0.25">
      <c r="A388" s="886">
        <v>2620</v>
      </c>
      <c r="B388" s="327" t="s">
        <v>173</v>
      </c>
      <c r="D388" s="905" t="s">
        <v>890</v>
      </c>
    </row>
    <row r="389" spans="1:4" x14ac:dyDescent="0.25">
      <c r="A389" s="886">
        <v>2621</v>
      </c>
      <c r="B389" s="327" t="s">
        <v>891</v>
      </c>
      <c r="D389" s="905" t="s">
        <v>892</v>
      </c>
    </row>
    <row r="390" spans="1:4" x14ac:dyDescent="0.25">
      <c r="A390" s="886">
        <v>2622</v>
      </c>
      <c r="B390" s="327" t="s">
        <v>893</v>
      </c>
      <c r="D390" s="905" t="s">
        <v>894</v>
      </c>
    </row>
    <row r="391" spans="1:4" x14ac:dyDescent="0.25">
      <c r="A391" s="886">
        <v>2623</v>
      </c>
      <c r="B391" s="327" t="s">
        <v>120</v>
      </c>
      <c r="D391" s="905" t="s">
        <v>895</v>
      </c>
    </row>
    <row r="392" spans="1:4" x14ac:dyDescent="0.25">
      <c r="A392" s="886">
        <v>2624</v>
      </c>
      <c r="B392" s="327" t="s">
        <v>896</v>
      </c>
      <c r="D392" s="905" t="s">
        <v>897</v>
      </c>
    </row>
    <row r="393" spans="1:4" ht="13" x14ac:dyDescent="0.25">
      <c r="A393" s="886">
        <v>2625</v>
      </c>
      <c r="B393" s="915" t="s">
        <v>898</v>
      </c>
      <c r="D393" s="905" t="s">
        <v>899</v>
      </c>
    </row>
    <row r="394" spans="1:4" ht="13.5" thickBot="1" x14ac:dyDescent="0.3">
      <c r="A394" s="886">
        <v>2626</v>
      </c>
      <c r="B394" s="916" t="s">
        <v>900</v>
      </c>
      <c r="D394" s="905" t="s">
        <v>901</v>
      </c>
    </row>
    <row r="395" spans="1:4" ht="13.5" thickBot="1" x14ac:dyDescent="0.3">
      <c r="A395" s="886">
        <v>2627</v>
      </c>
      <c r="B395" s="916" t="s">
        <v>902</v>
      </c>
      <c r="D395" s="905" t="s">
        <v>903</v>
      </c>
    </row>
    <row r="396" spans="1:4" ht="13" x14ac:dyDescent="0.25">
      <c r="A396" s="886">
        <v>2628</v>
      </c>
      <c r="B396" s="182" t="s">
        <v>904</v>
      </c>
      <c r="D396" s="905" t="s">
        <v>905</v>
      </c>
    </row>
    <row r="397" spans="1:4" x14ac:dyDescent="0.25">
      <c r="A397" s="886">
        <v>2629</v>
      </c>
      <c r="B397" s="202" t="s">
        <v>906</v>
      </c>
      <c r="D397" s="905" t="s">
        <v>907</v>
      </c>
    </row>
    <row r="398" spans="1:4" x14ac:dyDescent="0.25">
      <c r="A398" s="886">
        <v>2630</v>
      </c>
      <c r="B398" s="344" t="s">
        <v>908</v>
      </c>
      <c r="D398" s="905" t="s">
        <v>909</v>
      </c>
    </row>
    <row r="399" spans="1:4" x14ac:dyDescent="0.25">
      <c r="A399" s="886">
        <v>2631</v>
      </c>
      <c r="B399" s="202" t="s">
        <v>910</v>
      </c>
      <c r="D399" s="905" t="s">
        <v>911</v>
      </c>
    </row>
    <row r="400" spans="1:4" x14ac:dyDescent="0.25">
      <c r="A400" s="886">
        <v>2632</v>
      </c>
      <c r="B400" s="202" t="s">
        <v>912</v>
      </c>
      <c r="D400" s="905" t="s">
        <v>913</v>
      </c>
    </row>
    <row r="401" spans="1:4" ht="13" thickBot="1" x14ac:dyDescent="0.3">
      <c r="A401" s="886">
        <v>2633</v>
      </c>
      <c r="B401" s="202" t="s">
        <v>914</v>
      </c>
      <c r="D401" s="905" t="s">
        <v>915</v>
      </c>
    </row>
    <row r="402" spans="1:4" ht="13.5" thickBot="1" x14ac:dyDescent="0.3">
      <c r="A402" s="886">
        <v>2634</v>
      </c>
      <c r="B402" s="917" t="s">
        <v>916</v>
      </c>
      <c r="D402" s="905" t="s">
        <v>917</v>
      </c>
    </row>
    <row r="403" spans="1:4" ht="13" x14ac:dyDescent="0.25">
      <c r="A403" s="886">
        <v>2635</v>
      </c>
      <c r="B403" s="888" t="s">
        <v>918</v>
      </c>
      <c r="D403" s="905" t="s">
        <v>919</v>
      </c>
    </row>
    <row r="404" spans="1:4" ht="36" x14ac:dyDescent="0.25">
      <c r="A404" s="886">
        <v>2636</v>
      </c>
      <c r="B404" s="154" t="s">
        <v>920</v>
      </c>
      <c r="D404" s="905" t="s">
        <v>921</v>
      </c>
    </row>
    <row r="405" spans="1:4" ht="15.5" x14ac:dyDescent="0.25">
      <c r="A405" s="886">
        <v>2637</v>
      </c>
      <c r="B405" s="216" t="s">
        <v>922</v>
      </c>
      <c r="D405" s="905" t="s">
        <v>923</v>
      </c>
    </row>
    <row r="406" spans="1:4" x14ac:dyDescent="0.25">
      <c r="A406" s="886">
        <v>2638</v>
      </c>
      <c r="B406" s="327" t="s">
        <v>924</v>
      </c>
      <c r="D406" s="905" t="s">
        <v>925</v>
      </c>
    </row>
    <row r="407" spans="1:4" ht="30" x14ac:dyDescent="0.25">
      <c r="A407" s="886">
        <v>2639</v>
      </c>
      <c r="B407" s="178" t="s">
        <v>926</v>
      </c>
      <c r="D407" s="905" t="s">
        <v>927</v>
      </c>
    </row>
    <row r="408" spans="1:4" x14ac:dyDescent="0.25">
      <c r="A408" s="886">
        <v>2640</v>
      </c>
      <c r="B408" s="221" t="s">
        <v>928</v>
      </c>
      <c r="D408" s="905" t="s">
        <v>929</v>
      </c>
    </row>
    <row r="409" spans="1:4" x14ac:dyDescent="0.25">
      <c r="A409" s="886">
        <v>2641</v>
      </c>
      <c r="B409" s="178" t="s">
        <v>930</v>
      </c>
      <c r="D409" s="905" t="s">
        <v>931</v>
      </c>
    </row>
    <row r="410" spans="1:4" x14ac:dyDescent="0.25">
      <c r="A410" s="886">
        <v>2642</v>
      </c>
      <c r="B410" s="221" t="s">
        <v>932</v>
      </c>
      <c r="D410" s="905" t="s">
        <v>933</v>
      </c>
    </row>
    <row r="411" spans="1:4" x14ac:dyDescent="0.25">
      <c r="A411" s="886">
        <v>2643</v>
      </c>
      <c r="B411" s="178" t="s">
        <v>934</v>
      </c>
      <c r="D411" s="905" t="s">
        <v>935</v>
      </c>
    </row>
    <row r="412" spans="1:4" x14ac:dyDescent="0.25">
      <c r="A412" s="886">
        <v>2644</v>
      </c>
      <c r="B412" s="221" t="s">
        <v>936</v>
      </c>
      <c r="D412" s="905" t="s">
        <v>937</v>
      </c>
    </row>
    <row r="413" spans="1:4" ht="30" x14ac:dyDescent="0.25">
      <c r="A413" s="886">
        <v>2645</v>
      </c>
      <c r="B413" s="178" t="s">
        <v>938</v>
      </c>
      <c r="D413" s="905" t="s">
        <v>939</v>
      </c>
    </row>
    <row r="414" spans="1:4" x14ac:dyDescent="0.25">
      <c r="A414" s="886">
        <v>2646</v>
      </c>
      <c r="B414" s="484" t="s">
        <v>940</v>
      </c>
      <c r="D414" s="905" t="s">
        <v>941</v>
      </c>
    </row>
    <row r="415" spans="1:4" x14ac:dyDescent="0.25">
      <c r="A415" s="886">
        <v>2647</v>
      </c>
      <c r="B415" s="887" t="s">
        <v>942</v>
      </c>
      <c r="D415" s="905" t="s">
        <v>943</v>
      </c>
    </row>
    <row r="416" spans="1:4" ht="50" x14ac:dyDescent="0.25">
      <c r="A416" s="886">
        <v>2648</v>
      </c>
      <c r="B416" s="484" t="s">
        <v>944</v>
      </c>
      <c r="D416" s="905" t="s">
        <v>945</v>
      </c>
    </row>
    <row r="417" spans="1:4" x14ac:dyDescent="0.25">
      <c r="A417" s="886">
        <v>2649</v>
      </c>
      <c r="B417" s="37" t="s">
        <v>946</v>
      </c>
      <c r="D417" s="905" t="s">
        <v>947</v>
      </c>
    </row>
    <row r="418" spans="1:4" x14ac:dyDescent="0.25">
      <c r="A418" s="886">
        <v>2650</v>
      </c>
      <c r="B418" s="874" t="s">
        <v>948</v>
      </c>
      <c r="D418" s="905" t="s">
        <v>949</v>
      </c>
    </row>
    <row r="419" spans="1:4" x14ac:dyDescent="0.25">
      <c r="A419" s="886">
        <v>2651</v>
      </c>
      <c r="B419" s="486" t="s">
        <v>950</v>
      </c>
      <c r="D419" s="905" t="s">
        <v>951</v>
      </c>
    </row>
    <row r="420" spans="1:4" x14ac:dyDescent="0.25">
      <c r="A420" s="886">
        <v>2652</v>
      </c>
      <c r="B420" s="874" t="s">
        <v>952</v>
      </c>
      <c r="D420" s="905" t="s">
        <v>953</v>
      </c>
    </row>
    <row r="421" spans="1:4" x14ac:dyDescent="0.25">
      <c r="A421" s="886">
        <v>2653</v>
      </c>
      <c r="B421" s="486" t="s">
        <v>954</v>
      </c>
      <c r="D421" s="905" t="s">
        <v>955</v>
      </c>
    </row>
    <row r="422" spans="1:4" x14ac:dyDescent="0.25">
      <c r="A422" s="886">
        <v>2654</v>
      </c>
      <c r="B422" s="874" t="s">
        <v>956</v>
      </c>
      <c r="D422" s="905" t="s">
        <v>957</v>
      </c>
    </row>
    <row r="423" spans="1:4" x14ac:dyDescent="0.25">
      <c r="A423" s="886">
        <v>2655</v>
      </c>
      <c r="B423" s="486" t="s">
        <v>958</v>
      </c>
      <c r="D423" s="905" t="s">
        <v>959</v>
      </c>
    </row>
    <row r="424" spans="1:4" x14ac:dyDescent="0.25">
      <c r="A424" s="886">
        <v>2656</v>
      </c>
      <c r="B424" s="874" t="s">
        <v>960</v>
      </c>
      <c r="D424" s="905" t="s">
        <v>961</v>
      </c>
    </row>
    <row r="425" spans="1:4" ht="50" x14ac:dyDescent="0.25">
      <c r="A425" s="886">
        <v>2657</v>
      </c>
      <c r="B425" s="486" t="s">
        <v>962</v>
      </c>
      <c r="D425" s="905" t="s">
        <v>963</v>
      </c>
    </row>
    <row r="426" spans="1:4" x14ac:dyDescent="0.25">
      <c r="A426" s="886">
        <v>2658</v>
      </c>
      <c r="B426" s="874" t="s">
        <v>964</v>
      </c>
      <c r="D426" s="905" t="s">
        <v>965</v>
      </c>
    </row>
    <row r="427" spans="1:4" ht="50" x14ac:dyDescent="0.25">
      <c r="A427" s="886">
        <v>2659</v>
      </c>
      <c r="B427" s="486" t="s">
        <v>966</v>
      </c>
      <c r="D427" s="905" t="s">
        <v>967</v>
      </c>
    </row>
    <row r="428" spans="1:4" ht="13" x14ac:dyDescent="0.25">
      <c r="A428" s="886">
        <v>2660</v>
      </c>
      <c r="B428" s="171" t="s">
        <v>968</v>
      </c>
      <c r="D428" s="905" t="s">
        <v>969</v>
      </c>
    </row>
    <row r="429" spans="1:4" x14ac:dyDescent="0.25">
      <c r="A429" s="886">
        <v>2661</v>
      </c>
      <c r="B429" s="221" t="s">
        <v>970</v>
      </c>
      <c r="D429" s="905" t="s">
        <v>971</v>
      </c>
    </row>
    <row r="430" spans="1:4" x14ac:dyDescent="0.25">
      <c r="A430" s="886">
        <v>2662</v>
      </c>
      <c r="B430" s="488" t="s">
        <v>972</v>
      </c>
      <c r="D430" s="905" t="s">
        <v>973</v>
      </c>
    </row>
    <row r="431" spans="1:4" x14ac:dyDescent="0.25">
      <c r="A431" s="886">
        <v>2663</v>
      </c>
      <c r="B431" s="488" t="s">
        <v>974</v>
      </c>
      <c r="D431" s="905" t="s">
        <v>975</v>
      </c>
    </row>
    <row r="432" spans="1:4" x14ac:dyDescent="0.25">
      <c r="A432" s="886">
        <v>2664</v>
      </c>
      <c r="B432" s="918" t="s">
        <v>976</v>
      </c>
      <c r="D432" s="905" t="s">
        <v>977</v>
      </c>
    </row>
    <row r="433" spans="1:4" x14ac:dyDescent="0.25">
      <c r="A433" s="886">
        <v>2665</v>
      </c>
      <c r="B433" s="493" t="s">
        <v>978</v>
      </c>
      <c r="D433" s="905" t="s">
        <v>979</v>
      </c>
    </row>
    <row r="434" spans="1:4" x14ac:dyDescent="0.25">
      <c r="A434" s="886">
        <v>2666</v>
      </c>
      <c r="B434" s="493" t="s">
        <v>980</v>
      </c>
      <c r="D434" s="905" t="s">
        <v>981</v>
      </c>
    </row>
    <row r="435" spans="1:4" x14ac:dyDescent="0.25">
      <c r="A435" s="886">
        <v>2667</v>
      </c>
      <c r="B435" s="918" t="s">
        <v>982</v>
      </c>
      <c r="D435" s="905" t="s">
        <v>983</v>
      </c>
    </row>
    <row r="436" spans="1:4" x14ac:dyDescent="0.25">
      <c r="A436" s="886">
        <v>2668</v>
      </c>
      <c r="B436" s="919" t="s">
        <v>984</v>
      </c>
      <c r="D436" s="905" t="s">
        <v>985</v>
      </c>
    </row>
    <row r="437" spans="1:4" x14ac:dyDescent="0.25">
      <c r="A437" s="886">
        <v>2669</v>
      </c>
      <c r="B437" s="919" t="s">
        <v>986</v>
      </c>
      <c r="D437" s="905" t="s">
        <v>987</v>
      </c>
    </row>
    <row r="438" spans="1:4" ht="13" x14ac:dyDescent="0.25">
      <c r="A438" s="886">
        <v>2670</v>
      </c>
      <c r="B438" s="171" t="s">
        <v>988</v>
      </c>
      <c r="D438" s="905" t="s">
        <v>989</v>
      </c>
    </row>
    <row r="439" spans="1:4" ht="20" x14ac:dyDescent="0.25">
      <c r="A439" s="886">
        <v>2671</v>
      </c>
      <c r="B439" s="178" t="s">
        <v>990</v>
      </c>
      <c r="D439" s="905" t="s">
        <v>991</v>
      </c>
    </row>
    <row r="440" spans="1:4" x14ac:dyDescent="0.25">
      <c r="A440" s="886">
        <v>2672</v>
      </c>
      <c r="B440" s="491" t="s">
        <v>992</v>
      </c>
      <c r="D440" s="905" t="s">
        <v>993</v>
      </c>
    </row>
    <row r="441" spans="1:4" x14ac:dyDescent="0.25">
      <c r="A441" s="886">
        <v>2673</v>
      </c>
      <c r="B441" s="494" t="s">
        <v>994</v>
      </c>
      <c r="D441" s="905" t="s">
        <v>995</v>
      </c>
    </row>
    <row r="442" spans="1:4" x14ac:dyDescent="0.25">
      <c r="A442" s="886">
        <v>2674</v>
      </c>
      <c r="B442" s="506" t="s">
        <v>996</v>
      </c>
      <c r="D442" s="905" t="s">
        <v>997</v>
      </c>
    </row>
    <row r="443" spans="1:4" ht="13" x14ac:dyDescent="0.25">
      <c r="A443" s="886">
        <v>2675</v>
      </c>
      <c r="B443" s="171" t="s">
        <v>998</v>
      </c>
      <c r="D443" s="905" t="s">
        <v>999</v>
      </c>
    </row>
    <row r="444" spans="1:4" x14ac:dyDescent="0.25">
      <c r="A444" s="886">
        <v>2676</v>
      </c>
      <c r="B444" s="245" t="s">
        <v>1000</v>
      </c>
      <c r="D444" s="905" t="s">
        <v>1001</v>
      </c>
    </row>
    <row r="445" spans="1:4" x14ac:dyDescent="0.25">
      <c r="A445" s="886">
        <v>2677</v>
      </c>
      <c r="B445" s="245" t="s">
        <v>1002</v>
      </c>
      <c r="D445" s="905" t="s">
        <v>1003</v>
      </c>
    </row>
    <row r="446" spans="1:4" x14ac:dyDescent="0.25">
      <c r="A446" s="886">
        <v>2678</v>
      </c>
      <c r="B446" s="245" t="s">
        <v>1004</v>
      </c>
      <c r="D446" s="905" t="s">
        <v>1005</v>
      </c>
    </row>
    <row r="447" spans="1:4" x14ac:dyDescent="0.25">
      <c r="A447" s="886">
        <v>2679</v>
      </c>
      <c r="B447" s="245" t="s">
        <v>1006</v>
      </c>
      <c r="D447" s="905" t="s">
        <v>1007</v>
      </c>
    </row>
    <row r="448" spans="1:4" x14ac:dyDescent="0.25">
      <c r="A448" s="886">
        <v>2680</v>
      </c>
      <c r="B448" s="245" t="s">
        <v>1008</v>
      </c>
      <c r="D448" s="905" t="s">
        <v>1009</v>
      </c>
    </row>
    <row r="449" spans="1:4" x14ac:dyDescent="0.25">
      <c r="A449" s="886">
        <v>2681</v>
      </c>
      <c r="B449" s="245" t="s">
        <v>1010</v>
      </c>
      <c r="D449" s="905" t="s">
        <v>1011</v>
      </c>
    </row>
    <row r="450" spans="1:4" ht="13" thickBot="1" x14ac:dyDescent="0.3">
      <c r="A450" s="886">
        <v>2682</v>
      </c>
      <c r="B450" s="245" t="s">
        <v>1012</v>
      </c>
      <c r="D450" s="905" t="s">
        <v>1013</v>
      </c>
    </row>
    <row r="451" spans="1:4" ht="13" thickBot="1" x14ac:dyDescent="0.3">
      <c r="A451" s="886">
        <v>2683</v>
      </c>
      <c r="B451" s="920" t="s">
        <v>1014</v>
      </c>
      <c r="D451" s="905" t="s">
        <v>1015</v>
      </c>
    </row>
    <row r="452" spans="1:4" ht="13" x14ac:dyDescent="0.25">
      <c r="A452" s="886">
        <v>2684</v>
      </c>
      <c r="B452" s="888" t="s">
        <v>1016</v>
      </c>
      <c r="D452" s="905" t="s">
        <v>1017</v>
      </c>
    </row>
    <row r="453" spans="1:4" ht="15.5" x14ac:dyDescent="0.25">
      <c r="A453" s="886">
        <v>2685</v>
      </c>
      <c r="B453" s="216" t="s">
        <v>1018</v>
      </c>
      <c r="D453" s="905" t="s">
        <v>1019</v>
      </c>
    </row>
    <row r="454" spans="1:4" x14ac:dyDescent="0.25">
      <c r="A454" s="886">
        <v>2686</v>
      </c>
      <c r="B454" s="874" t="s">
        <v>1020</v>
      </c>
      <c r="D454" s="905" t="s">
        <v>1021</v>
      </c>
    </row>
    <row r="455" spans="1:4" x14ac:dyDescent="0.25">
      <c r="A455" s="886">
        <v>2687</v>
      </c>
      <c r="B455" s="486" t="s">
        <v>1022</v>
      </c>
      <c r="D455" s="905" t="s">
        <v>1023</v>
      </c>
    </row>
    <row r="456" spans="1:4" x14ac:dyDescent="0.25">
      <c r="A456" s="886">
        <v>2688</v>
      </c>
      <c r="B456" s="874" t="s">
        <v>1024</v>
      </c>
      <c r="D456" s="905" t="s">
        <v>1025</v>
      </c>
    </row>
    <row r="457" spans="1:4" x14ac:dyDescent="0.25">
      <c r="A457" s="886">
        <v>2689</v>
      </c>
      <c r="B457" s="486" t="s">
        <v>1026</v>
      </c>
      <c r="D457" s="905" t="s">
        <v>1027</v>
      </c>
    </row>
    <row r="458" spans="1:4" x14ac:dyDescent="0.25">
      <c r="A458" s="886">
        <v>2690</v>
      </c>
      <c r="B458" s="887" t="s">
        <v>1028</v>
      </c>
      <c r="D458" s="905" t="s">
        <v>1029</v>
      </c>
    </row>
    <row r="459" spans="1:4" ht="40" x14ac:dyDescent="0.25">
      <c r="A459" s="886">
        <v>2691</v>
      </c>
      <c r="B459" s="484" t="s">
        <v>1030</v>
      </c>
      <c r="D459" s="905" t="s">
        <v>1031</v>
      </c>
    </row>
    <row r="460" spans="1:4" ht="30" x14ac:dyDescent="0.25">
      <c r="A460" s="886">
        <v>2692</v>
      </c>
      <c r="B460" s="305" t="s">
        <v>1032</v>
      </c>
      <c r="D460" s="905" t="s">
        <v>1033</v>
      </c>
    </row>
    <row r="461" spans="1:4" x14ac:dyDescent="0.25">
      <c r="A461" s="886">
        <v>2693</v>
      </c>
      <c r="B461" s="887" t="s">
        <v>1034</v>
      </c>
      <c r="D461" s="905" t="s">
        <v>1035</v>
      </c>
    </row>
    <row r="462" spans="1:4" ht="30" x14ac:dyDescent="0.25">
      <c r="A462" s="886">
        <v>2694</v>
      </c>
      <c r="B462" s="484" t="s">
        <v>1036</v>
      </c>
      <c r="D462" s="905" t="s">
        <v>1037</v>
      </c>
    </row>
    <row r="463" spans="1:4" ht="60" x14ac:dyDescent="0.25">
      <c r="A463" s="886">
        <v>2695</v>
      </c>
      <c r="B463" s="305" t="s">
        <v>1038</v>
      </c>
      <c r="D463" s="905" t="s">
        <v>1039</v>
      </c>
    </row>
    <row r="464" spans="1:4" ht="13" x14ac:dyDescent="0.3">
      <c r="A464" s="886">
        <v>2696</v>
      </c>
      <c r="B464" s="539" t="s">
        <v>1040</v>
      </c>
      <c r="D464" s="905" t="s">
        <v>1041</v>
      </c>
    </row>
    <row r="465" spans="1:4" ht="13" x14ac:dyDescent="0.3">
      <c r="A465" s="886">
        <v>2697</v>
      </c>
      <c r="B465" s="539" t="s">
        <v>1042</v>
      </c>
      <c r="D465" s="905" t="s">
        <v>1043</v>
      </c>
    </row>
    <row r="466" spans="1:4" ht="13.5" thickBot="1" x14ac:dyDescent="0.35">
      <c r="A466" s="886">
        <v>2698</v>
      </c>
      <c r="B466" s="891" t="s">
        <v>1044</v>
      </c>
      <c r="D466" s="905" t="s">
        <v>1045</v>
      </c>
    </row>
    <row r="467" spans="1:4" ht="13" x14ac:dyDescent="0.25">
      <c r="A467" s="886">
        <v>2699</v>
      </c>
      <c r="B467" s="888" t="s">
        <v>1046</v>
      </c>
      <c r="D467" s="905" t="s">
        <v>1047</v>
      </c>
    </row>
    <row r="468" spans="1:4" ht="36" x14ac:dyDescent="0.25">
      <c r="A468" s="886">
        <v>2700</v>
      </c>
      <c r="B468" s="154" t="s">
        <v>1048</v>
      </c>
      <c r="D468" s="905" t="s">
        <v>1049</v>
      </c>
    </row>
    <row r="469" spans="1:4" ht="15.5" x14ac:dyDescent="0.25">
      <c r="A469" s="886">
        <v>2701</v>
      </c>
      <c r="B469" s="216" t="s">
        <v>1050</v>
      </c>
      <c r="D469" s="905" t="s">
        <v>1051</v>
      </c>
    </row>
    <row r="470" spans="1:4" ht="30" x14ac:dyDescent="0.25">
      <c r="A470" s="886">
        <v>2702</v>
      </c>
      <c r="B470" s="178" t="s">
        <v>1052</v>
      </c>
      <c r="D470" s="905" t="s">
        <v>1053</v>
      </c>
    </row>
    <row r="471" spans="1:4" ht="50" x14ac:dyDescent="0.25">
      <c r="A471" s="886">
        <v>2703</v>
      </c>
      <c r="B471" s="178" t="s">
        <v>1054</v>
      </c>
      <c r="D471" s="905" t="s">
        <v>1055</v>
      </c>
    </row>
    <row r="472" spans="1:4" ht="40" x14ac:dyDescent="0.25">
      <c r="A472" s="886">
        <v>2704</v>
      </c>
      <c r="B472" s="221" t="s">
        <v>1056</v>
      </c>
      <c r="D472" s="905" t="s">
        <v>1057</v>
      </c>
    </row>
    <row r="473" spans="1:4" ht="20" x14ac:dyDescent="0.25">
      <c r="A473" s="886">
        <v>2705</v>
      </c>
      <c r="B473" s="221" t="s">
        <v>1058</v>
      </c>
      <c r="D473" s="905" t="s">
        <v>1059</v>
      </c>
    </row>
    <row r="474" spans="1:4" ht="20" x14ac:dyDescent="0.25">
      <c r="A474" s="886">
        <v>2706</v>
      </c>
      <c r="B474" s="484" t="s">
        <v>1060</v>
      </c>
      <c r="D474" s="905" t="s">
        <v>1061</v>
      </c>
    </row>
    <row r="475" spans="1:4" ht="30" x14ac:dyDescent="0.25">
      <c r="A475" s="886">
        <v>2707</v>
      </c>
      <c r="B475" s="484" t="s">
        <v>1062</v>
      </c>
      <c r="D475" s="905" t="s">
        <v>1063</v>
      </c>
    </row>
    <row r="476" spans="1:4" ht="30" x14ac:dyDescent="0.25">
      <c r="A476" s="886">
        <v>2708</v>
      </c>
      <c r="B476" s="486" t="s">
        <v>1064</v>
      </c>
      <c r="D476" s="905" t="s">
        <v>1065</v>
      </c>
    </row>
    <row r="477" spans="1:4" x14ac:dyDescent="0.25">
      <c r="A477" s="886">
        <v>2709</v>
      </c>
      <c r="B477" s="486" t="s">
        <v>1066</v>
      </c>
      <c r="D477" s="905" t="s">
        <v>1067</v>
      </c>
    </row>
    <row r="478" spans="1:4" ht="28" x14ac:dyDescent="0.25">
      <c r="A478" s="886">
        <v>2710</v>
      </c>
      <c r="B478" s="482" t="s">
        <v>1068</v>
      </c>
      <c r="D478" s="905" t="s">
        <v>1069</v>
      </c>
    </row>
    <row r="479" spans="1:4" ht="30" x14ac:dyDescent="0.25">
      <c r="A479" s="886">
        <v>2711</v>
      </c>
      <c r="B479" s="178" t="s">
        <v>1070</v>
      </c>
      <c r="D479" s="905" t="s">
        <v>1071</v>
      </c>
    </row>
    <row r="480" spans="1:4" ht="40" x14ac:dyDescent="0.25">
      <c r="A480" s="886">
        <v>2712</v>
      </c>
      <c r="B480" s="178" t="s">
        <v>1072</v>
      </c>
      <c r="D480" s="905" t="s">
        <v>1073</v>
      </c>
    </row>
    <row r="481" spans="1:4" x14ac:dyDescent="0.25">
      <c r="A481" s="886">
        <v>2713</v>
      </c>
      <c r="B481" s="178" t="s">
        <v>1074</v>
      </c>
      <c r="D481" s="905" t="s">
        <v>1075</v>
      </c>
    </row>
    <row r="482" spans="1:4" x14ac:dyDescent="0.25">
      <c r="A482" s="886">
        <v>2714</v>
      </c>
      <c r="B482" s="921" t="s">
        <v>1076</v>
      </c>
      <c r="D482" s="905" t="s">
        <v>1077</v>
      </c>
    </row>
    <row r="483" spans="1:4" x14ac:dyDescent="0.25">
      <c r="A483" s="886">
        <v>2715</v>
      </c>
      <c r="B483" s="921" t="s">
        <v>1078</v>
      </c>
      <c r="D483" s="905" t="s">
        <v>1079</v>
      </c>
    </row>
    <row r="484" spans="1:4" x14ac:dyDescent="0.25">
      <c r="A484" s="886">
        <v>2716</v>
      </c>
      <c r="B484" s="921" t="s">
        <v>1080</v>
      </c>
      <c r="D484" s="905" t="s">
        <v>1081</v>
      </c>
    </row>
    <row r="485" spans="1:4" x14ac:dyDescent="0.25">
      <c r="A485" s="886">
        <v>2717</v>
      </c>
      <c r="B485" s="922" t="s">
        <v>1082</v>
      </c>
      <c r="D485" s="905" t="s">
        <v>1083</v>
      </c>
    </row>
    <row r="486" spans="1:4" x14ac:dyDescent="0.25">
      <c r="A486" s="886">
        <v>2718</v>
      </c>
      <c r="B486" s="923" t="s">
        <v>1084</v>
      </c>
      <c r="D486" s="905" t="s">
        <v>1085</v>
      </c>
    </row>
    <row r="487" spans="1:4" x14ac:dyDescent="0.25">
      <c r="A487" s="886">
        <v>2719</v>
      </c>
      <c r="B487" s="923" t="s">
        <v>1086</v>
      </c>
      <c r="D487" s="905" t="s">
        <v>1087</v>
      </c>
    </row>
    <row r="488" spans="1:4" x14ac:dyDescent="0.25">
      <c r="A488" s="886">
        <v>2720</v>
      </c>
      <c r="B488" s="923" t="s">
        <v>1088</v>
      </c>
      <c r="D488" s="905" t="s">
        <v>1089</v>
      </c>
    </row>
    <row r="489" spans="1:4" x14ac:dyDescent="0.25">
      <c r="A489" s="886">
        <v>2721</v>
      </c>
      <c r="B489" s="924" t="s">
        <v>1090</v>
      </c>
      <c r="D489" s="905" t="s">
        <v>1091</v>
      </c>
    </row>
    <row r="490" spans="1:4" x14ac:dyDescent="0.25">
      <c r="A490" s="886">
        <v>2722</v>
      </c>
      <c r="B490" s="553" t="s">
        <v>1092</v>
      </c>
      <c r="D490" s="905" t="s">
        <v>1093</v>
      </c>
    </row>
    <row r="491" spans="1:4" x14ac:dyDescent="0.25">
      <c r="A491" s="886">
        <v>2723</v>
      </c>
      <c r="B491" s="554" t="s">
        <v>1094</v>
      </c>
      <c r="D491" s="905" t="s">
        <v>1095</v>
      </c>
    </row>
    <row r="492" spans="1:4" ht="60" x14ac:dyDescent="0.25">
      <c r="A492" s="886">
        <v>2724</v>
      </c>
      <c r="B492" s="178" t="s">
        <v>1096</v>
      </c>
      <c r="D492" s="905" t="s">
        <v>1097</v>
      </c>
    </row>
    <row r="493" spans="1:4" ht="40" x14ac:dyDescent="0.25">
      <c r="A493" s="886">
        <v>2725</v>
      </c>
      <c r="B493" s="178" t="s">
        <v>1098</v>
      </c>
      <c r="D493" s="905" t="s">
        <v>1099</v>
      </c>
    </row>
    <row r="494" spans="1:4" x14ac:dyDescent="0.25">
      <c r="A494" s="886">
        <v>2726</v>
      </c>
      <c r="B494" s="178" t="s">
        <v>1100</v>
      </c>
      <c r="D494" s="905" t="s">
        <v>1101</v>
      </c>
    </row>
    <row r="495" spans="1:4" x14ac:dyDescent="0.25">
      <c r="A495" s="886">
        <v>2727</v>
      </c>
      <c r="B495" s="178" t="s">
        <v>1102</v>
      </c>
      <c r="D495" s="905" t="s">
        <v>1103</v>
      </c>
    </row>
    <row r="496" spans="1:4" ht="15.5" x14ac:dyDescent="0.25">
      <c r="A496" s="886">
        <v>2728</v>
      </c>
      <c r="B496" s="216" t="s">
        <v>1104</v>
      </c>
      <c r="D496" s="905" t="s">
        <v>1105</v>
      </c>
    </row>
    <row r="497" spans="1:4" x14ac:dyDescent="0.25">
      <c r="A497" s="886">
        <v>2729</v>
      </c>
      <c r="B497" s="173" t="s">
        <v>1106</v>
      </c>
      <c r="D497" s="905" t="s">
        <v>1107</v>
      </c>
    </row>
    <row r="498" spans="1:4" x14ac:dyDescent="0.25">
      <c r="A498" s="886">
        <v>2730</v>
      </c>
      <c r="B498" s="925" t="s">
        <v>1108</v>
      </c>
      <c r="D498" s="905" t="s">
        <v>1109</v>
      </c>
    </row>
    <row r="499" spans="1:4" ht="16" thickBot="1" x14ac:dyDescent="0.3">
      <c r="A499" s="886">
        <v>2731</v>
      </c>
      <c r="B499" s="216" t="s">
        <v>1110</v>
      </c>
      <c r="D499" s="905" t="s">
        <v>1111</v>
      </c>
    </row>
    <row r="500" spans="1:4" ht="13" x14ac:dyDescent="0.25">
      <c r="A500" s="886">
        <v>2732</v>
      </c>
      <c r="B500" s="888" t="s">
        <v>1112</v>
      </c>
      <c r="D500" s="905" t="s">
        <v>1113</v>
      </c>
    </row>
    <row r="501" spans="1:4" ht="18" x14ac:dyDescent="0.25">
      <c r="A501" s="886">
        <v>2733</v>
      </c>
      <c r="B501" s="864" t="s">
        <v>1114</v>
      </c>
      <c r="D501" s="905" t="s">
        <v>1115</v>
      </c>
    </row>
    <row r="502" spans="1:4" ht="15.5" x14ac:dyDescent="0.25">
      <c r="A502" s="886">
        <v>2734</v>
      </c>
      <c r="B502" s="216" t="s">
        <v>1116</v>
      </c>
      <c r="D502" s="905" t="s">
        <v>1117</v>
      </c>
    </row>
    <row r="503" spans="1:4" ht="26" x14ac:dyDescent="0.25">
      <c r="A503" s="886">
        <v>2735</v>
      </c>
      <c r="B503" s="203" t="s">
        <v>1118</v>
      </c>
      <c r="D503" s="905" t="s">
        <v>1119</v>
      </c>
    </row>
    <row r="504" spans="1:4" x14ac:dyDescent="0.25">
      <c r="A504" s="886">
        <v>2736</v>
      </c>
      <c r="B504" s="245" t="s">
        <v>1120</v>
      </c>
      <c r="D504" s="905" t="s">
        <v>1121</v>
      </c>
    </row>
    <row r="505" spans="1:4" x14ac:dyDescent="0.25">
      <c r="A505" s="886">
        <v>2737</v>
      </c>
      <c r="B505" s="245" t="s">
        <v>1122</v>
      </c>
      <c r="D505" s="905" t="s">
        <v>1123</v>
      </c>
    </row>
    <row r="506" spans="1:4" ht="15.5" x14ac:dyDescent="0.25">
      <c r="A506" s="886">
        <v>2738</v>
      </c>
      <c r="B506" s="216" t="s">
        <v>1124</v>
      </c>
      <c r="D506" s="905" t="s">
        <v>1125</v>
      </c>
    </row>
    <row r="507" spans="1:4" ht="52" x14ac:dyDescent="0.25">
      <c r="A507" s="886">
        <v>2739</v>
      </c>
      <c r="B507" s="203" t="s">
        <v>1126</v>
      </c>
      <c r="D507" s="905" t="s">
        <v>1127</v>
      </c>
    </row>
    <row r="508" spans="1:4" ht="30" x14ac:dyDescent="0.25">
      <c r="A508" s="886">
        <v>2740</v>
      </c>
      <c r="B508" s="204" t="s">
        <v>1128</v>
      </c>
      <c r="D508" s="905" t="s">
        <v>1129</v>
      </c>
    </row>
    <row r="509" spans="1:4" x14ac:dyDescent="0.25">
      <c r="A509" s="886">
        <v>2741</v>
      </c>
      <c r="B509" s="245" t="s">
        <v>1130</v>
      </c>
      <c r="D509" s="905" t="s">
        <v>1131</v>
      </c>
    </row>
    <row r="510" spans="1:4" ht="13" thickBot="1" x14ac:dyDescent="0.3">
      <c r="A510" s="886">
        <v>2742</v>
      </c>
      <c r="B510" s="245" t="s">
        <v>1132</v>
      </c>
      <c r="D510" s="905" t="s">
        <v>1133</v>
      </c>
    </row>
    <row r="511" spans="1:4" ht="13" x14ac:dyDescent="0.25">
      <c r="A511" s="886">
        <v>2743</v>
      </c>
      <c r="B511" s="926" t="s">
        <v>1134</v>
      </c>
      <c r="D511" s="905" t="s">
        <v>1135</v>
      </c>
    </row>
    <row r="512" spans="1:4" ht="15.5" x14ac:dyDescent="0.25">
      <c r="A512" s="886">
        <v>2744</v>
      </c>
      <c r="B512" s="927" t="s">
        <v>1136</v>
      </c>
      <c r="D512" s="905" t="s">
        <v>1137</v>
      </c>
    </row>
    <row r="513" spans="1:4" ht="15.5" x14ac:dyDescent="0.25">
      <c r="A513" s="886">
        <v>2745</v>
      </c>
      <c r="B513" s="928" t="s">
        <v>1138</v>
      </c>
      <c r="D513" s="905" t="s">
        <v>1139</v>
      </c>
    </row>
    <row r="514" spans="1:4" ht="13" x14ac:dyDescent="0.3">
      <c r="A514" s="886">
        <v>2746</v>
      </c>
      <c r="B514" s="693" t="s">
        <v>1140</v>
      </c>
      <c r="D514" s="905" t="s">
        <v>1141</v>
      </c>
    </row>
    <row r="515" spans="1:4" ht="13" x14ac:dyDescent="0.3">
      <c r="A515" s="886">
        <v>2747</v>
      </c>
      <c r="B515" s="698" t="s">
        <v>1142</v>
      </c>
      <c r="D515" s="905" t="s">
        <v>1143</v>
      </c>
    </row>
    <row r="516" spans="1:4" ht="13" x14ac:dyDescent="0.3">
      <c r="A516" s="886">
        <v>2748</v>
      </c>
      <c r="B516" s="929" t="s">
        <v>1144</v>
      </c>
      <c r="D516" s="905" t="s">
        <v>1145</v>
      </c>
    </row>
    <row r="517" spans="1:4" ht="13" x14ac:dyDescent="0.3">
      <c r="A517" s="886">
        <v>2749</v>
      </c>
      <c r="B517" s="929" t="s">
        <v>1146</v>
      </c>
      <c r="D517" s="905" t="s">
        <v>1147</v>
      </c>
    </row>
    <row r="518" spans="1:4" ht="13" x14ac:dyDescent="0.3">
      <c r="A518" s="886">
        <v>2750</v>
      </c>
      <c r="B518" s="929" t="s">
        <v>1148</v>
      </c>
      <c r="D518" s="905" t="s">
        <v>1149</v>
      </c>
    </row>
    <row r="519" spans="1:4" ht="13" x14ac:dyDescent="0.3">
      <c r="A519" s="886">
        <v>2751</v>
      </c>
      <c r="B519" s="930" t="s">
        <v>1150</v>
      </c>
      <c r="D519" s="905" t="s">
        <v>1151</v>
      </c>
    </row>
    <row r="520" spans="1:4" ht="13" x14ac:dyDescent="0.3">
      <c r="A520" s="886">
        <v>2752</v>
      </c>
      <c r="B520" s="930" t="s">
        <v>1152</v>
      </c>
      <c r="D520" s="905" t="s">
        <v>1153</v>
      </c>
    </row>
    <row r="521" spans="1:4" ht="13" x14ac:dyDescent="0.3">
      <c r="A521" s="886">
        <v>2753</v>
      </c>
      <c r="B521" s="931" t="s">
        <v>1154</v>
      </c>
      <c r="D521" s="905" t="s">
        <v>1155</v>
      </c>
    </row>
    <row r="522" spans="1:4" ht="13" x14ac:dyDescent="0.3">
      <c r="A522" s="886">
        <v>2754</v>
      </c>
      <c r="B522" s="932" t="s">
        <v>1156</v>
      </c>
      <c r="D522" s="905" t="s">
        <v>1157</v>
      </c>
    </row>
    <row r="523" spans="1:4" ht="13" x14ac:dyDescent="0.3">
      <c r="A523" s="886">
        <v>2755</v>
      </c>
      <c r="B523" s="933" t="s">
        <v>1158</v>
      </c>
      <c r="D523" s="905" t="s">
        <v>1159</v>
      </c>
    </row>
    <row r="524" spans="1:4" ht="13" x14ac:dyDescent="0.3">
      <c r="A524" s="886">
        <v>2756</v>
      </c>
      <c r="B524" s="934" t="s">
        <v>1160</v>
      </c>
      <c r="D524" s="905" t="s">
        <v>1161</v>
      </c>
    </row>
    <row r="525" spans="1:4" ht="13" x14ac:dyDescent="0.3">
      <c r="A525" s="886">
        <v>2757</v>
      </c>
      <c r="B525" s="935" t="s">
        <v>1162</v>
      </c>
      <c r="D525" s="905" t="s">
        <v>1163</v>
      </c>
    </row>
    <row r="526" spans="1:4" ht="13.5" thickBot="1" x14ac:dyDescent="0.35">
      <c r="A526" s="886">
        <v>2758</v>
      </c>
      <c r="B526" s="936" t="s">
        <v>1164</v>
      </c>
      <c r="D526" s="905" t="s">
        <v>1165</v>
      </c>
    </row>
    <row r="527" spans="1:4" ht="13.5" thickBot="1" x14ac:dyDescent="0.3">
      <c r="A527" s="886">
        <v>2759</v>
      </c>
      <c r="B527" s="716" t="s">
        <v>1166</v>
      </c>
      <c r="D527" s="905" t="s">
        <v>1167</v>
      </c>
    </row>
    <row r="528" spans="1:4" ht="18" x14ac:dyDescent="0.25">
      <c r="A528" s="886">
        <v>2760</v>
      </c>
      <c r="B528" s="725" t="s">
        <v>1168</v>
      </c>
      <c r="D528" s="905" t="s">
        <v>1169</v>
      </c>
    </row>
    <row r="529" spans="1:4" ht="13" x14ac:dyDescent="0.3">
      <c r="A529" s="886">
        <v>2761</v>
      </c>
      <c r="B529" s="729" t="s">
        <v>1170</v>
      </c>
      <c r="D529" s="905" t="s">
        <v>1171</v>
      </c>
    </row>
    <row r="530" spans="1:4" ht="13" x14ac:dyDescent="0.3">
      <c r="A530" s="886">
        <v>2762</v>
      </c>
      <c r="B530" s="937" t="s">
        <v>1172</v>
      </c>
      <c r="D530" s="905" t="s">
        <v>1173</v>
      </c>
    </row>
    <row r="531" spans="1:4" ht="13" x14ac:dyDescent="0.3">
      <c r="A531" s="886">
        <v>2763</v>
      </c>
      <c r="B531" s="937" t="s">
        <v>1174</v>
      </c>
      <c r="D531" s="905" t="s">
        <v>1175</v>
      </c>
    </row>
    <row r="532" spans="1:4" ht="13" x14ac:dyDescent="0.3">
      <c r="A532" s="886">
        <v>2764</v>
      </c>
      <c r="B532" s="733" t="s">
        <v>1176</v>
      </c>
      <c r="D532" s="905" t="s">
        <v>1177</v>
      </c>
    </row>
    <row r="533" spans="1:4" ht="25" x14ac:dyDescent="0.25">
      <c r="A533" s="886">
        <v>2765</v>
      </c>
      <c r="B533" s="938" t="s">
        <v>1178</v>
      </c>
      <c r="D533" s="905" t="s">
        <v>1179</v>
      </c>
    </row>
    <row r="534" spans="1:4" x14ac:dyDescent="0.25">
      <c r="A534" s="886">
        <v>2766</v>
      </c>
      <c r="B534" s="939" t="s">
        <v>1180</v>
      </c>
      <c r="D534" s="905" t="s">
        <v>1181</v>
      </c>
    </row>
    <row r="535" spans="1:4" x14ac:dyDescent="0.25">
      <c r="A535" s="886">
        <v>2767</v>
      </c>
      <c r="B535" s="940" t="s">
        <v>1182</v>
      </c>
      <c r="D535" s="905" t="s">
        <v>1183</v>
      </c>
    </row>
    <row r="536" spans="1:4" x14ac:dyDescent="0.25">
      <c r="A536" s="886">
        <v>2768</v>
      </c>
      <c r="B536" s="940" t="s">
        <v>1184</v>
      </c>
      <c r="D536" s="905" t="s">
        <v>1185</v>
      </c>
    </row>
    <row r="537" spans="1:4" x14ac:dyDescent="0.25">
      <c r="A537" s="886">
        <v>2769</v>
      </c>
      <c r="B537" s="940" t="s">
        <v>1186</v>
      </c>
      <c r="D537" s="905" t="s">
        <v>1187</v>
      </c>
    </row>
    <row r="538" spans="1:4" x14ac:dyDescent="0.25">
      <c r="A538" s="886">
        <v>2770</v>
      </c>
      <c r="B538" s="940" t="s">
        <v>1188</v>
      </c>
      <c r="D538" s="905" t="s">
        <v>1189</v>
      </c>
    </row>
    <row r="539" spans="1:4" x14ac:dyDescent="0.25">
      <c r="A539" s="886">
        <v>2771</v>
      </c>
      <c r="B539" s="940" t="s">
        <v>1190</v>
      </c>
      <c r="D539" s="905" t="s">
        <v>1191</v>
      </c>
    </row>
    <row r="540" spans="1:4" x14ac:dyDescent="0.25">
      <c r="A540" s="886">
        <v>2772</v>
      </c>
      <c r="B540" s="940" t="s">
        <v>1192</v>
      </c>
      <c r="D540" s="905" t="s">
        <v>1193</v>
      </c>
    </row>
    <row r="541" spans="1:4" ht="13" x14ac:dyDescent="0.3">
      <c r="A541" s="886">
        <v>2773</v>
      </c>
      <c r="B541" s="941" t="s">
        <v>1194</v>
      </c>
      <c r="D541" s="905" t="s">
        <v>1195</v>
      </c>
    </row>
    <row r="542" spans="1:4" ht="13" x14ac:dyDescent="0.3">
      <c r="A542" s="886">
        <v>2774</v>
      </c>
      <c r="B542" s="941" t="s">
        <v>1196</v>
      </c>
      <c r="D542" s="905" t="s">
        <v>1197</v>
      </c>
    </row>
    <row r="543" spans="1:4" ht="13" x14ac:dyDescent="0.3">
      <c r="A543" s="886">
        <v>2775</v>
      </c>
      <c r="B543" s="941" t="s">
        <v>1198</v>
      </c>
      <c r="D543" s="905" t="s">
        <v>1199</v>
      </c>
    </row>
    <row r="544" spans="1:4" ht="13" x14ac:dyDescent="0.3">
      <c r="A544" s="886">
        <v>2776</v>
      </c>
      <c r="B544" s="942" t="s">
        <v>1200</v>
      </c>
      <c r="D544" s="905" t="s">
        <v>1201</v>
      </c>
    </row>
    <row r="545" spans="1:4" ht="13" x14ac:dyDescent="0.3">
      <c r="A545" s="886">
        <v>2777</v>
      </c>
      <c r="B545" s="942" t="s">
        <v>1202</v>
      </c>
      <c r="D545" s="905" t="s">
        <v>1203</v>
      </c>
    </row>
    <row r="546" spans="1:4" ht="13" x14ac:dyDescent="0.3">
      <c r="A546" s="886">
        <v>2778</v>
      </c>
      <c r="B546" s="942" t="s">
        <v>1204</v>
      </c>
      <c r="D546" s="905" t="s">
        <v>1205</v>
      </c>
    </row>
    <row r="547" spans="1:4" ht="13" x14ac:dyDescent="0.3">
      <c r="A547" s="886">
        <v>2779</v>
      </c>
      <c r="B547" s="942" t="s">
        <v>1206</v>
      </c>
      <c r="D547" s="905" t="s">
        <v>1207</v>
      </c>
    </row>
    <row r="548" spans="1:4" ht="13" x14ac:dyDescent="0.3">
      <c r="A548" s="886">
        <v>2780</v>
      </c>
      <c r="B548" s="942" t="s">
        <v>1208</v>
      </c>
      <c r="D548" s="905" t="s">
        <v>1209</v>
      </c>
    </row>
    <row r="549" spans="1:4" ht="13" x14ac:dyDescent="0.3">
      <c r="A549" s="886">
        <v>2781</v>
      </c>
      <c r="B549" s="942" t="s">
        <v>1210</v>
      </c>
      <c r="D549" s="905" t="s">
        <v>1211</v>
      </c>
    </row>
    <row r="550" spans="1:4" ht="13" x14ac:dyDescent="0.3">
      <c r="A550" s="886">
        <v>2782</v>
      </c>
      <c r="B550" s="942" t="s">
        <v>1212</v>
      </c>
      <c r="D550" s="905" t="s">
        <v>1213</v>
      </c>
    </row>
    <row r="551" spans="1:4" ht="13" x14ac:dyDescent="0.3">
      <c r="A551" s="886">
        <v>2783</v>
      </c>
      <c r="B551" s="942" t="s">
        <v>1214</v>
      </c>
      <c r="D551" s="905" t="s">
        <v>1215</v>
      </c>
    </row>
    <row r="552" spans="1:4" ht="13" x14ac:dyDescent="0.3">
      <c r="A552" s="886">
        <v>2784</v>
      </c>
      <c r="B552" s="942" t="s">
        <v>1216</v>
      </c>
      <c r="D552" s="905" t="s">
        <v>1217</v>
      </c>
    </row>
    <row r="553" spans="1:4" ht="13" x14ac:dyDescent="0.3">
      <c r="A553" s="886">
        <v>2785</v>
      </c>
      <c r="B553" s="942" t="s">
        <v>1218</v>
      </c>
      <c r="D553" s="905" t="s">
        <v>1219</v>
      </c>
    </row>
    <row r="554" spans="1:4" ht="13" x14ac:dyDescent="0.3">
      <c r="A554" s="886">
        <v>2786</v>
      </c>
      <c r="B554" s="942" t="s">
        <v>1220</v>
      </c>
      <c r="D554" s="905" t="s">
        <v>1221</v>
      </c>
    </row>
    <row r="555" spans="1:4" x14ac:dyDescent="0.25">
      <c r="A555" s="886">
        <v>2787</v>
      </c>
      <c r="B555" s="763" t="s">
        <v>1222</v>
      </c>
      <c r="D555" s="905" t="s">
        <v>1223</v>
      </c>
    </row>
    <row r="556" spans="1:4" x14ac:dyDescent="0.25">
      <c r="A556" s="886">
        <v>2788</v>
      </c>
      <c r="B556" s="763" t="s">
        <v>1224</v>
      </c>
      <c r="D556" s="905" t="s">
        <v>1225</v>
      </c>
    </row>
    <row r="557" spans="1:4" x14ac:dyDescent="0.25">
      <c r="A557" s="886">
        <v>2789</v>
      </c>
      <c r="B557" s="763" t="s">
        <v>1226</v>
      </c>
      <c r="D557" s="905" t="s">
        <v>1227</v>
      </c>
    </row>
    <row r="558" spans="1:4" x14ac:dyDescent="0.25">
      <c r="A558" s="886">
        <v>2790</v>
      </c>
      <c r="B558" s="763" t="s">
        <v>1228</v>
      </c>
      <c r="D558" s="905" t="s">
        <v>1229</v>
      </c>
    </row>
    <row r="559" spans="1:4" x14ac:dyDescent="0.25">
      <c r="A559" s="886">
        <v>2791</v>
      </c>
      <c r="B559" s="880" t="s">
        <v>1230</v>
      </c>
      <c r="D559" s="905" t="s">
        <v>1231</v>
      </c>
    </row>
    <row r="560" spans="1:4" x14ac:dyDescent="0.25">
      <c r="A560" s="886">
        <v>2792</v>
      </c>
      <c r="B560" s="902" t="s">
        <v>1232</v>
      </c>
      <c r="D560" s="905" t="s">
        <v>1233</v>
      </c>
    </row>
    <row r="561" spans="1:4" x14ac:dyDescent="0.25">
      <c r="A561" s="886">
        <v>2793</v>
      </c>
      <c r="B561" s="902" t="s">
        <v>1234</v>
      </c>
      <c r="D561" s="905" t="s">
        <v>1235</v>
      </c>
    </row>
    <row r="562" spans="1:4" x14ac:dyDescent="0.25">
      <c r="A562" s="886">
        <v>2794</v>
      </c>
      <c r="B562" s="902" t="s">
        <v>1236</v>
      </c>
      <c r="D562" s="905" t="s">
        <v>1237</v>
      </c>
    </row>
    <row r="563" spans="1:4" x14ac:dyDescent="0.25">
      <c r="A563" s="886">
        <v>2795</v>
      </c>
      <c r="B563" s="902" t="s">
        <v>1238</v>
      </c>
      <c r="D563" s="905" t="s">
        <v>1239</v>
      </c>
    </row>
    <row r="564" spans="1:4" x14ac:dyDescent="0.25">
      <c r="A564" s="886">
        <v>2796</v>
      </c>
      <c r="B564" s="902" t="s">
        <v>1240</v>
      </c>
      <c r="D564" s="905" t="s">
        <v>1241</v>
      </c>
    </row>
    <row r="565" spans="1:4" x14ac:dyDescent="0.25">
      <c r="A565" s="886">
        <v>2797</v>
      </c>
      <c r="B565" s="902" t="s">
        <v>1242</v>
      </c>
      <c r="D565" s="905" t="s">
        <v>1243</v>
      </c>
    </row>
    <row r="566" spans="1:4" x14ac:dyDescent="0.25">
      <c r="A566" s="886">
        <v>2798</v>
      </c>
      <c r="B566" s="902" t="s">
        <v>1244</v>
      </c>
      <c r="D566" s="905" t="s">
        <v>1245</v>
      </c>
    </row>
    <row r="567" spans="1:4" x14ac:dyDescent="0.25">
      <c r="A567" s="886">
        <v>2799</v>
      </c>
      <c r="B567" s="902" t="s">
        <v>1246</v>
      </c>
      <c r="D567" s="905" t="s">
        <v>1247</v>
      </c>
    </row>
    <row r="568" spans="1:4" x14ac:dyDescent="0.25">
      <c r="A568" s="886">
        <v>2800</v>
      </c>
      <c r="B568" t="s">
        <v>1248</v>
      </c>
    </row>
    <row r="569" spans="1:4" x14ac:dyDescent="0.25">
      <c r="A569" s="886">
        <v>2801</v>
      </c>
      <c r="B569" s="29" t="s">
        <v>799</v>
      </c>
    </row>
    <row r="570" spans="1:4" x14ac:dyDescent="0.25">
      <c r="A570" s="886">
        <v>2802</v>
      </c>
      <c r="B570" s="29" t="s">
        <v>1249</v>
      </c>
    </row>
    <row r="571" spans="1:4" x14ac:dyDescent="0.25">
      <c r="A571" s="886">
        <v>2803</v>
      </c>
      <c r="B571" s="29" t="s">
        <v>1250</v>
      </c>
    </row>
    <row r="572" spans="1:4" x14ac:dyDescent="0.25">
      <c r="A572" s="886">
        <v>2804</v>
      </c>
      <c r="B572" s="29" t="s">
        <v>1251</v>
      </c>
    </row>
    <row r="573" spans="1:4" x14ac:dyDescent="0.25">
      <c r="A573" s="886">
        <v>2805</v>
      </c>
      <c r="B573" s="29" t="s">
        <v>1252</v>
      </c>
    </row>
    <row r="574" spans="1:4" x14ac:dyDescent="0.25">
      <c r="A574" s="886">
        <v>2806</v>
      </c>
      <c r="B574" s="29" t="s">
        <v>1253</v>
      </c>
    </row>
    <row r="575" spans="1:4" x14ac:dyDescent="0.25">
      <c r="A575" s="886">
        <v>2807</v>
      </c>
      <c r="B575" s="29" t="s">
        <v>1254</v>
      </c>
    </row>
    <row r="576" spans="1:4" x14ac:dyDescent="0.25">
      <c r="A576" s="886">
        <v>2808</v>
      </c>
      <c r="B576" s="29" t="s">
        <v>1255</v>
      </c>
    </row>
    <row r="577" spans="1:2" x14ac:dyDescent="0.25">
      <c r="A577" s="886">
        <v>2809</v>
      </c>
      <c r="B577" s="29" t="s">
        <v>1256</v>
      </c>
    </row>
    <row r="578" spans="1:2" x14ac:dyDescent="0.25">
      <c r="A578" s="886">
        <v>2810</v>
      </c>
      <c r="B578" s="29" t="s">
        <v>1257</v>
      </c>
    </row>
    <row r="579" spans="1:2" x14ac:dyDescent="0.25">
      <c r="A579" s="886">
        <v>2811</v>
      </c>
      <c r="B579" s="29" t="s">
        <v>1258</v>
      </c>
    </row>
    <row r="580" spans="1:2" x14ac:dyDescent="0.25">
      <c r="A580" s="886">
        <v>2812</v>
      </c>
      <c r="B580" s="29" t="s">
        <v>1259</v>
      </c>
    </row>
    <row r="581" spans="1:2" x14ac:dyDescent="0.25">
      <c r="A581" s="886">
        <v>2813</v>
      </c>
      <c r="B581" s="29" t="s">
        <v>1260</v>
      </c>
    </row>
    <row r="582" spans="1:2" x14ac:dyDescent="0.25">
      <c r="A582" s="886">
        <v>2814</v>
      </c>
      <c r="B582" s="29" t="s">
        <v>1261</v>
      </c>
    </row>
    <row r="583" spans="1:2" x14ac:dyDescent="0.25">
      <c r="A583" s="886">
        <v>2815</v>
      </c>
      <c r="B583" s="29" t="s">
        <v>1262</v>
      </c>
    </row>
    <row r="584" spans="1:2" x14ac:dyDescent="0.25">
      <c r="A584" s="886">
        <v>2816</v>
      </c>
      <c r="B584" s="29" t="s">
        <v>1263</v>
      </c>
    </row>
    <row r="585" spans="1:2" x14ac:dyDescent="0.25">
      <c r="A585" s="886">
        <v>2817</v>
      </c>
      <c r="B585" s="29" t="s">
        <v>1264</v>
      </c>
    </row>
    <row r="586" spans="1:2" x14ac:dyDescent="0.25">
      <c r="A586" s="886">
        <v>2818</v>
      </c>
      <c r="B586" s="29" t="s">
        <v>1265</v>
      </c>
    </row>
    <row r="587" spans="1:2" x14ac:dyDescent="0.25">
      <c r="A587" s="886">
        <v>2819</v>
      </c>
      <c r="B587" s="29" t="s">
        <v>1266</v>
      </c>
    </row>
    <row r="588" spans="1:2" x14ac:dyDescent="0.25">
      <c r="A588" s="886">
        <v>2820</v>
      </c>
      <c r="B588" s="29" t="s">
        <v>801</v>
      </c>
    </row>
    <row r="589" spans="1:2" x14ac:dyDescent="0.25">
      <c r="A589" s="886">
        <v>2821</v>
      </c>
      <c r="B589" s="29" t="s">
        <v>1267</v>
      </c>
    </row>
    <row r="590" spans="1:2" x14ac:dyDescent="0.25">
      <c r="A590" s="886">
        <v>2822</v>
      </c>
      <c r="B590" s="29" t="s">
        <v>1268</v>
      </c>
    </row>
    <row r="591" spans="1:2" x14ac:dyDescent="0.25">
      <c r="A591" s="886">
        <v>2823</v>
      </c>
      <c r="B591" s="29" t="s">
        <v>1269</v>
      </c>
    </row>
    <row r="592" spans="1:2" x14ac:dyDescent="0.25">
      <c r="A592" s="886">
        <v>2824</v>
      </c>
      <c r="B592" s="29" t="s">
        <v>1270</v>
      </c>
    </row>
    <row r="593" spans="1:4" x14ac:dyDescent="0.25">
      <c r="A593" s="886">
        <v>2825</v>
      </c>
      <c r="B593" s="29" t="s">
        <v>1271</v>
      </c>
    </row>
    <row r="594" spans="1:4" x14ac:dyDescent="0.25">
      <c r="A594" s="886">
        <v>2826</v>
      </c>
      <c r="B594" s="29" t="s">
        <v>1272</v>
      </c>
    </row>
    <row r="595" spans="1:4" x14ac:dyDescent="0.25">
      <c r="A595" s="886">
        <v>2827</v>
      </c>
      <c r="B595" s="29" t="s">
        <v>1273</v>
      </c>
    </row>
    <row r="596" spans="1:4" x14ac:dyDescent="0.25">
      <c r="A596" s="886">
        <v>2828</v>
      </c>
      <c r="B596" s="29" t="s">
        <v>1274</v>
      </c>
    </row>
    <row r="597" spans="1:4" x14ac:dyDescent="0.25">
      <c r="A597" s="886">
        <v>2829</v>
      </c>
      <c r="B597" s="29" t="s">
        <v>1275</v>
      </c>
    </row>
    <row r="598" spans="1:4" x14ac:dyDescent="0.25">
      <c r="A598" s="886">
        <v>2830</v>
      </c>
      <c r="B598" s="29" t="s">
        <v>1276</v>
      </c>
    </row>
    <row r="599" spans="1:4" x14ac:dyDescent="0.25">
      <c r="A599" s="886">
        <v>2831</v>
      </c>
      <c r="B599" s="29" t="s">
        <v>1277</v>
      </c>
    </row>
    <row r="600" spans="1:4" x14ac:dyDescent="0.25">
      <c r="A600" s="886">
        <v>2832</v>
      </c>
      <c r="B600" s="29" t="s">
        <v>1278</v>
      </c>
    </row>
    <row r="601" spans="1:4" x14ac:dyDescent="0.25">
      <c r="A601" s="886">
        <v>2833</v>
      </c>
      <c r="B601" s="29" t="s">
        <v>1279</v>
      </c>
    </row>
    <row r="602" spans="1:4" x14ac:dyDescent="0.25">
      <c r="A602" s="886">
        <v>2834</v>
      </c>
      <c r="B602" s="29" t="s">
        <v>1280</v>
      </c>
    </row>
    <row r="603" spans="1:4" ht="18" customHeight="1" x14ac:dyDescent="0.25">
      <c r="A603" s="886">
        <v>2835</v>
      </c>
      <c r="B603" s="943" t="s">
        <v>1281</v>
      </c>
    </row>
    <row r="604" spans="1:4" x14ac:dyDescent="0.25">
      <c r="A604" s="886">
        <v>2836</v>
      </c>
      <c r="B604" s="875" t="s">
        <v>1282</v>
      </c>
    </row>
    <row r="605" spans="1:4" x14ac:dyDescent="0.25">
      <c r="A605" s="886">
        <v>2839</v>
      </c>
      <c r="B605" s="204" t="s">
        <v>1283</v>
      </c>
      <c r="D605" s="905"/>
    </row>
    <row r="606" spans="1:4" ht="12.75" customHeight="1" x14ac:dyDescent="0.25">
      <c r="A606" s="886">
        <v>2840</v>
      </c>
      <c r="B606" s="204" t="s">
        <v>1284</v>
      </c>
      <c r="D606" s="905"/>
    </row>
    <row r="607" spans="1:4" ht="12.75" customHeight="1" x14ac:dyDescent="0.25">
      <c r="A607" s="886">
        <v>2841</v>
      </c>
      <c r="B607" s="204" t="s">
        <v>1285</v>
      </c>
      <c r="D607" s="905"/>
    </row>
    <row r="608" spans="1:4" ht="12.75" customHeight="1" x14ac:dyDescent="0.25">
      <c r="A608" s="886">
        <v>2842</v>
      </c>
      <c r="B608" s="204" t="s">
        <v>1286</v>
      </c>
      <c r="D608" s="905"/>
    </row>
    <row r="609" spans="1:4" ht="12.75" customHeight="1" x14ac:dyDescent="0.25">
      <c r="A609" s="886">
        <v>2843</v>
      </c>
      <c r="B609" s="204" t="s">
        <v>1287</v>
      </c>
      <c r="D609" s="905"/>
    </row>
    <row r="610" spans="1:4" x14ac:dyDescent="0.25">
      <c r="A610" s="886">
        <v>2844</v>
      </c>
      <c r="B610" s="875" t="s">
        <v>174</v>
      </c>
      <c r="D610" s="905" t="s">
        <v>1288</v>
      </c>
    </row>
    <row r="611" spans="1:4" ht="30" x14ac:dyDescent="0.25">
      <c r="A611" s="886">
        <v>2845</v>
      </c>
      <c r="B611" s="178" t="s">
        <v>1289</v>
      </c>
      <c r="D611" s="905" t="s">
        <v>1290</v>
      </c>
    </row>
    <row r="612" spans="1:4" ht="30" x14ac:dyDescent="0.25">
      <c r="A612" s="886">
        <v>2846</v>
      </c>
      <c r="B612" s="178" t="s">
        <v>1291</v>
      </c>
      <c r="D612" s="905" t="s">
        <v>1292</v>
      </c>
    </row>
    <row r="613" spans="1:4" x14ac:dyDescent="0.25">
      <c r="A613" s="886">
        <v>2847</v>
      </c>
      <c r="B613" s="875" t="s">
        <v>1293</v>
      </c>
      <c r="D613" s="905" t="s">
        <v>1294</v>
      </c>
    </row>
    <row r="614" spans="1:4" ht="20" x14ac:dyDescent="0.25">
      <c r="A614" s="886">
        <v>2848</v>
      </c>
      <c r="B614" s="178" t="s">
        <v>1295</v>
      </c>
      <c r="D614" s="905" t="s">
        <v>1296</v>
      </c>
    </row>
    <row r="615" spans="1:4" x14ac:dyDescent="0.25">
      <c r="A615" s="886">
        <v>2849</v>
      </c>
      <c r="B615" s="875" t="s">
        <v>1297</v>
      </c>
      <c r="D615" s="905" t="s">
        <v>1298</v>
      </c>
    </row>
    <row r="616" spans="1:4" ht="20" x14ac:dyDescent="0.25">
      <c r="A616" s="886">
        <v>2850</v>
      </c>
      <c r="B616" s="178" t="s">
        <v>1299</v>
      </c>
      <c r="D616" s="905" t="s">
        <v>1300</v>
      </c>
    </row>
    <row r="617" spans="1:4" ht="20" x14ac:dyDescent="0.25">
      <c r="A617" s="886">
        <v>2851</v>
      </c>
      <c r="B617" s="178" t="s">
        <v>1301</v>
      </c>
      <c r="D617" s="905" t="s">
        <v>1302</v>
      </c>
    </row>
    <row r="618" spans="1:4" x14ac:dyDescent="0.25">
      <c r="A618" s="886">
        <v>2852</v>
      </c>
      <c r="B618" s="875" t="s">
        <v>175</v>
      </c>
      <c r="D618" s="905" t="s">
        <v>1303</v>
      </c>
    </row>
    <row r="619" spans="1:4" ht="20" x14ac:dyDescent="0.25">
      <c r="A619" s="886">
        <v>2853</v>
      </c>
      <c r="B619" s="178" t="s">
        <v>1304</v>
      </c>
      <c r="D619" s="905" t="s">
        <v>1305</v>
      </c>
    </row>
    <row r="620" spans="1:4" ht="21" x14ac:dyDescent="0.25">
      <c r="A620" s="886">
        <v>2854</v>
      </c>
      <c r="B620" s="306" t="s">
        <v>1306</v>
      </c>
      <c r="D620" s="905" t="s">
        <v>1307</v>
      </c>
    </row>
    <row r="621" spans="1:4" ht="13" x14ac:dyDescent="0.25">
      <c r="A621" s="886">
        <v>2855</v>
      </c>
      <c r="B621" s="182" t="s">
        <v>176</v>
      </c>
      <c r="D621" s="905" t="s">
        <v>1308</v>
      </c>
    </row>
    <row r="622" spans="1:4" ht="13.5" thickBot="1" x14ac:dyDescent="0.3">
      <c r="A622" s="886">
        <v>2856</v>
      </c>
      <c r="B622" s="914" t="s">
        <v>1309</v>
      </c>
      <c r="D622" s="905" t="s">
        <v>1310</v>
      </c>
    </row>
    <row r="623" spans="1:4" ht="13" x14ac:dyDescent="0.25">
      <c r="A623" s="886">
        <v>2857</v>
      </c>
      <c r="B623" s="888" t="s">
        <v>1311</v>
      </c>
      <c r="D623" s="905" t="s">
        <v>1312</v>
      </c>
    </row>
    <row r="624" spans="1:4" ht="36" x14ac:dyDescent="0.25">
      <c r="A624" s="886">
        <v>2858</v>
      </c>
      <c r="B624" s="154" t="s">
        <v>1313</v>
      </c>
      <c r="D624" s="905" t="s">
        <v>1314</v>
      </c>
    </row>
    <row r="625" spans="1:4" ht="30" x14ac:dyDescent="0.25">
      <c r="A625" s="886">
        <v>2859</v>
      </c>
      <c r="B625" s="178" t="s">
        <v>1315</v>
      </c>
      <c r="D625" s="905" t="s">
        <v>1316</v>
      </c>
    </row>
    <row r="626" spans="1:4" ht="30" x14ac:dyDescent="0.25">
      <c r="A626" s="886">
        <v>2860</v>
      </c>
      <c r="B626" s="178" t="s">
        <v>1317</v>
      </c>
      <c r="D626" s="905" t="s">
        <v>1318</v>
      </c>
    </row>
    <row r="627" spans="1:4" ht="20" x14ac:dyDescent="0.25">
      <c r="A627" s="886">
        <v>2861</v>
      </c>
      <c r="B627" s="178" t="s">
        <v>1319</v>
      </c>
      <c r="D627" s="905" t="s">
        <v>1320</v>
      </c>
    </row>
    <row r="628" spans="1:4" ht="40" x14ac:dyDescent="0.25">
      <c r="A628" s="886">
        <v>2862</v>
      </c>
      <c r="B628" s="221" t="s">
        <v>1321</v>
      </c>
      <c r="D628" s="905" t="s">
        <v>1322</v>
      </c>
    </row>
    <row r="629" spans="1:4" ht="60" x14ac:dyDescent="0.25">
      <c r="A629" s="886">
        <v>2863</v>
      </c>
      <c r="B629" s="178" t="s">
        <v>1323</v>
      </c>
      <c r="D629" s="905" t="s">
        <v>1324</v>
      </c>
    </row>
    <row r="630" spans="1:4" ht="30" x14ac:dyDescent="0.25">
      <c r="A630" s="886">
        <v>2864</v>
      </c>
      <c r="B630" s="178" t="s">
        <v>1325</v>
      </c>
      <c r="D630" s="905" t="s">
        <v>1326</v>
      </c>
    </row>
    <row r="631" spans="1:4" ht="13" x14ac:dyDescent="0.25">
      <c r="A631" s="886">
        <v>2865</v>
      </c>
      <c r="B631" s="944" t="s">
        <v>1327</v>
      </c>
      <c r="D631" s="905" t="s">
        <v>1328</v>
      </c>
    </row>
    <row r="632" spans="1:4" ht="13" x14ac:dyDescent="0.25">
      <c r="A632" s="886">
        <v>2866</v>
      </c>
      <c r="B632" s="945" t="s">
        <v>194</v>
      </c>
      <c r="D632" s="905" t="s">
        <v>1329</v>
      </c>
    </row>
    <row r="633" spans="1:4" ht="13" x14ac:dyDescent="0.25">
      <c r="A633" s="886">
        <v>2867</v>
      </c>
      <c r="B633" s="945" t="s">
        <v>1330</v>
      </c>
      <c r="D633" s="905" t="s">
        <v>1331</v>
      </c>
    </row>
    <row r="634" spans="1:4" ht="13" x14ac:dyDescent="0.25">
      <c r="A634" s="886">
        <v>2868</v>
      </c>
      <c r="B634" s="946" t="s">
        <v>1332</v>
      </c>
      <c r="D634" s="905" t="s">
        <v>1333</v>
      </c>
    </row>
    <row r="635" spans="1:4" ht="14" x14ac:dyDescent="0.25">
      <c r="A635" s="886">
        <v>2869</v>
      </c>
      <c r="B635" s="947" t="s">
        <v>196</v>
      </c>
      <c r="D635" s="905" t="s">
        <v>1334</v>
      </c>
    </row>
    <row r="636" spans="1:4" ht="20" x14ac:dyDescent="0.25">
      <c r="A636" s="886">
        <v>2870</v>
      </c>
      <c r="B636" s="574" t="s">
        <v>1335</v>
      </c>
      <c r="D636" s="905" t="s">
        <v>1336</v>
      </c>
    </row>
    <row r="637" spans="1:4" ht="13.5" x14ac:dyDescent="0.25">
      <c r="A637" s="886">
        <v>2871</v>
      </c>
      <c r="B637" s="948" t="s">
        <v>1337</v>
      </c>
      <c r="D637" s="905" t="s">
        <v>1338</v>
      </c>
    </row>
    <row r="638" spans="1:4" x14ac:dyDescent="0.25">
      <c r="A638" s="886">
        <v>2872</v>
      </c>
      <c r="B638" s="949" t="s">
        <v>1339</v>
      </c>
      <c r="D638" s="905" t="s">
        <v>1340</v>
      </c>
    </row>
    <row r="639" spans="1:4" x14ac:dyDescent="0.25">
      <c r="A639" s="886">
        <v>2873</v>
      </c>
      <c r="B639" s="950" t="s">
        <v>1341</v>
      </c>
      <c r="D639" s="905" t="s">
        <v>1342</v>
      </c>
    </row>
    <row r="640" spans="1:4" x14ac:dyDescent="0.25">
      <c r="A640" s="886">
        <v>2874</v>
      </c>
      <c r="B640" s="589" t="s">
        <v>1343</v>
      </c>
      <c r="D640" s="905" t="s">
        <v>1344</v>
      </c>
    </row>
    <row r="641" spans="1:4" x14ac:dyDescent="0.25">
      <c r="A641" s="886">
        <v>2875</v>
      </c>
      <c r="B641" s="949" t="s">
        <v>1345</v>
      </c>
      <c r="D641" s="905" t="s">
        <v>1346</v>
      </c>
    </row>
    <row r="642" spans="1:4" ht="13" x14ac:dyDescent="0.3">
      <c r="A642" s="886">
        <v>2876</v>
      </c>
      <c r="B642" s="951" t="s">
        <v>1347</v>
      </c>
      <c r="D642" s="905" t="s">
        <v>1348</v>
      </c>
    </row>
    <row r="643" spans="1:4" ht="115" x14ac:dyDescent="0.25">
      <c r="A643" s="886">
        <v>2877</v>
      </c>
      <c r="B643" s="948" t="s">
        <v>1349</v>
      </c>
      <c r="D643" s="905" t="s">
        <v>1350</v>
      </c>
    </row>
    <row r="644" spans="1:4" x14ac:dyDescent="0.25">
      <c r="A644" s="886">
        <v>2878</v>
      </c>
      <c r="B644" s="952" t="s">
        <v>1351</v>
      </c>
      <c r="D644" s="905" t="s">
        <v>1352</v>
      </c>
    </row>
    <row r="645" spans="1:4" ht="13" x14ac:dyDescent="0.25">
      <c r="A645" s="886">
        <v>2879</v>
      </c>
      <c r="B645" s="953" t="s">
        <v>1353</v>
      </c>
      <c r="D645" s="905" t="s">
        <v>1354</v>
      </c>
    </row>
    <row r="646" spans="1:4" x14ac:dyDescent="0.25">
      <c r="A646" s="886">
        <v>2880</v>
      </c>
      <c r="B646" s="954" t="s">
        <v>1355</v>
      </c>
      <c r="D646" s="905" t="s">
        <v>1356</v>
      </c>
    </row>
    <row r="647" spans="1:4" x14ac:dyDescent="0.25">
      <c r="A647" s="886">
        <v>2881</v>
      </c>
      <c r="B647" s="954" t="s">
        <v>1357</v>
      </c>
      <c r="D647" s="905" t="s">
        <v>1358</v>
      </c>
    </row>
    <row r="648" spans="1:4" x14ac:dyDescent="0.25">
      <c r="A648" s="886">
        <v>2882</v>
      </c>
      <c r="B648" s="954" t="s">
        <v>1359</v>
      </c>
      <c r="D648" s="905" t="s">
        <v>1360</v>
      </c>
    </row>
    <row r="649" spans="1:4" x14ac:dyDescent="0.25">
      <c r="A649" s="886">
        <v>2883</v>
      </c>
      <c r="B649" s="954" t="s">
        <v>1361</v>
      </c>
      <c r="D649" s="905" t="s">
        <v>1362</v>
      </c>
    </row>
    <row r="650" spans="1:4" ht="15.5" x14ac:dyDescent="0.25">
      <c r="A650" s="886">
        <v>2884</v>
      </c>
      <c r="B650" s="216" t="s">
        <v>1363</v>
      </c>
      <c r="D650" s="905" t="s">
        <v>1364</v>
      </c>
    </row>
    <row r="651" spans="1:4" ht="13" x14ac:dyDescent="0.25">
      <c r="A651" s="886">
        <v>2885</v>
      </c>
      <c r="B651" s="630" t="s">
        <v>1365</v>
      </c>
      <c r="D651" s="905" t="s">
        <v>1366</v>
      </c>
    </row>
    <row r="652" spans="1:4" ht="13" x14ac:dyDescent="0.25">
      <c r="A652" s="886">
        <v>2886</v>
      </c>
      <c r="B652" s="631" t="s">
        <v>195</v>
      </c>
      <c r="D652" s="905" t="s">
        <v>1367</v>
      </c>
    </row>
    <row r="653" spans="1:4" ht="13" x14ac:dyDescent="0.25">
      <c r="A653" s="886">
        <v>2887</v>
      </c>
      <c r="B653" s="631" t="s">
        <v>1368</v>
      </c>
      <c r="D653" s="905" t="s">
        <v>1369</v>
      </c>
    </row>
    <row r="654" spans="1:4" ht="40" x14ac:dyDescent="0.25">
      <c r="A654" s="886">
        <v>2888</v>
      </c>
      <c r="B654" s="955" t="s">
        <v>1370</v>
      </c>
      <c r="D654" s="905" t="s">
        <v>1371</v>
      </c>
    </row>
    <row r="655" spans="1:4" x14ac:dyDescent="0.25">
      <c r="A655" s="886">
        <v>2889</v>
      </c>
      <c r="B655" s="29" t="s">
        <v>1339</v>
      </c>
    </row>
    <row r="656" spans="1:4" x14ac:dyDescent="0.25">
      <c r="A656" s="886">
        <v>2890</v>
      </c>
      <c r="B656" s="29" t="s">
        <v>1345</v>
      </c>
    </row>
    <row r="657" spans="1:4" x14ac:dyDescent="0.25">
      <c r="A657" s="886">
        <v>2891</v>
      </c>
      <c r="B657" s="29" t="s">
        <v>1372</v>
      </c>
    </row>
    <row r="658" spans="1:4" x14ac:dyDescent="0.25">
      <c r="A658" s="886">
        <v>2892</v>
      </c>
      <c r="B658" s="29" t="s">
        <v>1373</v>
      </c>
    </row>
    <row r="659" spans="1:4" x14ac:dyDescent="0.25">
      <c r="A659" s="886">
        <v>2893</v>
      </c>
      <c r="B659" s="29" t="s">
        <v>1374</v>
      </c>
    </row>
    <row r="660" spans="1:4" ht="13" thickBot="1" x14ac:dyDescent="0.3">
      <c r="A660" s="886">
        <v>2894</v>
      </c>
      <c r="B660" s="29" t="s">
        <v>1375</v>
      </c>
    </row>
    <row r="661" spans="1:4" ht="13" x14ac:dyDescent="0.25">
      <c r="A661" s="886">
        <v>2895</v>
      </c>
      <c r="B661" s="722" t="s">
        <v>1376</v>
      </c>
    </row>
    <row r="662" spans="1:4" ht="14.5" x14ac:dyDescent="0.25">
      <c r="A662" s="886">
        <v>2896</v>
      </c>
      <c r="B662" s="727" t="s">
        <v>1377</v>
      </c>
    </row>
    <row r="663" spans="1:4" ht="14.5" x14ac:dyDescent="0.25">
      <c r="A663" s="886">
        <v>2897</v>
      </c>
      <c r="B663" s="727" t="s">
        <v>1378</v>
      </c>
    </row>
    <row r="664" spans="1:4" ht="14.5" x14ac:dyDescent="0.25">
      <c r="A664" s="886">
        <v>2898</v>
      </c>
      <c r="B664" s="727" t="s">
        <v>1379</v>
      </c>
    </row>
    <row r="665" spans="1:4" ht="13" x14ac:dyDescent="0.3">
      <c r="A665" s="886">
        <v>2899</v>
      </c>
      <c r="B665" s="942" t="s">
        <v>1380</v>
      </c>
      <c r="D665" s="905" t="s">
        <v>1381</v>
      </c>
    </row>
    <row r="666" spans="1:4" ht="13" x14ac:dyDescent="0.3">
      <c r="A666" s="886">
        <v>2900</v>
      </c>
      <c r="B666" s="706" t="s">
        <v>1382</v>
      </c>
    </row>
    <row r="667" spans="1:4" ht="13" x14ac:dyDescent="0.3">
      <c r="A667" s="886">
        <v>2901</v>
      </c>
      <c r="B667" s="707" t="s">
        <v>1383</v>
      </c>
    </row>
    <row r="668" spans="1:4" ht="13" x14ac:dyDescent="0.3">
      <c r="A668" s="886">
        <v>2902</v>
      </c>
      <c r="B668" s="708" t="s">
        <v>1384</v>
      </c>
    </row>
    <row r="669" spans="1:4" ht="13" x14ac:dyDescent="0.3">
      <c r="A669" s="886">
        <v>2903</v>
      </c>
      <c r="B669" s="747" t="s">
        <v>1385</v>
      </c>
    </row>
    <row r="670" spans="1:4" ht="13" x14ac:dyDescent="0.3">
      <c r="A670" s="886">
        <v>2904</v>
      </c>
      <c r="B670" s="747" t="s">
        <v>1386</v>
      </c>
    </row>
    <row r="671" spans="1:4" ht="13" x14ac:dyDescent="0.3">
      <c r="A671" s="886">
        <v>2905</v>
      </c>
      <c r="B671" s="747" t="s">
        <v>1387</v>
      </c>
    </row>
    <row r="672" spans="1:4" ht="13" x14ac:dyDescent="0.3">
      <c r="A672" s="886">
        <v>2906</v>
      </c>
      <c r="B672" s="747" t="s">
        <v>1388</v>
      </c>
    </row>
    <row r="673" spans="1:2" x14ac:dyDescent="0.25">
      <c r="A673" s="886">
        <v>2907</v>
      </c>
      <c r="B673" s="985" t="s">
        <v>1389</v>
      </c>
    </row>
    <row r="674" spans="1:2" x14ac:dyDescent="0.25">
      <c r="A674" s="886">
        <v>2908</v>
      </c>
      <c r="B674" s="985" t="s">
        <v>1390</v>
      </c>
    </row>
    <row r="675" spans="1:2" x14ac:dyDescent="0.25">
      <c r="A675" s="886">
        <v>2909</v>
      </c>
      <c r="B675" s="986" t="s">
        <v>1391</v>
      </c>
    </row>
    <row r="676" spans="1:2" x14ac:dyDescent="0.25">
      <c r="A676" s="886">
        <v>2910</v>
      </c>
      <c r="B676" s="987" t="s">
        <v>1392</v>
      </c>
    </row>
  </sheetData>
  <sheetProtection sheet="1" objects="1" scenarios="1" formatCells="0" formatColumns="0" formatRows="0"/>
  <autoFilter ref="A1:K609" xr:uid="{00000000-0009-0000-0000-00000E000000}"/>
  <phoneticPr fontId="49" type="noConversion"/>
  <conditionalFormatting sqref="B133:B141">
    <cfRule type="expression" dxfId="13" priority="52" stopIfTrue="1">
      <formula>NOT(ISERROR(SEARCH("!",B133)))</formula>
    </cfRule>
  </conditionalFormatting>
  <conditionalFormatting sqref="B142">
    <cfRule type="expression" dxfId="12" priority="53" stopIfTrue="1">
      <formula>$V142</formula>
    </cfRule>
  </conditionalFormatting>
  <conditionalFormatting sqref="B165">
    <cfRule type="expression" dxfId="11" priority="30" stopIfTrue="1">
      <formula>$W165</formula>
    </cfRule>
  </conditionalFormatting>
  <conditionalFormatting sqref="B166">
    <cfRule type="containsText" dxfId="10" priority="24" stopIfTrue="1" operator="containsText" text="!">
      <formula>NOT(ISERROR(SEARCH("!",B166)))</formula>
    </cfRule>
    <cfRule type="expression" dxfId="9" priority="25" stopIfTrue="1">
      <formula>$W166</formula>
    </cfRule>
  </conditionalFormatting>
  <conditionalFormatting sqref="B263">
    <cfRule type="expression" dxfId="8" priority="1194" stopIfTrue="1">
      <formula>#REF!&lt;&gt;$B263</formula>
    </cfRule>
  </conditionalFormatting>
  <conditionalFormatting sqref="B264:B266">
    <cfRule type="expression" dxfId="7" priority="17" stopIfTrue="1">
      <formula>$B263&lt;&gt;$B264</formula>
    </cfRule>
  </conditionalFormatting>
  <conditionalFormatting sqref="B265:B266">
    <cfRule type="expression" dxfId="6" priority="14" stopIfTrue="1">
      <formula>$Z265</formula>
    </cfRule>
    <cfRule type="expression" dxfId="5" priority="15" stopIfTrue="1">
      <formula>AF265=2</formula>
    </cfRule>
    <cfRule type="expression" dxfId="4" priority="16" stopIfTrue="1">
      <formula>AF265=1</formula>
    </cfRule>
  </conditionalFormatting>
  <conditionalFormatting sqref="B266">
    <cfRule type="expression" dxfId="3" priority="13" stopIfTrue="1">
      <formula>AE266=2</formula>
    </cfRule>
  </conditionalFormatting>
  <conditionalFormatting sqref="B267">
    <cfRule type="expression" dxfId="2" priority="12" stopIfTrue="1">
      <formula>$B266&lt;&gt;$B267</formula>
    </cfRule>
  </conditionalFormatting>
  <conditionalFormatting sqref="B442">
    <cfRule type="expression" dxfId="1" priority="11" stopIfTrue="1">
      <formula>#REF!=TRUE</formula>
    </cfRule>
  </conditionalFormatting>
  <conditionalFormatting sqref="B610:B619">
    <cfRule type="expression" dxfId="0" priority="1">
      <formula>$E610&lt;&gt;""</formula>
    </cfRule>
  </conditionalFormatting>
  <dataValidations count="6">
    <dataValidation type="list" allowBlank="1" showInputMessage="1" showErrorMessage="1" sqref="B49:B51" xr:uid="{00000000-0002-0000-0E00-000000000000}">
      <formula1>Euconst_MPReferenceDateTypes</formula1>
    </dataValidation>
    <dataValidation type="list" allowBlank="1" showInputMessage="1" showErrorMessage="1" sqref="B210:B211" xr:uid="{00000000-0002-0000-0E00-000001000000}">
      <formula1>CNTR_SourceStreamListSx</formula1>
    </dataValidation>
    <dataValidation type="list" allowBlank="1" showInputMessage="1" showErrorMessage="1" sqref="B215" xr:uid="{00000000-0002-0000-0E00-000002000000}">
      <formula1>EUconst_ActivityDeterminationMethod</formula1>
    </dataValidation>
    <dataValidation type="list" allowBlank="1" showInputMessage="1" showErrorMessage="1" sqref="B216" xr:uid="{00000000-0002-0000-0E00-000003000000}">
      <formula1>EUconst_OwnerInstrument</formula1>
    </dataValidation>
    <dataValidation type="list" allowBlank="1" showInputMessage="1" showErrorMessage="1" sqref="B638 B641" xr:uid="{38A405CA-556F-4436-B324-DFAA89FC3094}">
      <formula1>MSPara_ListBlendingComponents</formula1>
    </dataValidation>
    <dataValidation type="list" allowBlank="1" showInputMessage="1" showErrorMessage="1" sqref="B640" xr:uid="{B525279D-625E-4621-9B74-CDA987A98339}">
      <formula1>INDIRECT($M$757)</formula1>
    </dataValidation>
  </dataValidations>
  <hyperlinks>
    <hyperlink ref="B171" r:id="rId1" display="https://eur-lex.europa.eu/eli/reg_impl/2018/2066/oj" xr:uid="{00000000-0004-0000-0E00-000000000000}"/>
    <hyperlink ref="B173" r:id="rId2" xr:uid="{00000000-0004-0000-0E00-000001000000}"/>
    <hyperlink ref="B175" r:id="rId3" xr:uid="{00000000-0004-0000-0E00-000002000000}"/>
  </hyperlinks>
  <pageMargins left="0.7" right="0.7" top="0.78740157499999996" bottom="0.78740157499999996" header="0.3" footer="0.3"/>
  <pageSetup paperSize="132" orientation="portrait" r:id="rId4"/>
  <headerFooter>
    <oddHeader>&amp;L&amp;F, &amp;A&amp;R&amp;D, &amp;T</oddHeader>
    <oddFooter>&amp;C&amp;P /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8">
    <tabColor indexed="17"/>
    <pageSetUpPr fitToPage="1"/>
  </sheetPr>
  <dimension ref="A1:E91"/>
  <sheetViews>
    <sheetView workbookViewId="0">
      <selection activeCell="B4" sqref="B4"/>
    </sheetView>
  </sheetViews>
  <sheetFormatPr defaultColWidth="9.1796875" defaultRowHeight="12.5" x14ac:dyDescent="0.25"/>
  <cols>
    <col min="1" max="1" width="17.1796875" customWidth="1"/>
    <col min="2" max="2" width="34.7265625" customWidth="1"/>
    <col min="3" max="3" width="15.1796875" customWidth="1"/>
  </cols>
  <sheetData>
    <row r="1" spans="1:5" ht="13.5" thickBot="1" x14ac:dyDescent="0.35">
      <c r="A1" s="811" t="s">
        <v>1393</v>
      </c>
    </row>
    <row r="2" spans="1:5" ht="13" thickBot="1" x14ac:dyDescent="0.3">
      <c r="A2" s="956" t="s">
        <v>1394</v>
      </c>
      <c r="B2" s="957" t="s">
        <v>1395</v>
      </c>
    </row>
    <row r="3" spans="1:5" ht="13" thickBot="1" x14ac:dyDescent="0.3">
      <c r="A3" s="958" t="s">
        <v>1396</v>
      </c>
      <c r="B3" s="959">
        <v>45979</v>
      </c>
      <c r="C3" s="960" t="str">
        <f>IF(ISNUMBER(MATCH(B3,A18:A29,0)),VLOOKUP(B3,A18:B29,2,FALSE),"---")</f>
        <v>AER ETS2_COM_en_181125.xls</v>
      </c>
      <c r="D3" s="961"/>
      <c r="E3" s="962"/>
    </row>
    <row r="4" spans="1:5" x14ac:dyDescent="0.25">
      <c r="A4" s="963" t="s">
        <v>1397</v>
      </c>
      <c r="B4" s="964" t="s">
        <v>1398</v>
      </c>
    </row>
    <row r="5" spans="1:5" ht="13" thickBot="1" x14ac:dyDescent="0.3">
      <c r="A5" s="965" t="s">
        <v>1399</v>
      </c>
      <c r="B5" s="966" t="s">
        <v>1400</v>
      </c>
    </row>
    <row r="7" spans="1:5" ht="13" x14ac:dyDescent="0.3">
      <c r="A7" s="811" t="s">
        <v>1401</v>
      </c>
    </row>
    <row r="8" spans="1:5" x14ac:dyDescent="0.25">
      <c r="A8" s="967" t="s">
        <v>1402</v>
      </c>
      <c r="B8" s="968"/>
      <c r="C8" s="967" t="s">
        <v>1403</v>
      </c>
    </row>
    <row r="9" spans="1:5" x14ac:dyDescent="0.25">
      <c r="A9" s="967" t="s">
        <v>1395</v>
      </c>
      <c r="B9" s="968"/>
      <c r="C9" s="967" t="s">
        <v>1404</v>
      </c>
    </row>
    <row r="10" spans="1:5" x14ac:dyDescent="0.25">
      <c r="A10" s="968"/>
      <c r="B10" s="968"/>
      <c r="C10" s="968"/>
    </row>
    <row r="11" spans="1:5" x14ac:dyDescent="0.25">
      <c r="A11" s="967"/>
      <c r="B11" s="968"/>
      <c r="C11" s="967"/>
    </row>
    <row r="12" spans="1:5" x14ac:dyDescent="0.25">
      <c r="A12" s="968"/>
      <c r="B12" s="968"/>
      <c r="C12" s="968"/>
    </row>
    <row r="13" spans="1:5" x14ac:dyDescent="0.25">
      <c r="A13" s="968"/>
      <c r="B13" s="968"/>
      <c r="C13" s="968"/>
    </row>
    <row r="14" spans="1:5" x14ac:dyDescent="0.25">
      <c r="A14" s="968"/>
      <c r="B14" s="968"/>
      <c r="C14" s="968"/>
    </row>
    <row r="15" spans="1:5" x14ac:dyDescent="0.25">
      <c r="A15" s="968"/>
      <c r="B15" s="968"/>
      <c r="C15" s="968"/>
    </row>
    <row r="17" spans="1:4" ht="13" x14ac:dyDescent="0.3">
      <c r="A17" s="969" t="s">
        <v>1405</v>
      </c>
      <c r="B17" s="970" t="s">
        <v>1406</v>
      </c>
      <c r="C17" s="970" t="s">
        <v>1407</v>
      </c>
      <c r="D17" s="971"/>
    </row>
    <row r="18" spans="1:4" x14ac:dyDescent="0.25">
      <c r="A18" s="972">
        <v>45467</v>
      </c>
      <c r="B18" s="973" t="str">
        <f t="shared" ref="B18:B29" si="0">IF(ISBLANK($A18),"---", VLOOKUP($B$2,$A$8:$C$15,3,0) &amp; "_" &amp; VLOOKUP($B$4,$A$32:$B$64,2,0)&amp;"_"&amp;VLOOKUP($B$5,$A$67:$B$91,2,0)&amp;"_"&amp; TEXT(DAY($A18),"0#")&amp; TEXT(MONTH($A18),"0#")&amp; TEXT(YEAR($A18)-2000,"0#")&amp;".xls")</f>
        <v>AER ETS2_COM_en_240624.xls</v>
      </c>
      <c r="C18" s="974" t="s">
        <v>1408</v>
      </c>
      <c r="D18" s="975"/>
    </row>
    <row r="19" spans="1:4" x14ac:dyDescent="0.25">
      <c r="A19" s="976">
        <v>45638</v>
      </c>
      <c r="B19" s="977" t="str">
        <f t="shared" si="0"/>
        <v>AER ETS2_COM_en_121224.xls</v>
      </c>
      <c r="C19" s="978" t="s">
        <v>1409</v>
      </c>
      <c r="D19" s="979"/>
    </row>
    <row r="20" spans="1:4" x14ac:dyDescent="0.25">
      <c r="A20" s="976">
        <v>45979</v>
      </c>
      <c r="B20" s="977" t="str">
        <f t="shared" si="0"/>
        <v>AER ETS2_COM_en_181125.xls</v>
      </c>
      <c r="C20" s="978" t="s">
        <v>1410</v>
      </c>
      <c r="D20" s="979"/>
    </row>
    <row r="21" spans="1:4" x14ac:dyDescent="0.25">
      <c r="A21" s="976"/>
      <c r="B21" s="977" t="str">
        <f>IF(ISBLANK($A21),"---", VLOOKUP($B$2,$A$8:$C$15,3,0) &amp; "_" &amp; VLOOKUP($B$4,$A$32:$B$64,2,0)&amp;"_"&amp;VLOOKUP($B$5,$A$67:$B$91,2,0)&amp;"_"&amp; TEXT(DAY($A21),"0#")&amp; TEXT(MONTH($A21),"0#")&amp; TEXT(YEAR($A21)-2000,"0#")&amp;".xls")</f>
        <v>---</v>
      </c>
      <c r="C21" s="978"/>
      <c r="D21" s="979"/>
    </row>
    <row r="22" spans="1:4" x14ac:dyDescent="0.25">
      <c r="A22" s="976"/>
      <c r="B22" s="977" t="str">
        <f t="shared" si="0"/>
        <v>---</v>
      </c>
      <c r="C22" s="978"/>
      <c r="D22" s="979"/>
    </row>
    <row r="23" spans="1:4" x14ac:dyDescent="0.25">
      <c r="A23" s="976"/>
      <c r="B23" s="977" t="str">
        <f t="shared" si="0"/>
        <v>---</v>
      </c>
      <c r="C23" s="977"/>
      <c r="D23" s="979"/>
    </row>
    <row r="24" spans="1:4" x14ac:dyDescent="0.25">
      <c r="A24" s="976"/>
      <c r="B24" s="977" t="str">
        <f t="shared" si="0"/>
        <v>---</v>
      </c>
      <c r="C24" s="977"/>
      <c r="D24" s="979"/>
    </row>
    <row r="25" spans="1:4" x14ac:dyDescent="0.25">
      <c r="A25" s="976"/>
      <c r="B25" s="977" t="str">
        <f t="shared" si="0"/>
        <v>---</v>
      </c>
      <c r="C25" s="978"/>
      <c r="D25" s="979"/>
    </row>
    <row r="26" spans="1:4" x14ac:dyDescent="0.25">
      <c r="A26" s="976"/>
      <c r="B26" s="977" t="str">
        <f t="shared" si="0"/>
        <v>---</v>
      </c>
      <c r="C26" s="977"/>
      <c r="D26" s="979"/>
    </row>
    <row r="27" spans="1:4" x14ac:dyDescent="0.25">
      <c r="A27" s="976"/>
      <c r="B27" s="977" t="str">
        <f t="shared" si="0"/>
        <v>---</v>
      </c>
      <c r="C27" s="978"/>
      <c r="D27" s="979"/>
    </row>
    <row r="28" spans="1:4" x14ac:dyDescent="0.25">
      <c r="A28" s="976"/>
      <c r="B28" s="977" t="str">
        <f t="shared" si="0"/>
        <v>---</v>
      </c>
      <c r="C28" s="977"/>
      <c r="D28" s="979"/>
    </row>
    <row r="29" spans="1:4" x14ac:dyDescent="0.25">
      <c r="A29" s="980"/>
      <c r="B29" s="981" t="str">
        <f t="shared" si="0"/>
        <v>---</v>
      </c>
      <c r="C29" s="981"/>
      <c r="D29" s="982"/>
    </row>
    <row r="31" spans="1:4" ht="13" x14ac:dyDescent="0.3">
      <c r="A31" s="811" t="s">
        <v>1397</v>
      </c>
    </row>
    <row r="32" spans="1:4" x14ac:dyDescent="0.25">
      <c r="A32" s="983" t="s">
        <v>1398</v>
      </c>
      <c r="B32" s="983" t="s">
        <v>1411</v>
      </c>
    </row>
    <row r="33" spans="1:2" x14ac:dyDescent="0.25">
      <c r="A33" s="983" t="s">
        <v>1412</v>
      </c>
      <c r="B33" s="983" t="s">
        <v>1413</v>
      </c>
    </row>
    <row r="34" spans="1:2" x14ac:dyDescent="0.25">
      <c r="A34" s="983" t="s">
        <v>473</v>
      </c>
      <c r="B34" s="983" t="s">
        <v>274</v>
      </c>
    </row>
    <row r="35" spans="1:2" x14ac:dyDescent="0.25">
      <c r="A35" s="983" t="s">
        <v>177</v>
      </c>
      <c r="B35" s="983" t="s">
        <v>275</v>
      </c>
    </row>
    <row r="36" spans="1:2" x14ac:dyDescent="0.25">
      <c r="A36" s="983" t="s">
        <v>474</v>
      </c>
      <c r="B36" s="983" t="s">
        <v>276</v>
      </c>
    </row>
    <row r="37" spans="1:2" x14ac:dyDescent="0.25">
      <c r="A37" s="983" t="s">
        <v>475</v>
      </c>
      <c r="B37" s="983" t="s">
        <v>277</v>
      </c>
    </row>
    <row r="38" spans="1:2" x14ac:dyDescent="0.25">
      <c r="A38" s="983" t="s">
        <v>476</v>
      </c>
      <c r="B38" s="983" t="s">
        <v>278</v>
      </c>
    </row>
    <row r="39" spans="1:2" x14ac:dyDescent="0.25">
      <c r="A39" s="983" t="s">
        <v>1414</v>
      </c>
      <c r="B39" s="983" t="s">
        <v>279</v>
      </c>
    </row>
    <row r="40" spans="1:2" x14ac:dyDescent="0.25">
      <c r="A40" s="983" t="s">
        <v>477</v>
      </c>
      <c r="B40" s="983" t="s">
        <v>280</v>
      </c>
    </row>
    <row r="41" spans="1:2" x14ac:dyDescent="0.25">
      <c r="A41" s="983" t="s">
        <v>478</v>
      </c>
      <c r="B41" s="983" t="s">
        <v>281</v>
      </c>
    </row>
    <row r="42" spans="1:2" x14ac:dyDescent="0.25">
      <c r="A42" s="983" t="s">
        <v>479</v>
      </c>
      <c r="B42" s="983" t="s">
        <v>282</v>
      </c>
    </row>
    <row r="43" spans="1:2" x14ac:dyDescent="0.25">
      <c r="A43" s="983" t="s">
        <v>480</v>
      </c>
      <c r="B43" s="983" t="s">
        <v>283</v>
      </c>
    </row>
    <row r="44" spans="1:2" x14ac:dyDescent="0.25">
      <c r="A44" s="983" t="s">
        <v>481</v>
      </c>
      <c r="B44" s="983" t="s">
        <v>284</v>
      </c>
    </row>
    <row r="45" spans="1:2" x14ac:dyDescent="0.25">
      <c r="A45" s="983" t="s">
        <v>482</v>
      </c>
      <c r="B45" s="983" t="s">
        <v>285</v>
      </c>
    </row>
    <row r="46" spans="1:2" x14ac:dyDescent="0.25">
      <c r="A46" s="983" t="s">
        <v>483</v>
      </c>
      <c r="B46" s="983" t="s">
        <v>286</v>
      </c>
    </row>
    <row r="47" spans="1:2" x14ac:dyDescent="0.25">
      <c r="A47" s="983" t="s">
        <v>484</v>
      </c>
      <c r="B47" s="983" t="s">
        <v>1415</v>
      </c>
    </row>
    <row r="48" spans="1:2" x14ac:dyDescent="0.25">
      <c r="A48" s="983" t="s">
        <v>485</v>
      </c>
      <c r="B48" s="983" t="s">
        <v>288</v>
      </c>
    </row>
    <row r="49" spans="1:2" x14ac:dyDescent="0.25">
      <c r="A49" s="983" t="s">
        <v>486</v>
      </c>
      <c r="B49" s="983" t="s">
        <v>289</v>
      </c>
    </row>
    <row r="50" spans="1:2" x14ac:dyDescent="0.25">
      <c r="A50" s="983" t="s">
        <v>487</v>
      </c>
      <c r="B50" s="983" t="s">
        <v>290</v>
      </c>
    </row>
    <row r="51" spans="1:2" x14ac:dyDescent="0.25">
      <c r="A51" s="983" t="s">
        <v>488</v>
      </c>
      <c r="B51" s="983" t="s">
        <v>291</v>
      </c>
    </row>
    <row r="52" spans="1:2" x14ac:dyDescent="0.25">
      <c r="A52" s="983" t="s">
        <v>489</v>
      </c>
      <c r="B52" s="983" t="s">
        <v>292</v>
      </c>
    </row>
    <row r="53" spans="1:2" x14ac:dyDescent="0.25">
      <c r="A53" s="983" t="s">
        <v>490</v>
      </c>
      <c r="B53" s="983" t="s">
        <v>293</v>
      </c>
    </row>
    <row r="54" spans="1:2" x14ac:dyDescent="0.25">
      <c r="A54" s="983" t="s">
        <v>491</v>
      </c>
      <c r="B54" s="983" t="s">
        <v>294</v>
      </c>
    </row>
    <row r="55" spans="1:2" x14ac:dyDescent="0.25">
      <c r="A55" s="983" t="s">
        <v>178</v>
      </c>
      <c r="B55" s="983" t="s">
        <v>295</v>
      </c>
    </row>
    <row r="56" spans="1:2" x14ac:dyDescent="0.25">
      <c r="A56" s="983" t="s">
        <v>492</v>
      </c>
      <c r="B56" s="983" t="s">
        <v>296</v>
      </c>
    </row>
    <row r="57" spans="1:2" x14ac:dyDescent="0.25">
      <c r="A57" s="983" t="s">
        <v>493</v>
      </c>
      <c r="B57" s="983" t="s">
        <v>297</v>
      </c>
    </row>
    <row r="58" spans="1:2" x14ac:dyDescent="0.25">
      <c r="A58" s="983" t="s">
        <v>494</v>
      </c>
      <c r="B58" s="983" t="s">
        <v>298</v>
      </c>
    </row>
    <row r="59" spans="1:2" x14ac:dyDescent="0.25">
      <c r="A59" s="983" t="s">
        <v>495</v>
      </c>
      <c r="B59" s="983" t="s">
        <v>299</v>
      </c>
    </row>
    <row r="60" spans="1:2" x14ac:dyDescent="0.25">
      <c r="A60" s="983" t="s">
        <v>496</v>
      </c>
      <c r="B60" s="983" t="s">
        <v>300</v>
      </c>
    </row>
    <row r="61" spans="1:2" x14ac:dyDescent="0.25">
      <c r="A61" s="983" t="s">
        <v>497</v>
      </c>
      <c r="B61" s="983" t="s">
        <v>301</v>
      </c>
    </row>
    <row r="62" spans="1:2" x14ac:dyDescent="0.25">
      <c r="A62" s="983" t="s">
        <v>498</v>
      </c>
      <c r="B62" s="983" t="s">
        <v>302</v>
      </c>
    </row>
    <row r="63" spans="1:2" x14ac:dyDescent="0.25">
      <c r="A63" s="983" t="s">
        <v>499</v>
      </c>
      <c r="B63" s="983" t="s">
        <v>303</v>
      </c>
    </row>
    <row r="64" spans="1:2" x14ac:dyDescent="0.25">
      <c r="A64" s="983" t="s">
        <v>1416</v>
      </c>
      <c r="B64" s="983" t="s">
        <v>1417</v>
      </c>
    </row>
    <row r="66" spans="1:2" ht="13" x14ac:dyDescent="0.3">
      <c r="A66" s="811" t="s">
        <v>1418</v>
      </c>
    </row>
    <row r="67" spans="1:2" x14ac:dyDescent="0.25">
      <c r="A67" s="869" t="s">
        <v>1419</v>
      </c>
      <c r="B67" s="869" t="s">
        <v>1420</v>
      </c>
    </row>
    <row r="68" spans="1:2" x14ac:dyDescent="0.25">
      <c r="A68" s="869" t="s">
        <v>1421</v>
      </c>
      <c r="B68" s="869" t="s">
        <v>1422</v>
      </c>
    </row>
    <row r="69" spans="1:2" x14ac:dyDescent="0.25">
      <c r="A69" s="869" t="s">
        <v>1423</v>
      </c>
      <c r="B69" s="869" t="s">
        <v>1424</v>
      </c>
    </row>
    <row r="70" spans="1:2" x14ac:dyDescent="0.25">
      <c r="A70" s="869" t="s">
        <v>1425</v>
      </c>
      <c r="B70" s="869" t="s">
        <v>1426</v>
      </c>
    </row>
    <row r="71" spans="1:2" x14ac:dyDescent="0.25">
      <c r="A71" s="869" t="s">
        <v>1427</v>
      </c>
      <c r="B71" s="869" t="s">
        <v>1428</v>
      </c>
    </row>
    <row r="72" spans="1:2" x14ac:dyDescent="0.25">
      <c r="A72" s="869" t="s">
        <v>1429</v>
      </c>
      <c r="B72" s="869" t="s">
        <v>1430</v>
      </c>
    </row>
    <row r="73" spans="1:2" x14ac:dyDescent="0.25">
      <c r="A73" s="869" t="s">
        <v>1431</v>
      </c>
      <c r="B73" s="869" t="s">
        <v>1432</v>
      </c>
    </row>
    <row r="74" spans="1:2" x14ac:dyDescent="0.25">
      <c r="A74" s="869" t="s">
        <v>1433</v>
      </c>
      <c r="B74" s="869" t="s">
        <v>1434</v>
      </c>
    </row>
    <row r="75" spans="1:2" x14ac:dyDescent="0.25">
      <c r="A75" s="869" t="s">
        <v>1400</v>
      </c>
      <c r="B75" s="869" t="s">
        <v>1435</v>
      </c>
    </row>
    <row r="76" spans="1:2" x14ac:dyDescent="0.25">
      <c r="A76" s="869" t="s">
        <v>1436</v>
      </c>
      <c r="B76" s="869" t="s">
        <v>1437</v>
      </c>
    </row>
    <row r="77" spans="1:2" x14ac:dyDescent="0.25">
      <c r="A77" s="869" t="s">
        <v>1438</v>
      </c>
      <c r="B77" s="869" t="s">
        <v>1439</v>
      </c>
    </row>
    <row r="78" spans="1:2" x14ac:dyDescent="0.25">
      <c r="A78" s="869" t="s">
        <v>1440</v>
      </c>
      <c r="B78" s="869" t="s">
        <v>1441</v>
      </c>
    </row>
    <row r="79" spans="1:2" x14ac:dyDescent="0.25">
      <c r="A79" s="869" t="s">
        <v>1442</v>
      </c>
      <c r="B79" s="869" t="s">
        <v>1443</v>
      </c>
    </row>
    <row r="80" spans="1:2" x14ac:dyDescent="0.25">
      <c r="A80" s="869" t="s">
        <v>1444</v>
      </c>
      <c r="B80" s="869" t="s">
        <v>1445</v>
      </c>
    </row>
    <row r="81" spans="1:2" x14ac:dyDescent="0.25">
      <c r="A81" s="869" t="s">
        <v>1446</v>
      </c>
      <c r="B81" s="869" t="s">
        <v>1447</v>
      </c>
    </row>
    <row r="82" spans="1:2" x14ac:dyDescent="0.25">
      <c r="A82" s="869" t="s">
        <v>1448</v>
      </c>
      <c r="B82" s="869" t="s">
        <v>1449</v>
      </c>
    </row>
    <row r="83" spans="1:2" x14ac:dyDescent="0.25">
      <c r="A83" s="869" t="s">
        <v>1450</v>
      </c>
      <c r="B83" s="869" t="s">
        <v>1451</v>
      </c>
    </row>
    <row r="84" spans="1:2" x14ac:dyDescent="0.25">
      <c r="A84" s="869" t="s">
        <v>1452</v>
      </c>
      <c r="B84" s="869" t="s">
        <v>1453</v>
      </c>
    </row>
    <row r="85" spans="1:2" x14ac:dyDescent="0.25">
      <c r="A85" s="869" t="s">
        <v>1454</v>
      </c>
      <c r="B85" s="869" t="s">
        <v>1455</v>
      </c>
    </row>
    <row r="86" spans="1:2" x14ac:dyDescent="0.25">
      <c r="A86" s="869" t="s">
        <v>1456</v>
      </c>
      <c r="B86" s="869" t="s">
        <v>1457</v>
      </c>
    </row>
    <row r="87" spans="1:2" x14ac:dyDescent="0.25">
      <c r="A87" s="869" t="s">
        <v>1458</v>
      </c>
      <c r="B87" s="869" t="s">
        <v>1459</v>
      </c>
    </row>
    <row r="88" spans="1:2" x14ac:dyDescent="0.25">
      <c r="A88" s="869" t="s">
        <v>1460</v>
      </c>
      <c r="B88" s="869" t="s">
        <v>1461</v>
      </c>
    </row>
    <row r="89" spans="1:2" x14ac:dyDescent="0.25">
      <c r="A89" s="869" t="s">
        <v>1462</v>
      </c>
      <c r="B89" s="869" t="s">
        <v>1463</v>
      </c>
    </row>
    <row r="90" spans="1:2" x14ac:dyDescent="0.25">
      <c r="A90" s="869" t="s">
        <v>1464</v>
      </c>
      <c r="B90" s="869" t="s">
        <v>1465</v>
      </c>
    </row>
    <row r="91" spans="1:2" x14ac:dyDescent="0.25">
      <c r="A91" s="869" t="s">
        <v>1466</v>
      </c>
      <c r="B91" s="869" t="s">
        <v>1467</v>
      </c>
    </row>
  </sheetData>
  <sheetProtection sheet="1" objects="1" scenarios="1" formatCells="0" formatColumns="0" formatRows="0"/>
  <phoneticPr fontId="45" type="noConversion"/>
  <dataValidations count="4">
    <dataValidation type="list" allowBlank="1" showInputMessage="1" showErrorMessage="1" sqref="B3" xr:uid="{00000000-0002-0000-0F00-000000000000}">
      <formula1>$A$18:$A$29</formula1>
    </dataValidation>
    <dataValidation type="list" allowBlank="1" showInputMessage="1" showErrorMessage="1" sqref="B5" xr:uid="{00000000-0002-0000-0F00-000001000000}">
      <formula1>$A$67:$A$91</formula1>
    </dataValidation>
    <dataValidation type="list" allowBlank="1" showInputMessage="1" showErrorMessage="1" sqref="B4" xr:uid="{00000000-0002-0000-0F00-000002000000}">
      <formula1>$A$32:$A$64</formula1>
    </dataValidation>
    <dataValidation type="list" allowBlank="1" showInputMessage="1" showErrorMessage="1" sqref="B2" xr:uid="{00000000-0002-0000-0F00-000003000000}">
      <formula1>$A$8:$A$15</formula1>
    </dataValidation>
  </dataValidations>
  <pageMargins left="0.78740157480314965" right="0.78740157480314965" top="0.98425196850393704" bottom="0.98425196850393704" header="0.51181102362204722" footer="0.51181102362204722"/>
  <pageSetup paperSize="9" scale="64" orientation="portrait" r:id="rId1"/>
  <headerFooter alignWithMargins="0">
    <oddHeader>&amp;L&amp;F, &amp;A&amp;R&amp;D, &amp;T</oddHeader>
    <oddFooter>&amp;C&amp;P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indexed="9"/>
    <pageSetUpPr fitToPage="1"/>
  </sheetPr>
  <dimension ref="A1:V108"/>
  <sheetViews>
    <sheetView zoomScaleNormal="100" workbookViewId="0">
      <pane ySplit="4" topLeftCell="A5" activePane="bottomLeft" state="frozen"/>
      <selection pane="bottomLeft" activeCell="B2" sqref="B2:D4"/>
    </sheetView>
  </sheetViews>
  <sheetFormatPr defaultColWidth="9.1796875" defaultRowHeight="12.5" x14ac:dyDescent="0.25"/>
  <cols>
    <col min="1" max="1" width="3.7265625" style="111" hidden="1" customWidth="1"/>
    <col min="2" max="2" width="2.7265625" style="116" customWidth="1"/>
    <col min="3" max="4" width="4.7265625" style="116" customWidth="1"/>
    <col min="5" max="14" width="12.7265625" style="116" customWidth="1"/>
    <col min="15" max="15" width="2.7265625" style="117" customWidth="1"/>
    <col min="16" max="16" width="11.453125" style="116" customWidth="1"/>
    <col min="17" max="22" width="11.453125" style="111" hidden="1" customWidth="1"/>
    <col min="23" max="16384" width="9.1796875" style="116"/>
  </cols>
  <sheetData>
    <row r="1" spans="1:22" s="111" customFormat="1" ht="13" hidden="1" thickBot="1" x14ac:dyDescent="0.3">
      <c r="A1" s="110" t="s">
        <v>0</v>
      </c>
      <c r="O1" s="112"/>
      <c r="Q1" s="110" t="s">
        <v>0</v>
      </c>
      <c r="R1" s="110" t="s">
        <v>0</v>
      </c>
      <c r="S1" s="110" t="s">
        <v>0</v>
      </c>
      <c r="T1" s="110" t="s">
        <v>0</v>
      </c>
      <c r="U1" s="110" t="s">
        <v>0</v>
      </c>
      <c r="V1" s="110" t="s">
        <v>0</v>
      </c>
    </row>
    <row r="2" spans="1:22" s="115" customFormat="1" ht="13.5" customHeight="1" thickBot="1" x14ac:dyDescent="0.35">
      <c r="A2" s="113"/>
      <c r="B2" s="1078" t="str">
        <f>Translations!$B$12</f>
        <v>b.
Guide-lines</v>
      </c>
      <c r="C2" s="1079"/>
      <c r="D2" s="1080"/>
      <c r="E2" s="1077" t="str">
        <f>Translations!$B$13</f>
        <v>Navigation area:</v>
      </c>
      <c r="F2" s="1020"/>
      <c r="G2" s="1021" t="str">
        <f>Translations!$B$14</f>
        <v>Table of contents</v>
      </c>
      <c r="H2" s="1022"/>
      <c r="I2" s="1021" t="str">
        <f ca="1">HYPERLINK("#"&amp;INDEX(a_Contents!$R$4:$R$49,MATCH(INDEX(a_Contents!$T$4:$T$49,MATCH($T$2,a_Contents!$S$4:$S$49,0))-1,a_Contents!$T$4:$T$49,0)),EUconst_PreviousSheet)</f>
        <v>Previous sheet</v>
      </c>
      <c r="J2" s="1022"/>
      <c r="K2" s="1021" t="str">
        <f ca="1">HYPERLINK("#"&amp;INDEX(a_Contents!$R$4:$R$49,MATCH(INDEX(a_Contents!$T$4:$T$49,MATCH($T$2,a_Contents!$S$4:$S$49,0))+1,a_Contents!$T$4:$T$49,0)),EUconst_NextSheet)</f>
        <v>Next sheet</v>
      </c>
      <c r="L2" s="1022"/>
      <c r="M2" s="1014" t="str">
        <f ca="1">HYPERLINK("#"&amp;a_Contents!$R$46,INDIRECT(a_Contents!$R$46))</f>
        <v>I Accounting sheet</v>
      </c>
      <c r="N2" s="1015"/>
      <c r="O2" s="114"/>
      <c r="Q2" s="61" t="s">
        <v>1</v>
      </c>
      <c r="R2" s="66" t="str">
        <f>ADDRESS(ROW($B$6),COLUMN($B$6)) &amp; ":" &amp; ADDRESS(MATCH("PRINT",$P:$P,0),COLUMN($P$6))</f>
        <v>$B$6:$P$108</v>
      </c>
      <c r="S2" s="61" t="s">
        <v>2</v>
      </c>
      <c r="T2" s="67" t="str">
        <f ca="1">IF(ISERROR(CELL("filename",U2)),"b_Guidelines and conditions",MID(CELL("filename",U2),FIND("]",CELL("filename",U2))+1,1024))</f>
        <v>b_Guidelines and conditions</v>
      </c>
      <c r="U2" s="113"/>
      <c r="V2" s="113"/>
    </row>
    <row r="3" spans="1:22" s="115" customFormat="1" ht="12.75" customHeight="1" x14ac:dyDescent="0.25">
      <c r="A3" s="113"/>
      <c r="B3" s="1081"/>
      <c r="C3" s="1082"/>
      <c r="D3" s="1083"/>
      <c r="E3" s="1087"/>
      <c r="F3" s="1013"/>
      <c r="G3" s="1013"/>
      <c r="H3" s="1013"/>
      <c r="I3" s="1013"/>
      <c r="J3" s="1013"/>
      <c r="K3" s="1013"/>
      <c r="L3" s="1013"/>
      <c r="M3" s="999" t="str">
        <f>IFERROR(HYPERLINK("#"&amp;ADDRESS(ROW($B$2)+MATCH(V3,$B:$B,0)-1,3),INDEX($R:$R,MATCH(V3,$B:$B,0))),"")</f>
        <v/>
      </c>
      <c r="N3" s="999"/>
      <c r="O3" s="114"/>
      <c r="Q3" s="113"/>
      <c r="R3" s="113"/>
      <c r="S3" s="113"/>
      <c r="T3" s="113"/>
      <c r="U3" s="113"/>
      <c r="V3" s="113"/>
    </row>
    <row r="4" spans="1:22" s="115" customFormat="1" ht="13.5" customHeight="1" thickBot="1" x14ac:dyDescent="0.3">
      <c r="A4" s="113"/>
      <c r="B4" s="1084"/>
      <c r="C4" s="1085"/>
      <c r="D4" s="1086"/>
      <c r="E4" s="1087"/>
      <c r="F4" s="1013"/>
      <c r="G4" s="1013"/>
      <c r="H4" s="1013"/>
      <c r="I4" s="1013"/>
      <c r="J4" s="1013"/>
      <c r="K4" s="1013"/>
      <c r="L4" s="1013"/>
      <c r="M4" s="999" t="str">
        <f>IFERROR(HYPERLINK("#"&amp;ADDRESS(ROW($B$2)+MATCH(V4,$B:$B,0)-1,3),INDEX($R:$R,MATCH(V4,$B:$B,0))),"")</f>
        <v/>
      </c>
      <c r="N4" s="999"/>
      <c r="O4" s="114"/>
      <c r="Q4" s="113"/>
      <c r="R4" s="113"/>
      <c r="S4" s="113"/>
      <c r="T4" s="113"/>
      <c r="U4" s="113"/>
      <c r="V4" s="113"/>
    </row>
    <row r="6" spans="1:22" ht="18" x14ac:dyDescent="0.25">
      <c r="D6" s="1074" t="str">
        <f>Translations!$B$17</f>
        <v>GUIDELINES AND CONDITIONS</v>
      </c>
      <c r="E6" s="1074"/>
      <c r="F6" s="1074"/>
      <c r="G6" s="1074"/>
      <c r="H6" s="1074"/>
      <c r="I6" s="1074"/>
      <c r="J6" s="1074"/>
      <c r="K6" s="1074"/>
      <c r="L6" s="1074"/>
    </row>
    <row r="7" spans="1:22" x14ac:dyDescent="0.25">
      <c r="D7" s="1049"/>
      <c r="E7" s="1049"/>
      <c r="F7" s="1049"/>
      <c r="G7" s="1049"/>
      <c r="H7" s="1049"/>
      <c r="I7" s="1049"/>
      <c r="J7" s="1049"/>
      <c r="K7" s="1049"/>
      <c r="L7" s="1049"/>
      <c r="M7" s="1049"/>
      <c r="N7" s="1049"/>
    </row>
    <row r="8" spans="1:22" ht="42" customHeight="1" x14ac:dyDescent="0.25">
      <c r="C8" s="118">
        <v>1</v>
      </c>
      <c r="D8" s="1039" t="str">
        <f>Translations!$B$271</f>
        <v>Directive 2003/87/EC (the "ETS Directive") introduces a separate ETS for buildings, road transport and additional sectors (the "ETS2") and requires regulated entities to hold a valid GHG emissions permit issued by the relevant Competent Authority, to monitor and report their emissions, and have the reports verified by an independent and accredited verifier.</v>
      </c>
      <c r="E8" s="1039"/>
      <c r="F8" s="1039"/>
      <c r="G8" s="1039"/>
      <c r="H8" s="1039"/>
      <c r="I8" s="1039"/>
      <c r="J8" s="1039"/>
      <c r="K8" s="1039"/>
      <c r="L8" s="1039"/>
      <c r="M8" s="1039"/>
      <c r="N8" s="1039"/>
    </row>
    <row r="9" spans="1:22" ht="12.75" customHeight="1" x14ac:dyDescent="0.25">
      <c r="C9" s="118"/>
      <c r="D9" s="1039" t="str">
        <f>Translations!$B$18</f>
        <v>The Directive can be downloaded from:</v>
      </c>
      <c r="E9" s="1039"/>
      <c r="F9" s="1039"/>
      <c r="G9" s="1039"/>
      <c r="H9" s="1039"/>
      <c r="I9" s="1039"/>
      <c r="J9" s="1039"/>
      <c r="K9" s="1039"/>
      <c r="L9" s="1039"/>
      <c r="M9" s="1039"/>
      <c r="N9" s="1039"/>
    </row>
    <row r="10" spans="1:22" ht="13" x14ac:dyDescent="0.25">
      <c r="C10" s="119"/>
      <c r="D10" s="1069" t="s">
        <v>4</v>
      </c>
      <c r="E10" s="1070"/>
      <c r="F10" s="1070"/>
      <c r="G10" s="1070"/>
      <c r="H10" s="1070"/>
      <c r="I10" s="1070"/>
      <c r="J10" s="1070"/>
      <c r="K10" s="1070"/>
      <c r="L10" s="1070"/>
      <c r="M10" s="1070"/>
      <c r="N10" s="1076"/>
    </row>
    <row r="11" spans="1:22" ht="5.15" customHeight="1" x14ac:dyDescent="0.25">
      <c r="C11" s="119"/>
      <c r="D11" s="1"/>
      <c r="E11" s="1"/>
      <c r="F11" s="1"/>
      <c r="G11" s="1"/>
      <c r="H11" s="1"/>
      <c r="I11" s="1"/>
      <c r="J11" s="1"/>
      <c r="K11" s="1"/>
      <c r="L11" s="1"/>
      <c r="M11" s="1"/>
      <c r="N11" s="120"/>
    </row>
    <row r="12" spans="1:22" ht="26.25" customHeight="1" x14ac:dyDescent="0.25">
      <c r="C12" s="118">
        <v>2</v>
      </c>
      <c r="D12" s="1039" t="str">
        <f>Translations!$B$144</f>
        <v>The Monitoring and Reporting Regulation (Commission Regulation (EU) No 2018/2066, as amended, hereinafter the "MRR"), defines further requirements for monitoring and reporting. The MRR can be downloaded from:</v>
      </c>
      <c r="E12" s="1039"/>
      <c r="F12" s="1039"/>
      <c r="G12" s="1039"/>
      <c r="H12" s="1039"/>
      <c r="I12" s="1039"/>
      <c r="J12" s="1039"/>
      <c r="K12" s="1039"/>
      <c r="L12" s="1039"/>
      <c r="M12" s="1039"/>
      <c r="N12" s="1039"/>
    </row>
    <row r="13" spans="1:22" ht="12.75" customHeight="1" x14ac:dyDescent="0.25">
      <c r="C13" s="118"/>
      <c r="D13" s="1075" t="s">
        <v>5</v>
      </c>
      <c r="E13" s="1075"/>
      <c r="F13" s="1075"/>
      <c r="G13" s="1075"/>
      <c r="H13" s="1075"/>
      <c r="I13" s="1075"/>
      <c r="J13" s="1075"/>
      <c r="K13" s="1075"/>
      <c r="L13" s="1075"/>
      <c r="M13" s="1075"/>
      <c r="N13" s="1075"/>
    </row>
    <row r="14" spans="1:22" ht="12.75" customHeight="1" x14ac:dyDescent="0.25">
      <c r="C14" s="118"/>
      <c r="D14" s="1039" t="str">
        <f>Translations!$B$272</f>
        <v>Article 75p of the MRR sets out specific requirements for the content and submission of the verified annual emissions report.</v>
      </c>
      <c r="E14" s="1039"/>
      <c r="F14" s="1039"/>
      <c r="G14" s="1039"/>
      <c r="H14" s="1039"/>
      <c r="I14" s="1039"/>
      <c r="J14" s="1039"/>
      <c r="K14" s="1039"/>
      <c r="L14" s="1039"/>
      <c r="M14" s="1039"/>
      <c r="N14" s="1039"/>
    </row>
    <row r="15" spans="1:22" ht="25.5" customHeight="1" x14ac:dyDescent="0.25">
      <c r="C15" s="118"/>
      <c r="D15" s="1068" t="str">
        <f>Translations!$B$273</f>
        <v>Article 75p(2): "The annual emissions reports referred to in paragraph 1 shall contain at least the information listed in Annex X."</v>
      </c>
      <c r="E15" s="1068"/>
      <c r="F15" s="1068"/>
      <c r="G15" s="1068"/>
      <c r="H15" s="1068"/>
      <c r="I15" s="1068"/>
      <c r="J15" s="1068"/>
      <c r="K15" s="1068"/>
      <c r="L15" s="1068"/>
      <c r="M15" s="1068"/>
      <c r="N15" s="1068"/>
    </row>
    <row r="16" spans="1:22" ht="13" x14ac:dyDescent="0.25">
      <c r="C16" s="118"/>
      <c r="D16" s="1039" t="str">
        <f>Translations!$B$274</f>
        <v>Furthermore, Articles 74(1) and 75u state:</v>
      </c>
      <c r="E16" s="1039"/>
      <c r="F16" s="1039"/>
      <c r="G16" s="1039"/>
      <c r="H16" s="1039"/>
      <c r="I16" s="1039"/>
      <c r="J16" s="1039"/>
      <c r="K16" s="1039"/>
      <c r="L16" s="1039"/>
      <c r="M16" s="1039"/>
      <c r="N16" s="1039"/>
    </row>
    <row r="17" spans="3:14" ht="70" customHeight="1" x14ac:dyDescent="0.25">
      <c r="C17" s="118"/>
      <c r="D17" s="1068" t="str">
        <f>Translations!$B$172</f>
        <v>Member States may require the [regulated entity] to use electronic templates or specific file formats for submission of monitoring plans and changes to the monitoring plan, as well as for submission of annual emissions reports,...verification reports and improvement reports. 
Those templates or file format specifications established by the Member States shall, at least, contain the information contained in electronic templates or file format specifications published by the Commission.</v>
      </c>
      <c r="E17" s="1068"/>
      <c r="F17" s="1068"/>
      <c r="G17" s="1068"/>
      <c r="H17" s="1068"/>
      <c r="I17" s="1068"/>
      <c r="J17" s="1068"/>
      <c r="K17" s="1068"/>
      <c r="L17" s="1068"/>
      <c r="M17" s="1068"/>
      <c r="N17" s="1068"/>
    </row>
    <row r="18" spans="3:14" ht="42" customHeight="1" x14ac:dyDescent="0.25">
      <c r="C18" s="118">
        <v>3</v>
      </c>
      <c r="D18" s="1039" t="str">
        <f>Translations!$B$275</f>
        <v xml:space="preserve">This file constitutes the reporting template developed by the Commission services and includes the requirements defined in Annex X as well as further requirements to assist the operator in demonstrating compliance with the MRR. Under certain conditions as described below, it may have been amended to a limited extent by a Member State's competent authority. </v>
      </c>
      <c r="E18" s="1039"/>
      <c r="F18" s="1039"/>
      <c r="G18" s="1039"/>
      <c r="H18" s="1039"/>
      <c r="I18" s="1039"/>
      <c r="J18" s="1039"/>
      <c r="K18" s="1039"/>
      <c r="L18" s="1039"/>
      <c r="M18" s="1039"/>
      <c r="N18" s="1039"/>
    </row>
    <row r="19" spans="3:14" ht="16" customHeight="1" x14ac:dyDescent="0.25">
      <c r="C19" s="118"/>
      <c r="D19" s="1039" t="str">
        <f>Translations!$B$276</f>
        <v xml:space="preserve">This reporting template represents the views of the Commission services at the time of publication. </v>
      </c>
      <c r="E19" s="1039"/>
      <c r="F19" s="1039"/>
      <c r="G19" s="1039"/>
      <c r="H19" s="1039"/>
      <c r="I19" s="1039"/>
      <c r="J19" s="1039"/>
      <c r="K19" s="1039"/>
      <c r="L19" s="1039"/>
      <c r="M19" s="1039"/>
      <c r="N19" s="1039"/>
    </row>
    <row r="20" spans="3:14" ht="38.25" customHeight="1" x14ac:dyDescent="0.25">
      <c r="C20" s="118"/>
      <c r="D20" s="1072" t="str">
        <f>Translations!$B$603</f>
        <v>This is the final version of the annual emissions report template for ETS2 regulated entities of the EU ETS, updated version of 18 November 2025.</v>
      </c>
      <c r="E20" s="1072"/>
      <c r="F20" s="1072"/>
      <c r="G20" s="1072"/>
      <c r="H20" s="1072"/>
      <c r="I20" s="1072"/>
      <c r="J20" s="1072"/>
      <c r="K20" s="1072"/>
      <c r="L20" s="1072"/>
      <c r="M20" s="1072"/>
      <c r="N20" s="1073"/>
    </row>
    <row r="21" spans="3:14" ht="12.75" customHeight="1" x14ac:dyDescent="0.25">
      <c r="C21" s="118"/>
      <c r="D21" s="1039"/>
      <c r="E21" s="1039"/>
      <c r="F21" s="1039"/>
      <c r="G21" s="1039"/>
      <c r="H21" s="1039"/>
      <c r="I21" s="1039"/>
      <c r="J21" s="1039"/>
      <c r="K21" s="1039"/>
      <c r="L21" s="1039"/>
      <c r="M21" s="1039"/>
      <c r="N21" s="1039"/>
    </row>
    <row r="22" spans="3:14" ht="12.75" customHeight="1" x14ac:dyDescent="0.25">
      <c r="C22" s="118">
        <v>4</v>
      </c>
      <c r="D22" s="1067" t="str">
        <f>Translations!$B$278</f>
        <v>After completing this annual emissions report template, the following steps have to be carried out:</v>
      </c>
      <c r="E22" s="1067"/>
      <c r="F22" s="1067"/>
      <c r="G22" s="1067"/>
      <c r="H22" s="1067"/>
      <c r="I22" s="1067"/>
      <c r="J22" s="1067"/>
      <c r="K22" s="1067"/>
      <c r="L22" s="1067"/>
      <c r="M22" s="1067"/>
      <c r="N22" s="1067"/>
    </row>
    <row r="23" spans="3:14" ht="12.75" customHeight="1" x14ac:dyDescent="0.25">
      <c r="C23" s="118"/>
      <c r="D23" s="123" t="s">
        <v>6</v>
      </c>
      <c r="E23" s="1067" t="str">
        <f>Translations!$B$279</f>
        <v>send the report to a verifier for the purpose of verification in accordance with Article 75p(1) of the MRR,</v>
      </c>
      <c r="F23" s="1067"/>
      <c r="G23" s="1067"/>
      <c r="H23" s="1067"/>
      <c r="I23" s="1067"/>
      <c r="J23" s="1067"/>
      <c r="K23" s="1067"/>
      <c r="L23" s="1067"/>
      <c r="M23" s="1067"/>
      <c r="N23" s="1067"/>
    </row>
    <row r="24" spans="3:14" ht="25.5" customHeight="1" x14ac:dyDescent="0.25">
      <c r="C24" s="118"/>
      <c r="D24" s="123" t="s">
        <v>7</v>
      </c>
      <c r="E24" s="1067" t="str">
        <f>Translations!$B$280</f>
        <v>the version verified by a verifier in accordance with Regulation (EU) 2018/2067 shall be submitted to the competent authority by 30 April of each year unless the competent authority requires submitting the verified annual emission report earlier.</v>
      </c>
      <c r="F24" s="1067"/>
      <c r="G24" s="1067"/>
      <c r="H24" s="1067"/>
      <c r="I24" s="1067"/>
      <c r="J24" s="1067"/>
      <c r="K24" s="1067"/>
      <c r="L24" s="1067"/>
      <c r="M24" s="1067"/>
      <c r="N24" s="1067"/>
    </row>
    <row r="25" spans="3:14" ht="4.9000000000000004" customHeight="1" x14ac:dyDescent="0.25">
      <c r="C25" s="118"/>
      <c r="D25" s="124"/>
      <c r="E25" s="124"/>
      <c r="F25" s="124"/>
      <c r="G25" s="124"/>
      <c r="H25" s="124"/>
      <c r="I25" s="124"/>
      <c r="J25" s="124"/>
      <c r="K25" s="124"/>
      <c r="L25" s="124"/>
      <c r="M25" s="124"/>
      <c r="N25" s="124"/>
    </row>
    <row r="26" spans="3:14" ht="12.75" customHeight="1" x14ac:dyDescent="0.25">
      <c r="C26" s="118">
        <v>5</v>
      </c>
      <c r="D26" s="1039" t="str">
        <f>Translations!$B$19</f>
        <v>All Commission guidance documents on the Monitoring and Reporting Regulation can be found at:</v>
      </c>
      <c r="E26" s="1039"/>
      <c r="F26" s="1039"/>
      <c r="G26" s="1039"/>
      <c r="H26" s="1039"/>
      <c r="I26" s="1039"/>
      <c r="J26" s="1039"/>
      <c r="K26" s="1039"/>
      <c r="L26" s="1039"/>
      <c r="M26" s="1039"/>
      <c r="N26" s="1039"/>
    </row>
    <row r="27" spans="3:14" ht="12.75" customHeight="1" x14ac:dyDescent="0.25">
      <c r="C27" s="118"/>
      <c r="D27" s="1069" t="str">
        <f>Translations!$B$173</f>
        <v>https://climate.ec.europa.eu/eu-action/eu-emissions-trading-system-eu-ets/monitoring-reporting-and-verification-eu-ets-emissions_en</v>
      </c>
      <c r="E27" s="1070"/>
      <c r="F27" s="1070"/>
      <c r="G27" s="1070"/>
      <c r="H27" s="1070"/>
      <c r="I27" s="1070"/>
      <c r="J27" s="1070"/>
      <c r="K27" s="1070"/>
      <c r="L27" s="1070"/>
      <c r="M27" s="1070"/>
      <c r="N27" s="1071"/>
    </row>
    <row r="28" spans="3:14" ht="12.75" customHeight="1" x14ac:dyDescent="0.25">
      <c r="C28" s="118"/>
      <c r="D28" s="1039" t="str">
        <f>Translations!$B$281</f>
        <v>It is recommended to read the "General MRR Guidance for ETS2 entities".</v>
      </c>
      <c r="E28" s="1039"/>
      <c r="F28" s="1039"/>
      <c r="G28" s="1039"/>
      <c r="H28" s="1039"/>
      <c r="I28" s="1039"/>
      <c r="J28" s="1039"/>
      <c r="K28" s="1039"/>
      <c r="L28" s="1039"/>
      <c r="M28" s="1039"/>
      <c r="N28" s="1039"/>
    </row>
    <row r="29" spans="3:14" ht="13" x14ac:dyDescent="0.25">
      <c r="C29" s="118"/>
      <c r="D29" s="126"/>
      <c r="E29" s="126"/>
      <c r="F29" s="126"/>
      <c r="G29" s="126"/>
      <c r="H29" s="126"/>
      <c r="I29" s="126"/>
      <c r="J29" s="126"/>
      <c r="K29" s="126"/>
      <c r="L29" s="126"/>
      <c r="M29" s="126"/>
      <c r="N29" s="126"/>
    </row>
    <row r="30" spans="3:14" ht="13" x14ac:dyDescent="0.25">
      <c r="C30" s="118">
        <v>6</v>
      </c>
      <c r="D30" s="1057" t="str">
        <f>Translations!$B$20</f>
        <v>Before you use this file, please carry out the following steps:</v>
      </c>
      <c r="E30" s="1057"/>
      <c r="F30" s="1057"/>
      <c r="G30" s="1057"/>
      <c r="H30" s="1057"/>
      <c r="I30" s="1057"/>
      <c r="J30" s="1057"/>
      <c r="K30" s="1057"/>
      <c r="L30" s="1057"/>
      <c r="M30" s="1057"/>
      <c r="N30" s="1057"/>
    </row>
    <row r="31" spans="3:14" ht="13" x14ac:dyDescent="0.25">
      <c r="C31" s="118"/>
      <c r="D31" s="127" t="s">
        <v>6</v>
      </c>
      <c r="E31" s="1054" t="str">
        <f>Translations!$B$21</f>
        <v>Read carefully the instructions below for filling this template.</v>
      </c>
      <c r="F31" s="1054"/>
      <c r="G31" s="1054"/>
      <c r="H31" s="1054"/>
      <c r="I31" s="1054"/>
      <c r="J31" s="1054"/>
      <c r="K31" s="1054"/>
      <c r="L31" s="1054"/>
      <c r="M31" s="1054"/>
      <c r="N31" s="1054"/>
    </row>
    <row r="32" spans="3:14" ht="29.25" customHeight="1" x14ac:dyDescent="0.25">
      <c r="C32" s="118"/>
      <c r="D32" s="127" t="s">
        <v>7</v>
      </c>
      <c r="E32" s="1039" t="str">
        <f>Translations!$B$174</f>
        <v>Identify the Competent Authority (CA) of the Member States responsible for you. Note that "Member State" here means all States which are participating in the EU ETS, not only EU Member States.</v>
      </c>
      <c r="F32" s="1039"/>
      <c r="G32" s="1039"/>
      <c r="H32" s="1039"/>
      <c r="I32" s="1039"/>
      <c r="J32" s="1039"/>
      <c r="K32" s="1039"/>
      <c r="L32" s="1039"/>
      <c r="M32" s="1039"/>
      <c r="N32" s="1039"/>
    </row>
    <row r="33" spans="3:14" ht="30.75" customHeight="1" x14ac:dyDescent="0.25">
      <c r="C33" s="118"/>
      <c r="D33" s="127" t="s">
        <v>8</v>
      </c>
      <c r="E33" s="1039" t="str">
        <f>Translations!$B$22</f>
        <v>Check the CA's webpage or directly contact the CA in order to find out if you have the correct version of the template. The template version (in particular the reference file name) is clearly indicated on the cover page of this file.</v>
      </c>
      <c r="F33" s="1039"/>
      <c r="G33" s="1039"/>
      <c r="H33" s="1039"/>
      <c r="I33" s="1039"/>
      <c r="J33" s="1039"/>
      <c r="K33" s="1039"/>
      <c r="L33" s="1039"/>
      <c r="M33" s="1039"/>
      <c r="N33" s="1039"/>
    </row>
    <row r="34" spans="3:14" ht="29.25" customHeight="1" x14ac:dyDescent="0.25">
      <c r="C34" s="118"/>
      <c r="D34" s="127" t="s">
        <v>9</v>
      </c>
      <c r="E34" s="1039" t="str">
        <f>Translations!$B$23</f>
        <v>Some Member States may require you to use an alternative system, such as internet-based form instead of a spreadsheet. Check your Member State requirements. In this case the CA will provide further information to you.</v>
      </c>
      <c r="F34" s="1039"/>
      <c r="G34" s="1039"/>
      <c r="H34" s="1039"/>
      <c r="I34" s="1039"/>
      <c r="J34" s="1039"/>
      <c r="K34" s="1039"/>
      <c r="L34" s="1039"/>
      <c r="M34" s="1039"/>
      <c r="N34" s="1039"/>
    </row>
    <row r="35" spans="3:14" ht="13" x14ac:dyDescent="0.25">
      <c r="C35" s="118"/>
      <c r="D35" s="1039"/>
      <c r="E35" s="1039"/>
      <c r="F35" s="1039"/>
      <c r="G35" s="1039"/>
      <c r="H35" s="1039"/>
      <c r="I35" s="1039"/>
      <c r="J35" s="1039"/>
      <c r="K35" s="1039"/>
      <c r="L35" s="1039"/>
      <c r="M35" s="1039"/>
      <c r="N35" s="1039"/>
    </row>
    <row r="36" spans="3:14" ht="15" customHeight="1" x14ac:dyDescent="0.25">
      <c r="C36" s="118">
        <v>7</v>
      </c>
      <c r="D36" s="1039" t="str">
        <f>Translations!$B$282</f>
        <v>This reporting template must be submitted to your competent authority at the following address:</v>
      </c>
      <c r="E36" s="1039"/>
      <c r="F36" s="1039"/>
      <c r="G36" s="1039"/>
      <c r="H36" s="1039"/>
      <c r="I36" s="1039"/>
      <c r="J36" s="1039"/>
      <c r="K36" s="1039"/>
      <c r="L36" s="1039"/>
      <c r="M36" s="1039"/>
      <c r="N36" s="1039"/>
    </row>
    <row r="37" spans="3:14" ht="13" x14ac:dyDescent="0.25">
      <c r="C37" s="118"/>
      <c r="D37" s="128"/>
      <c r="E37" s="128"/>
      <c r="F37" s="128"/>
      <c r="G37" s="128"/>
      <c r="H37" s="128"/>
      <c r="I37" s="128"/>
      <c r="J37" s="128"/>
      <c r="K37" s="128"/>
      <c r="L37" s="128"/>
      <c r="M37" s="128"/>
      <c r="N37" s="128"/>
    </row>
    <row r="38" spans="3:14" x14ac:dyDescent="0.25">
      <c r="G38" s="1065" t="str">
        <f>Translations!$B$24</f>
        <v>Detail address to be provided by the Member State</v>
      </c>
      <c r="H38" s="1065"/>
      <c r="I38" s="1065"/>
      <c r="J38" s="1065"/>
    </row>
    <row r="39" spans="3:14" x14ac:dyDescent="0.25">
      <c r="G39" s="1066"/>
      <c r="H39" s="1066"/>
      <c r="I39" s="1066"/>
      <c r="J39" s="1066"/>
    </row>
    <row r="40" spans="3:14" x14ac:dyDescent="0.25">
      <c r="G40" s="1066"/>
      <c r="H40" s="1066"/>
      <c r="I40" s="1066"/>
      <c r="J40" s="1066"/>
    </row>
    <row r="41" spans="3:14" x14ac:dyDescent="0.25">
      <c r="G41" s="1066"/>
      <c r="H41" s="1066"/>
      <c r="I41" s="1066"/>
      <c r="J41" s="1066"/>
    </row>
    <row r="42" spans="3:14" x14ac:dyDescent="0.25">
      <c r="G42" s="1066"/>
      <c r="H42" s="1066"/>
      <c r="I42" s="1066"/>
      <c r="J42" s="1066"/>
    </row>
    <row r="43" spans="3:14" x14ac:dyDescent="0.25">
      <c r="G43" s="1066"/>
      <c r="H43" s="1066"/>
      <c r="I43" s="1066"/>
      <c r="J43" s="1066"/>
    </row>
    <row r="44" spans="3:14" x14ac:dyDescent="0.25">
      <c r="G44" s="1066"/>
      <c r="H44" s="1066"/>
      <c r="I44" s="1066"/>
      <c r="J44" s="1066"/>
    </row>
    <row r="45" spans="3:14" x14ac:dyDescent="0.25">
      <c r="G45" s="1066"/>
      <c r="H45" s="1066"/>
      <c r="I45" s="1066"/>
      <c r="J45" s="1066"/>
    </row>
    <row r="47" spans="3:14" ht="25.5" customHeight="1" x14ac:dyDescent="0.25">
      <c r="C47" s="118">
        <v>8</v>
      </c>
      <c r="D47" s="1039" t="str">
        <f>Translations!$B$283</f>
        <v>Contact your CA if you need assistance to complete your Annual Report. Some Member States have produced guidance documents which you may find useful in addition to the Commission's guidance mentioned above.</v>
      </c>
      <c r="E47" s="1039"/>
      <c r="F47" s="1039"/>
      <c r="G47" s="1039"/>
      <c r="H47" s="1039"/>
      <c r="I47" s="1039"/>
      <c r="J47" s="1039"/>
      <c r="K47" s="1039"/>
      <c r="L47" s="1039"/>
      <c r="M47" s="1039"/>
      <c r="N47" s="1039"/>
    </row>
    <row r="48" spans="3:14" ht="70" customHeight="1" x14ac:dyDescent="0.25">
      <c r="C48" s="118">
        <v>9</v>
      </c>
      <c r="D48" s="1057" t="str">
        <f>Translations!$B$284</f>
        <v>Confidentiality statement- The information submitted in respect of this report may be subject to public access to information requirements, including Directive 2003/4/EC on public access to environmental information. If you consider that any information you provide in connection with your application should be treated as commercially confidential, please let your CA know. You should be aware that under the provisions Directive 2003/4/EC, the CA may be obliged to disclose information even where the applicant requests that it is kept confidential.</v>
      </c>
      <c r="E48" s="1039"/>
      <c r="F48" s="1039"/>
      <c r="G48" s="1039"/>
      <c r="H48" s="1039"/>
      <c r="I48" s="1039"/>
      <c r="J48" s="1039"/>
      <c r="K48" s="1039"/>
      <c r="L48" s="1039"/>
      <c r="M48" s="1039"/>
      <c r="N48" s="1039"/>
    </row>
    <row r="49" spans="3:14" ht="13" x14ac:dyDescent="0.25">
      <c r="C49" s="118"/>
      <c r="D49" s="126"/>
      <c r="E49" s="126"/>
      <c r="F49" s="126"/>
      <c r="G49" s="126"/>
      <c r="H49" s="126"/>
      <c r="I49" s="126"/>
      <c r="J49" s="126"/>
      <c r="K49" s="126"/>
      <c r="L49" s="126"/>
      <c r="M49" s="126"/>
      <c r="N49" s="126"/>
    </row>
    <row r="50" spans="3:14" ht="14" x14ac:dyDescent="0.25">
      <c r="C50" s="118">
        <v>10</v>
      </c>
      <c r="D50" s="1061" t="str">
        <f>Translations!$B$25</f>
        <v>Information sources:</v>
      </c>
      <c r="E50" s="1061"/>
      <c r="F50" s="1061"/>
      <c r="G50" s="1061"/>
      <c r="H50" s="1061"/>
      <c r="I50" s="1061"/>
      <c r="J50" s="1061"/>
      <c r="K50" s="1061"/>
      <c r="L50" s="1061"/>
      <c r="M50" s="1061"/>
      <c r="N50" s="1061"/>
    </row>
    <row r="51" spans="3:14" ht="13" x14ac:dyDescent="0.3">
      <c r="C51" s="118"/>
      <c r="D51" s="130" t="str">
        <f>Translations!$B$26</f>
        <v>EU Websites:</v>
      </c>
      <c r="E51" s="126"/>
      <c r="F51" s="126"/>
      <c r="G51" s="126"/>
      <c r="H51" s="126"/>
      <c r="I51" s="126"/>
      <c r="J51" s="126"/>
      <c r="K51" s="126"/>
      <c r="L51" s="126"/>
      <c r="M51" s="126"/>
      <c r="N51" s="126"/>
    </row>
    <row r="52" spans="3:14" ht="13" x14ac:dyDescent="0.25">
      <c r="C52" s="118"/>
      <c r="D52" s="126" t="str">
        <f>Translations!$B$27</f>
        <v>EU-Legislation:</v>
      </c>
      <c r="E52" s="126"/>
      <c r="F52" s="1062" t="str">
        <f>Translations!$B$28</f>
        <v xml:space="preserve">http://eur-lex.europa.eu/en/index.htm </v>
      </c>
      <c r="G52" s="1063"/>
      <c r="H52" s="1063"/>
      <c r="I52" s="1063"/>
      <c r="J52" s="1063"/>
      <c r="K52" s="1063"/>
      <c r="L52" s="1064"/>
      <c r="M52" s="1064"/>
      <c r="N52" s="1064"/>
    </row>
    <row r="53" spans="3:14" ht="13" x14ac:dyDescent="0.25">
      <c r="C53" s="118"/>
      <c r="D53" s="126" t="str">
        <f>Translations!$B$29</f>
        <v>EU ETS general:</v>
      </c>
      <c r="E53" s="126"/>
      <c r="F53" s="1062" t="str">
        <f>Translations!$B$175</f>
        <v>https://climate.ec.europa.eu/eu-action/eu-emissions-trading-system-eu-ets_en</v>
      </c>
      <c r="G53" s="1064"/>
      <c r="H53" s="1064"/>
      <c r="I53" s="1064"/>
      <c r="J53" s="1064"/>
      <c r="K53" s="1064"/>
      <c r="L53" s="1064"/>
      <c r="M53" s="1064"/>
      <c r="N53" s="1064"/>
    </row>
    <row r="54" spans="3:14" ht="13" x14ac:dyDescent="0.25">
      <c r="C54" s="118"/>
      <c r="D54" s="126" t="str">
        <f>Translations!$B$30</f>
        <v xml:space="preserve">Monitoring and Reporting in the EU ETS: </v>
      </c>
      <c r="E54" s="126"/>
      <c r="F54" s="126"/>
      <c r="G54" s="126"/>
      <c r="H54" s="126"/>
      <c r="I54" s="126"/>
      <c r="J54" s="126"/>
      <c r="K54" s="126"/>
      <c r="L54" s="126"/>
      <c r="M54" s="126"/>
      <c r="N54" s="126"/>
    </row>
    <row r="55" spans="3:14" ht="13" x14ac:dyDescent="0.25">
      <c r="C55" s="118"/>
      <c r="D55" s="126"/>
      <c r="E55" s="126"/>
      <c r="F55" s="1062" t="str">
        <f>Translations!$B$173</f>
        <v>https://climate.ec.europa.eu/eu-action/eu-emissions-trading-system-eu-ets/monitoring-reporting-and-verification-eu-ets-emissions_en</v>
      </c>
      <c r="G55" s="1062"/>
      <c r="H55" s="1062"/>
      <c r="I55" s="1062"/>
      <c r="J55" s="1062"/>
      <c r="K55" s="1062"/>
      <c r="L55" s="1062"/>
      <c r="M55" s="1062"/>
      <c r="N55" s="1062"/>
    </row>
    <row r="56" spans="3:14" ht="13" x14ac:dyDescent="0.3">
      <c r="D56" s="130" t="str">
        <f>Translations!$B$31</f>
        <v>Other Websites:</v>
      </c>
    </row>
    <row r="57" spans="3:14" x14ac:dyDescent="0.25">
      <c r="D57" s="1052" t="str">
        <f>Translations!$B$32</f>
        <v>&lt;to be provided by Member State&gt;</v>
      </c>
      <c r="E57" s="1049"/>
      <c r="F57" s="1049"/>
      <c r="G57" s="1049"/>
      <c r="H57" s="1049"/>
      <c r="I57" s="1049"/>
      <c r="J57" s="1049"/>
      <c r="K57" s="1049"/>
      <c r="L57" s="1049"/>
      <c r="M57" s="1049"/>
      <c r="N57" s="1049"/>
    </row>
    <row r="58" spans="3:14" x14ac:dyDescent="0.25">
      <c r="D58" s="1052"/>
      <c r="E58" s="1049"/>
      <c r="F58" s="1049"/>
      <c r="G58" s="1049"/>
      <c r="H58" s="1049"/>
      <c r="I58" s="1049"/>
      <c r="J58" s="1049"/>
      <c r="K58" s="1049"/>
      <c r="L58" s="1049"/>
      <c r="M58" s="1049"/>
      <c r="N58" s="1049"/>
    </row>
    <row r="59" spans="3:14" ht="13" x14ac:dyDescent="0.3">
      <c r="D59" s="130" t="str">
        <f>Translations!$B$33</f>
        <v>Helpdesk:</v>
      </c>
      <c r="E59" s="132"/>
      <c r="F59" s="132"/>
      <c r="G59" s="132"/>
      <c r="H59" s="132"/>
      <c r="I59" s="132"/>
      <c r="J59" s="132"/>
      <c r="K59" s="132"/>
      <c r="L59" s="132"/>
      <c r="M59" s="132"/>
      <c r="N59" s="132"/>
    </row>
    <row r="60" spans="3:14" x14ac:dyDescent="0.25">
      <c r="D60" s="1052" t="str">
        <f>Translations!$B$34</f>
        <v>&lt;to be provided by Member State, if relevant&gt;</v>
      </c>
      <c r="E60" s="1049"/>
      <c r="F60" s="1049"/>
      <c r="G60" s="1049"/>
      <c r="H60" s="1049"/>
      <c r="I60" s="1049"/>
      <c r="J60" s="1049"/>
      <c r="K60" s="1049"/>
      <c r="L60" s="1049"/>
      <c r="M60" s="1049"/>
      <c r="N60" s="1049"/>
    </row>
    <row r="61" spans="3:14" x14ac:dyDescent="0.25">
      <c r="D61" s="1052"/>
      <c r="E61" s="1049"/>
      <c r="F61" s="1049"/>
      <c r="G61" s="1049"/>
      <c r="H61" s="1049"/>
      <c r="I61" s="1049"/>
      <c r="J61" s="1049"/>
      <c r="K61" s="1049"/>
      <c r="L61" s="1049"/>
      <c r="M61" s="1049"/>
      <c r="N61" s="1049"/>
    </row>
    <row r="62" spans="3:14" ht="25.5" customHeight="1" x14ac:dyDescent="0.25"/>
    <row r="63" spans="3:14" ht="15.75" customHeight="1" x14ac:dyDescent="0.25">
      <c r="C63" s="118">
        <v>11</v>
      </c>
      <c r="D63" s="1051" t="str">
        <f>Translations!$B$35</f>
        <v>How to use this file:</v>
      </c>
      <c r="E63" s="1051"/>
      <c r="F63" s="1051"/>
      <c r="G63" s="1051"/>
      <c r="H63" s="1051"/>
      <c r="I63" s="1051"/>
      <c r="J63" s="1051"/>
      <c r="K63" s="1051"/>
      <c r="L63" s="1051"/>
      <c r="M63" s="1051"/>
      <c r="N63" s="1051"/>
    </row>
    <row r="64" spans="3:14" ht="26.25" customHeight="1" x14ac:dyDescent="0.25">
      <c r="C64" s="118"/>
      <c r="D64" s="1039" t="str">
        <f>Translations!$B$285</f>
        <v>This template has been developed to accommodate the minimum content of an annual emissions report required by the MRR. Operators should therefore refer to the MRR and additional Member State requirements (if any) when completing.</v>
      </c>
      <c r="E64" s="1039"/>
      <c r="F64" s="1039"/>
      <c r="G64" s="1039"/>
      <c r="H64" s="1039"/>
      <c r="I64" s="1039"/>
      <c r="J64" s="1039"/>
      <c r="K64" s="1039"/>
      <c r="L64" s="1039"/>
      <c r="M64" s="1039"/>
      <c r="N64" s="1039"/>
    </row>
    <row r="65" spans="3:14" ht="26.25" customHeight="1" x14ac:dyDescent="0.25">
      <c r="C65" s="118"/>
      <c r="D65" s="1039" t="str">
        <f>Translations!$B$286</f>
        <v>It is recommended that you go through the file from start to end. There are a few functions which will guide you through the form and which depend on previous input, such as cells changing colour if an input is not needed (see colour codes below).</v>
      </c>
      <c r="E65" s="1039"/>
      <c r="F65" s="1039"/>
      <c r="G65" s="1039"/>
      <c r="H65" s="1039"/>
      <c r="I65" s="1039"/>
      <c r="J65" s="1039"/>
      <c r="K65" s="1039"/>
      <c r="L65" s="1039"/>
      <c r="M65" s="1039"/>
      <c r="N65" s="1039"/>
    </row>
    <row r="66" spans="3:14" ht="43.5" customHeight="1" x14ac:dyDescent="0.25">
      <c r="C66" s="118"/>
      <c r="D66" s="1039" t="str">
        <f>Translations!$B$36</f>
        <v>In several fields you can choose from predefined inputs. For selecting from such a "drop-down list" either click with the mouse on the small arrow appearing at the right border of the cell, or press "Alt-CursorDown" when you have selected the cell. Some fields allow you to input your own text even if such drop-down list exists. This is the case when drop-down lists contain empty list entries.</v>
      </c>
      <c r="E66" s="1039"/>
      <c r="F66" s="1039"/>
      <c r="G66" s="1039"/>
      <c r="H66" s="1039"/>
      <c r="I66" s="1039"/>
      <c r="J66" s="1039"/>
      <c r="K66" s="1039"/>
      <c r="L66" s="1039"/>
      <c r="M66" s="1039"/>
      <c r="N66" s="1039"/>
    </row>
    <row r="67" spans="3:14" ht="13" x14ac:dyDescent="0.25">
      <c r="C67" s="118"/>
      <c r="D67" s="1054" t="str">
        <f>Translations!$B$37</f>
        <v>Colour codes and fonts:</v>
      </c>
      <c r="E67" s="1054"/>
      <c r="F67" s="1054"/>
      <c r="G67" s="1054"/>
      <c r="H67" s="1054"/>
      <c r="I67" s="1054"/>
      <c r="J67" s="1054"/>
      <c r="K67" s="1054"/>
      <c r="L67" s="1054"/>
      <c r="M67" s="1054"/>
      <c r="N67" s="1054"/>
    </row>
    <row r="68" spans="3:14" x14ac:dyDescent="0.25">
      <c r="E68" s="1027" t="str">
        <f>Translations!$B$38</f>
        <v>Black bold text:</v>
      </c>
      <c r="F68" s="1049"/>
      <c r="G68" s="1039" t="str">
        <f>Translations!$B$39</f>
        <v>This is text provided by the Commission template. It should be kept as it is.</v>
      </c>
      <c r="H68" s="1039"/>
      <c r="I68" s="1039"/>
      <c r="J68" s="1039"/>
      <c r="K68" s="1039"/>
      <c r="L68" s="1039"/>
      <c r="M68" s="1039"/>
      <c r="N68" s="1039"/>
    </row>
    <row r="69" spans="3:14" x14ac:dyDescent="0.25">
      <c r="E69" s="1053" t="str">
        <f>Translations!$B$40</f>
        <v>Smaller italic text:</v>
      </c>
      <c r="F69" s="1053"/>
      <c r="G69" s="1039" t="str">
        <f>Translations!$B$41</f>
        <v>This text gives further explanations. Member States may add further explanations in MS specific versions of the template.</v>
      </c>
      <c r="H69" s="1039"/>
      <c r="I69" s="1039"/>
      <c r="J69" s="1039"/>
      <c r="K69" s="1039"/>
      <c r="L69" s="1039"/>
      <c r="M69" s="1039"/>
      <c r="N69" s="1039"/>
    </row>
    <row r="70" spans="3:14" ht="12.75" customHeight="1" x14ac:dyDescent="0.25">
      <c r="E70" s="1055"/>
      <c r="F70" s="1056"/>
      <c r="G70" s="1057" t="str">
        <f>Translations!$B$176</f>
        <v>Yellow fields indicate mandatory inputs. However, if a topic is not relevant for the entity no input is required.</v>
      </c>
      <c r="H70" s="1057"/>
      <c r="I70" s="1057"/>
      <c r="J70" s="1057"/>
      <c r="K70" s="1057"/>
      <c r="L70" s="1057"/>
      <c r="M70" s="1057"/>
      <c r="N70" s="1057"/>
    </row>
    <row r="71" spans="3:14" x14ac:dyDescent="0.25">
      <c r="E71" s="1059"/>
      <c r="F71" s="1056"/>
      <c r="G71" s="1039" t="str">
        <f>Translations!$B$42</f>
        <v>Light yellow fields indicate that an input is optional.</v>
      </c>
      <c r="H71" s="1040"/>
      <c r="I71" s="1040"/>
      <c r="J71" s="1040"/>
      <c r="K71" s="1040"/>
      <c r="L71" s="1040"/>
      <c r="M71" s="1040"/>
      <c r="N71" s="1040"/>
    </row>
    <row r="72" spans="3:14" x14ac:dyDescent="0.25">
      <c r="E72" s="1047"/>
      <c r="F72" s="1048"/>
      <c r="G72" s="1039" t="str">
        <f>Translations!$B$43</f>
        <v>Green fields show automatically calculated results. Red text indicates error messages (missing data etc).</v>
      </c>
      <c r="H72" s="1040"/>
      <c r="I72" s="1040"/>
      <c r="J72" s="1040"/>
      <c r="K72" s="1040"/>
      <c r="L72" s="1040"/>
      <c r="M72" s="1040"/>
      <c r="N72" s="1040"/>
    </row>
    <row r="73" spans="3:14" x14ac:dyDescent="0.25">
      <c r="E73" s="1058"/>
      <c r="F73" s="1048"/>
      <c r="G73" s="1039" t="str">
        <f>Translations!$B$44</f>
        <v>Shaded fields indicate that an input in another field makes the input here irrelevant.</v>
      </c>
      <c r="H73" s="1039"/>
      <c r="I73" s="1039"/>
      <c r="J73" s="1039"/>
      <c r="K73" s="1039"/>
      <c r="L73" s="1039"/>
      <c r="M73" s="1039"/>
      <c r="N73" s="1039"/>
    </row>
    <row r="74" spans="3:14" x14ac:dyDescent="0.25">
      <c r="E74" s="1046"/>
      <c r="F74" s="1046"/>
      <c r="G74" s="1039" t="str">
        <f>Translations!$B$287</f>
        <v>Grey shaded areas should be filled by Member States before publishing customised version of the template.</v>
      </c>
      <c r="H74" s="1040"/>
      <c r="I74" s="1040"/>
      <c r="J74" s="1040"/>
      <c r="K74" s="1040"/>
      <c r="L74" s="1040"/>
      <c r="M74" s="1040"/>
      <c r="N74" s="1040"/>
    </row>
    <row r="75" spans="3:14" x14ac:dyDescent="0.25">
      <c r="E75" s="1038"/>
      <c r="F75" s="1038"/>
      <c r="G75" s="1039" t="str">
        <f>Translations!$B$45</f>
        <v>Light grey areas are dedicated for navigation and hyperlinks.</v>
      </c>
      <c r="H75" s="1040"/>
      <c r="I75" s="1040"/>
      <c r="J75" s="1040"/>
      <c r="K75" s="1040"/>
      <c r="L75" s="1040"/>
      <c r="M75" s="1040"/>
      <c r="N75" s="1040"/>
    </row>
    <row r="77" spans="3:14" ht="38.25" customHeight="1" x14ac:dyDescent="0.25">
      <c r="C77" s="118">
        <v>12</v>
      </c>
      <c r="D77" s="1050" t="str">
        <f>Translations!$B$288</f>
        <v>Navigation panels at the top of each sheet provide hyperlinks for quick jumps to individual input sections. The first line ("Table of contents", "Previous sheet", "Next sheet", "Accounting sheet"). Depending on the sheet, further menu items are added.</v>
      </c>
      <c r="E77" s="1050"/>
      <c r="F77" s="1050"/>
      <c r="G77" s="1050"/>
      <c r="H77" s="1050"/>
      <c r="I77" s="1050"/>
      <c r="J77" s="1050"/>
      <c r="K77" s="1050"/>
      <c r="L77" s="1050"/>
      <c r="M77" s="1050"/>
      <c r="N77" s="1050"/>
    </row>
    <row r="78" spans="3:14" ht="51" customHeight="1" x14ac:dyDescent="0.25">
      <c r="C78" s="118">
        <v>13</v>
      </c>
      <c r="D78" s="1039" t="str">
        <f>Translations!$B$46</f>
        <v>This template has been locked against data entry except for yellow fields. However, for transparency reasons, no password has been set. This allows for complete viewing of all formulae. When using this file for data entry, it is recommended to keep the protection in force. The sheets should only be unprotected for checking the validity of formulae. It is recommended to do this in a separate file.</v>
      </c>
      <c r="E78" s="1039"/>
      <c r="F78" s="1039"/>
      <c r="G78" s="1039"/>
      <c r="H78" s="1039"/>
      <c r="I78" s="1039"/>
      <c r="J78" s="1039"/>
      <c r="K78" s="1039"/>
      <c r="L78" s="1039"/>
      <c r="M78" s="1039"/>
      <c r="N78" s="1039"/>
    </row>
    <row r="79" spans="3:14" ht="51" customHeight="1" x14ac:dyDescent="0.25">
      <c r="C79" s="118">
        <v>14</v>
      </c>
      <c r="D79" s="1060" t="str">
        <f>Translations!$B$47</f>
        <v>In order to protect formulae against unintended modifications, which usually lead to wrong and misleading results, 
it is of utmost importance NOT TO USE the CUT &amp; PASTE function.
If you want to move data, first COPY and PASTE them, and thereafter delete the unwanted data in the old (wrong) place.</v>
      </c>
      <c r="E79" s="1045"/>
      <c r="F79" s="1045"/>
      <c r="G79" s="1045"/>
      <c r="H79" s="1045"/>
      <c r="I79" s="1045"/>
      <c r="J79" s="1045"/>
      <c r="K79" s="1045"/>
      <c r="L79" s="1045"/>
      <c r="M79" s="1045"/>
      <c r="N79" s="1049"/>
    </row>
    <row r="80" spans="3:14" ht="51" customHeight="1" x14ac:dyDescent="0.25">
      <c r="C80" s="118">
        <v>15</v>
      </c>
      <c r="D80" s="1039" t="str">
        <f>Translations!$B$289</f>
        <v>Data fields have not been optimised for specific numerical and other formats. However, sheet protection has been limited so as to allow you to use your own formats. In particular, you may decide about the number of decimal places displayed. The number of places is in principle independent from the precision of the calculation. In principle the option "Precision as displayed" of MS Excel should be deactivated. For more details, consult MS Excel's "Help" function on this topic.</v>
      </c>
      <c r="E80" s="1039"/>
      <c r="F80" s="1039"/>
      <c r="G80" s="1039"/>
      <c r="H80" s="1039"/>
      <c r="I80" s="1039"/>
      <c r="J80" s="1039"/>
      <c r="K80" s="1039"/>
      <c r="L80" s="1039"/>
      <c r="M80" s="1039"/>
      <c r="N80" s="1039"/>
    </row>
    <row r="81" spans="3:14" ht="4.9000000000000004" customHeight="1" thickBot="1" x14ac:dyDescent="0.3">
      <c r="D81" s="1044"/>
      <c r="E81" s="1045"/>
      <c r="F81" s="1045"/>
      <c r="G81" s="1045"/>
      <c r="H81" s="1045"/>
      <c r="I81" s="1045"/>
      <c r="J81" s="1045"/>
      <c r="K81" s="1045"/>
      <c r="L81" s="1045"/>
      <c r="M81" s="1045"/>
    </row>
    <row r="82" spans="3:14" ht="89.25" customHeight="1" thickBot="1" x14ac:dyDescent="0.3">
      <c r="C82" s="118">
        <v>16</v>
      </c>
      <c r="D82" s="1041" t="str">
        <f>Translations!$B$177</f>
        <v>DISCLAIMER: All formulae have been developed carefully and thoroughly. However, mistakes cannot be fully excluded.
As described above, full transparency for checking the validity of calculations is ensured. Neither the authors of this file nor the European Commission can be held liable for eventual damages resulting from wrong or misleading results of the provided calculations. 
It is the full responsibility of the user of this file (i.e. the ETS2 regulated entity) to ensure that correct data is reported to the competent authority.</v>
      </c>
      <c r="E82" s="1042"/>
      <c r="F82" s="1042"/>
      <c r="G82" s="1042"/>
      <c r="H82" s="1042"/>
      <c r="I82" s="1042"/>
      <c r="J82" s="1042"/>
      <c r="K82" s="1042"/>
      <c r="L82" s="1042"/>
      <c r="M82" s="1042"/>
      <c r="N82" s="1043"/>
    </row>
    <row r="84" spans="3:14" ht="15.5" x14ac:dyDescent="0.25">
      <c r="C84" s="118">
        <v>17</v>
      </c>
      <c r="D84" s="1051" t="str">
        <f>Translations!$B$48</f>
        <v>Member State-specific guidance is listed here:</v>
      </c>
      <c r="E84" s="1051"/>
      <c r="F84" s="1051"/>
      <c r="G84" s="1051"/>
      <c r="H84" s="1051"/>
      <c r="I84" s="1051"/>
      <c r="J84" s="1051"/>
      <c r="K84" s="1051"/>
      <c r="L84" s="1051"/>
      <c r="M84" s="1051"/>
      <c r="N84" s="1051"/>
    </row>
    <row r="85" spans="3:14" x14ac:dyDescent="0.25">
      <c r="D85" s="1037"/>
      <c r="E85" s="1037"/>
      <c r="F85" s="1037"/>
      <c r="G85" s="1037"/>
      <c r="H85" s="1037"/>
      <c r="I85" s="1037"/>
      <c r="J85" s="1037"/>
      <c r="K85" s="1037"/>
      <c r="L85" s="1037"/>
      <c r="M85" s="1037"/>
      <c r="N85" s="1037"/>
    </row>
    <row r="86" spans="3:14" x14ac:dyDescent="0.25">
      <c r="D86" s="1037"/>
      <c r="E86" s="1037"/>
      <c r="F86" s="1037"/>
      <c r="G86" s="1037"/>
      <c r="H86" s="1037"/>
      <c r="I86" s="1037"/>
      <c r="J86" s="1037"/>
      <c r="K86" s="1037"/>
      <c r="L86" s="1037"/>
      <c r="M86" s="1037"/>
      <c r="N86" s="1037"/>
    </row>
    <row r="87" spans="3:14" x14ac:dyDescent="0.25">
      <c r="D87" s="1037"/>
      <c r="E87" s="1037"/>
      <c r="F87" s="1037"/>
      <c r="G87" s="1037"/>
      <c r="H87" s="1037"/>
      <c r="I87" s="1037"/>
      <c r="J87" s="1037"/>
      <c r="K87" s="1037"/>
      <c r="L87" s="1037"/>
      <c r="M87" s="1037"/>
      <c r="N87" s="1037"/>
    </row>
    <row r="88" spans="3:14" x14ac:dyDescent="0.25">
      <c r="D88" s="1037"/>
      <c r="E88" s="1037"/>
      <c r="F88" s="1037"/>
      <c r="G88" s="1037"/>
      <c r="H88" s="1037"/>
      <c r="I88" s="1037"/>
      <c r="J88" s="1037"/>
      <c r="K88" s="1037"/>
      <c r="L88" s="1037"/>
      <c r="M88" s="1037"/>
      <c r="N88" s="1037"/>
    </row>
    <row r="89" spans="3:14" x14ac:dyDescent="0.25">
      <c r="D89" s="1037"/>
      <c r="E89" s="1037"/>
      <c r="F89" s="1037"/>
      <c r="G89" s="1037"/>
      <c r="H89" s="1037"/>
      <c r="I89" s="1037"/>
      <c r="J89" s="1037"/>
      <c r="K89" s="1037"/>
      <c r="L89" s="1037"/>
      <c r="M89" s="1037"/>
      <c r="N89" s="1037"/>
    </row>
    <row r="90" spans="3:14" x14ac:dyDescent="0.25">
      <c r="D90" s="1037"/>
      <c r="E90" s="1037"/>
      <c r="F90" s="1037"/>
      <c r="G90" s="1037"/>
      <c r="H90" s="1037"/>
      <c r="I90" s="1037"/>
      <c r="J90" s="1037"/>
      <c r="K90" s="1037"/>
      <c r="L90" s="1037"/>
      <c r="M90" s="1037"/>
      <c r="N90" s="1037"/>
    </row>
    <row r="91" spans="3:14" x14ac:dyDescent="0.25">
      <c r="D91" s="1037"/>
      <c r="E91" s="1037"/>
      <c r="F91" s="1037"/>
      <c r="G91" s="1037"/>
      <c r="H91" s="1037"/>
      <c r="I91" s="1037"/>
      <c r="J91" s="1037"/>
      <c r="K91" s="1037"/>
      <c r="L91" s="1037"/>
      <c r="M91" s="1037"/>
      <c r="N91" s="1037"/>
    </row>
    <row r="92" spans="3:14" x14ac:dyDescent="0.25">
      <c r="D92" s="1037"/>
      <c r="E92" s="1037"/>
      <c r="F92" s="1037"/>
      <c r="G92" s="1037"/>
      <c r="H92" s="1037"/>
      <c r="I92" s="1037"/>
      <c r="J92" s="1037"/>
      <c r="K92" s="1037"/>
      <c r="L92" s="1037"/>
      <c r="M92" s="1037"/>
      <c r="N92" s="1037"/>
    </row>
    <row r="93" spans="3:14" x14ac:dyDescent="0.25">
      <c r="D93" s="1037"/>
      <c r="E93" s="1037"/>
      <c r="F93" s="1037"/>
      <c r="G93" s="1037"/>
      <c r="H93" s="1037"/>
      <c r="I93" s="1037"/>
      <c r="J93" s="1037"/>
      <c r="K93" s="1037"/>
      <c r="L93" s="1037"/>
      <c r="M93" s="1037"/>
      <c r="N93" s="1037"/>
    </row>
    <row r="94" spans="3:14" x14ac:dyDescent="0.25">
      <c r="D94" s="1037"/>
      <c r="E94" s="1037"/>
      <c r="F94" s="1037"/>
      <c r="G94" s="1037"/>
      <c r="H94" s="1037"/>
      <c r="I94" s="1037"/>
      <c r="J94" s="1037"/>
      <c r="K94" s="1037"/>
      <c r="L94" s="1037"/>
      <c r="M94" s="1037"/>
      <c r="N94" s="1037"/>
    </row>
    <row r="95" spans="3:14" x14ac:dyDescent="0.25">
      <c r="D95" s="1037"/>
      <c r="E95" s="1037"/>
      <c r="F95" s="1037"/>
      <c r="G95" s="1037"/>
      <c r="H95" s="1037"/>
      <c r="I95" s="1037"/>
      <c r="J95" s="1037"/>
      <c r="K95" s="1037"/>
      <c r="L95" s="1037"/>
      <c r="M95" s="1037"/>
      <c r="N95" s="1037"/>
    </row>
    <row r="96" spans="3:14" x14ac:dyDescent="0.25">
      <c r="D96" s="1037"/>
      <c r="E96" s="1037"/>
      <c r="F96" s="1037"/>
      <c r="G96" s="1037"/>
      <c r="H96" s="1037"/>
      <c r="I96" s="1037"/>
      <c r="J96" s="1037"/>
      <c r="K96" s="1037"/>
      <c r="L96" s="1037"/>
      <c r="M96" s="1037"/>
      <c r="N96" s="1037"/>
    </row>
    <row r="97" spans="1:16" x14ac:dyDescent="0.25">
      <c r="D97" s="1037"/>
      <c r="E97" s="1037"/>
      <c r="F97" s="1037"/>
      <c r="G97" s="1037"/>
      <c r="H97" s="1037"/>
      <c r="I97" s="1037"/>
      <c r="J97" s="1037"/>
      <c r="K97" s="1037"/>
      <c r="L97" s="1037"/>
      <c r="M97" s="1037"/>
      <c r="N97" s="1037"/>
    </row>
    <row r="98" spans="1:16" x14ac:dyDescent="0.25">
      <c r="D98" s="1037"/>
      <c r="E98" s="1037"/>
      <c r="F98" s="1037"/>
      <c r="G98" s="1037"/>
      <c r="H98" s="1037"/>
      <c r="I98" s="1037"/>
      <c r="J98" s="1037"/>
      <c r="K98" s="1037"/>
      <c r="L98" s="1037"/>
      <c r="M98" s="1037"/>
      <c r="N98" s="1037"/>
    </row>
    <row r="99" spans="1:16" x14ac:dyDescent="0.25">
      <c r="D99" s="1037"/>
      <c r="E99" s="1037"/>
      <c r="F99" s="1037"/>
      <c r="G99" s="1037"/>
      <c r="H99" s="1037"/>
      <c r="I99" s="1037"/>
      <c r="J99" s="1037"/>
      <c r="K99" s="1037"/>
      <c r="L99" s="1037"/>
      <c r="M99" s="1037"/>
      <c r="N99" s="1037"/>
    </row>
    <row r="100" spans="1:16" x14ac:dyDescent="0.25">
      <c r="D100" s="1037"/>
      <c r="E100" s="1037"/>
      <c r="F100" s="1037"/>
      <c r="G100" s="1037"/>
      <c r="H100" s="1037"/>
      <c r="I100" s="1037"/>
      <c r="J100" s="1037"/>
      <c r="K100" s="1037"/>
      <c r="L100" s="1037"/>
      <c r="M100" s="1037"/>
      <c r="N100" s="1037"/>
    </row>
    <row r="101" spans="1:16" x14ac:dyDescent="0.25">
      <c r="D101" s="1037"/>
      <c r="E101" s="1037"/>
      <c r="F101" s="1037"/>
      <c r="G101" s="1037"/>
      <c r="H101" s="1037"/>
      <c r="I101" s="1037"/>
      <c r="J101" s="1037"/>
      <c r="K101" s="1037"/>
      <c r="L101" s="1037"/>
      <c r="M101" s="1037"/>
      <c r="N101" s="1037"/>
    </row>
    <row r="102" spans="1:16" x14ac:dyDescent="0.25">
      <c r="D102" s="1037"/>
      <c r="E102" s="1037"/>
      <c r="F102" s="1037"/>
      <c r="G102" s="1037"/>
      <c r="H102" s="1037"/>
      <c r="I102" s="1037"/>
      <c r="J102" s="1037"/>
      <c r="K102" s="1037"/>
      <c r="L102" s="1037"/>
      <c r="M102" s="1037"/>
      <c r="N102" s="1037"/>
    </row>
    <row r="103" spans="1:16" x14ac:dyDescent="0.25">
      <c r="D103" s="1037"/>
      <c r="E103" s="1037"/>
      <c r="F103" s="1037"/>
      <c r="G103" s="1037"/>
      <c r="H103" s="1037"/>
      <c r="I103" s="1037"/>
      <c r="J103" s="1037"/>
      <c r="K103" s="1037"/>
      <c r="L103" s="1037"/>
      <c r="M103" s="1037"/>
      <c r="N103" s="1037"/>
    </row>
    <row r="104" spans="1:16" x14ac:dyDescent="0.25">
      <c r="D104" s="1037"/>
      <c r="E104" s="1037"/>
      <c r="F104" s="1037"/>
      <c r="G104" s="1037"/>
      <c r="H104" s="1037"/>
      <c r="I104" s="1037"/>
      <c r="J104" s="1037"/>
      <c r="K104" s="1037"/>
      <c r="L104" s="1037"/>
      <c r="M104" s="1037"/>
      <c r="N104" s="1037"/>
    </row>
    <row r="105" spans="1:16" x14ac:dyDescent="0.25">
      <c r="D105" s="1037"/>
      <c r="E105" s="1037"/>
      <c r="F105" s="1037"/>
      <c r="G105" s="1037"/>
      <c r="H105" s="1037"/>
      <c r="I105" s="1037"/>
      <c r="J105" s="1037"/>
      <c r="K105" s="1037"/>
      <c r="L105" s="1037"/>
      <c r="M105" s="1037"/>
      <c r="N105" s="1037"/>
    </row>
    <row r="106" spans="1:16" x14ac:dyDescent="0.25">
      <c r="D106" s="1037"/>
      <c r="E106" s="1037"/>
      <c r="F106" s="1037"/>
      <c r="G106" s="1037"/>
      <c r="H106" s="1037"/>
      <c r="I106" s="1037"/>
      <c r="J106" s="1037"/>
      <c r="K106" s="1037"/>
      <c r="L106" s="1037"/>
      <c r="M106" s="1037"/>
      <c r="N106" s="1037"/>
    </row>
    <row r="108" spans="1:16" s="111" customFormat="1" hidden="1" x14ac:dyDescent="0.25">
      <c r="A108" s="111" t="s">
        <v>0</v>
      </c>
      <c r="O108" s="112"/>
      <c r="P108" s="111" t="s">
        <v>3</v>
      </c>
    </row>
  </sheetData>
  <sheetProtection sheet="1" objects="1" scenarios="1" formatCells="0" formatColumns="0" formatRows="0"/>
  <mergeCells count="105">
    <mergeCell ref="G2:H2"/>
    <mergeCell ref="I2:J2"/>
    <mergeCell ref="M3:N3"/>
    <mergeCell ref="E2:F2"/>
    <mergeCell ref="B2:D4"/>
    <mergeCell ref="K4:L4"/>
    <mergeCell ref="M4:N4"/>
    <mergeCell ref="G4:H4"/>
    <mergeCell ref="I4:J4"/>
    <mergeCell ref="E4:F4"/>
    <mergeCell ref="K2:L2"/>
    <mergeCell ref="M2:N2"/>
    <mergeCell ref="E3:F3"/>
    <mergeCell ref="G3:H3"/>
    <mergeCell ref="D6:L6"/>
    <mergeCell ref="D7:N7"/>
    <mergeCell ref="D9:N9"/>
    <mergeCell ref="D14:N14"/>
    <mergeCell ref="D8:N8"/>
    <mergeCell ref="D13:N13"/>
    <mergeCell ref="D10:N10"/>
    <mergeCell ref="I3:J3"/>
    <mergeCell ref="K3:L3"/>
    <mergeCell ref="E23:N23"/>
    <mergeCell ref="E24:N24"/>
    <mergeCell ref="D47:N47"/>
    <mergeCell ref="D36:N36"/>
    <mergeCell ref="D28:N28"/>
    <mergeCell ref="D12:N12"/>
    <mergeCell ref="D15:N15"/>
    <mergeCell ref="E31:N31"/>
    <mergeCell ref="E32:N32"/>
    <mergeCell ref="D35:N35"/>
    <mergeCell ref="D27:N27"/>
    <mergeCell ref="D30:N30"/>
    <mergeCell ref="D26:N26"/>
    <mergeCell ref="D16:N16"/>
    <mergeCell ref="D20:N20"/>
    <mergeCell ref="D21:N21"/>
    <mergeCell ref="D17:N17"/>
    <mergeCell ref="D18:N18"/>
    <mergeCell ref="D22:N22"/>
    <mergeCell ref="D19:N19"/>
    <mergeCell ref="D57:N57"/>
    <mergeCell ref="D64:N64"/>
    <mergeCell ref="D48:N48"/>
    <mergeCell ref="D50:N50"/>
    <mergeCell ref="F55:N55"/>
    <mergeCell ref="F52:N52"/>
    <mergeCell ref="F53:N53"/>
    <mergeCell ref="G38:J45"/>
    <mergeCell ref="E33:N33"/>
    <mergeCell ref="E34:N34"/>
    <mergeCell ref="E74:F74"/>
    <mergeCell ref="G71:N71"/>
    <mergeCell ref="E72:F72"/>
    <mergeCell ref="E68:F68"/>
    <mergeCell ref="G73:N73"/>
    <mergeCell ref="D77:N77"/>
    <mergeCell ref="D84:N84"/>
    <mergeCell ref="D58:N58"/>
    <mergeCell ref="D60:N60"/>
    <mergeCell ref="D61:N61"/>
    <mergeCell ref="D63:N63"/>
    <mergeCell ref="D65:N65"/>
    <mergeCell ref="G68:N68"/>
    <mergeCell ref="E69:F69"/>
    <mergeCell ref="D66:N66"/>
    <mergeCell ref="G72:N72"/>
    <mergeCell ref="D67:N67"/>
    <mergeCell ref="E70:F70"/>
    <mergeCell ref="G70:N70"/>
    <mergeCell ref="E73:F73"/>
    <mergeCell ref="G69:N69"/>
    <mergeCell ref="E71:F71"/>
    <mergeCell ref="D79:N79"/>
    <mergeCell ref="G74:N74"/>
    <mergeCell ref="D85:N85"/>
    <mergeCell ref="D97:N97"/>
    <mergeCell ref="E75:F75"/>
    <mergeCell ref="G75:N75"/>
    <mergeCell ref="D86:N86"/>
    <mergeCell ref="D82:N82"/>
    <mergeCell ref="D80:N80"/>
    <mergeCell ref="D81:M81"/>
    <mergeCell ref="D89:N89"/>
    <mergeCell ref="D96:N96"/>
    <mergeCell ref="D78:N78"/>
    <mergeCell ref="D88:N88"/>
    <mergeCell ref="D87:N87"/>
    <mergeCell ref="D92:N92"/>
    <mergeCell ref="D93:N93"/>
    <mergeCell ref="D90:N90"/>
    <mergeCell ref="D91:N91"/>
    <mergeCell ref="D94:N94"/>
    <mergeCell ref="D95:N95"/>
    <mergeCell ref="D106:N106"/>
    <mergeCell ref="D98:N98"/>
    <mergeCell ref="D99:N99"/>
    <mergeCell ref="D100:N100"/>
    <mergeCell ref="D101:N101"/>
    <mergeCell ref="D102:N102"/>
    <mergeCell ref="D103:N103"/>
    <mergeCell ref="D104:N104"/>
    <mergeCell ref="D105:N105"/>
  </mergeCells>
  <phoneticPr fontId="9" type="noConversion"/>
  <hyperlinks>
    <hyperlink ref="F52" r:id="rId1" display="http://eur-lex.europa.eu/en/index.htm " xr:uid="{00000000-0004-0000-0100-000000000000}"/>
    <hyperlink ref="F55" r:id="rId2" display="https://climate.ec.europa.eu/eu-action/eu-emissions-trading-system-eu-ets/monitoring-reporting-and-verification-eu-ets-emissions_en" xr:uid="{00000000-0004-0000-0100-000001000000}"/>
    <hyperlink ref="D10:M10" r:id="rId3" display="http://ec.europa.eu/clima/documentation/ets/docs/decision_benchmarking_15_dec_en.pdf. " xr:uid="{00000000-0004-0000-0100-000002000000}"/>
    <hyperlink ref="D10" r:id="rId4" xr:uid="{00000000-0004-0000-0100-000003000000}"/>
    <hyperlink ref="G2:H2" location="JUMP_a_Content" display="Table of contents" xr:uid="{00000000-0004-0000-0100-000004000000}"/>
    <hyperlink ref="D27" r:id="rId5" display="https://climate.ec.europa.eu/eu-action/eu-emissions-trading-system-eu-ets/monitoring-reporting-and-verification-eu-ets-emissions_en" xr:uid="{00000000-0004-0000-0100-000005000000}"/>
    <hyperlink ref="D13:N13" r:id="rId6" display="https://eur-lex.europa.eu/eli/reg_impl/2018/2066/oj" xr:uid="{00000000-0004-0000-0100-000006000000}"/>
    <hyperlink ref="D13" r:id="rId7" xr:uid="{00000000-0004-0000-0100-000007000000}"/>
    <hyperlink ref="F53" r:id="rId8" display="https://climate.ec.europa.eu/eu-action/eu-emissions-trading-system-eu-ets_en" xr:uid="{00000000-0004-0000-0100-000008000000}"/>
  </hyperlinks>
  <pageMargins left="0.78740157480314965" right="0.78740157480314965" top="0.78740157480314965" bottom="0.78740157480314965" header="0.39370078740157483" footer="0.39370078740157483"/>
  <pageSetup paperSize="9" scale="61" fitToHeight="2" orientation="portrait" r:id="rId9"/>
  <headerFooter alignWithMargins="0">
    <oddHeader>&amp;L&amp;F, &amp;A&amp;R&amp;D, &amp;T</oddHeader>
    <oddFooter>&amp;C&amp;P /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
    <tabColor indexed="43"/>
    <pageSetUpPr fitToPage="1"/>
  </sheetPr>
  <dimension ref="A1:W115"/>
  <sheetViews>
    <sheetView workbookViewId="0">
      <pane ySplit="4" topLeftCell="A5" activePane="bottomLeft" state="frozen"/>
      <selection activeCell="B2" sqref="B2"/>
      <selection pane="bottomLeft" activeCell="B2" sqref="B2:D4"/>
    </sheetView>
  </sheetViews>
  <sheetFormatPr defaultColWidth="9.1796875" defaultRowHeight="12.5" x14ac:dyDescent="0.25"/>
  <cols>
    <col min="1" max="1" width="2.7265625" style="197" hidden="1" customWidth="1"/>
    <col min="2" max="2" width="2.7265625" style="143" customWidth="1"/>
    <col min="3" max="4" width="4.7265625" style="143" customWidth="1"/>
    <col min="5" max="14" width="12.7265625" style="143" customWidth="1"/>
    <col min="15" max="15" width="2.7265625" style="212" customWidth="1"/>
    <col min="16" max="16" width="11.453125" style="143" customWidth="1"/>
    <col min="17" max="23" width="11.453125" style="144" hidden="1" customWidth="1"/>
    <col min="24" max="16384" width="9.1796875" style="143"/>
  </cols>
  <sheetData>
    <row r="1" spans="1:23" ht="13" hidden="1" thickBot="1" x14ac:dyDescent="0.3">
      <c r="A1" s="137" t="s">
        <v>0</v>
      </c>
      <c r="B1" s="138"/>
      <c r="C1" s="139"/>
      <c r="D1" s="140"/>
      <c r="E1" s="138"/>
      <c r="F1" s="138"/>
      <c r="G1" s="141"/>
      <c r="H1" s="141"/>
      <c r="I1" s="138"/>
      <c r="J1" s="138"/>
      <c r="K1" s="138"/>
      <c r="L1" s="138"/>
      <c r="M1" s="138"/>
      <c r="N1" s="138"/>
      <c r="O1" s="142"/>
      <c r="P1" s="115"/>
      <c r="Q1" s="113" t="s">
        <v>0</v>
      </c>
      <c r="R1" s="113" t="s">
        <v>0</v>
      </c>
      <c r="S1" s="113" t="s">
        <v>0</v>
      </c>
      <c r="T1" s="113" t="s">
        <v>0</v>
      </c>
      <c r="U1" s="113" t="s">
        <v>0</v>
      </c>
      <c r="V1" s="113" t="s">
        <v>0</v>
      </c>
      <c r="W1" s="113" t="s">
        <v>0</v>
      </c>
    </row>
    <row r="2" spans="1:23" ht="13.5" customHeight="1" thickBot="1" x14ac:dyDescent="0.35">
      <c r="A2" s="137"/>
      <c r="B2" s="1003" t="str">
        <f>Translations!$B$290</f>
        <v>A. Entity ID</v>
      </c>
      <c r="C2" s="1004"/>
      <c r="D2" s="1005"/>
      <c r="E2" s="1019" t="str">
        <f>Translations!$B$13</f>
        <v>Navigation area:</v>
      </c>
      <c r="F2" s="1020"/>
      <c r="G2" s="1021" t="str">
        <f>Translations!$B$14</f>
        <v>Table of contents</v>
      </c>
      <c r="H2" s="1022"/>
      <c r="I2" s="1021" t="str">
        <f ca="1">HYPERLINK("#"&amp;INDEX(a_Contents!$R$4:$R$49,MATCH(INDEX(a_Contents!$T$4:$T$49,MATCH($T$2,a_Contents!$S$4:$S$49,0))-1,a_Contents!$T$4:$T$49,0)),EUconst_PreviousSheet)</f>
        <v>Previous sheet</v>
      </c>
      <c r="J2" s="1022"/>
      <c r="K2" s="1021" t="str">
        <f ca="1">HYPERLINK("#"&amp;INDEX(a_Contents!$R$4:$R$49,MATCH(INDEX(a_Contents!$T$4:$T$49,MATCH($T$2,a_Contents!$S$4:$S$49,0))+1,a_Contents!$T$4:$T$49,0)),EUconst_NextSheet)</f>
        <v>Next sheet</v>
      </c>
      <c r="L2" s="1022"/>
      <c r="M2" s="1014" t="str">
        <f ca="1">HYPERLINK("#"&amp;a_Contents!$R$46,INDIRECT(a_Contents!$R$46))</f>
        <v>I Accounting sheet</v>
      </c>
      <c r="N2" s="1015"/>
      <c r="O2" s="142"/>
      <c r="P2" s="115"/>
      <c r="Q2" s="61" t="s">
        <v>1</v>
      </c>
      <c r="R2" s="66" t="str">
        <f>ADDRESS(ROW($B$6),COLUMN($B$6)) &amp; ":" &amp; ADDRESS(MATCH("PRINT",$P:$P,0),COLUMN($P$6))</f>
        <v>$B$6:$P$115</v>
      </c>
      <c r="S2" s="61" t="s">
        <v>2</v>
      </c>
      <c r="T2" s="67" t="str">
        <f ca="1">IF(ISERROR(CELL("filename",U2)),"B_EntityID",MID(CELL("filename",U2),FIND("]",CELL("filename",U2))+1,1024))</f>
        <v>A_EntityID</v>
      </c>
      <c r="U2" s="113"/>
      <c r="V2" s="111"/>
      <c r="W2" s="111"/>
    </row>
    <row r="3" spans="1:23" ht="12.75" customHeight="1" x14ac:dyDescent="0.25">
      <c r="A3" s="137"/>
      <c r="B3" s="1006"/>
      <c r="C3" s="1007"/>
      <c r="D3" s="1008"/>
      <c r="E3" s="1135"/>
      <c r="F3" s="1115"/>
      <c r="G3" s="1114" t="str">
        <f>IFERROR(HYPERLINK("#"&amp;ADDRESS(ROW($A$1)+MATCH(Q3,$A:$A,0)-1,3),INDEX($Q:$Q,MATCH(Q3,$A:$A,0))),"")</f>
        <v>About the regulated entity</v>
      </c>
      <c r="H3" s="1115"/>
      <c r="I3" s="1114" t="str">
        <f>IFERROR(HYPERLINK("#"&amp;ADDRESS(ROW($A$1)+MATCH(S3,$A:$A,0)-1,3),INDEX($Q:$Q,MATCH(S3,$A:$A,0))),"")</f>
        <v>Regulated entity details</v>
      </c>
      <c r="J3" s="1115"/>
      <c r="K3" s="1114" t="str">
        <f>IFERROR(HYPERLINK("#"&amp;ADDRESS(ROW($A$1)+MATCH(U3,$A:$A,0)-1,3),INDEX($Q:$Q,MATCH(U3,$A:$A,0))),"")</f>
        <v xml:space="preserve">Contact details </v>
      </c>
      <c r="L3" s="1136"/>
      <c r="M3" s="999" t="str">
        <f>IFERROR(HYPERLINK("#"&amp;ADDRESS(ROW($A$1)+MATCH(W3,$A:$A,0)-1,3),INDEX($Q:$Q,MATCH(W3,$A:$A,0))),"")</f>
        <v>Monitoring &amp; Reporting details</v>
      </c>
      <c r="N3" s="999"/>
      <c r="O3" s="142"/>
      <c r="P3" s="115"/>
      <c r="Q3" s="145">
        <v>1</v>
      </c>
      <c r="R3" s="146"/>
      <c r="S3" s="146">
        <v>2</v>
      </c>
      <c r="T3" s="146"/>
      <c r="U3" s="146">
        <v>3</v>
      </c>
      <c r="V3" s="146"/>
      <c r="W3" s="147">
        <v>4</v>
      </c>
    </row>
    <row r="4" spans="1:23" x14ac:dyDescent="0.25">
      <c r="A4" s="137"/>
      <c r="B4" s="1006"/>
      <c r="C4" s="1007"/>
      <c r="D4" s="1008"/>
      <c r="E4" s="1134"/>
      <c r="F4" s="1113"/>
      <c r="G4" s="1112" t="str">
        <f>IFERROR(HYPERLINK("#"&amp;ADDRESS(ROW($A$1)+MATCH(Q4,$A:$A,0)-1,3),INDEX($Q:$Q,MATCH(Q4,$A:$A,0))),"")</f>
        <v>Verifier contact</v>
      </c>
      <c r="H4" s="1113"/>
      <c r="I4" s="1112" t="str">
        <f>IFERROR(HYPERLINK("#"&amp;ADDRESS(ROW($A$1)+MATCH(S4,$A:$A,0)-1,3),INDEX($Q:$Q,MATCH(S4,$A:$A,0))),"")</f>
        <v/>
      </c>
      <c r="J4" s="1113"/>
      <c r="K4" s="1112" t="str">
        <f>IFERROR(HYPERLINK("#"&amp;ADDRESS(ROW($A$1)+MATCH(U4,$A:$A,0)-1,3),INDEX($Q:$Q,MATCH(U4,$A:$A,0))),"")</f>
        <v/>
      </c>
      <c r="L4" s="1116"/>
      <c r="M4" s="999" t="str">
        <f>IFERROR(HYPERLINK("#"&amp;ADDRESS(ROW($A$1)+MATCH(W4,$A:$A,0)-1,3),INDEX($Q:$Q,MATCH(W4,$A:$A,0))),"")</f>
        <v/>
      </c>
      <c r="N4" s="999"/>
      <c r="O4" s="142"/>
      <c r="P4" s="115"/>
      <c r="Q4" s="148">
        <v>5</v>
      </c>
      <c r="R4" s="149"/>
      <c r="S4" s="149">
        <v>6</v>
      </c>
      <c r="T4" s="149"/>
      <c r="U4" s="149">
        <v>7</v>
      </c>
      <c r="V4" s="149"/>
      <c r="W4" s="150">
        <v>8</v>
      </c>
    </row>
    <row r="5" spans="1:23" x14ac:dyDescent="0.25">
      <c r="A5" s="151"/>
      <c r="B5" s="116"/>
      <c r="C5" s="116"/>
      <c r="D5" s="116"/>
      <c r="E5" s="116"/>
      <c r="F5" s="116"/>
      <c r="G5" s="116"/>
      <c r="H5" s="116"/>
      <c r="I5" s="116"/>
      <c r="J5" s="116"/>
      <c r="K5" s="116"/>
      <c r="L5" s="116"/>
      <c r="M5" s="116"/>
      <c r="N5" s="116"/>
      <c r="O5" s="142"/>
      <c r="P5" s="115"/>
      <c r="Q5" s="113"/>
      <c r="R5" s="113"/>
      <c r="S5" s="113"/>
      <c r="T5" s="113"/>
      <c r="U5" s="113"/>
      <c r="V5" s="111"/>
      <c r="W5" s="111"/>
    </row>
    <row r="6" spans="1:23" ht="25.5" customHeight="1" x14ac:dyDescent="0.25">
      <c r="A6" s="152"/>
      <c r="B6" s="116"/>
      <c r="C6" s="1074" t="str">
        <f>Translations!$B$291</f>
        <v>A. Regulated entity identification</v>
      </c>
      <c r="D6" s="1074"/>
      <c r="E6" s="1074"/>
      <c r="F6" s="1074"/>
      <c r="G6" s="1074"/>
      <c r="H6" s="1074"/>
      <c r="I6" s="1074"/>
      <c r="J6" s="1074"/>
      <c r="K6" s="1074"/>
      <c r="L6" s="1074"/>
      <c r="M6" s="1074"/>
      <c r="N6" s="1074"/>
      <c r="O6" s="64"/>
      <c r="P6" s="68"/>
      <c r="Q6" s="113"/>
      <c r="R6" s="62"/>
      <c r="S6" s="62"/>
      <c r="T6" s="62"/>
      <c r="U6" s="62"/>
      <c r="V6" s="62"/>
      <c r="W6" s="62"/>
    </row>
    <row r="7" spans="1:23" s="68" customFormat="1" ht="12.75" customHeight="1" x14ac:dyDescent="0.25">
      <c r="A7" s="152"/>
      <c r="B7" s="116"/>
      <c r="C7" s="153"/>
      <c r="D7" s="154"/>
      <c r="E7" s="154"/>
      <c r="F7" s="154"/>
      <c r="G7" s="154"/>
      <c r="H7" s="154"/>
      <c r="I7" s="154"/>
      <c r="J7" s="154"/>
      <c r="K7" s="154"/>
      <c r="L7" s="154"/>
      <c r="M7" s="154"/>
      <c r="N7" s="154"/>
      <c r="O7" s="64"/>
      <c r="Q7" s="62"/>
      <c r="R7" s="62"/>
      <c r="S7" s="62"/>
      <c r="T7" s="62"/>
      <c r="U7" s="62"/>
      <c r="V7" s="62"/>
      <c r="W7" s="62"/>
    </row>
    <row r="8" spans="1:23" s="115" customFormat="1" ht="5.15" customHeight="1" x14ac:dyDescent="0.25">
      <c r="A8" s="152"/>
      <c r="B8" s="116"/>
      <c r="C8" s="155"/>
      <c r="D8" s="156"/>
      <c r="E8" s="156"/>
      <c r="F8" s="156"/>
      <c r="G8" s="156"/>
      <c r="H8" s="156"/>
      <c r="I8" s="156"/>
      <c r="J8" s="156"/>
      <c r="K8" s="156"/>
      <c r="L8" s="156"/>
      <c r="M8" s="156"/>
      <c r="N8" s="156"/>
      <c r="O8" s="142"/>
      <c r="Q8" s="113"/>
      <c r="R8" s="62"/>
      <c r="S8" s="62"/>
      <c r="T8" s="62"/>
      <c r="U8" s="62"/>
      <c r="V8" s="62"/>
      <c r="W8" s="62"/>
    </row>
    <row r="9" spans="1:23" s="68" customFormat="1" ht="25.5" customHeight="1" x14ac:dyDescent="0.25">
      <c r="A9" s="152"/>
      <c r="B9" s="116"/>
      <c r="C9" s="157">
        <v>1</v>
      </c>
      <c r="D9" s="1125" t="str">
        <f>Translations!$B$292</f>
        <v>Reporting year</v>
      </c>
      <c r="E9" s="1125"/>
      <c r="F9" s="1125"/>
      <c r="G9" s="1125"/>
      <c r="H9" s="1125"/>
      <c r="I9" s="159"/>
      <c r="J9" s="1126">
        <v>2025</v>
      </c>
      <c r="K9" s="1126"/>
      <c r="L9" s="159"/>
      <c r="M9" s="159"/>
      <c r="N9" s="159"/>
      <c r="O9" s="160"/>
      <c r="Q9" s="161" t="s">
        <v>10</v>
      </c>
      <c r="R9" s="62"/>
      <c r="S9" s="62"/>
      <c r="T9" s="62"/>
      <c r="U9" s="62"/>
      <c r="V9" s="62"/>
      <c r="W9" s="62"/>
    </row>
    <row r="10" spans="1:23" s="115" customFormat="1" ht="5.15" customHeight="1" x14ac:dyDescent="0.25">
      <c r="A10" s="152"/>
      <c r="B10" s="116"/>
      <c r="C10" s="155"/>
      <c r="D10" s="156"/>
      <c r="E10" s="156"/>
      <c r="F10" s="156"/>
      <c r="G10" s="156"/>
      <c r="H10" s="156"/>
      <c r="I10" s="156"/>
      <c r="J10" s="156"/>
      <c r="K10" s="156"/>
      <c r="L10" s="156"/>
      <c r="M10" s="156"/>
      <c r="N10" s="156"/>
      <c r="O10" s="142"/>
      <c r="Q10" s="113"/>
      <c r="R10" s="62"/>
      <c r="S10" s="62"/>
      <c r="T10" s="62"/>
      <c r="U10" s="62"/>
      <c r="V10" s="62"/>
      <c r="W10" s="62"/>
    </row>
    <row r="11" spans="1:23" s="116" customFormat="1" ht="12.75" customHeight="1" x14ac:dyDescent="0.25">
      <c r="A11" s="152"/>
      <c r="C11" s="162"/>
      <c r="D11" s="76"/>
      <c r="O11" s="117"/>
      <c r="Q11" s="111"/>
      <c r="R11" s="62"/>
      <c r="S11" s="62"/>
      <c r="T11" s="62"/>
      <c r="U11" s="62"/>
      <c r="V11" s="62"/>
      <c r="W11" s="62"/>
    </row>
    <row r="12" spans="1:23" s="116" customFormat="1" ht="25.5" customHeight="1" x14ac:dyDescent="0.25">
      <c r="A12" s="152"/>
      <c r="C12" s="163"/>
      <c r="D12" s="1127" t="str">
        <f>Translations!$B$293</f>
        <v>Please note that - subject to the administrative practice in the Member State - changes regarding the name or identity of the regulated entity, or other information relevant for the permit will require a formal notification to the competent authority pursuant to Article 7 of the EU ETS Directive.</v>
      </c>
      <c r="E12" s="1127"/>
      <c r="F12" s="1127"/>
      <c r="G12" s="1127"/>
      <c r="H12" s="1127"/>
      <c r="I12" s="1127"/>
      <c r="J12" s="1127"/>
      <c r="K12" s="1127"/>
      <c r="L12" s="1127"/>
      <c r="M12" s="1127"/>
      <c r="N12" s="1128"/>
      <c r="O12" s="165"/>
      <c r="Q12" s="111"/>
      <c r="R12" s="62"/>
      <c r="S12" s="62"/>
      <c r="T12" s="62"/>
      <c r="U12" s="62"/>
      <c r="V12" s="62"/>
      <c r="W12" s="62"/>
    </row>
    <row r="13" spans="1:23" s="116" customFormat="1" ht="12.75" customHeight="1" x14ac:dyDescent="0.25">
      <c r="A13" s="152"/>
      <c r="C13" s="163"/>
      <c r="D13" s="1129" t="str">
        <f>Translations!$B$294</f>
        <v>Reporting of such changes in this sheet will usually not be sufficient. However, the most recent data has to be filled in here.</v>
      </c>
      <c r="E13" s="1129"/>
      <c r="F13" s="1129"/>
      <c r="G13" s="1129"/>
      <c r="H13" s="1129"/>
      <c r="I13" s="1129"/>
      <c r="J13" s="1129"/>
      <c r="K13" s="1129"/>
      <c r="L13" s="1129"/>
      <c r="M13" s="1129"/>
      <c r="N13" s="1130"/>
      <c r="O13" s="117"/>
      <c r="Q13" s="111"/>
      <c r="R13" s="62"/>
      <c r="S13" s="62"/>
      <c r="T13" s="62"/>
      <c r="U13" s="62"/>
      <c r="V13" s="62"/>
      <c r="W13" s="62"/>
    </row>
    <row r="14" spans="1:23" s="116" customFormat="1" ht="25.5" customHeight="1" x14ac:dyDescent="0.25">
      <c r="A14" s="152"/>
      <c r="C14" s="163"/>
      <c r="D14" s="1131" t="str">
        <f>Translations!$B$295</f>
        <v>Include any Member State specific guidance</v>
      </c>
      <c r="E14" s="1132"/>
      <c r="F14" s="1132"/>
      <c r="G14" s="1132"/>
      <c r="H14" s="1132"/>
      <c r="I14" s="1132"/>
      <c r="J14" s="1132"/>
      <c r="K14" s="1132"/>
      <c r="L14" s="1132"/>
      <c r="M14" s="1132"/>
      <c r="N14" s="1133"/>
      <c r="O14" s="117"/>
      <c r="Q14" s="111"/>
      <c r="R14" s="62"/>
      <c r="S14" s="62"/>
      <c r="T14" s="62"/>
      <c r="U14" s="62"/>
      <c r="V14" s="62"/>
      <c r="W14" s="62"/>
    </row>
    <row r="15" spans="1:23" x14ac:dyDescent="0.25">
      <c r="A15" s="151"/>
      <c r="B15" s="116"/>
      <c r="C15" s="116"/>
      <c r="D15" s="116"/>
      <c r="E15" s="116"/>
      <c r="F15" s="116"/>
      <c r="G15" s="116"/>
      <c r="H15" s="116"/>
      <c r="I15" s="116"/>
      <c r="J15" s="116"/>
      <c r="K15" s="116"/>
      <c r="L15" s="116"/>
      <c r="M15" s="116"/>
      <c r="N15" s="116"/>
      <c r="O15" s="142"/>
      <c r="P15" s="115"/>
      <c r="Q15" s="113"/>
      <c r="R15" s="113"/>
      <c r="S15" s="113"/>
      <c r="T15" s="113"/>
      <c r="U15" s="113"/>
      <c r="V15" s="111"/>
      <c r="W15" s="111"/>
    </row>
    <row r="16" spans="1:23" ht="15.5" x14ac:dyDescent="0.35">
      <c r="A16" s="167">
        <v>1</v>
      </c>
      <c r="B16" s="116"/>
      <c r="C16" s="168">
        <v>1</v>
      </c>
      <c r="D16" s="1104" t="str">
        <f>Translations!$B$178</f>
        <v>About the regulated entity</v>
      </c>
      <c r="E16" s="1104"/>
      <c r="F16" s="1104"/>
      <c r="G16" s="1104"/>
      <c r="H16" s="1104"/>
      <c r="I16" s="1104"/>
      <c r="J16" s="1104"/>
      <c r="K16" s="1104"/>
      <c r="L16" s="1104"/>
      <c r="M16" s="1104"/>
      <c r="N16" s="1104"/>
      <c r="O16" s="64"/>
      <c r="P16" s="68"/>
      <c r="Q16" s="169" t="str">
        <f>D16</f>
        <v>About the regulated entity</v>
      </c>
      <c r="R16" s="113"/>
      <c r="S16" s="113"/>
      <c r="T16" s="113"/>
      <c r="U16" s="113"/>
      <c r="V16" s="111"/>
      <c r="W16" s="111"/>
    </row>
    <row r="17" spans="1:21" ht="5.15" customHeight="1" x14ac:dyDescent="0.25">
      <c r="A17" s="151"/>
      <c r="B17" s="116"/>
      <c r="C17" s="170"/>
      <c r="D17" s="170"/>
      <c r="E17" s="115"/>
      <c r="F17" s="115"/>
      <c r="G17" s="115"/>
      <c r="H17" s="115"/>
      <c r="I17" s="115"/>
      <c r="J17" s="115"/>
      <c r="K17" s="115"/>
      <c r="L17" s="115"/>
      <c r="M17" s="115"/>
      <c r="N17" s="115"/>
      <c r="O17" s="142"/>
      <c r="P17" s="115"/>
      <c r="Q17" s="113"/>
      <c r="R17" s="113"/>
      <c r="S17" s="113"/>
      <c r="T17" s="113"/>
      <c r="U17" s="113"/>
    </row>
    <row r="18" spans="1:21" ht="13" x14ac:dyDescent="0.25">
      <c r="A18" s="151"/>
      <c r="B18" s="116"/>
      <c r="C18" s="170"/>
      <c r="D18" s="171" t="s">
        <v>6</v>
      </c>
      <c r="E18" s="1119" t="str">
        <f>Translations!$B$52</f>
        <v>Competent Authority</v>
      </c>
      <c r="F18" s="1120"/>
      <c r="G18" s="1120"/>
      <c r="H18" s="172"/>
      <c r="I18" s="1157"/>
      <c r="J18" s="1158"/>
      <c r="K18" s="1158"/>
      <c r="L18" s="1158"/>
      <c r="M18" s="1158"/>
      <c r="N18" s="1159"/>
      <c r="O18" s="142"/>
      <c r="P18" s="115"/>
      <c r="Q18" s="113"/>
      <c r="R18" s="113"/>
      <c r="S18" s="113"/>
      <c r="T18" s="113"/>
      <c r="U18" s="113"/>
    </row>
    <row r="19" spans="1:21" ht="4.9000000000000004" customHeight="1" x14ac:dyDescent="0.25">
      <c r="A19" s="151"/>
      <c r="B19" s="116"/>
      <c r="C19" s="170"/>
      <c r="D19" s="171"/>
      <c r="E19" s="171"/>
      <c r="F19" s="171"/>
      <c r="G19" s="171"/>
      <c r="H19" s="115"/>
      <c r="I19" s="115"/>
      <c r="J19" s="115"/>
      <c r="K19" s="115"/>
      <c r="L19" s="115"/>
      <c r="M19" s="173"/>
      <c r="N19" s="174"/>
      <c r="O19" s="142"/>
      <c r="P19" s="115"/>
      <c r="Q19" s="113"/>
      <c r="R19" s="113"/>
      <c r="S19" s="113"/>
      <c r="T19" s="113"/>
      <c r="U19" s="113"/>
    </row>
    <row r="20" spans="1:21" ht="13" x14ac:dyDescent="0.25">
      <c r="A20" s="151"/>
      <c r="B20" s="116"/>
      <c r="C20" s="170"/>
      <c r="D20" s="171" t="s">
        <v>7</v>
      </c>
      <c r="E20" s="1119" t="str">
        <f>Translations!$B$53</f>
        <v>Member State</v>
      </c>
      <c r="F20" s="1120"/>
      <c r="G20" s="1120"/>
      <c r="H20" s="172"/>
      <c r="I20" s="1157"/>
      <c r="J20" s="1160"/>
      <c r="K20" s="1160"/>
      <c r="L20" s="1160"/>
      <c r="M20" s="1161"/>
      <c r="N20" s="1162"/>
      <c r="O20" s="142"/>
      <c r="P20" s="115"/>
      <c r="Q20" s="113"/>
      <c r="R20" s="113"/>
      <c r="S20" s="113"/>
      <c r="T20" s="113"/>
      <c r="U20" s="113"/>
    </row>
    <row r="21" spans="1:21" ht="4.9000000000000004" customHeight="1" x14ac:dyDescent="0.25">
      <c r="A21" s="151"/>
      <c r="B21" s="116"/>
      <c r="C21" s="170"/>
      <c r="D21" s="171"/>
      <c r="E21" s="171"/>
      <c r="F21" s="171"/>
      <c r="G21" s="171"/>
      <c r="H21" s="115"/>
      <c r="I21" s="115"/>
      <c r="J21" s="115"/>
      <c r="K21" s="115"/>
      <c r="L21" s="115"/>
      <c r="M21" s="173"/>
      <c r="N21" s="174"/>
      <c r="O21" s="142"/>
      <c r="P21" s="115"/>
      <c r="Q21" s="113"/>
      <c r="R21" s="113"/>
      <c r="S21" s="113"/>
      <c r="T21" s="113"/>
      <c r="U21" s="113"/>
    </row>
    <row r="22" spans="1:21" ht="13" x14ac:dyDescent="0.25">
      <c r="A22" s="151"/>
      <c r="B22" s="116"/>
      <c r="C22" s="170"/>
      <c r="D22" s="171" t="s">
        <v>11</v>
      </c>
      <c r="E22" s="1119" t="str">
        <f>Translations!$B$54</f>
        <v>Emissions trading permit number</v>
      </c>
      <c r="F22" s="1120"/>
      <c r="G22" s="1120"/>
      <c r="H22" s="172"/>
      <c r="I22" s="1137" t="str">
        <f>Translations!$B$55</f>
        <v>member state/CA prefix</v>
      </c>
      <c r="J22" s="1138"/>
      <c r="K22" s="1121"/>
      <c r="L22" s="1122"/>
      <c r="M22" s="115"/>
      <c r="N22" s="115"/>
      <c r="O22" s="175"/>
      <c r="P22" s="176"/>
      <c r="Q22" s="113"/>
      <c r="R22" s="113"/>
      <c r="S22" s="113"/>
      <c r="T22" s="113"/>
      <c r="U22" s="113"/>
    </row>
    <row r="23" spans="1:21" x14ac:dyDescent="0.25">
      <c r="A23" s="151"/>
      <c r="B23" s="116"/>
      <c r="C23" s="170"/>
      <c r="D23" s="170"/>
      <c r="E23" s="115"/>
      <c r="F23" s="115"/>
      <c r="G23" s="115"/>
      <c r="H23" s="115"/>
      <c r="I23" s="115"/>
      <c r="J23" s="115"/>
      <c r="K23" s="115"/>
      <c r="L23" s="115"/>
      <c r="M23" s="115"/>
      <c r="N23" s="115"/>
      <c r="O23" s="142"/>
      <c r="P23" s="115"/>
      <c r="Q23" s="113"/>
      <c r="R23" s="113"/>
      <c r="S23" s="113"/>
      <c r="T23" s="113"/>
      <c r="U23" s="113"/>
    </row>
    <row r="24" spans="1:21" ht="15.5" x14ac:dyDescent="0.35">
      <c r="A24" s="167">
        <v>2</v>
      </c>
      <c r="B24" s="116"/>
      <c r="C24" s="177">
        <v>2</v>
      </c>
      <c r="D24" s="1104" t="str">
        <f>Translations!$B$179</f>
        <v>Regulated entity details</v>
      </c>
      <c r="E24" s="1104"/>
      <c r="F24" s="1104"/>
      <c r="G24" s="1104"/>
      <c r="H24" s="1104"/>
      <c r="I24" s="1104"/>
      <c r="J24" s="1104"/>
      <c r="K24" s="1104"/>
      <c r="L24" s="1104"/>
      <c r="M24" s="1104"/>
      <c r="N24" s="1104"/>
      <c r="O24" s="142"/>
      <c r="P24" s="115"/>
      <c r="Q24" s="169" t="str">
        <f>D24</f>
        <v>Regulated entity details</v>
      </c>
      <c r="R24" s="113"/>
      <c r="S24" s="113"/>
      <c r="T24" s="113"/>
      <c r="U24" s="113"/>
    </row>
    <row r="25" spans="1:21" ht="5.15" customHeight="1" x14ac:dyDescent="0.25">
      <c r="A25" s="151"/>
      <c r="B25" s="116"/>
      <c r="C25" s="170"/>
      <c r="D25" s="178"/>
      <c r="E25" s="179"/>
      <c r="F25" s="179"/>
      <c r="G25" s="179"/>
      <c r="H25" s="179"/>
      <c r="I25" s="179"/>
      <c r="J25" s="179"/>
      <c r="K25" s="179"/>
      <c r="L25" s="179"/>
      <c r="M25" s="115"/>
      <c r="N25" s="115"/>
      <c r="O25" s="142"/>
      <c r="P25" s="115"/>
      <c r="Q25" s="113"/>
      <c r="R25" s="113"/>
      <c r="S25" s="113"/>
      <c r="T25" s="113"/>
      <c r="U25" s="113"/>
    </row>
    <row r="26" spans="1:21" ht="12.75" customHeight="1" x14ac:dyDescent="0.25">
      <c r="A26" s="180"/>
      <c r="B26" s="116"/>
      <c r="C26" s="181"/>
      <c r="D26" s="182" t="s">
        <v>6</v>
      </c>
      <c r="E26" s="182" t="str">
        <f>Translations!$B$180</f>
        <v>Name of the regulated entity and the site on which it is physically located (head quarters, storage facilities, etc.):</v>
      </c>
      <c r="F26" s="183"/>
      <c r="G26" s="183"/>
      <c r="H26" s="183"/>
      <c r="I26" s="68"/>
      <c r="J26" s="184"/>
      <c r="K26" s="68"/>
      <c r="L26" s="68"/>
      <c r="M26" s="68"/>
      <c r="N26" s="68"/>
      <c r="O26" s="142"/>
      <c r="P26" s="115"/>
      <c r="Q26" s="113"/>
      <c r="R26" s="113"/>
      <c r="S26" s="113"/>
      <c r="T26" s="113"/>
      <c r="U26" s="113"/>
    </row>
    <row r="27" spans="1:21" ht="4.9000000000000004" customHeight="1" x14ac:dyDescent="0.25">
      <c r="A27" s="151"/>
      <c r="B27" s="116"/>
      <c r="C27" s="170"/>
      <c r="D27" s="170"/>
      <c r="E27" s="185"/>
      <c r="F27" s="185"/>
      <c r="G27" s="185"/>
      <c r="H27" s="185"/>
      <c r="I27" s="115"/>
      <c r="J27" s="115"/>
      <c r="K27" s="115"/>
      <c r="L27" s="115"/>
      <c r="M27" s="186"/>
      <c r="N27" s="115"/>
      <c r="O27" s="142"/>
      <c r="P27" s="115"/>
      <c r="Q27" s="113"/>
      <c r="R27" s="113"/>
      <c r="S27" s="113"/>
      <c r="T27" s="113"/>
      <c r="U27" s="113"/>
    </row>
    <row r="28" spans="1:21" x14ac:dyDescent="0.25">
      <c r="A28" s="151"/>
      <c r="B28" s="116"/>
      <c r="C28" s="170"/>
      <c r="D28" s="187" t="s">
        <v>12</v>
      </c>
      <c r="E28" s="1088" t="str">
        <f>Translations!$B$181</f>
        <v>Regulated entity name:</v>
      </c>
      <c r="F28" s="1089"/>
      <c r="G28" s="1089"/>
      <c r="H28" s="172"/>
      <c r="I28" s="1163"/>
      <c r="J28" s="1164"/>
      <c r="K28" s="1164"/>
      <c r="L28" s="1164"/>
      <c r="M28" s="1110"/>
      <c r="N28" s="1111"/>
      <c r="O28" s="142"/>
      <c r="P28" s="115"/>
      <c r="Q28" s="113"/>
      <c r="R28" s="113"/>
      <c r="S28" s="113"/>
      <c r="T28" s="113"/>
      <c r="U28" s="113"/>
    </row>
    <row r="29" spans="1:21" ht="12.75" customHeight="1" x14ac:dyDescent="0.25">
      <c r="A29" s="151"/>
      <c r="B29" s="116"/>
      <c r="C29" s="170"/>
      <c r="D29" s="187" t="s">
        <v>13</v>
      </c>
      <c r="E29" s="1088" t="str">
        <f>Translations!$B$182</f>
        <v>Unique ID of the regulated entity:</v>
      </c>
      <c r="F29" s="1089"/>
      <c r="G29" s="1089"/>
      <c r="H29" s="172"/>
      <c r="I29" s="1105"/>
      <c r="J29" s="1106"/>
      <c r="K29" s="1106"/>
      <c r="L29" s="1106"/>
      <c r="M29" s="1101"/>
      <c r="N29" s="1102"/>
      <c r="O29" s="142"/>
      <c r="P29" s="115"/>
      <c r="Q29" s="113"/>
      <c r="R29" s="113"/>
      <c r="S29" s="113"/>
      <c r="T29" s="113"/>
      <c r="U29" s="113"/>
    </row>
    <row r="30" spans="1:21" ht="12.75" customHeight="1" x14ac:dyDescent="0.25">
      <c r="A30" s="151"/>
      <c r="B30" s="116"/>
      <c r="C30" s="170"/>
      <c r="D30" s="187"/>
      <c r="E30" s="1090" t="str">
        <f>Translations!$B$183</f>
        <v>Please contact the compentent authority for any guidance.</v>
      </c>
      <c r="F30" s="1090"/>
      <c r="G30" s="1090"/>
      <c r="H30" s="1090"/>
      <c r="I30" s="1090"/>
      <c r="J30" s="1090"/>
      <c r="K30" s="1090"/>
      <c r="L30" s="1090"/>
      <c r="M30" s="1090"/>
      <c r="N30" s="1090"/>
      <c r="O30" s="142"/>
      <c r="P30" s="115"/>
      <c r="Q30" s="113"/>
      <c r="R30" s="113"/>
      <c r="S30" s="113"/>
      <c r="T30" s="113"/>
      <c r="U30" s="113"/>
    </row>
    <row r="31" spans="1:21" ht="13" x14ac:dyDescent="0.25">
      <c r="A31" s="151"/>
      <c r="B31" s="116"/>
      <c r="C31" s="170"/>
      <c r="D31" s="170"/>
      <c r="E31" s="1123" t="str">
        <f>Translations!$B$184</f>
        <v>Include any Member State specific guidance on naming of regulated entities.</v>
      </c>
      <c r="F31" s="1124"/>
      <c r="G31" s="1124"/>
      <c r="H31" s="1124"/>
      <c r="I31" s="1124"/>
      <c r="J31" s="1124"/>
      <c r="K31" s="1124"/>
      <c r="L31" s="1124"/>
      <c r="M31" s="1124"/>
      <c r="N31" s="1124"/>
      <c r="O31" s="142"/>
      <c r="P31" s="115"/>
      <c r="Q31" s="113"/>
      <c r="R31" s="113"/>
      <c r="S31" s="113"/>
      <c r="T31" s="113"/>
      <c r="U31" s="113"/>
    </row>
    <row r="32" spans="1:21" ht="5.15" customHeight="1" x14ac:dyDescent="0.25">
      <c r="A32" s="151"/>
      <c r="B32" s="116"/>
      <c r="C32" s="170"/>
      <c r="D32" s="170"/>
      <c r="E32" s="185"/>
      <c r="F32" s="185"/>
      <c r="G32" s="185"/>
      <c r="H32" s="185"/>
      <c r="I32" s="116"/>
      <c r="J32" s="116"/>
      <c r="K32" s="116"/>
      <c r="L32" s="116"/>
      <c r="M32" s="116"/>
      <c r="N32" s="116"/>
      <c r="O32" s="142"/>
      <c r="P32" s="115"/>
      <c r="Q32" s="113"/>
      <c r="R32" s="113"/>
      <c r="S32" s="113"/>
      <c r="T32" s="113"/>
      <c r="U32" s="113"/>
    </row>
    <row r="33" spans="1:21" ht="12.75" customHeight="1" x14ac:dyDescent="0.25">
      <c r="A33" s="151"/>
      <c r="B33" s="116"/>
      <c r="C33" s="170"/>
      <c r="D33" s="187" t="s">
        <v>14</v>
      </c>
      <c r="E33" s="1088" t="str">
        <f>Translations!$B$185</f>
        <v>Excise number, if applicable:</v>
      </c>
      <c r="F33" s="1089"/>
      <c r="G33" s="1089"/>
      <c r="H33" s="172"/>
      <c r="I33" s="1165"/>
      <c r="J33" s="1166"/>
      <c r="K33" s="1166"/>
      <c r="L33" s="1166"/>
      <c r="M33" s="1161"/>
      <c r="N33" s="1162"/>
      <c r="O33" s="142"/>
      <c r="P33" s="115"/>
      <c r="Q33" s="113"/>
      <c r="R33" s="113"/>
      <c r="S33" s="113"/>
      <c r="T33" s="113"/>
      <c r="U33" s="113"/>
    </row>
    <row r="34" spans="1:21" ht="25.5" customHeight="1" x14ac:dyDescent="0.25">
      <c r="A34" s="151"/>
      <c r="B34" s="116"/>
      <c r="C34" s="170"/>
      <c r="D34" s="170"/>
      <c r="E34" s="1090" t="str">
        <f>Translations!$B$186</f>
        <v>This is the excise number pursuant to Regulation (EU) No 389/2012 or the national excise registration and identification number issued by the relevant authority pursuant to national legislation transposing Directive 2003/96/EC, used for reporting for tax purposes pursuant to national legislation transposing Directives 2003/96/EC and (EU) 2020/262.</v>
      </c>
      <c r="F34" s="1090"/>
      <c r="G34" s="1090"/>
      <c r="H34" s="1090"/>
      <c r="I34" s="1090"/>
      <c r="J34" s="1090"/>
      <c r="K34" s="1090"/>
      <c r="L34" s="1090"/>
      <c r="M34" s="1090"/>
      <c r="N34" s="1090"/>
      <c r="O34" s="142"/>
      <c r="P34" s="115"/>
      <c r="Q34" s="113"/>
      <c r="R34" s="113"/>
      <c r="S34" s="113"/>
      <c r="T34" s="113"/>
      <c r="U34" s="113"/>
    </row>
    <row r="35" spans="1:21" ht="5.15" customHeight="1" x14ac:dyDescent="0.25">
      <c r="A35" s="151"/>
      <c r="B35" s="116"/>
      <c r="C35" s="170"/>
      <c r="D35" s="170"/>
      <c r="E35" s="115"/>
      <c r="F35" s="115"/>
      <c r="G35" s="115"/>
      <c r="H35" s="115"/>
      <c r="I35" s="115"/>
      <c r="J35" s="115"/>
      <c r="K35" s="115"/>
      <c r="L35" s="115"/>
      <c r="M35" s="115"/>
      <c r="N35" s="115"/>
      <c r="O35" s="142"/>
      <c r="P35" s="115"/>
      <c r="Q35" s="113"/>
      <c r="R35" s="113"/>
      <c r="S35" s="113"/>
      <c r="T35" s="113"/>
      <c r="U35" s="113"/>
    </row>
    <row r="36" spans="1:21" ht="13" x14ac:dyDescent="0.3">
      <c r="A36" s="151"/>
      <c r="B36" s="116"/>
      <c r="C36" s="170"/>
      <c r="D36" s="188" t="s">
        <v>7</v>
      </c>
      <c r="E36" s="1117" t="str">
        <f>Translations!$B$187</f>
        <v>Address / location of the regulated entity:</v>
      </c>
      <c r="F36" s="1118"/>
      <c r="G36" s="1118"/>
      <c r="H36" s="1118"/>
      <c r="I36" s="1118"/>
      <c r="J36" s="1118"/>
      <c r="K36" s="115"/>
      <c r="L36" s="115"/>
      <c r="M36" s="115"/>
      <c r="N36" s="115"/>
      <c r="O36" s="142"/>
      <c r="P36" s="115"/>
      <c r="Q36" s="113"/>
      <c r="R36" s="113"/>
      <c r="S36" s="113"/>
      <c r="T36" s="113"/>
      <c r="U36" s="113"/>
    </row>
    <row r="37" spans="1:21" ht="5.15" customHeight="1" x14ac:dyDescent="0.25">
      <c r="A37" s="151"/>
      <c r="B37" s="116"/>
      <c r="C37" s="170"/>
      <c r="D37" s="170"/>
      <c r="E37" s="115"/>
      <c r="F37" s="115"/>
      <c r="G37" s="115"/>
      <c r="H37" s="115"/>
      <c r="I37" s="115"/>
      <c r="J37" s="115"/>
      <c r="K37" s="115"/>
      <c r="L37" s="115"/>
      <c r="M37" s="115"/>
      <c r="N37" s="115"/>
      <c r="O37" s="142"/>
      <c r="P37" s="115"/>
      <c r="Q37" s="113"/>
      <c r="R37" s="113"/>
      <c r="S37" s="113"/>
      <c r="T37" s="113"/>
      <c r="U37" s="113"/>
    </row>
    <row r="38" spans="1:21" x14ac:dyDescent="0.25">
      <c r="A38" s="151"/>
      <c r="B38" s="116"/>
      <c r="C38" s="170"/>
      <c r="D38" s="187" t="s">
        <v>12</v>
      </c>
      <c r="E38" s="1088" t="str">
        <f>Translations!$B$56</f>
        <v>Address Line 1:</v>
      </c>
      <c r="F38" s="1089"/>
      <c r="G38" s="1089"/>
      <c r="H38" s="172"/>
      <c r="I38" s="1163"/>
      <c r="J38" s="1164"/>
      <c r="K38" s="1164"/>
      <c r="L38" s="1164"/>
      <c r="M38" s="1110"/>
      <c r="N38" s="1111"/>
      <c r="O38" s="142"/>
      <c r="P38" s="115"/>
      <c r="Q38" s="113"/>
      <c r="R38" s="113"/>
      <c r="S38" s="113"/>
      <c r="T38" s="113"/>
      <c r="U38" s="113"/>
    </row>
    <row r="39" spans="1:21" x14ac:dyDescent="0.25">
      <c r="A39" s="151"/>
      <c r="B39" s="116"/>
      <c r="C39" s="170"/>
      <c r="D39" s="187" t="s">
        <v>13</v>
      </c>
      <c r="E39" s="1088" t="str">
        <f>Translations!$B$57</f>
        <v>Address Line 2:</v>
      </c>
      <c r="F39" s="1089"/>
      <c r="G39" s="1089"/>
      <c r="H39" s="172"/>
      <c r="I39" s="1091"/>
      <c r="J39" s="1092"/>
      <c r="K39" s="1092"/>
      <c r="L39" s="1092"/>
      <c r="M39" s="1093"/>
      <c r="N39" s="1094"/>
      <c r="O39" s="142"/>
      <c r="P39" s="115"/>
      <c r="Q39" s="113"/>
      <c r="R39" s="113"/>
      <c r="S39" s="113"/>
      <c r="T39" s="113"/>
      <c r="U39" s="113"/>
    </row>
    <row r="40" spans="1:21" x14ac:dyDescent="0.25">
      <c r="A40" s="151"/>
      <c r="B40" s="116"/>
      <c r="C40" s="170"/>
      <c r="D40" s="187" t="s">
        <v>14</v>
      </c>
      <c r="E40" s="1088" t="str">
        <f>Translations!$B$58</f>
        <v>City:</v>
      </c>
      <c r="F40" s="1089"/>
      <c r="G40" s="1089"/>
      <c r="H40" s="172"/>
      <c r="I40" s="1091"/>
      <c r="J40" s="1092"/>
      <c r="K40" s="1092"/>
      <c r="L40" s="1092"/>
      <c r="M40" s="1093"/>
      <c r="N40" s="1094"/>
      <c r="O40" s="142"/>
      <c r="P40" s="115"/>
      <c r="Q40" s="113"/>
      <c r="R40" s="113"/>
      <c r="S40" s="113"/>
      <c r="T40" s="113"/>
      <c r="U40" s="113"/>
    </row>
    <row r="41" spans="1:21" x14ac:dyDescent="0.25">
      <c r="A41" s="151"/>
      <c r="B41" s="116"/>
      <c r="C41" s="170"/>
      <c r="D41" s="187" t="s">
        <v>15</v>
      </c>
      <c r="E41" s="1088" t="str">
        <f>Translations!$B$59</f>
        <v>State/Province/Region:</v>
      </c>
      <c r="F41" s="1089"/>
      <c r="G41" s="1089"/>
      <c r="H41" s="172"/>
      <c r="I41" s="1091"/>
      <c r="J41" s="1092"/>
      <c r="K41" s="1092"/>
      <c r="L41" s="1092"/>
      <c r="M41" s="1093"/>
      <c r="N41" s="1094"/>
      <c r="O41" s="142"/>
      <c r="P41" s="115"/>
      <c r="Q41" s="113"/>
      <c r="R41" s="113"/>
      <c r="S41" s="113"/>
      <c r="T41" s="113"/>
      <c r="U41" s="113"/>
    </row>
    <row r="42" spans="1:21" x14ac:dyDescent="0.25">
      <c r="A42" s="151"/>
      <c r="B42" s="116"/>
      <c r="C42" s="170"/>
      <c r="D42" s="187" t="s">
        <v>16</v>
      </c>
      <c r="E42" s="1088" t="str">
        <f>Translations!$B$60</f>
        <v>Postcode/ZIP:</v>
      </c>
      <c r="F42" s="1089"/>
      <c r="G42" s="1089"/>
      <c r="H42" s="172"/>
      <c r="I42" s="1091"/>
      <c r="J42" s="1092"/>
      <c r="K42" s="1092"/>
      <c r="L42" s="1092"/>
      <c r="M42" s="1093"/>
      <c r="N42" s="1094"/>
      <c r="O42" s="142"/>
      <c r="P42" s="115"/>
      <c r="Q42" s="113"/>
      <c r="R42" s="113"/>
      <c r="S42" s="113"/>
      <c r="T42" s="113"/>
      <c r="U42" s="113"/>
    </row>
    <row r="43" spans="1:21" x14ac:dyDescent="0.25">
      <c r="A43" s="151"/>
      <c r="B43" s="116"/>
      <c r="C43" s="170"/>
      <c r="D43" s="187" t="s">
        <v>17</v>
      </c>
      <c r="E43" s="1088" t="str">
        <f>Translations!$B$61</f>
        <v>Country:</v>
      </c>
      <c r="F43" s="1089"/>
      <c r="G43" s="1089"/>
      <c r="H43" s="172"/>
      <c r="I43" s="1105"/>
      <c r="J43" s="1106"/>
      <c r="K43" s="1106"/>
      <c r="L43" s="1106"/>
      <c r="M43" s="1101"/>
      <c r="N43" s="1102"/>
      <c r="O43" s="142"/>
      <c r="P43" s="115"/>
      <c r="Q43" s="113"/>
      <c r="R43" s="113"/>
      <c r="S43" s="113"/>
      <c r="T43" s="113"/>
      <c r="U43" s="113"/>
    </row>
    <row r="44" spans="1:21" x14ac:dyDescent="0.25">
      <c r="A44" s="151"/>
      <c r="B44" s="116"/>
      <c r="C44" s="170"/>
      <c r="D44" s="170"/>
      <c r="E44" s="115"/>
      <c r="F44" s="115"/>
      <c r="G44" s="115"/>
      <c r="H44" s="115"/>
      <c r="I44" s="115"/>
      <c r="J44" s="115"/>
      <c r="K44" s="115"/>
      <c r="L44" s="115"/>
      <c r="M44" s="115"/>
      <c r="N44" s="115"/>
      <c r="O44" s="142"/>
      <c r="P44" s="115"/>
      <c r="Q44" s="113"/>
      <c r="R44" s="113"/>
      <c r="S44" s="113"/>
      <c r="T44" s="113"/>
      <c r="U44" s="113"/>
    </row>
    <row r="45" spans="1:21" ht="15.5" x14ac:dyDescent="0.35">
      <c r="A45" s="167">
        <v>3</v>
      </c>
      <c r="B45" s="116"/>
      <c r="C45" s="168">
        <v>3</v>
      </c>
      <c r="D45" s="1104" t="str">
        <f>Translations!$B$2</f>
        <v xml:space="preserve">Contact details </v>
      </c>
      <c r="E45" s="1104"/>
      <c r="F45" s="1104"/>
      <c r="G45" s="1104"/>
      <c r="H45" s="1104"/>
      <c r="I45" s="1104"/>
      <c r="J45" s="1104"/>
      <c r="K45" s="1104"/>
      <c r="L45" s="1104"/>
      <c r="M45" s="1104"/>
      <c r="N45" s="1104"/>
      <c r="O45" s="142"/>
      <c r="P45" s="115"/>
      <c r="Q45" s="169" t="str">
        <f>D45</f>
        <v xml:space="preserve">Contact details </v>
      </c>
      <c r="R45" s="113"/>
      <c r="S45" s="113"/>
      <c r="T45" s="113"/>
      <c r="U45" s="113"/>
    </row>
    <row r="46" spans="1:21" ht="5.15" customHeight="1" x14ac:dyDescent="0.25">
      <c r="A46" s="151"/>
      <c r="B46" s="116"/>
      <c r="C46" s="170"/>
      <c r="D46" s="170"/>
      <c r="E46" s="115"/>
      <c r="F46" s="115"/>
      <c r="G46" s="115"/>
      <c r="H46" s="115"/>
      <c r="I46" s="115"/>
      <c r="J46" s="115"/>
      <c r="K46" s="115"/>
      <c r="L46" s="115"/>
      <c r="M46" s="115"/>
      <c r="N46" s="115"/>
      <c r="O46" s="142"/>
      <c r="P46" s="115"/>
      <c r="Q46" s="113"/>
      <c r="R46" s="113"/>
      <c r="S46" s="113"/>
      <c r="T46" s="113"/>
      <c r="U46" s="113"/>
    </row>
    <row r="47" spans="1:21" ht="13" x14ac:dyDescent="0.25">
      <c r="A47" s="151"/>
      <c r="B47" s="116"/>
      <c r="C47" s="170"/>
      <c r="D47" s="170"/>
      <c r="E47" s="1103" t="str">
        <f>Translations!$B$62</f>
        <v>Who can we contact about your monitoring plan?</v>
      </c>
      <c r="F47" s="1103"/>
      <c r="G47" s="1103"/>
      <c r="H47" s="1103"/>
      <c r="I47" s="1103"/>
      <c r="J47" s="1103"/>
      <c r="K47" s="1103"/>
      <c r="L47" s="1103"/>
      <c r="M47" s="115"/>
      <c r="N47" s="115"/>
      <c r="O47" s="142"/>
      <c r="P47" s="115"/>
      <c r="Q47" s="113"/>
      <c r="R47" s="113"/>
      <c r="S47" s="113"/>
      <c r="T47" s="113"/>
      <c r="U47" s="113"/>
    </row>
    <row r="48" spans="1:21" ht="24.75" customHeight="1" x14ac:dyDescent="0.25">
      <c r="A48" s="151"/>
      <c r="B48" s="116"/>
      <c r="C48" s="170"/>
      <c r="D48" s="191"/>
      <c r="E48" s="1090" t="str">
        <f>Translations!$B$188</f>
        <v xml:space="preserve">It will help us to have someone who we can contact directly with any questions about your monitoring plan. The person you name should have the authority to act on behalf of the regulated entity- </v>
      </c>
      <c r="F48" s="1090"/>
      <c r="G48" s="1090"/>
      <c r="H48" s="1090"/>
      <c r="I48" s="1090"/>
      <c r="J48" s="1090"/>
      <c r="K48" s="1090"/>
      <c r="L48" s="1090"/>
      <c r="M48" s="1090"/>
      <c r="N48" s="1090"/>
      <c r="O48" s="192"/>
      <c r="P48" s="115"/>
      <c r="Q48" s="113"/>
      <c r="R48" s="113"/>
      <c r="S48" s="113"/>
      <c r="T48" s="113"/>
      <c r="U48" s="113"/>
    </row>
    <row r="49" spans="1:21" ht="4.9000000000000004" customHeight="1" x14ac:dyDescent="0.25">
      <c r="A49" s="151"/>
      <c r="B49" s="116"/>
      <c r="C49" s="170"/>
      <c r="D49" s="171"/>
      <c r="E49" s="193"/>
      <c r="F49" s="171"/>
      <c r="G49" s="171"/>
      <c r="H49" s="115"/>
      <c r="I49" s="194"/>
      <c r="J49" s="115"/>
      <c r="K49" s="115"/>
      <c r="L49" s="115"/>
      <c r="M49" s="115"/>
      <c r="N49" s="115"/>
      <c r="O49" s="142"/>
      <c r="P49" s="115"/>
      <c r="Q49" s="113"/>
      <c r="R49" s="113"/>
      <c r="S49" s="113"/>
      <c r="T49" s="113"/>
      <c r="U49" s="113"/>
    </row>
    <row r="50" spans="1:21" ht="13" x14ac:dyDescent="0.25">
      <c r="A50" s="151"/>
      <c r="B50" s="116"/>
      <c r="C50" s="170"/>
      <c r="D50" s="171" t="s">
        <v>6</v>
      </c>
      <c r="E50" s="195" t="str">
        <f>Translations!$B$63</f>
        <v>Primary contact:</v>
      </c>
      <c r="F50" s="195"/>
      <c r="G50" s="196" t="str">
        <f>Translations!$B$64</f>
        <v>Title:</v>
      </c>
      <c r="H50" s="172"/>
      <c r="I50" s="1107"/>
      <c r="J50" s="1108"/>
      <c r="K50" s="1108"/>
      <c r="L50" s="1109"/>
      <c r="M50" s="1110"/>
      <c r="N50" s="1111"/>
      <c r="O50" s="142"/>
      <c r="P50" s="115"/>
      <c r="Q50" s="113"/>
      <c r="R50" s="113"/>
      <c r="S50" s="113"/>
      <c r="T50" s="113"/>
      <c r="U50" s="113"/>
    </row>
    <row r="51" spans="1:21" ht="13" x14ac:dyDescent="0.25">
      <c r="A51" s="151"/>
      <c r="B51" s="116"/>
      <c r="C51" s="170"/>
      <c r="D51" s="170"/>
      <c r="E51" s="115"/>
      <c r="F51" s="115"/>
      <c r="G51" s="196" t="str">
        <f>Translations!$B$65</f>
        <v>First Name:</v>
      </c>
      <c r="H51" s="172"/>
      <c r="I51" s="1095"/>
      <c r="J51" s="1096"/>
      <c r="K51" s="1096"/>
      <c r="L51" s="1097"/>
      <c r="M51" s="1093"/>
      <c r="N51" s="1094"/>
      <c r="O51" s="142"/>
      <c r="P51" s="115"/>
      <c r="Q51" s="113"/>
      <c r="R51" s="113"/>
      <c r="S51" s="113"/>
      <c r="T51" s="113"/>
      <c r="U51" s="113"/>
    </row>
    <row r="52" spans="1:21" ht="13" x14ac:dyDescent="0.25">
      <c r="A52" s="151"/>
      <c r="B52" s="116"/>
      <c r="C52" s="170"/>
      <c r="D52" s="170"/>
      <c r="E52" s="115"/>
      <c r="F52" s="115"/>
      <c r="G52" s="196" t="str">
        <f>Translations!$B$66</f>
        <v>Surname:</v>
      </c>
      <c r="H52" s="172"/>
      <c r="I52" s="1095"/>
      <c r="J52" s="1096"/>
      <c r="K52" s="1096"/>
      <c r="L52" s="1097"/>
      <c r="M52" s="1093"/>
      <c r="N52" s="1094"/>
      <c r="O52" s="64"/>
      <c r="P52" s="68"/>
      <c r="Q52" s="113"/>
      <c r="R52" s="113"/>
      <c r="S52" s="113"/>
      <c r="T52" s="113"/>
      <c r="U52" s="113"/>
    </row>
    <row r="53" spans="1:21" ht="13" x14ac:dyDescent="0.25">
      <c r="A53" s="151"/>
      <c r="B53" s="116"/>
      <c r="C53" s="170"/>
      <c r="D53" s="170"/>
      <c r="E53" s="115"/>
      <c r="F53" s="115"/>
      <c r="G53" s="196" t="str">
        <f>Translations!$B$67</f>
        <v>Job title:</v>
      </c>
      <c r="H53" s="172"/>
      <c r="I53" s="1098"/>
      <c r="J53" s="1099"/>
      <c r="K53" s="1099"/>
      <c r="L53" s="1100"/>
      <c r="M53" s="1101"/>
      <c r="N53" s="1102"/>
      <c r="O53" s="142"/>
      <c r="P53" s="115"/>
      <c r="Q53" s="113"/>
      <c r="R53" s="113"/>
      <c r="S53" s="113"/>
      <c r="T53" s="113"/>
      <c r="U53" s="113"/>
    </row>
    <row r="54" spans="1:21" ht="13" x14ac:dyDescent="0.25">
      <c r="A54" s="151"/>
      <c r="B54" s="116"/>
      <c r="C54" s="170"/>
      <c r="D54" s="170"/>
      <c r="E54" s="115"/>
      <c r="F54" s="115"/>
      <c r="G54" s="194" t="str">
        <f>Translations!$B$189</f>
        <v>Organisation name (if different from the regulated entity):</v>
      </c>
      <c r="H54" s="116"/>
      <c r="I54" s="115"/>
      <c r="J54" s="115"/>
      <c r="K54" s="115"/>
      <c r="L54" s="115"/>
      <c r="M54" s="115"/>
      <c r="N54" s="115"/>
      <c r="O54" s="142"/>
      <c r="P54" s="115"/>
      <c r="Q54" s="113"/>
      <c r="R54" s="113"/>
      <c r="S54" s="113"/>
      <c r="T54" s="113"/>
      <c r="U54" s="113"/>
    </row>
    <row r="55" spans="1:21" ht="13" x14ac:dyDescent="0.25">
      <c r="A55" s="151"/>
      <c r="B55" s="116"/>
      <c r="C55" s="170"/>
      <c r="D55" s="170"/>
      <c r="E55" s="115"/>
      <c r="F55" s="115"/>
      <c r="G55" s="194"/>
      <c r="H55" s="115"/>
      <c r="I55" s="1107"/>
      <c r="J55" s="1108"/>
      <c r="K55" s="1108"/>
      <c r="L55" s="1109"/>
      <c r="M55" s="1110"/>
      <c r="N55" s="1111"/>
      <c r="O55" s="192"/>
      <c r="P55" s="115"/>
      <c r="Q55" s="113"/>
      <c r="R55" s="113"/>
      <c r="S55" s="113"/>
      <c r="T55" s="113"/>
      <c r="U55" s="113"/>
    </row>
    <row r="56" spans="1:21" ht="13" x14ac:dyDescent="0.25">
      <c r="A56" s="151"/>
      <c r="B56" s="116"/>
      <c r="C56" s="170"/>
      <c r="D56" s="170"/>
      <c r="E56" s="115"/>
      <c r="F56" s="115"/>
      <c r="G56" s="196" t="str">
        <f>Translations!$B$68</f>
        <v>Telephone number:</v>
      </c>
      <c r="H56" s="172"/>
      <c r="I56" s="1095"/>
      <c r="J56" s="1096"/>
      <c r="K56" s="1096"/>
      <c r="L56" s="1097"/>
      <c r="M56" s="1093"/>
      <c r="N56" s="1094"/>
      <c r="O56" s="64"/>
      <c r="P56" s="68"/>
      <c r="Q56" s="113"/>
      <c r="R56" s="113"/>
      <c r="S56" s="113"/>
      <c r="T56" s="113"/>
      <c r="U56" s="113"/>
    </row>
    <row r="57" spans="1:21" ht="13" x14ac:dyDescent="0.25">
      <c r="A57" s="151"/>
      <c r="B57" s="116"/>
      <c r="C57" s="170"/>
      <c r="D57" s="170"/>
      <c r="E57" s="115"/>
      <c r="F57" s="115"/>
      <c r="G57" s="196" t="str">
        <f>Translations!$B$69</f>
        <v>Email address:</v>
      </c>
      <c r="H57" s="172"/>
      <c r="I57" s="1098"/>
      <c r="J57" s="1099"/>
      <c r="K57" s="1099"/>
      <c r="L57" s="1100"/>
      <c r="M57" s="1101"/>
      <c r="N57" s="1102"/>
      <c r="O57" s="142"/>
      <c r="P57" s="115"/>
      <c r="Q57" s="113"/>
      <c r="R57" s="113"/>
      <c r="S57" s="113"/>
      <c r="T57" s="113"/>
      <c r="U57" s="113"/>
    </row>
    <row r="58" spans="1:21" x14ac:dyDescent="0.25">
      <c r="A58" s="151"/>
      <c r="B58" s="116"/>
      <c r="C58" s="170"/>
      <c r="D58" s="170"/>
      <c r="E58" s="989"/>
      <c r="F58" s="115"/>
      <c r="G58" s="115"/>
      <c r="H58" s="115"/>
      <c r="I58" s="115"/>
      <c r="J58" s="115"/>
      <c r="K58" s="115"/>
      <c r="L58" s="115"/>
      <c r="M58" s="115"/>
      <c r="N58" s="115"/>
      <c r="O58" s="142"/>
      <c r="P58" s="115"/>
      <c r="Q58" s="113"/>
      <c r="R58" s="113"/>
      <c r="S58" s="113"/>
      <c r="T58" s="113"/>
      <c r="U58" s="113"/>
    </row>
    <row r="59" spans="1:21" ht="13" x14ac:dyDescent="0.25">
      <c r="A59" s="151"/>
      <c r="B59" s="116"/>
      <c r="C59" s="170"/>
      <c r="D59" s="171" t="s">
        <v>7</v>
      </c>
      <c r="E59" s="195" t="str">
        <f>Translations!$B$70</f>
        <v>Alternative contact:</v>
      </c>
      <c r="F59" s="172"/>
      <c r="G59" s="196" t="str">
        <f>Translations!$B$64</f>
        <v>Title:</v>
      </c>
      <c r="H59" s="172"/>
      <c r="I59" s="1185"/>
      <c r="J59" s="1186"/>
      <c r="K59" s="1186"/>
      <c r="L59" s="1109"/>
      <c r="M59" s="1110"/>
      <c r="N59" s="1111"/>
      <c r="O59" s="142"/>
      <c r="P59" s="115"/>
      <c r="Q59" s="113"/>
      <c r="R59" s="113"/>
      <c r="S59" s="113"/>
      <c r="T59" s="113"/>
      <c r="U59" s="113"/>
    </row>
    <row r="60" spans="1:21" ht="13" x14ac:dyDescent="0.25">
      <c r="A60" s="151"/>
      <c r="B60" s="116"/>
      <c r="C60" s="170"/>
      <c r="D60" s="170"/>
      <c r="E60" s="989"/>
      <c r="F60" s="115"/>
      <c r="G60" s="196" t="str">
        <f>Translations!$B$65</f>
        <v>First Name:</v>
      </c>
      <c r="H60" s="172"/>
      <c r="I60" s="1181"/>
      <c r="J60" s="1182"/>
      <c r="K60" s="1182"/>
      <c r="L60" s="1097"/>
      <c r="M60" s="1093"/>
      <c r="N60" s="1094"/>
      <c r="O60" s="142"/>
      <c r="P60" s="115"/>
      <c r="Q60" s="113"/>
      <c r="R60" s="113"/>
      <c r="S60" s="113"/>
      <c r="T60" s="113"/>
      <c r="U60" s="113"/>
    </row>
    <row r="61" spans="1:21" ht="13" x14ac:dyDescent="0.25">
      <c r="A61" s="151"/>
      <c r="B61" s="116"/>
      <c r="C61" s="170"/>
      <c r="D61" s="170"/>
      <c r="E61" s="989"/>
      <c r="F61" s="115"/>
      <c r="G61" s="196" t="str">
        <f>Translations!$B$66</f>
        <v>Surname:</v>
      </c>
      <c r="H61" s="172"/>
      <c r="I61" s="1181"/>
      <c r="J61" s="1182"/>
      <c r="K61" s="1182"/>
      <c r="L61" s="1097"/>
      <c r="M61" s="1093"/>
      <c r="N61" s="1094"/>
      <c r="O61" s="142"/>
      <c r="P61" s="115"/>
      <c r="Q61" s="113"/>
      <c r="R61" s="113"/>
      <c r="S61" s="113"/>
      <c r="T61" s="113"/>
      <c r="U61" s="113"/>
    </row>
    <row r="62" spans="1:21" ht="13" x14ac:dyDescent="0.25">
      <c r="A62" s="151"/>
      <c r="B62" s="116"/>
      <c r="C62" s="170"/>
      <c r="D62" s="170"/>
      <c r="E62" s="989"/>
      <c r="F62" s="115"/>
      <c r="G62" s="196" t="str">
        <f>Translations!$B$67</f>
        <v>Job title:</v>
      </c>
      <c r="H62" s="172"/>
      <c r="I62" s="1183"/>
      <c r="J62" s="1184"/>
      <c r="K62" s="1184"/>
      <c r="L62" s="1100"/>
      <c r="M62" s="1101"/>
      <c r="N62" s="1102"/>
      <c r="O62" s="142"/>
      <c r="P62" s="115"/>
      <c r="Q62" s="113"/>
      <c r="R62" s="113"/>
      <c r="S62" s="113"/>
      <c r="T62" s="113"/>
      <c r="U62" s="113"/>
    </row>
    <row r="63" spans="1:21" ht="13" x14ac:dyDescent="0.25">
      <c r="A63" s="151"/>
      <c r="B63" s="116"/>
      <c r="C63" s="170"/>
      <c r="D63" s="170"/>
      <c r="E63" s="989"/>
      <c r="F63" s="115"/>
      <c r="G63" s="194" t="str">
        <f>Translations!$B$189</f>
        <v>Organisation name (if different from the regulated entity):</v>
      </c>
      <c r="H63" s="116"/>
      <c r="I63" s="115"/>
      <c r="J63" s="115"/>
      <c r="K63" s="115"/>
      <c r="L63" s="115"/>
      <c r="M63" s="115"/>
      <c r="N63" s="115"/>
      <c r="O63" s="142"/>
      <c r="P63" s="115"/>
      <c r="Q63" s="113"/>
      <c r="R63" s="113"/>
      <c r="S63" s="113"/>
      <c r="T63" s="113"/>
      <c r="U63" s="113"/>
    </row>
    <row r="64" spans="1:21" ht="13" x14ac:dyDescent="0.25">
      <c r="A64" s="151"/>
      <c r="B64" s="116"/>
      <c r="C64" s="170"/>
      <c r="D64" s="170"/>
      <c r="E64" s="989"/>
      <c r="F64" s="115"/>
      <c r="G64" s="194"/>
      <c r="H64" s="115"/>
      <c r="I64" s="1185"/>
      <c r="J64" s="1186"/>
      <c r="K64" s="1186"/>
      <c r="L64" s="1109"/>
      <c r="M64" s="1110"/>
      <c r="N64" s="1111"/>
      <c r="O64" s="192"/>
      <c r="P64" s="115"/>
      <c r="Q64" s="113"/>
      <c r="R64" s="113"/>
      <c r="S64" s="113"/>
      <c r="T64" s="113"/>
      <c r="U64" s="113"/>
    </row>
    <row r="65" spans="1:21" ht="13" x14ac:dyDescent="0.25">
      <c r="A65" s="151"/>
      <c r="B65" s="116"/>
      <c r="C65" s="170"/>
      <c r="D65" s="170"/>
      <c r="E65" s="989"/>
      <c r="F65" s="115"/>
      <c r="G65" s="196" t="str">
        <f>Translations!$B$68</f>
        <v>Telephone number:</v>
      </c>
      <c r="H65" s="172"/>
      <c r="I65" s="1181"/>
      <c r="J65" s="1182"/>
      <c r="K65" s="1182"/>
      <c r="L65" s="1097"/>
      <c r="M65" s="1093"/>
      <c r="N65" s="1094"/>
      <c r="O65" s="142"/>
      <c r="P65" s="115"/>
      <c r="Q65" s="113"/>
      <c r="R65" s="113"/>
      <c r="S65" s="113"/>
      <c r="T65" s="113"/>
      <c r="U65" s="113"/>
    </row>
    <row r="66" spans="1:21" ht="13" x14ac:dyDescent="0.25">
      <c r="A66" s="151"/>
      <c r="B66" s="116"/>
      <c r="C66" s="170"/>
      <c r="D66" s="170"/>
      <c r="E66" s="989"/>
      <c r="F66" s="115"/>
      <c r="G66" s="196" t="str">
        <f>Translations!$B$69</f>
        <v>Email address:</v>
      </c>
      <c r="H66" s="172"/>
      <c r="I66" s="1183"/>
      <c r="J66" s="1184"/>
      <c r="K66" s="1184"/>
      <c r="L66" s="1100"/>
      <c r="M66" s="1101"/>
      <c r="N66" s="1102"/>
      <c r="O66" s="142"/>
      <c r="P66" s="115"/>
      <c r="Q66" s="113"/>
      <c r="R66" s="113"/>
      <c r="S66" s="113"/>
      <c r="T66" s="113"/>
      <c r="U66" s="113"/>
    </row>
    <row r="67" spans="1:21" x14ac:dyDescent="0.25">
      <c r="A67" s="287"/>
      <c r="B67" s="116"/>
      <c r="C67" s="116"/>
      <c r="D67" s="116"/>
      <c r="E67" s="116"/>
      <c r="F67" s="116"/>
      <c r="G67" s="116"/>
      <c r="H67" s="116"/>
      <c r="I67" s="116"/>
      <c r="J67" s="116"/>
      <c r="K67" s="116"/>
      <c r="L67" s="116"/>
      <c r="M67" s="116"/>
      <c r="N67" s="116"/>
      <c r="O67" s="64"/>
      <c r="P67" s="68"/>
      <c r="Q67" s="111"/>
      <c r="R67" s="111"/>
      <c r="S67" s="111"/>
      <c r="T67" s="111"/>
      <c r="U67" s="111"/>
    </row>
    <row r="68" spans="1:21" ht="15.5" x14ac:dyDescent="0.35">
      <c r="A68" s="167">
        <v>4</v>
      </c>
      <c r="B68" s="116"/>
      <c r="C68" s="198">
        <v>4</v>
      </c>
      <c r="D68" s="1104" t="str">
        <f>Translations!$B$296</f>
        <v>Monitoring &amp; Reporting details</v>
      </c>
      <c r="E68" s="1104"/>
      <c r="F68" s="1104"/>
      <c r="G68" s="1104"/>
      <c r="H68" s="1104"/>
      <c r="I68" s="1104"/>
      <c r="J68" s="1104"/>
      <c r="K68" s="1104"/>
      <c r="L68" s="1104"/>
      <c r="M68" s="1104"/>
      <c r="N68" s="1104"/>
      <c r="O68" s="64"/>
      <c r="P68" s="68"/>
      <c r="Q68" s="169" t="str">
        <f>D68</f>
        <v>Monitoring &amp; Reporting details</v>
      </c>
      <c r="R68" s="111"/>
      <c r="S68" s="111"/>
      <c r="T68" s="111"/>
      <c r="U68" s="111"/>
    </row>
    <row r="69" spans="1:21" x14ac:dyDescent="0.25">
      <c r="A69" s="287"/>
      <c r="B69" s="116"/>
      <c r="C69" s="116"/>
      <c r="D69" s="116"/>
      <c r="E69" s="116"/>
      <c r="F69" s="116"/>
      <c r="G69" s="116"/>
      <c r="H69" s="116"/>
      <c r="I69" s="116"/>
      <c r="J69" s="116"/>
      <c r="K69" s="116"/>
      <c r="L69" s="116"/>
      <c r="M69" s="116"/>
      <c r="N69" s="116"/>
      <c r="O69" s="64"/>
      <c r="P69" s="68"/>
      <c r="Q69" s="111"/>
      <c r="R69" s="111"/>
      <c r="S69" s="111"/>
      <c r="T69" s="111"/>
      <c r="U69" s="111"/>
    </row>
    <row r="70" spans="1:21" ht="12.75" customHeight="1" x14ac:dyDescent="0.3">
      <c r="A70" s="287"/>
      <c r="B70" s="116"/>
      <c r="C70" s="116"/>
      <c r="D70" s="171" t="s">
        <v>6</v>
      </c>
      <c r="E70" s="1117" t="str">
        <f>Translations!$B$297</f>
        <v>Monitoring plan</v>
      </c>
      <c r="F70" s="1156"/>
      <c r="G70" s="1156"/>
      <c r="H70" s="1156"/>
      <c r="I70" s="1156"/>
      <c r="J70" s="1156"/>
      <c r="K70" s="116"/>
      <c r="L70" s="116"/>
      <c r="M70" s="116"/>
      <c r="N70" s="116"/>
      <c r="O70" s="64"/>
      <c r="P70" s="68"/>
      <c r="Q70" s="111"/>
      <c r="R70" s="111"/>
      <c r="S70" s="111"/>
      <c r="T70" s="111"/>
      <c r="U70" s="111"/>
    </row>
    <row r="71" spans="1:21" ht="5.15" customHeight="1" x14ac:dyDescent="0.25">
      <c r="A71" s="287"/>
      <c r="B71" s="116"/>
      <c r="C71" s="116"/>
      <c r="D71" s="191"/>
      <c r="E71" s="116"/>
      <c r="F71" s="116"/>
      <c r="G71" s="116"/>
      <c r="H71" s="116"/>
      <c r="I71" s="116"/>
      <c r="J71" s="116"/>
      <c r="K71" s="116"/>
      <c r="L71" s="116"/>
      <c r="M71" s="116"/>
      <c r="N71" s="116"/>
      <c r="O71" s="64"/>
      <c r="P71" s="68"/>
      <c r="Q71" s="111"/>
      <c r="R71" s="111"/>
      <c r="S71" s="111"/>
      <c r="T71" s="111"/>
      <c r="U71" s="111"/>
    </row>
    <row r="72" spans="1:21" x14ac:dyDescent="0.25">
      <c r="A72" s="287"/>
      <c r="B72" s="116"/>
      <c r="C72" s="116"/>
      <c r="D72" s="199" t="s">
        <v>12</v>
      </c>
      <c r="E72" s="1151" t="str">
        <f>Translations!$B$298</f>
        <v>Competent Authority for permitting</v>
      </c>
      <c r="F72" s="1151"/>
      <c r="G72" s="1151"/>
      <c r="H72" s="1152"/>
      <c r="I72" s="1170"/>
      <c r="J72" s="1170"/>
      <c r="K72" s="1170"/>
      <c r="L72" s="1170"/>
      <c r="M72" s="1170"/>
      <c r="N72" s="1170"/>
      <c r="O72" s="64"/>
      <c r="P72" s="68"/>
      <c r="Q72" s="111"/>
      <c r="R72" s="111"/>
      <c r="S72" s="111"/>
      <c r="T72" s="111"/>
      <c r="U72" s="111"/>
    </row>
    <row r="73" spans="1:21" ht="5.15" customHeight="1" x14ac:dyDescent="0.25">
      <c r="A73" s="287"/>
      <c r="B73" s="116"/>
      <c r="C73" s="116"/>
      <c r="D73" s="182"/>
      <c r="E73" s="171"/>
      <c r="F73" s="171"/>
      <c r="G73" s="171"/>
      <c r="H73" s="115"/>
      <c r="I73" s="171"/>
      <c r="J73" s="194"/>
      <c r="K73" s="115"/>
      <c r="L73" s="115"/>
      <c r="M73" s="115"/>
      <c r="N73" s="115"/>
      <c r="O73" s="64"/>
      <c r="P73" s="68"/>
      <c r="Q73" s="111"/>
      <c r="R73" s="111"/>
      <c r="S73" s="111"/>
      <c r="T73" s="111"/>
      <c r="U73" s="111"/>
    </row>
    <row r="74" spans="1:21" x14ac:dyDescent="0.25">
      <c r="A74" s="287"/>
      <c r="B74" s="116"/>
      <c r="C74" s="116"/>
      <c r="D74" s="199" t="s">
        <v>13</v>
      </c>
      <c r="E74" s="1151" t="str">
        <f>Translations!$B$299</f>
        <v>Latest approved version number of the monitoring plan</v>
      </c>
      <c r="F74" s="1151"/>
      <c r="G74" s="1151"/>
      <c r="H74" s="1152"/>
      <c r="I74" s="1170"/>
      <c r="J74" s="1170"/>
      <c r="K74" s="1170"/>
      <c r="L74" s="1170"/>
      <c r="M74" s="1170"/>
      <c r="N74" s="1170"/>
      <c r="O74" s="64"/>
      <c r="P74" s="68"/>
      <c r="Q74" s="111"/>
      <c r="R74" s="111"/>
      <c r="S74" s="111"/>
      <c r="T74" s="111"/>
      <c r="U74" s="111"/>
    </row>
    <row r="75" spans="1:21" ht="5.15" customHeight="1" x14ac:dyDescent="0.25">
      <c r="A75" s="287"/>
      <c r="B75" s="116"/>
      <c r="C75" s="116"/>
      <c r="D75" s="182"/>
      <c r="E75" s="171"/>
      <c r="F75" s="171"/>
      <c r="G75" s="171"/>
      <c r="H75" s="115"/>
      <c r="I75" s="115"/>
      <c r="J75" s="115"/>
      <c r="K75" s="115"/>
      <c r="L75" s="115"/>
      <c r="M75" s="173"/>
      <c r="N75" s="174"/>
      <c r="O75" s="64"/>
      <c r="P75" s="68"/>
      <c r="Q75" s="111"/>
      <c r="R75" s="111"/>
      <c r="S75" s="111"/>
      <c r="T75" s="111"/>
      <c r="U75" s="111"/>
    </row>
    <row r="76" spans="1:21" x14ac:dyDescent="0.25">
      <c r="A76" s="287"/>
      <c r="B76" s="116"/>
      <c r="C76" s="116"/>
      <c r="D76" s="199" t="s">
        <v>14</v>
      </c>
      <c r="E76" s="1151" t="str">
        <f>Translations!$B$300</f>
        <v>Have there been changes in monitoring plan compared to previous year?</v>
      </c>
      <c r="F76" s="1151"/>
      <c r="G76" s="1151"/>
      <c r="H76" s="1152"/>
      <c r="I76" s="12"/>
      <c r="J76" s="201"/>
      <c r="K76" s="201"/>
      <c r="L76" s="201"/>
      <c r="M76" s="201"/>
      <c r="N76" s="201"/>
      <c r="O76" s="64"/>
      <c r="P76" s="68"/>
      <c r="Q76" s="111"/>
      <c r="R76" s="111"/>
      <c r="S76" s="111"/>
      <c r="T76" s="111"/>
      <c r="U76" s="111"/>
    </row>
    <row r="77" spans="1:21" ht="12.75" customHeight="1" x14ac:dyDescent="0.25">
      <c r="A77" s="287"/>
      <c r="B77" s="116"/>
      <c r="C77" s="116"/>
      <c r="D77" s="182"/>
      <c r="E77" s="201"/>
      <c r="F77" s="201"/>
      <c r="G77" s="201"/>
      <c r="H77" s="201"/>
      <c r="I77" s="201"/>
      <c r="J77" s="201"/>
      <c r="K77" s="201"/>
      <c r="L77" s="201"/>
      <c r="M77" s="201"/>
      <c r="N77" s="201"/>
      <c r="O77" s="64"/>
      <c r="P77" s="68"/>
      <c r="Q77" s="111"/>
      <c r="R77" s="111"/>
      <c r="S77" s="111"/>
      <c r="T77" s="111"/>
      <c r="U77" s="111"/>
    </row>
    <row r="78" spans="1:21" ht="13" x14ac:dyDescent="0.3">
      <c r="A78" s="287"/>
      <c r="B78" s="116"/>
      <c r="C78" s="116"/>
      <c r="D78" s="171" t="s">
        <v>7</v>
      </c>
      <c r="E78" s="1117" t="str">
        <f>Translations!$B$301</f>
        <v>Annual emissions report version numbering</v>
      </c>
      <c r="F78" s="1156"/>
      <c r="G78" s="1156"/>
      <c r="H78" s="1156"/>
      <c r="I78" s="1156"/>
      <c r="J78" s="1156"/>
      <c r="K78" s="201"/>
      <c r="L78" s="201"/>
      <c r="M78" s="201"/>
      <c r="N78" s="201"/>
      <c r="O78" s="64"/>
      <c r="P78" s="68"/>
      <c r="Q78" s="111"/>
      <c r="R78" s="111"/>
      <c r="S78" s="111"/>
      <c r="T78" s="111"/>
      <c r="U78" s="111"/>
    </row>
    <row r="79" spans="1:21" ht="5.15" customHeight="1" x14ac:dyDescent="0.25">
      <c r="A79" s="287"/>
      <c r="B79" s="116"/>
      <c r="C79" s="116"/>
      <c r="D79" s="202"/>
      <c r="E79" s="199"/>
      <c r="F79" s="199"/>
      <c r="G79" s="199"/>
      <c r="H79" s="199"/>
      <c r="I79" s="199"/>
      <c r="J79" s="199"/>
      <c r="K79" s="199"/>
      <c r="L79" s="199"/>
      <c r="M79" s="199"/>
      <c r="N79" s="199"/>
      <c r="O79" s="64"/>
      <c r="P79" s="68"/>
      <c r="Q79" s="111"/>
      <c r="R79" s="111"/>
      <c r="S79" s="111"/>
      <c r="T79" s="111"/>
      <c r="U79" s="111"/>
    </row>
    <row r="80" spans="1:21" x14ac:dyDescent="0.25">
      <c r="A80" s="287"/>
      <c r="B80" s="116"/>
      <c r="C80" s="116"/>
      <c r="D80" s="199" t="s">
        <v>12</v>
      </c>
      <c r="E80" s="1151" t="str">
        <f>Translations!$B$302</f>
        <v>Version number in this reporting year:</v>
      </c>
      <c r="F80" s="1151"/>
      <c r="G80" s="1151"/>
      <c r="H80" s="1152"/>
      <c r="I80" s="1174"/>
      <c r="J80" s="1174"/>
      <c r="K80" s="1174"/>
      <c r="L80" s="1174"/>
      <c r="M80" s="1174"/>
      <c r="N80" s="1174"/>
      <c r="O80" s="64"/>
      <c r="P80" s="68"/>
      <c r="Q80" s="111"/>
      <c r="R80" s="111"/>
      <c r="S80" s="111"/>
      <c r="T80" s="111"/>
      <c r="U80" s="111"/>
    </row>
    <row r="81" spans="1:17" x14ac:dyDescent="0.25">
      <c r="A81" s="287"/>
      <c r="B81" s="116"/>
      <c r="C81" s="116"/>
      <c r="D81" s="199" t="s">
        <v>13</v>
      </c>
      <c r="E81" s="1151" t="str">
        <f>Translations!$B$303</f>
        <v>Unique version identifier:</v>
      </c>
      <c r="F81" s="1151"/>
      <c r="G81" s="1151"/>
      <c r="H81" s="1152"/>
      <c r="I81" s="1153" t="str">
        <f>IF(J9="","",J9&amp;" - "&amp;IF(I80="",1,I80))</f>
        <v>2025 - 1</v>
      </c>
      <c r="J81" s="1153"/>
      <c r="K81" s="1153"/>
      <c r="L81" s="1153"/>
      <c r="M81" s="1153"/>
      <c r="N81" s="1153"/>
      <c r="O81" s="64"/>
      <c r="P81" s="68"/>
      <c r="Q81" s="111"/>
    </row>
    <row r="82" spans="1:17" ht="12.75" customHeight="1" x14ac:dyDescent="0.25">
      <c r="A82" s="287"/>
      <c r="B82" s="116"/>
      <c r="C82" s="116"/>
      <c r="D82" s="182"/>
      <c r="E82" s="201"/>
      <c r="F82" s="201"/>
      <c r="G82" s="201"/>
      <c r="H82" s="201"/>
      <c r="I82" s="201"/>
      <c r="J82" s="201"/>
      <c r="K82" s="201"/>
      <c r="L82" s="201"/>
      <c r="M82" s="201"/>
      <c r="N82" s="201"/>
      <c r="O82" s="64"/>
      <c r="P82" s="68"/>
      <c r="Q82" s="111"/>
    </row>
    <row r="83" spans="1:17" ht="13" x14ac:dyDescent="0.25">
      <c r="A83" s="287"/>
      <c r="B83" s="116"/>
      <c r="C83" s="116"/>
      <c r="D83" s="182" t="s">
        <v>8</v>
      </c>
      <c r="E83" s="1139" t="str">
        <f>Translations!$B$304</f>
        <v>Comments:</v>
      </c>
      <c r="F83" s="1139"/>
      <c r="G83" s="1139"/>
      <c r="H83" s="1139"/>
      <c r="I83" s="1139"/>
      <c r="J83" s="1139"/>
      <c r="K83" s="1139"/>
      <c r="L83" s="1139"/>
      <c r="M83" s="1139"/>
      <c r="N83" s="1139"/>
      <c r="O83" s="64"/>
      <c r="P83" s="68"/>
      <c r="Q83" s="111"/>
    </row>
    <row r="84" spans="1:17" ht="38.25" customHeight="1" x14ac:dyDescent="0.25">
      <c r="A84" s="287"/>
      <c r="B84" s="116"/>
      <c r="C84" s="116"/>
      <c r="D84" s="182"/>
      <c r="E84" s="1154" t="str">
        <f>Translations!$B$305</f>
        <v>If there have been any relevant changes in the operations of an entity or changes or temporary deviations that occurred during the reporting period to the monitoring plan approved by the competent authority, including temporary or permanent changes of tiers, please describe those and provide reasons, the starting date for the changes, and starting and ending dates of temporary changes.</v>
      </c>
      <c r="F84" s="1154"/>
      <c r="G84" s="1154"/>
      <c r="H84" s="1154"/>
      <c r="I84" s="1154"/>
      <c r="J84" s="1154"/>
      <c r="K84" s="1154"/>
      <c r="L84" s="1154"/>
      <c r="M84" s="1154"/>
      <c r="N84" s="1154"/>
      <c r="O84" s="64"/>
      <c r="P84" s="68"/>
      <c r="Q84" s="111"/>
    </row>
    <row r="85" spans="1:17" ht="25.5" customHeight="1" x14ac:dyDescent="0.25">
      <c r="A85" s="287"/>
      <c r="B85" s="116"/>
      <c r="C85" s="116"/>
      <c r="D85" s="205"/>
      <c r="E85" s="1155" t="str">
        <f>Translations!$B$306</f>
        <v>Please note that comments related to any changes here cannot be regarded as an official application for changing the monitoring plan. All changes and deviations listed here need to be notified to the CA via the regular procedures.</v>
      </c>
      <c r="F85" s="1155"/>
      <c r="G85" s="1155"/>
      <c r="H85" s="1155"/>
      <c r="I85" s="1155"/>
      <c r="J85" s="1155"/>
      <c r="K85" s="1155"/>
      <c r="L85" s="1155"/>
      <c r="M85" s="1155"/>
      <c r="N85" s="1155"/>
      <c r="O85" s="64"/>
      <c r="P85" s="68"/>
      <c r="Q85" s="111"/>
    </row>
    <row r="86" spans="1:17" ht="13" x14ac:dyDescent="0.25">
      <c r="A86" s="287"/>
      <c r="B86" s="116"/>
      <c r="C86" s="116"/>
      <c r="D86" s="205"/>
      <c r="E86" s="201"/>
      <c r="F86" s="201"/>
      <c r="G86" s="201"/>
      <c r="H86" s="201"/>
      <c r="I86" s="1171"/>
      <c r="J86" s="1172"/>
      <c r="K86" s="1172"/>
      <c r="L86" s="1172"/>
      <c r="M86" s="1172"/>
      <c r="N86" s="1173"/>
      <c r="O86" s="64"/>
      <c r="P86" s="68"/>
      <c r="Q86" s="111"/>
    </row>
    <row r="87" spans="1:17" ht="13" x14ac:dyDescent="0.25">
      <c r="A87" s="287"/>
      <c r="B87" s="116"/>
      <c r="C87" s="116"/>
      <c r="D87" s="205"/>
      <c r="E87" s="201"/>
      <c r="F87" s="201"/>
      <c r="G87" s="201"/>
      <c r="H87" s="201"/>
      <c r="I87" s="1175"/>
      <c r="J87" s="1176"/>
      <c r="K87" s="1176"/>
      <c r="L87" s="1176"/>
      <c r="M87" s="1176"/>
      <c r="N87" s="1177"/>
      <c r="O87" s="64"/>
      <c r="P87" s="68"/>
      <c r="Q87" s="111"/>
    </row>
    <row r="88" spans="1:17" ht="13" x14ac:dyDescent="0.25">
      <c r="A88" s="287"/>
      <c r="B88" s="116"/>
      <c r="C88" s="116"/>
      <c r="D88" s="205"/>
      <c r="E88" s="201"/>
      <c r="F88" s="201"/>
      <c r="G88" s="201"/>
      <c r="H88" s="201"/>
      <c r="I88" s="1175"/>
      <c r="J88" s="1176"/>
      <c r="K88" s="1176"/>
      <c r="L88" s="1176"/>
      <c r="M88" s="1176"/>
      <c r="N88" s="1177"/>
      <c r="O88" s="64"/>
      <c r="P88" s="68"/>
      <c r="Q88" s="111"/>
    </row>
    <row r="89" spans="1:17" ht="13" x14ac:dyDescent="0.25">
      <c r="A89" s="287"/>
      <c r="B89" s="116"/>
      <c r="C89" s="116"/>
      <c r="D89" s="205"/>
      <c r="E89" s="201"/>
      <c r="F89" s="201"/>
      <c r="G89" s="201"/>
      <c r="H89" s="201"/>
      <c r="I89" s="1175"/>
      <c r="J89" s="1176"/>
      <c r="K89" s="1176"/>
      <c r="L89" s="1176"/>
      <c r="M89" s="1176"/>
      <c r="N89" s="1177"/>
      <c r="O89" s="64"/>
      <c r="P89" s="68"/>
      <c r="Q89" s="111"/>
    </row>
    <row r="90" spans="1:17" ht="13" x14ac:dyDescent="0.25">
      <c r="A90" s="287"/>
      <c r="B90" s="116"/>
      <c r="C90" s="116"/>
      <c r="D90" s="205"/>
      <c r="E90" s="201"/>
      <c r="F90" s="201"/>
      <c r="G90" s="201"/>
      <c r="H90" s="201"/>
      <c r="I90" s="1148"/>
      <c r="J90" s="1149"/>
      <c r="K90" s="1149"/>
      <c r="L90" s="1149"/>
      <c r="M90" s="1149"/>
      <c r="N90" s="1150"/>
      <c r="O90" s="64"/>
      <c r="P90" s="68"/>
      <c r="Q90" s="111"/>
    </row>
    <row r="91" spans="1:17" x14ac:dyDescent="0.25">
      <c r="A91" s="287"/>
      <c r="B91" s="116"/>
      <c r="C91" s="116"/>
      <c r="D91" s="116"/>
      <c r="E91" s="116"/>
      <c r="F91" s="116"/>
      <c r="G91" s="116"/>
      <c r="H91" s="116"/>
      <c r="I91" s="116"/>
      <c r="J91" s="116"/>
      <c r="K91" s="116"/>
      <c r="L91" s="116"/>
      <c r="M91" s="116"/>
      <c r="N91" s="116"/>
      <c r="O91" s="64"/>
      <c r="P91" s="68"/>
      <c r="Q91" s="111"/>
    </row>
    <row r="92" spans="1:17" ht="15.5" x14ac:dyDescent="0.35">
      <c r="A92" s="167">
        <v>5</v>
      </c>
      <c r="B92" s="116"/>
      <c r="C92" s="198">
        <v>5</v>
      </c>
      <c r="D92" s="1104" t="str">
        <f>Translations!$B$307</f>
        <v>Verifier contact</v>
      </c>
      <c r="E92" s="1104"/>
      <c r="F92" s="1104"/>
      <c r="G92" s="1104"/>
      <c r="H92" s="1104"/>
      <c r="I92" s="1104"/>
      <c r="J92" s="1104"/>
      <c r="K92" s="1104"/>
      <c r="L92" s="1104"/>
      <c r="M92" s="1104"/>
      <c r="N92" s="1104"/>
      <c r="O92" s="64"/>
      <c r="P92" s="68"/>
      <c r="Q92" s="169" t="str">
        <f>D92</f>
        <v>Verifier contact</v>
      </c>
    </row>
    <row r="93" spans="1:17" x14ac:dyDescent="0.25">
      <c r="A93" s="287"/>
      <c r="B93" s="116"/>
      <c r="C93" s="163"/>
      <c r="D93" s="68"/>
      <c r="E93" s="115"/>
      <c r="F93" s="115"/>
      <c r="G93" s="115"/>
      <c r="H93" s="115"/>
      <c r="I93" s="115"/>
      <c r="J93" s="115"/>
      <c r="K93" s="115"/>
      <c r="L93" s="115"/>
      <c r="M93" s="132"/>
      <c r="N93" s="132"/>
      <c r="O93" s="64"/>
      <c r="P93" s="68"/>
      <c r="Q93" s="111"/>
    </row>
    <row r="94" spans="1:17" ht="13" x14ac:dyDescent="0.25">
      <c r="A94" s="287"/>
      <c r="B94" s="116"/>
      <c r="C94" s="162"/>
      <c r="D94" s="205" t="s">
        <v>6</v>
      </c>
      <c r="E94" s="1139" t="str">
        <f>Translations!$B$308</f>
        <v>Name and address of the verifier:</v>
      </c>
      <c r="F94" s="1139"/>
      <c r="G94" s="1139"/>
      <c r="H94" s="1139"/>
      <c r="I94" s="1139"/>
      <c r="J94" s="1139"/>
      <c r="K94" s="1139"/>
      <c r="L94" s="1139"/>
      <c r="M94" s="1139"/>
      <c r="N94" s="1139"/>
      <c r="O94" s="64"/>
      <c r="P94" s="68"/>
      <c r="Q94" s="111"/>
    </row>
    <row r="95" spans="1:17" x14ac:dyDescent="0.25">
      <c r="A95" s="287"/>
      <c r="B95" s="116"/>
      <c r="C95" s="162"/>
      <c r="D95" s="199" t="s">
        <v>12</v>
      </c>
      <c r="E95" s="1140" t="str">
        <f>Translations!$B$309</f>
        <v>Company Name:</v>
      </c>
      <c r="F95" s="1140"/>
      <c r="G95" s="1140"/>
      <c r="H95" s="1141"/>
      <c r="I95" s="1142"/>
      <c r="J95" s="1143"/>
      <c r="K95" s="1143"/>
      <c r="L95" s="1143"/>
      <c r="M95" s="1143"/>
      <c r="N95" s="1144"/>
      <c r="O95" s="64"/>
      <c r="P95" s="68"/>
      <c r="Q95" s="111"/>
    </row>
    <row r="96" spans="1:17" x14ac:dyDescent="0.25">
      <c r="A96" s="287"/>
      <c r="B96" s="116"/>
      <c r="C96" s="162"/>
      <c r="D96" s="199" t="s">
        <v>13</v>
      </c>
      <c r="E96" s="1140" t="str">
        <f>Translations!$B$310</f>
        <v>Street, Number:</v>
      </c>
      <c r="F96" s="1140"/>
      <c r="G96" s="1140"/>
      <c r="H96" s="1141"/>
      <c r="I96" s="1145"/>
      <c r="J96" s="1146"/>
      <c r="K96" s="1146"/>
      <c r="L96" s="1146"/>
      <c r="M96" s="1146"/>
      <c r="N96" s="1147"/>
      <c r="O96" s="64"/>
      <c r="P96" s="68"/>
      <c r="Q96" s="111"/>
    </row>
    <row r="97" spans="3:16" x14ac:dyDescent="0.25">
      <c r="C97" s="162"/>
      <c r="D97" s="199" t="s">
        <v>14</v>
      </c>
      <c r="E97" s="1140" t="str">
        <f>Translations!$B$58</f>
        <v>City:</v>
      </c>
      <c r="F97" s="1140"/>
      <c r="G97" s="1140"/>
      <c r="H97" s="1141"/>
      <c r="I97" s="1178"/>
      <c r="J97" s="1179"/>
      <c r="K97" s="1179"/>
      <c r="L97" s="1179"/>
      <c r="M97" s="1179"/>
      <c r="N97" s="1180"/>
      <c r="O97" s="64"/>
      <c r="P97" s="68"/>
    </row>
    <row r="98" spans="3:16" x14ac:dyDescent="0.25">
      <c r="C98" s="162"/>
      <c r="D98" s="199" t="s">
        <v>15</v>
      </c>
      <c r="E98" s="1140" t="str">
        <f>Translations!$B$311</f>
        <v>Post code:</v>
      </c>
      <c r="F98" s="1140"/>
      <c r="G98" s="1140"/>
      <c r="H98" s="1141"/>
      <c r="I98" s="1178"/>
      <c r="J98" s="1179"/>
      <c r="K98" s="1179"/>
      <c r="L98" s="1179"/>
      <c r="M98" s="1179"/>
      <c r="N98" s="1180"/>
      <c r="O98" s="64"/>
      <c r="P98" s="68"/>
    </row>
    <row r="99" spans="3:16" x14ac:dyDescent="0.25">
      <c r="C99" s="162"/>
      <c r="D99" s="199" t="s">
        <v>16</v>
      </c>
      <c r="E99" s="1151" t="str">
        <f>Translations!$B$61</f>
        <v>Country:</v>
      </c>
      <c r="F99" s="1151"/>
      <c r="G99" s="1151"/>
      <c r="H99" s="1152"/>
      <c r="I99" s="1167"/>
      <c r="J99" s="1168"/>
      <c r="K99" s="1168"/>
      <c r="L99" s="1168"/>
      <c r="M99" s="1168"/>
      <c r="N99" s="1169"/>
      <c r="O99" s="64"/>
      <c r="P99" s="68"/>
    </row>
    <row r="100" spans="3:16" x14ac:dyDescent="0.25">
      <c r="C100" s="162"/>
      <c r="D100" s="208"/>
      <c r="E100" s="115"/>
      <c r="F100" s="115"/>
      <c r="G100" s="132"/>
      <c r="H100" s="132"/>
      <c r="I100" s="115"/>
      <c r="J100" s="209"/>
      <c r="K100" s="115"/>
      <c r="L100" s="115"/>
      <c r="M100" s="132"/>
      <c r="N100" s="132"/>
      <c r="O100" s="64"/>
      <c r="P100" s="68"/>
    </row>
    <row r="101" spans="3:16" ht="13" x14ac:dyDescent="0.25">
      <c r="C101" s="162"/>
      <c r="D101" s="205" t="s">
        <v>7</v>
      </c>
      <c r="E101" s="1139" t="str">
        <f>Translations!$B$312</f>
        <v>Contact person for the verifier:</v>
      </c>
      <c r="F101" s="1139"/>
      <c r="G101" s="1139"/>
      <c r="H101" s="1139"/>
      <c r="I101" s="1139"/>
      <c r="J101" s="1139"/>
      <c r="K101" s="1139"/>
      <c r="L101" s="1139"/>
      <c r="M101" s="1139"/>
      <c r="N101" s="1139"/>
      <c r="O101" s="64"/>
      <c r="P101" s="68"/>
    </row>
    <row r="102" spans="3:16" x14ac:dyDescent="0.25">
      <c r="C102" s="162"/>
      <c r="D102" s="210"/>
      <c r="E102" s="1154" t="str">
        <f>Translations!$B$313</f>
        <v>The nominated person should be familiar with this report. This person must be the lead EU ETS auditor.</v>
      </c>
      <c r="F102" s="1154"/>
      <c r="G102" s="1154"/>
      <c r="H102" s="1154"/>
      <c r="I102" s="1154"/>
      <c r="J102" s="1154"/>
      <c r="K102" s="1154"/>
      <c r="L102" s="1154"/>
      <c r="M102" s="1154"/>
      <c r="N102" s="1154"/>
      <c r="O102" s="64"/>
      <c r="P102" s="68"/>
    </row>
    <row r="103" spans="3:16" x14ac:dyDescent="0.25">
      <c r="C103" s="162"/>
      <c r="D103" s="199" t="s">
        <v>12</v>
      </c>
      <c r="E103" s="1140" t="str">
        <f>Translations!$B$314</f>
        <v>Name:</v>
      </c>
      <c r="F103" s="1140"/>
      <c r="G103" s="1140"/>
      <c r="H103" s="1141"/>
      <c r="I103" s="1142"/>
      <c r="J103" s="1143"/>
      <c r="K103" s="1143"/>
      <c r="L103" s="1143"/>
      <c r="M103" s="1143"/>
      <c r="N103" s="1144"/>
      <c r="O103" s="64"/>
      <c r="P103" s="68"/>
    </row>
    <row r="104" spans="3:16" x14ac:dyDescent="0.25">
      <c r="C104" s="162"/>
      <c r="D104" s="199" t="s">
        <v>13</v>
      </c>
      <c r="E104" s="1140" t="str">
        <f>Translations!$B$69</f>
        <v>Email address:</v>
      </c>
      <c r="F104" s="1140"/>
      <c r="G104" s="1140"/>
      <c r="H104" s="1141"/>
      <c r="I104" s="1145"/>
      <c r="J104" s="1146"/>
      <c r="K104" s="1146"/>
      <c r="L104" s="1146"/>
      <c r="M104" s="1146"/>
      <c r="N104" s="1147"/>
      <c r="O104" s="64"/>
      <c r="P104" s="68"/>
    </row>
    <row r="105" spans="3:16" x14ac:dyDescent="0.25">
      <c r="C105" s="162"/>
      <c r="D105" s="199" t="s">
        <v>14</v>
      </c>
      <c r="E105" s="1151" t="str">
        <f>Translations!$B$68</f>
        <v>Telephone number:</v>
      </c>
      <c r="F105" s="1151"/>
      <c r="G105" s="1151"/>
      <c r="H105" s="1152"/>
      <c r="I105" s="1167"/>
      <c r="J105" s="1168"/>
      <c r="K105" s="1168"/>
      <c r="L105" s="1168"/>
      <c r="M105" s="1168"/>
      <c r="N105" s="1169"/>
      <c r="O105" s="64"/>
      <c r="P105" s="68"/>
    </row>
    <row r="106" spans="3:16" x14ac:dyDescent="0.25">
      <c r="C106" s="162"/>
      <c r="D106" s="208"/>
      <c r="E106" s="115"/>
      <c r="F106" s="115"/>
      <c r="G106" s="115"/>
      <c r="H106" s="115"/>
      <c r="I106" s="115"/>
      <c r="J106" s="209"/>
      <c r="K106" s="115"/>
      <c r="L106" s="115"/>
      <c r="M106" s="132"/>
      <c r="N106" s="132"/>
      <c r="O106" s="64"/>
      <c r="P106" s="68"/>
    </row>
    <row r="107" spans="3:16" ht="13" x14ac:dyDescent="0.25">
      <c r="C107" s="162"/>
      <c r="D107" s="182" t="s">
        <v>8</v>
      </c>
      <c r="E107" s="1139" t="str">
        <f>Translations!$B$315</f>
        <v>Information about the verifier's accreditation or certification:</v>
      </c>
      <c r="F107" s="1139"/>
      <c r="G107" s="1139"/>
      <c r="H107" s="1139"/>
      <c r="I107" s="1139"/>
      <c r="J107" s="1139"/>
      <c r="K107" s="1139"/>
      <c r="L107" s="1139"/>
      <c r="M107" s="1139"/>
      <c r="N107" s="1139"/>
      <c r="O107" s="64"/>
      <c r="P107" s="68"/>
    </row>
    <row r="108" spans="3:16" ht="25.5" customHeight="1" x14ac:dyDescent="0.25">
      <c r="C108" s="162"/>
      <c r="D108" s="199"/>
      <c r="E108" s="1154" t="str">
        <f>Translations!$B$316</f>
        <v>Note that pursuant to Article 55(2) of the "AVR" (Accreditation and Verification Regulation; Regulation (EU) 2018/2067), a Member State may choose to entrust certification of natural persons as verifiers to a national authority other than the national accreditation body.</v>
      </c>
      <c r="F108" s="1154"/>
      <c r="G108" s="1154"/>
      <c r="H108" s="1154"/>
      <c r="I108" s="1154"/>
      <c r="J108" s="1154"/>
      <c r="K108" s="1154"/>
      <c r="L108" s="1154"/>
      <c r="M108" s="1154"/>
      <c r="N108" s="1154"/>
      <c r="O108" s="64"/>
      <c r="P108" s="68"/>
    </row>
    <row r="109" spans="3:16" x14ac:dyDescent="0.25">
      <c r="C109" s="162"/>
      <c r="D109" s="199"/>
      <c r="E109" s="1154" t="str">
        <f>Translations!$B$317</f>
        <v>In such cases, "accreditation" should be read as "certification", and "accreditation body" as "national authority".</v>
      </c>
      <c r="F109" s="1154"/>
      <c r="G109" s="1154"/>
      <c r="H109" s="1154"/>
      <c r="I109" s="1154"/>
      <c r="J109" s="1154"/>
      <c r="K109" s="1154"/>
      <c r="L109" s="1154"/>
      <c r="M109" s="1154"/>
      <c r="N109" s="1154"/>
      <c r="O109" s="64"/>
      <c r="P109" s="68"/>
    </row>
    <row r="110" spans="3:16" x14ac:dyDescent="0.25">
      <c r="C110" s="162"/>
      <c r="D110" s="210"/>
      <c r="E110" s="1154" t="str">
        <f>Translations!$B$318</f>
        <v>The availability of such registration information may depend on the administering Member State's practice of accreditation of verifiers.</v>
      </c>
      <c r="F110" s="1154"/>
      <c r="G110" s="1154"/>
      <c r="H110" s="1154"/>
      <c r="I110" s="1154"/>
      <c r="J110" s="1154"/>
      <c r="K110" s="1154"/>
      <c r="L110" s="1154"/>
      <c r="M110" s="1154"/>
      <c r="N110" s="1154"/>
      <c r="O110" s="64"/>
      <c r="P110" s="68"/>
    </row>
    <row r="111" spans="3:16" x14ac:dyDescent="0.25">
      <c r="C111" s="162"/>
      <c r="D111" s="199" t="s">
        <v>12</v>
      </c>
      <c r="E111" s="1140" t="str">
        <f>Translations!$B$319</f>
        <v>Accreditation Member State:</v>
      </c>
      <c r="F111" s="1140"/>
      <c r="G111" s="1140"/>
      <c r="H111" s="1141"/>
      <c r="I111" s="1142"/>
      <c r="J111" s="1143"/>
      <c r="K111" s="1143"/>
      <c r="L111" s="1143"/>
      <c r="M111" s="1143"/>
      <c r="N111" s="1144"/>
      <c r="O111" s="64"/>
      <c r="P111" s="68"/>
    </row>
    <row r="112" spans="3:16" x14ac:dyDescent="0.25">
      <c r="C112" s="162"/>
      <c r="D112" s="199" t="s">
        <v>13</v>
      </c>
      <c r="E112" s="1151" t="str">
        <f>Translations!$B$320</f>
        <v>Registration number issued by the Accreditation body:</v>
      </c>
      <c r="F112" s="1151"/>
      <c r="G112" s="1151"/>
      <c r="H112" s="1152"/>
      <c r="I112" s="1167"/>
      <c r="J112" s="1168"/>
      <c r="K112" s="1168"/>
      <c r="L112" s="1168"/>
      <c r="M112" s="1168"/>
      <c r="N112" s="1169"/>
      <c r="O112" s="64"/>
      <c r="P112" s="68"/>
    </row>
    <row r="113" spans="1:21" x14ac:dyDescent="0.25">
      <c r="A113" s="287"/>
      <c r="B113" s="116"/>
      <c r="C113" s="116"/>
      <c r="D113" s="116"/>
      <c r="E113" s="116"/>
      <c r="F113" s="116"/>
      <c r="G113" s="116"/>
      <c r="H113" s="116"/>
      <c r="I113" s="116"/>
      <c r="J113" s="116"/>
      <c r="K113" s="116"/>
      <c r="L113" s="116"/>
      <c r="M113" s="116"/>
      <c r="N113" s="116"/>
      <c r="O113" s="64"/>
      <c r="P113" s="68"/>
      <c r="Q113" s="111"/>
      <c r="R113" s="111"/>
      <c r="S113" s="111"/>
      <c r="T113" s="111"/>
      <c r="U113" s="111"/>
    </row>
    <row r="114" spans="1:21" s="144" customFormat="1" hidden="1" x14ac:dyDescent="0.25">
      <c r="A114" s="111" t="s">
        <v>0</v>
      </c>
      <c r="B114" s="113" t="s">
        <v>18</v>
      </c>
      <c r="C114" s="113" t="s">
        <v>18</v>
      </c>
      <c r="D114" s="113" t="s">
        <v>18</v>
      </c>
      <c r="E114" s="113" t="s">
        <v>18</v>
      </c>
      <c r="F114" s="113" t="s">
        <v>18</v>
      </c>
      <c r="G114" s="113" t="s">
        <v>18</v>
      </c>
      <c r="H114" s="113" t="s">
        <v>18</v>
      </c>
      <c r="I114" s="113" t="s">
        <v>18</v>
      </c>
      <c r="J114" s="113" t="s">
        <v>18</v>
      </c>
      <c r="K114" s="113" t="s">
        <v>18</v>
      </c>
      <c r="L114" s="113" t="s">
        <v>18</v>
      </c>
      <c r="M114" s="113" t="s">
        <v>18</v>
      </c>
      <c r="N114" s="113" t="s">
        <v>18</v>
      </c>
      <c r="O114" s="211" t="s">
        <v>18</v>
      </c>
      <c r="P114" s="113" t="s">
        <v>18</v>
      </c>
      <c r="Q114" s="113" t="s">
        <v>18</v>
      </c>
      <c r="R114" s="113" t="s">
        <v>18</v>
      </c>
      <c r="S114" s="113" t="s">
        <v>18</v>
      </c>
      <c r="T114" s="113" t="s">
        <v>18</v>
      </c>
      <c r="U114" s="113" t="s">
        <v>18</v>
      </c>
    </row>
    <row r="115" spans="1:21" s="144" customFormat="1" hidden="1" x14ac:dyDescent="0.25">
      <c r="A115" s="111" t="s">
        <v>0</v>
      </c>
      <c r="B115" s="111"/>
      <c r="C115" s="111"/>
      <c r="D115" s="111"/>
      <c r="E115" s="111"/>
      <c r="F115" s="111"/>
      <c r="G115" s="111"/>
      <c r="H115" s="111"/>
      <c r="I115" s="111"/>
      <c r="J115" s="111"/>
      <c r="K115" s="111"/>
      <c r="L115" s="111"/>
      <c r="M115" s="111"/>
      <c r="N115" s="111"/>
      <c r="O115" s="63"/>
      <c r="P115" s="62" t="s">
        <v>3</v>
      </c>
      <c r="Q115" s="111"/>
      <c r="R115" s="111"/>
      <c r="S115" s="111"/>
      <c r="T115" s="111"/>
      <c r="U115" s="111"/>
    </row>
  </sheetData>
  <sheetProtection sheet="1" objects="1" scenarios="1" formatCells="0" formatColumns="0" formatRows="0"/>
  <mergeCells count="118">
    <mergeCell ref="I65:N65"/>
    <mergeCell ref="I66:N66"/>
    <mergeCell ref="I57:N57"/>
    <mergeCell ref="I59:N59"/>
    <mergeCell ref="I60:N60"/>
    <mergeCell ref="I61:N61"/>
    <mergeCell ref="I62:N62"/>
    <mergeCell ref="I64:N64"/>
    <mergeCell ref="E104:H104"/>
    <mergeCell ref="I104:N104"/>
    <mergeCell ref="E98:H98"/>
    <mergeCell ref="I98:N98"/>
    <mergeCell ref="E99:H99"/>
    <mergeCell ref="I99:N99"/>
    <mergeCell ref="E101:N101"/>
    <mergeCell ref="E102:N102"/>
    <mergeCell ref="E103:H103"/>
    <mergeCell ref="I103:N103"/>
    <mergeCell ref="D92:N92"/>
    <mergeCell ref="E105:H105"/>
    <mergeCell ref="I105:N105"/>
    <mergeCell ref="E111:H111"/>
    <mergeCell ref="I111:N111"/>
    <mergeCell ref="E112:H112"/>
    <mergeCell ref="I112:N112"/>
    <mergeCell ref="E72:H72"/>
    <mergeCell ref="I72:N72"/>
    <mergeCell ref="E107:N107"/>
    <mergeCell ref="E108:N108"/>
    <mergeCell ref="E109:N109"/>
    <mergeCell ref="E110:N110"/>
    <mergeCell ref="I86:N86"/>
    <mergeCell ref="E74:H74"/>
    <mergeCell ref="I74:N74"/>
    <mergeCell ref="E76:H76"/>
    <mergeCell ref="E78:J78"/>
    <mergeCell ref="E80:H80"/>
    <mergeCell ref="I80:N80"/>
    <mergeCell ref="I87:N87"/>
    <mergeCell ref="I88:N88"/>
    <mergeCell ref="I89:N89"/>
    <mergeCell ref="E97:H97"/>
    <mergeCell ref="I97:N97"/>
    <mergeCell ref="E29:G29"/>
    <mergeCell ref="D16:N16"/>
    <mergeCell ref="I22:J22"/>
    <mergeCell ref="E28:G28"/>
    <mergeCell ref="E94:N94"/>
    <mergeCell ref="E95:H95"/>
    <mergeCell ref="I95:N95"/>
    <mergeCell ref="E96:H96"/>
    <mergeCell ref="I96:N96"/>
    <mergeCell ref="I90:N90"/>
    <mergeCell ref="D68:N68"/>
    <mergeCell ref="E81:H81"/>
    <mergeCell ref="I81:N81"/>
    <mergeCell ref="E83:N83"/>
    <mergeCell ref="E84:N84"/>
    <mergeCell ref="E85:N85"/>
    <mergeCell ref="E70:J70"/>
    <mergeCell ref="I18:N18"/>
    <mergeCell ref="I20:N20"/>
    <mergeCell ref="I28:N28"/>
    <mergeCell ref="I29:N29"/>
    <mergeCell ref="I33:N33"/>
    <mergeCell ref="I38:N38"/>
    <mergeCell ref="I55:N55"/>
    <mergeCell ref="B2:D4"/>
    <mergeCell ref="C6:N6"/>
    <mergeCell ref="E39:G39"/>
    <mergeCell ref="E38:G38"/>
    <mergeCell ref="E36:J36"/>
    <mergeCell ref="E18:G18"/>
    <mergeCell ref="M2:N2"/>
    <mergeCell ref="D24:N24"/>
    <mergeCell ref="E20:G20"/>
    <mergeCell ref="K22:L22"/>
    <mergeCell ref="E22:G22"/>
    <mergeCell ref="E31:N31"/>
    <mergeCell ref="E33:G33"/>
    <mergeCell ref="D9:H9"/>
    <mergeCell ref="J9:K9"/>
    <mergeCell ref="D12:N12"/>
    <mergeCell ref="D13:N13"/>
    <mergeCell ref="D14:N14"/>
    <mergeCell ref="I39:N39"/>
    <mergeCell ref="E2:F2"/>
    <mergeCell ref="E4:F4"/>
    <mergeCell ref="I3:J3"/>
    <mergeCell ref="E3:F3"/>
    <mergeCell ref="K3:L3"/>
    <mergeCell ref="K2:L2"/>
    <mergeCell ref="G4:H4"/>
    <mergeCell ref="G2:H2"/>
    <mergeCell ref="I4:J4"/>
    <mergeCell ref="G3:H3"/>
    <mergeCell ref="M3:N3"/>
    <mergeCell ref="I2:J2"/>
    <mergeCell ref="K4:L4"/>
    <mergeCell ref="M4:N4"/>
    <mergeCell ref="E41:G41"/>
    <mergeCell ref="E30:N30"/>
    <mergeCell ref="E34:N34"/>
    <mergeCell ref="I40:N40"/>
    <mergeCell ref="I41:N41"/>
    <mergeCell ref="I52:N52"/>
    <mergeCell ref="I53:N53"/>
    <mergeCell ref="I56:N56"/>
    <mergeCell ref="E47:L47"/>
    <mergeCell ref="E43:G43"/>
    <mergeCell ref="D45:N45"/>
    <mergeCell ref="E42:G42"/>
    <mergeCell ref="I42:N42"/>
    <mergeCell ref="I43:N43"/>
    <mergeCell ref="I50:N50"/>
    <mergeCell ref="I51:N51"/>
    <mergeCell ref="E48:N48"/>
    <mergeCell ref="E40:G40"/>
  </mergeCells>
  <phoneticPr fontId="32" type="noConversion"/>
  <dataValidations count="3">
    <dataValidation type="list" allowBlank="1" showInputMessage="1" showErrorMessage="1" sqref="I43:L43 I20:L20 I111:N111" xr:uid="{00000000-0002-0000-0200-000000000000}">
      <formula1>EUconst_MSlist</formula1>
    </dataValidation>
    <dataValidation type="list" allowBlank="1" showInputMessage="1" showErrorMessage="1" sqref="J9:K9" xr:uid="{00000000-0002-0000-0200-000001000000}">
      <formula1>EUconst_ReportingYear</formula1>
    </dataValidation>
    <dataValidation type="list" allowBlank="1" showInputMessage="1" showErrorMessage="1" sqref="I76" xr:uid="{00000000-0002-0000-0200-000002000000}">
      <formula1>EUconst_TrueFalse</formula1>
    </dataValidation>
  </dataValidations>
  <hyperlinks>
    <hyperlink ref="G3:H3" location="JUMP_B_2" display="Operator" xr:uid="{00000000-0004-0000-0200-000000000000}"/>
    <hyperlink ref="I3:J3" location="JUMP_B_3" display="Installation" xr:uid="{00000000-0004-0000-0200-000001000000}"/>
    <hyperlink ref="K3:L3" location="JUMP_B_4" display="Contacts" xr:uid="{00000000-0004-0000-0200-000002000000}"/>
    <hyperlink ref="G2:H2" location="JUMP_a_Content" display="Table of contents" xr:uid="{00000000-0004-0000-0200-000003000000}"/>
  </hyperlinks>
  <pageMargins left="0.78740157480314965" right="0.78740157480314965" top="0.78740157480314965" bottom="0.78740157480314965" header="0.39370078740157483" footer="0.39370078740157483"/>
  <pageSetup paperSize="9" scale="62" orientation="portrait" r:id="rId1"/>
  <headerFooter alignWithMargins="0">
    <oddHeader>&amp;L&amp;F, &amp;A&amp;R&amp;D, &amp;T</oddHeader>
    <oddFooter>&amp;C&amp;P / &amp;N</oddFooter>
  </headerFooter>
  <colBreaks count="1" manualBreakCount="1">
    <brk id="12"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5">
    <tabColor indexed="42"/>
    <pageSetUpPr fitToPage="1"/>
  </sheetPr>
  <dimension ref="A1:AD187"/>
  <sheetViews>
    <sheetView topLeftCell="B1" zoomScaleNormal="100" workbookViewId="0">
      <pane ySplit="4" topLeftCell="A5" activePane="bottomLeft" state="frozen"/>
      <selection activeCell="B2" sqref="B2"/>
      <selection pane="bottomLeft" activeCell="B2" sqref="B2:D4"/>
    </sheetView>
  </sheetViews>
  <sheetFormatPr defaultColWidth="9.1796875" defaultRowHeight="12.5" x14ac:dyDescent="0.25"/>
  <cols>
    <col min="1" max="1" width="2.7265625" style="197" hidden="1" customWidth="1"/>
    <col min="2" max="2" width="2.7265625" style="143" customWidth="1"/>
    <col min="3" max="4" width="4.7265625" style="143" customWidth="1"/>
    <col min="5" max="14" width="13.7265625" style="143" customWidth="1"/>
    <col min="15" max="15" width="2.7265625" style="212" customWidth="1"/>
    <col min="16" max="16" width="11.453125" style="143" customWidth="1"/>
    <col min="17" max="30" width="11.453125" style="197" hidden="1" customWidth="1"/>
    <col min="31" max="16384" width="9.1796875" style="143"/>
  </cols>
  <sheetData>
    <row r="1" spans="1:30" s="115" customFormat="1" ht="13" hidden="1" thickBot="1" x14ac:dyDescent="0.3">
      <c r="A1" s="151" t="s">
        <v>0</v>
      </c>
      <c r="B1" s="138"/>
      <c r="C1" s="139"/>
      <c r="D1" s="213"/>
      <c r="E1" s="138"/>
      <c r="F1" s="138"/>
      <c r="G1" s="141"/>
      <c r="H1" s="141"/>
      <c r="I1" s="138"/>
      <c r="J1" s="138"/>
      <c r="K1" s="138"/>
      <c r="L1" s="138"/>
      <c r="M1" s="138"/>
      <c r="N1" s="138"/>
      <c r="O1" s="142"/>
      <c r="Q1" s="137" t="s">
        <v>0</v>
      </c>
      <c r="R1" s="137" t="s">
        <v>0</v>
      </c>
      <c r="S1" s="137" t="s">
        <v>0</v>
      </c>
      <c r="T1" s="137" t="s">
        <v>0</v>
      </c>
      <c r="U1" s="137" t="s">
        <v>0</v>
      </c>
      <c r="V1" s="137" t="s">
        <v>0</v>
      </c>
      <c r="W1" s="137" t="s">
        <v>0</v>
      </c>
      <c r="X1" s="137" t="s">
        <v>0</v>
      </c>
      <c r="Y1" s="137" t="s">
        <v>0</v>
      </c>
      <c r="Z1" s="137" t="s">
        <v>0</v>
      </c>
      <c r="AA1" s="137" t="s">
        <v>0</v>
      </c>
      <c r="AB1" s="137" t="s">
        <v>0</v>
      </c>
      <c r="AC1" s="137" t="s">
        <v>0</v>
      </c>
      <c r="AD1" s="137" t="s">
        <v>0</v>
      </c>
    </row>
    <row r="2" spans="1:30" s="115" customFormat="1" ht="13.5" thickBot="1" x14ac:dyDescent="0.35">
      <c r="A2" s="137"/>
      <c r="B2" s="1003" t="str">
        <f>Translations!$B$321</f>
        <v>B. Identify fuel streams</v>
      </c>
      <c r="C2" s="1213"/>
      <c r="D2" s="1214"/>
      <c r="E2" s="1019" t="str">
        <f>Translations!$B$13</f>
        <v>Navigation area:</v>
      </c>
      <c r="F2" s="1020"/>
      <c r="G2" s="1021" t="str">
        <f>Translations!$B$14</f>
        <v>Table of contents</v>
      </c>
      <c r="H2" s="1022"/>
      <c r="I2" s="1021" t="str">
        <f ca="1">HYPERLINK("#"&amp;INDEX(a_Contents!$R$4:$R$49,MATCH(INDEX(a_Contents!$T$4:$T$49,MATCH($T$2,a_Contents!$S$4:$S$49,0))-1,a_Contents!$T$4:$T$49,0)),EUconst_PreviousSheet)</f>
        <v>Previous sheet</v>
      </c>
      <c r="J2" s="1022"/>
      <c r="K2" s="1021" t="str">
        <f ca="1">HYPERLINK("#"&amp;INDEX(a_Contents!$R$4:$R$49,MATCH(INDEX(a_Contents!$T$4:$T$49,MATCH($T$2,a_Contents!$S$4:$S$49,0))+1,a_Contents!$T$4:$T$49,0)),EUconst_NextSheet)</f>
        <v>Next sheet</v>
      </c>
      <c r="L2" s="1022"/>
      <c r="M2" s="1014" t="str">
        <f ca="1">HYPERLINK("#"&amp;a_Contents!$R$46,INDIRECT(a_Contents!$R$46))</f>
        <v>I Accounting sheet</v>
      </c>
      <c r="N2" s="1015"/>
      <c r="O2" s="142"/>
      <c r="Q2" s="61" t="s">
        <v>1</v>
      </c>
      <c r="R2" s="66" t="str">
        <f>ADDRESS(ROW($B$6),COLUMN($B$6)) &amp; ":" &amp; ADDRESS(MATCH("PRINT",$P:$P,0),COLUMN($P$6))</f>
        <v>$B$6:$P$177</v>
      </c>
      <c r="S2" s="61" t="s">
        <v>2</v>
      </c>
      <c r="T2" s="67" t="str">
        <f ca="1">IF(ISERROR(CELL("filename",U2)),"C_EntityDescription",MID(CELL("filename",U2),FIND("]",CELL("filename",U2))+1,1024))</f>
        <v>B_IdentifyFuelStreams</v>
      </c>
      <c r="U2" s="151"/>
      <c r="V2" s="151"/>
      <c r="W2" s="151"/>
      <c r="X2" s="151"/>
      <c r="Y2" s="151"/>
      <c r="Z2" s="151"/>
      <c r="AA2" s="151"/>
      <c r="AB2" s="151"/>
      <c r="AC2" s="151"/>
      <c r="AD2" s="151"/>
    </row>
    <row r="3" spans="1:30" s="115" customFormat="1" x14ac:dyDescent="0.25">
      <c r="A3" s="137"/>
      <c r="B3" s="1215"/>
      <c r="C3" s="1216"/>
      <c r="D3" s="1217"/>
      <c r="E3" s="1013"/>
      <c r="F3" s="1013"/>
      <c r="G3" s="999" t="str">
        <f>IFERROR(HYPERLINK("#"&amp;ADDRESS(ROW($A$1)+MATCH(Q3,$A:$A,0)-1,3),INDEX($Q:$Q,MATCH(Q3,$A:$A,0))),"")</f>
        <v>Means for release</v>
      </c>
      <c r="H3" s="999"/>
      <c r="I3" s="999" t="str">
        <f>IFERROR(HYPERLINK("#"&amp;ADDRESS(ROW($A$1)+MATCH(S3,$A:$A,0)-1,3),INDEX($Q:$Q,MATCH(S3,$A:$A,0))),"")</f>
        <v>Relevant fuel streams</v>
      </c>
      <c r="J3" s="999"/>
      <c r="K3" s="999" t="str">
        <f>IFERROR(HYPERLINK("#"&amp;ADDRESS(ROW($A$1)+MATCH(U3,$A:$A,0)-1,3),INDEX($Q:$Q,MATCH(U3,$A:$A,0))),"")</f>
        <v/>
      </c>
      <c r="L3" s="999"/>
      <c r="M3" s="999" t="str">
        <f>IFERROR(HYPERLINK("#"&amp;ADDRESS(ROW($A$1)+MATCH(W3,$A:$A,0)-1,3),INDEX($Q:$Q,MATCH(W3,$A:$A,0))),"")</f>
        <v/>
      </c>
      <c r="N3" s="999"/>
      <c r="O3" s="142"/>
      <c r="Q3" s="145">
        <v>1</v>
      </c>
      <c r="R3" s="146"/>
      <c r="S3" s="146">
        <v>2</v>
      </c>
      <c r="T3" s="146"/>
      <c r="U3" s="146">
        <v>3</v>
      </c>
      <c r="V3" s="146"/>
      <c r="W3" s="147">
        <v>4</v>
      </c>
      <c r="X3" s="151"/>
      <c r="Y3" s="151"/>
      <c r="Z3" s="151"/>
      <c r="AA3" s="151"/>
      <c r="AB3" s="151"/>
      <c r="AC3" s="151"/>
      <c r="AD3" s="151"/>
    </row>
    <row r="4" spans="1:30" s="115" customFormat="1" ht="13.5" customHeight="1" thickBot="1" x14ac:dyDescent="0.3">
      <c r="A4" s="137"/>
      <c r="B4" s="1218"/>
      <c r="C4" s="1219"/>
      <c r="D4" s="1220"/>
      <c r="E4" s="1013"/>
      <c r="F4" s="1013"/>
      <c r="G4" s="999" t="str">
        <f>IFERROR(HYPERLINK("#"&amp;ADDRESS(ROW($A$1)+MATCH(Q4,$A:$A,0)-1,3),INDEX($Q:$Q,MATCH(Q4,$A:$A,0))),"")</f>
        <v/>
      </c>
      <c r="H4" s="999"/>
      <c r="I4" s="999" t="str">
        <f>IFERROR(HYPERLINK("#"&amp;ADDRESS(ROW($A$1)+MATCH(S4,$A:$A,0)-1,3),INDEX($Q:$Q,MATCH(S4,$A:$A,0))),"")</f>
        <v/>
      </c>
      <c r="J4" s="999"/>
      <c r="K4" s="999" t="str">
        <f>IFERROR(HYPERLINK("#"&amp;ADDRESS(ROW($A$1)+MATCH(U4,$A:$A,0)-1,3),INDEX($Q:$Q,MATCH(U4,$A:$A,0))),"")</f>
        <v/>
      </c>
      <c r="L4" s="999"/>
      <c r="M4" s="999" t="str">
        <f>IFERROR(HYPERLINK("#"&amp;ADDRESS(ROW($A$1)+MATCH(W4,$A:$A,0)-1,3),INDEX($Q:$Q,MATCH(W4,$A:$A,0))),"")</f>
        <v/>
      </c>
      <c r="N4" s="999"/>
      <c r="O4" s="142"/>
      <c r="Q4" s="148">
        <v>5</v>
      </c>
      <c r="R4" s="149"/>
      <c r="S4" s="149">
        <v>6</v>
      </c>
      <c r="T4" s="149"/>
      <c r="U4" s="149">
        <v>7</v>
      </c>
      <c r="V4" s="149"/>
      <c r="W4" s="150">
        <v>8</v>
      </c>
      <c r="X4" s="151"/>
      <c r="Y4" s="151"/>
      <c r="Z4" s="151"/>
      <c r="AA4" s="151"/>
      <c r="AB4" s="151"/>
      <c r="AC4" s="151"/>
      <c r="AD4" s="151"/>
    </row>
    <row r="5" spans="1:30" s="115" customFormat="1" ht="12.75" customHeight="1" x14ac:dyDescent="0.25">
      <c r="A5" s="151"/>
      <c r="C5" s="214"/>
      <c r="D5" s="215"/>
      <c r="F5" s="215"/>
      <c r="G5" s="215"/>
      <c r="H5" s="215"/>
      <c r="M5" s="132"/>
      <c r="N5" s="132"/>
      <c r="O5" s="142"/>
      <c r="Q5" s="151"/>
      <c r="R5" s="151"/>
      <c r="S5" s="151"/>
      <c r="T5" s="151"/>
      <c r="U5" s="151"/>
      <c r="V5" s="151"/>
      <c r="W5" s="151"/>
      <c r="X5" s="151"/>
      <c r="Y5" s="151"/>
      <c r="Z5" s="151"/>
      <c r="AA5" s="151"/>
      <c r="AB5" s="151"/>
      <c r="AC5" s="151"/>
      <c r="AD5" s="151"/>
    </row>
    <row r="6" spans="1:30" s="68" customFormat="1" ht="25.5" customHeight="1" x14ac:dyDescent="0.25">
      <c r="A6" s="152"/>
      <c r="C6" s="1212" t="str">
        <f>Translations!$B$322</f>
        <v>B. Identification of relevant fuel streams and related details</v>
      </c>
      <c r="D6" s="1212"/>
      <c r="E6" s="1212"/>
      <c r="F6" s="1212"/>
      <c r="G6" s="1212"/>
      <c r="H6" s="1212"/>
      <c r="I6" s="1212"/>
      <c r="J6" s="1212"/>
      <c r="K6" s="1212"/>
      <c r="L6" s="1212"/>
      <c r="M6" s="1212"/>
      <c r="N6" s="1212"/>
      <c r="O6" s="64"/>
      <c r="Q6" s="151"/>
      <c r="R6" s="151"/>
      <c r="S6" s="151"/>
      <c r="T6" s="151"/>
      <c r="U6" s="151"/>
      <c r="V6" s="151"/>
      <c r="W6" s="151"/>
      <c r="X6" s="151"/>
      <c r="Y6" s="151"/>
      <c r="Z6" s="151"/>
      <c r="AA6" s="151"/>
      <c r="AB6" s="151"/>
      <c r="AC6" s="151"/>
      <c r="AD6" s="151"/>
    </row>
    <row r="7" spans="1:30" s="115" customFormat="1" ht="12.75" customHeight="1" x14ac:dyDescent="0.25">
      <c r="A7" s="151"/>
      <c r="C7" s="170"/>
      <c r="O7" s="142"/>
      <c r="Q7" s="151"/>
      <c r="R7" s="151"/>
      <c r="S7" s="151"/>
      <c r="T7" s="151"/>
      <c r="U7" s="151"/>
      <c r="V7" s="151"/>
      <c r="W7" s="151"/>
      <c r="X7" s="151"/>
      <c r="Y7" s="151"/>
      <c r="Z7" s="151"/>
      <c r="AA7" s="151"/>
      <c r="AB7" s="151"/>
      <c r="AC7" s="151"/>
      <c r="AD7" s="151"/>
    </row>
    <row r="8" spans="1:30" s="68" customFormat="1" ht="18.75" customHeight="1" x14ac:dyDescent="0.25">
      <c r="A8" s="167">
        <f>C8</f>
        <v>1</v>
      </c>
      <c r="C8" s="216">
        <v>1</v>
      </c>
      <c r="D8" s="1195" t="str">
        <f>Translations!$B$190</f>
        <v>Means through which fuels are released for consumption</v>
      </c>
      <c r="E8" s="1195"/>
      <c r="F8" s="1195"/>
      <c r="G8" s="1195"/>
      <c r="H8" s="1195"/>
      <c r="I8" s="1195"/>
      <c r="J8" s="1195"/>
      <c r="K8" s="1195"/>
      <c r="L8" s="1195"/>
      <c r="M8" s="1195"/>
      <c r="N8" s="1195"/>
      <c r="O8" s="64"/>
      <c r="Q8" s="217" t="str">
        <f>Translations!$B$191</f>
        <v>Means for release</v>
      </c>
      <c r="R8" s="151"/>
      <c r="S8" s="151"/>
      <c r="T8" s="151"/>
      <c r="U8" s="151"/>
      <c r="V8" s="151"/>
      <c r="W8" s="151"/>
      <c r="X8" s="151"/>
      <c r="Y8" s="151"/>
      <c r="Z8" s="151"/>
      <c r="AA8" s="151"/>
      <c r="AB8" s="151"/>
      <c r="AC8" s="151"/>
      <c r="AD8" s="151"/>
    </row>
    <row r="9" spans="1:30" s="115" customFormat="1" ht="5.15" customHeight="1" x14ac:dyDescent="0.25">
      <c r="A9" s="151"/>
      <c r="C9" s="170"/>
      <c r="O9" s="142"/>
      <c r="Q9" s="151"/>
      <c r="R9" s="151"/>
      <c r="S9" s="151"/>
      <c r="T9" s="151"/>
      <c r="U9" s="151"/>
      <c r="V9" s="151"/>
      <c r="W9" s="151"/>
      <c r="X9" s="151"/>
      <c r="Y9" s="151"/>
      <c r="Z9" s="151"/>
      <c r="AA9" s="151"/>
      <c r="AB9" s="151"/>
      <c r="AC9" s="151"/>
      <c r="AD9" s="151"/>
    </row>
    <row r="10" spans="1:30" s="68" customFormat="1" ht="12.75" customHeight="1" x14ac:dyDescent="0.25">
      <c r="A10" s="152"/>
      <c r="C10" s="218"/>
      <c r="D10" s="85" t="s">
        <v>6</v>
      </c>
      <c r="E10" s="1242" t="str">
        <f>Translations!$B$192</f>
        <v>Means through which fuels are released for consumption (physical means of transport):</v>
      </c>
      <c r="F10" s="1242"/>
      <c r="G10" s="1242"/>
      <c r="H10" s="1242"/>
      <c r="I10" s="1242"/>
      <c r="J10" s="1242"/>
      <c r="K10" s="1242"/>
      <c r="L10" s="1242"/>
      <c r="M10" s="1242"/>
      <c r="N10" s="1242"/>
      <c r="O10" s="64"/>
      <c r="Q10" s="219"/>
      <c r="R10" s="219"/>
      <c r="S10" s="152"/>
      <c r="T10" s="152"/>
      <c r="U10" s="152"/>
      <c r="V10" s="152"/>
      <c r="W10" s="152"/>
      <c r="X10" s="152"/>
      <c r="Y10" s="152"/>
      <c r="Z10" s="152"/>
      <c r="AA10" s="152"/>
      <c r="AB10" s="152"/>
      <c r="AC10" s="152"/>
      <c r="AD10" s="152"/>
    </row>
    <row r="11" spans="1:30" s="115" customFormat="1" ht="12.75" customHeight="1" x14ac:dyDescent="0.25">
      <c r="A11" s="151"/>
      <c r="C11" s="170"/>
      <c r="D11" s="194"/>
      <c r="E11" s="1090" t="str">
        <f>Translations!$B$323</f>
        <v>Annex X requires the annual emissions report to include a description of the means through which the fuels are released for consumption.</v>
      </c>
      <c r="F11" s="1090"/>
      <c r="G11" s="1090"/>
      <c r="H11" s="1090"/>
      <c r="I11" s="1090"/>
      <c r="J11" s="1090"/>
      <c r="K11" s="1090"/>
      <c r="L11" s="1090"/>
      <c r="M11" s="1090"/>
      <c r="N11" s="1090"/>
      <c r="O11" s="142"/>
      <c r="Q11" s="220"/>
      <c r="R11" s="220"/>
      <c r="S11" s="151"/>
      <c r="T11" s="151"/>
      <c r="U11" s="151"/>
      <c r="V11" s="151"/>
      <c r="W11" s="151"/>
      <c r="X11" s="151"/>
      <c r="Y11" s="151"/>
      <c r="Z11" s="151"/>
      <c r="AA11" s="151"/>
      <c r="AB11" s="151"/>
      <c r="AC11" s="151"/>
      <c r="AD11" s="151"/>
    </row>
    <row r="12" spans="1:30" s="115" customFormat="1" ht="25.5" customHeight="1" x14ac:dyDescent="0.25">
      <c r="A12" s="151"/>
      <c r="C12" s="170"/>
      <c r="D12" s="194"/>
      <c r="E12" s="1206" t="str">
        <f>Translations!$B$324</f>
        <v>The list entered here will be available as a drop-down list for fuel streams (section 2.b) where a reference to the relevant means is needed. Please therefore provide a short name or ID (either from drop-down list or enter free text) for easier reference, accompanied by a more detailed description.</v>
      </c>
      <c r="F12" s="1028"/>
      <c r="G12" s="1028"/>
      <c r="H12" s="1028"/>
      <c r="I12" s="1028"/>
      <c r="J12" s="1028"/>
      <c r="K12" s="1028"/>
      <c r="L12" s="1028"/>
      <c r="M12" s="1028"/>
      <c r="N12" s="1028"/>
      <c r="O12" s="142"/>
      <c r="Q12" s="151"/>
      <c r="R12" s="151"/>
      <c r="S12" s="151"/>
      <c r="T12" s="151"/>
      <c r="U12" s="151"/>
      <c r="V12" s="151"/>
      <c r="W12" s="151"/>
      <c r="X12" s="151"/>
      <c r="Y12" s="151"/>
      <c r="Z12" s="151"/>
      <c r="AA12" s="151"/>
      <c r="AB12" s="151"/>
      <c r="AC12" s="151"/>
      <c r="AD12" s="151"/>
    </row>
    <row r="13" spans="1:30" s="115" customFormat="1" ht="12.75" customHeight="1" x14ac:dyDescent="0.25">
      <c r="A13" s="151"/>
      <c r="C13" s="170"/>
      <c r="D13" s="194"/>
      <c r="E13" s="1197" t="str">
        <f>Translations!$B$325</f>
        <v>The first two lines show examples for how this section should be completed. Please ensure consistency with the relevant sections in the monitoring plan.</v>
      </c>
      <c r="F13" s="1198"/>
      <c r="G13" s="1198"/>
      <c r="H13" s="1198"/>
      <c r="I13" s="1198"/>
      <c r="J13" s="1198"/>
      <c r="K13" s="1198"/>
      <c r="L13" s="1198"/>
      <c r="M13" s="1198"/>
      <c r="N13" s="1198"/>
      <c r="O13" s="142"/>
      <c r="Q13" s="151"/>
      <c r="R13" s="151"/>
      <c r="S13" s="151"/>
      <c r="T13" s="151"/>
      <c r="U13" s="151"/>
      <c r="V13" s="151"/>
      <c r="W13" s="151"/>
      <c r="X13" s="151"/>
      <c r="Y13" s="151"/>
      <c r="Z13" s="151"/>
      <c r="AA13" s="151"/>
      <c r="AB13" s="151"/>
      <c r="AC13" s="151"/>
      <c r="AD13" s="151"/>
    </row>
    <row r="14" spans="1:30" s="115" customFormat="1" ht="4.9000000000000004" customHeight="1" x14ac:dyDescent="0.25">
      <c r="A14" s="151"/>
      <c r="C14" s="170"/>
      <c r="D14" s="194"/>
      <c r="M14" s="222"/>
      <c r="O14" s="142"/>
      <c r="Q14" s="151"/>
      <c r="R14" s="151"/>
      <c r="S14" s="151"/>
      <c r="T14" s="151"/>
      <c r="U14" s="151"/>
      <c r="V14" s="151"/>
      <c r="W14" s="151"/>
      <c r="X14" s="151"/>
      <c r="Y14" s="151"/>
      <c r="Z14" s="151"/>
      <c r="AA14" s="151"/>
      <c r="AB14" s="151"/>
      <c r="AC14" s="151"/>
      <c r="AD14" s="151"/>
    </row>
    <row r="15" spans="1:30" s="115" customFormat="1" ht="33.75" customHeight="1" x14ac:dyDescent="0.3">
      <c r="A15" s="151"/>
      <c r="C15" s="170"/>
      <c r="D15" s="194"/>
      <c r="E15" s="223" t="str">
        <f>Translations!$B$193</f>
        <v>Means for release MR1, MR2,...</v>
      </c>
      <c r="F15" s="1199" t="str">
        <f>Translations!$B$194</f>
        <v>Short name or ID</v>
      </c>
      <c r="G15" s="1211"/>
      <c r="H15" s="1199" t="str">
        <f>Translations!$B$195</f>
        <v>Detailed description</v>
      </c>
      <c r="I15" s="1200"/>
      <c r="J15" s="1200"/>
      <c r="K15" s="1200"/>
      <c r="L15" s="1200"/>
      <c r="M15" s="1201"/>
      <c r="O15" s="142"/>
      <c r="Q15" s="151"/>
      <c r="R15" s="151"/>
      <c r="S15" s="151"/>
      <c r="T15" s="151"/>
      <c r="U15" s="151"/>
      <c r="V15" s="225" t="s">
        <v>19</v>
      </c>
      <c r="W15" s="225" t="s">
        <v>19</v>
      </c>
      <c r="X15" s="225" t="s">
        <v>19</v>
      </c>
      <c r="Y15" s="151"/>
      <c r="Z15" s="151"/>
      <c r="AA15" s="151"/>
      <c r="AB15" s="151"/>
      <c r="AC15" s="151"/>
      <c r="AD15" s="151"/>
    </row>
    <row r="16" spans="1:30" s="115" customFormat="1" ht="12.75" customHeight="1" x14ac:dyDescent="0.3">
      <c r="A16" s="137"/>
      <c r="C16" s="170"/>
      <c r="D16" s="194"/>
      <c r="E16" s="226" t="s">
        <v>20</v>
      </c>
      <c r="F16" s="1203" t="str">
        <f>Translations!$B$196</f>
        <v>Pipelines</v>
      </c>
      <c r="G16" s="1204"/>
      <c r="H16" s="1203" t="str">
        <f>Translations!$B$197</f>
        <v>Pipelines connected to the local gas grid</v>
      </c>
      <c r="I16" s="1204"/>
      <c r="J16" s="1204"/>
      <c r="K16" s="1204"/>
      <c r="L16" s="1204"/>
      <c r="M16" s="1205"/>
      <c r="O16" s="142"/>
      <c r="Q16" s="151"/>
      <c r="R16" s="151"/>
      <c r="S16" s="151"/>
      <c r="T16" s="151"/>
      <c r="U16" s="151"/>
      <c r="V16" s="225"/>
      <c r="W16" s="225"/>
      <c r="X16" s="225"/>
      <c r="Y16" s="151"/>
      <c r="Z16" s="151"/>
      <c r="AA16" s="151"/>
      <c r="AB16" s="151"/>
      <c r="AC16" s="151"/>
      <c r="AD16" s="151"/>
    </row>
    <row r="17" spans="1:30" s="115" customFormat="1" ht="12.75" customHeight="1" thickBot="1" x14ac:dyDescent="0.35">
      <c r="A17" s="137"/>
      <c r="C17" s="170"/>
      <c r="D17" s="194"/>
      <c r="E17" s="228" t="s">
        <v>21</v>
      </c>
      <c r="F17" s="1208" t="str">
        <f>Translations!$B$198</f>
        <v>Trucks</v>
      </c>
      <c r="G17" s="1209"/>
      <c r="H17" s="1208" t="str">
        <f>Translations!$B$199</f>
        <v>Trucks owned by trading partners</v>
      </c>
      <c r="I17" s="1209"/>
      <c r="J17" s="1209"/>
      <c r="K17" s="1209"/>
      <c r="L17" s="1209"/>
      <c r="M17" s="1210"/>
      <c r="O17" s="142"/>
      <c r="Q17" s="151"/>
      <c r="R17" s="151"/>
      <c r="S17" s="151"/>
      <c r="T17" s="151"/>
      <c r="U17" s="151"/>
      <c r="V17" s="225"/>
      <c r="W17" s="230" t="s">
        <v>22</v>
      </c>
      <c r="X17" s="231" t="str">
        <f ca="1">ADDRESS(ROW(X18),COLUMN(),,,$T$2) &amp; ":" &amp; ADDRESS(ROW(X18)+COUNTA(X18:X27)-COUNTIF(X19:X27,EUconst_NA)-1,COLUMN())</f>
        <v>B_IdentifyFuelStreams!$X$18:$X$18</v>
      </c>
      <c r="Y17" s="151"/>
      <c r="Z17" s="151"/>
      <c r="AA17" s="151"/>
      <c r="AB17" s="151"/>
      <c r="AC17" s="151"/>
      <c r="AD17" s="151"/>
    </row>
    <row r="18" spans="1:30" s="115" customFormat="1" ht="12.75" customHeight="1" x14ac:dyDescent="0.25">
      <c r="A18" s="151"/>
      <c r="C18" s="170"/>
      <c r="D18" s="194"/>
      <c r="E18" s="232" t="s">
        <v>23</v>
      </c>
      <c r="F18" s="1207"/>
      <c r="G18" s="1207"/>
      <c r="H18" s="1207"/>
      <c r="I18" s="1191"/>
      <c r="J18" s="1191"/>
      <c r="K18" s="1191"/>
      <c r="L18" s="1191"/>
      <c r="M18" s="1191"/>
      <c r="O18" s="142"/>
      <c r="Q18" s="151"/>
      <c r="R18" s="151"/>
      <c r="S18" s="151"/>
      <c r="T18" s="151"/>
      <c r="U18" s="151">
        <v>1</v>
      </c>
      <c r="V18" s="233" t="str">
        <f t="shared" ref="V18:V27" si="0">IF(ISBLANK(F18),"",E18)</f>
        <v/>
      </c>
      <c r="W18" s="234" t="str">
        <f>IF(V18="","",MAX(W$17:W17)+1)</f>
        <v/>
      </c>
      <c r="X18" s="235" t="str">
        <f t="shared" ref="X18:X27" si="1">IF(COUNTIF($W$18:$W$27,U18)=1,INDEX($V$18:$V$27,MATCH(U18,$W$18:$W$27,0)) &amp; ": " &amp; INDEX($F$18:$F$27,MATCH(U18,$W$18:$W$27,0)),EUconst_NA)</f>
        <v>n.a.</v>
      </c>
      <c r="Y18" s="151"/>
      <c r="Z18" s="151"/>
      <c r="AA18" s="151"/>
      <c r="AB18" s="151"/>
      <c r="AC18" s="151"/>
      <c r="AD18" s="151"/>
    </row>
    <row r="19" spans="1:30" s="115" customFormat="1" ht="12.75" customHeight="1" x14ac:dyDescent="0.25">
      <c r="A19" s="151"/>
      <c r="C19" s="170"/>
      <c r="D19" s="194"/>
      <c r="E19" s="232" t="s">
        <v>24</v>
      </c>
      <c r="F19" s="1207"/>
      <c r="G19" s="1191"/>
      <c r="H19" s="1207"/>
      <c r="I19" s="1191"/>
      <c r="J19" s="1191"/>
      <c r="K19" s="1191"/>
      <c r="L19" s="1191"/>
      <c r="M19" s="1191"/>
      <c r="O19" s="142"/>
      <c r="Q19" s="151"/>
      <c r="R19" s="151"/>
      <c r="S19" s="151"/>
      <c r="T19" s="151"/>
      <c r="U19" s="151">
        <v>2</v>
      </c>
      <c r="V19" s="233" t="str">
        <f t="shared" si="0"/>
        <v/>
      </c>
      <c r="W19" s="234" t="str">
        <f>IF(V19="","",MAX(W$17:W18)+1)</f>
        <v/>
      </c>
      <c r="X19" s="236" t="str">
        <f t="shared" si="1"/>
        <v>n.a.</v>
      </c>
      <c r="Y19" s="151"/>
      <c r="Z19" s="151"/>
      <c r="AA19" s="151"/>
      <c r="AB19" s="151"/>
      <c r="AC19" s="151"/>
      <c r="AD19" s="151"/>
    </row>
    <row r="20" spans="1:30" s="115" customFormat="1" ht="12.75" customHeight="1" x14ac:dyDescent="0.25">
      <c r="A20" s="151"/>
      <c r="C20" s="170"/>
      <c r="D20" s="194"/>
      <c r="E20" s="232" t="s">
        <v>25</v>
      </c>
      <c r="F20" s="1207"/>
      <c r="G20" s="1191"/>
      <c r="H20" s="1207"/>
      <c r="I20" s="1191"/>
      <c r="J20" s="1191"/>
      <c r="K20" s="1191"/>
      <c r="L20" s="1191"/>
      <c r="M20" s="1191"/>
      <c r="O20" s="142"/>
      <c r="Q20" s="151"/>
      <c r="R20" s="151"/>
      <c r="S20" s="151"/>
      <c r="T20" s="151"/>
      <c r="U20" s="151">
        <v>3</v>
      </c>
      <c r="V20" s="233" t="str">
        <f t="shared" si="0"/>
        <v/>
      </c>
      <c r="W20" s="234" t="str">
        <f>IF(V20="","",MAX(W$17:W19)+1)</f>
        <v/>
      </c>
      <c r="X20" s="236" t="str">
        <f t="shared" si="1"/>
        <v>n.a.</v>
      </c>
      <c r="Y20" s="151"/>
      <c r="Z20" s="151"/>
      <c r="AA20" s="151"/>
      <c r="AB20" s="151"/>
      <c r="AC20" s="151"/>
      <c r="AD20" s="151"/>
    </row>
    <row r="21" spans="1:30" s="115" customFormat="1" ht="12.75" customHeight="1" x14ac:dyDescent="0.25">
      <c r="A21" s="151"/>
      <c r="C21" s="170"/>
      <c r="D21" s="194"/>
      <c r="E21" s="232" t="s">
        <v>26</v>
      </c>
      <c r="F21" s="1207"/>
      <c r="G21" s="1191"/>
      <c r="H21" s="1207"/>
      <c r="I21" s="1191"/>
      <c r="J21" s="1191"/>
      <c r="K21" s="1191"/>
      <c r="L21" s="1191"/>
      <c r="M21" s="1191"/>
      <c r="O21" s="142"/>
      <c r="Q21" s="151"/>
      <c r="R21" s="151"/>
      <c r="S21" s="151"/>
      <c r="T21" s="151"/>
      <c r="U21" s="151">
        <v>4</v>
      </c>
      <c r="V21" s="233" t="str">
        <f t="shared" si="0"/>
        <v/>
      </c>
      <c r="W21" s="234" t="str">
        <f>IF(V21="","",MAX(W$17:W20)+1)</f>
        <v/>
      </c>
      <c r="X21" s="236" t="str">
        <f t="shared" si="1"/>
        <v>n.a.</v>
      </c>
      <c r="Y21" s="151"/>
      <c r="Z21" s="151"/>
      <c r="AA21" s="151"/>
      <c r="AB21" s="151"/>
      <c r="AC21" s="151"/>
      <c r="AD21" s="151"/>
    </row>
    <row r="22" spans="1:30" s="115" customFormat="1" ht="12.75" customHeight="1" x14ac:dyDescent="0.25">
      <c r="A22" s="151"/>
      <c r="C22" s="170"/>
      <c r="D22" s="194"/>
      <c r="E22" s="232" t="s">
        <v>27</v>
      </c>
      <c r="F22" s="1207"/>
      <c r="G22" s="1191"/>
      <c r="H22" s="1207"/>
      <c r="I22" s="1191"/>
      <c r="J22" s="1191"/>
      <c r="K22" s="1191"/>
      <c r="L22" s="1191"/>
      <c r="M22" s="1191"/>
      <c r="O22" s="142"/>
      <c r="Q22" s="151"/>
      <c r="R22" s="151"/>
      <c r="S22" s="151"/>
      <c r="T22" s="151"/>
      <c r="U22" s="151">
        <v>5</v>
      </c>
      <c r="V22" s="233" t="str">
        <f t="shared" si="0"/>
        <v/>
      </c>
      <c r="W22" s="234" t="str">
        <f>IF(V22="","",MAX(W$17:W21)+1)</f>
        <v/>
      </c>
      <c r="X22" s="236" t="str">
        <f t="shared" si="1"/>
        <v>n.a.</v>
      </c>
      <c r="Y22" s="151"/>
      <c r="Z22" s="151"/>
      <c r="AA22" s="151"/>
      <c r="AB22" s="151"/>
      <c r="AC22" s="151"/>
      <c r="AD22" s="151"/>
    </row>
    <row r="23" spans="1:30" s="115" customFormat="1" ht="12.75" customHeight="1" x14ac:dyDescent="0.25">
      <c r="A23" s="151"/>
      <c r="C23" s="170"/>
      <c r="D23" s="194"/>
      <c r="E23" s="232" t="s">
        <v>28</v>
      </c>
      <c r="F23" s="1207"/>
      <c r="G23" s="1191"/>
      <c r="H23" s="1207"/>
      <c r="I23" s="1191"/>
      <c r="J23" s="1191"/>
      <c r="K23" s="1191"/>
      <c r="L23" s="1191"/>
      <c r="M23" s="1191"/>
      <c r="O23" s="142"/>
      <c r="Q23" s="151"/>
      <c r="R23" s="151"/>
      <c r="S23" s="151"/>
      <c r="T23" s="151"/>
      <c r="U23" s="151">
        <v>6</v>
      </c>
      <c r="V23" s="233" t="str">
        <f t="shared" si="0"/>
        <v/>
      </c>
      <c r="W23" s="234" t="str">
        <f>IF(V23="","",MAX(W$17:W22)+1)</f>
        <v/>
      </c>
      <c r="X23" s="236" t="str">
        <f t="shared" si="1"/>
        <v>n.a.</v>
      </c>
      <c r="Y23" s="151"/>
      <c r="Z23" s="151"/>
      <c r="AA23" s="151"/>
      <c r="AB23" s="151"/>
      <c r="AC23" s="151"/>
      <c r="AD23" s="151"/>
    </row>
    <row r="24" spans="1:30" s="115" customFormat="1" ht="12.75" customHeight="1" x14ac:dyDescent="0.25">
      <c r="A24" s="151"/>
      <c r="C24" s="170"/>
      <c r="D24" s="194"/>
      <c r="E24" s="232" t="s">
        <v>29</v>
      </c>
      <c r="F24" s="1207"/>
      <c r="G24" s="1191"/>
      <c r="H24" s="1207"/>
      <c r="I24" s="1191"/>
      <c r="J24" s="1191"/>
      <c r="K24" s="1191"/>
      <c r="L24" s="1191"/>
      <c r="M24" s="1191"/>
      <c r="O24" s="142"/>
      <c r="Q24" s="151"/>
      <c r="R24" s="151"/>
      <c r="S24" s="151"/>
      <c r="T24" s="151"/>
      <c r="U24" s="151">
        <v>7</v>
      </c>
      <c r="V24" s="233" t="str">
        <f t="shared" si="0"/>
        <v/>
      </c>
      <c r="W24" s="234" t="str">
        <f>IF(V24="","",MAX(W$17:W23)+1)</f>
        <v/>
      </c>
      <c r="X24" s="236" t="str">
        <f t="shared" si="1"/>
        <v>n.a.</v>
      </c>
      <c r="Y24" s="151"/>
      <c r="Z24" s="151"/>
      <c r="AA24" s="151"/>
      <c r="AB24" s="151"/>
      <c r="AC24" s="151"/>
      <c r="AD24" s="151"/>
    </row>
    <row r="25" spans="1:30" s="115" customFormat="1" ht="12.75" customHeight="1" x14ac:dyDescent="0.25">
      <c r="A25" s="151"/>
      <c r="C25" s="170"/>
      <c r="D25" s="194"/>
      <c r="E25" s="232" t="s">
        <v>30</v>
      </c>
      <c r="F25" s="1207"/>
      <c r="G25" s="1191"/>
      <c r="H25" s="1207"/>
      <c r="I25" s="1191"/>
      <c r="J25" s="1191"/>
      <c r="K25" s="1191"/>
      <c r="L25" s="1191"/>
      <c r="M25" s="1191"/>
      <c r="O25" s="142"/>
      <c r="Q25" s="151"/>
      <c r="R25" s="151"/>
      <c r="S25" s="151"/>
      <c r="T25" s="151"/>
      <c r="U25" s="151">
        <v>8</v>
      </c>
      <c r="V25" s="233" t="str">
        <f t="shared" si="0"/>
        <v/>
      </c>
      <c r="W25" s="234" t="str">
        <f>IF(V25="","",MAX(W$17:W24)+1)</f>
        <v/>
      </c>
      <c r="X25" s="236" t="str">
        <f t="shared" si="1"/>
        <v>n.a.</v>
      </c>
      <c r="Y25" s="151"/>
      <c r="Z25" s="151"/>
      <c r="AA25" s="151"/>
      <c r="AB25" s="151"/>
      <c r="AC25" s="151"/>
      <c r="AD25" s="151"/>
    </row>
    <row r="26" spans="1:30" s="115" customFormat="1" ht="12.75" customHeight="1" x14ac:dyDescent="0.25">
      <c r="A26" s="151"/>
      <c r="C26" s="170"/>
      <c r="D26" s="194"/>
      <c r="E26" s="232" t="s">
        <v>31</v>
      </c>
      <c r="F26" s="1207"/>
      <c r="G26" s="1191"/>
      <c r="H26" s="1207"/>
      <c r="I26" s="1191"/>
      <c r="J26" s="1191"/>
      <c r="K26" s="1191"/>
      <c r="L26" s="1191"/>
      <c r="M26" s="1191"/>
      <c r="O26" s="142"/>
      <c r="Q26" s="151"/>
      <c r="R26" s="151"/>
      <c r="S26" s="151"/>
      <c r="T26" s="151"/>
      <c r="U26" s="151">
        <v>9</v>
      </c>
      <c r="V26" s="233" t="str">
        <f t="shared" si="0"/>
        <v/>
      </c>
      <c r="W26" s="234" t="str">
        <f>IF(V26="","",MAX(W$17:W25)+1)</f>
        <v/>
      </c>
      <c r="X26" s="236" t="str">
        <f t="shared" si="1"/>
        <v>n.a.</v>
      </c>
      <c r="Y26" s="151"/>
      <c r="Z26" s="151"/>
      <c r="AA26" s="151"/>
      <c r="AB26" s="151"/>
      <c r="AC26" s="151"/>
      <c r="AD26" s="151"/>
    </row>
    <row r="27" spans="1:30" s="115" customFormat="1" ht="12.75" customHeight="1" thickBot="1" x14ac:dyDescent="0.3">
      <c r="A27" s="151"/>
      <c r="C27" s="170"/>
      <c r="D27" s="194"/>
      <c r="E27" s="232" t="s">
        <v>32</v>
      </c>
      <c r="F27" s="1207"/>
      <c r="G27" s="1191"/>
      <c r="H27" s="1207"/>
      <c r="I27" s="1191"/>
      <c r="J27" s="1191"/>
      <c r="K27" s="1191"/>
      <c r="L27" s="1191"/>
      <c r="M27" s="1191"/>
      <c r="O27" s="142"/>
      <c r="Q27" s="151"/>
      <c r="R27" s="151"/>
      <c r="S27" s="151"/>
      <c r="T27" s="151"/>
      <c r="U27" s="151">
        <v>10</v>
      </c>
      <c r="V27" s="233" t="str">
        <f t="shared" si="0"/>
        <v/>
      </c>
      <c r="W27" s="234" t="str">
        <f>IF(V27="","",MAX(W$17:W26)+1)</f>
        <v/>
      </c>
      <c r="X27" s="237" t="str">
        <f t="shared" si="1"/>
        <v>n.a.</v>
      </c>
      <c r="Y27" s="151"/>
      <c r="Z27" s="151"/>
      <c r="AA27" s="151"/>
      <c r="AB27" s="151"/>
      <c r="AC27" s="151"/>
      <c r="AD27" s="151"/>
    </row>
    <row r="28" spans="1:30" s="115" customFormat="1" ht="5.15" customHeight="1" x14ac:dyDescent="0.3">
      <c r="A28" s="137"/>
      <c r="C28" s="170"/>
      <c r="D28" s="194"/>
      <c r="M28" s="222"/>
      <c r="O28" s="142"/>
      <c r="Q28" s="151"/>
      <c r="R28" s="151"/>
      <c r="S28" s="151"/>
      <c r="T28" s="151"/>
      <c r="U28" s="151"/>
      <c r="V28" s="990"/>
      <c r="W28" s="151"/>
      <c r="X28" s="151"/>
      <c r="Y28" s="151"/>
      <c r="Z28" s="151"/>
      <c r="AA28" s="151"/>
      <c r="AB28" s="151"/>
      <c r="AC28" s="151"/>
      <c r="AD28" s="151"/>
    </row>
    <row r="29" spans="1:30" s="68" customFormat="1" ht="12.75" customHeight="1" x14ac:dyDescent="0.25">
      <c r="A29" s="152"/>
      <c r="C29" s="218"/>
      <c r="D29" s="85" t="s">
        <v>7</v>
      </c>
      <c r="E29" s="85" t="str">
        <f>Translations!$B$200</f>
        <v>Means through which fuels are released for consumption (intermediary parties, e.g. fuel traders):</v>
      </c>
      <c r="F29" s="238"/>
      <c r="G29" s="238"/>
      <c r="H29" s="238"/>
      <c r="I29" s="238"/>
      <c r="J29" s="238"/>
      <c r="K29" s="96"/>
      <c r="L29" s="96"/>
      <c r="M29" s="96"/>
      <c r="O29" s="64"/>
      <c r="Q29" s="219"/>
      <c r="R29" s="219"/>
      <c r="S29" s="152"/>
      <c r="T29" s="152"/>
      <c r="U29" s="152"/>
      <c r="V29" s="152"/>
      <c r="W29" s="152"/>
      <c r="X29" s="152"/>
      <c r="Y29" s="152"/>
      <c r="Z29" s="152"/>
      <c r="AA29" s="152"/>
      <c r="AB29" s="152"/>
      <c r="AC29" s="152"/>
      <c r="AD29" s="152"/>
    </row>
    <row r="30" spans="1:30" s="115" customFormat="1" ht="38.25" customHeight="1" x14ac:dyDescent="0.25">
      <c r="A30" s="151"/>
      <c r="C30" s="170"/>
      <c r="D30" s="194"/>
      <c r="E30" s="1090" t="str">
        <f>Translations!$B$326</f>
        <v>Further to the means under a) above, please list here the relevant (intermediary) consumers downstream to which you directly supply fuels next in the supply chain, to the extent known. This could be that you are 'directly connected to end consumers' or intermediary fuel traders are involved or 'fuel stations'. Where not feasible to list all parties without unreasonable effort and subject to the applied methods for the scope factor, please list at least the first type of intermediary party directly downstream to you.</v>
      </c>
      <c r="F30" s="1090"/>
      <c r="G30" s="1090"/>
      <c r="H30" s="1090"/>
      <c r="I30" s="1090"/>
      <c r="J30" s="1090"/>
      <c r="K30" s="1090"/>
      <c r="L30" s="1090"/>
      <c r="M30" s="1090"/>
      <c r="N30" s="1090"/>
      <c r="O30" s="142"/>
      <c r="Q30" s="220"/>
      <c r="R30" s="220"/>
      <c r="S30" s="151"/>
      <c r="T30" s="151"/>
      <c r="U30" s="151"/>
      <c r="V30" s="151"/>
      <c r="W30" s="151"/>
      <c r="X30" s="151"/>
      <c r="Y30" s="151"/>
      <c r="Z30" s="151"/>
      <c r="AA30" s="151"/>
      <c r="AB30" s="151"/>
      <c r="AC30" s="151"/>
      <c r="AD30" s="151"/>
    </row>
    <row r="31" spans="1:30" s="115" customFormat="1" ht="25.5" customHeight="1" x14ac:dyDescent="0.25">
      <c r="A31" s="151"/>
      <c r="C31" s="170"/>
      <c r="D31" s="194"/>
      <c r="E31" s="1206" t="str">
        <f>Translations!$B$324</f>
        <v>The list entered here will be available as a drop-down list for fuel streams (section 2.b) where a reference to the relevant means is needed. Please therefore provide a short name or ID (either from drop-down list or enter free text) for easier reference, accompanied by a more detailed description.</v>
      </c>
      <c r="F31" s="1028"/>
      <c r="G31" s="1028"/>
      <c r="H31" s="1028"/>
      <c r="I31" s="1028"/>
      <c r="J31" s="1028"/>
      <c r="K31" s="1028"/>
      <c r="L31" s="1028"/>
      <c r="M31" s="1028"/>
      <c r="N31" s="1028"/>
      <c r="O31" s="142"/>
      <c r="Q31" s="151"/>
      <c r="R31" s="151"/>
      <c r="S31" s="151"/>
      <c r="T31" s="151"/>
      <c r="U31" s="151"/>
      <c r="V31" s="151"/>
      <c r="W31" s="151"/>
      <c r="X31" s="151"/>
      <c r="Y31" s="151"/>
      <c r="Z31" s="151"/>
      <c r="AA31" s="151"/>
      <c r="AB31" s="151"/>
      <c r="AC31" s="151"/>
      <c r="AD31" s="151"/>
    </row>
    <row r="32" spans="1:30" s="115" customFormat="1" ht="12.75" customHeight="1" x14ac:dyDescent="0.25">
      <c r="A32" s="151"/>
      <c r="C32" s="170"/>
      <c r="D32" s="194"/>
      <c r="E32" s="1197" t="str">
        <f>Translations!$B$325</f>
        <v>The first two lines show examples for how this section should be completed. Please ensure consistency with the relevant sections in the monitoring plan.</v>
      </c>
      <c r="F32" s="1198"/>
      <c r="G32" s="1198"/>
      <c r="H32" s="1198"/>
      <c r="I32" s="1198"/>
      <c r="J32" s="1198"/>
      <c r="K32" s="1198"/>
      <c r="L32" s="1198"/>
      <c r="M32" s="1198"/>
      <c r="N32" s="1198"/>
      <c r="O32" s="142"/>
      <c r="Q32" s="151"/>
      <c r="R32" s="151"/>
      <c r="S32" s="151"/>
      <c r="T32" s="151"/>
      <c r="U32" s="151"/>
      <c r="V32" s="151"/>
      <c r="W32" s="151"/>
      <c r="X32" s="151"/>
      <c r="Y32" s="151"/>
      <c r="Z32" s="151"/>
      <c r="AA32" s="151"/>
      <c r="AB32" s="151"/>
      <c r="AC32" s="151"/>
      <c r="AD32" s="151"/>
    </row>
    <row r="33" spans="1:30" s="115" customFormat="1" ht="5.15" customHeight="1" x14ac:dyDescent="0.25">
      <c r="A33" s="151"/>
      <c r="C33" s="170"/>
      <c r="D33" s="194"/>
      <c r="E33" s="222"/>
      <c r="F33" s="222"/>
      <c r="G33" s="222"/>
      <c r="H33" s="222"/>
      <c r="I33" s="222"/>
      <c r="J33" s="222"/>
      <c r="K33" s="222"/>
      <c r="L33" s="222"/>
      <c r="M33" s="222"/>
      <c r="O33" s="142"/>
      <c r="Q33" s="151"/>
      <c r="R33" s="151"/>
      <c r="S33" s="151"/>
      <c r="T33" s="151"/>
      <c r="U33" s="151"/>
      <c r="V33" s="151"/>
      <c r="W33" s="151"/>
      <c r="X33" s="151"/>
      <c r="Y33" s="151"/>
      <c r="Z33" s="151"/>
      <c r="AA33" s="151"/>
      <c r="AB33" s="151"/>
      <c r="AC33" s="151"/>
      <c r="AD33" s="151"/>
    </row>
    <row r="34" spans="1:30" s="115" customFormat="1" ht="21" x14ac:dyDescent="0.3">
      <c r="A34" s="151"/>
      <c r="C34" s="170"/>
      <c r="D34" s="194"/>
      <c r="E34" s="223" t="str">
        <f>Translations!$B$201</f>
        <v>Intermediary parties, IP1, IP2,…</v>
      </c>
      <c r="F34" s="1199" t="str">
        <f>Translations!$B$194</f>
        <v>Short name or ID</v>
      </c>
      <c r="G34" s="1211"/>
      <c r="H34" s="1199" t="str">
        <f>Translations!$B$195</f>
        <v>Detailed description</v>
      </c>
      <c r="I34" s="1200"/>
      <c r="J34" s="1200"/>
      <c r="K34" s="1200"/>
      <c r="L34" s="1200"/>
      <c r="M34" s="1201"/>
      <c r="O34" s="142"/>
      <c r="Q34" s="151"/>
      <c r="R34" s="151"/>
      <c r="S34" s="151"/>
      <c r="T34" s="151"/>
      <c r="U34" s="151"/>
      <c r="V34" s="225" t="s">
        <v>19</v>
      </c>
      <c r="W34" s="225" t="s">
        <v>19</v>
      </c>
      <c r="X34" s="225" t="s">
        <v>19</v>
      </c>
      <c r="Y34" s="151"/>
      <c r="Z34" s="151"/>
      <c r="AA34" s="151"/>
      <c r="AB34" s="151"/>
      <c r="AC34" s="151"/>
      <c r="AD34" s="151"/>
    </row>
    <row r="35" spans="1:30" s="115" customFormat="1" ht="12.75" customHeight="1" x14ac:dyDescent="0.3">
      <c r="A35" s="137"/>
      <c r="C35" s="170"/>
      <c r="D35" s="194"/>
      <c r="E35" s="226" t="s">
        <v>33</v>
      </c>
      <c r="F35" s="1203" t="str">
        <f>Translations!$B$202</f>
        <v>Fuel stations for road transport vehicles</v>
      </c>
      <c r="G35" s="1222"/>
      <c r="H35" s="1203" t="str">
        <f>Translations!$B$202</f>
        <v>Fuel stations for road transport vehicles</v>
      </c>
      <c r="I35" s="1221"/>
      <c r="J35" s="1221"/>
      <c r="K35" s="1221"/>
      <c r="L35" s="1221"/>
      <c r="M35" s="1222"/>
      <c r="O35" s="142"/>
      <c r="Q35" s="151"/>
      <c r="R35" s="151"/>
      <c r="S35" s="151"/>
      <c r="T35" s="151"/>
      <c r="U35" s="151"/>
      <c r="V35" s="225"/>
      <c r="W35" s="225"/>
      <c r="X35" s="225"/>
      <c r="Y35" s="151"/>
      <c r="Z35" s="151"/>
      <c r="AA35" s="151"/>
      <c r="AB35" s="151"/>
      <c r="AC35" s="151"/>
      <c r="AD35" s="151"/>
    </row>
    <row r="36" spans="1:30" s="115" customFormat="1" ht="12.75" customHeight="1" thickBot="1" x14ac:dyDescent="0.35">
      <c r="A36" s="137"/>
      <c r="C36" s="170"/>
      <c r="D36" s="194"/>
      <c r="E36" s="228" t="s">
        <v>34</v>
      </c>
      <c r="F36" s="1208" t="str">
        <f>Translations!$B$203</f>
        <v>Directly connected to end consumers</v>
      </c>
      <c r="G36" s="1224"/>
      <c r="H36" s="1208" t="str">
        <f>Translations!$B$204</f>
        <v>Direct contractual arrangements with end consumers</v>
      </c>
      <c r="I36" s="1223"/>
      <c r="J36" s="1223"/>
      <c r="K36" s="1223"/>
      <c r="L36" s="1223"/>
      <c r="M36" s="1224"/>
      <c r="O36" s="142"/>
      <c r="Q36" s="151"/>
      <c r="R36" s="151"/>
      <c r="S36" s="151"/>
      <c r="T36" s="151"/>
      <c r="U36" s="151"/>
      <c r="V36" s="225"/>
      <c r="W36" s="230" t="s">
        <v>35</v>
      </c>
      <c r="X36" s="231" t="str">
        <f ca="1">ADDRESS(ROW(X37),COLUMN(),,,$T$2) &amp; ":" &amp; ADDRESS(ROW(X37)+COUNTA(X37:X46)-COUNTIF(X38:X46,EUconst_NA)-1,COLUMN())</f>
        <v>B_IdentifyFuelStreams!$X$37:$X$37</v>
      </c>
      <c r="Y36" s="151"/>
      <c r="Z36" s="151"/>
      <c r="AA36" s="151"/>
      <c r="AB36" s="151"/>
      <c r="AC36" s="151"/>
      <c r="AD36" s="151"/>
    </row>
    <row r="37" spans="1:30" s="115" customFormat="1" ht="12.75" customHeight="1" x14ac:dyDescent="0.25">
      <c r="A37" s="151"/>
      <c r="C37" s="170"/>
      <c r="D37" s="194"/>
      <c r="E37" s="232" t="s">
        <v>36</v>
      </c>
      <c r="F37" s="1196"/>
      <c r="G37" s="1162"/>
      <c r="H37" s="1207"/>
      <c r="I37" s="1191"/>
      <c r="J37" s="1191"/>
      <c r="K37" s="1191"/>
      <c r="L37" s="1191"/>
      <c r="M37" s="1191"/>
      <c r="O37" s="142"/>
      <c r="Q37" s="151"/>
      <c r="R37" s="151"/>
      <c r="S37" s="151"/>
      <c r="T37" s="151"/>
      <c r="U37" s="151">
        <v>1</v>
      </c>
      <c r="V37" s="233" t="str">
        <f t="shared" ref="V37:V46" si="2">IF(ISBLANK(F37),"",E37)</f>
        <v/>
      </c>
      <c r="W37" s="234" t="str">
        <f>IF(V37="","",MAX(W$36:W36)+1)</f>
        <v/>
      </c>
      <c r="X37" s="235" t="str">
        <f t="shared" ref="X37:X46" si="3">IF(COUNTIF($W$37:$W$46,U37)=1,INDEX($V$37:$V$46,MATCH(U37,$W$37:$W$46,0)) &amp; ": " &amp; INDEX($F$37:$F$46,MATCH(U37,$W$37:$W$46,0)),EUconst_NA)</f>
        <v>n.a.</v>
      </c>
      <c r="Y37" s="151"/>
      <c r="Z37" s="151"/>
      <c r="AA37" s="151"/>
      <c r="AB37" s="151"/>
      <c r="AC37" s="151"/>
      <c r="AD37" s="151"/>
    </row>
    <row r="38" spans="1:30" s="115" customFormat="1" ht="12.75" customHeight="1" x14ac:dyDescent="0.25">
      <c r="A38" s="151"/>
      <c r="C38" s="170"/>
      <c r="D38" s="194"/>
      <c r="E38" s="232" t="s">
        <v>37</v>
      </c>
      <c r="F38" s="1196"/>
      <c r="G38" s="1162"/>
      <c r="H38" s="1207"/>
      <c r="I38" s="1191"/>
      <c r="J38" s="1191"/>
      <c r="K38" s="1191"/>
      <c r="L38" s="1191"/>
      <c r="M38" s="1191"/>
      <c r="O38" s="142"/>
      <c r="Q38" s="151"/>
      <c r="R38" s="151"/>
      <c r="S38" s="151"/>
      <c r="T38" s="151"/>
      <c r="U38" s="151">
        <v>2</v>
      </c>
      <c r="V38" s="233" t="str">
        <f t="shared" si="2"/>
        <v/>
      </c>
      <c r="W38" s="234" t="str">
        <f>IF(V38="","",MAX(W$36:W37)+1)</f>
        <v/>
      </c>
      <c r="X38" s="236" t="str">
        <f t="shared" si="3"/>
        <v>n.a.</v>
      </c>
      <c r="Y38" s="151"/>
      <c r="Z38" s="151"/>
      <c r="AA38" s="151"/>
      <c r="AB38" s="151"/>
      <c r="AC38" s="151"/>
      <c r="AD38" s="151"/>
    </row>
    <row r="39" spans="1:30" s="115" customFormat="1" ht="12.75" customHeight="1" x14ac:dyDescent="0.25">
      <c r="A39" s="151"/>
      <c r="C39" s="170"/>
      <c r="D39" s="194"/>
      <c r="E39" s="232" t="s">
        <v>38</v>
      </c>
      <c r="F39" s="1196"/>
      <c r="G39" s="1162"/>
      <c r="H39" s="1207"/>
      <c r="I39" s="1191"/>
      <c r="J39" s="1191"/>
      <c r="K39" s="1191"/>
      <c r="L39" s="1191"/>
      <c r="M39" s="1191"/>
      <c r="O39" s="142"/>
      <c r="Q39" s="151"/>
      <c r="R39" s="151"/>
      <c r="S39" s="151"/>
      <c r="T39" s="151"/>
      <c r="U39" s="151">
        <v>3</v>
      </c>
      <c r="V39" s="233" t="str">
        <f t="shared" si="2"/>
        <v/>
      </c>
      <c r="W39" s="234" t="str">
        <f>IF(V39="","",MAX(W$36:W38)+1)</f>
        <v/>
      </c>
      <c r="X39" s="236" t="str">
        <f t="shared" si="3"/>
        <v>n.a.</v>
      </c>
      <c r="Y39" s="151"/>
      <c r="Z39" s="151"/>
      <c r="AA39" s="151"/>
      <c r="AB39" s="151"/>
      <c r="AC39" s="151"/>
      <c r="AD39" s="151"/>
    </row>
    <row r="40" spans="1:30" s="115" customFormat="1" ht="12.75" customHeight="1" x14ac:dyDescent="0.25">
      <c r="A40" s="151"/>
      <c r="C40" s="170"/>
      <c r="D40" s="194"/>
      <c r="E40" s="232" t="s">
        <v>39</v>
      </c>
      <c r="F40" s="1196"/>
      <c r="G40" s="1162"/>
      <c r="H40" s="1207"/>
      <c r="I40" s="1191"/>
      <c r="J40" s="1191"/>
      <c r="K40" s="1191"/>
      <c r="L40" s="1191"/>
      <c r="M40" s="1191"/>
      <c r="O40" s="142"/>
      <c r="Q40" s="151"/>
      <c r="R40" s="151"/>
      <c r="S40" s="151"/>
      <c r="T40" s="151"/>
      <c r="U40" s="151">
        <v>4</v>
      </c>
      <c r="V40" s="233" t="str">
        <f t="shared" si="2"/>
        <v/>
      </c>
      <c r="W40" s="234" t="str">
        <f>IF(V40="","",MAX(W$36:W39)+1)</f>
        <v/>
      </c>
      <c r="X40" s="236" t="str">
        <f t="shared" si="3"/>
        <v>n.a.</v>
      </c>
      <c r="Y40" s="151"/>
      <c r="Z40" s="151"/>
      <c r="AA40" s="151"/>
      <c r="AB40" s="151"/>
      <c r="AC40" s="151"/>
      <c r="AD40" s="151"/>
    </row>
    <row r="41" spans="1:30" s="115" customFormat="1" ht="12.75" customHeight="1" x14ac:dyDescent="0.25">
      <c r="A41" s="151"/>
      <c r="C41" s="170"/>
      <c r="D41" s="194"/>
      <c r="E41" s="232" t="s">
        <v>40</v>
      </c>
      <c r="F41" s="1196"/>
      <c r="G41" s="1162"/>
      <c r="H41" s="1207"/>
      <c r="I41" s="1191"/>
      <c r="J41" s="1191"/>
      <c r="K41" s="1191"/>
      <c r="L41" s="1191"/>
      <c r="M41" s="1191"/>
      <c r="O41" s="142"/>
      <c r="Q41" s="151"/>
      <c r="R41" s="151"/>
      <c r="S41" s="151"/>
      <c r="T41" s="151"/>
      <c r="U41" s="151">
        <v>5</v>
      </c>
      <c r="V41" s="233" t="str">
        <f t="shared" si="2"/>
        <v/>
      </c>
      <c r="W41" s="234" t="str">
        <f>IF(V41="","",MAX(W$36:W40)+1)</f>
        <v/>
      </c>
      <c r="X41" s="236" t="str">
        <f t="shared" si="3"/>
        <v>n.a.</v>
      </c>
      <c r="Y41" s="151"/>
      <c r="Z41" s="151"/>
      <c r="AA41" s="151"/>
      <c r="AB41" s="151"/>
      <c r="AC41" s="151"/>
      <c r="AD41" s="151"/>
    </row>
    <row r="42" spans="1:30" s="115" customFormat="1" ht="12.75" customHeight="1" x14ac:dyDescent="0.25">
      <c r="A42" s="151"/>
      <c r="C42" s="170"/>
      <c r="D42" s="194"/>
      <c r="E42" s="232" t="s">
        <v>41</v>
      </c>
      <c r="F42" s="1196"/>
      <c r="G42" s="1162"/>
      <c r="H42" s="1207"/>
      <c r="I42" s="1191"/>
      <c r="J42" s="1191"/>
      <c r="K42" s="1191"/>
      <c r="L42" s="1191"/>
      <c r="M42" s="1191"/>
      <c r="O42" s="142"/>
      <c r="Q42" s="151"/>
      <c r="R42" s="151"/>
      <c r="S42" s="151"/>
      <c r="T42" s="151"/>
      <c r="U42" s="151">
        <v>6</v>
      </c>
      <c r="V42" s="233" t="str">
        <f t="shared" si="2"/>
        <v/>
      </c>
      <c r="W42" s="234" t="str">
        <f>IF(V42="","",MAX(W$36:W41)+1)</f>
        <v/>
      </c>
      <c r="X42" s="236" t="str">
        <f t="shared" si="3"/>
        <v>n.a.</v>
      </c>
      <c r="Y42" s="151"/>
      <c r="Z42" s="151"/>
      <c r="AA42" s="151"/>
      <c r="AB42" s="151"/>
      <c r="AC42" s="151"/>
      <c r="AD42" s="151"/>
    </row>
    <row r="43" spans="1:30" s="115" customFormat="1" ht="12.75" customHeight="1" x14ac:dyDescent="0.25">
      <c r="A43" s="151"/>
      <c r="C43" s="170"/>
      <c r="D43" s="194"/>
      <c r="E43" s="232" t="s">
        <v>42</v>
      </c>
      <c r="F43" s="1196"/>
      <c r="G43" s="1162"/>
      <c r="H43" s="1207"/>
      <c r="I43" s="1191"/>
      <c r="J43" s="1191"/>
      <c r="K43" s="1191"/>
      <c r="L43" s="1191"/>
      <c r="M43" s="1191"/>
      <c r="O43" s="142"/>
      <c r="Q43" s="151"/>
      <c r="R43" s="151"/>
      <c r="S43" s="151"/>
      <c r="T43" s="151"/>
      <c r="U43" s="151">
        <v>7</v>
      </c>
      <c r="V43" s="233" t="str">
        <f t="shared" si="2"/>
        <v/>
      </c>
      <c r="W43" s="234" t="str">
        <f>IF(V43="","",MAX(W$36:W42)+1)</f>
        <v/>
      </c>
      <c r="X43" s="236" t="str">
        <f t="shared" si="3"/>
        <v>n.a.</v>
      </c>
      <c r="Y43" s="151"/>
      <c r="Z43" s="151"/>
      <c r="AA43" s="151"/>
      <c r="AB43" s="151"/>
      <c r="AC43" s="151"/>
      <c r="AD43" s="151"/>
    </row>
    <row r="44" spans="1:30" s="115" customFormat="1" ht="12.75" customHeight="1" x14ac:dyDescent="0.25">
      <c r="A44" s="151"/>
      <c r="C44" s="170"/>
      <c r="D44" s="194"/>
      <c r="E44" s="232" t="s">
        <v>43</v>
      </c>
      <c r="F44" s="1196"/>
      <c r="G44" s="1162"/>
      <c r="H44" s="1207"/>
      <c r="I44" s="1191"/>
      <c r="J44" s="1191"/>
      <c r="K44" s="1191"/>
      <c r="L44" s="1191"/>
      <c r="M44" s="1191"/>
      <c r="O44" s="142"/>
      <c r="Q44" s="151"/>
      <c r="R44" s="151"/>
      <c r="S44" s="151"/>
      <c r="T44" s="151"/>
      <c r="U44" s="151">
        <v>8</v>
      </c>
      <c r="V44" s="233" t="str">
        <f t="shared" si="2"/>
        <v/>
      </c>
      <c r="W44" s="234" t="str">
        <f>IF(V44="","",MAX(W$36:W43)+1)</f>
        <v/>
      </c>
      <c r="X44" s="236" t="str">
        <f t="shared" si="3"/>
        <v>n.a.</v>
      </c>
      <c r="Y44" s="151"/>
      <c r="Z44" s="151"/>
      <c r="AA44" s="151"/>
      <c r="AB44" s="151"/>
      <c r="AC44" s="151"/>
      <c r="AD44" s="151"/>
    </row>
    <row r="45" spans="1:30" s="115" customFormat="1" ht="12.75" customHeight="1" x14ac:dyDescent="0.25">
      <c r="A45" s="151"/>
      <c r="C45" s="170"/>
      <c r="D45" s="194"/>
      <c r="E45" s="232" t="s">
        <v>44</v>
      </c>
      <c r="F45" s="1196"/>
      <c r="G45" s="1162"/>
      <c r="H45" s="1207"/>
      <c r="I45" s="1191"/>
      <c r="J45" s="1191"/>
      <c r="K45" s="1191"/>
      <c r="L45" s="1191"/>
      <c r="M45" s="1191"/>
      <c r="O45" s="142"/>
      <c r="Q45" s="151"/>
      <c r="R45" s="151"/>
      <c r="S45" s="151"/>
      <c r="T45" s="151"/>
      <c r="U45" s="151">
        <v>9</v>
      </c>
      <c r="V45" s="233" t="str">
        <f t="shared" si="2"/>
        <v/>
      </c>
      <c r="W45" s="234" t="str">
        <f>IF(V45="","",MAX(W$36:W44)+1)</f>
        <v/>
      </c>
      <c r="X45" s="236" t="str">
        <f t="shared" si="3"/>
        <v>n.a.</v>
      </c>
      <c r="Y45" s="151"/>
      <c r="Z45" s="151"/>
      <c r="AA45" s="151"/>
      <c r="AB45" s="151"/>
      <c r="AC45" s="151"/>
      <c r="AD45" s="151"/>
    </row>
    <row r="46" spans="1:30" s="115" customFormat="1" ht="12.75" customHeight="1" thickBot="1" x14ac:dyDescent="0.3">
      <c r="A46" s="151"/>
      <c r="C46" s="170"/>
      <c r="D46" s="194"/>
      <c r="E46" s="232" t="s">
        <v>45</v>
      </c>
      <c r="F46" s="1196"/>
      <c r="G46" s="1162"/>
      <c r="H46" s="1207"/>
      <c r="I46" s="1191"/>
      <c r="J46" s="1191"/>
      <c r="K46" s="1191"/>
      <c r="L46" s="1191"/>
      <c r="M46" s="1191"/>
      <c r="O46" s="142"/>
      <c r="Q46" s="151"/>
      <c r="R46" s="151"/>
      <c r="S46" s="151"/>
      <c r="T46" s="151"/>
      <c r="U46" s="151">
        <v>10</v>
      </c>
      <c r="V46" s="233" t="str">
        <f t="shared" si="2"/>
        <v/>
      </c>
      <c r="W46" s="234" t="str">
        <f>IF(V46="","",MAX(W$36:W45)+1)</f>
        <v/>
      </c>
      <c r="X46" s="237" t="str">
        <f t="shared" si="3"/>
        <v>n.a.</v>
      </c>
      <c r="Y46" s="151"/>
      <c r="Z46" s="151"/>
      <c r="AA46" s="151"/>
      <c r="AB46" s="151"/>
      <c r="AC46" s="151"/>
      <c r="AD46" s="151"/>
    </row>
    <row r="47" spans="1:30" s="115" customFormat="1" ht="12.75" customHeight="1" x14ac:dyDescent="0.3">
      <c r="A47" s="151"/>
      <c r="C47" s="170"/>
      <c r="D47" s="194"/>
      <c r="O47" s="142"/>
      <c r="Q47" s="151"/>
      <c r="R47" s="151"/>
      <c r="S47" s="151"/>
      <c r="T47" s="151"/>
      <c r="U47" s="151"/>
      <c r="V47" s="990"/>
      <c r="W47" s="151"/>
      <c r="X47" s="151"/>
      <c r="Y47" s="151"/>
      <c r="Z47" s="151"/>
      <c r="AA47" s="151"/>
      <c r="AB47" s="151"/>
      <c r="AC47" s="151"/>
      <c r="AD47" s="151"/>
    </row>
    <row r="48" spans="1:30" s="68" customFormat="1" ht="18.75" customHeight="1" x14ac:dyDescent="0.25">
      <c r="A48" s="167">
        <f>C48</f>
        <v>2</v>
      </c>
      <c r="C48" s="216">
        <v>2</v>
      </c>
      <c r="D48" s="1195" t="str">
        <f>Translations!$B$205</f>
        <v>Relevant fuel streams</v>
      </c>
      <c r="E48" s="1195"/>
      <c r="F48" s="1195"/>
      <c r="G48" s="1195"/>
      <c r="H48" s="1195"/>
      <c r="I48" s="1195"/>
      <c r="J48" s="1195"/>
      <c r="K48" s="1195"/>
      <c r="L48" s="1195"/>
      <c r="M48" s="1195"/>
      <c r="N48" s="1195"/>
      <c r="O48" s="64"/>
      <c r="Q48" s="217" t="str">
        <f>D48</f>
        <v>Relevant fuel streams</v>
      </c>
      <c r="R48" s="151"/>
      <c r="S48" s="151"/>
      <c r="T48" s="151"/>
      <c r="U48" s="151"/>
      <c r="V48" s="151"/>
      <c r="W48" s="151"/>
      <c r="X48" s="151"/>
      <c r="Y48" s="151"/>
      <c r="Z48" s="151"/>
      <c r="AA48" s="151"/>
      <c r="AB48" s="151"/>
      <c r="AC48" s="151"/>
      <c r="AD48" s="151"/>
    </row>
    <row r="49" spans="1:30" s="115" customFormat="1" ht="5.15" customHeight="1" x14ac:dyDescent="0.25">
      <c r="A49" s="151"/>
      <c r="C49" s="170"/>
      <c r="O49" s="142"/>
      <c r="Q49" s="151"/>
      <c r="R49" s="151"/>
      <c r="S49" s="151"/>
      <c r="T49" s="151"/>
      <c r="U49" s="151"/>
      <c r="V49" s="151"/>
      <c r="W49" s="151"/>
      <c r="X49" s="151"/>
      <c r="Y49" s="151"/>
      <c r="Z49" s="151"/>
      <c r="AA49" s="151"/>
      <c r="AB49" s="151"/>
      <c r="AC49" s="151"/>
      <c r="AD49" s="151"/>
    </row>
    <row r="50" spans="1:30" s="68" customFormat="1" ht="12.75" customHeight="1" x14ac:dyDescent="0.25">
      <c r="A50" s="152"/>
      <c r="C50" s="218"/>
      <c r="D50" s="85" t="s">
        <v>6</v>
      </c>
      <c r="E50" s="1202" t="str">
        <f>Translations!$B$206</f>
        <v>Relevant fuel streams:</v>
      </c>
      <c r="F50" s="1202"/>
      <c r="G50" s="1202"/>
      <c r="H50" s="1202"/>
      <c r="I50" s="1202"/>
      <c r="J50" s="1202"/>
      <c r="K50" s="1202"/>
      <c r="L50" s="1202"/>
      <c r="M50" s="1202"/>
      <c r="N50" s="115"/>
      <c r="O50" s="64"/>
      <c r="Q50" s="240"/>
      <c r="R50" s="219"/>
      <c r="S50" s="152"/>
      <c r="T50" s="152"/>
      <c r="U50" s="152"/>
      <c r="V50" s="152"/>
      <c r="W50" s="151"/>
      <c r="X50" s="151"/>
      <c r="Y50" s="151"/>
      <c r="Z50" s="151"/>
      <c r="AA50" s="151"/>
      <c r="AB50" s="152"/>
      <c r="AC50" s="152"/>
      <c r="AD50" s="152"/>
    </row>
    <row r="51" spans="1:30" s="115" customFormat="1" ht="12.75" customHeight="1" x14ac:dyDescent="0.25">
      <c r="A51" s="151"/>
      <c r="C51" s="170"/>
      <c r="D51" s="194"/>
      <c r="E51" s="1090" t="str">
        <f>Translations!$B$327</f>
        <v>Please list here all relevant fuel streams in your regulated entity. For definition of the term "fuel stream" please see the "General guidance for ETS2 regulated entities".</v>
      </c>
      <c r="F51" s="1090"/>
      <c r="G51" s="1090"/>
      <c r="H51" s="1090"/>
      <c r="I51" s="1090"/>
      <c r="J51" s="1090"/>
      <c r="K51" s="1090"/>
      <c r="L51" s="1090"/>
      <c r="M51" s="1090"/>
      <c r="N51" s="1090"/>
      <c r="O51" s="142"/>
      <c r="Q51" s="220"/>
      <c r="R51" s="220"/>
      <c r="S51" s="151"/>
      <c r="T51" s="151"/>
      <c r="U51" s="151"/>
      <c r="V51" s="151"/>
      <c r="W51" s="151"/>
      <c r="X51" s="151"/>
      <c r="Y51" s="151"/>
      <c r="Z51" s="151"/>
      <c r="AA51" s="151"/>
      <c r="AB51" s="151"/>
      <c r="AC51" s="151"/>
      <c r="AD51" s="151"/>
    </row>
    <row r="52" spans="1:30" s="115" customFormat="1" ht="12.75" customHeight="1" x14ac:dyDescent="0.25">
      <c r="A52" s="151"/>
      <c r="C52" s="170"/>
      <c r="D52" s="194"/>
      <c r="E52" s="1090" t="str">
        <f>Translations!$B$328</f>
        <v>Each fuel stream should be identified by the following steps:</v>
      </c>
      <c r="F52" s="1090"/>
      <c r="G52" s="1090"/>
      <c r="H52" s="1090"/>
      <c r="I52" s="1090"/>
      <c r="J52" s="1090"/>
      <c r="K52" s="1090"/>
      <c r="L52" s="1090"/>
      <c r="M52" s="1090"/>
      <c r="N52" s="1090"/>
      <c r="O52" s="142"/>
      <c r="Q52" s="220"/>
      <c r="R52" s="220"/>
      <c r="S52" s="151"/>
      <c r="T52" s="151"/>
      <c r="U52" s="151"/>
      <c r="V52" s="151"/>
      <c r="W52" s="151"/>
      <c r="X52" s="151"/>
      <c r="Y52" s="151"/>
      <c r="Z52" s="151"/>
      <c r="AA52" s="151"/>
      <c r="AB52" s="151"/>
      <c r="AC52" s="151"/>
      <c r="AD52" s="151"/>
    </row>
    <row r="53" spans="1:30" s="115" customFormat="1" ht="12.75" customHeight="1" x14ac:dyDescent="0.25">
      <c r="A53" s="151"/>
      <c r="C53" s="170"/>
      <c r="D53" s="194"/>
      <c r="E53" s="241" t="s">
        <v>46</v>
      </c>
      <c r="F53" s="1090" t="str">
        <f>Translations!$B$329</f>
        <v>Choose the fuel stream type from the drop-down list</v>
      </c>
      <c r="G53" s="1090"/>
      <c r="H53" s="1090"/>
      <c r="I53" s="1090"/>
      <c r="J53" s="1090"/>
      <c r="K53" s="1090"/>
      <c r="L53" s="1090"/>
      <c r="M53" s="1090"/>
      <c r="N53" s="1090"/>
      <c r="O53" s="142"/>
      <c r="Q53" s="220"/>
      <c r="R53" s="220"/>
      <c r="S53" s="151"/>
      <c r="T53" s="151"/>
      <c r="U53" s="151"/>
      <c r="V53" s="151"/>
      <c r="W53" s="151"/>
      <c r="X53" s="151"/>
      <c r="Y53" s="151"/>
      <c r="Z53" s="151"/>
      <c r="AA53" s="151"/>
      <c r="AB53" s="151"/>
      <c r="AC53" s="151"/>
      <c r="AD53" s="151"/>
    </row>
    <row r="54" spans="1:30" s="115" customFormat="1" ht="12.75" customHeight="1" x14ac:dyDescent="0.25">
      <c r="A54" s="151"/>
      <c r="C54" s="170"/>
      <c r="D54" s="194"/>
      <c r="E54" s="179"/>
      <c r="F54" s="1090" t="str">
        <f>Translations!$B$330</f>
        <v>The fuel stream type is to be understood as a set of rules to be used according to the MRR. This classification is the basis for further obligations, e.g. tiers to be applied.</v>
      </c>
      <c r="G54" s="1090"/>
      <c r="H54" s="1090"/>
      <c r="I54" s="1090"/>
      <c r="J54" s="1090"/>
      <c r="K54" s="1090"/>
      <c r="L54" s="1090"/>
      <c r="M54" s="1090"/>
      <c r="N54" s="1090"/>
      <c r="O54" s="142"/>
      <c r="Q54" s="220"/>
      <c r="R54" s="220"/>
      <c r="S54" s="151"/>
      <c r="T54" s="151"/>
      <c r="U54" s="151"/>
      <c r="V54" s="151"/>
      <c r="W54" s="151"/>
      <c r="X54" s="151"/>
      <c r="Y54" s="151"/>
      <c r="Z54" s="151"/>
      <c r="AA54" s="151"/>
      <c r="AB54" s="151"/>
      <c r="AC54" s="151"/>
      <c r="AD54" s="151"/>
    </row>
    <row r="55" spans="1:30" s="115" customFormat="1" ht="12.75" customHeight="1" x14ac:dyDescent="0.25">
      <c r="A55" s="151"/>
      <c r="C55" s="170"/>
      <c r="D55" s="194"/>
      <c r="E55" s="241" t="s">
        <v>46</v>
      </c>
      <c r="F55" s="1090" t="str">
        <f>Translations!$B$331</f>
        <v>Choose a fuel stream category from the drop-down list</v>
      </c>
      <c r="G55" s="1090"/>
      <c r="H55" s="1090"/>
      <c r="I55" s="1090"/>
      <c r="J55" s="1090"/>
      <c r="K55" s="1090"/>
      <c r="L55" s="1090"/>
      <c r="M55" s="1090"/>
      <c r="N55" s="1090"/>
      <c r="O55" s="142"/>
      <c r="Q55" s="220"/>
      <c r="R55" s="220"/>
      <c r="S55" s="151"/>
      <c r="T55" s="151"/>
      <c r="U55" s="151"/>
      <c r="V55" s="151"/>
      <c r="W55" s="151"/>
      <c r="X55" s="151"/>
      <c r="Y55" s="151"/>
      <c r="Z55" s="151"/>
      <c r="AA55" s="151"/>
      <c r="AB55" s="151"/>
      <c r="AC55" s="151"/>
      <c r="AD55" s="151"/>
    </row>
    <row r="56" spans="1:30" s="115" customFormat="1" ht="12.75" customHeight="1" x14ac:dyDescent="0.25">
      <c r="A56" s="151"/>
      <c r="C56" s="170"/>
      <c r="D56" s="194"/>
      <c r="E56" s="242"/>
      <c r="F56" s="1090" t="str">
        <f>Translations!$B$332</f>
        <v>The fuel stream category depends on the fuel stream type chosen and may be e.g. "Gaseous - Natural Gas", "Liquid - Heavy Fuel Oil",..</v>
      </c>
      <c r="G56" s="1090"/>
      <c r="H56" s="1090"/>
      <c r="I56" s="1090"/>
      <c r="J56" s="1090"/>
      <c r="K56" s="1090"/>
      <c r="L56" s="1090"/>
      <c r="M56" s="1090"/>
      <c r="N56" s="1090"/>
      <c r="O56" s="142"/>
      <c r="Q56" s="220"/>
      <c r="R56" s="220"/>
      <c r="S56" s="151"/>
      <c r="T56" s="151"/>
      <c r="U56" s="151"/>
      <c r="V56" s="151"/>
      <c r="W56" s="151"/>
      <c r="X56" s="151"/>
      <c r="Y56" s="151"/>
      <c r="Z56" s="151"/>
      <c r="AA56" s="151"/>
      <c r="AB56" s="151"/>
      <c r="AC56" s="151"/>
      <c r="AD56" s="151"/>
    </row>
    <row r="57" spans="1:30" s="115" customFormat="1" ht="38.9" customHeight="1" x14ac:dyDescent="0.25">
      <c r="A57" s="151"/>
      <c r="C57" s="170"/>
      <c r="D57" s="194"/>
      <c r="E57" s="242"/>
      <c r="F57" s="1197" t="str">
        <f>Translations!$B$333</f>
        <v>Important! Please note that there will always be "other" fuels available in the drop-down list. For consistency reasons please make sure that those "others" are only selected if there really is no suitable fuel available from the drop-down list. Furthermore, the list in your Member State specific template may contain different names than the EU template. Please therefore always use the version as required by your competent authority.</v>
      </c>
      <c r="G57" s="1197"/>
      <c r="H57" s="1197"/>
      <c r="I57" s="1197"/>
      <c r="J57" s="1197"/>
      <c r="K57" s="1197"/>
      <c r="L57" s="1197"/>
      <c r="M57" s="1197"/>
      <c r="N57" s="1197"/>
      <c r="O57" s="142"/>
      <c r="Q57" s="220"/>
      <c r="R57" s="220"/>
      <c r="S57" s="151"/>
      <c r="T57" s="151"/>
      <c r="U57" s="151"/>
      <c r="V57" s="151"/>
      <c r="W57" s="151"/>
      <c r="X57" s="151"/>
      <c r="Y57" s="151"/>
      <c r="Z57" s="151"/>
      <c r="AA57" s="151"/>
      <c r="AB57" s="151"/>
      <c r="AC57" s="151"/>
      <c r="AD57" s="151"/>
    </row>
    <row r="58" spans="1:30" s="115" customFormat="1" ht="12.75" customHeight="1" x14ac:dyDescent="0.25">
      <c r="A58" s="151"/>
      <c r="C58" s="170"/>
      <c r="D58" s="194"/>
      <c r="E58" s="241" t="s">
        <v>46</v>
      </c>
      <c r="F58" s="1090" t="str">
        <f>Translations!$B$334</f>
        <v>Enter a further name or detail, if appropriate</v>
      </c>
      <c r="G58" s="1090"/>
      <c r="H58" s="1090"/>
      <c r="I58" s="1090"/>
      <c r="J58" s="1090"/>
      <c r="K58" s="1090"/>
      <c r="L58" s="1090"/>
      <c r="M58" s="1090"/>
      <c r="N58" s="1090"/>
      <c r="O58" s="142"/>
      <c r="Q58" s="220"/>
      <c r="R58" s="220"/>
      <c r="S58" s="151"/>
      <c r="T58" s="151"/>
      <c r="U58" s="151"/>
      <c r="V58" s="151"/>
      <c r="W58" s="151"/>
      <c r="X58" s="151"/>
      <c r="Y58" s="151"/>
      <c r="Z58" s="151"/>
      <c r="AA58" s="151"/>
      <c r="AB58" s="151"/>
      <c r="AC58" s="151"/>
      <c r="AD58" s="151"/>
    </row>
    <row r="59" spans="1:30" s="115" customFormat="1" ht="25.5" customHeight="1" x14ac:dyDescent="0.25">
      <c r="A59" s="151"/>
      <c r="C59" s="170"/>
      <c r="D59" s="194"/>
      <c r="E59" s="242"/>
      <c r="F59" s="1090" t="str">
        <f>Translations!$B$335</f>
        <v>If the fuel stream category still represents a class of more aggregate fuels, you may further specify the fuel stream by entering a name (e.g. there might be specific names to identify a certain grade of the same fuel stream category). Depending on the fuel stream category this input field will be mandatory or optional.</v>
      </c>
      <c r="G59" s="1090"/>
      <c r="H59" s="1090"/>
      <c r="I59" s="1090"/>
      <c r="J59" s="1090"/>
      <c r="K59" s="1090"/>
      <c r="L59" s="1090"/>
      <c r="M59" s="1090"/>
      <c r="N59" s="1090"/>
      <c r="O59" s="142"/>
      <c r="Q59" s="220"/>
      <c r="R59" s="220"/>
      <c r="S59" s="151"/>
      <c r="T59" s="151"/>
      <c r="U59" s="151"/>
      <c r="V59" s="151"/>
      <c r="W59" s="151"/>
      <c r="X59" s="151"/>
      <c r="Y59" s="151"/>
      <c r="Z59" s="151"/>
      <c r="AA59" s="151"/>
      <c r="AB59" s="151"/>
      <c r="AC59" s="151"/>
      <c r="AD59" s="151"/>
    </row>
    <row r="60" spans="1:30" s="115" customFormat="1" ht="38.25" customHeight="1" x14ac:dyDescent="0.25">
      <c r="A60" s="151"/>
      <c r="C60" s="170"/>
      <c r="D60" s="194"/>
      <c r="E60" s="242"/>
      <c r="F60" s="1090" t="str">
        <f>Translations!$B$336</f>
        <v>Where different scope factor methods are used for the same fuel stream category, you should split the total fuel amount into separate fuel streams. For example, if scope factor Tier 3 (ETS1 Annual Emissions Reports) is applied to identify amounts released to ETS1 and scope factor Tier 2 (chain-of-custody) is applied to identify for all other consumers whether they fall under the scope of ETS2, two distinct fuel streams should be established.</v>
      </c>
      <c r="G60" s="1090"/>
      <c r="H60" s="1090"/>
      <c r="I60" s="1090"/>
      <c r="J60" s="1090"/>
      <c r="K60" s="1090"/>
      <c r="L60" s="1090"/>
      <c r="M60" s="1090"/>
      <c r="N60" s="1090"/>
      <c r="O60" s="142"/>
      <c r="Q60" s="220"/>
      <c r="R60" s="220"/>
      <c r="S60" s="151"/>
      <c r="T60" s="151"/>
      <c r="U60" s="151"/>
      <c r="V60" s="151"/>
      <c r="W60" s="151"/>
      <c r="X60" s="151"/>
      <c r="Y60" s="151"/>
      <c r="Z60" s="151"/>
      <c r="AA60" s="151"/>
      <c r="AB60" s="151"/>
      <c r="AC60" s="151"/>
      <c r="AD60" s="151"/>
    </row>
    <row r="61" spans="1:30" s="115" customFormat="1" ht="12.75" customHeight="1" x14ac:dyDescent="0.25">
      <c r="A61" s="151"/>
      <c r="C61" s="170"/>
      <c r="D61" s="194"/>
      <c r="E61" s="1197" t="str">
        <f>Translations!$B$337</f>
        <v>The first three lines show examples for how this section should be completed.</v>
      </c>
      <c r="F61" s="1198"/>
      <c r="G61" s="1198"/>
      <c r="H61" s="1198"/>
      <c r="I61" s="1198"/>
      <c r="J61" s="1198"/>
      <c r="K61" s="1198"/>
      <c r="L61" s="1198"/>
      <c r="M61" s="1198"/>
      <c r="N61" s="1198"/>
      <c r="O61" s="142"/>
      <c r="Q61" s="151"/>
      <c r="R61" s="151"/>
      <c r="S61" s="151"/>
      <c r="T61" s="151"/>
      <c r="U61" s="151"/>
      <c r="V61" s="151"/>
      <c r="W61" s="151"/>
      <c r="X61" s="151"/>
      <c r="Y61" s="151"/>
      <c r="Z61" s="151"/>
      <c r="AA61" s="151"/>
      <c r="AB61" s="151"/>
      <c r="AC61" s="151"/>
      <c r="AD61" s="151"/>
    </row>
    <row r="62" spans="1:30" s="115" customFormat="1" ht="5.15" customHeight="1" x14ac:dyDescent="0.25">
      <c r="A62" s="151"/>
      <c r="C62" s="170"/>
      <c r="D62" s="194"/>
      <c r="G62" s="243"/>
      <c r="O62" s="142"/>
      <c r="Q62" s="151"/>
      <c r="R62" s="151"/>
      <c r="S62" s="151"/>
      <c r="T62" s="151"/>
      <c r="U62" s="151"/>
      <c r="V62" s="151"/>
      <c r="W62" s="151"/>
      <c r="X62" s="151"/>
      <c r="Y62" s="151"/>
      <c r="Z62" s="151"/>
      <c r="AA62" s="151"/>
      <c r="AB62" s="151"/>
      <c r="AC62" s="151"/>
      <c r="AD62" s="151"/>
    </row>
    <row r="63" spans="1:30" s="115" customFormat="1" ht="22.5" customHeight="1" x14ac:dyDescent="0.25">
      <c r="A63" s="151"/>
      <c r="C63" s="170"/>
      <c r="D63" s="244" t="s">
        <v>47</v>
      </c>
      <c r="E63" s="1227" t="str">
        <f>Translations!$B$207</f>
        <v>Fuel stream type</v>
      </c>
      <c r="F63" s="1227"/>
      <c r="G63" s="1227"/>
      <c r="H63" s="1227"/>
      <c r="I63" s="1227" t="str">
        <f>Translations!$B$338</f>
        <v>Fuel stream category</v>
      </c>
      <c r="J63" s="1227"/>
      <c r="K63" s="1227"/>
      <c r="L63" s="1227" t="str">
        <f>Translations!$B$339</f>
        <v>Further name or detail</v>
      </c>
      <c r="M63" s="1227"/>
      <c r="N63" s="246" t="str">
        <f>Translations!$B$340</f>
        <v>Error</v>
      </c>
      <c r="O63" s="142"/>
      <c r="Q63" s="151"/>
      <c r="R63" s="151"/>
      <c r="S63" s="151"/>
      <c r="T63" s="151"/>
      <c r="U63" s="151"/>
      <c r="V63" s="151"/>
      <c r="W63" s="151"/>
      <c r="X63" s="151"/>
      <c r="Y63" s="151"/>
      <c r="Z63" s="151"/>
      <c r="AA63" s="151"/>
      <c r="AB63" s="151"/>
      <c r="AC63" s="151"/>
      <c r="AD63" s="151"/>
    </row>
    <row r="64" spans="1:30" s="115" customFormat="1" ht="12.75" customHeight="1" x14ac:dyDescent="0.25">
      <c r="A64" s="137"/>
      <c r="C64" s="170"/>
      <c r="D64" s="226" t="s">
        <v>48</v>
      </c>
      <c r="E64" s="1225" t="str">
        <f>Translations!$B$134</f>
        <v>Commercial standard fuels</v>
      </c>
      <c r="F64" s="1225"/>
      <c r="G64" s="1225"/>
      <c r="H64" s="1225"/>
      <c r="I64" s="1225" t="str">
        <f>Translations!$B$341</f>
        <v>Liquid - Motor Gasoline</v>
      </c>
      <c r="J64" s="1225"/>
      <c r="K64" s="1225"/>
      <c r="L64" s="1228"/>
      <c r="M64" s="1228"/>
      <c r="N64" s="247"/>
      <c r="O64" s="142"/>
      <c r="Q64" s="151"/>
      <c r="R64" s="151"/>
      <c r="S64" s="151"/>
      <c r="T64" s="151"/>
      <c r="U64" s="151"/>
      <c r="V64" s="151"/>
      <c r="W64" s="151"/>
      <c r="X64" s="151"/>
      <c r="Y64" s="151"/>
      <c r="Z64" s="151"/>
      <c r="AA64" s="151"/>
      <c r="AB64" s="151"/>
      <c r="AC64" s="151"/>
      <c r="AD64" s="151"/>
    </row>
    <row r="65" spans="1:30" s="115" customFormat="1" ht="12.75" customHeight="1" x14ac:dyDescent="0.25">
      <c r="A65" s="137"/>
      <c r="C65" s="170"/>
      <c r="D65" s="248" t="s">
        <v>49</v>
      </c>
      <c r="E65" s="1243" t="str">
        <f>Translations!$B$139</f>
        <v>Other gaseous &amp; liquid fuels</v>
      </c>
      <c r="F65" s="1243"/>
      <c r="G65" s="1243"/>
      <c r="H65" s="1243"/>
      <c r="I65" s="1243" t="str">
        <f>Translations!$B$342</f>
        <v>Gaseous - Natural Gas</v>
      </c>
      <c r="J65" s="1243"/>
      <c r="K65" s="1243"/>
      <c r="L65" s="1244" t="str">
        <f>Translations!$B$343</f>
        <v>NG - ETS1 consumers</v>
      </c>
      <c r="M65" s="1245"/>
      <c r="N65" s="249"/>
      <c r="O65" s="142"/>
      <c r="Q65" s="151"/>
      <c r="R65" s="151"/>
      <c r="S65" s="151"/>
      <c r="T65" s="151"/>
      <c r="U65" s="151"/>
      <c r="V65" s="151"/>
      <c r="W65" s="151"/>
      <c r="X65" s="151"/>
      <c r="Y65" s="151"/>
      <c r="Z65" s="151"/>
      <c r="AA65" s="151"/>
      <c r="AB65" s="151"/>
      <c r="AC65" s="151"/>
      <c r="AD65" s="151"/>
    </row>
    <row r="66" spans="1:30" s="115" customFormat="1" ht="12.75" customHeight="1" x14ac:dyDescent="0.25">
      <c r="A66" s="137"/>
      <c r="C66" s="170"/>
      <c r="D66" s="228" t="str">
        <f>Translations!$B$344</f>
        <v>F03</v>
      </c>
      <c r="E66" s="1226" t="str">
        <f>Translations!$B$139</f>
        <v>Other gaseous &amp; liquid fuels</v>
      </c>
      <c r="F66" s="1226"/>
      <c r="G66" s="1226"/>
      <c r="H66" s="1226"/>
      <c r="I66" s="1226" t="str">
        <f>Translations!$B$342</f>
        <v>Gaseous - Natural Gas</v>
      </c>
      <c r="J66" s="1226"/>
      <c r="K66" s="1226"/>
      <c r="L66" s="1229" t="str">
        <f>Translations!$B$345</f>
        <v>NG - Other consumers</v>
      </c>
      <c r="M66" s="1230"/>
      <c r="N66" s="250"/>
      <c r="O66" s="142"/>
      <c r="Q66" s="151"/>
      <c r="R66" s="151"/>
      <c r="S66" s="151"/>
      <c r="T66" s="151"/>
      <c r="U66" s="151"/>
      <c r="V66" s="151"/>
      <c r="W66" s="151"/>
      <c r="X66" s="137" t="s">
        <v>50</v>
      </c>
      <c r="Y66" s="137" t="s">
        <v>51</v>
      </c>
      <c r="Z66" s="151"/>
      <c r="AA66" s="151"/>
      <c r="AB66" s="151" t="s">
        <v>52</v>
      </c>
      <c r="AC66" s="151" t="s">
        <v>53</v>
      </c>
      <c r="AD66" s="151"/>
    </row>
    <row r="67" spans="1:30" s="115" customFormat="1" ht="12.75" customHeight="1" x14ac:dyDescent="0.25">
      <c r="A67" s="151"/>
      <c r="C67" s="170"/>
      <c r="D67" s="232" t="s">
        <v>54</v>
      </c>
      <c r="E67" s="1192"/>
      <c r="F67" s="1192"/>
      <c r="G67" s="1192"/>
      <c r="H67" s="1192"/>
      <c r="I67" s="1207"/>
      <c r="J67" s="1207"/>
      <c r="K67" s="1207"/>
      <c r="L67" s="1194"/>
      <c r="M67" s="1194"/>
      <c r="N67" s="251" t="str">
        <f t="shared" ref="N67:N90" si="4">IF(E67="","",IF(OR(AND($X67=FALSE,COUNTA(E67:M67)&lt;3),AND($X67=TRUE,COUNTA(E67:K67)&lt;2)),EUconst_ERR_Incomplete,""))</f>
        <v/>
      </c>
      <c r="O67" s="142"/>
      <c r="Q67" s="151"/>
      <c r="R67" s="151"/>
      <c r="S67" s="151"/>
      <c r="T67" s="217" t="str">
        <f t="shared" ref="T67:T90" si="5">EUconst_CNTR_SourceStreamName&amp;I67</f>
        <v>SourceStreamName_</v>
      </c>
      <c r="U67" s="217" t="str">
        <f t="shared" ref="U67:U90" si="6">EUconst_CNTR_SourceStreamClass&amp;E67</f>
        <v>SourceStreamClass_</v>
      </c>
      <c r="V67" s="151"/>
      <c r="W67" s="151"/>
      <c r="X67" s="217" t="b">
        <f t="shared" ref="X67:X90" si="7">IF(OR(COUNTA(E67:K67)&lt;2,COUNTIF(MSPara_SourceStreamCategory,I67)=0),FALSE,INDEX(MSPara_NameOptional,MATCH(I67,MSPara_SourceStreamCategory,0)))</f>
        <v>0</v>
      </c>
      <c r="Y67" s="217" t="str">
        <f t="shared" ref="Y67:Y90" si="8">IF(COUNTIF(EUConst_TierActivityListNames,E67)=0,"",INDEX(MSPara_CategoryAddress,MATCH(E67,EUConst_TierActivityListNames,0)))</f>
        <v/>
      </c>
      <c r="Z67" s="217" t="str">
        <f>IF(ISBLANK(E67),"",E67&amp; IF(ISBLANK(I67),"","; " &amp;I67) &amp; IF(ISBLANK(L67),"","; " &amp;L67))</f>
        <v/>
      </c>
      <c r="AA67" s="217" t="str">
        <f t="shared" ref="AA67:AA90" si="9">IF(ISBLANK(E67),EUconst_NA,I67&amp;IF(ISBLANK(L67),"","; "&amp;L67))</f>
        <v>n.a.</v>
      </c>
      <c r="AB67" s="217" t="str">
        <f t="shared" ref="AB67:AB90" si="10">IF(ISBLANK(E67),EUconst_NA,D67&amp;". "&amp;AA67)</f>
        <v>n.a.</v>
      </c>
      <c r="AC67" s="217" t="b">
        <f>IF(AA67=EUconst_NA,FALSE,COUNTIF($AA$66:AA67,AA67)&gt;1)</f>
        <v>0</v>
      </c>
      <c r="AD67" s="151"/>
    </row>
    <row r="68" spans="1:30" s="115" customFormat="1" ht="12.75" customHeight="1" x14ac:dyDescent="0.25">
      <c r="A68" s="151"/>
      <c r="C68" s="170"/>
      <c r="D68" s="232" t="s">
        <v>55</v>
      </c>
      <c r="E68" s="1192"/>
      <c r="F68" s="1192"/>
      <c r="G68" s="1192"/>
      <c r="H68" s="1192"/>
      <c r="I68" s="1193"/>
      <c r="J68" s="1193"/>
      <c r="K68" s="1193"/>
      <c r="L68" s="1194"/>
      <c r="M68" s="1194"/>
      <c r="N68" s="251" t="str">
        <f t="shared" si="4"/>
        <v/>
      </c>
      <c r="O68" s="142"/>
      <c r="Q68" s="151"/>
      <c r="R68" s="151"/>
      <c r="S68" s="151"/>
      <c r="T68" s="217" t="str">
        <f t="shared" si="5"/>
        <v>SourceStreamName_</v>
      </c>
      <c r="U68" s="217" t="str">
        <f t="shared" si="6"/>
        <v>SourceStreamClass_</v>
      </c>
      <c r="V68" s="151"/>
      <c r="W68" s="151"/>
      <c r="X68" s="217" t="b">
        <f t="shared" si="7"/>
        <v>0</v>
      </c>
      <c r="Y68" s="217" t="str">
        <f t="shared" si="8"/>
        <v/>
      </c>
      <c r="Z68" s="217" t="str">
        <f t="shared" ref="Z68:Z90" si="11">IF(ISBLANK(E68),"",E68&amp; IF(ISBLANK(I68),"","; " &amp;I68) &amp; IF(ISBLANK(L68),"","; " &amp;L68))</f>
        <v/>
      </c>
      <c r="AA68" s="217" t="str">
        <f t="shared" si="9"/>
        <v>n.a.</v>
      </c>
      <c r="AB68" s="217" t="str">
        <f t="shared" si="10"/>
        <v>n.a.</v>
      </c>
      <c r="AC68" s="217" t="b">
        <f>IF(AA68=EUconst_NA,FALSE,COUNTIF($AA$66:AA68,AA68)&gt;1)</f>
        <v>0</v>
      </c>
      <c r="AD68" s="151"/>
    </row>
    <row r="69" spans="1:30" s="115" customFormat="1" ht="12.75" customHeight="1" x14ac:dyDescent="0.25">
      <c r="A69" s="151"/>
      <c r="C69" s="170"/>
      <c r="D69" s="232" t="s">
        <v>56</v>
      </c>
      <c r="E69" s="1192"/>
      <c r="F69" s="1192"/>
      <c r="G69" s="1192"/>
      <c r="H69" s="1192"/>
      <c r="I69" s="1193"/>
      <c r="J69" s="1193"/>
      <c r="K69" s="1193"/>
      <c r="L69" s="1194"/>
      <c r="M69" s="1194"/>
      <c r="N69" s="251" t="str">
        <f t="shared" si="4"/>
        <v/>
      </c>
      <c r="O69" s="142"/>
      <c r="Q69" s="151"/>
      <c r="R69" s="151"/>
      <c r="S69" s="151"/>
      <c r="T69" s="217" t="str">
        <f t="shared" si="5"/>
        <v>SourceStreamName_</v>
      </c>
      <c r="U69" s="217" t="str">
        <f t="shared" si="6"/>
        <v>SourceStreamClass_</v>
      </c>
      <c r="V69" s="151"/>
      <c r="W69" s="151"/>
      <c r="X69" s="217" t="b">
        <f t="shared" si="7"/>
        <v>0</v>
      </c>
      <c r="Y69" s="217" t="str">
        <f t="shared" si="8"/>
        <v/>
      </c>
      <c r="Z69" s="217" t="str">
        <f t="shared" si="11"/>
        <v/>
      </c>
      <c r="AA69" s="217" t="str">
        <f t="shared" si="9"/>
        <v>n.a.</v>
      </c>
      <c r="AB69" s="217" t="str">
        <f t="shared" si="10"/>
        <v>n.a.</v>
      </c>
      <c r="AC69" s="217" t="b">
        <f>IF(AA69=EUconst_NA,FALSE,COUNTIF($AA$66:AA69,AA69)&gt;1)</f>
        <v>0</v>
      </c>
      <c r="AD69" s="151"/>
    </row>
    <row r="70" spans="1:30" s="115" customFormat="1" ht="12.75" customHeight="1" x14ac:dyDescent="0.25">
      <c r="A70" s="151"/>
      <c r="C70" s="170"/>
      <c r="D70" s="232" t="s">
        <v>57</v>
      </c>
      <c r="E70" s="1192"/>
      <c r="F70" s="1192"/>
      <c r="G70" s="1192"/>
      <c r="H70" s="1192"/>
      <c r="I70" s="1193"/>
      <c r="J70" s="1193"/>
      <c r="K70" s="1193"/>
      <c r="L70" s="1194"/>
      <c r="M70" s="1194"/>
      <c r="N70" s="251" t="str">
        <f t="shared" si="4"/>
        <v/>
      </c>
      <c r="O70" s="142"/>
      <c r="Q70" s="151"/>
      <c r="R70" s="151"/>
      <c r="S70" s="151"/>
      <c r="T70" s="217" t="str">
        <f t="shared" si="5"/>
        <v>SourceStreamName_</v>
      </c>
      <c r="U70" s="217" t="str">
        <f t="shared" si="6"/>
        <v>SourceStreamClass_</v>
      </c>
      <c r="V70" s="151"/>
      <c r="W70" s="151"/>
      <c r="X70" s="217" t="b">
        <f t="shared" si="7"/>
        <v>0</v>
      </c>
      <c r="Y70" s="217" t="str">
        <f t="shared" si="8"/>
        <v/>
      </c>
      <c r="Z70" s="217" t="str">
        <f t="shared" si="11"/>
        <v/>
      </c>
      <c r="AA70" s="217" t="str">
        <f t="shared" si="9"/>
        <v>n.a.</v>
      </c>
      <c r="AB70" s="217" t="str">
        <f t="shared" si="10"/>
        <v>n.a.</v>
      </c>
      <c r="AC70" s="217" t="b">
        <f>IF(AA70=EUconst_NA,FALSE,COUNTIF($AA$66:AA70,AA70)&gt;1)</f>
        <v>0</v>
      </c>
      <c r="AD70" s="151"/>
    </row>
    <row r="71" spans="1:30" s="115" customFormat="1" ht="12.75" customHeight="1" x14ac:dyDescent="0.25">
      <c r="A71" s="151"/>
      <c r="C71" s="170"/>
      <c r="D71" s="232" t="s">
        <v>58</v>
      </c>
      <c r="E71" s="1192"/>
      <c r="F71" s="1192"/>
      <c r="G71" s="1192"/>
      <c r="H71" s="1192"/>
      <c r="I71" s="1193"/>
      <c r="J71" s="1193"/>
      <c r="K71" s="1193"/>
      <c r="L71" s="1194"/>
      <c r="M71" s="1194"/>
      <c r="N71" s="251" t="str">
        <f t="shared" si="4"/>
        <v/>
      </c>
      <c r="O71" s="142"/>
      <c r="Q71" s="151"/>
      <c r="R71" s="151"/>
      <c r="S71" s="151"/>
      <c r="T71" s="217" t="str">
        <f t="shared" si="5"/>
        <v>SourceStreamName_</v>
      </c>
      <c r="U71" s="217" t="str">
        <f t="shared" si="6"/>
        <v>SourceStreamClass_</v>
      </c>
      <c r="V71" s="151"/>
      <c r="W71" s="151"/>
      <c r="X71" s="217" t="b">
        <f t="shared" si="7"/>
        <v>0</v>
      </c>
      <c r="Y71" s="217" t="str">
        <f t="shared" si="8"/>
        <v/>
      </c>
      <c r="Z71" s="217" t="str">
        <f t="shared" si="11"/>
        <v/>
      </c>
      <c r="AA71" s="217" t="str">
        <f t="shared" si="9"/>
        <v>n.a.</v>
      </c>
      <c r="AB71" s="217" t="str">
        <f t="shared" si="10"/>
        <v>n.a.</v>
      </c>
      <c r="AC71" s="217" t="b">
        <f>IF(AA71=EUconst_NA,FALSE,COUNTIF($AA$66:AA71,AA71)&gt;1)</f>
        <v>0</v>
      </c>
      <c r="AD71" s="151"/>
    </row>
    <row r="72" spans="1:30" s="115" customFormat="1" ht="12.75" customHeight="1" x14ac:dyDescent="0.25">
      <c r="A72" s="151"/>
      <c r="C72" s="170"/>
      <c r="D72" s="232" t="s">
        <v>59</v>
      </c>
      <c r="E72" s="1192"/>
      <c r="F72" s="1192"/>
      <c r="G72" s="1192"/>
      <c r="H72" s="1192"/>
      <c r="I72" s="1193"/>
      <c r="J72" s="1193"/>
      <c r="K72" s="1193"/>
      <c r="L72" s="1194"/>
      <c r="M72" s="1194"/>
      <c r="N72" s="251" t="str">
        <f t="shared" si="4"/>
        <v/>
      </c>
      <c r="O72" s="142"/>
      <c r="Q72" s="151"/>
      <c r="R72" s="151"/>
      <c r="S72" s="151"/>
      <c r="T72" s="217" t="str">
        <f t="shared" si="5"/>
        <v>SourceStreamName_</v>
      </c>
      <c r="U72" s="217" t="str">
        <f t="shared" si="6"/>
        <v>SourceStreamClass_</v>
      </c>
      <c r="V72" s="151"/>
      <c r="W72" s="151"/>
      <c r="X72" s="217" t="b">
        <f t="shared" si="7"/>
        <v>0</v>
      </c>
      <c r="Y72" s="217" t="str">
        <f t="shared" si="8"/>
        <v/>
      </c>
      <c r="Z72" s="217" t="str">
        <f t="shared" si="11"/>
        <v/>
      </c>
      <c r="AA72" s="217" t="str">
        <f t="shared" si="9"/>
        <v>n.a.</v>
      </c>
      <c r="AB72" s="217" t="str">
        <f t="shared" si="10"/>
        <v>n.a.</v>
      </c>
      <c r="AC72" s="217" t="b">
        <f>IF(AA72=EUconst_NA,FALSE,COUNTIF($AA$66:AA72,AA72)&gt;1)</f>
        <v>0</v>
      </c>
      <c r="AD72" s="151"/>
    </row>
    <row r="73" spans="1:30" s="115" customFormat="1" ht="12.75" customHeight="1" x14ac:dyDescent="0.25">
      <c r="A73" s="151"/>
      <c r="C73" s="170"/>
      <c r="D73" s="232" t="s">
        <v>60</v>
      </c>
      <c r="E73" s="1192"/>
      <c r="F73" s="1192"/>
      <c r="G73" s="1192"/>
      <c r="H73" s="1192"/>
      <c r="I73" s="1193"/>
      <c r="J73" s="1193"/>
      <c r="K73" s="1193"/>
      <c r="L73" s="1194"/>
      <c r="M73" s="1194"/>
      <c r="N73" s="251" t="str">
        <f t="shared" si="4"/>
        <v/>
      </c>
      <c r="O73" s="142"/>
      <c r="Q73" s="151"/>
      <c r="R73" s="151"/>
      <c r="S73" s="151"/>
      <c r="T73" s="217" t="str">
        <f t="shared" si="5"/>
        <v>SourceStreamName_</v>
      </c>
      <c r="U73" s="217" t="str">
        <f t="shared" si="6"/>
        <v>SourceStreamClass_</v>
      </c>
      <c r="V73" s="151"/>
      <c r="W73" s="151"/>
      <c r="X73" s="217" t="b">
        <f t="shared" si="7"/>
        <v>0</v>
      </c>
      <c r="Y73" s="217" t="str">
        <f t="shared" si="8"/>
        <v/>
      </c>
      <c r="Z73" s="217" t="str">
        <f t="shared" si="11"/>
        <v/>
      </c>
      <c r="AA73" s="217" t="str">
        <f t="shared" si="9"/>
        <v>n.a.</v>
      </c>
      <c r="AB73" s="217" t="str">
        <f t="shared" si="10"/>
        <v>n.a.</v>
      </c>
      <c r="AC73" s="217" t="b">
        <f>IF(AA73=EUconst_NA,FALSE,COUNTIF($AA$66:AA73,AA73)&gt;1)</f>
        <v>0</v>
      </c>
      <c r="AD73" s="151"/>
    </row>
    <row r="74" spans="1:30" s="115" customFormat="1" ht="12.75" customHeight="1" x14ac:dyDescent="0.25">
      <c r="A74" s="151"/>
      <c r="C74" s="170"/>
      <c r="D74" s="232" t="s">
        <v>61</v>
      </c>
      <c r="E74" s="1192"/>
      <c r="F74" s="1192"/>
      <c r="G74" s="1192"/>
      <c r="H74" s="1192"/>
      <c r="I74" s="1193"/>
      <c r="J74" s="1193"/>
      <c r="K74" s="1193"/>
      <c r="L74" s="1194"/>
      <c r="M74" s="1194"/>
      <c r="N74" s="251" t="str">
        <f t="shared" si="4"/>
        <v/>
      </c>
      <c r="O74" s="142"/>
      <c r="Q74" s="151"/>
      <c r="R74" s="151"/>
      <c r="S74" s="151"/>
      <c r="T74" s="217" t="str">
        <f t="shared" si="5"/>
        <v>SourceStreamName_</v>
      </c>
      <c r="U74" s="217" t="str">
        <f t="shared" si="6"/>
        <v>SourceStreamClass_</v>
      </c>
      <c r="V74" s="151"/>
      <c r="W74" s="151"/>
      <c r="X74" s="217" t="b">
        <f t="shared" si="7"/>
        <v>0</v>
      </c>
      <c r="Y74" s="217" t="str">
        <f t="shared" si="8"/>
        <v/>
      </c>
      <c r="Z74" s="217" t="str">
        <f t="shared" si="11"/>
        <v/>
      </c>
      <c r="AA74" s="217" t="str">
        <f t="shared" si="9"/>
        <v>n.a.</v>
      </c>
      <c r="AB74" s="217" t="str">
        <f t="shared" si="10"/>
        <v>n.a.</v>
      </c>
      <c r="AC74" s="217" t="b">
        <f>IF(AA74=EUconst_NA,FALSE,COUNTIF($AA$66:AA74,AA74)&gt;1)</f>
        <v>0</v>
      </c>
      <c r="AD74" s="151"/>
    </row>
    <row r="75" spans="1:30" s="115" customFormat="1" ht="12.75" customHeight="1" x14ac:dyDescent="0.25">
      <c r="A75" s="151"/>
      <c r="C75" s="170"/>
      <c r="D75" s="232" t="s">
        <v>62</v>
      </c>
      <c r="E75" s="1192"/>
      <c r="F75" s="1192"/>
      <c r="G75" s="1192"/>
      <c r="H75" s="1192"/>
      <c r="I75" s="1193"/>
      <c r="J75" s="1193"/>
      <c r="K75" s="1193"/>
      <c r="L75" s="1194"/>
      <c r="M75" s="1194"/>
      <c r="N75" s="251" t="str">
        <f t="shared" si="4"/>
        <v/>
      </c>
      <c r="O75" s="142"/>
      <c r="Q75" s="151"/>
      <c r="R75" s="151"/>
      <c r="S75" s="151"/>
      <c r="T75" s="217" t="str">
        <f t="shared" si="5"/>
        <v>SourceStreamName_</v>
      </c>
      <c r="U75" s="217" t="str">
        <f t="shared" si="6"/>
        <v>SourceStreamClass_</v>
      </c>
      <c r="V75" s="151"/>
      <c r="W75" s="151"/>
      <c r="X75" s="217" t="b">
        <f t="shared" si="7"/>
        <v>0</v>
      </c>
      <c r="Y75" s="217" t="str">
        <f t="shared" si="8"/>
        <v/>
      </c>
      <c r="Z75" s="217" t="str">
        <f t="shared" si="11"/>
        <v/>
      </c>
      <c r="AA75" s="217" t="str">
        <f t="shared" si="9"/>
        <v>n.a.</v>
      </c>
      <c r="AB75" s="217" t="str">
        <f t="shared" si="10"/>
        <v>n.a.</v>
      </c>
      <c r="AC75" s="217" t="b">
        <f>IF(AA75=EUconst_NA,FALSE,COUNTIF($AA$66:AA75,AA75)&gt;1)</f>
        <v>0</v>
      </c>
      <c r="AD75" s="151"/>
    </row>
    <row r="76" spans="1:30" s="115" customFormat="1" ht="12.75" customHeight="1" x14ac:dyDescent="0.25">
      <c r="A76" s="151"/>
      <c r="C76" s="170"/>
      <c r="D76" s="232" t="s">
        <v>63</v>
      </c>
      <c r="E76" s="1192"/>
      <c r="F76" s="1192"/>
      <c r="G76" s="1192"/>
      <c r="H76" s="1192"/>
      <c r="I76" s="1193"/>
      <c r="J76" s="1193"/>
      <c r="K76" s="1193"/>
      <c r="L76" s="1194"/>
      <c r="M76" s="1194"/>
      <c r="N76" s="251" t="str">
        <f t="shared" si="4"/>
        <v/>
      </c>
      <c r="O76" s="142"/>
      <c r="Q76" s="151"/>
      <c r="R76" s="151"/>
      <c r="S76" s="151"/>
      <c r="T76" s="217" t="str">
        <f t="shared" si="5"/>
        <v>SourceStreamName_</v>
      </c>
      <c r="U76" s="217" t="str">
        <f t="shared" si="6"/>
        <v>SourceStreamClass_</v>
      </c>
      <c r="V76" s="151"/>
      <c r="W76" s="151"/>
      <c r="X76" s="217" t="b">
        <f t="shared" si="7"/>
        <v>0</v>
      </c>
      <c r="Y76" s="217" t="str">
        <f t="shared" si="8"/>
        <v/>
      </c>
      <c r="Z76" s="217" t="str">
        <f t="shared" si="11"/>
        <v/>
      </c>
      <c r="AA76" s="217" t="str">
        <f t="shared" si="9"/>
        <v>n.a.</v>
      </c>
      <c r="AB76" s="217" t="str">
        <f t="shared" si="10"/>
        <v>n.a.</v>
      </c>
      <c r="AC76" s="217" t="b">
        <f>IF(AA76=EUconst_NA,FALSE,COUNTIF($AA$66:AA76,AA76)&gt;1)</f>
        <v>0</v>
      </c>
      <c r="AD76" s="151"/>
    </row>
    <row r="77" spans="1:30" s="115" customFormat="1" ht="12.75" customHeight="1" x14ac:dyDescent="0.25">
      <c r="A77" s="151"/>
      <c r="C77" s="170"/>
      <c r="D77" s="232" t="s">
        <v>64</v>
      </c>
      <c r="E77" s="1192"/>
      <c r="F77" s="1192"/>
      <c r="G77" s="1192"/>
      <c r="H77" s="1192"/>
      <c r="I77" s="1193"/>
      <c r="J77" s="1193"/>
      <c r="K77" s="1193"/>
      <c r="L77" s="1194"/>
      <c r="M77" s="1194"/>
      <c r="N77" s="251" t="str">
        <f t="shared" si="4"/>
        <v/>
      </c>
      <c r="O77" s="142"/>
      <c r="Q77" s="151"/>
      <c r="R77" s="151"/>
      <c r="S77" s="151"/>
      <c r="T77" s="217" t="str">
        <f t="shared" si="5"/>
        <v>SourceStreamName_</v>
      </c>
      <c r="U77" s="217" t="str">
        <f t="shared" si="6"/>
        <v>SourceStreamClass_</v>
      </c>
      <c r="V77" s="151"/>
      <c r="W77" s="151"/>
      <c r="X77" s="217" t="b">
        <f t="shared" si="7"/>
        <v>0</v>
      </c>
      <c r="Y77" s="217" t="str">
        <f t="shared" si="8"/>
        <v/>
      </c>
      <c r="Z77" s="217" t="str">
        <f t="shared" si="11"/>
        <v/>
      </c>
      <c r="AA77" s="217" t="str">
        <f t="shared" si="9"/>
        <v>n.a.</v>
      </c>
      <c r="AB77" s="217" t="str">
        <f t="shared" si="10"/>
        <v>n.a.</v>
      </c>
      <c r="AC77" s="217" t="b">
        <f>IF(AA77=EUconst_NA,FALSE,COUNTIF($AA$66:AA77,AA77)&gt;1)</f>
        <v>0</v>
      </c>
      <c r="AD77" s="151"/>
    </row>
    <row r="78" spans="1:30" s="115" customFormat="1" ht="12.75" customHeight="1" x14ac:dyDescent="0.25">
      <c r="A78" s="151"/>
      <c r="C78" s="170"/>
      <c r="D78" s="232" t="s">
        <v>65</v>
      </c>
      <c r="E78" s="1192"/>
      <c r="F78" s="1192"/>
      <c r="G78" s="1192"/>
      <c r="H78" s="1192"/>
      <c r="I78" s="1193"/>
      <c r="J78" s="1193"/>
      <c r="K78" s="1193"/>
      <c r="L78" s="1194"/>
      <c r="M78" s="1194"/>
      <c r="N78" s="251" t="str">
        <f t="shared" si="4"/>
        <v/>
      </c>
      <c r="O78" s="142"/>
      <c r="Q78" s="151"/>
      <c r="R78" s="151"/>
      <c r="S78" s="151"/>
      <c r="T78" s="217" t="str">
        <f t="shared" si="5"/>
        <v>SourceStreamName_</v>
      </c>
      <c r="U78" s="217" t="str">
        <f t="shared" si="6"/>
        <v>SourceStreamClass_</v>
      </c>
      <c r="V78" s="151"/>
      <c r="W78" s="151"/>
      <c r="X78" s="217" t="b">
        <f t="shared" si="7"/>
        <v>0</v>
      </c>
      <c r="Y78" s="217" t="str">
        <f t="shared" si="8"/>
        <v/>
      </c>
      <c r="Z78" s="217" t="str">
        <f t="shared" si="11"/>
        <v/>
      </c>
      <c r="AA78" s="217" t="str">
        <f t="shared" si="9"/>
        <v>n.a.</v>
      </c>
      <c r="AB78" s="217" t="str">
        <f t="shared" si="10"/>
        <v>n.a.</v>
      </c>
      <c r="AC78" s="217" t="b">
        <f>IF(AA78=EUconst_NA,FALSE,COUNTIF($AA$66:AA78,AA78)&gt;1)</f>
        <v>0</v>
      </c>
      <c r="AD78" s="151"/>
    </row>
    <row r="79" spans="1:30" s="115" customFormat="1" ht="12.75" customHeight="1" x14ac:dyDescent="0.25">
      <c r="A79" s="151"/>
      <c r="C79" s="170"/>
      <c r="D79" s="232" t="s">
        <v>66</v>
      </c>
      <c r="E79" s="1192"/>
      <c r="F79" s="1192"/>
      <c r="G79" s="1192"/>
      <c r="H79" s="1192"/>
      <c r="I79" s="1193"/>
      <c r="J79" s="1193"/>
      <c r="K79" s="1193"/>
      <c r="L79" s="1194"/>
      <c r="M79" s="1194"/>
      <c r="N79" s="251" t="str">
        <f t="shared" si="4"/>
        <v/>
      </c>
      <c r="O79" s="142"/>
      <c r="Q79" s="151"/>
      <c r="R79" s="151"/>
      <c r="S79" s="151"/>
      <c r="T79" s="217" t="str">
        <f t="shared" si="5"/>
        <v>SourceStreamName_</v>
      </c>
      <c r="U79" s="217" t="str">
        <f t="shared" si="6"/>
        <v>SourceStreamClass_</v>
      </c>
      <c r="V79" s="151"/>
      <c r="W79" s="151"/>
      <c r="X79" s="217" t="b">
        <f t="shared" si="7"/>
        <v>0</v>
      </c>
      <c r="Y79" s="217" t="str">
        <f t="shared" si="8"/>
        <v/>
      </c>
      <c r="Z79" s="217" t="str">
        <f t="shared" si="11"/>
        <v/>
      </c>
      <c r="AA79" s="217" t="str">
        <f t="shared" si="9"/>
        <v>n.a.</v>
      </c>
      <c r="AB79" s="217" t="str">
        <f t="shared" si="10"/>
        <v>n.a.</v>
      </c>
      <c r="AC79" s="217" t="b">
        <f>IF(AA79=EUconst_NA,FALSE,COUNTIF($AA$66:AA79,AA79)&gt;1)</f>
        <v>0</v>
      </c>
      <c r="AD79" s="151"/>
    </row>
    <row r="80" spans="1:30" s="115" customFormat="1" ht="12.75" customHeight="1" x14ac:dyDescent="0.25">
      <c r="A80" s="151"/>
      <c r="C80" s="170"/>
      <c r="D80" s="232" t="s">
        <v>67</v>
      </c>
      <c r="E80" s="1192"/>
      <c r="F80" s="1192"/>
      <c r="G80" s="1192"/>
      <c r="H80" s="1192"/>
      <c r="I80" s="1193"/>
      <c r="J80" s="1193"/>
      <c r="K80" s="1193"/>
      <c r="L80" s="1194"/>
      <c r="M80" s="1194"/>
      <c r="N80" s="251" t="str">
        <f t="shared" si="4"/>
        <v/>
      </c>
      <c r="O80" s="142"/>
      <c r="Q80" s="151"/>
      <c r="R80" s="151"/>
      <c r="S80" s="151"/>
      <c r="T80" s="217" t="str">
        <f t="shared" si="5"/>
        <v>SourceStreamName_</v>
      </c>
      <c r="U80" s="217" t="str">
        <f t="shared" si="6"/>
        <v>SourceStreamClass_</v>
      </c>
      <c r="V80" s="151"/>
      <c r="W80" s="151"/>
      <c r="X80" s="217" t="b">
        <f t="shared" si="7"/>
        <v>0</v>
      </c>
      <c r="Y80" s="217" t="str">
        <f t="shared" si="8"/>
        <v/>
      </c>
      <c r="Z80" s="217" t="str">
        <f t="shared" si="11"/>
        <v/>
      </c>
      <c r="AA80" s="217" t="str">
        <f t="shared" si="9"/>
        <v>n.a.</v>
      </c>
      <c r="AB80" s="217" t="str">
        <f t="shared" si="10"/>
        <v>n.a.</v>
      </c>
      <c r="AC80" s="217" t="b">
        <f>IF(AA80=EUconst_NA,FALSE,COUNTIF($AA$66:AA80,AA80)&gt;1)</f>
        <v>0</v>
      </c>
      <c r="AD80" s="151"/>
    </row>
    <row r="81" spans="1:30" s="115" customFormat="1" ht="12.75" customHeight="1" x14ac:dyDescent="0.25">
      <c r="A81" s="151"/>
      <c r="C81" s="170"/>
      <c r="D81" s="232" t="s">
        <v>68</v>
      </c>
      <c r="E81" s="1192"/>
      <c r="F81" s="1192"/>
      <c r="G81" s="1192"/>
      <c r="H81" s="1192"/>
      <c r="I81" s="1193"/>
      <c r="J81" s="1193"/>
      <c r="K81" s="1193"/>
      <c r="L81" s="1194"/>
      <c r="M81" s="1194"/>
      <c r="N81" s="251" t="str">
        <f t="shared" si="4"/>
        <v/>
      </c>
      <c r="O81" s="142"/>
      <c r="Q81" s="151"/>
      <c r="R81" s="151"/>
      <c r="S81" s="151"/>
      <c r="T81" s="217" t="str">
        <f t="shared" si="5"/>
        <v>SourceStreamName_</v>
      </c>
      <c r="U81" s="217" t="str">
        <f t="shared" si="6"/>
        <v>SourceStreamClass_</v>
      </c>
      <c r="V81" s="151"/>
      <c r="W81" s="151"/>
      <c r="X81" s="217" t="b">
        <f t="shared" si="7"/>
        <v>0</v>
      </c>
      <c r="Y81" s="217" t="str">
        <f t="shared" si="8"/>
        <v/>
      </c>
      <c r="Z81" s="217" t="str">
        <f t="shared" si="11"/>
        <v/>
      </c>
      <c r="AA81" s="217" t="str">
        <f t="shared" si="9"/>
        <v>n.a.</v>
      </c>
      <c r="AB81" s="217" t="str">
        <f t="shared" si="10"/>
        <v>n.a.</v>
      </c>
      <c r="AC81" s="217" t="b">
        <f>IF(AA81=EUconst_NA,FALSE,COUNTIF($AA$66:AA81,AA81)&gt;1)</f>
        <v>0</v>
      </c>
      <c r="AD81" s="151"/>
    </row>
    <row r="82" spans="1:30" s="115" customFormat="1" ht="12.75" customHeight="1" x14ac:dyDescent="0.25">
      <c r="A82" s="151"/>
      <c r="C82" s="170"/>
      <c r="D82" s="232" t="s">
        <v>69</v>
      </c>
      <c r="E82" s="1192"/>
      <c r="F82" s="1192"/>
      <c r="G82" s="1192"/>
      <c r="H82" s="1192"/>
      <c r="I82" s="1193"/>
      <c r="J82" s="1193"/>
      <c r="K82" s="1193"/>
      <c r="L82" s="1194"/>
      <c r="M82" s="1194"/>
      <c r="N82" s="251" t="str">
        <f t="shared" si="4"/>
        <v/>
      </c>
      <c r="O82" s="142"/>
      <c r="Q82" s="151"/>
      <c r="R82" s="151"/>
      <c r="S82" s="151"/>
      <c r="T82" s="217" t="str">
        <f t="shared" si="5"/>
        <v>SourceStreamName_</v>
      </c>
      <c r="U82" s="217" t="str">
        <f t="shared" si="6"/>
        <v>SourceStreamClass_</v>
      </c>
      <c r="V82" s="151"/>
      <c r="W82" s="151"/>
      <c r="X82" s="217" t="b">
        <f t="shared" si="7"/>
        <v>0</v>
      </c>
      <c r="Y82" s="217" t="str">
        <f t="shared" si="8"/>
        <v/>
      </c>
      <c r="Z82" s="217" t="str">
        <f t="shared" si="11"/>
        <v/>
      </c>
      <c r="AA82" s="217" t="str">
        <f t="shared" si="9"/>
        <v>n.a.</v>
      </c>
      <c r="AB82" s="217" t="str">
        <f t="shared" si="10"/>
        <v>n.a.</v>
      </c>
      <c r="AC82" s="217" t="b">
        <f>IF(AA82=EUconst_NA,FALSE,COUNTIF($AA$66:AA82,AA82)&gt;1)</f>
        <v>0</v>
      </c>
      <c r="AD82" s="151"/>
    </row>
    <row r="83" spans="1:30" s="115" customFormat="1" ht="12.75" customHeight="1" x14ac:dyDescent="0.25">
      <c r="A83" s="151"/>
      <c r="C83" s="170"/>
      <c r="D83" s="232" t="s">
        <v>70</v>
      </c>
      <c r="E83" s="1192"/>
      <c r="F83" s="1192"/>
      <c r="G83" s="1192"/>
      <c r="H83" s="1192"/>
      <c r="I83" s="1193"/>
      <c r="J83" s="1193"/>
      <c r="K83" s="1193"/>
      <c r="L83" s="1194"/>
      <c r="M83" s="1194"/>
      <c r="N83" s="251" t="str">
        <f t="shared" si="4"/>
        <v/>
      </c>
      <c r="O83" s="142"/>
      <c r="Q83" s="151"/>
      <c r="R83" s="151"/>
      <c r="S83" s="151"/>
      <c r="T83" s="217" t="str">
        <f t="shared" si="5"/>
        <v>SourceStreamName_</v>
      </c>
      <c r="U83" s="217" t="str">
        <f t="shared" si="6"/>
        <v>SourceStreamClass_</v>
      </c>
      <c r="V83" s="151"/>
      <c r="W83" s="151"/>
      <c r="X83" s="217" t="b">
        <f t="shared" si="7"/>
        <v>0</v>
      </c>
      <c r="Y83" s="217" t="str">
        <f t="shared" si="8"/>
        <v/>
      </c>
      <c r="Z83" s="217" t="str">
        <f t="shared" si="11"/>
        <v/>
      </c>
      <c r="AA83" s="217" t="str">
        <f t="shared" si="9"/>
        <v>n.a.</v>
      </c>
      <c r="AB83" s="217" t="str">
        <f t="shared" si="10"/>
        <v>n.a.</v>
      </c>
      <c r="AC83" s="217" t="b">
        <f>IF(AA83=EUconst_NA,FALSE,COUNTIF($AA$66:AA83,AA83)&gt;1)</f>
        <v>0</v>
      </c>
      <c r="AD83" s="151"/>
    </row>
    <row r="84" spans="1:30" s="115" customFormat="1" ht="12.75" customHeight="1" x14ac:dyDescent="0.25">
      <c r="A84" s="151"/>
      <c r="C84" s="170"/>
      <c r="D84" s="232" t="s">
        <v>71</v>
      </c>
      <c r="E84" s="1192"/>
      <c r="F84" s="1192"/>
      <c r="G84" s="1192"/>
      <c r="H84" s="1192"/>
      <c r="I84" s="1193"/>
      <c r="J84" s="1193"/>
      <c r="K84" s="1193"/>
      <c r="L84" s="1194"/>
      <c r="M84" s="1194"/>
      <c r="N84" s="251" t="str">
        <f t="shared" si="4"/>
        <v/>
      </c>
      <c r="O84" s="142"/>
      <c r="Q84" s="151"/>
      <c r="R84" s="151"/>
      <c r="S84" s="151"/>
      <c r="T84" s="217" t="str">
        <f t="shared" si="5"/>
        <v>SourceStreamName_</v>
      </c>
      <c r="U84" s="217" t="str">
        <f t="shared" si="6"/>
        <v>SourceStreamClass_</v>
      </c>
      <c r="V84" s="151"/>
      <c r="W84" s="151"/>
      <c r="X84" s="217" t="b">
        <f t="shared" si="7"/>
        <v>0</v>
      </c>
      <c r="Y84" s="217" t="str">
        <f t="shared" si="8"/>
        <v/>
      </c>
      <c r="Z84" s="217" t="str">
        <f t="shared" si="11"/>
        <v/>
      </c>
      <c r="AA84" s="217" t="str">
        <f t="shared" si="9"/>
        <v>n.a.</v>
      </c>
      <c r="AB84" s="217" t="str">
        <f t="shared" si="10"/>
        <v>n.a.</v>
      </c>
      <c r="AC84" s="217" t="b">
        <f>IF(AA84=EUconst_NA,FALSE,COUNTIF($AA$66:AA84,AA84)&gt;1)</f>
        <v>0</v>
      </c>
      <c r="AD84" s="151"/>
    </row>
    <row r="85" spans="1:30" s="115" customFormat="1" ht="12.75" customHeight="1" x14ac:dyDescent="0.25">
      <c r="A85" s="151"/>
      <c r="C85" s="170"/>
      <c r="D85" s="232" t="s">
        <v>72</v>
      </c>
      <c r="E85" s="1192"/>
      <c r="F85" s="1192"/>
      <c r="G85" s="1192"/>
      <c r="H85" s="1192"/>
      <c r="I85" s="1193"/>
      <c r="J85" s="1193"/>
      <c r="K85" s="1193"/>
      <c r="L85" s="1194"/>
      <c r="M85" s="1194"/>
      <c r="N85" s="251" t="str">
        <f t="shared" si="4"/>
        <v/>
      </c>
      <c r="O85" s="142"/>
      <c r="Q85" s="151"/>
      <c r="R85" s="151"/>
      <c r="S85" s="151"/>
      <c r="T85" s="217" t="str">
        <f t="shared" si="5"/>
        <v>SourceStreamName_</v>
      </c>
      <c r="U85" s="217" t="str">
        <f t="shared" si="6"/>
        <v>SourceStreamClass_</v>
      </c>
      <c r="V85" s="151"/>
      <c r="W85" s="151"/>
      <c r="X85" s="217" t="b">
        <f t="shared" si="7"/>
        <v>0</v>
      </c>
      <c r="Y85" s="217" t="str">
        <f t="shared" si="8"/>
        <v/>
      </c>
      <c r="Z85" s="217" t="str">
        <f t="shared" si="11"/>
        <v/>
      </c>
      <c r="AA85" s="217" t="str">
        <f t="shared" si="9"/>
        <v>n.a.</v>
      </c>
      <c r="AB85" s="217" t="str">
        <f t="shared" si="10"/>
        <v>n.a.</v>
      </c>
      <c r="AC85" s="217" t="b">
        <f>IF(AA85=EUconst_NA,FALSE,COUNTIF($AA$66:AA85,AA85)&gt;1)</f>
        <v>0</v>
      </c>
      <c r="AD85" s="151"/>
    </row>
    <row r="86" spans="1:30" s="115" customFormat="1" ht="12.75" customHeight="1" x14ac:dyDescent="0.25">
      <c r="A86" s="151"/>
      <c r="C86" s="170"/>
      <c r="D86" s="232" t="s">
        <v>73</v>
      </c>
      <c r="E86" s="1192"/>
      <c r="F86" s="1192"/>
      <c r="G86" s="1192"/>
      <c r="H86" s="1192"/>
      <c r="I86" s="1193"/>
      <c r="J86" s="1193"/>
      <c r="K86" s="1193"/>
      <c r="L86" s="1194"/>
      <c r="M86" s="1194"/>
      <c r="N86" s="251" t="str">
        <f t="shared" si="4"/>
        <v/>
      </c>
      <c r="O86" s="142"/>
      <c r="Q86" s="151"/>
      <c r="R86" s="151"/>
      <c r="S86" s="151"/>
      <c r="T86" s="217" t="str">
        <f t="shared" si="5"/>
        <v>SourceStreamName_</v>
      </c>
      <c r="U86" s="217" t="str">
        <f t="shared" si="6"/>
        <v>SourceStreamClass_</v>
      </c>
      <c r="V86" s="151"/>
      <c r="W86" s="151"/>
      <c r="X86" s="217" t="b">
        <f t="shared" si="7"/>
        <v>0</v>
      </c>
      <c r="Y86" s="217" t="str">
        <f t="shared" si="8"/>
        <v/>
      </c>
      <c r="Z86" s="217" t="str">
        <f t="shared" si="11"/>
        <v/>
      </c>
      <c r="AA86" s="217" t="str">
        <f t="shared" si="9"/>
        <v>n.a.</v>
      </c>
      <c r="AB86" s="217" t="str">
        <f t="shared" si="10"/>
        <v>n.a.</v>
      </c>
      <c r="AC86" s="217" t="b">
        <f>IF(AA86=EUconst_NA,FALSE,COUNTIF($AA$66:AA86,AA86)&gt;1)</f>
        <v>0</v>
      </c>
      <c r="AD86" s="151"/>
    </row>
    <row r="87" spans="1:30" s="115" customFormat="1" ht="12.75" customHeight="1" x14ac:dyDescent="0.25">
      <c r="A87" s="151"/>
      <c r="C87" s="170"/>
      <c r="D87" s="232" t="s">
        <v>74</v>
      </c>
      <c r="E87" s="1192"/>
      <c r="F87" s="1192"/>
      <c r="G87" s="1192"/>
      <c r="H87" s="1192"/>
      <c r="I87" s="1193"/>
      <c r="J87" s="1193"/>
      <c r="K87" s="1193"/>
      <c r="L87" s="1194"/>
      <c r="M87" s="1194"/>
      <c r="N87" s="251" t="str">
        <f t="shared" si="4"/>
        <v/>
      </c>
      <c r="O87" s="142"/>
      <c r="Q87" s="151"/>
      <c r="R87" s="151"/>
      <c r="S87" s="151"/>
      <c r="T87" s="217" t="str">
        <f t="shared" si="5"/>
        <v>SourceStreamName_</v>
      </c>
      <c r="U87" s="217" t="str">
        <f t="shared" si="6"/>
        <v>SourceStreamClass_</v>
      </c>
      <c r="V87" s="151"/>
      <c r="W87" s="151"/>
      <c r="X87" s="217" t="b">
        <f t="shared" si="7"/>
        <v>0</v>
      </c>
      <c r="Y87" s="217" t="str">
        <f t="shared" si="8"/>
        <v/>
      </c>
      <c r="Z87" s="217" t="str">
        <f t="shared" si="11"/>
        <v/>
      </c>
      <c r="AA87" s="217" t="str">
        <f t="shared" si="9"/>
        <v>n.a.</v>
      </c>
      <c r="AB87" s="217" t="str">
        <f t="shared" si="10"/>
        <v>n.a.</v>
      </c>
      <c r="AC87" s="217" t="b">
        <f>IF(AA87=EUconst_NA,FALSE,COUNTIF($AA$66:AA87,AA87)&gt;1)</f>
        <v>0</v>
      </c>
      <c r="AD87" s="151"/>
    </row>
    <row r="88" spans="1:30" s="115" customFormat="1" ht="12.75" customHeight="1" x14ac:dyDescent="0.25">
      <c r="A88" s="151"/>
      <c r="C88" s="170"/>
      <c r="D88" s="232" t="s">
        <v>75</v>
      </c>
      <c r="E88" s="1192"/>
      <c r="F88" s="1192"/>
      <c r="G88" s="1192"/>
      <c r="H88" s="1192"/>
      <c r="I88" s="1193"/>
      <c r="J88" s="1193"/>
      <c r="K88" s="1193"/>
      <c r="L88" s="1194"/>
      <c r="M88" s="1194"/>
      <c r="N88" s="251" t="str">
        <f t="shared" si="4"/>
        <v/>
      </c>
      <c r="O88" s="142"/>
      <c r="Q88" s="151"/>
      <c r="R88" s="151"/>
      <c r="S88" s="151"/>
      <c r="T88" s="217" t="str">
        <f t="shared" si="5"/>
        <v>SourceStreamName_</v>
      </c>
      <c r="U88" s="217" t="str">
        <f t="shared" si="6"/>
        <v>SourceStreamClass_</v>
      </c>
      <c r="V88" s="151"/>
      <c r="W88" s="151"/>
      <c r="X88" s="217" t="b">
        <f t="shared" si="7"/>
        <v>0</v>
      </c>
      <c r="Y88" s="217" t="str">
        <f t="shared" si="8"/>
        <v/>
      </c>
      <c r="Z88" s="217" t="str">
        <f t="shared" si="11"/>
        <v/>
      </c>
      <c r="AA88" s="217" t="str">
        <f t="shared" si="9"/>
        <v>n.a.</v>
      </c>
      <c r="AB88" s="217" t="str">
        <f t="shared" si="10"/>
        <v>n.a.</v>
      </c>
      <c r="AC88" s="217" t="b">
        <f>IF(AA88=EUconst_NA,FALSE,COUNTIF($AA$66:AA88,AA88)&gt;1)</f>
        <v>0</v>
      </c>
      <c r="AD88" s="151"/>
    </row>
    <row r="89" spans="1:30" s="115" customFormat="1" ht="12.75" customHeight="1" x14ac:dyDescent="0.25">
      <c r="A89" s="151"/>
      <c r="C89" s="170"/>
      <c r="D89" s="232" t="s">
        <v>76</v>
      </c>
      <c r="E89" s="1192"/>
      <c r="F89" s="1192"/>
      <c r="G89" s="1192"/>
      <c r="H89" s="1192"/>
      <c r="I89" s="1193"/>
      <c r="J89" s="1193"/>
      <c r="K89" s="1193"/>
      <c r="L89" s="1194"/>
      <c r="M89" s="1194"/>
      <c r="N89" s="251" t="str">
        <f t="shared" si="4"/>
        <v/>
      </c>
      <c r="O89" s="142"/>
      <c r="Q89" s="151"/>
      <c r="R89" s="151"/>
      <c r="S89" s="151"/>
      <c r="T89" s="217" t="str">
        <f t="shared" si="5"/>
        <v>SourceStreamName_</v>
      </c>
      <c r="U89" s="217" t="str">
        <f t="shared" si="6"/>
        <v>SourceStreamClass_</v>
      </c>
      <c r="V89" s="151"/>
      <c r="W89" s="151"/>
      <c r="X89" s="217" t="b">
        <f t="shared" si="7"/>
        <v>0</v>
      </c>
      <c r="Y89" s="217" t="str">
        <f t="shared" si="8"/>
        <v/>
      </c>
      <c r="Z89" s="217" t="str">
        <f t="shared" si="11"/>
        <v/>
      </c>
      <c r="AA89" s="217" t="str">
        <f t="shared" si="9"/>
        <v>n.a.</v>
      </c>
      <c r="AB89" s="217" t="str">
        <f t="shared" si="10"/>
        <v>n.a.</v>
      </c>
      <c r="AC89" s="217" t="b">
        <f>IF(AA89=EUconst_NA,FALSE,COUNTIF($AA$66:AA89,AA89)&gt;1)</f>
        <v>0</v>
      </c>
      <c r="AD89" s="151"/>
    </row>
    <row r="90" spans="1:30" s="115" customFormat="1" ht="12.75" customHeight="1" x14ac:dyDescent="0.25">
      <c r="A90" s="151"/>
      <c r="C90" s="170"/>
      <c r="D90" s="232" t="s">
        <v>77</v>
      </c>
      <c r="E90" s="1192"/>
      <c r="F90" s="1192"/>
      <c r="G90" s="1192"/>
      <c r="H90" s="1192"/>
      <c r="I90" s="1193"/>
      <c r="J90" s="1193"/>
      <c r="K90" s="1193"/>
      <c r="L90" s="1194"/>
      <c r="M90" s="1194"/>
      <c r="N90" s="251" t="str">
        <f t="shared" si="4"/>
        <v/>
      </c>
      <c r="O90" s="142"/>
      <c r="Q90" s="151"/>
      <c r="R90" s="151"/>
      <c r="S90" s="151"/>
      <c r="T90" s="217" t="str">
        <f t="shared" si="5"/>
        <v>SourceStreamName_</v>
      </c>
      <c r="U90" s="217" t="str">
        <f t="shared" si="6"/>
        <v>SourceStreamClass_</v>
      </c>
      <c r="V90" s="151"/>
      <c r="W90" s="151"/>
      <c r="X90" s="217" t="b">
        <f t="shared" si="7"/>
        <v>0</v>
      </c>
      <c r="Y90" s="217" t="str">
        <f t="shared" si="8"/>
        <v/>
      </c>
      <c r="Z90" s="217" t="str">
        <f t="shared" si="11"/>
        <v/>
      </c>
      <c r="AA90" s="217" t="str">
        <f t="shared" si="9"/>
        <v>n.a.</v>
      </c>
      <c r="AB90" s="217" t="str">
        <f t="shared" si="10"/>
        <v>n.a.</v>
      </c>
      <c r="AC90" s="217" t="b">
        <f>IF(AA90=EUconst_NA,FALSE,COUNTIF($AA$66:AA90,AA90)&gt;1)</f>
        <v>0</v>
      </c>
      <c r="AD90" s="151"/>
    </row>
    <row r="91" spans="1:30" s="115" customFormat="1" ht="12.75" customHeight="1" x14ac:dyDescent="0.25">
      <c r="A91" s="151"/>
      <c r="C91" s="170"/>
      <c r="D91" s="232" t="s">
        <v>78</v>
      </c>
      <c r="E91" s="1192"/>
      <c r="F91" s="1192"/>
      <c r="G91" s="1192"/>
      <c r="H91" s="1192"/>
      <c r="I91" s="1193"/>
      <c r="J91" s="1193"/>
      <c r="K91" s="1193"/>
      <c r="L91" s="1194"/>
      <c r="M91" s="1194"/>
      <c r="N91" s="251" t="str">
        <f t="shared" ref="N91:N116" si="12">IF(E91="","",IF(OR(AND($X91=FALSE,COUNTA(E91:M91)&lt;3),AND($X91=TRUE,COUNTA(E91:K91)&lt;2)),EUconst_ERR_Incomplete,""))</f>
        <v/>
      </c>
      <c r="O91" s="142"/>
      <c r="Q91" s="151"/>
      <c r="R91" s="151"/>
      <c r="S91" s="151"/>
      <c r="T91" s="217" t="str">
        <f t="shared" ref="T91:T116" si="13">EUconst_CNTR_SourceStreamName&amp;I91</f>
        <v>SourceStreamName_</v>
      </c>
      <c r="U91" s="217" t="str">
        <f t="shared" ref="U91:U116" si="14">EUconst_CNTR_SourceStreamClass&amp;E91</f>
        <v>SourceStreamClass_</v>
      </c>
      <c r="V91" s="151"/>
      <c r="W91" s="151"/>
      <c r="X91" s="217" t="b">
        <f t="shared" ref="X91:X116" si="15">IF(OR(COUNTA(E91:K91)&lt;2,COUNTIF(MSPara_SourceStreamCategory,I91)=0),FALSE,INDEX(MSPara_NameOptional,MATCH(I91,MSPara_SourceStreamCategory,0)))</f>
        <v>0</v>
      </c>
      <c r="Y91" s="217" t="str">
        <f t="shared" ref="Y91:Y116" si="16">IF(COUNTIF(EUConst_TierActivityListNames,E91)=0,"",INDEX(MSPara_CategoryAddress,MATCH(E91,EUConst_TierActivityListNames,0)))</f>
        <v/>
      </c>
      <c r="Z91" s="217" t="str">
        <f t="shared" ref="Z91:Z116" si="17">IF(ISBLANK(E91),"",E91&amp; IF(ISBLANK(I91),"","; " &amp;I91) &amp; IF(ISBLANK(L91),"","; " &amp;L91))</f>
        <v/>
      </c>
      <c r="AA91" s="217" t="str">
        <f t="shared" ref="AA91:AA116" si="18">IF(ISBLANK(E91),EUconst_NA,I91&amp;IF(ISBLANK(L91),"","; "&amp;L91))</f>
        <v>n.a.</v>
      </c>
      <c r="AB91" s="217" t="str">
        <f t="shared" ref="AB91:AB116" si="19">IF(ISBLANK(E91),EUconst_NA,D91&amp;". "&amp;AA91)</f>
        <v>n.a.</v>
      </c>
      <c r="AC91" s="217" t="b">
        <f>IF(AA91=EUconst_NA,FALSE,COUNTIF($AA$66:AA91,AA91)&gt;1)</f>
        <v>0</v>
      </c>
      <c r="AD91" s="151"/>
    </row>
    <row r="92" spans="1:30" s="115" customFormat="1" ht="12.75" customHeight="1" x14ac:dyDescent="0.25">
      <c r="A92" s="151"/>
      <c r="C92" s="170"/>
      <c r="D92" s="232" t="s">
        <v>79</v>
      </c>
      <c r="E92" s="1192"/>
      <c r="F92" s="1192"/>
      <c r="G92" s="1192"/>
      <c r="H92" s="1192"/>
      <c r="I92" s="1193"/>
      <c r="J92" s="1193"/>
      <c r="K92" s="1193"/>
      <c r="L92" s="1194"/>
      <c r="M92" s="1194"/>
      <c r="N92" s="251" t="str">
        <f t="shared" si="12"/>
        <v/>
      </c>
      <c r="O92" s="142"/>
      <c r="Q92" s="151"/>
      <c r="R92" s="151"/>
      <c r="S92" s="151"/>
      <c r="T92" s="217" t="str">
        <f t="shared" si="13"/>
        <v>SourceStreamName_</v>
      </c>
      <c r="U92" s="217" t="str">
        <f t="shared" si="14"/>
        <v>SourceStreamClass_</v>
      </c>
      <c r="V92" s="151"/>
      <c r="W92" s="151"/>
      <c r="X92" s="217" t="b">
        <f t="shared" si="15"/>
        <v>0</v>
      </c>
      <c r="Y92" s="217" t="str">
        <f t="shared" si="16"/>
        <v/>
      </c>
      <c r="Z92" s="217" t="str">
        <f t="shared" si="17"/>
        <v/>
      </c>
      <c r="AA92" s="217" t="str">
        <f t="shared" si="18"/>
        <v>n.a.</v>
      </c>
      <c r="AB92" s="217" t="str">
        <f t="shared" si="19"/>
        <v>n.a.</v>
      </c>
      <c r="AC92" s="217" t="b">
        <f>IF(AA92=EUconst_NA,FALSE,COUNTIF($AA$66:AA92,AA92)&gt;1)</f>
        <v>0</v>
      </c>
      <c r="AD92" s="151"/>
    </row>
    <row r="93" spans="1:30" s="115" customFormat="1" ht="12.75" customHeight="1" x14ac:dyDescent="0.25">
      <c r="A93" s="151"/>
      <c r="C93" s="170"/>
      <c r="D93" s="232" t="s">
        <v>80</v>
      </c>
      <c r="E93" s="1192"/>
      <c r="F93" s="1192"/>
      <c r="G93" s="1192"/>
      <c r="H93" s="1192"/>
      <c r="I93" s="1193"/>
      <c r="J93" s="1193"/>
      <c r="K93" s="1193"/>
      <c r="L93" s="1194"/>
      <c r="M93" s="1194"/>
      <c r="N93" s="251" t="str">
        <f t="shared" si="12"/>
        <v/>
      </c>
      <c r="O93" s="142"/>
      <c r="Q93" s="151"/>
      <c r="R93" s="151"/>
      <c r="S93" s="151"/>
      <c r="T93" s="217" t="str">
        <f t="shared" si="13"/>
        <v>SourceStreamName_</v>
      </c>
      <c r="U93" s="217" t="str">
        <f t="shared" si="14"/>
        <v>SourceStreamClass_</v>
      </c>
      <c r="V93" s="151"/>
      <c r="W93" s="151"/>
      <c r="X93" s="217" t="b">
        <f t="shared" si="15"/>
        <v>0</v>
      </c>
      <c r="Y93" s="217" t="str">
        <f t="shared" si="16"/>
        <v/>
      </c>
      <c r="Z93" s="217" t="str">
        <f t="shared" si="17"/>
        <v/>
      </c>
      <c r="AA93" s="217" t="str">
        <f t="shared" si="18"/>
        <v>n.a.</v>
      </c>
      <c r="AB93" s="217" t="str">
        <f t="shared" si="19"/>
        <v>n.a.</v>
      </c>
      <c r="AC93" s="217" t="b">
        <f>IF(AA93=EUconst_NA,FALSE,COUNTIF($AA$66:AA93,AA93)&gt;1)</f>
        <v>0</v>
      </c>
      <c r="AD93" s="151"/>
    </row>
    <row r="94" spans="1:30" s="115" customFormat="1" ht="12.75" customHeight="1" x14ac:dyDescent="0.25">
      <c r="A94" s="151"/>
      <c r="C94" s="170"/>
      <c r="D94" s="232" t="s">
        <v>81</v>
      </c>
      <c r="E94" s="1192"/>
      <c r="F94" s="1192"/>
      <c r="G94" s="1192"/>
      <c r="H94" s="1192"/>
      <c r="I94" s="1193"/>
      <c r="J94" s="1193"/>
      <c r="K94" s="1193"/>
      <c r="L94" s="1194"/>
      <c r="M94" s="1194"/>
      <c r="N94" s="251" t="str">
        <f t="shared" si="12"/>
        <v/>
      </c>
      <c r="O94" s="142"/>
      <c r="Q94" s="151"/>
      <c r="R94" s="151"/>
      <c r="S94" s="151"/>
      <c r="T94" s="217" t="str">
        <f t="shared" si="13"/>
        <v>SourceStreamName_</v>
      </c>
      <c r="U94" s="217" t="str">
        <f t="shared" si="14"/>
        <v>SourceStreamClass_</v>
      </c>
      <c r="V94" s="151"/>
      <c r="W94" s="151"/>
      <c r="X94" s="217" t="b">
        <f t="shared" si="15"/>
        <v>0</v>
      </c>
      <c r="Y94" s="217" t="str">
        <f t="shared" si="16"/>
        <v/>
      </c>
      <c r="Z94" s="217" t="str">
        <f t="shared" si="17"/>
        <v/>
      </c>
      <c r="AA94" s="217" t="str">
        <f t="shared" si="18"/>
        <v>n.a.</v>
      </c>
      <c r="AB94" s="217" t="str">
        <f t="shared" si="19"/>
        <v>n.a.</v>
      </c>
      <c r="AC94" s="217" t="b">
        <f>IF(AA94=EUconst_NA,FALSE,COUNTIF($AA$66:AA94,AA94)&gt;1)</f>
        <v>0</v>
      </c>
      <c r="AD94" s="151"/>
    </row>
    <row r="95" spans="1:30" s="115" customFormat="1" ht="12.75" customHeight="1" x14ac:dyDescent="0.25">
      <c r="A95" s="151"/>
      <c r="C95" s="170"/>
      <c r="D95" s="232" t="s">
        <v>82</v>
      </c>
      <c r="E95" s="1192"/>
      <c r="F95" s="1192"/>
      <c r="G95" s="1192"/>
      <c r="H95" s="1192"/>
      <c r="I95" s="1193"/>
      <c r="J95" s="1193"/>
      <c r="K95" s="1193"/>
      <c r="L95" s="1194"/>
      <c r="M95" s="1194"/>
      <c r="N95" s="251" t="str">
        <f t="shared" si="12"/>
        <v/>
      </c>
      <c r="O95" s="142"/>
      <c r="Q95" s="151"/>
      <c r="R95" s="151"/>
      <c r="S95" s="151"/>
      <c r="T95" s="217" t="str">
        <f t="shared" si="13"/>
        <v>SourceStreamName_</v>
      </c>
      <c r="U95" s="217" t="str">
        <f t="shared" si="14"/>
        <v>SourceStreamClass_</v>
      </c>
      <c r="V95" s="151"/>
      <c r="W95" s="151"/>
      <c r="X95" s="217" t="b">
        <f t="shared" si="15"/>
        <v>0</v>
      </c>
      <c r="Y95" s="217" t="str">
        <f t="shared" si="16"/>
        <v/>
      </c>
      <c r="Z95" s="217" t="str">
        <f t="shared" si="17"/>
        <v/>
      </c>
      <c r="AA95" s="217" t="str">
        <f t="shared" si="18"/>
        <v>n.a.</v>
      </c>
      <c r="AB95" s="217" t="str">
        <f t="shared" si="19"/>
        <v>n.a.</v>
      </c>
      <c r="AC95" s="217" t="b">
        <f>IF(AA95=EUconst_NA,FALSE,COUNTIF($AA$66:AA95,AA95)&gt;1)</f>
        <v>0</v>
      </c>
      <c r="AD95" s="151"/>
    </row>
    <row r="96" spans="1:30" s="115" customFormat="1" ht="12.75" customHeight="1" x14ac:dyDescent="0.25">
      <c r="A96" s="151"/>
      <c r="C96" s="170"/>
      <c r="D96" s="232" t="s">
        <v>83</v>
      </c>
      <c r="E96" s="1192"/>
      <c r="F96" s="1192"/>
      <c r="G96" s="1192"/>
      <c r="H96" s="1192"/>
      <c r="I96" s="1193"/>
      <c r="J96" s="1193"/>
      <c r="K96" s="1193"/>
      <c r="L96" s="1194"/>
      <c r="M96" s="1194"/>
      <c r="N96" s="251" t="str">
        <f t="shared" si="12"/>
        <v/>
      </c>
      <c r="O96" s="142"/>
      <c r="Q96" s="151"/>
      <c r="R96" s="151"/>
      <c r="S96" s="151"/>
      <c r="T96" s="217" t="str">
        <f t="shared" si="13"/>
        <v>SourceStreamName_</v>
      </c>
      <c r="U96" s="217" t="str">
        <f t="shared" si="14"/>
        <v>SourceStreamClass_</v>
      </c>
      <c r="V96" s="151"/>
      <c r="W96" s="151"/>
      <c r="X96" s="217" t="b">
        <f t="shared" si="15"/>
        <v>0</v>
      </c>
      <c r="Y96" s="217" t="str">
        <f t="shared" si="16"/>
        <v/>
      </c>
      <c r="Z96" s="217" t="str">
        <f t="shared" si="17"/>
        <v/>
      </c>
      <c r="AA96" s="217" t="str">
        <f t="shared" si="18"/>
        <v>n.a.</v>
      </c>
      <c r="AB96" s="217" t="str">
        <f t="shared" si="19"/>
        <v>n.a.</v>
      </c>
      <c r="AC96" s="217" t="b">
        <f>IF(AA96=EUconst_NA,FALSE,COUNTIF($AA$66:AA96,AA96)&gt;1)</f>
        <v>0</v>
      </c>
      <c r="AD96" s="151"/>
    </row>
    <row r="97" spans="1:30" s="115" customFormat="1" ht="12.75" customHeight="1" x14ac:dyDescent="0.25">
      <c r="A97" s="151"/>
      <c r="C97" s="170"/>
      <c r="D97" s="232" t="s">
        <v>84</v>
      </c>
      <c r="E97" s="1192"/>
      <c r="F97" s="1192"/>
      <c r="G97" s="1192"/>
      <c r="H97" s="1192"/>
      <c r="I97" s="1193"/>
      <c r="J97" s="1193"/>
      <c r="K97" s="1193"/>
      <c r="L97" s="1194"/>
      <c r="M97" s="1194"/>
      <c r="N97" s="251" t="str">
        <f t="shared" si="12"/>
        <v/>
      </c>
      <c r="O97" s="142"/>
      <c r="Q97" s="151"/>
      <c r="R97" s="151"/>
      <c r="S97" s="151"/>
      <c r="T97" s="217" t="str">
        <f t="shared" si="13"/>
        <v>SourceStreamName_</v>
      </c>
      <c r="U97" s="217" t="str">
        <f t="shared" si="14"/>
        <v>SourceStreamClass_</v>
      </c>
      <c r="V97" s="151"/>
      <c r="W97" s="151"/>
      <c r="X97" s="217" t="b">
        <f t="shared" si="15"/>
        <v>0</v>
      </c>
      <c r="Y97" s="217" t="str">
        <f t="shared" si="16"/>
        <v/>
      </c>
      <c r="Z97" s="217" t="str">
        <f t="shared" si="17"/>
        <v/>
      </c>
      <c r="AA97" s="217" t="str">
        <f t="shared" si="18"/>
        <v>n.a.</v>
      </c>
      <c r="AB97" s="217" t="str">
        <f t="shared" si="19"/>
        <v>n.a.</v>
      </c>
      <c r="AC97" s="217" t="b">
        <f>IF(AA97=EUconst_NA,FALSE,COUNTIF($AA$66:AA97,AA97)&gt;1)</f>
        <v>0</v>
      </c>
      <c r="AD97" s="151"/>
    </row>
    <row r="98" spans="1:30" s="115" customFormat="1" ht="12.75" customHeight="1" x14ac:dyDescent="0.25">
      <c r="A98" s="151"/>
      <c r="C98" s="170"/>
      <c r="D98" s="232" t="s">
        <v>85</v>
      </c>
      <c r="E98" s="1192"/>
      <c r="F98" s="1192"/>
      <c r="G98" s="1192"/>
      <c r="H98" s="1192"/>
      <c r="I98" s="1193"/>
      <c r="J98" s="1193"/>
      <c r="K98" s="1193"/>
      <c r="L98" s="1194"/>
      <c r="M98" s="1194"/>
      <c r="N98" s="251" t="str">
        <f t="shared" si="12"/>
        <v/>
      </c>
      <c r="O98" s="142"/>
      <c r="Q98" s="151"/>
      <c r="R98" s="151"/>
      <c r="S98" s="151"/>
      <c r="T98" s="217" t="str">
        <f t="shared" si="13"/>
        <v>SourceStreamName_</v>
      </c>
      <c r="U98" s="217" t="str">
        <f t="shared" si="14"/>
        <v>SourceStreamClass_</v>
      </c>
      <c r="V98" s="151"/>
      <c r="W98" s="151"/>
      <c r="X98" s="217" t="b">
        <f t="shared" si="15"/>
        <v>0</v>
      </c>
      <c r="Y98" s="217" t="str">
        <f t="shared" si="16"/>
        <v/>
      </c>
      <c r="Z98" s="217" t="str">
        <f t="shared" si="17"/>
        <v/>
      </c>
      <c r="AA98" s="217" t="str">
        <f t="shared" si="18"/>
        <v>n.a.</v>
      </c>
      <c r="AB98" s="217" t="str">
        <f t="shared" si="19"/>
        <v>n.a.</v>
      </c>
      <c r="AC98" s="217" t="b">
        <f>IF(AA98=EUconst_NA,FALSE,COUNTIF($AA$66:AA98,AA98)&gt;1)</f>
        <v>0</v>
      </c>
      <c r="AD98" s="151"/>
    </row>
    <row r="99" spans="1:30" s="115" customFormat="1" ht="12.75" customHeight="1" x14ac:dyDescent="0.25">
      <c r="A99" s="151"/>
      <c r="C99" s="170"/>
      <c r="D99" s="232" t="s">
        <v>86</v>
      </c>
      <c r="E99" s="1192"/>
      <c r="F99" s="1192"/>
      <c r="G99" s="1192"/>
      <c r="H99" s="1192"/>
      <c r="I99" s="1193"/>
      <c r="J99" s="1193"/>
      <c r="K99" s="1193"/>
      <c r="L99" s="1194"/>
      <c r="M99" s="1194"/>
      <c r="N99" s="251" t="str">
        <f t="shared" si="12"/>
        <v/>
      </c>
      <c r="O99" s="142"/>
      <c r="Q99" s="151"/>
      <c r="R99" s="151"/>
      <c r="S99" s="151"/>
      <c r="T99" s="217" t="str">
        <f t="shared" si="13"/>
        <v>SourceStreamName_</v>
      </c>
      <c r="U99" s="217" t="str">
        <f t="shared" si="14"/>
        <v>SourceStreamClass_</v>
      </c>
      <c r="V99" s="151"/>
      <c r="W99" s="151"/>
      <c r="X99" s="217" t="b">
        <f t="shared" si="15"/>
        <v>0</v>
      </c>
      <c r="Y99" s="217" t="str">
        <f t="shared" si="16"/>
        <v/>
      </c>
      <c r="Z99" s="217" t="str">
        <f t="shared" si="17"/>
        <v/>
      </c>
      <c r="AA99" s="217" t="str">
        <f t="shared" si="18"/>
        <v>n.a.</v>
      </c>
      <c r="AB99" s="217" t="str">
        <f t="shared" si="19"/>
        <v>n.a.</v>
      </c>
      <c r="AC99" s="217" t="b">
        <f>IF(AA99=EUconst_NA,FALSE,COUNTIF($AA$66:AA99,AA99)&gt;1)</f>
        <v>0</v>
      </c>
      <c r="AD99" s="151"/>
    </row>
    <row r="100" spans="1:30" s="115" customFormat="1" ht="12.75" customHeight="1" x14ac:dyDescent="0.25">
      <c r="A100" s="151"/>
      <c r="C100" s="170"/>
      <c r="D100" s="232" t="s">
        <v>87</v>
      </c>
      <c r="E100" s="1192"/>
      <c r="F100" s="1192"/>
      <c r="G100" s="1192"/>
      <c r="H100" s="1192"/>
      <c r="I100" s="1193"/>
      <c r="J100" s="1193"/>
      <c r="K100" s="1193"/>
      <c r="L100" s="1194"/>
      <c r="M100" s="1194"/>
      <c r="N100" s="251" t="str">
        <f t="shared" si="12"/>
        <v/>
      </c>
      <c r="O100" s="142"/>
      <c r="Q100" s="151"/>
      <c r="R100" s="151"/>
      <c r="S100" s="151"/>
      <c r="T100" s="217" t="str">
        <f t="shared" si="13"/>
        <v>SourceStreamName_</v>
      </c>
      <c r="U100" s="217" t="str">
        <f t="shared" si="14"/>
        <v>SourceStreamClass_</v>
      </c>
      <c r="V100" s="151"/>
      <c r="W100" s="151"/>
      <c r="X100" s="217" t="b">
        <f t="shared" si="15"/>
        <v>0</v>
      </c>
      <c r="Y100" s="217" t="str">
        <f t="shared" si="16"/>
        <v/>
      </c>
      <c r="Z100" s="217" t="str">
        <f t="shared" si="17"/>
        <v/>
      </c>
      <c r="AA100" s="217" t="str">
        <f t="shared" si="18"/>
        <v>n.a.</v>
      </c>
      <c r="AB100" s="217" t="str">
        <f t="shared" si="19"/>
        <v>n.a.</v>
      </c>
      <c r="AC100" s="217" t="b">
        <f>IF(AA100=EUconst_NA,FALSE,COUNTIF($AA$66:AA100,AA100)&gt;1)</f>
        <v>0</v>
      </c>
      <c r="AD100" s="151"/>
    </row>
    <row r="101" spans="1:30" s="115" customFormat="1" ht="12.75" customHeight="1" x14ac:dyDescent="0.25">
      <c r="A101" s="151"/>
      <c r="C101" s="170"/>
      <c r="D101" s="232" t="s">
        <v>88</v>
      </c>
      <c r="E101" s="1192"/>
      <c r="F101" s="1192"/>
      <c r="G101" s="1192"/>
      <c r="H101" s="1192"/>
      <c r="I101" s="1193"/>
      <c r="J101" s="1193"/>
      <c r="K101" s="1193"/>
      <c r="L101" s="1194"/>
      <c r="M101" s="1194"/>
      <c r="N101" s="251" t="str">
        <f t="shared" si="12"/>
        <v/>
      </c>
      <c r="O101" s="142"/>
      <c r="Q101" s="151"/>
      <c r="R101" s="151"/>
      <c r="S101" s="151"/>
      <c r="T101" s="217" t="str">
        <f t="shared" si="13"/>
        <v>SourceStreamName_</v>
      </c>
      <c r="U101" s="217" t="str">
        <f t="shared" si="14"/>
        <v>SourceStreamClass_</v>
      </c>
      <c r="V101" s="151"/>
      <c r="W101" s="151"/>
      <c r="X101" s="217" t="b">
        <f t="shared" si="15"/>
        <v>0</v>
      </c>
      <c r="Y101" s="217" t="str">
        <f t="shared" si="16"/>
        <v/>
      </c>
      <c r="Z101" s="217" t="str">
        <f t="shared" si="17"/>
        <v/>
      </c>
      <c r="AA101" s="217" t="str">
        <f t="shared" si="18"/>
        <v>n.a.</v>
      </c>
      <c r="AB101" s="217" t="str">
        <f t="shared" si="19"/>
        <v>n.a.</v>
      </c>
      <c r="AC101" s="217" t="b">
        <f>IF(AA101=EUconst_NA,FALSE,COUNTIF($AA$66:AA101,AA101)&gt;1)</f>
        <v>0</v>
      </c>
      <c r="AD101" s="151"/>
    </row>
    <row r="102" spans="1:30" s="115" customFormat="1" ht="12.75" customHeight="1" x14ac:dyDescent="0.25">
      <c r="A102" s="151"/>
      <c r="C102" s="170"/>
      <c r="D102" s="232" t="s">
        <v>89</v>
      </c>
      <c r="E102" s="1192"/>
      <c r="F102" s="1192"/>
      <c r="G102" s="1192"/>
      <c r="H102" s="1192"/>
      <c r="I102" s="1193"/>
      <c r="J102" s="1193"/>
      <c r="K102" s="1193"/>
      <c r="L102" s="1194"/>
      <c r="M102" s="1194"/>
      <c r="N102" s="251" t="str">
        <f t="shared" si="12"/>
        <v/>
      </c>
      <c r="O102" s="142"/>
      <c r="Q102" s="151"/>
      <c r="R102" s="151"/>
      <c r="S102" s="151"/>
      <c r="T102" s="217" t="str">
        <f t="shared" si="13"/>
        <v>SourceStreamName_</v>
      </c>
      <c r="U102" s="217" t="str">
        <f t="shared" si="14"/>
        <v>SourceStreamClass_</v>
      </c>
      <c r="V102" s="151"/>
      <c r="W102" s="151"/>
      <c r="X102" s="217" t="b">
        <f t="shared" si="15"/>
        <v>0</v>
      </c>
      <c r="Y102" s="217" t="str">
        <f t="shared" si="16"/>
        <v/>
      </c>
      <c r="Z102" s="217" t="str">
        <f t="shared" si="17"/>
        <v/>
      </c>
      <c r="AA102" s="217" t="str">
        <f t="shared" si="18"/>
        <v>n.a.</v>
      </c>
      <c r="AB102" s="217" t="str">
        <f t="shared" si="19"/>
        <v>n.a.</v>
      </c>
      <c r="AC102" s="217" t="b">
        <f>IF(AA102=EUconst_NA,FALSE,COUNTIF($AA$66:AA102,AA102)&gt;1)</f>
        <v>0</v>
      </c>
      <c r="AD102" s="151"/>
    </row>
    <row r="103" spans="1:30" s="115" customFormat="1" ht="12.75" customHeight="1" x14ac:dyDescent="0.25">
      <c r="A103" s="151"/>
      <c r="C103" s="170"/>
      <c r="D103" s="232" t="s">
        <v>90</v>
      </c>
      <c r="E103" s="1192"/>
      <c r="F103" s="1192"/>
      <c r="G103" s="1192"/>
      <c r="H103" s="1192"/>
      <c r="I103" s="1193"/>
      <c r="J103" s="1193"/>
      <c r="K103" s="1193"/>
      <c r="L103" s="1194"/>
      <c r="M103" s="1194"/>
      <c r="N103" s="251" t="str">
        <f t="shared" si="12"/>
        <v/>
      </c>
      <c r="O103" s="142"/>
      <c r="Q103" s="151"/>
      <c r="R103" s="151"/>
      <c r="S103" s="151"/>
      <c r="T103" s="217" t="str">
        <f t="shared" si="13"/>
        <v>SourceStreamName_</v>
      </c>
      <c r="U103" s="217" t="str">
        <f t="shared" si="14"/>
        <v>SourceStreamClass_</v>
      </c>
      <c r="V103" s="151"/>
      <c r="W103" s="151"/>
      <c r="X103" s="217" t="b">
        <f t="shared" si="15"/>
        <v>0</v>
      </c>
      <c r="Y103" s="217" t="str">
        <f t="shared" si="16"/>
        <v/>
      </c>
      <c r="Z103" s="217" t="str">
        <f t="shared" si="17"/>
        <v/>
      </c>
      <c r="AA103" s="217" t="str">
        <f t="shared" si="18"/>
        <v>n.a.</v>
      </c>
      <c r="AB103" s="217" t="str">
        <f t="shared" si="19"/>
        <v>n.a.</v>
      </c>
      <c r="AC103" s="217" t="b">
        <f>IF(AA103=EUconst_NA,FALSE,COUNTIF($AA$66:AA103,AA103)&gt;1)</f>
        <v>0</v>
      </c>
      <c r="AD103" s="151"/>
    </row>
    <row r="104" spans="1:30" s="115" customFormat="1" ht="12.75" customHeight="1" x14ac:dyDescent="0.25">
      <c r="A104" s="151"/>
      <c r="C104" s="170"/>
      <c r="D104" s="232" t="s">
        <v>91</v>
      </c>
      <c r="E104" s="1192"/>
      <c r="F104" s="1192"/>
      <c r="G104" s="1192"/>
      <c r="H104" s="1192"/>
      <c r="I104" s="1193"/>
      <c r="J104" s="1193"/>
      <c r="K104" s="1193"/>
      <c r="L104" s="1194"/>
      <c r="M104" s="1194"/>
      <c r="N104" s="251" t="str">
        <f t="shared" si="12"/>
        <v/>
      </c>
      <c r="O104" s="142"/>
      <c r="Q104" s="151"/>
      <c r="R104" s="151"/>
      <c r="S104" s="151"/>
      <c r="T104" s="217" t="str">
        <f t="shared" si="13"/>
        <v>SourceStreamName_</v>
      </c>
      <c r="U104" s="217" t="str">
        <f t="shared" si="14"/>
        <v>SourceStreamClass_</v>
      </c>
      <c r="V104" s="151"/>
      <c r="W104" s="151"/>
      <c r="X104" s="217" t="b">
        <f t="shared" si="15"/>
        <v>0</v>
      </c>
      <c r="Y104" s="217" t="str">
        <f t="shared" si="16"/>
        <v/>
      </c>
      <c r="Z104" s="217" t="str">
        <f t="shared" si="17"/>
        <v/>
      </c>
      <c r="AA104" s="217" t="str">
        <f t="shared" si="18"/>
        <v>n.a.</v>
      </c>
      <c r="AB104" s="217" t="str">
        <f t="shared" si="19"/>
        <v>n.a.</v>
      </c>
      <c r="AC104" s="217" t="b">
        <f>IF(AA104=EUconst_NA,FALSE,COUNTIF($AA$66:AA104,AA104)&gt;1)</f>
        <v>0</v>
      </c>
      <c r="AD104" s="151"/>
    </row>
    <row r="105" spans="1:30" s="115" customFormat="1" ht="12.75" customHeight="1" x14ac:dyDescent="0.25">
      <c r="A105" s="151"/>
      <c r="C105" s="170"/>
      <c r="D105" s="232" t="s">
        <v>92</v>
      </c>
      <c r="E105" s="1192"/>
      <c r="F105" s="1192"/>
      <c r="G105" s="1192"/>
      <c r="H105" s="1192"/>
      <c r="I105" s="1193"/>
      <c r="J105" s="1193"/>
      <c r="K105" s="1193"/>
      <c r="L105" s="1194"/>
      <c r="M105" s="1194"/>
      <c r="N105" s="251" t="str">
        <f t="shared" si="12"/>
        <v/>
      </c>
      <c r="O105" s="142"/>
      <c r="Q105" s="151"/>
      <c r="R105" s="151"/>
      <c r="S105" s="151"/>
      <c r="T105" s="217" t="str">
        <f t="shared" si="13"/>
        <v>SourceStreamName_</v>
      </c>
      <c r="U105" s="217" t="str">
        <f t="shared" si="14"/>
        <v>SourceStreamClass_</v>
      </c>
      <c r="V105" s="151"/>
      <c r="W105" s="151"/>
      <c r="X105" s="217" t="b">
        <f t="shared" si="15"/>
        <v>0</v>
      </c>
      <c r="Y105" s="217" t="str">
        <f t="shared" si="16"/>
        <v/>
      </c>
      <c r="Z105" s="217" t="str">
        <f t="shared" si="17"/>
        <v/>
      </c>
      <c r="AA105" s="217" t="str">
        <f t="shared" si="18"/>
        <v>n.a.</v>
      </c>
      <c r="AB105" s="217" t="str">
        <f t="shared" si="19"/>
        <v>n.a.</v>
      </c>
      <c r="AC105" s="217" t="b">
        <f>IF(AA105=EUconst_NA,FALSE,COUNTIF($AA$66:AA105,AA105)&gt;1)</f>
        <v>0</v>
      </c>
      <c r="AD105" s="151"/>
    </row>
    <row r="106" spans="1:30" s="115" customFormat="1" ht="12.75" customHeight="1" x14ac:dyDescent="0.25">
      <c r="A106" s="151"/>
      <c r="C106" s="170"/>
      <c r="D106" s="232" t="s">
        <v>93</v>
      </c>
      <c r="E106" s="1192"/>
      <c r="F106" s="1192"/>
      <c r="G106" s="1192"/>
      <c r="H106" s="1192"/>
      <c r="I106" s="1193"/>
      <c r="J106" s="1193"/>
      <c r="K106" s="1193"/>
      <c r="L106" s="1194"/>
      <c r="M106" s="1194"/>
      <c r="N106" s="251" t="str">
        <f t="shared" si="12"/>
        <v/>
      </c>
      <c r="O106" s="142"/>
      <c r="Q106" s="151"/>
      <c r="R106" s="151"/>
      <c r="S106" s="151"/>
      <c r="T106" s="217" t="str">
        <f t="shared" si="13"/>
        <v>SourceStreamName_</v>
      </c>
      <c r="U106" s="217" t="str">
        <f t="shared" si="14"/>
        <v>SourceStreamClass_</v>
      </c>
      <c r="V106" s="151"/>
      <c r="W106" s="151"/>
      <c r="X106" s="217" t="b">
        <f t="shared" si="15"/>
        <v>0</v>
      </c>
      <c r="Y106" s="217" t="str">
        <f t="shared" si="16"/>
        <v/>
      </c>
      <c r="Z106" s="217" t="str">
        <f t="shared" si="17"/>
        <v/>
      </c>
      <c r="AA106" s="217" t="str">
        <f t="shared" si="18"/>
        <v>n.a.</v>
      </c>
      <c r="AB106" s="217" t="str">
        <f t="shared" si="19"/>
        <v>n.a.</v>
      </c>
      <c r="AC106" s="217" t="b">
        <f>IF(AA106=EUconst_NA,FALSE,COUNTIF($AA$66:AA106,AA106)&gt;1)</f>
        <v>0</v>
      </c>
      <c r="AD106" s="151"/>
    </row>
    <row r="107" spans="1:30" s="115" customFormat="1" ht="12.75" customHeight="1" x14ac:dyDescent="0.25">
      <c r="A107" s="151"/>
      <c r="C107" s="170"/>
      <c r="D107" s="232" t="s">
        <v>94</v>
      </c>
      <c r="E107" s="1192"/>
      <c r="F107" s="1192"/>
      <c r="G107" s="1192"/>
      <c r="H107" s="1192"/>
      <c r="I107" s="1193"/>
      <c r="J107" s="1193"/>
      <c r="K107" s="1193"/>
      <c r="L107" s="1194"/>
      <c r="M107" s="1194"/>
      <c r="N107" s="251" t="str">
        <f t="shared" si="12"/>
        <v/>
      </c>
      <c r="O107" s="142"/>
      <c r="Q107" s="151"/>
      <c r="R107" s="151"/>
      <c r="S107" s="151"/>
      <c r="T107" s="217" t="str">
        <f t="shared" si="13"/>
        <v>SourceStreamName_</v>
      </c>
      <c r="U107" s="217" t="str">
        <f t="shared" si="14"/>
        <v>SourceStreamClass_</v>
      </c>
      <c r="V107" s="151"/>
      <c r="W107" s="151"/>
      <c r="X107" s="217" t="b">
        <f t="shared" si="15"/>
        <v>0</v>
      </c>
      <c r="Y107" s="217" t="str">
        <f t="shared" si="16"/>
        <v/>
      </c>
      <c r="Z107" s="217" t="str">
        <f t="shared" si="17"/>
        <v/>
      </c>
      <c r="AA107" s="217" t="str">
        <f t="shared" si="18"/>
        <v>n.a.</v>
      </c>
      <c r="AB107" s="217" t="str">
        <f t="shared" si="19"/>
        <v>n.a.</v>
      </c>
      <c r="AC107" s="217" t="b">
        <f>IF(AA107=EUconst_NA,FALSE,COUNTIF($AA$66:AA107,AA107)&gt;1)</f>
        <v>0</v>
      </c>
      <c r="AD107" s="151"/>
    </row>
    <row r="108" spans="1:30" s="115" customFormat="1" ht="12.75" customHeight="1" x14ac:dyDescent="0.25">
      <c r="A108" s="151"/>
      <c r="C108" s="170"/>
      <c r="D108" s="232" t="s">
        <v>95</v>
      </c>
      <c r="E108" s="1192"/>
      <c r="F108" s="1192"/>
      <c r="G108" s="1192"/>
      <c r="H108" s="1192"/>
      <c r="I108" s="1193"/>
      <c r="J108" s="1193"/>
      <c r="K108" s="1193"/>
      <c r="L108" s="1194"/>
      <c r="M108" s="1194"/>
      <c r="N108" s="251" t="str">
        <f t="shared" si="12"/>
        <v/>
      </c>
      <c r="O108" s="142"/>
      <c r="Q108" s="151"/>
      <c r="R108" s="151"/>
      <c r="S108" s="151"/>
      <c r="T108" s="217" t="str">
        <f t="shared" si="13"/>
        <v>SourceStreamName_</v>
      </c>
      <c r="U108" s="217" t="str">
        <f t="shared" si="14"/>
        <v>SourceStreamClass_</v>
      </c>
      <c r="V108" s="151"/>
      <c r="W108" s="151"/>
      <c r="X108" s="217" t="b">
        <f t="shared" si="15"/>
        <v>0</v>
      </c>
      <c r="Y108" s="217" t="str">
        <f t="shared" si="16"/>
        <v/>
      </c>
      <c r="Z108" s="217" t="str">
        <f t="shared" si="17"/>
        <v/>
      </c>
      <c r="AA108" s="217" t="str">
        <f t="shared" si="18"/>
        <v>n.a.</v>
      </c>
      <c r="AB108" s="217" t="str">
        <f t="shared" si="19"/>
        <v>n.a.</v>
      </c>
      <c r="AC108" s="217" t="b">
        <f>IF(AA108=EUconst_NA,FALSE,COUNTIF($AA$66:AA108,AA108)&gt;1)</f>
        <v>0</v>
      </c>
      <c r="AD108" s="151"/>
    </row>
    <row r="109" spans="1:30" s="115" customFormat="1" ht="12.75" customHeight="1" x14ac:dyDescent="0.25">
      <c r="A109" s="151"/>
      <c r="C109" s="170"/>
      <c r="D109" s="232" t="s">
        <v>96</v>
      </c>
      <c r="E109" s="1192"/>
      <c r="F109" s="1192"/>
      <c r="G109" s="1192"/>
      <c r="H109" s="1192"/>
      <c r="I109" s="1193"/>
      <c r="J109" s="1193"/>
      <c r="K109" s="1193"/>
      <c r="L109" s="1194"/>
      <c r="M109" s="1194"/>
      <c r="N109" s="251" t="str">
        <f t="shared" si="12"/>
        <v/>
      </c>
      <c r="O109" s="142"/>
      <c r="Q109" s="151"/>
      <c r="R109" s="151"/>
      <c r="S109" s="151"/>
      <c r="T109" s="217" t="str">
        <f t="shared" si="13"/>
        <v>SourceStreamName_</v>
      </c>
      <c r="U109" s="217" t="str">
        <f t="shared" si="14"/>
        <v>SourceStreamClass_</v>
      </c>
      <c r="V109" s="151"/>
      <c r="W109" s="151"/>
      <c r="X109" s="217" t="b">
        <f t="shared" si="15"/>
        <v>0</v>
      </c>
      <c r="Y109" s="217" t="str">
        <f t="shared" si="16"/>
        <v/>
      </c>
      <c r="Z109" s="217" t="str">
        <f t="shared" si="17"/>
        <v/>
      </c>
      <c r="AA109" s="217" t="str">
        <f t="shared" si="18"/>
        <v>n.a.</v>
      </c>
      <c r="AB109" s="217" t="str">
        <f t="shared" si="19"/>
        <v>n.a.</v>
      </c>
      <c r="AC109" s="217" t="b">
        <f>IF(AA109=EUconst_NA,FALSE,COUNTIF($AA$66:AA109,AA109)&gt;1)</f>
        <v>0</v>
      </c>
      <c r="AD109" s="151"/>
    </row>
    <row r="110" spans="1:30" s="115" customFormat="1" ht="12.75" customHeight="1" x14ac:dyDescent="0.25">
      <c r="A110" s="151"/>
      <c r="C110" s="170"/>
      <c r="D110" s="232" t="s">
        <v>97</v>
      </c>
      <c r="E110" s="1192"/>
      <c r="F110" s="1192"/>
      <c r="G110" s="1192"/>
      <c r="H110" s="1192"/>
      <c r="I110" s="1193"/>
      <c r="J110" s="1193"/>
      <c r="K110" s="1193"/>
      <c r="L110" s="1194"/>
      <c r="M110" s="1194"/>
      <c r="N110" s="251" t="str">
        <f t="shared" si="12"/>
        <v/>
      </c>
      <c r="O110" s="142"/>
      <c r="Q110" s="151"/>
      <c r="R110" s="151"/>
      <c r="S110" s="151"/>
      <c r="T110" s="217" t="str">
        <f t="shared" si="13"/>
        <v>SourceStreamName_</v>
      </c>
      <c r="U110" s="217" t="str">
        <f t="shared" si="14"/>
        <v>SourceStreamClass_</v>
      </c>
      <c r="V110" s="151"/>
      <c r="W110" s="151"/>
      <c r="X110" s="217" t="b">
        <f t="shared" si="15"/>
        <v>0</v>
      </c>
      <c r="Y110" s="217" t="str">
        <f t="shared" si="16"/>
        <v/>
      </c>
      <c r="Z110" s="217" t="str">
        <f t="shared" si="17"/>
        <v/>
      </c>
      <c r="AA110" s="217" t="str">
        <f t="shared" si="18"/>
        <v>n.a.</v>
      </c>
      <c r="AB110" s="217" t="str">
        <f t="shared" si="19"/>
        <v>n.a.</v>
      </c>
      <c r="AC110" s="217" t="b">
        <f>IF(AA110=EUconst_NA,FALSE,COUNTIF($AA$66:AA110,AA110)&gt;1)</f>
        <v>0</v>
      </c>
      <c r="AD110" s="151"/>
    </row>
    <row r="111" spans="1:30" s="115" customFormat="1" ht="12.75" customHeight="1" x14ac:dyDescent="0.25">
      <c r="A111" s="151"/>
      <c r="C111" s="170"/>
      <c r="D111" s="232" t="s">
        <v>98</v>
      </c>
      <c r="E111" s="1192"/>
      <c r="F111" s="1192"/>
      <c r="G111" s="1192"/>
      <c r="H111" s="1192"/>
      <c r="I111" s="1193"/>
      <c r="J111" s="1193"/>
      <c r="K111" s="1193"/>
      <c r="L111" s="1194"/>
      <c r="M111" s="1194"/>
      <c r="N111" s="251" t="str">
        <f t="shared" si="12"/>
        <v/>
      </c>
      <c r="O111" s="142"/>
      <c r="Q111" s="151"/>
      <c r="R111" s="151"/>
      <c r="S111" s="151"/>
      <c r="T111" s="217" t="str">
        <f t="shared" si="13"/>
        <v>SourceStreamName_</v>
      </c>
      <c r="U111" s="217" t="str">
        <f t="shared" si="14"/>
        <v>SourceStreamClass_</v>
      </c>
      <c r="V111" s="151"/>
      <c r="W111" s="151"/>
      <c r="X111" s="217" t="b">
        <f t="shared" si="15"/>
        <v>0</v>
      </c>
      <c r="Y111" s="217" t="str">
        <f t="shared" si="16"/>
        <v/>
      </c>
      <c r="Z111" s="217" t="str">
        <f t="shared" si="17"/>
        <v/>
      </c>
      <c r="AA111" s="217" t="str">
        <f t="shared" si="18"/>
        <v>n.a.</v>
      </c>
      <c r="AB111" s="217" t="str">
        <f t="shared" si="19"/>
        <v>n.a.</v>
      </c>
      <c r="AC111" s="217" t="b">
        <f>IF(AA111=EUconst_NA,FALSE,COUNTIF($AA$66:AA111,AA111)&gt;1)</f>
        <v>0</v>
      </c>
      <c r="AD111" s="151"/>
    </row>
    <row r="112" spans="1:30" s="115" customFormat="1" ht="12.75" customHeight="1" x14ac:dyDescent="0.25">
      <c r="A112" s="151"/>
      <c r="C112" s="170"/>
      <c r="D112" s="232" t="s">
        <v>99</v>
      </c>
      <c r="E112" s="1192"/>
      <c r="F112" s="1192"/>
      <c r="G112" s="1192"/>
      <c r="H112" s="1192"/>
      <c r="I112" s="1193"/>
      <c r="J112" s="1193"/>
      <c r="K112" s="1193"/>
      <c r="L112" s="1194"/>
      <c r="M112" s="1194"/>
      <c r="N112" s="251" t="str">
        <f t="shared" si="12"/>
        <v/>
      </c>
      <c r="O112" s="142"/>
      <c r="Q112" s="151"/>
      <c r="R112" s="151"/>
      <c r="S112" s="151"/>
      <c r="T112" s="217" t="str">
        <f t="shared" si="13"/>
        <v>SourceStreamName_</v>
      </c>
      <c r="U112" s="217" t="str">
        <f t="shared" si="14"/>
        <v>SourceStreamClass_</v>
      </c>
      <c r="V112" s="151"/>
      <c r="W112" s="151"/>
      <c r="X112" s="217" t="b">
        <f t="shared" si="15"/>
        <v>0</v>
      </c>
      <c r="Y112" s="217" t="str">
        <f t="shared" si="16"/>
        <v/>
      </c>
      <c r="Z112" s="217" t="str">
        <f t="shared" si="17"/>
        <v/>
      </c>
      <c r="AA112" s="217" t="str">
        <f t="shared" si="18"/>
        <v>n.a.</v>
      </c>
      <c r="AB112" s="217" t="str">
        <f t="shared" si="19"/>
        <v>n.a.</v>
      </c>
      <c r="AC112" s="217" t="b">
        <f>IF(AA112=EUconst_NA,FALSE,COUNTIF($AA$66:AA112,AA112)&gt;1)</f>
        <v>0</v>
      </c>
      <c r="AD112" s="151"/>
    </row>
    <row r="113" spans="1:30" s="115" customFormat="1" ht="12.75" customHeight="1" x14ac:dyDescent="0.25">
      <c r="A113" s="151"/>
      <c r="C113" s="170"/>
      <c r="D113" s="232" t="s">
        <v>100</v>
      </c>
      <c r="E113" s="1192"/>
      <c r="F113" s="1192"/>
      <c r="G113" s="1192"/>
      <c r="H113" s="1192"/>
      <c r="I113" s="1193"/>
      <c r="J113" s="1193"/>
      <c r="K113" s="1193"/>
      <c r="L113" s="1194"/>
      <c r="M113" s="1194"/>
      <c r="N113" s="251" t="str">
        <f t="shared" si="12"/>
        <v/>
      </c>
      <c r="O113" s="142"/>
      <c r="Q113" s="151"/>
      <c r="R113" s="151"/>
      <c r="S113" s="151"/>
      <c r="T113" s="217" t="str">
        <f t="shared" si="13"/>
        <v>SourceStreamName_</v>
      </c>
      <c r="U113" s="217" t="str">
        <f t="shared" si="14"/>
        <v>SourceStreamClass_</v>
      </c>
      <c r="V113" s="151"/>
      <c r="W113" s="151"/>
      <c r="X113" s="217" t="b">
        <f t="shared" si="15"/>
        <v>0</v>
      </c>
      <c r="Y113" s="217" t="str">
        <f t="shared" si="16"/>
        <v/>
      </c>
      <c r="Z113" s="217" t="str">
        <f t="shared" si="17"/>
        <v/>
      </c>
      <c r="AA113" s="217" t="str">
        <f t="shared" si="18"/>
        <v>n.a.</v>
      </c>
      <c r="AB113" s="217" t="str">
        <f t="shared" si="19"/>
        <v>n.a.</v>
      </c>
      <c r="AC113" s="217" t="b">
        <f>IF(AA113=EUconst_NA,FALSE,COUNTIF($AA$66:AA113,AA113)&gt;1)</f>
        <v>0</v>
      </c>
      <c r="AD113" s="151"/>
    </row>
    <row r="114" spans="1:30" s="115" customFormat="1" ht="12.75" customHeight="1" x14ac:dyDescent="0.25">
      <c r="A114" s="151"/>
      <c r="C114" s="170"/>
      <c r="D114" s="232" t="s">
        <v>101</v>
      </c>
      <c r="E114" s="1192"/>
      <c r="F114" s="1192"/>
      <c r="G114" s="1192"/>
      <c r="H114" s="1192"/>
      <c r="I114" s="1193"/>
      <c r="J114" s="1193"/>
      <c r="K114" s="1193"/>
      <c r="L114" s="1194"/>
      <c r="M114" s="1194"/>
      <c r="N114" s="251" t="str">
        <f t="shared" si="12"/>
        <v/>
      </c>
      <c r="O114" s="142"/>
      <c r="Q114" s="151"/>
      <c r="R114" s="151"/>
      <c r="S114" s="151"/>
      <c r="T114" s="217" t="str">
        <f t="shared" si="13"/>
        <v>SourceStreamName_</v>
      </c>
      <c r="U114" s="217" t="str">
        <f t="shared" si="14"/>
        <v>SourceStreamClass_</v>
      </c>
      <c r="V114" s="151"/>
      <c r="W114" s="151"/>
      <c r="X114" s="217" t="b">
        <f t="shared" si="15"/>
        <v>0</v>
      </c>
      <c r="Y114" s="217" t="str">
        <f t="shared" si="16"/>
        <v/>
      </c>
      <c r="Z114" s="217" t="str">
        <f t="shared" si="17"/>
        <v/>
      </c>
      <c r="AA114" s="217" t="str">
        <f t="shared" si="18"/>
        <v>n.a.</v>
      </c>
      <c r="AB114" s="217" t="str">
        <f t="shared" si="19"/>
        <v>n.a.</v>
      </c>
      <c r="AC114" s="217" t="b">
        <f>IF(AA114=EUconst_NA,FALSE,COUNTIF($AA$66:AA114,AA114)&gt;1)</f>
        <v>0</v>
      </c>
      <c r="AD114" s="151"/>
    </row>
    <row r="115" spans="1:30" s="115" customFormat="1" ht="12.75" customHeight="1" x14ac:dyDescent="0.25">
      <c r="A115" s="151"/>
      <c r="C115" s="170"/>
      <c r="D115" s="232" t="s">
        <v>102</v>
      </c>
      <c r="E115" s="1192"/>
      <c r="F115" s="1192"/>
      <c r="G115" s="1192"/>
      <c r="H115" s="1192"/>
      <c r="I115" s="1193"/>
      <c r="J115" s="1193"/>
      <c r="K115" s="1193"/>
      <c r="L115" s="1194"/>
      <c r="M115" s="1194"/>
      <c r="N115" s="251" t="str">
        <f t="shared" si="12"/>
        <v/>
      </c>
      <c r="O115" s="142"/>
      <c r="Q115" s="151"/>
      <c r="R115" s="151"/>
      <c r="S115" s="151"/>
      <c r="T115" s="217" t="str">
        <f t="shared" si="13"/>
        <v>SourceStreamName_</v>
      </c>
      <c r="U115" s="217" t="str">
        <f t="shared" si="14"/>
        <v>SourceStreamClass_</v>
      </c>
      <c r="V115" s="151"/>
      <c r="W115" s="151"/>
      <c r="X115" s="217" t="b">
        <f t="shared" si="15"/>
        <v>0</v>
      </c>
      <c r="Y115" s="217" t="str">
        <f t="shared" si="16"/>
        <v/>
      </c>
      <c r="Z115" s="217" t="str">
        <f t="shared" si="17"/>
        <v/>
      </c>
      <c r="AA115" s="217" t="str">
        <f t="shared" si="18"/>
        <v>n.a.</v>
      </c>
      <c r="AB115" s="217" t="str">
        <f t="shared" si="19"/>
        <v>n.a.</v>
      </c>
      <c r="AC115" s="217" t="b">
        <f>IF(AA115=EUconst_NA,FALSE,COUNTIF($AA$66:AA115,AA115)&gt;1)</f>
        <v>0</v>
      </c>
      <c r="AD115" s="151"/>
    </row>
    <row r="116" spans="1:30" s="115" customFormat="1" ht="12.75" customHeight="1" x14ac:dyDescent="0.25">
      <c r="A116" s="151"/>
      <c r="C116" s="170"/>
      <c r="D116" s="232" t="s">
        <v>103</v>
      </c>
      <c r="E116" s="1192"/>
      <c r="F116" s="1192"/>
      <c r="G116" s="1192"/>
      <c r="H116" s="1192"/>
      <c r="I116" s="1193"/>
      <c r="J116" s="1193"/>
      <c r="K116" s="1193"/>
      <c r="L116" s="1194"/>
      <c r="M116" s="1194"/>
      <c r="N116" s="251" t="str">
        <f t="shared" si="12"/>
        <v/>
      </c>
      <c r="O116" s="142"/>
      <c r="Q116" s="151"/>
      <c r="R116" s="151"/>
      <c r="S116" s="151"/>
      <c r="T116" s="217" t="str">
        <f t="shared" si="13"/>
        <v>SourceStreamName_</v>
      </c>
      <c r="U116" s="217" t="str">
        <f t="shared" si="14"/>
        <v>SourceStreamClass_</v>
      </c>
      <c r="V116" s="151"/>
      <c r="W116" s="151"/>
      <c r="X116" s="217" t="b">
        <f t="shared" si="15"/>
        <v>0</v>
      </c>
      <c r="Y116" s="217" t="str">
        <f t="shared" si="16"/>
        <v/>
      </c>
      <c r="Z116" s="217" t="str">
        <f t="shared" si="17"/>
        <v/>
      </c>
      <c r="AA116" s="217" t="str">
        <f t="shared" si="18"/>
        <v>n.a.</v>
      </c>
      <c r="AB116" s="217" t="str">
        <f t="shared" si="19"/>
        <v>n.a.</v>
      </c>
      <c r="AC116" s="217" t="b">
        <f>IF(AA116=EUconst_NA,FALSE,COUNTIF($AA$66:AA116,AA116)&gt;1)</f>
        <v>0</v>
      </c>
      <c r="AD116" s="151"/>
    </row>
    <row r="117" spans="1:30" s="115" customFormat="1" ht="5.15" customHeight="1" x14ac:dyDescent="0.3">
      <c r="A117" s="137"/>
      <c r="C117" s="170"/>
      <c r="D117" s="194"/>
      <c r="M117" s="222"/>
      <c r="O117" s="142"/>
      <c r="Q117" s="151"/>
      <c r="R117" s="151"/>
      <c r="S117" s="151"/>
      <c r="T117" s="151"/>
      <c r="U117" s="151"/>
      <c r="V117" s="990"/>
      <c r="W117" s="151"/>
      <c r="X117" s="151"/>
      <c r="Y117" s="151"/>
      <c r="Z117" s="151"/>
      <c r="AA117" s="151"/>
      <c r="AB117" s="151"/>
      <c r="AC117" s="151"/>
      <c r="AD117" s="151"/>
    </row>
    <row r="118" spans="1:30" s="68" customFormat="1" ht="12.75" customHeight="1" x14ac:dyDescent="0.25">
      <c r="A118" s="152"/>
      <c r="C118" s="218"/>
      <c r="D118" s="85" t="s">
        <v>7</v>
      </c>
      <c r="E118" s="1242" t="str">
        <f>Translations!$B$346</f>
        <v>Attributing means through which fuels are released for consumption to fuel streams</v>
      </c>
      <c r="F118" s="1242"/>
      <c r="G118" s="1242"/>
      <c r="H118" s="1242"/>
      <c r="I118" s="1242"/>
      <c r="J118" s="1242"/>
      <c r="K118" s="1242"/>
      <c r="L118" s="1242"/>
      <c r="M118" s="1242"/>
      <c r="N118" s="1242"/>
      <c r="O118" s="64"/>
      <c r="Q118" s="219"/>
      <c r="R118" s="219"/>
      <c r="S118" s="152"/>
      <c r="T118" s="152"/>
      <c r="U118" s="152"/>
      <c r="V118" s="152"/>
      <c r="W118" s="151"/>
      <c r="X118" s="151"/>
      <c r="Y118" s="151"/>
      <c r="Z118" s="151"/>
      <c r="AA118" s="151"/>
      <c r="AB118" s="152"/>
      <c r="AC118" s="152"/>
      <c r="AD118" s="152"/>
    </row>
    <row r="119" spans="1:30" s="115" customFormat="1" ht="25.5" customHeight="1" x14ac:dyDescent="0.25">
      <c r="A119" s="151"/>
      <c r="C119" s="170"/>
      <c r="D119" s="194"/>
      <c r="E119" s="1090" t="str">
        <f>Translations!$B$347</f>
        <v>Please select from the respective drop-down lists the relevant means through which fuels are released for consumption: the physical means (pipelines, trucks, etc.) as well as the types of intermediary consumers (fuel traders, etc.), as provided under sections 1.a and 1.b. If more than one means is relevant, please enter e.g. "MR1, MR2", "IP3, IP5", respectively.</v>
      </c>
      <c r="F119" s="1090"/>
      <c r="G119" s="1090"/>
      <c r="H119" s="1090"/>
      <c r="I119" s="1090"/>
      <c r="J119" s="1090"/>
      <c r="K119" s="1090"/>
      <c r="L119" s="1090"/>
      <c r="M119" s="1090"/>
      <c r="N119" s="1090"/>
      <c r="O119" s="142"/>
      <c r="Q119" s="220"/>
      <c r="R119" s="220"/>
      <c r="S119" s="151"/>
      <c r="T119" s="151"/>
      <c r="U119" s="151"/>
      <c r="V119" s="151"/>
      <c r="W119" s="151"/>
      <c r="X119" s="151"/>
      <c r="Y119" s="151"/>
      <c r="Z119" s="151"/>
      <c r="AA119" s="151"/>
      <c r="AB119" s="151"/>
      <c r="AC119" s="151"/>
      <c r="AD119" s="151"/>
    </row>
    <row r="120" spans="1:30" s="115" customFormat="1" ht="12.75" customHeight="1" x14ac:dyDescent="0.25">
      <c r="A120" s="151"/>
      <c r="C120" s="170"/>
      <c r="D120" s="194"/>
      <c r="E120" s="1197" t="str">
        <f>Translations!$B$325</f>
        <v>The first two lines show examples for how this section should be completed. Please ensure consistency with the relevant sections in the monitoring plan.</v>
      </c>
      <c r="F120" s="1198"/>
      <c r="G120" s="1198"/>
      <c r="H120" s="1198"/>
      <c r="I120" s="1198"/>
      <c r="J120" s="1198"/>
      <c r="K120" s="1198"/>
      <c r="L120" s="1198"/>
      <c r="M120" s="1198"/>
      <c r="N120" s="1198"/>
      <c r="O120" s="142"/>
      <c r="Q120" s="220"/>
      <c r="R120" s="220"/>
      <c r="S120" s="151"/>
      <c r="T120" s="151"/>
      <c r="U120" s="151"/>
      <c r="V120" s="151"/>
      <c r="W120" s="151"/>
      <c r="X120" s="151"/>
      <c r="Y120" s="151"/>
      <c r="Z120" s="151"/>
      <c r="AA120" s="151"/>
      <c r="AB120" s="151"/>
      <c r="AC120" s="151"/>
      <c r="AD120" s="151"/>
    </row>
    <row r="121" spans="1:30" s="115" customFormat="1" ht="5.15" customHeight="1" x14ac:dyDescent="0.25">
      <c r="A121" s="151"/>
      <c r="C121" s="170"/>
      <c r="D121" s="194"/>
      <c r="E121" s="252"/>
      <c r="F121" s="253"/>
      <c r="G121" s="253"/>
      <c r="H121" s="253"/>
      <c r="I121" s="253"/>
      <c r="J121" s="132"/>
      <c r="K121" s="254"/>
      <c r="L121" s="254"/>
      <c r="M121" s="254"/>
      <c r="N121" s="132"/>
      <c r="O121" s="142"/>
      <c r="Q121" s="220"/>
      <c r="R121" s="220"/>
      <c r="S121" s="151"/>
      <c r="T121" s="151"/>
      <c r="U121" s="151"/>
      <c r="V121" s="151"/>
      <c r="W121" s="151"/>
      <c r="X121" s="151"/>
      <c r="Y121" s="151"/>
      <c r="Z121" s="151"/>
      <c r="AA121" s="151"/>
      <c r="AB121" s="151"/>
      <c r="AC121" s="151"/>
      <c r="AD121" s="151"/>
    </row>
    <row r="122" spans="1:30" s="115" customFormat="1" ht="27" customHeight="1" x14ac:dyDescent="0.25">
      <c r="A122" s="151"/>
      <c r="C122" s="170"/>
      <c r="D122" s="244" t="s">
        <v>47</v>
      </c>
      <c r="E122" s="1199" t="str">
        <f>Translations!$B$212</f>
        <v>Fuel stream full name (name + type)</v>
      </c>
      <c r="F122" s="1200"/>
      <c r="G122" s="1200"/>
      <c r="H122" s="1200"/>
      <c r="I122" s="1200"/>
      <c r="J122" s="1201"/>
      <c r="K122" s="1227" t="str">
        <f>Translations!$B$208</f>
        <v>Means through which released for consumption</v>
      </c>
      <c r="L122" s="1239"/>
      <c r="M122" s="1227" t="str">
        <f>Translations!$B$209</f>
        <v>Intermediary party through which released for consumption</v>
      </c>
      <c r="N122" s="1227"/>
      <c r="O122" s="142"/>
      <c r="Q122" s="151"/>
      <c r="R122" s="151"/>
      <c r="S122" s="151"/>
      <c r="T122" s="137" t="s">
        <v>104</v>
      </c>
      <c r="U122" s="151"/>
      <c r="V122" s="151"/>
      <c r="W122" s="151"/>
      <c r="X122" s="151"/>
      <c r="Y122" s="151"/>
      <c r="Z122" s="255"/>
      <c r="AA122" s="255"/>
      <c r="AB122" s="255"/>
      <c r="AC122" s="255"/>
      <c r="AD122" s="151"/>
    </row>
    <row r="123" spans="1:30" s="115" customFormat="1" ht="12.75" customHeight="1" x14ac:dyDescent="0.25">
      <c r="A123" s="137"/>
      <c r="C123" s="170"/>
      <c r="D123" s="256" t="s">
        <v>48</v>
      </c>
      <c r="E123" s="1233" t="str">
        <f>Translations!$B$348</f>
        <v>F1. Gaseous - Natural Gas</v>
      </c>
      <c r="F123" s="1234"/>
      <c r="G123" s="1234"/>
      <c r="H123" s="1234"/>
      <c r="I123" s="1234"/>
      <c r="J123" s="1235"/>
      <c r="K123" s="1240" t="str">
        <f>Translations!$B$210</f>
        <v>MR1: Pipelines</v>
      </c>
      <c r="L123" s="1241"/>
      <c r="M123" s="1240" t="str">
        <f>Translations!$B$349</f>
        <v>IP6: Directly connected to end consumers</v>
      </c>
      <c r="N123" s="1241"/>
      <c r="O123" s="142"/>
      <c r="Q123" s="991"/>
      <c r="R123" s="151"/>
      <c r="S123" s="151"/>
      <c r="T123" s="137"/>
      <c r="U123" s="151"/>
      <c r="V123" s="151"/>
      <c r="W123" s="151"/>
      <c r="X123" s="151"/>
      <c r="Y123" s="151"/>
      <c r="Z123" s="255"/>
      <c r="AA123" s="255"/>
      <c r="AB123" s="255"/>
      <c r="AC123" s="255"/>
      <c r="AD123" s="151"/>
    </row>
    <row r="124" spans="1:30" s="115" customFormat="1" ht="13.5" customHeight="1" thickBot="1" x14ac:dyDescent="0.3">
      <c r="A124" s="137"/>
      <c r="C124" s="170"/>
      <c r="D124" s="258" t="s">
        <v>49</v>
      </c>
      <c r="E124" s="1236" t="str">
        <f>Translations!$B$350</f>
        <v>F3. Liquid - Motor Gasoline</v>
      </c>
      <c r="F124" s="1237"/>
      <c r="G124" s="1237"/>
      <c r="H124" s="1237"/>
      <c r="I124" s="1237"/>
      <c r="J124" s="1238"/>
      <c r="K124" s="1231" t="str">
        <f>Translations!$B$211</f>
        <v>MR2: Trucks</v>
      </c>
      <c r="L124" s="1232"/>
      <c r="M124" s="1231" t="str">
        <f>Translations!$B$351</f>
        <v>IP1, IP2</v>
      </c>
      <c r="N124" s="1232"/>
      <c r="O124" s="142"/>
      <c r="Q124" s="991"/>
      <c r="R124" s="151"/>
      <c r="S124" s="151"/>
      <c r="T124" s="137"/>
      <c r="U124" s="151"/>
      <c r="V124" s="151"/>
      <c r="W124" s="151"/>
      <c r="X124" s="151"/>
      <c r="Y124" s="255"/>
      <c r="Z124" s="255"/>
      <c r="AA124" s="255"/>
      <c r="AB124" s="255"/>
      <c r="AC124" s="255"/>
      <c r="AD124" s="151"/>
    </row>
    <row r="125" spans="1:30" s="115" customFormat="1" ht="12.75" customHeight="1" x14ac:dyDescent="0.25">
      <c r="A125" s="151"/>
      <c r="C125" s="170"/>
      <c r="D125" s="260" t="str">
        <f t="shared" ref="D125:D148" si="20">IF(ISBLANK(I67),"",D67)</f>
        <v/>
      </c>
      <c r="E125" s="1187" t="str">
        <f t="shared" ref="E125:E156" si="21">IF(AB67=EUconst_NA,"",AB67)</f>
        <v/>
      </c>
      <c r="F125" s="1188"/>
      <c r="G125" s="1188"/>
      <c r="H125" s="1188"/>
      <c r="I125" s="1188"/>
      <c r="J125" s="1189"/>
      <c r="K125" s="1190"/>
      <c r="L125" s="1191"/>
      <c r="M125" s="1190"/>
      <c r="N125" s="1191"/>
      <c r="O125" s="142"/>
      <c r="Q125" s="151"/>
      <c r="R125" s="261" t="str">
        <f t="shared" ref="R125:R156" si="22">EUconst_CNTR_SourceCategory&amp;D67</f>
        <v>SourceCategory_F1</v>
      </c>
      <c r="S125" s="151"/>
      <c r="T125" s="217" t="b">
        <f t="shared" ref="T125:T148" si="23">(E125&lt;&gt;"")</f>
        <v>0</v>
      </c>
      <c r="U125" s="261" t="str">
        <f t="shared" ref="U125:U148" si="24">EUconst_CNTR_SourceCategory&amp;N125</f>
        <v>SourceCategory_</v>
      </c>
      <c r="V125" s="151"/>
      <c r="W125" s="151"/>
      <c r="X125" s="262" t="str">
        <f t="shared" ref="X125:X148" si="25">IF(ISBLANK(L125),"",ABS(L125))</f>
        <v/>
      </c>
      <c r="Y125" s="255"/>
      <c r="Z125" s="255"/>
      <c r="AA125" s="255"/>
      <c r="AB125" s="255"/>
      <c r="AC125" s="255"/>
      <c r="AD125" s="217" t="b">
        <f>AND(COUNTA($E$67:$H$116)&gt;0,T125=FALSE)</f>
        <v>0</v>
      </c>
    </row>
    <row r="126" spans="1:30" s="115" customFormat="1" ht="12.75" customHeight="1" x14ac:dyDescent="0.25">
      <c r="A126" s="151"/>
      <c r="C126" s="170"/>
      <c r="D126" s="260" t="str">
        <f t="shared" si="20"/>
        <v/>
      </c>
      <c r="E126" s="1187" t="str">
        <f t="shared" si="21"/>
        <v/>
      </c>
      <c r="F126" s="1188"/>
      <c r="G126" s="1188"/>
      <c r="H126" s="1188"/>
      <c r="I126" s="1188"/>
      <c r="J126" s="1189"/>
      <c r="K126" s="1190"/>
      <c r="L126" s="1191"/>
      <c r="M126" s="1190"/>
      <c r="N126" s="1191"/>
      <c r="O126" s="142"/>
      <c r="Q126" s="151"/>
      <c r="R126" s="261" t="str">
        <f t="shared" si="22"/>
        <v>SourceCategory_F2</v>
      </c>
      <c r="S126" s="151"/>
      <c r="T126" s="217" t="b">
        <f t="shared" si="23"/>
        <v>0</v>
      </c>
      <c r="U126" s="261" t="str">
        <f t="shared" si="24"/>
        <v>SourceCategory_</v>
      </c>
      <c r="V126" s="151"/>
      <c r="W126" s="151"/>
      <c r="X126" s="263" t="str">
        <f t="shared" si="25"/>
        <v/>
      </c>
      <c r="Y126" s="255"/>
      <c r="Z126" s="255"/>
      <c r="AA126" s="255"/>
      <c r="AB126" s="255"/>
      <c r="AC126" s="255"/>
      <c r="AD126" s="217" t="b">
        <f t="shared" ref="AD126:AD148" si="26">AND(COUNTA($E$67:$H$116)&gt;0,T126=FALSE)</f>
        <v>0</v>
      </c>
    </row>
    <row r="127" spans="1:30" s="115" customFormat="1" ht="12.75" customHeight="1" x14ac:dyDescent="0.25">
      <c r="A127" s="151"/>
      <c r="C127" s="170"/>
      <c r="D127" s="260" t="str">
        <f t="shared" si="20"/>
        <v/>
      </c>
      <c r="E127" s="1187" t="str">
        <f t="shared" si="21"/>
        <v/>
      </c>
      <c r="F127" s="1188"/>
      <c r="G127" s="1188"/>
      <c r="H127" s="1188"/>
      <c r="I127" s="1188"/>
      <c r="J127" s="1189"/>
      <c r="K127" s="1190"/>
      <c r="L127" s="1191"/>
      <c r="M127" s="1190"/>
      <c r="N127" s="1191"/>
      <c r="O127" s="142"/>
      <c r="Q127" s="151"/>
      <c r="R127" s="261" t="str">
        <f t="shared" si="22"/>
        <v>SourceCategory_F3</v>
      </c>
      <c r="S127" s="151"/>
      <c r="T127" s="217" t="b">
        <f t="shared" si="23"/>
        <v>0</v>
      </c>
      <c r="U127" s="261" t="str">
        <f t="shared" si="24"/>
        <v>SourceCategory_</v>
      </c>
      <c r="V127" s="151"/>
      <c r="W127" s="151"/>
      <c r="X127" s="263" t="str">
        <f t="shared" si="25"/>
        <v/>
      </c>
      <c r="Y127" s="255"/>
      <c r="Z127" s="255"/>
      <c r="AA127" s="255"/>
      <c r="AB127" s="255"/>
      <c r="AC127" s="255"/>
      <c r="AD127" s="217" t="b">
        <f t="shared" si="26"/>
        <v>0</v>
      </c>
    </row>
    <row r="128" spans="1:30" s="115" customFormat="1" ht="12.75" customHeight="1" x14ac:dyDescent="0.25">
      <c r="A128" s="151"/>
      <c r="C128" s="170"/>
      <c r="D128" s="260" t="str">
        <f t="shared" si="20"/>
        <v/>
      </c>
      <c r="E128" s="1187" t="str">
        <f t="shared" si="21"/>
        <v/>
      </c>
      <c r="F128" s="1188"/>
      <c r="G128" s="1188"/>
      <c r="H128" s="1188"/>
      <c r="I128" s="1188"/>
      <c r="J128" s="1189"/>
      <c r="K128" s="1190"/>
      <c r="L128" s="1191"/>
      <c r="M128" s="1190"/>
      <c r="N128" s="1191"/>
      <c r="O128" s="142"/>
      <c r="Q128" s="264"/>
      <c r="R128" s="261" t="str">
        <f t="shared" si="22"/>
        <v>SourceCategory_F4</v>
      </c>
      <c r="S128" s="151"/>
      <c r="T128" s="217" t="b">
        <f t="shared" si="23"/>
        <v>0</v>
      </c>
      <c r="U128" s="261" t="str">
        <f t="shared" si="24"/>
        <v>SourceCategory_</v>
      </c>
      <c r="V128" s="151"/>
      <c r="W128" s="151"/>
      <c r="X128" s="263" t="str">
        <f t="shared" si="25"/>
        <v/>
      </c>
      <c r="Y128" s="151"/>
      <c r="Z128" s="255"/>
      <c r="AA128" s="255"/>
      <c r="AB128" s="255"/>
      <c r="AC128" s="255"/>
      <c r="AD128" s="217" t="b">
        <f t="shared" si="26"/>
        <v>0</v>
      </c>
    </row>
    <row r="129" spans="1:30" s="115" customFormat="1" ht="12.75" customHeight="1" x14ac:dyDescent="0.25">
      <c r="A129" s="151"/>
      <c r="C129" s="170"/>
      <c r="D129" s="260" t="str">
        <f t="shared" si="20"/>
        <v/>
      </c>
      <c r="E129" s="1187" t="str">
        <f t="shared" si="21"/>
        <v/>
      </c>
      <c r="F129" s="1188"/>
      <c r="G129" s="1188"/>
      <c r="H129" s="1188"/>
      <c r="I129" s="1188"/>
      <c r="J129" s="1189"/>
      <c r="K129" s="1190"/>
      <c r="L129" s="1191"/>
      <c r="M129" s="1190"/>
      <c r="N129" s="1191"/>
      <c r="O129" s="142"/>
      <c r="Q129" s="264"/>
      <c r="R129" s="261" t="str">
        <f t="shared" si="22"/>
        <v>SourceCategory_F5</v>
      </c>
      <c r="S129" s="151"/>
      <c r="T129" s="217" t="b">
        <f t="shared" si="23"/>
        <v>0</v>
      </c>
      <c r="U129" s="261" t="str">
        <f t="shared" si="24"/>
        <v>SourceCategory_</v>
      </c>
      <c r="V129" s="151"/>
      <c r="W129" s="151"/>
      <c r="X129" s="263" t="str">
        <f t="shared" si="25"/>
        <v/>
      </c>
      <c r="Y129" s="151"/>
      <c r="Z129" s="255"/>
      <c r="AA129" s="255"/>
      <c r="AB129" s="255"/>
      <c r="AC129" s="255"/>
      <c r="AD129" s="217" t="b">
        <f t="shared" si="26"/>
        <v>0</v>
      </c>
    </row>
    <row r="130" spans="1:30" s="115" customFormat="1" ht="12.75" customHeight="1" x14ac:dyDescent="0.25">
      <c r="A130" s="151"/>
      <c r="C130" s="170"/>
      <c r="D130" s="260" t="str">
        <f t="shared" si="20"/>
        <v/>
      </c>
      <c r="E130" s="1187" t="str">
        <f t="shared" si="21"/>
        <v/>
      </c>
      <c r="F130" s="1188"/>
      <c r="G130" s="1188"/>
      <c r="H130" s="1188"/>
      <c r="I130" s="1188"/>
      <c r="J130" s="1189"/>
      <c r="K130" s="1190"/>
      <c r="L130" s="1191"/>
      <c r="M130" s="1190"/>
      <c r="N130" s="1191"/>
      <c r="O130" s="142"/>
      <c r="Q130" s="264"/>
      <c r="R130" s="261" t="str">
        <f t="shared" si="22"/>
        <v>SourceCategory_F6</v>
      </c>
      <c r="S130" s="151"/>
      <c r="T130" s="217" t="b">
        <f t="shared" si="23"/>
        <v>0</v>
      </c>
      <c r="U130" s="261" t="str">
        <f t="shared" si="24"/>
        <v>SourceCategory_</v>
      </c>
      <c r="V130" s="151"/>
      <c r="W130" s="151"/>
      <c r="X130" s="263" t="str">
        <f t="shared" si="25"/>
        <v/>
      </c>
      <c r="Y130" s="151"/>
      <c r="Z130" s="255"/>
      <c r="AA130" s="255"/>
      <c r="AB130" s="255"/>
      <c r="AC130" s="255"/>
      <c r="AD130" s="217" t="b">
        <f t="shared" si="26"/>
        <v>0</v>
      </c>
    </row>
    <row r="131" spans="1:30" s="115" customFormat="1" ht="12.75" customHeight="1" x14ac:dyDescent="0.25">
      <c r="A131" s="151"/>
      <c r="C131" s="170"/>
      <c r="D131" s="260" t="str">
        <f t="shared" si="20"/>
        <v/>
      </c>
      <c r="E131" s="1187" t="str">
        <f t="shared" si="21"/>
        <v/>
      </c>
      <c r="F131" s="1188"/>
      <c r="G131" s="1188"/>
      <c r="H131" s="1188"/>
      <c r="I131" s="1188"/>
      <c r="J131" s="1189"/>
      <c r="K131" s="1190"/>
      <c r="L131" s="1191"/>
      <c r="M131" s="1190"/>
      <c r="N131" s="1191"/>
      <c r="O131" s="142"/>
      <c r="Q131" s="264"/>
      <c r="R131" s="261" t="str">
        <f t="shared" si="22"/>
        <v>SourceCategory_F7</v>
      </c>
      <c r="S131" s="151"/>
      <c r="T131" s="217" t="b">
        <f t="shared" si="23"/>
        <v>0</v>
      </c>
      <c r="U131" s="261" t="str">
        <f t="shared" si="24"/>
        <v>SourceCategory_</v>
      </c>
      <c r="V131" s="151"/>
      <c r="W131" s="151"/>
      <c r="X131" s="263" t="str">
        <f t="shared" si="25"/>
        <v/>
      </c>
      <c r="Y131" s="151"/>
      <c r="Z131" s="151"/>
      <c r="AA131" s="151"/>
      <c r="AB131" s="151"/>
      <c r="AC131" s="151"/>
      <c r="AD131" s="217" t="b">
        <f t="shared" si="26"/>
        <v>0</v>
      </c>
    </row>
    <row r="132" spans="1:30" s="115" customFormat="1" ht="12.75" customHeight="1" x14ac:dyDescent="0.25">
      <c r="A132" s="151"/>
      <c r="C132" s="170"/>
      <c r="D132" s="260" t="str">
        <f t="shared" si="20"/>
        <v/>
      </c>
      <c r="E132" s="1187" t="str">
        <f t="shared" si="21"/>
        <v/>
      </c>
      <c r="F132" s="1188"/>
      <c r="G132" s="1188"/>
      <c r="H132" s="1188"/>
      <c r="I132" s="1188"/>
      <c r="J132" s="1189"/>
      <c r="K132" s="1190"/>
      <c r="L132" s="1191"/>
      <c r="M132" s="1190"/>
      <c r="N132" s="1191"/>
      <c r="O132" s="142"/>
      <c r="Q132" s="264"/>
      <c r="R132" s="261" t="str">
        <f t="shared" si="22"/>
        <v>SourceCategory_F8</v>
      </c>
      <c r="S132" s="151"/>
      <c r="T132" s="217" t="b">
        <f t="shared" si="23"/>
        <v>0</v>
      </c>
      <c r="U132" s="261" t="str">
        <f t="shared" si="24"/>
        <v>SourceCategory_</v>
      </c>
      <c r="V132" s="151"/>
      <c r="W132" s="151"/>
      <c r="X132" s="263" t="str">
        <f t="shared" si="25"/>
        <v/>
      </c>
      <c r="Y132" s="151"/>
      <c r="Z132" s="151"/>
      <c r="AA132" s="151"/>
      <c r="AB132" s="151"/>
      <c r="AC132" s="151"/>
      <c r="AD132" s="217" t="b">
        <f t="shared" si="26"/>
        <v>0</v>
      </c>
    </row>
    <row r="133" spans="1:30" s="115" customFormat="1" ht="12.75" customHeight="1" x14ac:dyDescent="0.25">
      <c r="A133" s="151"/>
      <c r="C133" s="170"/>
      <c r="D133" s="260" t="str">
        <f t="shared" si="20"/>
        <v/>
      </c>
      <c r="E133" s="1187" t="str">
        <f t="shared" si="21"/>
        <v/>
      </c>
      <c r="F133" s="1188"/>
      <c r="G133" s="1188"/>
      <c r="H133" s="1188"/>
      <c r="I133" s="1188"/>
      <c r="J133" s="1189"/>
      <c r="K133" s="1190"/>
      <c r="L133" s="1191"/>
      <c r="M133" s="1190"/>
      <c r="N133" s="1191"/>
      <c r="O133" s="142"/>
      <c r="Q133" s="264"/>
      <c r="R133" s="261" t="str">
        <f t="shared" si="22"/>
        <v>SourceCategory_F9</v>
      </c>
      <c r="S133" s="151"/>
      <c r="T133" s="217" t="b">
        <f t="shared" si="23"/>
        <v>0</v>
      </c>
      <c r="U133" s="261" t="str">
        <f t="shared" si="24"/>
        <v>SourceCategory_</v>
      </c>
      <c r="V133" s="151"/>
      <c r="W133" s="151"/>
      <c r="X133" s="263" t="str">
        <f t="shared" si="25"/>
        <v/>
      </c>
      <c r="Y133" s="151"/>
      <c r="Z133" s="151"/>
      <c r="AA133" s="151"/>
      <c r="AB133" s="151"/>
      <c r="AC133" s="151"/>
      <c r="AD133" s="217" t="b">
        <f t="shared" si="26"/>
        <v>0</v>
      </c>
    </row>
    <row r="134" spans="1:30" s="115" customFormat="1" ht="12.75" customHeight="1" x14ac:dyDescent="0.25">
      <c r="A134" s="151"/>
      <c r="C134" s="170"/>
      <c r="D134" s="260" t="str">
        <f t="shared" si="20"/>
        <v/>
      </c>
      <c r="E134" s="1187" t="str">
        <f t="shared" si="21"/>
        <v/>
      </c>
      <c r="F134" s="1188"/>
      <c r="G134" s="1188"/>
      <c r="H134" s="1188"/>
      <c r="I134" s="1188"/>
      <c r="J134" s="1189"/>
      <c r="K134" s="1190"/>
      <c r="L134" s="1191"/>
      <c r="M134" s="1190"/>
      <c r="N134" s="1191"/>
      <c r="O134" s="142"/>
      <c r="Q134" s="264"/>
      <c r="R134" s="261" t="str">
        <f t="shared" si="22"/>
        <v>SourceCategory_F10</v>
      </c>
      <c r="S134" s="151"/>
      <c r="T134" s="217" t="b">
        <f t="shared" si="23"/>
        <v>0</v>
      </c>
      <c r="U134" s="261" t="str">
        <f t="shared" si="24"/>
        <v>SourceCategory_</v>
      </c>
      <c r="V134" s="151"/>
      <c r="W134" s="151"/>
      <c r="X134" s="263" t="str">
        <f t="shared" si="25"/>
        <v/>
      </c>
      <c r="Y134" s="151"/>
      <c r="Z134" s="151"/>
      <c r="AA134" s="151"/>
      <c r="AB134" s="151"/>
      <c r="AC134" s="151"/>
      <c r="AD134" s="217" t="b">
        <f t="shared" si="26"/>
        <v>0</v>
      </c>
    </row>
    <row r="135" spans="1:30" s="115" customFormat="1" ht="12.75" customHeight="1" x14ac:dyDescent="0.25">
      <c r="A135" s="151"/>
      <c r="C135" s="170"/>
      <c r="D135" s="260" t="str">
        <f t="shared" si="20"/>
        <v/>
      </c>
      <c r="E135" s="1187" t="str">
        <f t="shared" si="21"/>
        <v/>
      </c>
      <c r="F135" s="1188"/>
      <c r="G135" s="1188"/>
      <c r="H135" s="1188"/>
      <c r="I135" s="1188"/>
      <c r="J135" s="1189"/>
      <c r="K135" s="1190"/>
      <c r="L135" s="1191"/>
      <c r="M135" s="1190"/>
      <c r="N135" s="1191"/>
      <c r="O135" s="142"/>
      <c r="Q135" s="264"/>
      <c r="R135" s="261" t="str">
        <f t="shared" si="22"/>
        <v>SourceCategory_F11</v>
      </c>
      <c r="S135" s="151"/>
      <c r="T135" s="217" t="b">
        <f t="shared" si="23"/>
        <v>0</v>
      </c>
      <c r="U135" s="261" t="str">
        <f t="shared" si="24"/>
        <v>SourceCategory_</v>
      </c>
      <c r="V135" s="151"/>
      <c r="W135" s="151"/>
      <c r="X135" s="263" t="str">
        <f t="shared" si="25"/>
        <v/>
      </c>
      <c r="Y135" s="151"/>
      <c r="Z135" s="151"/>
      <c r="AA135" s="151"/>
      <c r="AB135" s="151"/>
      <c r="AC135" s="151"/>
      <c r="AD135" s="217" t="b">
        <f t="shared" si="26"/>
        <v>0</v>
      </c>
    </row>
    <row r="136" spans="1:30" s="115" customFormat="1" ht="12.75" customHeight="1" x14ac:dyDescent="0.25">
      <c r="A136" s="151"/>
      <c r="C136" s="170"/>
      <c r="D136" s="260" t="str">
        <f t="shared" si="20"/>
        <v/>
      </c>
      <c r="E136" s="1187" t="str">
        <f t="shared" si="21"/>
        <v/>
      </c>
      <c r="F136" s="1188"/>
      <c r="G136" s="1188"/>
      <c r="H136" s="1188"/>
      <c r="I136" s="1188"/>
      <c r="J136" s="1189"/>
      <c r="K136" s="1190"/>
      <c r="L136" s="1191"/>
      <c r="M136" s="1190"/>
      <c r="N136" s="1191"/>
      <c r="O136" s="142"/>
      <c r="Q136" s="264"/>
      <c r="R136" s="261" t="str">
        <f t="shared" si="22"/>
        <v>SourceCategory_F12</v>
      </c>
      <c r="S136" s="151"/>
      <c r="T136" s="217" t="b">
        <f t="shared" si="23"/>
        <v>0</v>
      </c>
      <c r="U136" s="261" t="str">
        <f t="shared" si="24"/>
        <v>SourceCategory_</v>
      </c>
      <c r="V136" s="151"/>
      <c r="W136" s="151"/>
      <c r="X136" s="263" t="str">
        <f t="shared" si="25"/>
        <v/>
      </c>
      <c r="Y136" s="151"/>
      <c r="Z136" s="151"/>
      <c r="AA136" s="151"/>
      <c r="AB136" s="151"/>
      <c r="AC136" s="151"/>
      <c r="AD136" s="217" t="b">
        <f t="shared" si="26"/>
        <v>0</v>
      </c>
    </row>
    <row r="137" spans="1:30" s="115" customFormat="1" ht="12.75" customHeight="1" x14ac:dyDescent="0.25">
      <c r="A137" s="151"/>
      <c r="C137" s="170"/>
      <c r="D137" s="260" t="str">
        <f t="shared" si="20"/>
        <v/>
      </c>
      <c r="E137" s="1187" t="str">
        <f t="shared" si="21"/>
        <v/>
      </c>
      <c r="F137" s="1188"/>
      <c r="G137" s="1188"/>
      <c r="H137" s="1188"/>
      <c r="I137" s="1188"/>
      <c r="J137" s="1189"/>
      <c r="K137" s="1190"/>
      <c r="L137" s="1191"/>
      <c r="M137" s="1190"/>
      <c r="N137" s="1191"/>
      <c r="O137" s="142"/>
      <c r="Q137" s="264"/>
      <c r="R137" s="261" t="str">
        <f t="shared" si="22"/>
        <v>SourceCategory_F13</v>
      </c>
      <c r="S137" s="151"/>
      <c r="T137" s="217" t="b">
        <f t="shared" si="23"/>
        <v>0</v>
      </c>
      <c r="U137" s="261" t="str">
        <f t="shared" si="24"/>
        <v>SourceCategory_</v>
      </c>
      <c r="V137" s="151"/>
      <c r="W137" s="151"/>
      <c r="X137" s="263" t="str">
        <f t="shared" si="25"/>
        <v/>
      </c>
      <c r="Y137" s="151"/>
      <c r="Z137" s="151"/>
      <c r="AA137" s="151"/>
      <c r="AB137" s="151"/>
      <c r="AC137" s="151"/>
      <c r="AD137" s="217" t="b">
        <f t="shared" si="26"/>
        <v>0</v>
      </c>
    </row>
    <row r="138" spans="1:30" s="115" customFormat="1" ht="12.75" customHeight="1" x14ac:dyDescent="0.25">
      <c r="A138" s="151"/>
      <c r="C138" s="170"/>
      <c r="D138" s="260" t="str">
        <f t="shared" si="20"/>
        <v/>
      </c>
      <c r="E138" s="1187" t="str">
        <f t="shared" si="21"/>
        <v/>
      </c>
      <c r="F138" s="1188"/>
      <c r="G138" s="1188"/>
      <c r="H138" s="1188"/>
      <c r="I138" s="1188"/>
      <c r="J138" s="1189"/>
      <c r="K138" s="1190"/>
      <c r="L138" s="1191"/>
      <c r="M138" s="1190"/>
      <c r="N138" s="1191"/>
      <c r="O138" s="142"/>
      <c r="Q138" s="264"/>
      <c r="R138" s="261" t="str">
        <f t="shared" si="22"/>
        <v>SourceCategory_F14</v>
      </c>
      <c r="S138" s="151"/>
      <c r="T138" s="217" t="b">
        <f t="shared" si="23"/>
        <v>0</v>
      </c>
      <c r="U138" s="261" t="str">
        <f t="shared" si="24"/>
        <v>SourceCategory_</v>
      </c>
      <c r="V138" s="151"/>
      <c r="W138" s="151"/>
      <c r="X138" s="263" t="str">
        <f t="shared" si="25"/>
        <v/>
      </c>
      <c r="Y138" s="151"/>
      <c r="Z138" s="151"/>
      <c r="AA138" s="151"/>
      <c r="AB138" s="151"/>
      <c r="AC138" s="151"/>
      <c r="AD138" s="217" t="b">
        <f t="shared" si="26"/>
        <v>0</v>
      </c>
    </row>
    <row r="139" spans="1:30" s="115" customFormat="1" ht="12.75" customHeight="1" x14ac:dyDescent="0.25">
      <c r="A139" s="151"/>
      <c r="C139" s="170"/>
      <c r="D139" s="260" t="str">
        <f t="shared" si="20"/>
        <v/>
      </c>
      <c r="E139" s="1187" t="str">
        <f t="shared" si="21"/>
        <v/>
      </c>
      <c r="F139" s="1188"/>
      <c r="G139" s="1188"/>
      <c r="H139" s="1188"/>
      <c r="I139" s="1188"/>
      <c r="J139" s="1189"/>
      <c r="K139" s="1190"/>
      <c r="L139" s="1191"/>
      <c r="M139" s="1190"/>
      <c r="N139" s="1191"/>
      <c r="O139" s="142"/>
      <c r="Q139" s="264"/>
      <c r="R139" s="261" t="str">
        <f t="shared" si="22"/>
        <v>SourceCategory_F15</v>
      </c>
      <c r="S139" s="151"/>
      <c r="T139" s="217" t="b">
        <f t="shared" si="23"/>
        <v>0</v>
      </c>
      <c r="U139" s="261" t="str">
        <f t="shared" si="24"/>
        <v>SourceCategory_</v>
      </c>
      <c r="V139" s="151"/>
      <c r="W139" s="151"/>
      <c r="X139" s="263" t="str">
        <f t="shared" si="25"/>
        <v/>
      </c>
      <c r="Y139" s="151"/>
      <c r="Z139" s="151"/>
      <c r="AA139" s="151"/>
      <c r="AB139" s="151"/>
      <c r="AC139" s="151"/>
      <c r="AD139" s="217" t="b">
        <f t="shared" si="26"/>
        <v>0</v>
      </c>
    </row>
    <row r="140" spans="1:30" s="115" customFormat="1" ht="12.75" customHeight="1" x14ac:dyDescent="0.25">
      <c r="A140" s="151"/>
      <c r="C140" s="170"/>
      <c r="D140" s="260" t="str">
        <f t="shared" si="20"/>
        <v/>
      </c>
      <c r="E140" s="1187" t="str">
        <f t="shared" si="21"/>
        <v/>
      </c>
      <c r="F140" s="1188"/>
      <c r="G140" s="1188"/>
      <c r="H140" s="1188"/>
      <c r="I140" s="1188"/>
      <c r="J140" s="1189"/>
      <c r="K140" s="1190"/>
      <c r="L140" s="1191"/>
      <c r="M140" s="1190"/>
      <c r="N140" s="1191"/>
      <c r="O140" s="142"/>
      <c r="Q140" s="264"/>
      <c r="R140" s="261" t="str">
        <f t="shared" si="22"/>
        <v>SourceCategory_F16</v>
      </c>
      <c r="S140" s="151"/>
      <c r="T140" s="217" t="b">
        <f t="shared" si="23"/>
        <v>0</v>
      </c>
      <c r="U140" s="261" t="str">
        <f t="shared" si="24"/>
        <v>SourceCategory_</v>
      </c>
      <c r="V140" s="151"/>
      <c r="W140" s="151"/>
      <c r="X140" s="263" t="str">
        <f t="shared" si="25"/>
        <v/>
      </c>
      <c r="Y140" s="151"/>
      <c r="Z140" s="151"/>
      <c r="AA140" s="151"/>
      <c r="AB140" s="151"/>
      <c r="AC140" s="151"/>
      <c r="AD140" s="217" t="b">
        <f t="shared" si="26"/>
        <v>0</v>
      </c>
    </row>
    <row r="141" spans="1:30" s="115" customFormat="1" ht="12.75" customHeight="1" x14ac:dyDescent="0.25">
      <c r="A141" s="151"/>
      <c r="C141" s="170"/>
      <c r="D141" s="260" t="str">
        <f t="shared" si="20"/>
        <v/>
      </c>
      <c r="E141" s="1187" t="str">
        <f t="shared" si="21"/>
        <v/>
      </c>
      <c r="F141" s="1188"/>
      <c r="G141" s="1188"/>
      <c r="H141" s="1188"/>
      <c r="I141" s="1188"/>
      <c r="J141" s="1189"/>
      <c r="K141" s="1190"/>
      <c r="L141" s="1191"/>
      <c r="M141" s="1190"/>
      <c r="N141" s="1191"/>
      <c r="O141" s="142"/>
      <c r="Q141" s="264"/>
      <c r="R141" s="261" t="str">
        <f t="shared" si="22"/>
        <v>SourceCategory_F17</v>
      </c>
      <c r="S141" s="151"/>
      <c r="T141" s="217" t="b">
        <f t="shared" si="23"/>
        <v>0</v>
      </c>
      <c r="U141" s="261" t="str">
        <f t="shared" si="24"/>
        <v>SourceCategory_</v>
      </c>
      <c r="V141" s="151"/>
      <c r="W141" s="151"/>
      <c r="X141" s="263" t="str">
        <f t="shared" si="25"/>
        <v/>
      </c>
      <c r="Y141" s="151"/>
      <c r="Z141" s="151"/>
      <c r="AA141" s="151"/>
      <c r="AB141" s="151"/>
      <c r="AC141" s="151"/>
      <c r="AD141" s="217" t="b">
        <f t="shared" si="26"/>
        <v>0</v>
      </c>
    </row>
    <row r="142" spans="1:30" s="115" customFormat="1" ht="12.75" customHeight="1" x14ac:dyDescent="0.25">
      <c r="A142" s="151"/>
      <c r="C142" s="170"/>
      <c r="D142" s="260" t="str">
        <f t="shared" si="20"/>
        <v/>
      </c>
      <c r="E142" s="1187" t="str">
        <f t="shared" si="21"/>
        <v/>
      </c>
      <c r="F142" s="1188"/>
      <c r="G142" s="1188"/>
      <c r="H142" s="1188"/>
      <c r="I142" s="1188"/>
      <c r="J142" s="1189"/>
      <c r="K142" s="1190"/>
      <c r="L142" s="1191"/>
      <c r="M142" s="1190"/>
      <c r="N142" s="1191"/>
      <c r="O142" s="142"/>
      <c r="Q142" s="264"/>
      <c r="R142" s="261" t="str">
        <f t="shared" si="22"/>
        <v>SourceCategory_F18</v>
      </c>
      <c r="S142" s="151"/>
      <c r="T142" s="217" t="b">
        <f t="shared" si="23"/>
        <v>0</v>
      </c>
      <c r="U142" s="261" t="str">
        <f t="shared" si="24"/>
        <v>SourceCategory_</v>
      </c>
      <c r="V142" s="151"/>
      <c r="W142" s="151"/>
      <c r="X142" s="263" t="str">
        <f t="shared" si="25"/>
        <v/>
      </c>
      <c r="Y142" s="151"/>
      <c r="Z142" s="151"/>
      <c r="AA142" s="151"/>
      <c r="AB142" s="151"/>
      <c r="AC142" s="151"/>
      <c r="AD142" s="217" t="b">
        <f t="shared" si="26"/>
        <v>0</v>
      </c>
    </row>
    <row r="143" spans="1:30" s="115" customFormat="1" ht="12.75" customHeight="1" x14ac:dyDescent="0.25">
      <c r="A143" s="151"/>
      <c r="C143" s="170"/>
      <c r="D143" s="260" t="str">
        <f t="shared" si="20"/>
        <v/>
      </c>
      <c r="E143" s="1187" t="str">
        <f t="shared" si="21"/>
        <v/>
      </c>
      <c r="F143" s="1188"/>
      <c r="G143" s="1188"/>
      <c r="H143" s="1188"/>
      <c r="I143" s="1188"/>
      <c r="J143" s="1189"/>
      <c r="K143" s="1190"/>
      <c r="L143" s="1191"/>
      <c r="M143" s="1190"/>
      <c r="N143" s="1191"/>
      <c r="O143" s="142"/>
      <c r="Q143" s="264"/>
      <c r="R143" s="261" t="str">
        <f t="shared" si="22"/>
        <v>SourceCategory_F19</v>
      </c>
      <c r="S143" s="151"/>
      <c r="T143" s="217" t="b">
        <f t="shared" si="23"/>
        <v>0</v>
      </c>
      <c r="U143" s="261" t="str">
        <f t="shared" si="24"/>
        <v>SourceCategory_</v>
      </c>
      <c r="V143" s="151"/>
      <c r="W143" s="151"/>
      <c r="X143" s="263" t="str">
        <f t="shared" si="25"/>
        <v/>
      </c>
      <c r="Y143" s="151"/>
      <c r="Z143" s="151"/>
      <c r="AA143" s="151"/>
      <c r="AB143" s="151"/>
      <c r="AC143" s="151"/>
      <c r="AD143" s="217" t="b">
        <f t="shared" si="26"/>
        <v>0</v>
      </c>
    </row>
    <row r="144" spans="1:30" s="115" customFormat="1" ht="12.75" customHeight="1" x14ac:dyDescent="0.25">
      <c r="A144" s="151"/>
      <c r="C144" s="170"/>
      <c r="D144" s="260" t="str">
        <f t="shared" si="20"/>
        <v/>
      </c>
      <c r="E144" s="1187" t="str">
        <f t="shared" si="21"/>
        <v/>
      </c>
      <c r="F144" s="1188"/>
      <c r="G144" s="1188"/>
      <c r="H144" s="1188"/>
      <c r="I144" s="1188"/>
      <c r="J144" s="1189"/>
      <c r="K144" s="1190"/>
      <c r="L144" s="1191"/>
      <c r="M144" s="1190"/>
      <c r="N144" s="1191"/>
      <c r="O144" s="142"/>
      <c r="Q144" s="151"/>
      <c r="R144" s="261" t="str">
        <f t="shared" si="22"/>
        <v>SourceCategory_F20</v>
      </c>
      <c r="S144" s="151"/>
      <c r="T144" s="217" t="b">
        <f t="shared" si="23"/>
        <v>0</v>
      </c>
      <c r="U144" s="261" t="str">
        <f t="shared" si="24"/>
        <v>SourceCategory_</v>
      </c>
      <c r="V144" s="151"/>
      <c r="W144" s="151"/>
      <c r="X144" s="263" t="str">
        <f t="shared" si="25"/>
        <v/>
      </c>
      <c r="Y144" s="151"/>
      <c r="Z144" s="151"/>
      <c r="AA144" s="151"/>
      <c r="AB144" s="151"/>
      <c r="AC144" s="151"/>
      <c r="AD144" s="217" t="b">
        <f t="shared" si="26"/>
        <v>0</v>
      </c>
    </row>
    <row r="145" spans="1:30" s="115" customFormat="1" ht="12.75" customHeight="1" x14ac:dyDescent="0.25">
      <c r="A145" s="151"/>
      <c r="C145" s="170"/>
      <c r="D145" s="260" t="str">
        <f t="shared" si="20"/>
        <v/>
      </c>
      <c r="E145" s="1187" t="str">
        <f t="shared" si="21"/>
        <v/>
      </c>
      <c r="F145" s="1188"/>
      <c r="G145" s="1188"/>
      <c r="H145" s="1188"/>
      <c r="I145" s="1188"/>
      <c r="J145" s="1189"/>
      <c r="K145" s="1190"/>
      <c r="L145" s="1191"/>
      <c r="M145" s="1190"/>
      <c r="N145" s="1191"/>
      <c r="O145" s="142"/>
      <c r="Q145" s="151"/>
      <c r="R145" s="261" t="str">
        <f t="shared" si="22"/>
        <v>SourceCategory_F21</v>
      </c>
      <c r="S145" s="151"/>
      <c r="T145" s="217" t="b">
        <f t="shared" si="23"/>
        <v>0</v>
      </c>
      <c r="U145" s="261" t="str">
        <f t="shared" si="24"/>
        <v>SourceCategory_</v>
      </c>
      <c r="V145" s="151"/>
      <c r="W145" s="151"/>
      <c r="X145" s="263" t="str">
        <f t="shared" si="25"/>
        <v/>
      </c>
      <c r="Y145" s="151"/>
      <c r="Z145" s="151"/>
      <c r="AA145" s="151"/>
      <c r="AB145" s="151"/>
      <c r="AC145" s="151"/>
      <c r="AD145" s="217" t="b">
        <f t="shared" si="26"/>
        <v>0</v>
      </c>
    </row>
    <row r="146" spans="1:30" s="115" customFormat="1" ht="12.75" customHeight="1" x14ac:dyDescent="0.25">
      <c r="A146" s="151"/>
      <c r="C146" s="170"/>
      <c r="D146" s="260" t="str">
        <f t="shared" si="20"/>
        <v/>
      </c>
      <c r="E146" s="1187" t="str">
        <f t="shared" si="21"/>
        <v/>
      </c>
      <c r="F146" s="1188"/>
      <c r="G146" s="1188"/>
      <c r="H146" s="1188"/>
      <c r="I146" s="1188"/>
      <c r="J146" s="1189"/>
      <c r="K146" s="1190"/>
      <c r="L146" s="1191"/>
      <c r="M146" s="1190"/>
      <c r="N146" s="1191"/>
      <c r="O146" s="142"/>
      <c r="Q146" s="151"/>
      <c r="R146" s="261" t="str">
        <f t="shared" si="22"/>
        <v>SourceCategory_F22</v>
      </c>
      <c r="S146" s="151"/>
      <c r="T146" s="217" t="b">
        <f t="shared" si="23"/>
        <v>0</v>
      </c>
      <c r="U146" s="261" t="str">
        <f t="shared" si="24"/>
        <v>SourceCategory_</v>
      </c>
      <c r="V146" s="151"/>
      <c r="W146" s="151"/>
      <c r="X146" s="263" t="str">
        <f t="shared" si="25"/>
        <v/>
      </c>
      <c r="Y146" s="151"/>
      <c r="Z146" s="151"/>
      <c r="AA146" s="151"/>
      <c r="AB146" s="151"/>
      <c r="AC146" s="151"/>
      <c r="AD146" s="217" t="b">
        <f t="shared" si="26"/>
        <v>0</v>
      </c>
    </row>
    <row r="147" spans="1:30" s="115" customFormat="1" ht="12.75" customHeight="1" x14ac:dyDescent="0.25">
      <c r="A147" s="151"/>
      <c r="C147" s="170"/>
      <c r="D147" s="260" t="str">
        <f t="shared" si="20"/>
        <v/>
      </c>
      <c r="E147" s="1187" t="str">
        <f t="shared" si="21"/>
        <v/>
      </c>
      <c r="F147" s="1188"/>
      <c r="G147" s="1188"/>
      <c r="H147" s="1188"/>
      <c r="I147" s="1188"/>
      <c r="J147" s="1189"/>
      <c r="K147" s="1190"/>
      <c r="L147" s="1191"/>
      <c r="M147" s="1190"/>
      <c r="N147" s="1191"/>
      <c r="O147" s="142"/>
      <c r="Q147" s="151"/>
      <c r="R147" s="261" t="str">
        <f t="shared" si="22"/>
        <v>SourceCategory_F23</v>
      </c>
      <c r="S147" s="151"/>
      <c r="T147" s="217" t="b">
        <f t="shared" si="23"/>
        <v>0</v>
      </c>
      <c r="U147" s="261" t="str">
        <f t="shared" si="24"/>
        <v>SourceCategory_</v>
      </c>
      <c r="V147" s="151"/>
      <c r="W147" s="151"/>
      <c r="X147" s="263" t="str">
        <f t="shared" si="25"/>
        <v/>
      </c>
      <c r="Y147" s="151"/>
      <c r="Z147" s="151"/>
      <c r="AA147" s="151"/>
      <c r="AB147" s="151"/>
      <c r="AC147" s="151"/>
      <c r="AD147" s="217" t="b">
        <f t="shared" si="26"/>
        <v>0</v>
      </c>
    </row>
    <row r="148" spans="1:30" s="115" customFormat="1" ht="12.75" customHeight="1" x14ac:dyDescent="0.25">
      <c r="A148" s="151"/>
      <c r="C148" s="170"/>
      <c r="D148" s="260" t="str">
        <f t="shared" si="20"/>
        <v/>
      </c>
      <c r="E148" s="1187" t="str">
        <f t="shared" si="21"/>
        <v/>
      </c>
      <c r="F148" s="1188"/>
      <c r="G148" s="1188"/>
      <c r="H148" s="1188"/>
      <c r="I148" s="1188"/>
      <c r="J148" s="1189"/>
      <c r="K148" s="1190"/>
      <c r="L148" s="1191"/>
      <c r="M148" s="1190"/>
      <c r="N148" s="1191"/>
      <c r="O148" s="142"/>
      <c r="Q148" s="151"/>
      <c r="R148" s="261" t="str">
        <f t="shared" si="22"/>
        <v>SourceCategory_F24</v>
      </c>
      <c r="S148" s="151"/>
      <c r="T148" s="217" t="b">
        <f t="shared" si="23"/>
        <v>0</v>
      </c>
      <c r="U148" s="261" t="str">
        <f t="shared" si="24"/>
        <v>SourceCategory_</v>
      </c>
      <c r="V148" s="151"/>
      <c r="W148" s="151"/>
      <c r="X148" s="263" t="str">
        <f t="shared" si="25"/>
        <v/>
      </c>
      <c r="Y148" s="151"/>
      <c r="Z148" s="151"/>
      <c r="AA148" s="151"/>
      <c r="AB148" s="151"/>
      <c r="AC148" s="151"/>
      <c r="AD148" s="217" t="b">
        <f t="shared" si="26"/>
        <v>0</v>
      </c>
    </row>
    <row r="149" spans="1:30" s="115" customFormat="1" ht="12.75" customHeight="1" x14ac:dyDescent="0.25">
      <c r="A149" s="151"/>
      <c r="C149" s="170"/>
      <c r="D149" s="260" t="str">
        <f t="shared" ref="D149:D174" si="27">IF(ISBLANK(I91),"",D91)</f>
        <v/>
      </c>
      <c r="E149" s="1187" t="str">
        <f t="shared" si="21"/>
        <v/>
      </c>
      <c r="F149" s="1188"/>
      <c r="G149" s="1188"/>
      <c r="H149" s="1188"/>
      <c r="I149" s="1188"/>
      <c r="J149" s="1189"/>
      <c r="K149" s="1190"/>
      <c r="L149" s="1191"/>
      <c r="M149" s="1190"/>
      <c r="N149" s="1191"/>
      <c r="O149" s="142"/>
      <c r="Q149" s="151"/>
      <c r="R149" s="261" t="str">
        <f t="shared" si="22"/>
        <v>SourceCategory_F25</v>
      </c>
      <c r="S149" s="151"/>
      <c r="T149" s="217" t="b">
        <f t="shared" ref="T149:T174" si="28">(E149&lt;&gt;"")</f>
        <v>0</v>
      </c>
      <c r="U149" s="261" t="str">
        <f t="shared" ref="U149:U174" si="29">EUconst_CNTR_SourceCategory&amp;N149</f>
        <v>SourceCategory_</v>
      </c>
      <c r="V149" s="151"/>
      <c r="W149" s="151"/>
      <c r="X149" s="263" t="str">
        <f t="shared" ref="X149:X174" si="30">IF(ISBLANK(L149),"",ABS(L149))</f>
        <v/>
      </c>
      <c r="Y149" s="151"/>
      <c r="Z149" s="151"/>
      <c r="AA149" s="151"/>
      <c r="AB149" s="151"/>
      <c r="AC149" s="151"/>
      <c r="AD149" s="217" t="b">
        <f t="shared" ref="AD149:AD174" si="31">AND(COUNTA($E$67:$H$116)&gt;0,T149=FALSE)</f>
        <v>0</v>
      </c>
    </row>
    <row r="150" spans="1:30" s="115" customFormat="1" ht="12.75" customHeight="1" x14ac:dyDescent="0.25">
      <c r="A150" s="151"/>
      <c r="C150" s="170"/>
      <c r="D150" s="260" t="str">
        <f t="shared" si="27"/>
        <v/>
      </c>
      <c r="E150" s="1187" t="str">
        <f t="shared" si="21"/>
        <v/>
      </c>
      <c r="F150" s="1188"/>
      <c r="G150" s="1188"/>
      <c r="H150" s="1188"/>
      <c r="I150" s="1188"/>
      <c r="J150" s="1189"/>
      <c r="K150" s="1190"/>
      <c r="L150" s="1191"/>
      <c r="M150" s="1190"/>
      <c r="N150" s="1191"/>
      <c r="O150" s="142"/>
      <c r="Q150" s="151"/>
      <c r="R150" s="261" t="str">
        <f t="shared" si="22"/>
        <v>SourceCategory_F26</v>
      </c>
      <c r="S150" s="151"/>
      <c r="T150" s="217" t="b">
        <f t="shared" si="28"/>
        <v>0</v>
      </c>
      <c r="U150" s="261" t="str">
        <f t="shared" si="29"/>
        <v>SourceCategory_</v>
      </c>
      <c r="V150" s="151"/>
      <c r="W150" s="151"/>
      <c r="X150" s="263" t="str">
        <f t="shared" si="30"/>
        <v/>
      </c>
      <c r="Y150" s="151"/>
      <c r="Z150" s="151"/>
      <c r="AA150" s="151"/>
      <c r="AB150" s="151"/>
      <c r="AC150" s="151"/>
      <c r="AD150" s="217" t="b">
        <f t="shared" si="31"/>
        <v>0</v>
      </c>
    </row>
    <row r="151" spans="1:30" s="115" customFormat="1" ht="12.75" customHeight="1" x14ac:dyDescent="0.25">
      <c r="A151" s="151"/>
      <c r="C151" s="170"/>
      <c r="D151" s="260" t="str">
        <f t="shared" si="27"/>
        <v/>
      </c>
      <c r="E151" s="1187" t="str">
        <f t="shared" si="21"/>
        <v/>
      </c>
      <c r="F151" s="1188"/>
      <c r="G151" s="1188"/>
      <c r="H151" s="1188"/>
      <c r="I151" s="1188"/>
      <c r="J151" s="1189"/>
      <c r="K151" s="1190"/>
      <c r="L151" s="1191"/>
      <c r="M151" s="1190"/>
      <c r="N151" s="1191"/>
      <c r="O151" s="142"/>
      <c r="Q151" s="151"/>
      <c r="R151" s="261" t="str">
        <f t="shared" si="22"/>
        <v>SourceCategory_F27</v>
      </c>
      <c r="S151" s="151"/>
      <c r="T151" s="217" t="b">
        <f t="shared" si="28"/>
        <v>0</v>
      </c>
      <c r="U151" s="261" t="str">
        <f t="shared" si="29"/>
        <v>SourceCategory_</v>
      </c>
      <c r="V151" s="151"/>
      <c r="W151" s="151"/>
      <c r="X151" s="263" t="str">
        <f t="shared" si="30"/>
        <v/>
      </c>
      <c r="Y151" s="151"/>
      <c r="Z151" s="151"/>
      <c r="AA151" s="151"/>
      <c r="AB151" s="151"/>
      <c r="AC151" s="151"/>
      <c r="AD151" s="217" t="b">
        <f t="shared" si="31"/>
        <v>0</v>
      </c>
    </row>
    <row r="152" spans="1:30" s="115" customFormat="1" ht="12.75" customHeight="1" x14ac:dyDescent="0.25">
      <c r="A152" s="151"/>
      <c r="C152" s="170"/>
      <c r="D152" s="260" t="str">
        <f t="shared" si="27"/>
        <v/>
      </c>
      <c r="E152" s="1187" t="str">
        <f t="shared" si="21"/>
        <v/>
      </c>
      <c r="F152" s="1188"/>
      <c r="G152" s="1188"/>
      <c r="H152" s="1188"/>
      <c r="I152" s="1188"/>
      <c r="J152" s="1189"/>
      <c r="K152" s="1190"/>
      <c r="L152" s="1191"/>
      <c r="M152" s="1190"/>
      <c r="N152" s="1191"/>
      <c r="O152" s="142"/>
      <c r="Q152" s="151"/>
      <c r="R152" s="261" t="str">
        <f t="shared" si="22"/>
        <v>SourceCategory_F28</v>
      </c>
      <c r="S152" s="151"/>
      <c r="T152" s="217" t="b">
        <f t="shared" si="28"/>
        <v>0</v>
      </c>
      <c r="U152" s="261" t="str">
        <f t="shared" si="29"/>
        <v>SourceCategory_</v>
      </c>
      <c r="V152" s="151"/>
      <c r="W152" s="151"/>
      <c r="X152" s="263" t="str">
        <f t="shared" si="30"/>
        <v/>
      </c>
      <c r="Y152" s="151"/>
      <c r="Z152" s="151"/>
      <c r="AA152" s="151"/>
      <c r="AB152" s="151"/>
      <c r="AC152" s="151"/>
      <c r="AD152" s="217" t="b">
        <f t="shared" si="31"/>
        <v>0</v>
      </c>
    </row>
    <row r="153" spans="1:30" s="115" customFormat="1" ht="12.75" customHeight="1" x14ac:dyDescent="0.25">
      <c r="A153" s="151"/>
      <c r="C153" s="170"/>
      <c r="D153" s="260" t="str">
        <f t="shared" si="27"/>
        <v/>
      </c>
      <c r="E153" s="1187" t="str">
        <f t="shared" si="21"/>
        <v/>
      </c>
      <c r="F153" s="1188"/>
      <c r="G153" s="1188"/>
      <c r="H153" s="1188"/>
      <c r="I153" s="1188"/>
      <c r="J153" s="1189"/>
      <c r="K153" s="1190"/>
      <c r="L153" s="1191"/>
      <c r="M153" s="1190"/>
      <c r="N153" s="1191"/>
      <c r="O153" s="142"/>
      <c r="Q153" s="151"/>
      <c r="R153" s="261" t="str">
        <f t="shared" si="22"/>
        <v>SourceCategory_F29</v>
      </c>
      <c r="S153" s="151"/>
      <c r="T153" s="217" t="b">
        <f t="shared" si="28"/>
        <v>0</v>
      </c>
      <c r="U153" s="261" t="str">
        <f t="shared" si="29"/>
        <v>SourceCategory_</v>
      </c>
      <c r="V153" s="151"/>
      <c r="W153" s="151"/>
      <c r="X153" s="263" t="str">
        <f t="shared" si="30"/>
        <v/>
      </c>
      <c r="Y153" s="151"/>
      <c r="Z153" s="151"/>
      <c r="AA153" s="151"/>
      <c r="AB153" s="151"/>
      <c r="AC153" s="151"/>
      <c r="AD153" s="217" t="b">
        <f t="shared" si="31"/>
        <v>0</v>
      </c>
    </row>
    <row r="154" spans="1:30" s="115" customFormat="1" ht="12.75" customHeight="1" x14ac:dyDescent="0.25">
      <c r="A154" s="151"/>
      <c r="C154" s="170"/>
      <c r="D154" s="260" t="str">
        <f t="shared" si="27"/>
        <v/>
      </c>
      <c r="E154" s="1187" t="str">
        <f t="shared" si="21"/>
        <v/>
      </c>
      <c r="F154" s="1188"/>
      <c r="G154" s="1188"/>
      <c r="H154" s="1188"/>
      <c r="I154" s="1188"/>
      <c r="J154" s="1189"/>
      <c r="K154" s="1190"/>
      <c r="L154" s="1191"/>
      <c r="M154" s="1190"/>
      <c r="N154" s="1191"/>
      <c r="O154" s="142"/>
      <c r="Q154" s="151"/>
      <c r="R154" s="261" t="str">
        <f t="shared" si="22"/>
        <v>SourceCategory_F30</v>
      </c>
      <c r="S154" s="151"/>
      <c r="T154" s="217" t="b">
        <f t="shared" si="28"/>
        <v>0</v>
      </c>
      <c r="U154" s="261" t="str">
        <f t="shared" si="29"/>
        <v>SourceCategory_</v>
      </c>
      <c r="V154" s="151"/>
      <c r="W154" s="151"/>
      <c r="X154" s="263" t="str">
        <f t="shared" si="30"/>
        <v/>
      </c>
      <c r="Y154" s="151"/>
      <c r="Z154" s="151"/>
      <c r="AA154" s="151"/>
      <c r="AB154" s="151"/>
      <c r="AC154" s="151"/>
      <c r="AD154" s="217" t="b">
        <f t="shared" si="31"/>
        <v>0</v>
      </c>
    </row>
    <row r="155" spans="1:30" s="115" customFormat="1" ht="12.75" customHeight="1" x14ac:dyDescent="0.25">
      <c r="A155" s="151"/>
      <c r="C155" s="170"/>
      <c r="D155" s="260" t="str">
        <f t="shared" si="27"/>
        <v/>
      </c>
      <c r="E155" s="1187" t="str">
        <f t="shared" si="21"/>
        <v/>
      </c>
      <c r="F155" s="1188"/>
      <c r="G155" s="1188"/>
      <c r="H155" s="1188"/>
      <c r="I155" s="1188"/>
      <c r="J155" s="1189"/>
      <c r="K155" s="1190"/>
      <c r="L155" s="1191"/>
      <c r="M155" s="1190"/>
      <c r="N155" s="1191"/>
      <c r="O155" s="142"/>
      <c r="Q155" s="151"/>
      <c r="R155" s="261" t="str">
        <f t="shared" si="22"/>
        <v>SourceCategory_F31</v>
      </c>
      <c r="S155" s="151"/>
      <c r="T155" s="217" t="b">
        <f t="shared" si="28"/>
        <v>0</v>
      </c>
      <c r="U155" s="261" t="str">
        <f t="shared" si="29"/>
        <v>SourceCategory_</v>
      </c>
      <c r="V155" s="151"/>
      <c r="W155" s="151"/>
      <c r="X155" s="263" t="str">
        <f t="shared" si="30"/>
        <v/>
      </c>
      <c r="Y155" s="151"/>
      <c r="Z155" s="151"/>
      <c r="AA155" s="151"/>
      <c r="AB155" s="151"/>
      <c r="AC155" s="151"/>
      <c r="AD155" s="217" t="b">
        <f t="shared" si="31"/>
        <v>0</v>
      </c>
    </row>
    <row r="156" spans="1:30" s="115" customFormat="1" ht="12.75" customHeight="1" x14ac:dyDescent="0.25">
      <c r="A156" s="151"/>
      <c r="C156" s="170"/>
      <c r="D156" s="260" t="str">
        <f t="shared" si="27"/>
        <v/>
      </c>
      <c r="E156" s="1187" t="str">
        <f t="shared" si="21"/>
        <v/>
      </c>
      <c r="F156" s="1188"/>
      <c r="G156" s="1188"/>
      <c r="H156" s="1188"/>
      <c r="I156" s="1188"/>
      <c r="J156" s="1189"/>
      <c r="K156" s="1190"/>
      <c r="L156" s="1191"/>
      <c r="M156" s="1190"/>
      <c r="N156" s="1191"/>
      <c r="O156" s="142"/>
      <c r="Q156" s="151"/>
      <c r="R156" s="261" t="str">
        <f t="shared" si="22"/>
        <v>SourceCategory_F32</v>
      </c>
      <c r="S156" s="151"/>
      <c r="T156" s="217" t="b">
        <f t="shared" si="28"/>
        <v>0</v>
      </c>
      <c r="U156" s="261" t="str">
        <f t="shared" si="29"/>
        <v>SourceCategory_</v>
      </c>
      <c r="V156" s="151"/>
      <c r="W156" s="151"/>
      <c r="X156" s="263" t="str">
        <f t="shared" si="30"/>
        <v/>
      </c>
      <c r="Y156" s="151"/>
      <c r="Z156" s="151"/>
      <c r="AA156" s="151"/>
      <c r="AB156" s="151"/>
      <c r="AC156" s="151"/>
      <c r="AD156" s="217" t="b">
        <f t="shared" si="31"/>
        <v>0</v>
      </c>
    </row>
    <row r="157" spans="1:30" s="115" customFormat="1" ht="12.75" customHeight="1" x14ac:dyDescent="0.25">
      <c r="A157" s="151"/>
      <c r="C157" s="170"/>
      <c r="D157" s="260" t="str">
        <f t="shared" si="27"/>
        <v/>
      </c>
      <c r="E157" s="1187" t="str">
        <f t="shared" ref="E157:E174" si="32">IF(AB99=EUconst_NA,"",AB99)</f>
        <v/>
      </c>
      <c r="F157" s="1188"/>
      <c r="G157" s="1188"/>
      <c r="H157" s="1188"/>
      <c r="I157" s="1188"/>
      <c r="J157" s="1189"/>
      <c r="K157" s="1190"/>
      <c r="L157" s="1191"/>
      <c r="M157" s="1190"/>
      <c r="N157" s="1191"/>
      <c r="O157" s="142"/>
      <c r="Q157" s="151"/>
      <c r="R157" s="261" t="str">
        <f t="shared" ref="R157:R174" si="33">EUconst_CNTR_SourceCategory&amp;D99</f>
        <v>SourceCategory_F33</v>
      </c>
      <c r="S157" s="151"/>
      <c r="T157" s="217" t="b">
        <f t="shared" si="28"/>
        <v>0</v>
      </c>
      <c r="U157" s="261" t="str">
        <f t="shared" si="29"/>
        <v>SourceCategory_</v>
      </c>
      <c r="V157" s="151"/>
      <c r="W157" s="151"/>
      <c r="X157" s="263" t="str">
        <f t="shared" si="30"/>
        <v/>
      </c>
      <c r="Y157" s="151"/>
      <c r="Z157" s="151"/>
      <c r="AA157" s="151"/>
      <c r="AB157" s="151"/>
      <c r="AC157" s="151"/>
      <c r="AD157" s="217" t="b">
        <f t="shared" si="31"/>
        <v>0</v>
      </c>
    </row>
    <row r="158" spans="1:30" s="115" customFormat="1" ht="12.75" customHeight="1" x14ac:dyDescent="0.25">
      <c r="A158" s="151"/>
      <c r="C158" s="170"/>
      <c r="D158" s="260" t="str">
        <f t="shared" si="27"/>
        <v/>
      </c>
      <c r="E158" s="1187" t="str">
        <f t="shared" si="32"/>
        <v/>
      </c>
      <c r="F158" s="1188"/>
      <c r="G158" s="1188"/>
      <c r="H158" s="1188"/>
      <c r="I158" s="1188"/>
      <c r="J158" s="1189"/>
      <c r="K158" s="1190"/>
      <c r="L158" s="1191"/>
      <c r="M158" s="1190"/>
      <c r="N158" s="1191"/>
      <c r="O158" s="142"/>
      <c r="Q158" s="151"/>
      <c r="R158" s="261" t="str">
        <f t="shared" si="33"/>
        <v>SourceCategory_F34</v>
      </c>
      <c r="S158" s="151"/>
      <c r="T158" s="217" t="b">
        <f t="shared" si="28"/>
        <v>0</v>
      </c>
      <c r="U158" s="261" t="str">
        <f t="shared" si="29"/>
        <v>SourceCategory_</v>
      </c>
      <c r="V158" s="151"/>
      <c r="W158" s="151"/>
      <c r="X158" s="263" t="str">
        <f t="shared" si="30"/>
        <v/>
      </c>
      <c r="Y158" s="151"/>
      <c r="Z158" s="151"/>
      <c r="AA158" s="151"/>
      <c r="AB158" s="151"/>
      <c r="AC158" s="151"/>
      <c r="AD158" s="217" t="b">
        <f t="shared" si="31"/>
        <v>0</v>
      </c>
    </row>
    <row r="159" spans="1:30" s="115" customFormat="1" ht="12.75" customHeight="1" x14ac:dyDescent="0.25">
      <c r="A159" s="151"/>
      <c r="C159" s="170"/>
      <c r="D159" s="260" t="str">
        <f t="shared" si="27"/>
        <v/>
      </c>
      <c r="E159" s="1187" t="str">
        <f t="shared" si="32"/>
        <v/>
      </c>
      <c r="F159" s="1188"/>
      <c r="G159" s="1188"/>
      <c r="H159" s="1188"/>
      <c r="I159" s="1188"/>
      <c r="J159" s="1189"/>
      <c r="K159" s="1190"/>
      <c r="L159" s="1191"/>
      <c r="M159" s="1190"/>
      <c r="N159" s="1191"/>
      <c r="O159" s="142"/>
      <c r="Q159" s="151"/>
      <c r="R159" s="261" t="str">
        <f t="shared" si="33"/>
        <v>SourceCategory_F35</v>
      </c>
      <c r="S159" s="151"/>
      <c r="T159" s="217" t="b">
        <f t="shared" si="28"/>
        <v>0</v>
      </c>
      <c r="U159" s="261" t="str">
        <f t="shared" si="29"/>
        <v>SourceCategory_</v>
      </c>
      <c r="V159" s="151"/>
      <c r="W159" s="151"/>
      <c r="X159" s="263" t="str">
        <f t="shared" si="30"/>
        <v/>
      </c>
      <c r="Y159" s="151"/>
      <c r="Z159" s="151"/>
      <c r="AA159" s="151"/>
      <c r="AB159" s="151"/>
      <c r="AC159" s="151"/>
      <c r="AD159" s="217" t="b">
        <f t="shared" si="31"/>
        <v>0</v>
      </c>
    </row>
    <row r="160" spans="1:30" s="115" customFormat="1" ht="12.75" customHeight="1" x14ac:dyDescent="0.25">
      <c r="A160" s="151"/>
      <c r="C160" s="170"/>
      <c r="D160" s="260" t="str">
        <f t="shared" si="27"/>
        <v/>
      </c>
      <c r="E160" s="1187" t="str">
        <f t="shared" si="32"/>
        <v/>
      </c>
      <c r="F160" s="1188"/>
      <c r="G160" s="1188"/>
      <c r="H160" s="1188"/>
      <c r="I160" s="1188"/>
      <c r="J160" s="1189"/>
      <c r="K160" s="1190"/>
      <c r="L160" s="1191"/>
      <c r="M160" s="1190"/>
      <c r="N160" s="1191"/>
      <c r="O160" s="142"/>
      <c r="Q160" s="151"/>
      <c r="R160" s="261" t="str">
        <f t="shared" si="33"/>
        <v>SourceCategory_F36</v>
      </c>
      <c r="S160" s="151"/>
      <c r="T160" s="217" t="b">
        <f t="shared" si="28"/>
        <v>0</v>
      </c>
      <c r="U160" s="261" t="str">
        <f t="shared" si="29"/>
        <v>SourceCategory_</v>
      </c>
      <c r="V160" s="151"/>
      <c r="W160" s="151"/>
      <c r="X160" s="263" t="str">
        <f t="shared" si="30"/>
        <v/>
      </c>
      <c r="Y160" s="151"/>
      <c r="Z160" s="151"/>
      <c r="AA160" s="151"/>
      <c r="AB160" s="151"/>
      <c r="AC160" s="151"/>
      <c r="AD160" s="217" t="b">
        <f t="shared" si="31"/>
        <v>0</v>
      </c>
    </row>
    <row r="161" spans="1:30" s="115" customFormat="1" ht="12.75" customHeight="1" x14ac:dyDescent="0.25">
      <c r="A161" s="151"/>
      <c r="C161" s="170"/>
      <c r="D161" s="260" t="str">
        <f t="shared" si="27"/>
        <v/>
      </c>
      <c r="E161" s="1187" t="str">
        <f t="shared" si="32"/>
        <v/>
      </c>
      <c r="F161" s="1188"/>
      <c r="G161" s="1188"/>
      <c r="H161" s="1188"/>
      <c r="I161" s="1188"/>
      <c r="J161" s="1189"/>
      <c r="K161" s="1190"/>
      <c r="L161" s="1191"/>
      <c r="M161" s="1190"/>
      <c r="N161" s="1191"/>
      <c r="O161" s="142"/>
      <c r="Q161" s="151"/>
      <c r="R161" s="261" t="str">
        <f t="shared" si="33"/>
        <v>SourceCategory_F37</v>
      </c>
      <c r="S161" s="151"/>
      <c r="T161" s="217" t="b">
        <f t="shared" si="28"/>
        <v>0</v>
      </c>
      <c r="U161" s="261" t="str">
        <f t="shared" si="29"/>
        <v>SourceCategory_</v>
      </c>
      <c r="V161" s="151"/>
      <c r="W161" s="151"/>
      <c r="X161" s="263" t="str">
        <f t="shared" si="30"/>
        <v/>
      </c>
      <c r="Y161" s="151"/>
      <c r="Z161" s="151"/>
      <c r="AA161" s="151"/>
      <c r="AB161" s="151"/>
      <c r="AC161" s="151"/>
      <c r="AD161" s="217" t="b">
        <f t="shared" si="31"/>
        <v>0</v>
      </c>
    </row>
    <row r="162" spans="1:30" s="115" customFormat="1" ht="12.75" customHeight="1" x14ac:dyDescent="0.25">
      <c r="A162" s="151"/>
      <c r="C162" s="170"/>
      <c r="D162" s="260" t="str">
        <f t="shared" si="27"/>
        <v/>
      </c>
      <c r="E162" s="1187" t="str">
        <f t="shared" si="32"/>
        <v/>
      </c>
      <c r="F162" s="1188"/>
      <c r="G162" s="1188"/>
      <c r="H162" s="1188"/>
      <c r="I162" s="1188"/>
      <c r="J162" s="1189"/>
      <c r="K162" s="1190"/>
      <c r="L162" s="1191"/>
      <c r="M162" s="1190"/>
      <c r="N162" s="1191"/>
      <c r="O162" s="142"/>
      <c r="Q162" s="151"/>
      <c r="R162" s="261" t="str">
        <f t="shared" si="33"/>
        <v>SourceCategory_F38</v>
      </c>
      <c r="S162" s="151"/>
      <c r="T162" s="217" t="b">
        <f t="shared" si="28"/>
        <v>0</v>
      </c>
      <c r="U162" s="261" t="str">
        <f t="shared" si="29"/>
        <v>SourceCategory_</v>
      </c>
      <c r="V162" s="151"/>
      <c r="W162" s="151"/>
      <c r="X162" s="263" t="str">
        <f t="shared" si="30"/>
        <v/>
      </c>
      <c r="Y162" s="151"/>
      <c r="Z162" s="151"/>
      <c r="AA162" s="151"/>
      <c r="AB162" s="151"/>
      <c r="AC162" s="151"/>
      <c r="AD162" s="217" t="b">
        <f t="shared" si="31"/>
        <v>0</v>
      </c>
    </row>
    <row r="163" spans="1:30" s="115" customFormat="1" ht="12.75" customHeight="1" x14ac:dyDescent="0.25">
      <c r="A163" s="151"/>
      <c r="C163" s="170"/>
      <c r="D163" s="260" t="str">
        <f t="shared" si="27"/>
        <v/>
      </c>
      <c r="E163" s="1187" t="str">
        <f t="shared" si="32"/>
        <v/>
      </c>
      <c r="F163" s="1188"/>
      <c r="G163" s="1188"/>
      <c r="H163" s="1188"/>
      <c r="I163" s="1188"/>
      <c r="J163" s="1189"/>
      <c r="K163" s="1190"/>
      <c r="L163" s="1191"/>
      <c r="M163" s="1190"/>
      <c r="N163" s="1191"/>
      <c r="O163" s="142"/>
      <c r="Q163" s="151"/>
      <c r="R163" s="261" t="str">
        <f t="shared" si="33"/>
        <v>SourceCategory_F39</v>
      </c>
      <c r="S163" s="151"/>
      <c r="T163" s="217" t="b">
        <f t="shared" si="28"/>
        <v>0</v>
      </c>
      <c r="U163" s="261" t="str">
        <f t="shared" si="29"/>
        <v>SourceCategory_</v>
      </c>
      <c r="V163" s="151"/>
      <c r="W163" s="151"/>
      <c r="X163" s="263" t="str">
        <f t="shared" si="30"/>
        <v/>
      </c>
      <c r="Y163" s="151"/>
      <c r="Z163" s="151"/>
      <c r="AA163" s="151"/>
      <c r="AB163" s="151"/>
      <c r="AC163" s="151"/>
      <c r="AD163" s="217" t="b">
        <f t="shared" si="31"/>
        <v>0</v>
      </c>
    </row>
    <row r="164" spans="1:30" s="115" customFormat="1" ht="12.75" customHeight="1" x14ac:dyDescent="0.25">
      <c r="A164" s="151"/>
      <c r="C164" s="170"/>
      <c r="D164" s="260" t="str">
        <f t="shared" si="27"/>
        <v/>
      </c>
      <c r="E164" s="1187" t="str">
        <f t="shared" si="32"/>
        <v/>
      </c>
      <c r="F164" s="1188"/>
      <c r="G164" s="1188"/>
      <c r="H164" s="1188"/>
      <c r="I164" s="1188"/>
      <c r="J164" s="1189"/>
      <c r="K164" s="1190"/>
      <c r="L164" s="1191"/>
      <c r="M164" s="1190"/>
      <c r="N164" s="1191"/>
      <c r="O164" s="142"/>
      <c r="Q164" s="151"/>
      <c r="R164" s="261" t="str">
        <f t="shared" si="33"/>
        <v>SourceCategory_F40</v>
      </c>
      <c r="S164" s="151"/>
      <c r="T164" s="217" t="b">
        <f t="shared" si="28"/>
        <v>0</v>
      </c>
      <c r="U164" s="261" t="str">
        <f t="shared" si="29"/>
        <v>SourceCategory_</v>
      </c>
      <c r="V164" s="151"/>
      <c r="W164" s="151"/>
      <c r="X164" s="263" t="str">
        <f t="shared" si="30"/>
        <v/>
      </c>
      <c r="Y164" s="151"/>
      <c r="Z164" s="151"/>
      <c r="AA164" s="151"/>
      <c r="AB164" s="151"/>
      <c r="AC164" s="151"/>
      <c r="AD164" s="217" t="b">
        <f t="shared" si="31"/>
        <v>0</v>
      </c>
    </row>
    <row r="165" spans="1:30" s="115" customFormat="1" ht="12.75" customHeight="1" x14ac:dyDescent="0.25">
      <c r="A165" s="151"/>
      <c r="C165" s="170"/>
      <c r="D165" s="260" t="str">
        <f t="shared" si="27"/>
        <v/>
      </c>
      <c r="E165" s="1187" t="str">
        <f t="shared" si="32"/>
        <v/>
      </c>
      <c r="F165" s="1188"/>
      <c r="G165" s="1188"/>
      <c r="H165" s="1188"/>
      <c r="I165" s="1188"/>
      <c r="J165" s="1189"/>
      <c r="K165" s="1190"/>
      <c r="L165" s="1191"/>
      <c r="M165" s="1190"/>
      <c r="N165" s="1191"/>
      <c r="O165" s="142"/>
      <c r="Q165" s="151"/>
      <c r="R165" s="261" t="str">
        <f t="shared" si="33"/>
        <v>SourceCategory_F41</v>
      </c>
      <c r="S165" s="151"/>
      <c r="T165" s="217" t="b">
        <f t="shared" si="28"/>
        <v>0</v>
      </c>
      <c r="U165" s="261" t="str">
        <f t="shared" si="29"/>
        <v>SourceCategory_</v>
      </c>
      <c r="V165" s="151"/>
      <c r="W165" s="151"/>
      <c r="X165" s="263" t="str">
        <f t="shared" si="30"/>
        <v/>
      </c>
      <c r="Y165" s="151"/>
      <c r="Z165" s="151"/>
      <c r="AA165" s="151"/>
      <c r="AB165" s="151"/>
      <c r="AC165" s="151"/>
      <c r="AD165" s="217" t="b">
        <f t="shared" si="31"/>
        <v>0</v>
      </c>
    </row>
    <row r="166" spans="1:30" s="115" customFormat="1" ht="12.75" customHeight="1" x14ac:dyDescent="0.25">
      <c r="A166" s="151"/>
      <c r="C166" s="170"/>
      <c r="D166" s="260" t="str">
        <f t="shared" si="27"/>
        <v/>
      </c>
      <c r="E166" s="1187" t="str">
        <f t="shared" si="32"/>
        <v/>
      </c>
      <c r="F166" s="1188"/>
      <c r="G166" s="1188"/>
      <c r="H166" s="1188"/>
      <c r="I166" s="1188"/>
      <c r="J166" s="1189"/>
      <c r="K166" s="1190"/>
      <c r="L166" s="1191"/>
      <c r="M166" s="1190"/>
      <c r="N166" s="1191"/>
      <c r="O166" s="142"/>
      <c r="Q166" s="151"/>
      <c r="R166" s="261" t="str">
        <f t="shared" si="33"/>
        <v>SourceCategory_F42</v>
      </c>
      <c r="S166" s="151"/>
      <c r="T166" s="217" t="b">
        <f t="shared" si="28"/>
        <v>0</v>
      </c>
      <c r="U166" s="261" t="str">
        <f t="shared" si="29"/>
        <v>SourceCategory_</v>
      </c>
      <c r="V166" s="151"/>
      <c r="W166" s="151"/>
      <c r="X166" s="263" t="str">
        <f t="shared" si="30"/>
        <v/>
      </c>
      <c r="Y166" s="151"/>
      <c r="Z166" s="151"/>
      <c r="AA166" s="151"/>
      <c r="AB166" s="151"/>
      <c r="AC166" s="151"/>
      <c r="AD166" s="217" t="b">
        <f t="shared" si="31"/>
        <v>0</v>
      </c>
    </row>
    <row r="167" spans="1:30" s="115" customFormat="1" ht="12.75" customHeight="1" x14ac:dyDescent="0.25">
      <c r="A167" s="151"/>
      <c r="C167" s="170"/>
      <c r="D167" s="260" t="str">
        <f t="shared" si="27"/>
        <v/>
      </c>
      <c r="E167" s="1187" t="str">
        <f t="shared" si="32"/>
        <v/>
      </c>
      <c r="F167" s="1188"/>
      <c r="G167" s="1188"/>
      <c r="H167" s="1188"/>
      <c r="I167" s="1188"/>
      <c r="J167" s="1189"/>
      <c r="K167" s="1190"/>
      <c r="L167" s="1191"/>
      <c r="M167" s="1190"/>
      <c r="N167" s="1191"/>
      <c r="O167" s="142"/>
      <c r="Q167" s="151"/>
      <c r="R167" s="261" t="str">
        <f t="shared" si="33"/>
        <v>SourceCategory_F43</v>
      </c>
      <c r="S167" s="151"/>
      <c r="T167" s="217" t="b">
        <f t="shared" si="28"/>
        <v>0</v>
      </c>
      <c r="U167" s="261" t="str">
        <f t="shared" si="29"/>
        <v>SourceCategory_</v>
      </c>
      <c r="V167" s="151"/>
      <c r="W167" s="151"/>
      <c r="X167" s="263" t="str">
        <f t="shared" si="30"/>
        <v/>
      </c>
      <c r="Y167" s="151"/>
      <c r="Z167" s="151"/>
      <c r="AA167" s="151"/>
      <c r="AB167" s="151"/>
      <c r="AC167" s="151"/>
      <c r="AD167" s="217" t="b">
        <f t="shared" si="31"/>
        <v>0</v>
      </c>
    </row>
    <row r="168" spans="1:30" s="115" customFormat="1" ht="12.75" customHeight="1" x14ac:dyDescent="0.25">
      <c r="A168" s="151"/>
      <c r="C168" s="170"/>
      <c r="D168" s="260" t="str">
        <f t="shared" si="27"/>
        <v/>
      </c>
      <c r="E168" s="1187" t="str">
        <f t="shared" si="32"/>
        <v/>
      </c>
      <c r="F168" s="1188"/>
      <c r="G168" s="1188"/>
      <c r="H168" s="1188"/>
      <c r="I168" s="1188"/>
      <c r="J168" s="1189"/>
      <c r="K168" s="1190"/>
      <c r="L168" s="1191"/>
      <c r="M168" s="1190"/>
      <c r="N168" s="1191"/>
      <c r="O168" s="142"/>
      <c r="Q168" s="151"/>
      <c r="R168" s="261" t="str">
        <f t="shared" si="33"/>
        <v>SourceCategory_F44</v>
      </c>
      <c r="S168" s="151"/>
      <c r="T168" s="217" t="b">
        <f t="shared" si="28"/>
        <v>0</v>
      </c>
      <c r="U168" s="261" t="str">
        <f t="shared" si="29"/>
        <v>SourceCategory_</v>
      </c>
      <c r="V168" s="151"/>
      <c r="W168" s="151"/>
      <c r="X168" s="263" t="str">
        <f t="shared" si="30"/>
        <v/>
      </c>
      <c r="Y168" s="151"/>
      <c r="Z168" s="151"/>
      <c r="AA168" s="151"/>
      <c r="AB168" s="151"/>
      <c r="AC168" s="151"/>
      <c r="AD168" s="217" t="b">
        <f t="shared" si="31"/>
        <v>0</v>
      </c>
    </row>
    <row r="169" spans="1:30" s="115" customFormat="1" ht="12.75" customHeight="1" x14ac:dyDescent="0.25">
      <c r="A169" s="151"/>
      <c r="C169" s="170"/>
      <c r="D169" s="260" t="str">
        <f t="shared" si="27"/>
        <v/>
      </c>
      <c r="E169" s="1187" t="str">
        <f t="shared" si="32"/>
        <v/>
      </c>
      <c r="F169" s="1188"/>
      <c r="G169" s="1188"/>
      <c r="H169" s="1188"/>
      <c r="I169" s="1188"/>
      <c r="J169" s="1189"/>
      <c r="K169" s="1190"/>
      <c r="L169" s="1191"/>
      <c r="M169" s="1190"/>
      <c r="N169" s="1191"/>
      <c r="O169" s="142"/>
      <c r="Q169" s="151"/>
      <c r="R169" s="261" t="str">
        <f t="shared" si="33"/>
        <v>SourceCategory_F45</v>
      </c>
      <c r="S169" s="151"/>
      <c r="T169" s="217" t="b">
        <f t="shared" si="28"/>
        <v>0</v>
      </c>
      <c r="U169" s="261" t="str">
        <f t="shared" si="29"/>
        <v>SourceCategory_</v>
      </c>
      <c r="V169" s="151"/>
      <c r="W169" s="151"/>
      <c r="X169" s="263" t="str">
        <f t="shared" si="30"/>
        <v/>
      </c>
      <c r="Y169" s="151"/>
      <c r="Z169" s="151"/>
      <c r="AA169" s="151"/>
      <c r="AB169" s="151"/>
      <c r="AC169" s="151"/>
      <c r="AD169" s="217" t="b">
        <f t="shared" si="31"/>
        <v>0</v>
      </c>
    </row>
    <row r="170" spans="1:30" s="115" customFormat="1" ht="12.75" customHeight="1" x14ac:dyDescent="0.25">
      <c r="A170" s="151"/>
      <c r="C170" s="170"/>
      <c r="D170" s="260" t="str">
        <f t="shared" si="27"/>
        <v/>
      </c>
      <c r="E170" s="1187" t="str">
        <f t="shared" si="32"/>
        <v/>
      </c>
      <c r="F170" s="1188"/>
      <c r="G170" s="1188"/>
      <c r="H170" s="1188"/>
      <c r="I170" s="1188"/>
      <c r="J170" s="1189"/>
      <c r="K170" s="1190"/>
      <c r="L170" s="1191"/>
      <c r="M170" s="1190"/>
      <c r="N170" s="1191"/>
      <c r="O170" s="142"/>
      <c r="Q170" s="151"/>
      <c r="R170" s="261" t="str">
        <f t="shared" si="33"/>
        <v>SourceCategory_F46</v>
      </c>
      <c r="S170" s="151"/>
      <c r="T170" s="217" t="b">
        <f t="shared" si="28"/>
        <v>0</v>
      </c>
      <c r="U170" s="261" t="str">
        <f t="shared" si="29"/>
        <v>SourceCategory_</v>
      </c>
      <c r="V170" s="151"/>
      <c r="W170" s="151"/>
      <c r="X170" s="263" t="str">
        <f t="shared" si="30"/>
        <v/>
      </c>
      <c r="Y170" s="151"/>
      <c r="Z170" s="151"/>
      <c r="AA170" s="151"/>
      <c r="AB170" s="151"/>
      <c r="AC170" s="151"/>
      <c r="AD170" s="217" t="b">
        <f t="shared" si="31"/>
        <v>0</v>
      </c>
    </row>
    <row r="171" spans="1:30" s="115" customFormat="1" ht="12.75" customHeight="1" x14ac:dyDescent="0.25">
      <c r="A171" s="151"/>
      <c r="C171" s="170"/>
      <c r="D171" s="260" t="str">
        <f t="shared" si="27"/>
        <v/>
      </c>
      <c r="E171" s="1187" t="str">
        <f t="shared" si="32"/>
        <v/>
      </c>
      <c r="F171" s="1188"/>
      <c r="G171" s="1188"/>
      <c r="H171" s="1188"/>
      <c r="I171" s="1188"/>
      <c r="J171" s="1189"/>
      <c r="K171" s="1190"/>
      <c r="L171" s="1191"/>
      <c r="M171" s="1190"/>
      <c r="N171" s="1191"/>
      <c r="O171" s="142"/>
      <c r="Q171" s="151"/>
      <c r="R171" s="261" t="str">
        <f t="shared" si="33"/>
        <v>SourceCategory_F47</v>
      </c>
      <c r="S171" s="151"/>
      <c r="T171" s="217" t="b">
        <f t="shared" si="28"/>
        <v>0</v>
      </c>
      <c r="U171" s="261" t="str">
        <f t="shared" si="29"/>
        <v>SourceCategory_</v>
      </c>
      <c r="V171" s="151"/>
      <c r="W171" s="151"/>
      <c r="X171" s="263" t="str">
        <f t="shared" si="30"/>
        <v/>
      </c>
      <c r="Y171" s="151"/>
      <c r="Z171" s="151"/>
      <c r="AA171" s="151"/>
      <c r="AB171" s="151"/>
      <c r="AC171" s="151"/>
      <c r="AD171" s="217" t="b">
        <f t="shared" si="31"/>
        <v>0</v>
      </c>
    </row>
    <row r="172" spans="1:30" s="115" customFormat="1" ht="12.75" customHeight="1" x14ac:dyDescent="0.25">
      <c r="A172" s="151"/>
      <c r="C172" s="170"/>
      <c r="D172" s="260" t="str">
        <f t="shared" si="27"/>
        <v/>
      </c>
      <c r="E172" s="1187" t="str">
        <f t="shared" si="32"/>
        <v/>
      </c>
      <c r="F172" s="1188"/>
      <c r="G172" s="1188"/>
      <c r="H172" s="1188"/>
      <c r="I172" s="1188"/>
      <c r="J172" s="1189"/>
      <c r="K172" s="1190"/>
      <c r="L172" s="1191"/>
      <c r="M172" s="1190"/>
      <c r="N172" s="1191"/>
      <c r="O172" s="142"/>
      <c r="Q172" s="151"/>
      <c r="R172" s="261" t="str">
        <f t="shared" si="33"/>
        <v>SourceCategory_F48</v>
      </c>
      <c r="S172" s="151"/>
      <c r="T172" s="217" t="b">
        <f t="shared" si="28"/>
        <v>0</v>
      </c>
      <c r="U172" s="261" t="str">
        <f t="shared" si="29"/>
        <v>SourceCategory_</v>
      </c>
      <c r="V172" s="151"/>
      <c r="W172" s="151"/>
      <c r="X172" s="263" t="str">
        <f t="shared" si="30"/>
        <v/>
      </c>
      <c r="Y172" s="151"/>
      <c r="Z172" s="151"/>
      <c r="AA172" s="151"/>
      <c r="AB172" s="151"/>
      <c r="AC172" s="151"/>
      <c r="AD172" s="217" t="b">
        <f t="shared" si="31"/>
        <v>0</v>
      </c>
    </row>
    <row r="173" spans="1:30" s="115" customFormat="1" ht="12.75" customHeight="1" x14ac:dyDescent="0.25">
      <c r="A173" s="151"/>
      <c r="C173" s="170"/>
      <c r="D173" s="260" t="str">
        <f t="shared" si="27"/>
        <v/>
      </c>
      <c r="E173" s="1187" t="str">
        <f t="shared" si="32"/>
        <v/>
      </c>
      <c r="F173" s="1188"/>
      <c r="G173" s="1188"/>
      <c r="H173" s="1188"/>
      <c r="I173" s="1188"/>
      <c r="J173" s="1189"/>
      <c r="K173" s="1190"/>
      <c r="L173" s="1191"/>
      <c r="M173" s="1190"/>
      <c r="N173" s="1191"/>
      <c r="O173" s="142"/>
      <c r="Q173" s="151"/>
      <c r="R173" s="261" t="str">
        <f t="shared" si="33"/>
        <v>SourceCategory_F49</v>
      </c>
      <c r="S173" s="151"/>
      <c r="T173" s="217" t="b">
        <f t="shared" si="28"/>
        <v>0</v>
      </c>
      <c r="U173" s="261" t="str">
        <f t="shared" si="29"/>
        <v>SourceCategory_</v>
      </c>
      <c r="V173" s="151"/>
      <c r="W173" s="151"/>
      <c r="X173" s="263" t="str">
        <f t="shared" si="30"/>
        <v/>
      </c>
      <c r="Y173" s="151"/>
      <c r="Z173" s="151"/>
      <c r="AA173" s="151"/>
      <c r="AB173" s="151"/>
      <c r="AC173" s="151"/>
      <c r="AD173" s="217" t="b">
        <f t="shared" si="31"/>
        <v>0</v>
      </c>
    </row>
    <row r="174" spans="1:30" s="115" customFormat="1" ht="12.75" customHeight="1" x14ac:dyDescent="0.25">
      <c r="A174" s="151"/>
      <c r="C174" s="170"/>
      <c r="D174" s="260" t="str">
        <f t="shared" si="27"/>
        <v/>
      </c>
      <c r="E174" s="1187" t="str">
        <f t="shared" si="32"/>
        <v/>
      </c>
      <c r="F174" s="1188"/>
      <c r="G174" s="1188"/>
      <c r="H174" s="1188"/>
      <c r="I174" s="1188"/>
      <c r="J174" s="1189"/>
      <c r="K174" s="1190"/>
      <c r="L174" s="1191"/>
      <c r="M174" s="1190"/>
      <c r="N174" s="1191"/>
      <c r="O174" s="142"/>
      <c r="Q174" s="151"/>
      <c r="R174" s="261" t="str">
        <f t="shared" si="33"/>
        <v>SourceCategory_F50</v>
      </c>
      <c r="S174" s="151"/>
      <c r="T174" s="217" t="b">
        <f t="shared" si="28"/>
        <v>0</v>
      </c>
      <c r="U174" s="261" t="str">
        <f t="shared" si="29"/>
        <v>SourceCategory_</v>
      </c>
      <c r="V174" s="151"/>
      <c r="W174" s="151"/>
      <c r="X174" s="263" t="str">
        <f t="shared" si="30"/>
        <v/>
      </c>
      <c r="Y174" s="151"/>
      <c r="Z174" s="151"/>
      <c r="AA174" s="151"/>
      <c r="AB174" s="151"/>
      <c r="AC174" s="151"/>
      <c r="AD174" s="217" t="b">
        <f t="shared" si="31"/>
        <v>0</v>
      </c>
    </row>
    <row r="175" spans="1:30" s="115" customFormat="1" ht="12.75" customHeight="1" x14ac:dyDescent="0.25">
      <c r="A175" s="151"/>
      <c r="C175" s="170"/>
      <c r="E175" s="5"/>
      <c r="F175" s="5"/>
      <c r="G175" s="5"/>
      <c r="H175" s="5"/>
      <c r="I175" s="5"/>
      <c r="O175" s="142"/>
      <c r="Q175" s="151"/>
      <c r="R175" s="151"/>
      <c r="S175" s="151"/>
      <c r="T175" s="151"/>
      <c r="U175" s="151"/>
      <c r="V175" s="151"/>
      <c r="W175" s="151"/>
      <c r="X175" s="151"/>
      <c r="Y175" s="151"/>
      <c r="Z175" s="151"/>
      <c r="AA175" s="151"/>
      <c r="AB175" s="151"/>
      <c r="AC175" s="151"/>
      <c r="AD175" s="151"/>
    </row>
    <row r="176" spans="1:30" s="115" customFormat="1" ht="12.75" hidden="1" customHeight="1" x14ac:dyDescent="0.25">
      <c r="A176" s="137" t="s">
        <v>0</v>
      </c>
      <c r="B176" s="137" t="s">
        <v>18</v>
      </c>
      <c r="C176" s="137" t="s">
        <v>18</v>
      </c>
      <c r="D176" s="137" t="s">
        <v>18</v>
      </c>
      <c r="E176" s="137" t="s">
        <v>18</v>
      </c>
      <c r="F176" s="137" t="s">
        <v>18</v>
      </c>
      <c r="G176" s="137" t="s">
        <v>18</v>
      </c>
      <c r="H176" s="137" t="s">
        <v>18</v>
      </c>
      <c r="I176" s="137" t="s">
        <v>18</v>
      </c>
      <c r="J176" s="137" t="s">
        <v>18</v>
      </c>
      <c r="K176" s="137" t="s">
        <v>18</v>
      </c>
      <c r="L176" s="137" t="s">
        <v>18</v>
      </c>
      <c r="M176" s="137" t="s">
        <v>18</v>
      </c>
      <c r="N176" s="137" t="s">
        <v>18</v>
      </c>
      <c r="O176" s="265" t="s">
        <v>18</v>
      </c>
      <c r="P176" s="137" t="s">
        <v>18</v>
      </c>
      <c r="Q176" s="137" t="s">
        <v>18</v>
      </c>
      <c r="R176" s="137" t="s">
        <v>18</v>
      </c>
      <c r="S176" s="137" t="s">
        <v>18</v>
      </c>
      <c r="T176" s="137" t="s">
        <v>18</v>
      </c>
      <c r="U176" s="137" t="s">
        <v>18</v>
      </c>
      <c r="V176" s="137" t="s">
        <v>18</v>
      </c>
      <c r="W176" s="137" t="s">
        <v>18</v>
      </c>
      <c r="X176" s="137" t="s">
        <v>18</v>
      </c>
      <c r="Y176" s="137" t="s">
        <v>18</v>
      </c>
      <c r="Z176" s="137" t="s">
        <v>18</v>
      </c>
      <c r="AA176" s="137"/>
      <c r="AB176" s="137" t="s">
        <v>18</v>
      </c>
      <c r="AC176" s="137" t="s">
        <v>18</v>
      </c>
      <c r="AD176" s="137" t="s">
        <v>18</v>
      </c>
    </row>
    <row r="177" spans="1:30" s="113" customFormat="1" ht="12.75" hidden="1" customHeight="1" thickBot="1" x14ac:dyDescent="0.3">
      <c r="A177" s="110" t="s">
        <v>0</v>
      </c>
      <c r="B177" s="110"/>
      <c r="C177" s="110"/>
      <c r="D177" s="110"/>
      <c r="E177" s="111"/>
      <c r="F177" s="266"/>
      <c r="G177" s="111"/>
      <c r="H177" s="111"/>
      <c r="I177" s="111"/>
      <c r="J177" s="111"/>
      <c r="K177" s="111"/>
      <c r="L177" s="111"/>
      <c r="M177" s="111"/>
      <c r="N177" s="111"/>
      <c r="O177" s="211"/>
      <c r="P177" s="113" t="s">
        <v>3</v>
      </c>
    </row>
    <row r="178" spans="1:30" s="115" customFormat="1" ht="12.75" hidden="1" customHeight="1" thickBot="1" x14ac:dyDescent="0.3">
      <c r="A178" s="137" t="s">
        <v>0</v>
      </c>
      <c r="B178" s="132"/>
      <c r="C178" s="132"/>
      <c r="D178" s="132"/>
      <c r="E178" s="116"/>
      <c r="F178" s="267"/>
      <c r="G178" s="268"/>
      <c r="H178" s="268"/>
      <c r="I178" s="268" t="str">
        <f>Translations!$B$213</f>
        <v>fuel stream</v>
      </c>
      <c r="J178" s="268"/>
      <c r="K178" s="268" t="str">
        <f>Translations!$B$214</f>
        <v>fuel stream name</v>
      </c>
      <c r="L178" s="268"/>
      <c r="M178" s="269"/>
      <c r="N178" s="116"/>
      <c r="O178" s="142"/>
      <c r="Q178" s="151"/>
      <c r="R178" s="151"/>
      <c r="S178" s="151"/>
      <c r="T178" s="151"/>
      <c r="U178" s="151"/>
      <c r="V178" s="151"/>
      <c r="W178" s="151"/>
      <c r="X178" s="151"/>
      <c r="Y178" s="151"/>
      <c r="Z178" s="151"/>
      <c r="AA178" s="151"/>
      <c r="AB178" s="151"/>
      <c r="AC178" s="151"/>
      <c r="AD178" s="151"/>
    </row>
    <row r="179" spans="1:30" s="115" customFormat="1" ht="12.75" hidden="1" customHeight="1" x14ac:dyDescent="0.25">
      <c r="A179" s="137" t="s">
        <v>0</v>
      </c>
      <c r="B179" s="132"/>
      <c r="C179" s="132"/>
      <c r="D179" s="132"/>
      <c r="E179" s="116"/>
      <c r="F179" s="270">
        <v>1</v>
      </c>
      <c r="G179" s="271" t="str">
        <f t="shared" ref="G179:G186" si="34">IFERROR(INDEX(EUConst_TierActivityListNames,F179),"")</f>
        <v>Commercial standard fuels</v>
      </c>
      <c r="H179" s="271">
        <f t="shared" ref="H179:H186" si="35">F179</f>
        <v>1</v>
      </c>
      <c r="I179" s="272" t="str">
        <f t="shared" ref="I179:I186" si="36">IF(ISERROR(INDEX(EUConst_TierActivityListNames,MATCH(F179,$H$179:$H$186,0))),"",INDEX(EUConst_TierActivityListNames,MATCH(F179,$H$179:$H$186,0)))</f>
        <v>Commercial standard fuels</v>
      </c>
      <c r="J179" s="271"/>
      <c r="K179" s="271"/>
      <c r="L179" s="271"/>
      <c r="M179" s="273"/>
      <c r="N179" s="116"/>
      <c r="O179" s="142"/>
      <c r="Q179" s="151"/>
      <c r="R179" s="151"/>
      <c r="S179" s="151"/>
      <c r="T179" s="151"/>
      <c r="U179" s="151"/>
      <c r="V179" s="151"/>
      <c r="W179" s="151"/>
      <c r="X179" s="151"/>
      <c r="Y179" s="151"/>
      <c r="Z179" s="151"/>
      <c r="AA179" s="151"/>
      <c r="AB179" s="151"/>
      <c r="AC179" s="151"/>
      <c r="AD179" s="151"/>
    </row>
    <row r="180" spans="1:30" s="115" customFormat="1" ht="12.75" hidden="1" customHeight="1" x14ac:dyDescent="0.25">
      <c r="A180" s="137" t="s">
        <v>0</v>
      </c>
      <c r="B180" s="132"/>
      <c r="C180" s="132"/>
      <c r="D180" s="132"/>
      <c r="E180" s="116"/>
      <c r="F180" s="274">
        <v>2</v>
      </c>
      <c r="G180" s="275" t="str">
        <f t="shared" si="34"/>
        <v>Other gaseous &amp; liquid fuels</v>
      </c>
      <c r="H180" s="275">
        <f t="shared" si="35"/>
        <v>2</v>
      </c>
      <c r="I180" s="276" t="str">
        <f t="shared" si="36"/>
        <v>Other gaseous &amp; liquid fuels</v>
      </c>
      <c r="J180" s="275"/>
      <c r="K180" s="275"/>
      <c r="L180" s="275"/>
      <c r="M180" s="277"/>
      <c r="N180" s="116"/>
      <c r="O180" s="142"/>
      <c r="Q180" s="151"/>
      <c r="R180" s="151"/>
      <c r="S180" s="151"/>
      <c r="T180" s="151"/>
      <c r="U180" s="151"/>
      <c r="V180" s="151"/>
      <c r="W180" s="151"/>
      <c r="X180" s="151"/>
      <c r="Y180" s="151"/>
      <c r="Z180" s="151"/>
      <c r="AA180" s="151"/>
      <c r="AB180" s="151"/>
      <c r="AC180" s="151"/>
      <c r="AD180" s="151"/>
    </row>
    <row r="181" spans="1:30" s="115" customFormat="1" ht="12.75" hidden="1" customHeight="1" x14ac:dyDescent="0.25">
      <c r="A181" s="137" t="s">
        <v>0</v>
      </c>
      <c r="B181" s="132"/>
      <c r="C181" s="132"/>
      <c r="D181" s="132"/>
      <c r="E181" s="116"/>
      <c r="F181" s="274">
        <v>3</v>
      </c>
      <c r="G181" s="275" t="str">
        <f t="shared" si="34"/>
        <v>Solid fuels</v>
      </c>
      <c r="H181" s="275">
        <f t="shared" si="35"/>
        <v>3</v>
      </c>
      <c r="I181" s="276" t="str">
        <f t="shared" si="36"/>
        <v>Solid fuels</v>
      </c>
      <c r="J181" s="275"/>
      <c r="K181" s="275"/>
      <c r="L181" s="275"/>
      <c r="M181" s="277"/>
      <c r="N181" s="116"/>
      <c r="O181" s="142"/>
      <c r="Q181" s="151"/>
      <c r="R181" s="151"/>
      <c r="S181" s="151"/>
      <c r="T181" s="151"/>
      <c r="U181" s="151"/>
      <c r="V181" s="151"/>
      <c r="W181" s="151"/>
      <c r="X181" s="151"/>
      <c r="Y181" s="151"/>
      <c r="Z181" s="151"/>
      <c r="AA181" s="151"/>
      <c r="AB181" s="151"/>
      <c r="AC181" s="151"/>
      <c r="AD181" s="151"/>
    </row>
    <row r="182" spans="1:30" s="115" customFormat="1" ht="12.75" hidden="1" customHeight="1" x14ac:dyDescent="0.25">
      <c r="A182" s="137" t="s">
        <v>0</v>
      </c>
      <c r="B182" s="132"/>
      <c r="C182" s="132"/>
      <c r="D182" s="132"/>
      <c r="E182" s="116"/>
      <c r="F182" s="274">
        <v>4</v>
      </c>
      <c r="G182" s="275" t="str">
        <f t="shared" si="34"/>
        <v>Fuels equivalent to commercial standard fuels (Art. 75k(2))</v>
      </c>
      <c r="H182" s="275">
        <f t="shared" si="35"/>
        <v>4</v>
      </c>
      <c r="I182" s="276" t="str">
        <f t="shared" si="36"/>
        <v>Fuels equivalent to commercial standard fuels (Art. 75k(2))</v>
      </c>
      <c r="J182" s="275"/>
      <c r="K182" s="275"/>
      <c r="L182" s="275"/>
      <c r="M182" s="277"/>
      <c r="N182" s="116"/>
      <c r="O182" s="142"/>
      <c r="Q182" s="151"/>
      <c r="R182" s="151"/>
      <c r="S182" s="151"/>
      <c r="T182" s="151"/>
      <c r="U182" s="151"/>
      <c r="V182" s="151"/>
      <c r="W182" s="151"/>
      <c r="X182" s="151"/>
      <c r="Y182" s="151"/>
      <c r="Z182" s="151"/>
      <c r="AA182" s="151"/>
      <c r="AB182" s="151"/>
      <c r="AC182" s="151"/>
      <c r="AD182" s="151"/>
    </row>
    <row r="183" spans="1:30" s="115" customFormat="1" ht="12.75" hidden="1" customHeight="1" x14ac:dyDescent="0.25">
      <c r="A183" s="137" t="s">
        <v>0</v>
      </c>
      <c r="B183" s="132"/>
      <c r="C183" s="132"/>
      <c r="D183" s="132"/>
      <c r="E183" s="116"/>
      <c r="F183" s="274">
        <v>5</v>
      </c>
      <c r="G183" s="275" t="str">
        <f t="shared" si="34"/>
        <v/>
      </c>
      <c r="H183" s="275">
        <f t="shared" si="35"/>
        <v>5</v>
      </c>
      <c r="I183" s="276" t="str">
        <f t="shared" si="36"/>
        <v/>
      </c>
      <c r="J183" s="275"/>
      <c r="K183" s="275"/>
      <c r="L183" s="275"/>
      <c r="M183" s="277"/>
      <c r="N183" s="116"/>
      <c r="O183" s="142"/>
      <c r="Q183" s="151"/>
      <c r="R183" s="151"/>
      <c r="S183" s="151"/>
      <c r="T183" s="151"/>
      <c r="U183" s="151"/>
      <c r="V183" s="151"/>
      <c r="W183" s="151"/>
      <c r="X183" s="151"/>
      <c r="Y183" s="151"/>
      <c r="Z183" s="151"/>
      <c r="AA183" s="151"/>
      <c r="AB183" s="151"/>
      <c r="AC183" s="151"/>
      <c r="AD183" s="151"/>
    </row>
    <row r="184" spans="1:30" s="115" customFormat="1" ht="12.75" hidden="1" customHeight="1" x14ac:dyDescent="0.25">
      <c r="A184" s="137" t="s">
        <v>0</v>
      </c>
      <c r="B184" s="132"/>
      <c r="C184" s="132"/>
      <c r="D184" s="132"/>
      <c r="E184" s="116"/>
      <c r="F184" s="274">
        <v>6</v>
      </c>
      <c r="G184" s="275" t="str">
        <f t="shared" si="34"/>
        <v/>
      </c>
      <c r="H184" s="275">
        <f t="shared" si="35"/>
        <v>6</v>
      </c>
      <c r="I184" s="276" t="str">
        <f t="shared" si="36"/>
        <v/>
      </c>
      <c r="J184" s="275"/>
      <c r="K184" s="275"/>
      <c r="L184" s="275"/>
      <c r="M184" s="277"/>
      <c r="N184" s="116"/>
      <c r="O184" s="142"/>
      <c r="Q184" s="151"/>
      <c r="R184" s="151"/>
      <c r="S184" s="151"/>
      <c r="T184" s="151"/>
      <c r="U184" s="151"/>
      <c r="V184" s="151"/>
      <c r="W184" s="151"/>
      <c r="X184" s="151"/>
      <c r="Y184" s="151"/>
      <c r="Z184" s="151"/>
      <c r="AA184" s="151"/>
      <c r="AB184" s="151"/>
      <c r="AC184" s="151"/>
      <c r="AD184" s="151"/>
    </row>
    <row r="185" spans="1:30" s="115" customFormat="1" ht="12.75" hidden="1" customHeight="1" x14ac:dyDescent="0.25">
      <c r="A185" s="137" t="s">
        <v>0</v>
      </c>
      <c r="B185" s="132"/>
      <c r="C185" s="132"/>
      <c r="D185" s="132"/>
      <c r="E185" s="116"/>
      <c r="F185" s="278">
        <v>7</v>
      </c>
      <c r="G185" s="279" t="str">
        <f t="shared" si="34"/>
        <v/>
      </c>
      <c r="H185" s="279">
        <f t="shared" si="35"/>
        <v>7</v>
      </c>
      <c r="I185" s="280" t="str">
        <f t="shared" si="36"/>
        <v/>
      </c>
      <c r="J185" s="279"/>
      <c r="K185" s="279"/>
      <c r="L185" s="279"/>
      <c r="M185" s="281"/>
      <c r="N185" s="116"/>
      <c r="O185" s="142"/>
      <c r="Q185" s="151"/>
      <c r="R185" s="151"/>
      <c r="S185" s="151"/>
      <c r="T185" s="151"/>
      <c r="U185" s="151"/>
      <c r="V185" s="151"/>
      <c r="W185" s="151"/>
      <c r="X185" s="151"/>
      <c r="Y185" s="151"/>
      <c r="Z185" s="151"/>
      <c r="AA185" s="151"/>
      <c r="AB185" s="151"/>
      <c r="AC185" s="151"/>
      <c r="AD185" s="151"/>
    </row>
    <row r="186" spans="1:30" s="115" customFormat="1" ht="12.75" hidden="1" customHeight="1" thickBot="1" x14ac:dyDescent="0.3">
      <c r="A186" s="137" t="s">
        <v>0</v>
      </c>
      <c r="B186" s="132"/>
      <c r="C186" s="132"/>
      <c r="D186" s="132"/>
      <c r="E186" s="116"/>
      <c r="F186" s="282">
        <v>8</v>
      </c>
      <c r="G186" s="283" t="str">
        <f t="shared" si="34"/>
        <v/>
      </c>
      <c r="H186" s="283">
        <f t="shared" si="35"/>
        <v>8</v>
      </c>
      <c r="I186" s="284" t="str">
        <f t="shared" si="36"/>
        <v/>
      </c>
      <c r="J186" s="283"/>
      <c r="K186" s="283"/>
      <c r="L186" s="283"/>
      <c r="M186" s="285"/>
      <c r="N186" s="116"/>
      <c r="O186" s="142"/>
      <c r="Q186" s="151"/>
      <c r="R186" s="151"/>
      <c r="S186" s="151"/>
      <c r="T186" s="151"/>
      <c r="U186" s="151"/>
      <c r="V186" s="151"/>
      <c r="W186" s="151"/>
      <c r="X186" s="151"/>
      <c r="Y186" s="151"/>
      <c r="Z186" s="151"/>
      <c r="AA186" s="151"/>
      <c r="AB186" s="151"/>
      <c r="AC186" s="151"/>
      <c r="AD186" s="151"/>
    </row>
    <row r="187" spans="1:30" hidden="1" x14ac:dyDescent="0.25">
      <c r="A187" s="137" t="s">
        <v>0</v>
      </c>
      <c r="B187" s="116"/>
      <c r="C187" s="116"/>
      <c r="D187" s="116"/>
      <c r="E187" s="116"/>
      <c r="F187" s="116"/>
      <c r="G187" s="116"/>
      <c r="H187" s="116"/>
      <c r="I187" s="116"/>
      <c r="J187" s="116"/>
      <c r="K187" s="116"/>
      <c r="L187" s="116"/>
      <c r="M187" s="116"/>
      <c r="N187" s="116"/>
      <c r="O187" s="117"/>
      <c r="P187" s="116"/>
      <c r="Q187" s="287"/>
      <c r="R187" s="287"/>
      <c r="S187" s="287"/>
      <c r="T187" s="287"/>
      <c r="U187" s="287"/>
      <c r="V187" s="287"/>
      <c r="W187" s="287"/>
      <c r="X187" s="287"/>
      <c r="Y187" s="287"/>
      <c r="Z187" s="287"/>
      <c r="AA187" s="287"/>
      <c r="AB187" s="287"/>
      <c r="AC187" s="287"/>
      <c r="AD187" s="287"/>
    </row>
  </sheetData>
  <sheetProtection sheet="1" objects="1" scenarios="1" formatCells="0" formatColumns="0" formatRows="0"/>
  <mergeCells count="414">
    <mergeCell ref="E10:N10"/>
    <mergeCell ref="E118:N118"/>
    <mergeCell ref="F55:N55"/>
    <mergeCell ref="F56:N56"/>
    <mergeCell ref="F57:N57"/>
    <mergeCell ref="F58:N58"/>
    <mergeCell ref="F59:N59"/>
    <mergeCell ref="E65:H65"/>
    <mergeCell ref="I65:K65"/>
    <mergeCell ref="L65:M65"/>
    <mergeCell ref="F60:N60"/>
    <mergeCell ref="L63:M63"/>
    <mergeCell ref="E52:N52"/>
    <mergeCell ref="F53:N53"/>
    <mergeCell ref="F54:N54"/>
    <mergeCell ref="E83:H83"/>
    <mergeCell ref="E86:H86"/>
    <mergeCell ref="E87:H87"/>
    <mergeCell ref="E88:H88"/>
    <mergeCell ref="E76:H76"/>
    <mergeCell ref="E89:H89"/>
    <mergeCell ref="E90:H90"/>
    <mergeCell ref="E77:H77"/>
    <mergeCell ref="E78:H78"/>
    <mergeCell ref="E148:J148"/>
    <mergeCell ref="K148:L148"/>
    <mergeCell ref="M148:N148"/>
    <mergeCell ref="K146:L146"/>
    <mergeCell ref="M146:N146"/>
    <mergeCell ref="K174:L174"/>
    <mergeCell ref="M174:N174"/>
    <mergeCell ref="E136:J136"/>
    <mergeCell ref="E137:J137"/>
    <mergeCell ref="E138:J138"/>
    <mergeCell ref="E139:J139"/>
    <mergeCell ref="E140:J140"/>
    <mergeCell ref="E141:J141"/>
    <mergeCell ref="K145:L145"/>
    <mergeCell ref="M145:N145"/>
    <mergeCell ref="E174:J174"/>
    <mergeCell ref="E142:J142"/>
    <mergeCell ref="E143:J143"/>
    <mergeCell ref="E144:J144"/>
    <mergeCell ref="E145:J145"/>
    <mergeCell ref="E146:J146"/>
    <mergeCell ref="E147:J147"/>
    <mergeCell ref="K139:L139"/>
    <mergeCell ref="M139:N139"/>
    <mergeCell ref="K140:L140"/>
    <mergeCell ref="M140:N140"/>
    <mergeCell ref="K141:L141"/>
    <mergeCell ref="M141:N141"/>
    <mergeCell ref="K147:L147"/>
    <mergeCell ref="M147:N147"/>
    <mergeCell ref="K142:L142"/>
    <mergeCell ref="M142:N142"/>
    <mergeCell ref="K143:L143"/>
    <mergeCell ref="M143:N143"/>
    <mergeCell ref="K144:L144"/>
    <mergeCell ref="M144:N144"/>
    <mergeCell ref="I81:K81"/>
    <mergeCell ref="I82:K82"/>
    <mergeCell ref="K124:L124"/>
    <mergeCell ref="M124:N124"/>
    <mergeCell ref="E122:J122"/>
    <mergeCell ref="E123:J123"/>
    <mergeCell ref="E124:J124"/>
    <mergeCell ref="K138:L138"/>
    <mergeCell ref="M138:N138"/>
    <mergeCell ref="K130:L130"/>
    <mergeCell ref="M130:N130"/>
    <mergeCell ref="K129:L129"/>
    <mergeCell ref="K122:L122"/>
    <mergeCell ref="M122:N122"/>
    <mergeCell ref="K123:L123"/>
    <mergeCell ref="M123:N123"/>
    <mergeCell ref="K131:L131"/>
    <mergeCell ref="M131:N131"/>
    <mergeCell ref="M129:N129"/>
    <mergeCell ref="E129:J129"/>
    <mergeCell ref="E130:J130"/>
    <mergeCell ref="E131:J131"/>
    <mergeCell ref="K132:L132"/>
    <mergeCell ref="M132:N132"/>
    <mergeCell ref="L72:M72"/>
    <mergeCell ref="L73:M73"/>
    <mergeCell ref="L74:M74"/>
    <mergeCell ref="L75:M75"/>
    <mergeCell ref="L76:M76"/>
    <mergeCell ref="L77:M77"/>
    <mergeCell ref="L78:M78"/>
    <mergeCell ref="L79:M79"/>
    <mergeCell ref="I80:K80"/>
    <mergeCell ref="L85:M85"/>
    <mergeCell ref="L86:M86"/>
    <mergeCell ref="L87:M87"/>
    <mergeCell ref="E63:H63"/>
    <mergeCell ref="E64:H64"/>
    <mergeCell ref="E66:H66"/>
    <mergeCell ref="E67:H67"/>
    <mergeCell ref="E68:H68"/>
    <mergeCell ref="E69:H69"/>
    <mergeCell ref="E70:H70"/>
    <mergeCell ref="E71:H71"/>
    <mergeCell ref="E72:H72"/>
    <mergeCell ref="E73:H73"/>
    <mergeCell ref="E74:H74"/>
    <mergeCell ref="E75:H75"/>
    <mergeCell ref="L64:M64"/>
    <mergeCell ref="L66:M66"/>
    <mergeCell ref="L67:M67"/>
    <mergeCell ref="L68:M68"/>
    <mergeCell ref="L69:M69"/>
    <mergeCell ref="I79:K79"/>
    <mergeCell ref="I71:K71"/>
    <mergeCell ref="I67:K67"/>
    <mergeCell ref="E79:H79"/>
    <mergeCell ref="I83:K83"/>
    <mergeCell ref="I84:K84"/>
    <mergeCell ref="I64:K64"/>
    <mergeCell ref="I66:K66"/>
    <mergeCell ref="I68:K68"/>
    <mergeCell ref="I69:K69"/>
    <mergeCell ref="I70:K70"/>
    <mergeCell ref="H43:M43"/>
    <mergeCell ref="H44:M44"/>
    <mergeCell ref="H45:M45"/>
    <mergeCell ref="H46:M46"/>
    <mergeCell ref="L84:M84"/>
    <mergeCell ref="E80:H80"/>
    <mergeCell ref="E81:H81"/>
    <mergeCell ref="E82:H82"/>
    <mergeCell ref="I63:K63"/>
    <mergeCell ref="L80:M80"/>
    <mergeCell ref="L81:M81"/>
    <mergeCell ref="L82:M82"/>
    <mergeCell ref="L83:M83"/>
    <mergeCell ref="I72:K72"/>
    <mergeCell ref="I73:K73"/>
    <mergeCell ref="L70:M70"/>
    <mergeCell ref="L71:M71"/>
    <mergeCell ref="F45:G45"/>
    <mergeCell ref="F46:G46"/>
    <mergeCell ref="E128:J128"/>
    <mergeCell ref="I75:K75"/>
    <mergeCell ref="I76:K76"/>
    <mergeCell ref="I77:K77"/>
    <mergeCell ref="I78:K78"/>
    <mergeCell ref="E120:N120"/>
    <mergeCell ref="I85:K85"/>
    <mergeCell ref="E84:H84"/>
    <mergeCell ref="E85:H85"/>
    <mergeCell ref="K126:L126"/>
    <mergeCell ref="M126:N126"/>
    <mergeCell ref="K127:L127"/>
    <mergeCell ref="M127:N127"/>
    <mergeCell ref="E126:J126"/>
    <mergeCell ref="E127:J127"/>
    <mergeCell ref="I86:K86"/>
    <mergeCell ref="I87:K87"/>
    <mergeCell ref="I88:K88"/>
    <mergeCell ref="E61:N61"/>
    <mergeCell ref="I74:K74"/>
    <mergeCell ref="K128:L128"/>
    <mergeCell ref="M128:N128"/>
    <mergeCell ref="H42:M42"/>
    <mergeCell ref="F37:G37"/>
    <mergeCell ref="F38:G38"/>
    <mergeCell ref="F39:G39"/>
    <mergeCell ref="F40:G40"/>
    <mergeCell ref="F41:G41"/>
    <mergeCell ref="F42:G42"/>
    <mergeCell ref="H35:M35"/>
    <mergeCell ref="H36:M36"/>
    <mergeCell ref="H37:M37"/>
    <mergeCell ref="H38:M38"/>
    <mergeCell ref="H39:M39"/>
    <mergeCell ref="H40:M40"/>
    <mergeCell ref="F35:G35"/>
    <mergeCell ref="F36:G36"/>
    <mergeCell ref="H23:M23"/>
    <mergeCell ref="H24:M24"/>
    <mergeCell ref="H25:M25"/>
    <mergeCell ref="H26:M26"/>
    <mergeCell ref="H27:M27"/>
    <mergeCell ref="F23:G23"/>
    <mergeCell ref="H41:M41"/>
    <mergeCell ref="F17:G17"/>
    <mergeCell ref="F16:G16"/>
    <mergeCell ref="H22:M22"/>
    <mergeCell ref="F15:G15"/>
    <mergeCell ref="F20:G20"/>
    <mergeCell ref="F21:G21"/>
    <mergeCell ref="F22:G22"/>
    <mergeCell ref="F19:G19"/>
    <mergeCell ref="F18:G18"/>
    <mergeCell ref="H34:M34"/>
    <mergeCell ref="F34:G34"/>
    <mergeCell ref="E2:F2"/>
    <mergeCell ref="G2:H2"/>
    <mergeCell ref="I4:J4"/>
    <mergeCell ref="E3:F3"/>
    <mergeCell ref="C6:N6"/>
    <mergeCell ref="K2:L2"/>
    <mergeCell ref="M2:N2"/>
    <mergeCell ref="B2:D4"/>
    <mergeCell ref="I2:J2"/>
    <mergeCell ref="G4:H4"/>
    <mergeCell ref="I3:J3"/>
    <mergeCell ref="G3:H3"/>
    <mergeCell ref="E4:F4"/>
    <mergeCell ref="M3:N3"/>
    <mergeCell ref="M4:N4"/>
    <mergeCell ref="K3:L3"/>
    <mergeCell ref="K4:L4"/>
    <mergeCell ref="D8:N8"/>
    <mergeCell ref="F43:G43"/>
    <mergeCell ref="F44:G44"/>
    <mergeCell ref="E30:N30"/>
    <mergeCell ref="E51:N51"/>
    <mergeCell ref="E32:N32"/>
    <mergeCell ref="H15:M15"/>
    <mergeCell ref="E50:M50"/>
    <mergeCell ref="D48:N48"/>
    <mergeCell ref="H16:M16"/>
    <mergeCell ref="E31:N31"/>
    <mergeCell ref="F24:G24"/>
    <mergeCell ref="F25:G25"/>
    <mergeCell ref="E13:N13"/>
    <mergeCell ref="E11:N11"/>
    <mergeCell ref="E12:N12"/>
    <mergeCell ref="F26:G26"/>
    <mergeCell ref="F27:G27"/>
    <mergeCell ref="H17:M17"/>
    <mergeCell ref="H18:M18"/>
    <mergeCell ref="H19:M19"/>
    <mergeCell ref="H20:M20"/>
    <mergeCell ref="H21:M21"/>
    <mergeCell ref="I89:K89"/>
    <mergeCell ref="K125:L125"/>
    <mergeCell ref="M125:N125"/>
    <mergeCell ref="E125:J125"/>
    <mergeCell ref="E119:N119"/>
    <mergeCell ref="I90:K90"/>
    <mergeCell ref="I116:K116"/>
    <mergeCell ref="L88:M88"/>
    <mergeCell ref="L89:M89"/>
    <mergeCell ref="L90:M90"/>
    <mergeCell ref="L116:M116"/>
    <mergeCell ref="E116:H116"/>
    <mergeCell ref="E91:H91"/>
    <mergeCell ref="I91:K91"/>
    <mergeCell ref="L91:M91"/>
    <mergeCell ref="E92:H92"/>
    <mergeCell ref="I92:K92"/>
    <mergeCell ref="L92:M92"/>
    <mergeCell ref="E93:H93"/>
    <mergeCell ref="I93:K93"/>
    <mergeCell ref="L93:M93"/>
    <mergeCell ref="E94:H94"/>
    <mergeCell ref="I94:K94"/>
    <mergeCell ref="L94:M94"/>
    <mergeCell ref="K137:L137"/>
    <mergeCell ref="M137:N137"/>
    <mergeCell ref="E132:J132"/>
    <mergeCell ref="E133:J133"/>
    <mergeCell ref="E134:J134"/>
    <mergeCell ref="E135:J135"/>
    <mergeCell ref="K133:L133"/>
    <mergeCell ref="M133:N133"/>
    <mergeCell ref="K134:L134"/>
    <mergeCell ref="M134:N134"/>
    <mergeCell ref="K135:L135"/>
    <mergeCell ref="M135:N135"/>
    <mergeCell ref="K136:L136"/>
    <mergeCell ref="M136:N136"/>
    <mergeCell ref="E95:H95"/>
    <mergeCell ref="I95:K95"/>
    <mergeCell ref="L95:M95"/>
    <mergeCell ref="E96:H96"/>
    <mergeCell ref="I96:K96"/>
    <mergeCell ref="L96:M96"/>
    <mergeCell ref="E97:H97"/>
    <mergeCell ref="I97:K97"/>
    <mergeCell ref="L97:M97"/>
    <mergeCell ref="E98:H98"/>
    <mergeCell ref="I98:K98"/>
    <mergeCell ref="L98:M98"/>
    <mergeCell ref="E99:H99"/>
    <mergeCell ref="I99:K99"/>
    <mergeCell ref="L99:M99"/>
    <mergeCell ref="E100:H100"/>
    <mergeCell ref="I100:K100"/>
    <mergeCell ref="L100:M100"/>
    <mergeCell ref="E101:H101"/>
    <mergeCell ref="I101:K101"/>
    <mergeCell ref="L101:M101"/>
    <mergeCell ref="E102:H102"/>
    <mergeCell ref="I102:K102"/>
    <mergeCell ref="L102:M102"/>
    <mergeCell ref="E103:H103"/>
    <mergeCell ref="I103:K103"/>
    <mergeCell ref="L103:M103"/>
    <mergeCell ref="E104:H104"/>
    <mergeCell ref="I104:K104"/>
    <mergeCell ref="L104:M104"/>
    <mergeCell ref="E105:H105"/>
    <mergeCell ref="I105:K105"/>
    <mergeCell ref="L105:M105"/>
    <mergeCell ref="E106:H106"/>
    <mergeCell ref="I106:K106"/>
    <mergeCell ref="L106:M106"/>
    <mergeCell ref="E107:H107"/>
    <mergeCell ref="I107:K107"/>
    <mergeCell ref="L107:M107"/>
    <mergeCell ref="E108:H108"/>
    <mergeCell ref="I108:K108"/>
    <mergeCell ref="L108:M108"/>
    <mergeCell ref="E109:H109"/>
    <mergeCell ref="I109:K109"/>
    <mergeCell ref="L109:M109"/>
    <mergeCell ref="E110:H110"/>
    <mergeCell ref="I110:K110"/>
    <mergeCell ref="L110:M110"/>
    <mergeCell ref="E111:H111"/>
    <mergeCell ref="I111:K111"/>
    <mergeCell ref="L111:M111"/>
    <mergeCell ref="E112:H112"/>
    <mergeCell ref="I112:K112"/>
    <mergeCell ref="L112:M112"/>
    <mergeCell ref="E113:H113"/>
    <mergeCell ref="I113:K113"/>
    <mergeCell ref="L113:M113"/>
    <mergeCell ref="E114:H114"/>
    <mergeCell ref="I114:K114"/>
    <mergeCell ref="L114:M114"/>
    <mergeCell ref="E115:H115"/>
    <mergeCell ref="I115:K115"/>
    <mergeCell ref="L115:M115"/>
    <mergeCell ref="E149:J149"/>
    <mergeCell ref="K149:L149"/>
    <mergeCell ref="M149:N149"/>
    <mergeCell ref="E150:J150"/>
    <mergeCell ref="K150:L150"/>
    <mergeCell ref="M150:N150"/>
    <mergeCell ref="E151:J151"/>
    <mergeCell ref="K151:L151"/>
    <mergeCell ref="M151:N151"/>
    <mergeCell ref="E152:J152"/>
    <mergeCell ref="K152:L152"/>
    <mergeCell ref="M152:N152"/>
    <mergeCell ref="E153:J153"/>
    <mergeCell ref="K153:L153"/>
    <mergeCell ref="M153:N153"/>
    <mergeCell ref="E154:J154"/>
    <mergeCell ref="K154:L154"/>
    <mergeCell ref="M154:N154"/>
    <mergeCell ref="E155:J155"/>
    <mergeCell ref="K155:L155"/>
    <mergeCell ref="M155:N155"/>
    <mergeCell ref="E156:J156"/>
    <mergeCell ref="K156:L156"/>
    <mergeCell ref="M156:N156"/>
    <mergeCell ref="E157:J157"/>
    <mergeCell ref="K157:L157"/>
    <mergeCell ref="M157:N157"/>
    <mergeCell ref="E158:J158"/>
    <mergeCell ref="K158:L158"/>
    <mergeCell ref="M158:N158"/>
    <mergeCell ref="E159:J159"/>
    <mergeCell ref="K159:L159"/>
    <mergeCell ref="M159:N159"/>
    <mergeCell ref="E160:J160"/>
    <mergeCell ref="K160:L160"/>
    <mergeCell ref="M160:N160"/>
    <mergeCell ref="E161:J161"/>
    <mergeCell ref="K161:L161"/>
    <mergeCell ref="M161:N161"/>
    <mergeCell ref="E162:J162"/>
    <mergeCell ref="K162:L162"/>
    <mergeCell ref="M162:N162"/>
    <mergeCell ref="E163:J163"/>
    <mergeCell ref="K163:L163"/>
    <mergeCell ref="M163:N163"/>
    <mergeCell ref="E164:J164"/>
    <mergeCell ref="K164:L164"/>
    <mergeCell ref="M164:N164"/>
    <mergeCell ref="E165:J165"/>
    <mergeCell ref="K165:L165"/>
    <mergeCell ref="M165:N165"/>
    <mergeCell ref="E166:J166"/>
    <mergeCell ref="K166:L166"/>
    <mergeCell ref="M166:N166"/>
    <mergeCell ref="E167:J167"/>
    <mergeCell ref="K167:L167"/>
    <mergeCell ref="M167:N167"/>
    <mergeCell ref="E168:J168"/>
    <mergeCell ref="K168:L168"/>
    <mergeCell ref="M168:N168"/>
    <mergeCell ref="E169:J169"/>
    <mergeCell ref="K169:L169"/>
    <mergeCell ref="M169:N169"/>
    <mergeCell ref="E173:J173"/>
    <mergeCell ref="K173:L173"/>
    <mergeCell ref="M173:N173"/>
    <mergeCell ref="E170:J170"/>
    <mergeCell ref="K170:L170"/>
    <mergeCell ref="M170:N170"/>
    <mergeCell ref="E171:J171"/>
    <mergeCell ref="K171:L171"/>
    <mergeCell ref="M171:N171"/>
    <mergeCell ref="E172:J172"/>
    <mergeCell ref="K172:L172"/>
    <mergeCell ref="M172:N172"/>
  </mergeCells>
  <phoneticPr fontId="6" type="noConversion"/>
  <conditionalFormatting sqref="D125:N174">
    <cfRule type="expression" dxfId="1236" priority="44" stopIfTrue="1">
      <formula>$AD125</formula>
    </cfRule>
  </conditionalFormatting>
  <conditionalFormatting sqref="L67:M116">
    <cfRule type="expression" dxfId="1235" priority="1" stopIfTrue="1">
      <formula>$X67</formula>
    </cfRule>
  </conditionalFormatting>
  <dataValidations count="8">
    <dataValidation type="list" allowBlank="1" showInputMessage="1" sqref="F18:F27" xr:uid="{00000000-0002-0000-0300-000000000000}">
      <formula1>MeansReleased</formula1>
    </dataValidation>
    <dataValidation type="list" allowBlank="1" showInputMessage="1" showErrorMessage="1" sqref="F37:F46" xr:uid="{00000000-0002-0000-0300-000001000000}">
      <formula1>MeansIntermediaries</formula1>
    </dataValidation>
    <dataValidation type="list" allowBlank="1" showInputMessage="1" showErrorMessage="1" sqref="E67:E116" xr:uid="{00000000-0002-0000-0300-000002000000}">
      <formula1>EUConst_TierActivityListNames</formula1>
    </dataValidation>
    <dataValidation type="list" allowBlank="1" showInputMessage="1" showErrorMessage="1" sqref="E64:E66" xr:uid="{00000000-0002-0000-0300-000003000000}">
      <formula1>INDIRECT("$i$" &amp; ROW($I$179) &amp; ":$i$" &amp; ROW($I$179)-1+MAX($H$179:$H$186))</formula1>
    </dataValidation>
    <dataValidation allowBlank="1" showInputMessage="1" sqref="H18:M27 H37:M46" xr:uid="{00000000-0002-0000-0300-000004000000}"/>
    <dataValidation type="list" allowBlank="1" showInputMessage="1" showErrorMessage="1" sqref="I67:K116" xr:uid="{00000000-0002-0000-0300-000005000000}">
      <formula1>INDIRECT($Y67)</formula1>
    </dataValidation>
    <dataValidation type="list" allowBlank="1" showInputMessage="1" sqref="M125:M174" xr:uid="{00000000-0002-0000-0300-000006000000}">
      <formula1>CNTR_ListIntermediaries</formula1>
    </dataValidation>
    <dataValidation type="list" allowBlank="1" showInputMessage="1" sqref="K125:K174" xr:uid="{00000000-0002-0000-0300-000007000000}">
      <formula1>CNTR_ListMeans</formula1>
    </dataValidation>
  </dataValidations>
  <hyperlinks>
    <hyperlink ref="G3:H3" location="JUMP_C_5" display="Installation Activities" xr:uid="{00000000-0004-0000-0300-000000000000}"/>
    <hyperlink ref="I3:J3" location="JUMP_C_6a" display="Monitoring approaches" xr:uid="{00000000-0004-0000-0300-000001000000}"/>
    <hyperlink ref="K3:L3" location="JUMP_C_6b" display="Emission sources&amp;points" xr:uid="{00000000-0004-0000-0300-000002000000}"/>
    <hyperlink ref="G4:H4" location="JUMP_6d" display="Measurement points" xr:uid="{00000000-0004-0000-0300-000003000000}"/>
    <hyperlink ref="I4:J4" location="JUMP_C_6e" display="Source streams" xr:uid="{00000000-0004-0000-0300-000004000000}"/>
    <hyperlink ref="G2:H2" location="JUMP_a_Content" display="Table of contents" xr:uid="{00000000-0004-0000-0300-000005000000}"/>
  </hyperlinks>
  <pageMargins left="0.78740157480314965" right="0.78740157480314965" top="0.78740157480314965" bottom="0.78740157480314965" header="0.39370078740157483" footer="0.39370078740157483"/>
  <pageSetup paperSize="9" scale="62" fitToHeight="20" orientation="portrait" r:id="rId1"/>
  <headerFooter alignWithMargins="0">
    <oddHeader>&amp;L&amp;F, &amp;A&amp;R&amp;D, &amp;T</oddHeader>
    <oddFooter>&amp;C&amp;P /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7">
    <tabColor indexed="11"/>
    <pageSetUpPr fitToPage="1"/>
  </sheetPr>
  <dimension ref="A1:CQ1515"/>
  <sheetViews>
    <sheetView topLeftCell="B1" zoomScaleNormal="100" workbookViewId="0">
      <pane ySplit="6" topLeftCell="A7" activePane="bottomLeft" state="frozen"/>
      <selection pane="bottomLeft" activeCell="B2" sqref="B2:D6"/>
    </sheetView>
  </sheetViews>
  <sheetFormatPr defaultColWidth="9.1796875" defaultRowHeight="12.5" x14ac:dyDescent="0.25"/>
  <cols>
    <col min="1" max="1" width="2.7265625" style="115" hidden="1" customWidth="1"/>
    <col min="2" max="2" width="2.7265625" style="116" customWidth="1"/>
    <col min="3" max="3" width="4.7265625" style="116" customWidth="1"/>
    <col min="4" max="4" width="4.7265625" style="473" customWidth="1"/>
    <col min="5" max="5" width="17.26953125" style="116" customWidth="1"/>
    <col min="6" max="14" width="12.26953125" style="116" customWidth="1"/>
    <col min="15" max="15" width="5.7265625" style="212" customWidth="1"/>
    <col min="16" max="16" width="11.453125" style="144" hidden="1" customWidth="1"/>
    <col min="17" max="17" width="11.453125" style="116" hidden="1" customWidth="1"/>
    <col min="18" max="24" width="11.453125" style="115" hidden="1" customWidth="1"/>
    <col min="25" max="95" width="9.1796875" style="113" hidden="1" customWidth="1"/>
    <col min="96" max="16384" width="9.1796875" style="115"/>
  </cols>
  <sheetData>
    <row r="1" spans="1:95" ht="13" hidden="1" thickBot="1" x14ac:dyDescent="0.3">
      <c r="A1" s="286" t="s">
        <v>0</v>
      </c>
      <c r="B1" s="287"/>
      <c r="C1" s="287"/>
      <c r="D1" s="288"/>
      <c r="E1" s="287"/>
      <c r="F1" s="287"/>
      <c r="G1" s="287"/>
      <c r="H1" s="287"/>
      <c r="I1" s="287"/>
      <c r="J1" s="287"/>
      <c r="K1" s="287"/>
      <c r="L1" s="287"/>
      <c r="M1" s="287"/>
      <c r="N1" s="287"/>
      <c r="O1" s="142"/>
      <c r="P1" s="110" t="s">
        <v>0</v>
      </c>
      <c r="Q1" s="286" t="s">
        <v>0</v>
      </c>
      <c r="R1" s="286" t="s">
        <v>0</v>
      </c>
      <c r="S1" s="286" t="s">
        <v>0</v>
      </c>
      <c r="T1" s="286" t="s">
        <v>0</v>
      </c>
      <c r="U1" s="286" t="s">
        <v>0</v>
      </c>
      <c r="V1" s="286" t="s">
        <v>0</v>
      </c>
      <c r="W1" s="286" t="s">
        <v>0</v>
      </c>
      <c r="X1" s="286" t="s">
        <v>0</v>
      </c>
      <c r="Y1" s="286" t="s">
        <v>0</v>
      </c>
      <c r="Z1" s="286" t="s">
        <v>0</v>
      </c>
      <c r="AA1" s="286" t="s">
        <v>0</v>
      </c>
      <c r="AB1" s="286" t="s">
        <v>0</v>
      </c>
      <c r="AC1" s="286" t="s">
        <v>0</v>
      </c>
      <c r="AD1" s="286" t="s">
        <v>0</v>
      </c>
      <c r="AE1" s="286" t="s">
        <v>0</v>
      </c>
      <c r="AF1" s="286" t="s">
        <v>0</v>
      </c>
      <c r="AG1" s="286" t="s">
        <v>0</v>
      </c>
      <c r="AH1" s="286" t="s">
        <v>0</v>
      </c>
      <c r="AI1" s="286" t="s">
        <v>0</v>
      </c>
      <c r="AJ1" s="286" t="s">
        <v>0</v>
      </c>
      <c r="AK1" s="286" t="s">
        <v>0</v>
      </c>
      <c r="AL1" s="286" t="s">
        <v>0</v>
      </c>
      <c r="AM1" s="286" t="s">
        <v>0</v>
      </c>
      <c r="AN1" s="286" t="s">
        <v>0</v>
      </c>
      <c r="AO1" s="286" t="s">
        <v>0</v>
      </c>
      <c r="AP1" s="286" t="s">
        <v>0</v>
      </c>
      <c r="AQ1" s="286" t="s">
        <v>0</v>
      </c>
      <c r="AR1" s="286" t="s">
        <v>0</v>
      </c>
      <c r="AS1" s="286" t="s">
        <v>0</v>
      </c>
      <c r="AT1" s="286" t="s">
        <v>0</v>
      </c>
      <c r="AU1" s="286" t="s">
        <v>0</v>
      </c>
      <c r="AV1" s="286" t="s">
        <v>0</v>
      </c>
      <c r="AW1" s="286" t="s">
        <v>0</v>
      </c>
      <c r="AX1" s="286" t="s">
        <v>0</v>
      </c>
      <c r="AY1" s="286" t="s">
        <v>0</v>
      </c>
      <c r="AZ1" s="286" t="s">
        <v>0</v>
      </c>
      <c r="BA1" s="286" t="s">
        <v>0</v>
      </c>
      <c r="BB1" s="286" t="s">
        <v>0</v>
      </c>
      <c r="BC1" s="286" t="s">
        <v>0</v>
      </c>
      <c r="BD1" s="286" t="s">
        <v>0</v>
      </c>
      <c r="BE1" s="286" t="s">
        <v>0</v>
      </c>
      <c r="BF1" s="286" t="s">
        <v>0</v>
      </c>
      <c r="BG1" s="286" t="s">
        <v>0</v>
      </c>
      <c r="BH1" s="286" t="s">
        <v>0</v>
      </c>
      <c r="BI1" s="286" t="s">
        <v>0</v>
      </c>
      <c r="BJ1" s="286" t="s">
        <v>0</v>
      </c>
      <c r="BK1" s="286" t="s">
        <v>0</v>
      </c>
      <c r="BL1" s="286" t="s">
        <v>0</v>
      </c>
      <c r="BM1" s="286" t="s">
        <v>0</v>
      </c>
      <c r="BN1" s="286" t="s">
        <v>0</v>
      </c>
      <c r="BO1" s="286" t="s">
        <v>0</v>
      </c>
      <c r="BP1" s="286" t="s">
        <v>0</v>
      </c>
      <c r="BQ1" s="286" t="s">
        <v>0</v>
      </c>
      <c r="BR1" s="286" t="s">
        <v>0</v>
      </c>
      <c r="BS1" s="286" t="s">
        <v>0</v>
      </c>
      <c r="BT1" s="286" t="s">
        <v>0</v>
      </c>
      <c r="BU1" s="286" t="s">
        <v>0</v>
      </c>
      <c r="BV1" s="286" t="s">
        <v>0</v>
      </c>
      <c r="BW1" s="286" t="s">
        <v>0</v>
      </c>
      <c r="BX1" s="286" t="s">
        <v>0</v>
      </c>
      <c r="BY1" s="286" t="s">
        <v>0</v>
      </c>
      <c r="BZ1" s="286" t="s">
        <v>0</v>
      </c>
      <c r="CA1" s="286" t="s">
        <v>0</v>
      </c>
      <c r="CB1" s="286" t="s">
        <v>0</v>
      </c>
      <c r="CC1" s="286" t="s">
        <v>0</v>
      </c>
      <c r="CD1" s="286" t="s">
        <v>0</v>
      </c>
      <c r="CE1" s="286" t="s">
        <v>0</v>
      </c>
      <c r="CF1" s="286" t="s">
        <v>0</v>
      </c>
      <c r="CG1" s="286" t="s">
        <v>0</v>
      </c>
      <c r="CH1" s="286" t="s">
        <v>0</v>
      </c>
      <c r="CI1" s="286" t="s">
        <v>0</v>
      </c>
      <c r="CJ1" s="286" t="s">
        <v>0</v>
      </c>
      <c r="CK1" s="286" t="s">
        <v>0</v>
      </c>
      <c r="CL1" s="286" t="s">
        <v>0</v>
      </c>
      <c r="CM1" s="286" t="s">
        <v>0</v>
      </c>
      <c r="CN1" s="286" t="s">
        <v>0</v>
      </c>
      <c r="CO1" s="286" t="s">
        <v>0</v>
      </c>
      <c r="CP1" s="286" t="s">
        <v>0</v>
      </c>
      <c r="CQ1" s="286" t="s">
        <v>0</v>
      </c>
    </row>
    <row r="2" spans="1:95" ht="13.5" customHeight="1" thickBot="1" x14ac:dyDescent="0.35">
      <c r="A2" s="286"/>
      <c r="B2" s="1003" t="str">
        <f>Translations!$B$352</f>
        <v>C. Fuel streams</v>
      </c>
      <c r="C2" s="1004"/>
      <c r="D2" s="1005"/>
      <c r="E2" s="1077" t="str">
        <f>Translations!$B$13</f>
        <v>Navigation area:</v>
      </c>
      <c r="F2" s="1020"/>
      <c r="G2" s="1021" t="str">
        <f>Translations!$B$14</f>
        <v>Table of contents</v>
      </c>
      <c r="H2" s="1022"/>
      <c r="I2" s="1021" t="str">
        <f ca="1">HYPERLINK("#"&amp;INDEX(a_Contents!$R$4:$R$49,MATCH(INDEX(a_Contents!$T$4:$T$49,MATCH($T$2,a_Contents!$S$4:$S$49,0))-1,a_Contents!$T$4:$T$49,0)),EUconst_PreviousSheet)</f>
        <v>Previous sheet</v>
      </c>
      <c r="J2" s="1022"/>
      <c r="K2" s="1021" t="str">
        <f ca="1">HYPERLINK("#"&amp;INDEX(a_Contents!$R$4:$R$49,MATCH(INDEX(a_Contents!$T$4:$T$49,MATCH($T$2,a_Contents!$S$4:$S$49,0))+1,a_Contents!$T$4:$T$49,0)),EUconst_NextSheet)</f>
        <v>Next sheet</v>
      </c>
      <c r="L2" s="1022"/>
      <c r="M2" s="1014" t="str">
        <f ca="1">HYPERLINK("#"&amp;a_Contents!$R$46,INDIRECT(a_Contents!$R$46))</f>
        <v>I Accounting sheet</v>
      </c>
      <c r="N2" s="1015"/>
      <c r="O2" s="142"/>
      <c r="P2" s="113"/>
      <c r="Q2" s="61" t="s">
        <v>1</v>
      </c>
      <c r="R2" s="66" t="str">
        <f>ADDRESS(ROW($B$8),COLUMN($B$8)) &amp; ":" &amp; ADDRESS(MATCH("PRINT",$P:$P,0),COLUMN($P$8))</f>
        <v>$B$8:$P$1461</v>
      </c>
      <c r="S2" s="61" t="s">
        <v>2</v>
      </c>
      <c r="T2" s="67" t="str">
        <f ca="1">IF(ISERROR(CELL("filename",U2)),"E_FuelStreams",MID(CELL("filename",U2),FIND("]",CELL("filename",U2))+1,1024))</f>
        <v>C_FuelStreams</v>
      </c>
      <c r="U2" s="138"/>
      <c r="V2" s="138"/>
      <c r="W2" s="138"/>
      <c r="X2" s="138"/>
    </row>
    <row r="3" spans="1:95" ht="12.75" customHeight="1" x14ac:dyDescent="0.25">
      <c r="A3" s="286"/>
      <c r="B3" s="1006"/>
      <c r="C3" s="1007"/>
      <c r="D3" s="1008"/>
      <c r="E3" s="1087"/>
      <c r="F3" s="1013"/>
      <c r="G3" s="1280" t="str">
        <f>IFERROR(HYPERLINK("#"&amp;ADDRESS(ROW($A$1)+MATCH(Q3,$A:$A,0)-1,3),INDEX($BI:$BI,MATCH(Q3,$A:$A,0))),"")</f>
        <v/>
      </c>
      <c r="H3" s="1281"/>
      <c r="I3" s="1280" t="str">
        <f>IFERROR(HYPERLINK("#"&amp;ADDRESS(ROW($A$1)+MATCH(S3,$A:$A,0)-1,3),INDEX($BI:$BI,MATCH(S3,$A:$A,0))),"")</f>
        <v/>
      </c>
      <c r="J3" s="1281"/>
      <c r="K3" s="1280" t="str">
        <f>IFERROR(HYPERLINK("#"&amp;ADDRESS(ROW($A$1)+MATCH(U3,$A:$A,0)-1,3),INDEX($BI:$BI,MATCH(U3,$A:$A,0))),"")</f>
        <v/>
      </c>
      <c r="L3" s="1281"/>
      <c r="M3" s="1280" t="str">
        <f>IFERROR(HYPERLINK("#"&amp;ADDRESS(ROW($A$1)+MATCH(W3,$A:$A,0)-1,3),INDEX($BI:$BI,MATCH(W3,$A:$A,0))),"")</f>
        <v/>
      </c>
      <c r="N3" s="1281"/>
      <c r="O3" s="142"/>
      <c r="P3" s="113"/>
      <c r="Q3" s="145">
        <v>1</v>
      </c>
      <c r="R3" s="146"/>
      <c r="S3" s="146">
        <f>Q3+1</f>
        <v>2</v>
      </c>
      <c r="T3" s="146"/>
      <c r="U3" s="146">
        <f>S3+1</f>
        <v>3</v>
      </c>
      <c r="V3" s="146"/>
      <c r="W3" s="147">
        <f>U3+1</f>
        <v>4</v>
      </c>
      <c r="X3" s="138"/>
    </row>
    <row r="4" spans="1:95" ht="13.5" customHeight="1" x14ac:dyDescent="0.25">
      <c r="A4" s="286"/>
      <c r="B4" s="1006"/>
      <c r="C4" s="1007"/>
      <c r="D4" s="1008"/>
      <c r="E4" s="1087"/>
      <c r="F4" s="1013"/>
      <c r="G4" s="1278" t="str">
        <f>IFERROR(HYPERLINK("#"&amp;ADDRESS(ROW($A$1)+MATCH(Q4,$A:$A,0)-1,3),INDEX($BI:$BI,MATCH(Q4,$A:$A,0))),"")</f>
        <v/>
      </c>
      <c r="H4" s="1282"/>
      <c r="I4" s="1278" t="str">
        <f>IFERROR(HYPERLINK("#"&amp;ADDRESS(ROW($A$1)+MATCH(S4,$A:$A,0)-1,3),INDEX($BI:$BI,MATCH(S4,$A:$A,0))),"")</f>
        <v/>
      </c>
      <c r="J4" s="1279"/>
      <c r="K4" s="1278" t="str">
        <f>IFERROR(HYPERLINK("#"&amp;ADDRESS(ROW($A$1)+MATCH(U4,$A:$A,0)-1,3),INDEX($BI:$BI,MATCH(U4,$A:$A,0))),"")</f>
        <v/>
      </c>
      <c r="L4" s="1279"/>
      <c r="M4" s="1278" t="str">
        <f>IFERROR(HYPERLINK("#"&amp;ADDRESS(ROW($A$1)+MATCH(W4,$A:$A,0)-1,3),INDEX($BI:$BI,MATCH(W4,$A:$A,0))),"")</f>
        <v/>
      </c>
      <c r="N4" s="1279"/>
      <c r="O4" s="142"/>
      <c r="P4" s="113"/>
      <c r="Q4" s="148">
        <f>W3+1</f>
        <v>5</v>
      </c>
      <c r="R4" s="149"/>
      <c r="S4" s="149">
        <f>Q4+1</f>
        <v>6</v>
      </c>
      <c r="T4" s="149"/>
      <c r="U4" s="149">
        <f>S4+1</f>
        <v>7</v>
      </c>
      <c r="V4" s="149"/>
      <c r="W4" s="150">
        <f>U4+1</f>
        <v>8</v>
      </c>
      <c r="X4" s="289" t="s">
        <v>105</v>
      </c>
    </row>
    <row r="5" spans="1:95" ht="13.5" customHeight="1" x14ac:dyDescent="0.25">
      <c r="A5" s="286"/>
      <c r="B5" s="1006"/>
      <c r="C5" s="1007"/>
      <c r="D5" s="1008"/>
      <c r="E5" s="1087"/>
      <c r="F5" s="1013"/>
      <c r="G5" s="1278" t="str">
        <f>IFERROR(HYPERLINK("#"&amp;ADDRESS(ROW($A$1)+MATCH(Q5,$A:$A,0)-1,3),INDEX($BI:$BI,MATCH(Q5,$A:$A,0))),"")</f>
        <v/>
      </c>
      <c r="H5" s="1282"/>
      <c r="I5" s="1278" t="str">
        <f>IFERROR(HYPERLINK("#"&amp;ADDRESS(ROW($A$1)+MATCH(S5,$A:$A,0)-1,3),INDEX($BI:$BI,MATCH(S5,$A:$A,0))),"")</f>
        <v/>
      </c>
      <c r="J5" s="1279"/>
      <c r="K5" s="1278" t="str">
        <f>IFERROR(HYPERLINK("#"&amp;ADDRESS(ROW($A$1)+MATCH(U5,$A:$A,0)-1,3),INDEX($BI:$BI,MATCH(U5,$A:$A,0))),"")</f>
        <v/>
      </c>
      <c r="L5" s="1279"/>
      <c r="M5" s="1278" t="str">
        <f>IFERROR(HYPERLINK("#"&amp;ADDRESS(ROW($A$1)+MATCH(W5,$A:$A,0)-1,3),INDEX($BI:$BI,MATCH(W5,$A:$A,0))),"")</f>
        <v/>
      </c>
      <c r="N5" s="1279"/>
      <c r="O5" s="142"/>
      <c r="P5" s="113"/>
      <c r="Q5" s="148">
        <f>W4+1</f>
        <v>9</v>
      </c>
      <c r="R5" s="149"/>
      <c r="S5" s="149">
        <f>Q5+1</f>
        <v>10</v>
      </c>
      <c r="T5" s="149"/>
      <c r="U5" s="149">
        <f>S5+1</f>
        <v>11</v>
      </c>
      <c r="V5" s="149"/>
      <c r="W5" s="150">
        <f>U5+1</f>
        <v>12</v>
      </c>
      <c r="X5" s="289"/>
    </row>
    <row r="6" spans="1:95" ht="13.5" customHeight="1" thickBot="1" x14ac:dyDescent="0.3">
      <c r="A6" s="286"/>
      <c r="B6" s="1009"/>
      <c r="C6" s="1010"/>
      <c r="D6" s="1011"/>
      <c r="E6" s="1087"/>
      <c r="F6" s="1013"/>
      <c r="G6" s="1278" t="str">
        <f>IFERROR(HYPERLINK("#"&amp;ADDRESS(ROW($A$1)+MATCH(Q6,$A:$A,0)-1,3),INDEX($BI:$BI,MATCH(Q6,$A:$A,0))),"")</f>
        <v/>
      </c>
      <c r="H6" s="1282"/>
      <c r="I6" s="1278" t="str">
        <f>IFERROR(HYPERLINK("#"&amp;ADDRESS(ROW($A$1)+MATCH(S6,$A:$A,0)-1,3),INDEX($BI:$BI,MATCH(S6,$A:$A,0))),"")</f>
        <v/>
      </c>
      <c r="J6" s="1279"/>
      <c r="K6" s="1278" t="str">
        <f>IFERROR(HYPERLINK("#"&amp;ADDRESS(ROW($A$1)+MATCH(U6,$A:$A,0)-1,3),INDEX($BI:$BI,MATCH(U6,$A:$A,0))),"")</f>
        <v/>
      </c>
      <c r="L6" s="1279"/>
      <c r="M6" s="1278" t="str">
        <f>IFERROR(HYPERLINK("#"&amp;ADDRESS(ROW($A$1)+MATCH(W6,$A:$A,0)-1,3),INDEX($BI:$BI,MATCH(W6,$A:$A,0))),"")</f>
        <v/>
      </c>
      <c r="N6" s="1279"/>
      <c r="O6" s="142"/>
      <c r="P6" s="113"/>
      <c r="Q6" s="290">
        <f>W5+1</f>
        <v>13</v>
      </c>
      <c r="R6" s="291"/>
      <c r="S6" s="291">
        <f>Q6+1</f>
        <v>14</v>
      </c>
      <c r="T6" s="291"/>
      <c r="U6" s="291">
        <f>S6+1</f>
        <v>15</v>
      </c>
      <c r="V6" s="291"/>
      <c r="W6" s="292">
        <f>U6+1</f>
        <v>16</v>
      </c>
      <c r="X6" s="289"/>
    </row>
    <row r="7" spans="1:95" ht="12.75" customHeight="1" x14ac:dyDescent="0.25">
      <c r="A7" s="138"/>
      <c r="B7" s="115"/>
      <c r="C7" s="214"/>
      <c r="D7" s="215"/>
      <c r="E7" s="115"/>
      <c r="F7" s="215"/>
      <c r="G7" s="215"/>
      <c r="H7" s="215"/>
      <c r="I7" s="115"/>
      <c r="J7" s="115"/>
      <c r="K7" s="115"/>
      <c r="L7" s="115"/>
      <c r="M7" s="115"/>
      <c r="N7" s="115"/>
      <c r="O7" s="142"/>
      <c r="P7" s="113"/>
      <c r="Q7" s="286"/>
      <c r="R7" s="138"/>
      <c r="S7" s="138"/>
      <c r="T7" s="138"/>
      <c r="U7" s="138"/>
      <c r="V7" s="138"/>
      <c r="W7" s="138"/>
      <c r="X7" s="138"/>
    </row>
    <row r="8" spans="1:95" s="294" customFormat="1" ht="25.5" customHeight="1" x14ac:dyDescent="0.25">
      <c r="A8" s="293"/>
      <c r="B8" s="68"/>
      <c r="C8" s="1212" t="str">
        <f>Translations!$B$353</f>
        <v>C. Fuel Streams</v>
      </c>
      <c r="D8" s="1212"/>
      <c r="E8" s="1212"/>
      <c r="F8" s="1212"/>
      <c r="G8" s="1212"/>
      <c r="H8" s="1212"/>
      <c r="I8" s="1212"/>
      <c r="J8" s="1212"/>
      <c r="K8" s="1212"/>
      <c r="L8" s="115"/>
      <c r="M8" s="115"/>
      <c r="N8" s="115"/>
      <c r="O8" s="64"/>
      <c r="P8" s="113"/>
      <c r="Q8" s="293"/>
      <c r="R8" s="293"/>
      <c r="S8" s="293"/>
      <c r="T8" s="297"/>
      <c r="U8" s="297"/>
      <c r="V8" s="297"/>
      <c r="W8" s="293"/>
      <c r="X8" s="293"/>
      <c r="Y8" s="549"/>
      <c r="Z8" s="549"/>
      <c r="AA8" s="549"/>
      <c r="AB8" s="549"/>
      <c r="AC8" s="549"/>
      <c r="AD8" s="549"/>
      <c r="AE8" s="549"/>
      <c r="AF8" s="549"/>
      <c r="AG8" s="549"/>
      <c r="AH8" s="549"/>
      <c r="AI8" s="549"/>
      <c r="AJ8" s="549"/>
      <c r="AK8" s="549"/>
      <c r="AL8" s="549"/>
      <c r="AM8" s="549"/>
      <c r="AN8" s="549"/>
      <c r="AO8" s="549"/>
      <c r="AP8" s="549"/>
      <c r="AQ8" s="549"/>
      <c r="AR8" s="549"/>
      <c r="AS8" s="549"/>
      <c r="AT8" s="549"/>
      <c r="AU8" s="549"/>
      <c r="AV8" s="549"/>
      <c r="AW8" s="549"/>
      <c r="AX8" s="549"/>
      <c r="AY8" s="549"/>
      <c r="AZ8" s="549"/>
      <c r="BA8" s="549"/>
      <c r="BB8" s="549"/>
      <c r="BC8" s="549"/>
      <c r="BD8" s="549"/>
      <c r="BE8" s="549"/>
      <c r="BF8" s="549"/>
      <c r="BG8" s="549"/>
      <c r="BH8" s="549"/>
      <c r="BI8" s="549"/>
      <c r="BJ8" s="549"/>
      <c r="BK8" s="549"/>
      <c r="BL8" s="549"/>
      <c r="BM8" s="549"/>
      <c r="BN8" s="549"/>
      <c r="BO8" s="549"/>
      <c r="BP8" s="549"/>
      <c r="BQ8" s="549"/>
      <c r="BR8" s="549"/>
      <c r="BS8" s="549"/>
      <c r="BT8" s="549"/>
      <c r="BU8" s="549"/>
      <c r="BV8" s="549"/>
      <c r="BW8" s="549"/>
      <c r="BX8" s="549"/>
      <c r="BY8" s="549"/>
      <c r="BZ8" s="549"/>
      <c r="CA8" s="549"/>
      <c r="CB8" s="549"/>
      <c r="CC8" s="549"/>
      <c r="CD8" s="549"/>
      <c r="CE8" s="549"/>
      <c r="CF8" s="549"/>
      <c r="CG8" s="549"/>
      <c r="CH8" s="549"/>
      <c r="CI8" s="549"/>
      <c r="CJ8" s="549"/>
      <c r="CK8" s="549"/>
      <c r="CL8" s="549"/>
      <c r="CM8" s="549"/>
      <c r="CN8" s="549"/>
      <c r="CO8" s="549"/>
      <c r="CP8" s="549"/>
      <c r="CQ8" s="549"/>
    </row>
    <row r="9" spans="1:95" ht="12.75" customHeight="1" x14ac:dyDescent="0.25">
      <c r="A9" s="151"/>
      <c r="B9" s="115"/>
      <c r="C9" s="170"/>
      <c r="D9" s="115"/>
      <c r="E9" s="115"/>
      <c r="F9" s="115"/>
      <c r="G9" s="115"/>
      <c r="H9" s="115"/>
      <c r="I9" s="115"/>
      <c r="J9" s="115"/>
      <c r="K9" s="115"/>
      <c r="L9" s="115"/>
      <c r="M9" s="115"/>
      <c r="N9" s="115"/>
      <c r="O9" s="142"/>
      <c r="P9" s="113"/>
      <c r="Q9" s="151"/>
      <c r="R9" s="151"/>
      <c r="S9" s="151"/>
      <c r="T9" s="151"/>
      <c r="U9" s="151"/>
      <c r="V9" s="151"/>
      <c r="W9" s="151"/>
      <c r="X9" s="151"/>
      <c r="Y9" s="151"/>
      <c r="Z9" s="151"/>
      <c r="AA9" s="151"/>
      <c r="AB9" s="151"/>
      <c r="AC9" s="151"/>
      <c r="AD9" s="549"/>
      <c r="AE9" s="549"/>
      <c r="AF9" s="549"/>
      <c r="AG9" s="549"/>
      <c r="AH9" s="549"/>
      <c r="AI9" s="549"/>
      <c r="AJ9" s="549"/>
      <c r="AK9" s="549"/>
      <c r="AL9" s="549"/>
      <c r="AM9" s="549"/>
      <c r="AN9" s="549"/>
      <c r="AO9" s="549"/>
      <c r="AP9" s="549"/>
      <c r="AQ9" s="549"/>
      <c r="AR9" s="549"/>
      <c r="AS9" s="549"/>
      <c r="AT9" s="549"/>
      <c r="AU9" s="549"/>
      <c r="AV9" s="549"/>
      <c r="AW9" s="549"/>
      <c r="AX9" s="549"/>
      <c r="AY9" s="549"/>
      <c r="AZ9" s="549"/>
      <c r="BA9" s="549"/>
      <c r="BB9" s="549"/>
      <c r="BC9" s="549"/>
      <c r="BD9" s="549"/>
      <c r="BE9" s="549"/>
      <c r="BF9" s="549"/>
      <c r="BG9" s="549"/>
      <c r="BH9" s="549"/>
      <c r="BI9" s="549"/>
      <c r="BJ9" s="549"/>
      <c r="BK9" s="549"/>
      <c r="BL9" s="549"/>
      <c r="BM9" s="549"/>
      <c r="BN9" s="549"/>
      <c r="BO9" s="549"/>
      <c r="BP9" s="549"/>
      <c r="BQ9" s="549"/>
      <c r="BR9" s="549"/>
      <c r="BS9" s="549"/>
      <c r="BT9" s="549"/>
      <c r="BU9" s="549"/>
      <c r="BV9" s="549"/>
      <c r="BW9" s="549"/>
      <c r="BX9" s="549"/>
      <c r="BY9" s="549"/>
      <c r="BZ9" s="549"/>
      <c r="CA9" s="549"/>
      <c r="CB9" s="549"/>
      <c r="CC9" s="549"/>
      <c r="CD9" s="549"/>
      <c r="CE9" s="549"/>
      <c r="CF9" s="549"/>
      <c r="CG9" s="549"/>
      <c r="CH9" s="549"/>
      <c r="CI9" s="549"/>
      <c r="CJ9" s="549"/>
      <c r="CK9" s="549"/>
      <c r="CL9" s="549"/>
      <c r="CM9" s="549"/>
      <c r="CN9" s="549"/>
      <c r="CO9" s="549"/>
      <c r="CP9" s="549"/>
      <c r="CQ9" s="549"/>
    </row>
    <row r="10" spans="1:95" s="68" customFormat="1" ht="18.75" customHeight="1" x14ac:dyDescent="0.25">
      <c r="A10" s="167"/>
      <c r="C10" s="216">
        <v>1</v>
      </c>
      <c r="D10" s="1195" t="str">
        <f>Translations!$B$354</f>
        <v>Emissions from fuel streams</v>
      </c>
      <c r="E10" s="1195"/>
      <c r="F10" s="1195"/>
      <c r="G10" s="1195"/>
      <c r="H10" s="1195"/>
      <c r="I10" s="1195"/>
      <c r="J10" s="1195"/>
      <c r="K10" s="1195"/>
      <c r="L10" s="1195"/>
      <c r="M10" s="1195"/>
      <c r="N10" s="1195"/>
      <c r="O10" s="64"/>
      <c r="P10" s="113"/>
      <c r="Q10" s="151"/>
      <c r="R10" s="151"/>
      <c r="S10" s="151"/>
      <c r="T10" s="151"/>
      <c r="U10" s="151"/>
      <c r="V10" s="151"/>
      <c r="W10" s="151"/>
      <c r="X10" s="151"/>
      <c r="Y10" s="151"/>
      <c r="Z10" s="151"/>
      <c r="AA10" s="151"/>
      <c r="AB10" s="151"/>
      <c r="AC10" s="151"/>
      <c r="AD10" s="549"/>
      <c r="AE10" s="549"/>
      <c r="AF10" s="549"/>
      <c r="AG10" s="549"/>
      <c r="AH10" s="549"/>
      <c r="AI10" s="549"/>
      <c r="AJ10" s="549"/>
      <c r="AK10" s="549"/>
      <c r="AL10" s="549"/>
      <c r="AM10" s="549"/>
      <c r="AN10" s="549"/>
      <c r="AO10" s="549"/>
      <c r="AP10" s="549"/>
      <c r="AQ10" s="549"/>
      <c r="AR10" s="549"/>
      <c r="AS10" s="549"/>
      <c r="AT10" s="549"/>
      <c r="AU10" s="549"/>
      <c r="AV10" s="549"/>
      <c r="AW10" s="549"/>
      <c r="AX10" s="549"/>
      <c r="AY10" s="549"/>
      <c r="AZ10" s="549"/>
      <c r="BA10" s="549"/>
      <c r="BB10" s="549"/>
      <c r="BC10" s="549"/>
      <c r="BD10" s="549"/>
      <c r="BE10" s="549"/>
      <c r="BF10" s="549"/>
      <c r="BG10" s="549"/>
      <c r="BH10" s="549"/>
      <c r="BI10" s="549"/>
      <c r="BJ10" s="549"/>
      <c r="BK10" s="549"/>
      <c r="BL10" s="549"/>
      <c r="BM10" s="549"/>
      <c r="BN10" s="549"/>
      <c r="BO10" s="549"/>
      <c r="BP10" s="549"/>
      <c r="BQ10" s="549"/>
      <c r="BR10" s="549"/>
      <c r="BS10" s="549"/>
      <c r="BT10" s="549"/>
      <c r="BU10" s="549"/>
      <c r="BV10" s="549"/>
      <c r="BW10" s="549"/>
      <c r="BX10" s="549"/>
      <c r="BY10" s="549"/>
      <c r="BZ10" s="549"/>
      <c r="CA10" s="549"/>
      <c r="CB10" s="549"/>
      <c r="CC10" s="549"/>
      <c r="CD10" s="549"/>
      <c r="CE10" s="549"/>
      <c r="CF10" s="549"/>
      <c r="CG10" s="549"/>
      <c r="CH10" s="549"/>
      <c r="CI10" s="549"/>
      <c r="CJ10" s="549"/>
      <c r="CK10" s="549"/>
      <c r="CL10" s="549"/>
      <c r="CM10" s="549"/>
      <c r="CN10" s="549"/>
      <c r="CO10" s="549"/>
      <c r="CP10" s="549"/>
      <c r="CQ10" s="549"/>
    </row>
    <row r="11" spans="1:95" ht="12.75" customHeight="1" x14ac:dyDescent="0.25">
      <c r="A11" s="138"/>
      <c r="D11" s="295"/>
      <c r="E11" s="296"/>
      <c r="G11" s="95"/>
      <c r="H11" s="95"/>
      <c r="I11" s="95"/>
      <c r="J11" s="95"/>
      <c r="L11" s="95"/>
      <c r="M11" s="95"/>
      <c r="N11" s="95"/>
      <c r="O11" s="142"/>
      <c r="P11" s="113"/>
      <c r="Q11" s="297"/>
      <c r="R11" s="138"/>
      <c r="S11" s="138"/>
      <c r="T11" s="297"/>
      <c r="U11" s="297"/>
      <c r="V11" s="297"/>
      <c r="W11" s="138"/>
      <c r="X11" s="138"/>
      <c r="AD11" s="549"/>
      <c r="AE11" s="549"/>
      <c r="AF11" s="549"/>
      <c r="AG11" s="549"/>
      <c r="AH11" s="549"/>
      <c r="AI11" s="549"/>
      <c r="AJ11" s="549"/>
      <c r="AK11" s="549"/>
      <c r="AL11" s="549"/>
      <c r="AM11" s="549"/>
      <c r="AN11" s="549"/>
      <c r="AO11" s="549"/>
      <c r="AP11" s="549"/>
      <c r="AQ11" s="549"/>
      <c r="AR11" s="549"/>
      <c r="AS11" s="549"/>
      <c r="AT11" s="549"/>
      <c r="AU11" s="549"/>
      <c r="AV11" s="549"/>
      <c r="AW11" s="549"/>
      <c r="AX11" s="549"/>
      <c r="AY11" s="549"/>
      <c r="AZ11" s="549"/>
      <c r="BA11" s="549"/>
      <c r="BB11" s="549"/>
      <c r="BC11" s="549"/>
      <c r="BD11" s="549"/>
      <c r="BE11" s="549"/>
      <c r="BF11" s="549"/>
      <c r="BG11" s="549"/>
      <c r="BH11" s="549"/>
      <c r="BI11" s="549"/>
      <c r="BJ11" s="549"/>
      <c r="BK11" s="549"/>
      <c r="BL11" s="549"/>
      <c r="BM11" s="549"/>
      <c r="BN11" s="549"/>
      <c r="BO11" s="549"/>
      <c r="BP11" s="549"/>
      <c r="BQ11" s="549"/>
      <c r="BR11" s="549"/>
      <c r="BS11" s="549"/>
      <c r="BT11" s="549"/>
      <c r="BU11" s="549"/>
      <c r="BV11" s="549"/>
      <c r="BW11" s="549"/>
      <c r="BX11" s="549"/>
      <c r="BY11" s="549"/>
      <c r="BZ11" s="549"/>
      <c r="CA11" s="549"/>
      <c r="CB11" s="549"/>
      <c r="CC11" s="549"/>
      <c r="CD11" s="549"/>
      <c r="CE11" s="549"/>
      <c r="CF11" s="549"/>
      <c r="CG11" s="549"/>
      <c r="CH11" s="549"/>
      <c r="CI11" s="549"/>
      <c r="CJ11" s="549"/>
      <c r="CK11" s="549"/>
      <c r="CL11" s="549"/>
      <c r="CM11" s="549"/>
      <c r="CN11" s="549"/>
      <c r="CO11" s="549"/>
      <c r="CP11" s="549"/>
      <c r="CQ11" s="549"/>
    </row>
    <row r="12" spans="1:95" s="298" customFormat="1" ht="12.75" customHeight="1" x14ac:dyDescent="0.25">
      <c r="A12" s="287"/>
      <c r="B12" s="116"/>
      <c r="C12" s="116"/>
      <c r="D12" s="295"/>
      <c r="E12" s="1287" t="str">
        <f>Translations!$B$355</f>
        <v>Abbreviations:</v>
      </c>
      <c r="F12" s="1287"/>
      <c r="G12" s="1287"/>
      <c r="H12" s="1287"/>
      <c r="I12" s="1287"/>
      <c r="J12" s="1287"/>
      <c r="K12" s="1287"/>
      <c r="L12" s="1287"/>
      <c r="M12" s="1287"/>
      <c r="N12" s="1287"/>
      <c r="O12" s="142"/>
      <c r="P12" s="113"/>
      <c r="Q12" s="297"/>
      <c r="R12" s="297"/>
      <c r="S12" s="297"/>
      <c r="T12" s="297"/>
      <c r="U12" s="297"/>
      <c r="V12" s="297"/>
      <c r="W12" s="287"/>
      <c r="X12" s="287"/>
      <c r="Y12" s="111"/>
      <c r="Z12" s="111"/>
      <c r="AA12" s="111"/>
      <c r="AB12" s="111"/>
      <c r="AC12" s="111"/>
      <c r="AD12" s="549"/>
      <c r="AE12" s="549"/>
      <c r="AF12" s="549"/>
      <c r="AG12" s="549"/>
      <c r="AH12" s="549"/>
      <c r="AI12" s="549"/>
      <c r="AJ12" s="549"/>
      <c r="AK12" s="549"/>
      <c r="AL12" s="549"/>
      <c r="AM12" s="549"/>
      <c r="AN12" s="549"/>
      <c r="AO12" s="549"/>
      <c r="AP12" s="549"/>
      <c r="AQ12" s="549"/>
      <c r="AR12" s="549"/>
      <c r="AS12" s="549"/>
      <c r="AT12" s="549"/>
      <c r="AU12" s="549"/>
      <c r="AV12" s="549"/>
      <c r="AW12" s="549"/>
      <c r="AX12" s="549"/>
      <c r="AY12" s="549"/>
      <c r="AZ12" s="549"/>
      <c r="BA12" s="549"/>
      <c r="BB12" s="549"/>
      <c r="BC12" s="549"/>
      <c r="BD12" s="549"/>
      <c r="BE12" s="549"/>
      <c r="BF12" s="549"/>
      <c r="BG12" s="549"/>
      <c r="BH12" s="549"/>
      <c r="BI12" s="549"/>
      <c r="BJ12" s="549"/>
      <c r="BK12" s="549"/>
      <c r="BL12" s="549"/>
      <c r="BM12" s="549"/>
      <c r="BN12" s="549"/>
      <c r="BO12" s="549"/>
      <c r="BP12" s="549"/>
      <c r="BQ12" s="549"/>
      <c r="BR12" s="549"/>
      <c r="BS12" s="549"/>
      <c r="BT12" s="549"/>
      <c r="BU12" s="549"/>
      <c r="BV12" s="549"/>
      <c r="BW12" s="549"/>
      <c r="BX12" s="549"/>
      <c r="BY12" s="549"/>
      <c r="BZ12" s="549"/>
      <c r="CA12" s="549"/>
      <c r="CB12" s="549"/>
      <c r="CC12" s="549"/>
      <c r="CD12" s="549"/>
      <c r="CE12" s="549"/>
      <c r="CF12" s="549"/>
      <c r="CG12" s="549"/>
      <c r="CH12" s="549"/>
      <c r="CI12" s="549"/>
      <c r="CJ12" s="549"/>
      <c r="CK12" s="549"/>
      <c r="CL12" s="549"/>
      <c r="CM12" s="549"/>
      <c r="CN12" s="549"/>
      <c r="CO12" s="549"/>
      <c r="CP12" s="549"/>
      <c r="CQ12" s="549"/>
    </row>
    <row r="13" spans="1:95" s="298" customFormat="1" ht="25.5" customHeight="1" x14ac:dyDescent="0.25">
      <c r="A13" s="287"/>
      <c r="B13" s="116"/>
      <c r="C13" s="116"/>
      <c r="D13" s="295"/>
      <c r="E13" s="299" t="str">
        <f>Translations!$B$356</f>
        <v>RFA:</v>
      </c>
      <c r="F13" s="1090" t="str">
        <f>Translations!$B$357</f>
        <v>The released fuel amount is the amount of fuels released for consumption.</v>
      </c>
      <c r="G13" s="1090"/>
      <c r="H13" s="1090"/>
      <c r="I13" s="1090"/>
      <c r="J13" s="1090"/>
      <c r="K13" s="1090"/>
      <c r="L13" s="1090"/>
      <c r="M13" s="1090"/>
      <c r="N13" s="1090"/>
      <c r="O13" s="142"/>
      <c r="P13" s="113"/>
      <c r="Q13" s="297"/>
      <c r="R13" s="297"/>
      <c r="S13" s="297"/>
      <c r="T13" s="297"/>
      <c r="U13" s="297"/>
      <c r="V13" s="297"/>
      <c r="W13" s="287"/>
      <c r="X13" s="287"/>
      <c r="Y13" s="111"/>
      <c r="Z13" s="111"/>
      <c r="AA13" s="111"/>
      <c r="AB13" s="111"/>
      <c r="AC13" s="111"/>
      <c r="AD13" s="549"/>
      <c r="AE13" s="549"/>
      <c r="AF13" s="549"/>
      <c r="AG13" s="549"/>
      <c r="AH13" s="549"/>
      <c r="AI13" s="549"/>
      <c r="AJ13" s="549"/>
      <c r="AK13" s="549"/>
      <c r="AL13" s="549"/>
      <c r="AM13" s="549"/>
      <c r="AN13" s="549"/>
      <c r="AO13" s="549"/>
      <c r="AP13" s="549"/>
      <c r="AQ13" s="549"/>
      <c r="AR13" s="549"/>
      <c r="AS13" s="549"/>
      <c r="AT13" s="549"/>
      <c r="AU13" s="549"/>
      <c r="AV13" s="549"/>
      <c r="AW13" s="549"/>
      <c r="AX13" s="549"/>
      <c r="AY13" s="549"/>
      <c r="AZ13" s="549"/>
      <c r="BA13" s="549"/>
      <c r="BB13" s="549"/>
      <c r="BC13" s="549"/>
      <c r="BD13" s="549"/>
      <c r="BE13" s="549"/>
      <c r="BF13" s="549"/>
      <c r="BG13" s="549"/>
      <c r="BH13" s="549"/>
      <c r="BI13" s="549"/>
      <c r="BJ13" s="549"/>
      <c r="BK13" s="549"/>
      <c r="BL13" s="549"/>
      <c r="BM13" s="549"/>
      <c r="BN13" s="549"/>
      <c r="BO13" s="549"/>
      <c r="BP13" s="549"/>
      <c r="BQ13" s="549"/>
      <c r="BR13" s="549"/>
      <c r="BS13" s="549"/>
      <c r="BT13" s="549"/>
      <c r="BU13" s="549"/>
      <c r="BV13" s="549"/>
      <c r="BW13" s="549"/>
      <c r="BX13" s="549"/>
      <c r="BY13" s="549"/>
      <c r="BZ13" s="549"/>
      <c r="CA13" s="549"/>
      <c r="CB13" s="549"/>
      <c r="CC13" s="549"/>
      <c r="CD13" s="549"/>
      <c r="CE13" s="549"/>
      <c r="CF13" s="549"/>
      <c r="CG13" s="549"/>
      <c r="CH13" s="549"/>
      <c r="CI13" s="549"/>
      <c r="CJ13" s="549"/>
      <c r="CK13" s="549"/>
      <c r="CL13" s="549"/>
      <c r="CM13" s="549"/>
      <c r="CN13" s="549"/>
      <c r="CO13" s="549"/>
      <c r="CP13" s="549"/>
      <c r="CQ13" s="549"/>
    </row>
    <row r="14" spans="1:95" s="298" customFormat="1" ht="25.5" customHeight="1" x14ac:dyDescent="0.25">
      <c r="A14" s="287"/>
      <c r="B14" s="116"/>
      <c r="C14" s="116"/>
      <c r="D14" s="295"/>
      <c r="E14" s="299" t="str">
        <f>Translations!$B$358</f>
        <v>(prelim) EF:</v>
      </c>
      <c r="F14" s="1090" t="str">
        <f>Translations!$B$359</f>
        <v>The "preliminary" emission factor is the assumed total emission factor of fuel based on the total carbon content composed of biomass fraction and fossil fraction before multiplying it with the fossil fraction to result in the emission factor.</v>
      </c>
      <c r="G14" s="1090"/>
      <c r="H14" s="1090"/>
      <c r="I14" s="1090"/>
      <c r="J14" s="1090"/>
      <c r="K14" s="1090"/>
      <c r="L14" s="1090"/>
      <c r="M14" s="1090"/>
      <c r="N14" s="1090"/>
      <c r="O14" s="142"/>
      <c r="P14" s="113"/>
      <c r="Q14" s="297"/>
      <c r="R14" s="297"/>
      <c r="S14" s="297"/>
      <c r="T14" s="297"/>
      <c r="U14" s="297"/>
      <c r="V14" s="297"/>
      <c r="W14" s="287"/>
      <c r="X14" s="287"/>
      <c r="Y14" s="111"/>
      <c r="Z14" s="111"/>
      <c r="AA14" s="111"/>
      <c r="AB14" s="111"/>
      <c r="AC14" s="111"/>
      <c r="AD14" s="549"/>
      <c r="AE14" s="549"/>
      <c r="AF14" s="549"/>
      <c r="AG14" s="549"/>
      <c r="AH14" s="549"/>
      <c r="AI14" s="549"/>
      <c r="AJ14" s="549"/>
      <c r="AK14" s="549"/>
      <c r="AL14" s="549"/>
      <c r="AM14" s="549"/>
      <c r="AN14" s="549"/>
      <c r="AO14" s="549"/>
      <c r="AP14" s="549"/>
      <c r="AQ14" s="549"/>
      <c r="AR14" s="549"/>
      <c r="AS14" s="549"/>
      <c r="AT14" s="549"/>
      <c r="AU14" s="549"/>
      <c r="AV14" s="549"/>
      <c r="AW14" s="549"/>
      <c r="AX14" s="549"/>
      <c r="AY14" s="549"/>
      <c r="AZ14" s="549"/>
      <c r="BA14" s="549"/>
      <c r="BB14" s="549"/>
      <c r="BC14" s="549"/>
      <c r="BD14" s="549"/>
      <c r="BE14" s="549"/>
      <c r="BF14" s="549"/>
      <c r="BG14" s="549"/>
      <c r="BH14" s="549"/>
      <c r="BI14" s="549"/>
      <c r="BJ14" s="549"/>
      <c r="BK14" s="549"/>
      <c r="BL14" s="549"/>
      <c r="BM14" s="549"/>
      <c r="BN14" s="549"/>
      <c r="BO14" s="549"/>
      <c r="BP14" s="549"/>
      <c r="BQ14" s="549"/>
      <c r="BR14" s="549"/>
      <c r="BS14" s="549"/>
      <c r="BT14" s="549"/>
      <c r="BU14" s="549"/>
      <c r="BV14" s="549"/>
      <c r="BW14" s="549"/>
      <c r="BX14" s="549"/>
      <c r="BY14" s="549"/>
      <c r="BZ14" s="549"/>
      <c r="CA14" s="549"/>
      <c r="CB14" s="549"/>
      <c r="CC14" s="549"/>
      <c r="CD14" s="549"/>
      <c r="CE14" s="549"/>
      <c r="CF14" s="549"/>
      <c r="CG14" s="549"/>
      <c r="CH14" s="549"/>
      <c r="CI14" s="549"/>
      <c r="CJ14" s="549"/>
      <c r="CK14" s="549"/>
      <c r="CL14" s="549"/>
      <c r="CM14" s="549"/>
      <c r="CN14" s="549"/>
      <c r="CO14" s="549"/>
      <c r="CP14" s="549"/>
      <c r="CQ14" s="549"/>
    </row>
    <row r="15" spans="1:95" s="298" customFormat="1" ht="38.25" customHeight="1" x14ac:dyDescent="0.25">
      <c r="A15" s="287"/>
      <c r="B15" s="116"/>
      <c r="C15" s="116"/>
      <c r="D15" s="295"/>
      <c r="E15" s="299" t="str">
        <f>Translations!$B$360</f>
        <v>UCF:</v>
      </c>
      <c r="F15" s="1090" t="str">
        <f>Translations!$B$361</f>
        <v>The unit conversion factor converting the unit in which released fuel amounts are expressed, into amounts expressed as energy in TJ, mass in tonnes or volume in Nm³, where appropriate. It comprises all relevant factors such as the density, the net calorific value or (for gases) the conversion from gross calorific value to net calorific value, as applicable.</v>
      </c>
      <c r="G15" s="1090"/>
      <c r="H15" s="1090"/>
      <c r="I15" s="1090"/>
      <c r="J15" s="1090"/>
      <c r="K15" s="1090"/>
      <c r="L15" s="1090"/>
      <c r="M15" s="1090"/>
      <c r="N15" s="1090"/>
      <c r="O15" s="142"/>
      <c r="P15" s="113"/>
      <c r="Q15" s="297"/>
      <c r="R15" s="297"/>
      <c r="S15" s="297"/>
      <c r="T15" s="297"/>
      <c r="U15" s="287"/>
      <c r="V15" s="287"/>
      <c r="W15" s="287"/>
      <c r="X15" s="287"/>
      <c r="Y15" s="111"/>
      <c r="Z15" s="111"/>
      <c r="AA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1"/>
      <c r="BJ15" s="111"/>
      <c r="BK15" s="111"/>
      <c r="BL15" s="111"/>
      <c r="BM15" s="111"/>
      <c r="BN15" s="111"/>
      <c r="BO15" s="111"/>
      <c r="BP15" s="111"/>
      <c r="BQ15" s="111"/>
      <c r="BR15" s="111"/>
      <c r="BS15" s="111"/>
      <c r="BT15" s="111"/>
      <c r="BU15" s="111"/>
      <c r="BV15" s="111"/>
      <c r="BW15" s="111"/>
      <c r="BX15" s="111"/>
      <c r="BY15" s="111"/>
      <c r="BZ15" s="111"/>
      <c r="CA15" s="111"/>
      <c r="CB15" s="111"/>
      <c r="CC15" s="111"/>
      <c r="CD15" s="111"/>
      <c r="CE15" s="111"/>
      <c r="CF15" s="111"/>
      <c r="CG15" s="111"/>
      <c r="CH15" s="111"/>
      <c r="CI15" s="111"/>
      <c r="CJ15" s="111"/>
      <c r="CK15" s="111"/>
      <c r="CL15" s="111"/>
      <c r="CM15" s="111"/>
      <c r="CN15" s="111"/>
      <c r="CO15" s="111"/>
      <c r="CP15" s="111"/>
      <c r="CQ15" s="111"/>
    </row>
    <row r="16" spans="1:95" s="298" customFormat="1" ht="12.75" customHeight="1" x14ac:dyDescent="0.25">
      <c r="A16" s="287"/>
      <c r="B16" s="116"/>
      <c r="C16" s="116"/>
      <c r="D16" s="295"/>
      <c r="E16" s="299" t="str">
        <f>Translations!$B$362</f>
        <v>BioF:</v>
      </c>
      <c r="F16" s="1090" t="str">
        <f>Translations!$B$363</f>
        <v>The biomass fraction is the ratio of carbon stemming from biomass to the total carbon content of a fuel, expressed as a fraction.</v>
      </c>
      <c r="G16" s="1090"/>
      <c r="H16" s="1090"/>
      <c r="I16" s="1090"/>
      <c r="J16" s="1090"/>
      <c r="K16" s="1090"/>
      <c r="L16" s="1090"/>
      <c r="M16" s="1090"/>
      <c r="N16" s="1090"/>
      <c r="O16" s="142"/>
      <c r="P16" s="113"/>
      <c r="Q16" s="297"/>
      <c r="R16" s="297"/>
      <c r="S16" s="297"/>
      <c r="T16" s="297"/>
      <c r="U16" s="287"/>
      <c r="V16" s="287"/>
      <c r="W16" s="287"/>
      <c r="X16" s="287"/>
      <c r="Y16" s="111"/>
      <c r="Z16" s="111"/>
      <c r="AA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c r="BT16" s="111"/>
      <c r="BU16" s="111"/>
      <c r="BV16" s="111"/>
      <c r="BW16" s="111"/>
      <c r="BX16" s="111"/>
      <c r="BY16" s="111"/>
      <c r="BZ16" s="111"/>
      <c r="CA16" s="111"/>
      <c r="CB16" s="111"/>
      <c r="CC16" s="111"/>
      <c r="CD16" s="111"/>
      <c r="CE16" s="111"/>
      <c r="CF16" s="111"/>
      <c r="CG16" s="111"/>
      <c r="CH16" s="111"/>
      <c r="CI16" s="111"/>
      <c r="CJ16" s="111"/>
      <c r="CK16" s="111"/>
      <c r="CL16" s="111"/>
      <c r="CM16" s="111"/>
      <c r="CN16" s="111"/>
      <c r="CO16" s="111"/>
      <c r="CP16" s="111"/>
      <c r="CQ16" s="111"/>
    </row>
    <row r="17" spans="1:95" s="298" customFormat="1" ht="12.75" customHeight="1" x14ac:dyDescent="0.25">
      <c r="A17" s="287"/>
      <c r="B17" s="116"/>
      <c r="C17" s="116"/>
      <c r="D17" s="295"/>
      <c r="E17" s="299"/>
      <c r="F17" s="1090" t="str">
        <f>Translations!$B$364</f>
        <v>This value should relate to all biomass for which the following conditions are satisfied:</v>
      </c>
      <c r="G17" s="1090"/>
      <c r="H17" s="1090"/>
      <c r="I17" s="1090"/>
      <c r="J17" s="1090"/>
      <c r="K17" s="1090"/>
      <c r="L17" s="1090"/>
      <c r="M17" s="1090"/>
      <c r="N17" s="1090"/>
      <c r="O17" s="142"/>
      <c r="P17" s="113"/>
      <c r="Q17" s="297"/>
      <c r="R17" s="297"/>
      <c r="S17" s="297"/>
      <c r="T17" s="297"/>
      <c r="U17" s="287"/>
      <c r="V17" s="287"/>
      <c r="W17" s="287"/>
      <c r="X17" s="287"/>
      <c r="Y17" s="111"/>
      <c r="Z17" s="111"/>
      <c r="AA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c r="BD17" s="111"/>
      <c r="BE17" s="111"/>
      <c r="BF17" s="111"/>
      <c r="BG17" s="111"/>
      <c r="BH17" s="111"/>
      <c r="BI17" s="111"/>
      <c r="BJ17" s="111"/>
      <c r="BK17" s="111"/>
      <c r="BL17" s="111"/>
      <c r="BM17" s="111"/>
      <c r="BN17" s="111"/>
      <c r="BO17" s="111"/>
      <c r="BP17" s="111"/>
      <c r="BQ17" s="111"/>
      <c r="BR17" s="111"/>
      <c r="BS17" s="111"/>
      <c r="BT17" s="111"/>
      <c r="BU17" s="111"/>
      <c r="BV17" s="111"/>
      <c r="BW17" s="111"/>
      <c r="BX17" s="111"/>
      <c r="BY17" s="111"/>
      <c r="BZ17" s="111"/>
      <c r="CA17" s="111"/>
      <c r="CB17" s="111"/>
      <c r="CC17" s="111"/>
      <c r="CD17" s="111"/>
      <c r="CE17" s="111"/>
      <c r="CF17" s="111"/>
      <c r="CG17" s="111"/>
      <c r="CH17" s="111"/>
      <c r="CI17" s="111"/>
      <c r="CJ17" s="111"/>
      <c r="CK17" s="111"/>
      <c r="CL17" s="111"/>
      <c r="CM17" s="111"/>
      <c r="CN17" s="111"/>
      <c r="CO17" s="111"/>
      <c r="CP17" s="111"/>
      <c r="CQ17" s="111"/>
    </row>
    <row r="18" spans="1:95" s="298" customFormat="1" ht="12.75" customHeight="1" x14ac:dyDescent="0.25">
      <c r="A18" s="287"/>
      <c r="B18" s="116"/>
      <c r="C18" s="116"/>
      <c r="D18" s="295"/>
      <c r="E18" s="299"/>
      <c r="F18" s="241" t="s">
        <v>46</v>
      </c>
      <c r="G18" s="1090" t="str">
        <f>Translations!$B$365</f>
        <v>sustainability criteria (Article 38(5)) are not applicable, OR</v>
      </c>
      <c r="H18" s="1090"/>
      <c r="I18" s="1090"/>
      <c r="J18" s="1090"/>
      <c r="K18" s="1090"/>
      <c r="L18" s="1090"/>
      <c r="M18" s="1090"/>
      <c r="N18" s="1090"/>
      <c r="O18" s="142"/>
      <c r="P18" s="113"/>
      <c r="Q18" s="297"/>
      <c r="R18" s="297"/>
      <c r="S18" s="297"/>
      <c r="T18" s="297"/>
      <c r="U18" s="287"/>
      <c r="V18" s="287"/>
      <c r="W18" s="287"/>
      <c r="X18" s="287"/>
      <c r="Y18" s="111"/>
      <c r="Z18" s="111"/>
      <c r="AA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c r="BT18" s="111"/>
      <c r="BU18" s="111"/>
      <c r="BV18" s="111"/>
      <c r="BW18" s="111"/>
      <c r="BX18" s="111"/>
      <c r="BY18" s="111"/>
      <c r="BZ18" s="111"/>
      <c r="CA18" s="111"/>
      <c r="CB18" s="111"/>
      <c r="CC18" s="111"/>
      <c r="CD18" s="111"/>
      <c r="CE18" s="111"/>
      <c r="CF18" s="111"/>
      <c r="CG18" s="111"/>
      <c r="CH18" s="111"/>
      <c r="CI18" s="111"/>
      <c r="CJ18" s="111"/>
      <c r="CK18" s="111"/>
      <c r="CL18" s="111"/>
      <c r="CM18" s="111"/>
      <c r="CN18" s="111"/>
      <c r="CO18" s="111"/>
      <c r="CP18" s="111"/>
      <c r="CQ18" s="111"/>
    </row>
    <row r="19" spans="1:95" s="298" customFormat="1" ht="12.75" customHeight="1" x14ac:dyDescent="0.25">
      <c r="A19" s="287"/>
      <c r="B19" s="116"/>
      <c r="C19" s="116"/>
      <c r="D19" s="295"/>
      <c r="E19" s="299"/>
      <c r="F19" s="241" t="s">
        <v>46</v>
      </c>
      <c r="G19" s="1090" t="str">
        <f>Translations!$B$366</f>
        <v>sustainability criteria (Article 38(5)) are to be applied and those criteria are satisfied.</v>
      </c>
      <c r="H19" s="1090"/>
      <c r="I19" s="1090"/>
      <c r="J19" s="1090"/>
      <c r="K19" s="1090"/>
      <c r="L19" s="1090"/>
      <c r="M19" s="1090"/>
      <c r="N19" s="1090"/>
      <c r="O19" s="142"/>
      <c r="P19" s="113"/>
      <c r="Q19" s="297"/>
      <c r="R19" s="297"/>
      <c r="S19" s="297"/>
      <c r="T19" s="297"/>
      <c r="U19" s="287"/>
      <c r="V19" s="287"/>
      <c r="W19" s="287"/>
      <c r="X19" s="287"/>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row>
    <row r="20" spans="1:95" s="298" customFormat="1" ht="38.25" customHeight="1" x14ac:dyDescent="0.25">
      <c r="A20" s="287"/>
      <c r="B20" s="116"/>
      <c r="C20" s="116"/>
      <c r="D20" s="295"/>
      <c r="E20" s="299"/>
      <c r="F20" s="1090" t="str">
        <f>Translations!$B$607</f>
        <v>For biomass, this means that zero-rating is only possible when Tier 3b is applied for determining the biomass fraction (see "biomass fraction" tier descriptions below). Only in cases where the RED II criteria do not apply (i.e. below the RED II thresholds), other tiers can be used to zero-rate biomass emissions.</v>
      </c>
      <c r="G20" s="1090"/>
      <c r="H20" s="1090"/>
      <c r="I20" s="1090"/>
      <c r="J20" s="1090"/>
      <c r="K20" s="1090"/>
      <c r="L20" s="1090"/>
      <c r="M20" s="1090"/>
      <c r="N20" s="1090"/>
      <c r="O20" s="142"/>
      <c r="P20" s="113"/>
      <c r="Q20" s="297"/>
      <c r="R20" s="297"/>
      <c r="S20" s="297"/>
      <c r="T20" s="297"/>
      <c r="U20" s="287"/>
      <c r="V20" s="287"/>
      <c r="W20" s="287"/>
      <c r="X20" s="287"/>
      <c r="Y20" s="111"/>
      <c r="Z20" s="111"/>
      <c r="AA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c r="BK20" s="111"/>
      <c r="BL20" s="111"/>
      <c r="BM20" s="111"/>
      <c r="BN20" s="111"/>
      <c r="BO20" s="111"/>
      <c r="BP20" s="111"/>
      <c r="BQ20" s="111"/>
      <c r="BR20" s="111"/>
      <c r="BS20" s="111"/>
      <c r="BT20" s="111"/>
      <c r="BU20" s="111"/>
      <c r="BV20" s="111"/>
      <c r="BW20" s="111"/>
      <c r="BX20" s="111"/>
      <c r="BY20" s="111"/>
      <c r="BZ20" s="111"/>
      <c r="CA20" s="111"/>
      <c r="CB20" s="111"/>
      <c r="CC20" s="111"/>
      <c r="CD20" s="111"/>
      <c r="CE20" s="111"/>
      <c r="CF20" s="111"/>
      <c r="CG20" s="111"/>
      <c r="CH20" s="111"/>
      <c r="CI20" s="111"/>
      <c r="CJ20" s="111"/>
      <c r="CK20" s="111"/>
      <c r="CL20" s="111"/>
      <c r="CM20" s="111"/>
      <c r="CN20" s="111"/>
      <c r="CO20" s="111"/>
      <c r="CP20" s="111"/>
      <c r="CQ20" s="111"/>
    </row>
    <row r="21" spans="1:95" s="298" customFormat="1" ht="12.75" customHeight="1" x14ac:dyDescent="0.25">
      <c r="A21" s="287"/>
      <c r="B21" s="116"/>
      <c r="C21" s="116"/>
      <c r="D21" s="295"/>
      <c r="E21" s="299"/>
      <c r="F21" s="1090" t="str">
        <f>Translations!$B$606</f>
        <v>Further guidance can be found in the ETS2 General Guidance in section 5.6.3 on "zero-rating" (see link below).</v>
      </c>
      <c r="G21" s="1090"/>
      <c r="H21" s="1090"/>
      <c r="I21" s="1090"/>
      <c r="J21" s="1090"/>
      <c r="K21" s="1090"/>
      <c r="L21" s="1090"/>
      <c r="M21" s="1090"/>
      <c r="N21" s="1090"/>
      <c r="O21" s="142"/>
      <c r="P21" s="113"/>
      <c r="Q21" s="297"/>
      <c r="R21" s="297"/>
      <c r="S21" s="297"/>
      <c r="T21" s="297"/>
      <c r="U21" s="287"/>
      <c r="V21" s="287"/>
      <c r="W21" s="287"/>
      <c r="X21" s="287"/>
      <c r="Y21" s="111"/>
      <c r="Z21" s="111"/>
      <c r="AA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c r="BU21" s="111"/>
      <c r="BV21" s="111"/>
      <c r="BW21" s="111"/>
      <c r="BX21" s="111"/>
      <c r="BY21" s="111"/>
      <c r="BZ21" s="111"/>
      <c r="CA21" s="111"/>
      <c r="CB21" s="111"/>
      <c r="CC21" s="111"/>
      <c r="CD21" s="111"/>
      <c r="CE21" s="111"/>
      <c r="CF21" s="111"/>
      <c r="CG21" s="111"/>
      <c r="CH21" s="111"/>
      <c r="CI21" s="111"/>
      <c r="CJ21" s="111"/>
      <c r="CK21" s="111"/>
      <c r="CL21" s="111"/>
      <c r="CM21" s="111"/>
      <c r="CN21" s="111"/>
      <c r="CO21" s="111"/>
      <c r="CP21" s="111"/>
      <c r="CQ21" s="111"/>
    </row>
    <row r="22" spans="1:95" s="298" customFormat="1" ht="12.75" customHeight="1" x14ac:dyDescent="0.25">
      <c r="A22" s="287"/>
      <c r="B22" s="116"/>
      <c r="C22" s="116"/>
      <c r="D22" s="295"/>
      <c r="E22" s="299"/>
      <c r="F22" s="1285" t="s">
        <v>106</v>
      </c>
      <c r="G22" s="1090"/>
      <c r="H22" s="1090"/>
      <c r="I22" s="1090"/>
      <c r="J22" s="1090"/>
      <c r="K22" s="1090"/>
      <c r="L22" s="1090"/>
      <c r="M22" s="1090"/>
      <c r="N22" s="1090"/>
      <c r="O22" s="142"/>
      <c r="P22" s="113"/>
      <c r="Q22" s="297"/>
      <c r="R22" s="297"/>
      <c r="S22" s="297"/>
      <c r="T22" s="297"/>
      <c r="U22" s="287"/>
      <c r="V22" s="287"/>
      <c r="W22" s="287"/>
      <c r="X22" s="287"/>
      <c r="Y22" s="111"/>
      <c r="Z22" s="111"/>
      <c r="AA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c r="BK22" s="111"/>
      <c r="BL22" s="111"/>
      <c r="BM22" s="111"/>
      <c r="BN22" s="111"/>
      <c r="BO22" s="111"/>
      <c r="BP22" s="111"/>
      <c r="BQ22" s="111"/>
      <c r="BR22" s="111"/>
      <c r="BS22" s="111"/>
      <c r="BT22" s="111"/>
      <c r="BU22" s="111"/>
      <c r="BV22" s="111"/>
      <c r="BW22" s="111"/>
      <c r="BX22" s="111"/>
      <c r="BY22" s="111"/>
      <c r="BZ22" s="111"/>
      <c r="CA22" s="111"/>
      <c r="CB22" s="111"/>
      <c r="CC22" s="111"/>
      <c r="CD22" s="111"/>
      <c r="CE22" s="111"/>
      <c r="CF22" s="111"/>
      <c r="CG22" s="111"/>
      <c r="CH22" s="111"/>
      <c r="CI22" s="111"/>
      <c r="CJ22" s="111"/>
      <c r="CK22" s="111"/>
      <c r="CL22" s="111"/>
      <c r="CM22" s="111"/>
      <c r="CN22" s="111"/>
      <c r="CO22" s="111"/>
      <c r="CP22" s="111"/>
      <c r="CQ22" s="111"/>
    </row>
    <row r="23" spans="1:95" s="298" customFormat="1" ht="12.75" customHeight="1" x14ac:dyDescent="0.25">
      <c r="A23" s="287"/>
      <c r="B23" s="116"/>
      <c r="C23" s="116"/>
      <c r="D23" s="295"/>
      <c r="E23" s="299"/>
      <c r="F23" s="1090" t="str">
        <f>Translations!$B$605</f>
        <v>Further guidance can also be found in Guidance Document 3 on "Zero-rating" (see link below).</v>
      </c>
      <c r="G23" s="1090"/>
      <c r="H23" s="1090"/>
      <c r="I23" s="1090"/>
      <c r="J23" s="1090"/>
      <c r="K23" s="1090"/>
      <c r="L23" s="1090"/>
      <c r="M23" s="1090"/>
      <c r="N23" s="1090"/>
      <c r="O23" s="142"/>
      <c r="P23" s="113"/>
      <c r="Q23" s="297"/>
      <c r="R23" s="297"/>
      <c r="S23" s="297"/>
      <c r="T23" s="297"/>
      <c r="U23" s="287"/>
      <c r="V23" s="287"/>
      <c r="W23" s="287"/>
      <c r="X23" s="287"/>
      <c r="Y23" s="111"/>
      <c r="Z23" s="111"/>
      <c r="AA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c r="BW23" s="111"/>
      <c r="BX23" s="111"/>
      <c r="BY23" s="111"/>
      <c r="BZ23" s="111"/>
      <c r="CA23" s="111"/>
      <c r="CB23" s="111"/>
      <c r="CC23" s="111"/>
      <c r="CD23" s="111"/>
      <c r="CE23" s="111"/>
      <c r="CF23" s="111"/>
      <c r="CG23" s="111"/>
      <c r="CH23" s="111"/>
      <c r="CI23" s="111"/>
      <c r="CJ23" s="111"/>
      <c r="CK23" s="111"/>
      <c r="CL23" s="111"/>
      <c r="CM23" s="111"/>
      <c r="CN23" s="111"/>
      <c r="CO23" s="111"/>
      <c r="CP23" s="111"/>
      <c r="CQ23" s="111"/>
    </row>
    <row r="24" spans="1:95" s="298" customFormat="1" ht="12.75" customHeight="1" x14ac:dyDescent="0.25">
      <c r="A24" s="287"/>
      <c r="B24" s="116"/>
      <c r="C24" s="116"/>
      <c r="D24" s="295"/>
      <c r="E24" s="299"/>
      <c r="F24" s="1285" t="str">
        <f>Translations!$B$173</f>
        <v>https://climate.ec.europa.eu/eu-action/eu-emissions-trading-system-eu-ets/monitoring-reporting-and-verification-eu-ets-emissions_en</v>
      </c>
      <c r="G24" s="1090"/>
      <c r="H24" s="1090"/>
      <c r="I24" s="1090"/>
      <c r="J24" s="1090"/>
      <c r="K24" s="1090"/>
      <c r="L24" s="1090"/>
      <c r="M24" s="1090"/>
      <c r="N24" s="1090"/>
      <c r="O24" s="142"/>
      <c r="P24" s="113"/>
      <c r="Q24" s="297"/>
      <c r="R24" s="297"/>
      <c r="S24" s="297"/>
      <c r="T24" s="297"/>
      <c r="U24" s="287"/>
      <c r="V24" s="287"/>
      <c r="W24" s="287"/>
      <c r="X24" s="287"/>
      <c r="Y24" s="111"/>
      <c r="Z24" s="111"/>
      <c r="AA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c r="BT24" s="111"/>
      <c r="BU24" s="111"/>
      <c r="BV24" s="111"/>
      <c r="BW24" s="111"/>
      <c r="BX24" s="111"/>
      <c r="BY24" s="111"/>
      <c r="BZ24" s="111"/>
      <c r="CA24" s="111"/>
      <c r="CB24" s="111"/>
      <c r="CC24" s="111"/>
      <c r="CD24" s="111"/>
      <c r="CE24" s="111"/>
      <c r="CF24" s="111"/>
      <c r="CG24" s="111"/>
      <c r="CH24" s="111"/>
      <c r="CI24" s="111"/>
      <c r="CJ24" s="111"/>
      <c r="CK24" s="111"/>
      <c r="CL24" s="111"/>
      <c r="CM24" s="111"/>
      <c r="CN24" s="111"/>
      <c r="CO24" s="111"/>
      <c r="CP24" s="111"/>
      <c r="CQ24" s="111"/>
    </row>
    <row r="25" spans="1:95" s="298" customFormat="1" ht="25.5" customHeight="1" x14ac:dyDescent="0.25">
      <c r="A25" s="287"/>
      <c r="B25" s="116"/>
      <c r="C25" s="116"/>
      <c r="D25" s="295"/>
      <c r="E25" s="299" t="str">
        <f>Translations!$B$368</f>
        <v>non-sust. BioF:</v>
      </c>
      <c r="F25" s="1090" t="str">
        <f>Translations!$B$369</f>
        <v>The "non-sustainable" biomass fraction is the ratio of carbon stemming from "non-sustainable" biomass to the total carbon content of a fuel, expressed as a fraction.</v>
      </c>
      <c r="G25" s="1090"/>
      <c r="H25" s="1090"/>
      <c r="I25" s="1090"/>
      <c r="J25" s="1090"/>
      <c r="K25" s="1090"/>
      <c r="L25" s="1090"/>
      <c r="M25" s="1090"/>
      <c r="N25" s="1090"/>
      <c r="O25" s="142"/>
      <c r="P25" s="113"/>
      <c r="Q25" s="297"/>
      <c r="R25" s="297"/>
      <c r="S25" s="297"/>
      <c r="T25" s="297"/>
      <c r="U25" s="287"/>
      <c r="V25" s="287"/>
      <c r="W25" s="287"/>
      <c r="X25" s="287"/>
      <c r="Y25" s="111"/>
      <c r="Z25" s="111"/>
      <c r="AA25" s="111"/>
      <c r="AB25" s="111"/>
      <c r="AC25" s="111"/>
      <c r="AD25" s="111"/>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c r="BK25" s="111"/>
      <c r="BL25" s="111"/>
      <c r="BM25" s="111"/>
      <c r="BN25" s="111"/>
      <c r="BO25" s="111"/>
      <c r="BP25" s="111"/>
      <c r="BQ25" s="111"/>
      <c r="BR25" s="111"/>
      <c r="BS25" s="111"/>
      <c r="BT25" s="111"/>
      <c r="BU25" s="111"/>
      <c r="BV25" s="111"/>
      <c r="BW25" s="111"/>
      <c r="BX25" s="111"/>
      <c r="BY25" s="111"/>
      <c r="BZ25" s="111"/>
      <c r="CA25" s="111"/>
      <c r="CB25" s="111"/>
      <c r="CC25" s="111"/>
      <c r="CD25" s="111"/>
      <c r="CE25" s="111"/>
      <c r="CF25" s="111"/>
      <c r="CG25" s="111"/>
      <c r="CH25" s="111"/>
      <c r="CI25" s="111"/>
      <c r="CJ25" s="111"/>
      <c r="CK25" s="111"/>
      <c r="CL25" s="111"/>
      <c r="CM25" s="111"/>
      <c r="CN25" s="111"/>
      <c r="CO25" s="111"/>
      <c r="CP25" s="111"/>
      <c r="CQ25" s="111"/>
    </row>
    <row r="26" spans="1:95" s="298" customFormat="1" ht="12.75" customHeight="1" x14ac:dyDescent="0.25">
      <c r="A26" s="287"/>
      <c r="B26" s="116"/>
      <c r="C26" s="116"/>
      <c r="D26" s="295"/>
      <c r="E26" s="299"/>
      <c r="F26" s="1090" t="str">
        <f>Translations!$B$370</f>
        <v>This value should relate only to biomass for which sustainability criteria are to be applied, but where those criteria are not satisfied.</v>
      </c>
      <c r="G26" s="1090"/>
      <c r="H26" s="1090"/>
      <c r="I26" s="1090"/>
      <c r="J26" s="1090"/>
      <c r="K26" s="1090"/>
      <c r="L26" s="1090"/>
      <c r="M26" s="1090"/>
      <c r="N26" s="1090"/>
      <c r="O26" s="142"/>
      <c r="P26" s="113"/>
      <c r="Q26" s="297"/>
      <c r="R26" s="297"/>
      <c r="S26" s="297"/>
      <c r="T26" s="297"/>
      <c r="U26" s="287"/>
      <c r="V26" s="287"/>
      <c r="W26" s="287"/>
      <c r="X26" s="287"/>
      <c r="Y26" s="111"/>
      <c r="Z26" s="111"/>
      <c r="AA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c r="BK26" s="111"/>
      <c r="BL26" s="111"/>
      <c r="BM26" s="111"/>
      <c r="BN26" s="111"/>
      <c r="BO26" s="111"/>
      <c r="BP26" s="111"/>
      <c r="BQ26" s="111"/>
      <c r="BR26" s="111"/>
      <c r="BS26" s="111"/>
      <c r="BT26" s="111"/>
      <c r="BU26" s="111"/>
      <c r="BV26" s="111"/>
      <c r="BW26" s="111"/>
      <c r="BX26" s="111"/>
      <c r="BY26" s="111"/>
      <c r="BZ26" s="111"/>
      <c r="CA26" s="111"/>
      <c r="CB26" s="111"/>
      <c r="CC26" s="111"/>
      <c r="CD26" s="111"/>
      <c r="CE26" s="111"/>
      <c r="CF26" s="111"/>
      <c r="CG26" s="111"/>
      <c r="CH26" s="111"/>
      <c r="CI26" s="111"/>
      <c r="CJ26" s="111"/>
      <c r="CK26" s="111"/>
      <c r="CL26" s="111"/>
      <c r="CM26" s="111"/>
      <c r="CN26" s="111"/>
      <c r="CO26" s="111"/>
      <c r="CP26" s="111"/>
      <c r="CQ26" s="111"/>
    </row>
    <row r="27" spans="1:95" s="298" customFormat="1" ht="25.5" customHeight="1" x14ac:dyDescent="0.25">
      <c r="A27" s="287"/>
      <c r="B27" s="116"/>
      <c r="C27" s="116"/>
      <c r="D27" s="295"/>
      <c r="E27" s="299" t="str">
        <f>Translations!$B$610</f>
        <v>sust. RFNBO/RCF:</v>
      </c>
      <c r="F27" s="1090" t="str">
        <f>Translations!$B$611</f>
        <v>The zero-rated RFNBO (renewable fuels of non-biological origin) / RCF (recycled carbon fuel) fraction is the ratio of carbon stemming from RFNBO/RCF to the total carbon content of a fuel or material, expressed as a fraction.</v>
      </c>
      <c r="G27" s="1090"/>
      <c r="H27" s="1090"/>
      <c r="I27" s="1090"/>
      <c r="J27" s="1090"/>
      <c r="K27" s="1090"/>
      <c r="L27" s="1090"/>
      <c r="M27" s="1090"/>
      <c r="N27" s="1090"/>
      <c r="O27" s="142"/>
      <c r="P27" s="113"/>
      <c r="Q27" s="297"/>
      <c r="R27" s="297"/>
      <c r="S27" s="297"/>
      <c r="T27" s="297"/>
      <c r="U27" s="287"/>
      <c r="V27" s="287"/>
      <c r="W27" s="287"/>
      <c r="X27" s="287"/>
      <c r="Y27" s="111"/>
      <c r="Z27" s="111"/>
      <c r="AA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c r="BK27" s="111"/>
      <c r="BL27" s="111"/>
      <c r="BM27" s="111"/>
      <c r="BN27" s="111"/>
      <c r="BO27" s="111"/>
      <c r="BP27" s="111"/>
      <c r="BQ27" s="111"/>
      <c r="BR27" s="111"/>
      <c r="BS27" s="111"/>
      <c r="BT27" s="111"/>
      <c r="BU27" s="111"/>
      <c r="BV27" s="111"/>
      <c r="BW27" s="111"/>
      <c r="BX27" s="111"/>
      <c r="BY27" s="111"/>
      <c r="BZ27" s="111"/>
      <c r="CA27" s="111"/>
      <c r="CB27" s="111"/>
      <c r="CC27" s="111"/>
      <c r="CD27" s="111"/>
      <c r="CE27" s="111"/>
      <c r="CF27" s="111"/>
      <c r="CG27" s="111"/>
      <c r="CH27" s="111"/>
      <c r="CI27" s="111"/>
      <c r="CJ27" s="111"/>
      <c r="CK27" s="111"/>
      <c r="CL27" s="111"/>
      <c r="CM27" s="111"/>
      <c r="CN27" s="111"/>
      <c r="CO27" s="111"/>
      <c r="CP27" s="111"/>
      <c r="CQ27" s="111"/>
    </row>
    <row r="28" spans="1:95" s="298" customFormat="1" ht="12.75" customHeight="1" x14ac:dyDescent="0.25">
      <c r="A28" s="287"/>
      <c r="B28" s="116"/>
      <c r="C28" s="116"/>
      <c r="D28" s="295"/>
      <c r="E28" s="299"/>
      <c r="F28" s="1090" t="str">
        <f>Translations!$B$608</f>
        <v>For RFNBO and RCF, there is only one tier (Tier 1) available, which contains equivalent provisions as Tier 3b for biomass.</v>
      </c>
      <c r="G28" s="1090"/>
      <c r="H28" s="1090"/>
      <c r="I28" s="1090"/>
      <c r="J28" s="1090"/>
      <c r="K28" s="1090"/>
      <c r="L28" s="1090"/>
      <c r="M28" s="1090"/>
      <c r="N28" s="1090"/>
      <c r="O28" s="142"/>
      <c r="P28" s="113"/>
      <c r="Q28" s="297"/>
      <c r="R28" s="297"/>
      <c r="S28" s="297"/>
      <c r="T28" s="297"/>
      <c r="U28" s="287"/>
      <c r="V28" s="287"/>
      <c r="W28" s="287"/>
      <c r="X28" s="287"/>
      <c r="Y28" s="111"/>
      <c r="Z28" s="111"/>
      <c r="AA28" s="111"/>
      <c r="AB28" s="111"/>
      <c r="AC28" s="111"/>
      <c r="AD28" s="111"/>
      <c r="AE28" s="111"/>
      <c r="AF28" s="111"/>
      <c r="AG28" s="111"/>
      <c r="AH28" s="111"/>
      <c r="AI28" s="111"/>
      <c r="AJ28" s="111"/>
      <c r="AK28" s="111"/>
      <c r="AL28" s="111"/>
      <c r="AM28" s="111"/>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c r="BK28" s="111"/>
      <c r="BL28" s="111"/>
      <c r="BM28" s="111"/>
      <c r="BN28" s="111"/>
      <c r="BO28" s="111"/>
      <c r="BP28" s="111"/>
      <c r="BQ28" s="111"/>
      <c r="BR28" s="111"/>
      <c r="BS28" s="111"/>
      <c r="BT28" s="111"/>
      <c r="BU28" s="111"/>
      <c r="BV28" s="111"/>
      <c r="BW28" s="111"/>
      <c r="BX28" s="111"/>
      <c r="BY28" s="111"/>
      <c r="BZ28" s="111"/>
      <c r="CA28" s="111"/>
      <c r="CB28" s="111"/>
      <c r="CC28" s="111"/>
      <c r="CD28" s="111"/>
      <c r="CE28" s="111"/>
      <c r="CF28" s="111"/>
      <c r="CG28" s="111"/>
      <c r="CH28" s="111"/>
      <c r="CI28" s="111"/>
      <c r="CJ28" s="111"/>
      <c r="CK28" s="111"/>
      <c r="CL28" s="111"/>
      <c r="CM28" s="111"/>
      <c r="CN28" s="111"/>
      <c r="CO28" s="111"/>
      <c r="CP28" s="111"/>
      <c r="CQ28" s="111"/>
    </row>
    <row r="29" spans="1:95" s="298" customFormat="1" ht="25.5" customHeight="1" x14ac:dyDescent="0.25">
      <c r="A29" s="287"/>
      <c r="B29" s="116"/>
      <c r="C29" s="116"/>
      <c r="D29" s="295"/>
      <c r="E29" s="299"/>
      <c r="F29" s="1090" t="str">
        <f>Translations!$B$612</f>
        <v>Since this fraction can be expected to be only relevant in a few cases for the time being, the fraction is set to "n.a." by default to avoid confusion. If however relevant, please select Tier 1 and provide the relevant value for the fraction.</v>
      </c>
      <c r="G29" s="1090"/>
      <c r="H29" s="1090"/>
      <c r="I29" s="1090"/>
      <c r="J29" s="1090"/>
      <c r="K29" s="1090"/>
      <c r="L29" s="1090"/>
      <c r="M29" s="1090"/>
      <c r="N29" s="1090"/>
      <c r="O29" s="142"/>
      <c r="P29" s="113"/>
      <c r="Q29" s="297"/>
      <c r="R29" s="297"/>
      <c r="S29" s="297"/>
      <c r="T29" s="297"/>
      <c r="U29" s="287"/>
      <c r="V29" s="287"/>
      <c r="W29" s="287"/>
      <c r="X29" s="287"/>
      <c r="Y29" s="111"/>
      <c r="Z29" s="111"/>
      <c r="AA29" s="111"/>
      <c r="AB29" s="111"/>
      <c r="AC29" s="111"/>
      <c r="AD29" s="111"/>
      <c r="AE29" s="111"/>
      <c r="AF29" s="111"/>
      <c r="AG29" s="111"/>
      <c r="AH29" s="111"/>
      <c r="AI29" s="111"/>
      <c r="AJ29" s="111"/>
      <c r="AK29" s="111"/>
      <c r="AL29" s="111"/>
      <c r="AM29" s="111"/>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c r="BK29" s="111"/>
      <c r="BL29" s="111"/>
      <c r="BM29" s="111"/>
      <c r="BN29" s="111"/>
      <c r="BO29" s="111"/>
      <c r="BP29" s="111"/>
      <c r="BQ29" s="111"/>
      <c r="BR29" s="111"/>
      <c r="BS29" s="111"/>
      <c r="BT29" s="111"/>
      <c r="BU29" s="111"/>
      <c r="BV29" s="111"/>
      <c r="BW29" s="111"/>
      <c r="BX29" s="111"/>
      <c r="BY29" s="111"/>
      <c r="BZ29" s="111"/>
      <c r="CA29" s="111"/>
      <c r="CB29" s="111"/>
      <c r="CC29" s="111"/>
      <c r="CD29" s="111"/>
      <c r="CE29" s="111"/>
      <c r="CF29" s="111"/>
      <c r="CG29" s="111"/>
      <c r="CH29" s="111"/>
      <c r="CI29" s="111"/>
      <c r="CJ29" s="111"/>
      <c r="CK29" s="111"/>
      <c r="CL29" s="111"/>
      <c r="CM29" s="111"/>
      <c r="CN29" s="111"/>
      <c r="CO29" s="111"/>
      <c r="CP29" s="111"/>
      <c r="CQ29" s="111"/>
    </row>
    <row r="30" spans="1:95" s="298" customFormat="1" ht="25.5" customHeight="1" x14ac:dyDescent="0.25">
      <c r="A30" s="287"/>
      <c r="B30" s="116"/>
      <c r="C30" s="116"/>
      <c r="D30" s="295"/>
      <c r="E30" s="299" t="str">
        <f>Translations!$B$613</f>
        <v>non-sust. RFNBO/RCF:</v>
      </c>
      <c r="F30" s="1090" t="str">
        <f>Translations!$B$614</f>
        <v>The non-sustainable RFNBO (renewable fuels of non-biological origin) / RCF (recycled carbon fuel) fraction is the similar ratio as above, but the RED II compliance could not be demonstrated.</v>
      </c>
      <c r="G30" s="1090"/>
      <c r="H30" s="1090"/>
      <c r="I30" s="1090"/>
      <c r="J30" s="1090"/>
      <c r="K30" s="1090"/>
      <c r="L30" s="1090"/>
      <c r="M30" s="1090"/>
      <c r="N30" s="1090"/>
      <c r="O30" s="142"/>
      <c r="P30" s="113"/>
      <c r="Q30" s="297"/>
      <c r="R30" s="297"/>
      <c r="S30" s="297"/>
      <c r="T30" s="297"/>
      <c r="U30" s="287"/>
      <c r="V30" s="287"/>
      <c r="W30" s="287"/>
      <c r="X30" s="287"/>
      <c r="Y30" s="111"/>
      <c r="Z30" s="111"/>
      <c r="AA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c r="BK30" s="111"/>
      <c r="BL30" s="111"/>
      <c r="BM30" s="111"/>
      <c r="BN30" s="111"/>
      <c r="BO30" s="111"/>
      <c r="BP30" s="111"/>
      <c r="BQ30" s="111"/>
      <c r="BR30" s="111"/>
      <c r="BS30" s="111"/>
      <c r="BT30" s="111"/>
      <c r="BU30" s="111"/>
      <c r="BV30" s="111"/>
      <c r="BW30" s="111"/>
      <c r="BX30" s="111"/>
      <c r="BY30" s="111"/>
      <c r="BZ30" s="111"/>
      <c r="CA30" s="111"/>
      <c r="CB30" s="111"/>
      <c r="CC30" s="111"/>
      <c r="CD30" s="111"/>
      <c r="CE30" s="111"/>
      <c r="CF30" s="111"/>
      <c r="CG30" s="111"/>
      <c r="CH30" s="111"/>
      <c r="CI30" s="111"/>
      <c r="CJ30" s="111"/>
      <c r="CK30" s="111"/>
      <c r="CL30" s="111"/>
      <c r="CM30" s="111"/>
      <c r="CN30" s="111"/>
      <c r="CO30" s="111"/>
      <c r="CP30" s="111"/>
      <c r="CQ30" s="111"/>
    </row>
    <row r="31" spans="1:95" s="298" customFormat="1" ht="25.5" customHeight="1" x14ac:dyDescent="0.25">
      <c r="A31" s="287"/>
      <c r="B31" s="116"/>
      <c r="C31" s="116"/>
      <c r="D31" s="295"/>
      <c r="E31" s="299"/>
      <c r="F31" s="1090" t="str">
        <f>Translations!$B$612</f>
        <v>Since this fraction can be expected to be only relevant in a few cases for the time being, the fraction is set to "n.a." by default to avoid confusion. If however relevant, please select Tier 1 and provide the relevant value for the fraction.</v>
      </c>
      <c r="G31" s="1090"/>
      <c r="H31" s="1090"/>
      <c r="I31" s="1090"/>
      <c r="J31" s="1090"/>
      <c r="K31" s="1090"/>
      <c r="L31" s="1090"/>
      <c r="M31" s="1090"/>
      <c r="N31" s="1090"/>
      <c r="O31" s="142"/>
      <c r="P31" s="113"/>
      <c r="Q31" s="297"/>
      <c r="R31" s="297"/>
      <c r="S31" s="297"/>
      <c r="T31" s="297"/>
      <c r="U31" s="287"/>
      <c r="V31" s="287"/>
      <c r="W31" s="287"/>
      <c r="X31" s="287"/>
      <c r="Y31" s="111"/>
      <c r="Z31" s="111"/>
      <c r="AA31" s="111"/>
      <c r="AB31" s="111"/>
      <c r="AC31" s="111"/>
      <c r="AD31" s="111"/>
      <c r="AE31" s="111"/>
      <c r="AF31" s="111"/>
      <c r="AG31" s="111"/>
      <c r="AH31" s="111"/>
      <c r="AI31" s="111"/>
      <c r="AJ31" s="111"/>
      <c r="AK31" s="111"/>
      <c r="AL31" s="111"/>
      <c r="AM31" s="111"/>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c r="BK31" s="111"/>
      <c r="BL31" s="111"/>
      <c r="BM31" s="111"/>
      <c r="BN31" s="111"/>
      <c r="BO31" s="111"/>
      <c r="BP31" s="111"/>
      <c r="BQ31" s="111"/>
      <c r="BR31" s="111"/>
      <c r="BS31" s="111"/>
      <c r="BT31" s="111"/>
      <c r="BU31" s="111"/>
      <c r="BV31" s="111"/>
      <c r="BW31" s="111"/>
      <c r="BX31" s="111"/>
      <c r="BY31" s="111"/>
      <c r="BZ31" s="111"/>
      <c r="CA31" s="111"/>
      <c r="CB31" s="111"/>
      <c r="CC31" s="111"/>
      <c r="CD31" s="111"/>
      <c r="CE31" s="111"/>
      <c r="CF31" s="111"/>
      <c r="CG31" s="111"/>
      <c r="CH31" s="111"/>
      <c r="CI31" s="111"/>
      <c r="CJ31" s="111"/>
      <c r="CK31" s="111"/>
      <c r="CL31" s="111"/>
      <c r="CM31" s="111"/>
      <c r="CN31" s="111"/>
      <c r="CO31" s="111"/>
      <c r="CP31" s="111"/>
      <c r="CQ31" s="111"/>
    </row>
    <row r="32" spans="1:95" s="298" customFormat="1" ht="25.5" customHeight="1" x14ac:dyDescent="0.25">
      <c r="A32" s="287"/>
      <c r="B32" s="116"/>
      <c r="C32" s="116"/>
      <c r="D32" s="295"/>
      <c r="E32" s="299" t="str">
        <f>Translations!$B$615</f>
        <v>sust. SLCF:</v>
      </c>
      <c r="F32" s="1090" t="str">
        <f>Translations!$B$616</f>
        <v>The SLCF (sustainable low-carbon fuels) fraction is the ratio of carbon stemming from SLCF to the total carbon content of a fuel or material, expressed as a fraction.</v>
      </c>
      <c r="G32" s="1090"/>
      <c r="H32" s="1090"/>
      <c r="I32" s="1090"/>
      <c r="J32" s="1090"/>
      <c r="K32" s="1090"/>
      <c r="L32" s="1090"/>
      <c r="M32" s="1090"/>
      <c r="N32" s="1090"/>
      <c r="O32" s="142"/>
      <c r="P32" s="113"/>
      <c r="Q32" s="297"/>
      <c r="R32" s="297"/>
      <c r="S32" s="297"/>
      <c r="T32" s="297"/>
      <c r="U32" s="287"/>
      <c r="V32" s="287"/>
      <c r="W32" s="287"/>
      <c r="X32" s="287"/>
      <c r="Y32" s="111"/>
      <c r="Z32" s="111"/>
      <c r="AA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1"/>
      <c r="BQ32" s="111"/>
      <c r="BR32" s="111"/>
      <c r="BS32" s="111"/>
      <c r="BT32" s="111"/>
      <c r="BU32" s="111"/>
      <c r="BV32" s="111"/>
      <c r="BW32" s="111"/>
      <c r="BX32" s="111"/>
      <c r="BY32" s="111"/>
      <c r="BZ32" s="111"/>
      <c r="CA32" s="111"/>
      <c r="CB32" s="111"/>
      <c r="CC32" s="111"/>
      <c r="CD32" s="111"/>
      <c r="CE32" s="111"/>
      <c r="CF32" s="111"/>
      <c r="CG32" s="111"/>
      <c r="CH32" s="111"/>
      <c r="CI32" s="111"/>
      <c r="CJ32" s="111"/>
      <c r="CK32" s="111"/>
      <c r="CL32" s="111"/>
      <c r="CM32" s="111"/>
      <c r="CN32" s="111"/>
      <c r="CO32" s="111"/>
      <c r="CP32" s="111"/>
      <c r="CQ32" s="111"/>
    </row>
    <row r="33" spans="1:95" s="298" customFormat="1" ht="12.75" customHeight="1" x14ac:dyDescent="0.25">
      <c r="A33" s="287"/>
      <c r="B33" s="116"/>
      <c r="C33" s="116"/>
      <c r="D33" s="295"/>
      <c r="E33" s="299"/>
      <c r="F33" s="1090" t="str">
        <f>Translations!$B$617</f>
        <v>For SLCF, there is only one tier (Tier 1) available, which contains equivalent provisions as Tier 3b for biomass.</v>
      </c>
      <c r="G33" s="1090"/>
      <c r="H33" s="1090"/>
      <c r="I33" s="1090"/>
      <c r="J33" s="1090"/>
      <c r="K33" s="1090"/>
      <c r="L33" s="1090"/>
      <c r="M33" s="1090"/>
      <c r="N33" s="1090"/>
      <c r="O33" s="142"/>
      <c r="P33" s="113"/>
      <c r="Q33" s="297"/>
      <c r="R33" s="297"/>
      <c r="S33" s="297"/>
      <c r="T33" s="297"/>
      <c r="U33" s="287"/>
      <c r="V33" s="287"/>
      <c r="W33" s="287"/>
      <c r="X33" s="287"/>
      <c r="Y33" s="111"/>
      <c r="Z33" s="111"/>
      <c r="AA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1"/>
      <c r="BQ33" s="111"/>
      <c r="BR33" s="111"/>
      <c r="BS33" s="111"/>
      <c r="BT33" s="111"/>
      <c r="BU33" s="111"/>
      <c r="BV33" s="111"/>
      <c r="BW33" s="111"/>
      <c r="BX33" s="111"/>
      <c r="BY33" s="111"/>
      <c r="BZ33" s="111"/>
      <c r="CA33" s="111"/>
      <c r="CB33" s="111"/>
      <c r="CC33" s="111"/>
      <c r="CD33" s="111"/>
      <c r="CE33" s="111"/>
      <c r="CF33" s="111"/>
      <c r="CG33" s="111"/>
      <c r="CH33" s="111"/>
      <c r="CI33" s="111"/>
      <c r="CJ33" s="111"/>
      <c r="CK33" s="111"/>
      <c r="CL33" s="111"/>
      <c r="CM33" s="111"/>
      <c r="CN33" s="111"/>
      <c r="CO33" s="111"/>
      <c r="CP33" s="111"/>
      <c r="CQ33" s="111"/>
    </row>
    <row r="34" spans="1:95" s="298" customFormat="1" ht="25.5" customHeight="1" x14ac:dyDescent="0.25">
      <c r="A34" s="287"/>
      <c r="B34" s="116"/>
      <c r="C34" s="116"/>
      <c r="D34" s="295"/>
      <c r="E34" s="299"/>
      <c r="F34" s="1090" t="str">
        <f>Translations!$B$612</f>
        <v>Since this fraction can be expected to be only relevant in a few cases for the time being, the fraction is set to "n.a." by default to avoid confusion. If however relevant, please select Tier 1 and provide the relevant value for the fraction.</v>
      </c>
      <c r="G34" s="1090"/>
      <c r="H34" s="1090"/>
      <c r="I34" s="1090"/>
      <c r="J34" s="1090"/>
      <c r="K34" s="1090"/>
      <c r="L34" s="1090"/>
      <c r="M34" s="1090"/>
      <c r="N34" s="1090"/>
      <c r="O34" s="142"/>
      <c r="P34" s="113"/>
      <c r="Q34" s="297"/>
      <c r="R34" s="297"/>
      <c r="S34" s="297"/>
      <c r="T34" s="297"/>
      <c r="U34" s="287"/>
      <c r="V34" s="287"/>
      <c r="W34" s="287"/>
      <c r="X34" s="287"/>
      <c r="Y34" s="111"/>
      <c r="Z34" s="111"/>
      <c r="AA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1"/>
      <c r="BQ34" s="111"/>
      <c r="BR34" s="111"/>
      <c r="BS34" s="111"/>
      <c r="BT34" s="111"/>
      <c r="BU34" s="111"/>
      <c r="BV34" s="111"/>
      <c r="BW34" s="111"/>
      <c r="BX34" s="111"/>
      <c r="BY34" s="111"/>
      <c r="BZ34" s="111"/>
      <c r="CA34" s="111"/>
      <c r="CB34" s="111"/>
      <c r="CC34" s="111"/>
      <c r="CD34" s="111"/>
      <c r="CE34" s="111"/>
      <c r="CF34" s="111"/>
      <c r="CG34" s="111"/>
      <c r="CH34" s="111"/>
      <c r="CI34" s="111"/>
      <c r="CJ34" s="111"/>
      <c r="CK34" s="111"/>
      <c r="CL34" s="111"/>
      <c r="CM34" s="111"/>
      <c r="CN34" s="111"/>
      <c r="CO34" s="111"/>
      <c r="CP34" s="111"/>
      <c r="CQ34" s="111"/>
    </row>
    <row r="35" spans="1:95" s="298" customFormat="1" ht="12.75" customHeight="1" x14ac:dyDescent="0.25">
      <c r="A35" s="287"/>
      <c r="B35" s="116"/>
      <c r="C35" s="116"/>
      <c r="D35" s="295"/>
      <c r="E35" s="299" t="str">
        <f>Translations!$B$618</f>
        <v>non-sust. SLCF:</v>
      </c>
      <c r="F35" s="1090" t="str">
        <f>Translations!$B$619</f>
        <v>The non-sustainable SLCF fraction is the similar ratio as above, but the applicable sustainability crteria are not met.</v>
      </c>
      <c r="G35" s="1090"/>
      <c r="H35" s="1090"/>
      <c r="I35" s="1090"/>
      <c r="J35" s="1090"/>
      <c r="K35" s="1090"/>
      <c r="L35" s="1090"/>
      <c r="M35" s="1090"/>
      <c r="N35" s="1090"/>
      <c r="O35" s="142"/>
      <c r="P35" s="113"/>
      <c r="Q35" s="297"/>
      <c r="R35" s="297"/>
      <c r="S35" s="297"/>
      <c r="T35" s="297"/>
      <c r="U35" s="287"/>
      <c r="V35" s="287"/>
      <c r="W35" s="287"/>
      <c r="X35" s="287"/>
      <c r="Y35" s="111"/>
      <c r="Z35" s="111"/>
      <c r="AA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row>
    <row r="36" spans="1:95" s="298" customFormat="1" ht="25.5" customHeight="1" x14ac:dyDescent="0.25">
      <c r="A36" s="287"/>
      <c r="B36" s="116"/>
      <c r="C36" s="116"/>
      <c r="D36" s="295"/>
      <c r="E36" s="299"/>
      <c r="F36" s="1090" t="str">
        <f>Translations!$B$612</f>
        <v>Since this fraction can be expected to be only relevant in a few cases for the time being, the fraction is set to "n.a." by default to avoid confusion. If however relevant, please select Tier 1 and provide the relevant value for the fraction.</v>
      </c>
      <c r="G36" s="1090"/>
      <c r="H36" s="1090"/>
      <c r="I36" s="1090"/>
      <c r="J36" s="1090"/>
      <c r="K36" s="1090"/>
      <c r="L36" s="1090"/>
      <c r="M36" s="1090"/>
      <c r="N36" s="1090"/>
      <c r="O36" s="142"/>
      <c r="P36" s="113"/>
      <c r="Q36" s="297"/>
      <c r="R36" s="297"/>
      <c r="S36" s="297"/>
      <c r="T36" s="297"/>
      <c r="U36" s="287"/>
      <c r="V36" s="287"/>
      <c r="W36" s="287"/>
      <c r="X36" s="287"/>
      <c r="Y36" s="111"/>
      <c r="Z36" s="111"/>
      <c r="AA36" s="111"/>
      <c r="AB36" s="111"/>
      <c r="AC36" s="111"/>
      <c r="AD36" s="111"/>
      <c r="AE36" s="111"/>
      <c r="AF36" s="111"/>
      <c r="AG36" s="111"/>
      <c r="AH36" s="111"/>
      <c r="AI36" s="111"/>
      <c r="AJ36" s="111"/>
      <c r="AK36" s="111"/>
      <c r="AL36" s="111"/>
      <c r="AM36" s="111"/>
      <c r="AN36" s="111"/>
      <c r="AO36" s="111"/>
      <c r="AP36" s="111"/>
      <c r="AQ36" s="111"/>
      <c r="AR36" s="111"/>
      <c r="AS36" s="111"/>
      <c r="AT36" s="111"/>
      <c r="AU36" s="111"/>
      <c r="AV36" s="111"/>
      <c r="AW36" s="111"/>
      <c r="AX36" s="111"/>
      <c r="AY36" s="111"/>
      <c r="AZ36" s="111"/>
      <c r="BA36" s="111"/>
      <c r="BB36" s="111"/>
      <c r="BC36" s="111"/>
      <c r="BD36" s="111"/>
      <c r="BE36" s="111"/>
      <c r="BF36" s="111"/>
      <c r="BG36" s="111"/>
      <c r="BH36" s="111"/>
      <c r="BI36" s="111"/>
      <c r="BJ36" s="111"/>
      <c r="BK36" s="111"/>
      <c r="BL36" s="111"/>
      <c r="BM36" s="111"/>
      <c r="BN36" s="111"/>
      <c r="BO36" s="111"/>
      <c r="BP36" s="111"/>
      <c r="BQ36" s="111"/>
      <c r="BR36" s="111"/>
      <c r="BS36" s="111"/>
      <c r="BT36" s="111"/>
      <c r="BU36" s="111"/>
      <c r="BV36" s="111"/>
      <c r="BW36" s="111"/>
      <c r="BX36" s="111"/>
      <c r="BY36" s="111"/>
      <c r="BZ36" s="111"/>
      <c r="CA36" s="111"/>
      <c r="CB36" s="111"/>
      <c r="CC36" s="111"/>
      <c r="CD36" s="111"/>
      <c r="CE36" s="111"/>
      <c r="CF36" s="111"/>
      <c r="CG36" s="111"/>
      <c r="CH36" s="111"/>
      <c r="CI36" s="111"/>
      <c r="CJ36" s="111"/>
      <c r="CK36" s="111"/>
      <c r="CL36" s="111"/>
      <c r="CM36" s="111"/>
      <c r="CN36" s="111"/>
      <c r="CO36" s="111"/>
      <c r="CP36" s="111"/>
      <c r="CQ36" s="111"/>
    </row>
    <row r="37" spans="1:95" ht="12.75" customHeight="1" x14ac:dyDescent="0.25">
      <c r="A37" s="138"/>
      <c r="B37" s="115"/>
      <c r="C37" s="115"/>
      <c r="D37" s="115"/>
      <c r="E37" s="1283" t="str">
        <f>Translations!$B$145</f>
        <v>Type I default values (tier 1):</v>
      </c>
      <c r="F37" s="1090" t="str">
        <f>Translations!$B$146</f>
        <v>Type I default values include either of the following methods:</v>
      </c>
      <c r="G37" s="1090"/>
      <c r="H37" s="1090"/>
      <c r="I37" s="1090"/>
      <c r="J37" s="1090"/>
      <c r="K37" s="1090"/>
      <c r="L37" s="1090"/>
      <c r="M37" s="1090"/>
      <c r="N37" s="1090"/>
      <c r="O37" s="142"/>
      <c r="P37" s="113"/>
      <c r="Q37" s="300"/>
      <c r="R37" s="301"/>
      <c r="S37" s="138"/>
      <c r="T37" s="138"/>
      <c r="U37" s="138"/>
      <c r="V37" s="138"/>
      <c r="W37" s="138"/>
      <c r="X37" s="138"/>
    </row>
    <row r="38" spans="1:95" ht="12.75" customHeight="1" x14ac:dyDescent="0.25">
      <c r="A38" s="138"/>
      <c r="B38" s="115"/>
      <c r="C38" s="115"/>
      <c r="D38" s="115"/>
      <c r="E38" s="1284"/>
      <c r="F38" s="241" t="s">
        <v>46</v>
      </c>
      <c r="G38" s="1090" t="str">
        <f>Translations!$B$147</f>
        <v xml:space="preserve">Use standard factors listed in Annex VI (i.e. in principle IPCC values), or </v>
      </c>
      <c r="H38" s="1090"/>
      <c r="I38" s="1090"/>
      <c r="J38" s="1090"/>
      <c r="K38" s="1090"/>
      <c r="L38" s="1090"/>
      <c r="M38" s="1090"/>
      <c r="N38" s="1090"/>
      <c r="O38" s="142"/>
      <c r="P38" s="113"/>
      <c r="Q38" s="300"/>
      <c r="R38" s="301"/>
      <c r="S38" s="138"/>
      <c r="T38" s="138"/>
      <c r="U38" s="138"/>
      <c r="V38" s="138"/>
      <c r="W38" s="138"/>
      <c r="X38" s="138"/>
    </row>
    <row r="39" spans="1:95" ht="25.5" customHeight="1" x14ac:dyDescent="0.25">
      <c r="A39" s="138"/>
      <c r="B39" s="115"/>
      <c r="C39" s="115"/>
      <c r="D39" s="115"/>
      <c r="E39" s="1284"/>
      <c r="F39" s="241" t="s">
        <v>46</v>
      </c>
      <c r="G39" s="1090" t="str">
        <f>Translations!$B$148</f>
        <v>Use other constant values in accordance with point (e) of Article 31(1) where such standard factors are not available, i.e. analyses carried out in the past but still valid.</v>
      </c>
      <c r="H39" s="1090"/>
      <c r="I39" s="1090"/>
      <c r="J39" s="1090"/>
      <c r="K39" s="1090"/>
      <c r="L39" s="1090"/>
      <c r="M39" s="1090"/>
      <c r="N39" s="1090"/>
      <c r="O39" s="142"/>
      <c r="P39" s="113"/>
      <c r="Q39" s="300"/>
      <c r="R39" s="301"/>
      <c r="S39" s="138"/>
      <c r="T39" s="138"/>
      <c r="U39" s="138"/>
      <c r="V39" s="138"/>
      <c r="W39" s="138"/>
      <c r="X39" s="138"/>
    </row>
    <row r="40" spans="1:95" ht="12.75" customHeight="1" x14ac:dyDescent="0.25">
      <c r="A40" s="138"/>
      <c r="B40" s="115"/>
      <c r="C40" s="115"/>
      <c r="D40" s="115"/>
      <c r="E40" s="1283" t="str">
        <f>Translations!$B$221</f>
        <v>Type II default values (tier 2a):</v>
      </c>
      <c r="F40" s="1090" t="str">
        <f>Translations!$B$149</f>
        <v>Type II default values include either of the following methods, which are considered equivalent:</v>
      </c>
      <c r="G40" s="1090"/>
      <c r="H40" s="1090"/>
      <c r="I40" s="1090"/>
      <c r="J40" s="1090"/>
      <c r="K40" s="1090"/>
      <c r="L40" s="1090"/>
      <c r="M40" s="1090"/>
      <c r="N40" s="1090"/>
      <c r="O40" s="142"/>
      <c r="P40" s="113"/>
      <c r="Q40" s="300"/>
      <c r="R40" s="301"/>
      <c r="S40" s="138"/>
      <c r="T40" s="138"/>
      <c r="U40" s="138"/>
      <c r="V40" s="138"/>
      <c r="W40" s="138"/>
      <c r="X40" s="138"/>
    </row>
    <row r="41" spans="1:95" ht="12.75" customHeight="1" x14ac:dyDescent="0.25">
      <c r="A41" s="138"/>
      <c r="B41" s="115"/>
      <c r="C41" s="115"/>
      <c r="D41" s="115"/>
      <c r="E41" s="1284"/>
      <c r="F41" s="241" t="s">
        <v>46</v>
      </c>
      <c r="G41" s="1090" t="str">
        <f>Translations!$B$150</f>
        <v xml:space="preserve">Use country specific emission factors in accordance with point (b) of Article 31(1), i.e. values used for the national GHG inventory, or </v>
      </c>
      <c r="H41" s="1090"/>
      <c r="I41" s="1090"/>
      <c r="J41" s="1090"/>
      <c r="K41" s="1090"/>
      <c r="L41" s="1090"/>
      <c r="M41" s="1090"/>
      <c r="N41" s="1090"/>
      <c r="O41" s="142"/>
      <c r="P41" s="113"/>
      <c r="Q41" s="300"/>
      <c r="R41" s="301"/>
      <c r="S41" s="138"/>
      <c r="T41" s="138"/>
      <c r="U41" s="138"/>
      <c r="V41" s="138"/>
      <c r="W41" s="138"/>
      <c r="X41" s="138"/>
    </row>
    <row r="42" spans="1:95" ht="25.5" customHeight="1" x14ac:dyDescent="0.25">
      <c r="A42" s="138"/>
      <c r="B42" s="115"/>
      <c r="C42" s="115"/>
      <c r="D42" s="115"/>
      <c r="E42" s="1284"/>
      <c r="F42" s="241" t="s">
        <v>46</v>
      </c>
      <c r="G42" s="1090" t="str">
        <f>Translations!$B$222</f>
        <v>Use other values published by the CA for more disaggregated fuel types in accordance with point (c) of Article 31(1), or other literature values which are agreed with the CA.</v>
      </c>
      <c r="H42" s="1090"/>
      <c r="I42" s="1090"/>
      <c r="J42" s="1090"/>
      <c r="K42" s="1090"/>
      <c r="L42" s="1090"/>
      <c r="M42" s="1090"/>
      <c r="N42" s="1090"/>
      <c r="O42" s="142"/>
      <c r="P42" s="113"/>
      <c r="Q42" s="300"/>
      <c r="R42" s="301"/>
      <c r="S42" s="138"/>
      <c r="T42" s="138"/>
      <c r="U42" s="138"/>
      <c r="V42" s="138"/>
      <c r="W42" s="138"/>
      <c r="X42" s="138"/>
    </row>
    <row r="43" spans="1:95" ht="25.5" customHeight="1" x14ac:dyDescent="0.25">
      <c r="A43" s="138"/>
      <c r="B43" s="115"/>
      <c r="C43" s="115"/>
      <c r="D43" s="115"/>
      <c r="E43" s="302"/>
      <c r="F43" s="1197" t="str">
        <f>Translations!$B$223</f>
        <v>This is the most common method to be applied for all commercial standard fuels, fuels meeting equivalent criteria at the national or regional level (Article 75k(2)) and category A entities.</v>
      </c>
      <c r="G43" s="1197"/>
      <c r="H43" s="1197"/>
      <c r="I43" s="1197"/>
      <c r="J43" s="1197"/>
      <c r="K43" s="1197"/>
      <c r="L43" s="1197"/>
      <c r="M43" s="1197"/>
      <c r="N43" s="1197"/>
      <c r="O43" s="142"/>
      <c r="P43" s="113"/>
      <c r="Q43" s="300"/>
      <c r="R43" s="301"/>
      <c r="S43" s="138"/>
      <c r="T43" s="138"/>
      <c r="U43" s="138"/>
      <c r="V43" s="138"/>
      <c r="W43" s="138"/>
      <c r="X43" s="138"/>
    </row>
    <row r="44" spans="1:95" ht="25.5" customHeight="1" x14ac:dyDescent="0.25">
      <c r="A44" s="138"/>
      <c r="B44" s="115"/>
      <c r="C44" s="115"/>
      <c r="D44" s="115"/>
      <c r="E44" s="299" t="str">
        <f>Translations!$B$151</f>
        <v xml:space="preserve">Established proxies (tier 2b): </v>
      </c>
      <c r="F44" s="1090" t="str">
        <f>Translations!$B$224</f>
        <v>These are methods based on empirical correlations to derive emission factors for the fuel based on net calorific value for specific coal types. The empirical correlation is determined at least once per year in accordance with Articles 32 to 35 and 75m.</v>
      </c>
      <c r="G44" s="1090"/>
      <c r="H44" s="1090"/>
      <c r="I44" s="1090"/>
      <c r="J44" s="1090"/>
      <c r="K44" s="1090"/>
      <c r="L44" s="1090"/>
      <c r="M44" s="1090"/>
      <c r="N44" s="1090"/>
      <c r="O44" s="142"/>
      <c r="P44" s="113"/>
      <c r="Q44" s="300"/>
      <c r="R44" s="301"/>
      <c r="S44" s="138"/>
      <c r="T44" s="138"/>
      <c r="U44" s="138"/>
      <c r="V44" s="138"/>
      <c r="W44" s="138"/>
      <c r="X44" s="138"/>
    </row>
    <row r="45" spans="1:95" ht="25.5" customHeight="1" x14ac:dyDescent="0.25">
      <c r="A45" s="138"/>
      <c r="B45" s="115"/>
      <c r="C45" s="115"/>
      <c r="D45" s="115"/>
      <c r="E45" s="299" t="str">
        <f>Translations!$B$152</f>
        <v xml:space="preserve">Purchasing records (tier 2b): </v>
      </c>
      <c r="F45" s="1090" t="str">
        <f>Translations!$B$225</f>
        <v>The net calorific value may be derived from the purchasing records provided by the fuel trading partner, provided it has been derived based on accepted national or international standards.</v>
      </c>
      <c r="G45" s="1090"/>
      <c r="H45" s="1090"/>
      <c r="I45" s="1090"/>
      <c r="J45" s="1090"/>
      <c r="K45" s="1090"/>
      <c r="L45" s="1090"/>
      <c r="M45" s="1090"/>
      <c r="N45" s="1090"/>
      <c r="O45" s="142"/>
      <c r="P45" s="113"/>
      <c r="Q45" s="300"/>
      <c r="R45" s="301"/>
      <c r="S45" s="138"/>
      <c r="T45" s="138"/>
      <c r="U45" s="138"/>
      <c r="V45" s="138"/>
      <c r="W45" s="138"/>
      <c r="X45" s="138"/>
    </row>
    <row r="46" spans="1:95" ht="38.25" customHeight="1" x14ac:dyDescent="0.25">
      <c r="A46" s="138"/>
      <c r="B46" s="115"/>
      <c r="C46" s="115"/>
      <c r="D46" s="115"/>
      <c r="E46" s="299" t="str">
        <f>Translations!$B$153</f>
        <v xml:space="preserve">Laboratory analyses (highest tier): </v>
      </c>
      <c r="F46" s="1090" t="str">
        <f>Translations!$B$226</f>
        <v xml:space="preserve">In this case the requirements of Article 32 to 35 on analyses are fully applicable, including the use of the 'established proxies', if applicable and where the uncertainty of the empirical correlation does not exceed 1/3 of the uncertainty value associated with the applicable tier for released fuel amounts. </v>
      </c>
      <c r="G46" s="1090"/>
      <c r="H46" s="1090"/>
      <c r="I46" s="1090"/>
      <c r="J46" s="1090"/>
      <c r="K46" s="1090"/>
      <c r="L46" s="1090"/>
      <c r="M46" s="1090"/>
      <c r="N46" s="1090"/>
      <c r="O46" s="142"/>
      <c r="P46" s="113"/>
      <c r="Q46" s="300"/>
      <c r="R46" s="301"/>
      <c r="S46" s="138"/>
      <c r="T46" s="138"/>
      <c r="U46" s="138"/>
      <c r="V46" s="138"/>
      <c r="W46" s="138"/>
      <c r="X46" s="138"/>
    </row>
    <row r="47" spans="1:95" s="298" customFormat="1" ht="12.75" customHeight="1" x14ac:dyDescent="0.25">
      <c r="A47" s="287"/>
      <c r="B47" s="115"/>
      <c r="C47" s="115"/>
      <c r="D47" s="303"/>
      <c r="E47" s="1283" t="str">
        <f>Translations!$B$154</f>
        <v>Type I biomass fraction (tier 1):</v>
      </c>
      <c r="F47" s="1090" t="str">
        <f>Translations!$B$155</f>
        <v>One of the following methods has to be applied, which are considered equivalent:</v>
      </c>
      <c r="G47" s="1090"/>
      <c r="H47" s="1090"/>
      <c r="I47" s="1090"/>
      <c r="J47" s="1090"/>
      <c r="K47" s="1090"/>
      <c r="L47" s="1090"/>
      <c r="M47" s="1090"/>
      <c r="N47" s="1090"/>
      <c r="O47" s="142"/>
      <c r="P47" s="113"/>
      <c r="Q47" s="300"/>
      <c r="R47" s="301"/>
      <c r="S47" s="138"/>
      <c r="T47" s="138"/>
      <c r="U47" s="138"/>
      <c r="V47" s="138"/>
      <c r="W47" s="138"/>
      <c r="X47" s="138"/>
      <c r="Y47" s="111"/>
      <c r="Z47" s="111"/>
      <c r="AA47" s="111"/>
      <c r="AB47" s="111"/>
      <c r="AC47" s="111"/>
      <c r="AD47" s="111"/>
      <c r="AE47" s="111"/>
      <c r="AF47" s="111"/>
      <c r="AG47" s="111"/>
      <c r="AH47" s="111"/>
      <c r="AI47" s="111"/>
      <c r="AJ47" s="111"/>
      <c r="AK47" s="111"/>
      <c r="AL47" s="111"/>
      <c r="AM47" s="111"/>
      <c r="AN47" s="111"/>
      <c r="AO47" s="111"/>
      <c r="AP47" s="111"/>
      <c r="AQ47" s="111"/>
      <c r="AR47" s="111"/>
      <c r="AS47" s="111"/>
      <c r="AT47" s="111"/>
      <c r="AU47" s="111"/>
      <c r="AV47" s="111"/>
      <c r="AW47" s="111"/>
      <c r="AX47" s="111"/>
      <c r="AY47" s="111"/>
      <c r="AZ47" s="111"/>
      <c r="BA47" s="111"/>
      <c r="BB47" s="111"/>
      <c r="BC47" s="111"/>
      <c r="BD47" s="111"/>
      <c r="BE47" s="111"/>
      <c r="BF47" s="111"/>
      <c r="BG47" s="111"/>
      <c r="BH47" s="111"/>
      <c r="BI47" s="111"/>
      <c r="BJ47" s="111"/>
      <c r="BK47" s="111"/>
      <c r="BL47" s="111"/>
      <c r="BM47" s="111"/>
      <c r="BN47" s="111"/>
      <c r="BO47" s="111"/>
      <c r="BP47" s="111"/>
      <c r="BQ47" s="111"/>
      <c r="BR47" s="111"/>
      <c r="BS47" s="111"/>
      <c r="BT47" s="111"/>
      <c r="BU47" s="111"/>
      <c r="BV47" s="111"/>
      <c r="BW47" s="111"/>
      <c r="BX47" s="111"/>
      <c r="BY47" s="111"/>
      <c r="BZ47" s="111"/>
      <c r="CA47" s="111"/>
      <c r="CB47" s="111"/>
      <c r="CC47" s="111"/>
      <c r="CD47" s="111"/>
      <c r="CE47" s="111"/>
      <c r="CF47" s="111"/>
      <c r="CG47" s="111"/>
      <c r="CH47" s="111"/>
      <c r="CI47" s="111"/>
      <c r="CJ47" s="111"/>
      <c r="CK47" s="111"/>
      <c r="CL47" s="111"/>
      <c r="CM47" s="111"/>
      <c r="CN47" s="111"/>
      <c r="CO47" s="111"/>
      <c r="CP47" s="111"/>
      <c r="CQ47" s="111"/>
    </row>
    <row r="48" spans="1:95" ht="12.75" customHeight="1" x14ac:dyDescent="0.25">
      <c r="A48" s="138"/>
      <c r="B48" s="115"/>
      <c r="C48" s="115"/>
      <c r="D48" s="303"/>
      <c r="E48" s="1283"/>
      <c r="F48" s="241" t="s">
        <v>46</v>
      </c>
      <c r="G48" s="1090" t="str">
        <f>Translations!$B$371</f>
        <v>Use values from those published by the competent authority or the Commission for this type of fuel.</v>
      </c>
      <c r="H48" s="1090"/>
      <c r="I48" s="1090"/>
      <c r="J48" s="1090"/>
      <c r="K48" s="1090"/>
      <c r="L48" s="1090"/>
      <c r="M48" s="1090"/>
      <c r="N48" s="1090"/>
      <c r="O48" s="64"/>
      <c r="P48" s="62"/>
      <c r="Q48" s="300"/>
      <c r="R48" s="301"/>
      <c r="S48" s="138"/>
      <c r="T48" s="138"/>
      <c r="U48" s="138"/>
      <c r="V48" s="138"/>
      <c r="W48" s="138"/>
      <c r="X48" s="138"/>
    </row>
    <row r="49" spans="1:95" ht="12.75" customHeight="1" x14ac:dyDescent="0.25">
      <c r="A49" s="138"/>
      <c r="B49" s="115"/>
      <c r="C49" s="115"/>
      <c r="D49" s="303"/>
      <c r="E49" s="1283"/>
      <c r="F49" s="241" t="s">
        <v>46</v>
      </c>
      <c r="G49" s="1090" t="str">
        <f>Translations!$B$156</f>
        <v>Use values in accordance with Article 31(1), i.e. a "Type I default value".</v>
      </c>
      <c r="H49" s="1090"/>
      <c r="I49" s="1090"/>
      <c r="J49" s="1090"/>
      <c r="K49" s="1090"/>
      <c r="L49" s="1090"/>
      <c r="M49" s="1090"/>
      <c r="N49" s="1090"/>
      <c r="O49" s="142"/>
      <c r="P49" s="113"/>
      <c r="Q49" s="300"/>
      <c r="R49" s="301"/>
      <c r="S49" s="138"/>
      <c r="T49" s="138"/>
      <c r="U49" s="138"/>
      <c r="V49" s="138"/>
      <c r="W49" s="138"/>
      <c r="X49" s="138"/>
    </row>
    <row r="50" spans="1:95" ht="25.5" customHeight="1" x14ac:dyDescent="0.25">
      <c r="A50" s="138"/>
      <c r="B50" s="115"/>
      <c r="C50" s="115"/>
      <c r="D50" s="303"/>
      <c r="E50" s="1283"/>
      <c r="F50" s="241" t="s">
        <v>46</v>
      </c>
      <c r="G50" s="1090" t="str">
        <f>Translations!$B$227</f>
        <v xml:space="preserve">Alternatively, the regulated entity can always assume a fossil fraction of 100%. This is considered a "No tier" methodology and a default value of 0% biomass fraction is applied. </v>
      </c>
      <c r="H50" s="1090"/>
      <c r="I50" s="1090"/>
      <c r="J50" s="1090"/>
      <c r="K50" s="1090"/>
      <c r="L50" s="1090"/>
      <c r="M50" s="1090"/>
      <c r="N50" s="1090"/>
      <c r="O50" s="142"/>
      <c r="P50" s="113"/>
      <c r="Q50" s="300"/>
      <c r="R50" s="301"/>
      <c r="S50" s="138"/>
      <c r="T50" s="138"/>
      <c r="U50" s="138"/>
      <c r="V50" s="138"/>
      <c r="W50" s="138"/>
      <c r="X50" s="138"/>
    </row>
    <row r="51" spans="1:95" ht="25.5" customHeight="1" x14ac:dyDescent="0.25">
      <c r="A51" s="138"/>
      <c r="B51" s="115"/>
      <c r="C51" s="115"/>
      <c r="D51" s="303"/>
      <c r="E51" s="1283"/>
      <c r="F51" s="241" t="s">
        <v>46</v>
      </c>
      <c r="G51" s="1090" t="str">
        <f>Translations!$B$157</f>
        <v>Application of Articles 39(3) and 39(4) in case of natural gas grids, into which biogas is injected, i.e. where the competent authority allows the biomass fraction to be determined using purchase records of biogas of equivalent energy content.</v>
      </c>
      <c r="H51" s="1090"/>
      <c r="I51" s="1090"/>
      <c r="J51" s="1090"/>
      <c r="K51" s="1090"/>
      <c r="L51" s="1090"/>
      <c r="M51" s="1090"/>
      <c r="N51" s="1090"/>
      <c r="O51" s="142"/>
      <c r="P51" s="113"/>
      <c r="Q51" s="300"/>
      <c r="R51" s="301"/>
      <c r="S51" s="138"/>
      <c r="T51" s="138"/>
      <c r="U51" s="138"/>
      <c r="V51" s="138"/>
      <c r="W51" s="138"/>
      <c r="X51" s="138"/>
    </row>
    <row r="52" spans="1:95" s="298" customFormat="1" ht="25.5" customHeight="1" x14ac:dyDescent="0.25">
      <c r="A52" s="287"/>
      <c r="B52" s="116"/>
      <c r="C52" s="116"/>
      <c r="D52" s="303"/>
      <c r="E52" s="299" t="str">
        <f>Translations!$B$158</f>
        <v>Type II biomass fraction (tier 2):</v>
      </c>
      <c r="F52" s="1090" t="str">
        <f>Translations!$B$228</f>
        <v>The biomass fraction is determined based on an estimation method in accordance with the second subparagraph of Article 75m(3), second subparagraph, submitted to the competent authority for approval.</v>
      </c>
      <c r="G52" s="1090"/>
      <c r="H52" s="1090"/>
      <c r="I52" s="1090"/>
      <c r="J52" s="1090"/>
      <c r="K52" s="1090"/>
      <c r="L52" s="1090"/>
      <c r="M52" s="1090"/>
      <c r="N52" s="1090"/>
      <c r="O52" s="142"/>
      <c r="P52" s="113"/>
      <c r="Q52" s="300"/>
      <c r="R52" s="301"/>
      <c r="S52" s="138"/>
      <c r="T52" s="138"/>
      <c r="U52" s="138"/>
      <c r="V52" s="138"/>
      <c r="W52" s="138"/>
      <c r="X52" s="138"/>
      <c r="Y52" s="111"/>
      <c r="Z52" s="111"/>
      <c r="AA52" s="111"/>
      <c r="AB52" s="111"/>
      <c r="AC52" s="111"/>
      <c r="AD52" s="111"/>
      <c r="AE52" s="111"/>
      <c r="AF52" s="111"/>
      <c r="AG52" s="111"/>
      <c r="AH52" s="111"/>
      <c r="AI52" s="111"/>
      <c r="AJ52" s="111"/>
      <c r="AK52" s="111"/>
      <c r="AL52" s="111"/>
      <c r="AM52" s="111"/>
      <c r="AN52" s="111"/>
      <c r="AO52" s="111"/>
      <c r="AP52" s="111"/>
      <c r="AQ52" s="111"/>
      <c r="AR52" s="111"/>
      <c r="AS52" s="111"/>
      <c r="AT52" s="111"/>
      <c r="AU52" s="111"/>
      <c r="AV52" s="111"/>
      <c r="AW52" s="111"/>
      <c r="AX52" s="111"/>
      <c r="AY52" s="111"/>
      <c r="AZ52" s="111"/>
      <c r="BA52" s="111"/>
      <c r="BB52" s="111"/>
      <c r="BC52" s="111"/>
      <c r="BD52" s="111"/>
      <c r="BE52" s="111"/>
      <c r="BF52" s="111"/>
      <c r="BG52" s="111"/>
      <c r="BH52" s="111"/>
      <c r="BI52" s="111"/>
      <c r="BJ52" s="111"/>
      <c r="BK52" s="111"/>
      <c r="BL52" s="111"/>
      <c r="BM52" s="111"/>
      <c r="BN52" s="111"/>
      <c r="BO52" s="111"/>
      <c r="BP52" s="111"/>
      <c r="BQ52" s="111"/>
      <c r="BR52" s="111"/>
      <c r="BS52" s="111"/>
      <c r="BT52" s="111"/>
      <c r="BU52" s="111"/>
      <c r="BV52" s="111"/>
      <c r="BW52" s="111"/>
      <c r="BX52" s="111"/>
      <c r="BY52" s="111"/>
      <c r="BZ52" s="111"/>
      <c r="CA52" s="111"/>
      <c r="CB52" s="111"/>
      <c r="CC52" s="111"/>
      <c r="CD52" s="111"/>
      <c r="CE52" s="111"/>
      <c r="CF52" s="111"/>
      <c r="CG52" s="111"/>
      <c r="CH52" s="111"/>
      <c r="CI52" s="111"/>
      <c r="CJ52" s="111"/>
      <c r="CK52" s="111"/>
      <c r="CL52" s="111"/>
      <c r="CM52" s="111"/>
      <c r="CN52" s="111"/>
      <c r="CO52" s="111"/>
      <c r="CP52" s="111"/>
      <c r="CQ52" s="111"/>
    </row>
    <row r="53" spans="1:95" s="298" customFormat="1" ht="25.5" customHeight="1" x14ac:dyDescent="0.25">
      <c r="A53" s="287"/>
      <c r="B53" s="116"/>
      <c r="C53" s="116"/>
      <c r="D53" s="303"/>
      <c r="E53" s="299" t="str">
        <f>Translations!$B$159</f>
        <v>Analyse biomass fraction (tier 3a):</v>
      </c>
      <c r="F53" s="1090" t="str">
        <f>Translations!$B$229</f>
        <v>In this case laboratory analyses are to be carried out, in accordance with the first sub-paragraph of Article 75m(3) and Articles 32 to 35.</v>
      </c>
      <c r="G53" s="1090"/>
      <c r="H53" s="1090"/>
      <c r="I53" s="1090"/>
      <c r="J53" s="1090"/>
      <c r="K53" s="1090"/>
      <c r="L53" s="1090"/>
      <c r="M53" s="1090"/>
      <c r="N53" s="1090"/>
      <c r="O53" s="142"/>
      <c r="P53" s="113"/>
      <c r="Q53" s="300"/>
      <c r="R53" s="301"/>
      <c r="S53" s="138"/>
      <c r="T53" s="138"/>
      <c r="U53" s="138"/>
      <c r="V53" s="138"/>
      <c r="W53" s="138"/>
      <c r="X53" s="138"/>
      <c r="Y53" s="111"/>
      <c r="Z53" s="111"/>
      <c r="AA53" s="111"/>
      <c r="AB53" s="111"/>
      <c r="AC53" s="111"/>
      <c r="AD53" s="111"/>
      <c r="AE53" s="111"/>
      <c r="AF53" s="111"/>
      <c r="AG53" s="111"/>
      <c r="AH53" s="111"/>
      <c r="AI53" s="111"/>
      <c r="AJ53" s="111"/>
      <c r="AK53" s="111"/>
      <c r="AL53" s="111"/>
      <c r="AM53" s="111"/>
      <c r="AN53" s="111"/>
      <c r="AO53" s="111"/>
      <c r="AP53" s="111"/>
      <c r="AQ53" s="111"/>
      <c r="AR53" s="111"/>
      <c r="AS53" s="111"/>
      <c r="AT53" s="111"/>
      <c r="AU53" s="111"/>
      <c r="AV53" s="111"/>
      <c r="AW53" s="111"/>
      <c r="AX53" s="111"/>
      <c r="AY53" s="111"/>
      <c r="AZ53" s="111"/>
      <c r="BA53" s="111"/>
      <c r="BB53" s="111"/>
      <c r="BC53" s="111"/>
      <c r="BD53" s="111"/>
      <c r="BE53" s="111"/>
      <c r="BF53" s="111"/>
      <c r="BG53" s="111"/>
      <c r="BH53" s="111"/>
      <c r="BI53" s="111"/>
      <c r="BJ53" s="111"/>
      <c r="BK53" s="111"/>
      <c r="BL53" s="111"/>
      <c r="BM53" s="111"/>
      <c r="BN53" s="111"/>
      <c r="BO53" s="111"/>
      <c r="BP53" s="111"/>
      <c r="BQ53" s="111"/>
      <c r="BR53" s="111"/>
      <c r="BS53" s="111"/>
      <c r="BT53" s="111"/>
      <c r="BU53" s="111"/>
      <c r="BV53" s="111"/>
      <c r="BW53" s="111"/>
      <c r="BX53" s="111"/>
      <c r="BY53" s="111"/>
      <c r="BZ53" s="111"/>
      <c r="CA53" s="111"/>
      <c r="CB53" s="111"/>
      <c r="CC53" s="111"/>
      <c r="CD53" s="111"/>
      <c r="CE53" s="111"/>
      <c r="CF53" s="111"/>
      <c r="CG53" s="111"/>
      <c r="CH53" s="111"/>
      <c r="CI53" s="111"/>
      <c r="CJ53" s="111"/>
      <c r="CK53" s="111"/>
      <c r="CL53" s="111"/>
      <c r="CM53" s="111"/>
      <c r="CN53" s="111"/>
      <c r="CO53" s="111"/>
      <c r="CP53" s="111"/>
      <c r="CQ53" s="111"/>
    </row>
    <row r="54" spans="1:95" s="298" customFormat="1" ht="38.25" customHeight="1" x14ac:dyDescent="0.25">
      <c r="A54" s="287"/>
      <c r="B54" s="116"/>
      <c r="C54" s="116"/>
      <c r="D54" s="303"/>
      <c r="E54" s="299" t="str">
        <f>Translations!$B$230</f>
        <v>Biomass mass balance (tier 3b):</v>
      </c>
      <c r="F54" s="1090" t="str">
        <f>Translations!$B$231</f>
        <v>For fuels originating from a production process with defined and traceable input streams, the regulated entity may base the estimation on a mass balance of fossil and biomass carbon entering and leaving the process, such as the mass balance system in accordance with Article 30(1) of Directive (EU) 2018/2001.</v>
      </c>
      <c r="G54" s="1090"/>
      <c r="H54" s="1090"/>
      <c r="I54" s="1090"/>
      <c r="J54" s="1090"/>
      <c r="K54" s="1090"/>
      <c r="L54" s="1090"/>
      <c r="M54" s="1090"/>
      <c r="N54" s="1090"/>
      <c r="O54" s="142"/>
      <c r="P54" s="113"/>
      <c r="Q54" s="300"/>
      <c r="R54" s="301"/>
      <c r="S54" s="138"/>
      <c r="T54" s="138"/>
      <c r="U54" s="138"/>
      <c r="V54" s="138"/>
      <c r="W54" s="138"/>
      <c r="X54" s="138"/>
      <c r="Y54" s="111"/>
      <c r="Z54" s="111"/>
      <c r="AA54" s="111"/>
      <c r="AB54" s="111"/>
      <c r="AC54" s="111"/>
      <c r="AD54" s="111"/>
      <c r="AE54" s="111"/>
      <c r="AF54" s="111"/>
      <c r="AG54" s="111"/>
      <c r="AH54" s="111"/>
      <c r="AI54" s="111"/>
      <c r="AJ54" s="111"/>
      <c r="AK54" s="111"/>
      <c r="AL54" s="111"/>
      <c r="AM54" s="111"/>
      <c r="AN54" s="111"/>
      <c r="AO54" s="111"/>
      <c r="AP54" s="111"/>
      <c r="AQ54" s="111"/>
      <c r="AR54" s="111"/>
      <c r="AS54" s="111"/>
      <c r="AT54" s="111"/>
      <c r="AU54" s="111"/>
      <c r="AV54" s="111"/>
      <c r="AW54" s="111"/>
      <c r="AX54" s="111"/>
      <c r="AY54" s="111"/>
      <c r="AZ54" s="111"/>
      <c r="BA54" s="111"/>
      <c r="BB54" s="111"/>
      <c r="BC54" s="111"/>
      <c r="BD54" s="111"/>
      <c r="BE54" s="111"/>
      <c r="BF54" s="111"/>
      <c r="BG54" s="111"/>
      <c r="BH54" s="111"/>
      <c r="BI54" s="111"/>
      <c r="BJ54" s="111"/>
      <c r="BK54" s="111"/>
      <c r="BL54" s="111"/>
      <c r="BM54" s="111"/>
      <c r="BN54" s="111"/>
      <c r="BO54" s="111"/>
      <c r="BP54" s="111"/>
      <c r="BQ54" s="111"/>
      <c r="BR54" s="111"/>
      <c r="BS54" s="111"/>
      <c r="BT54" s="111"/>
      <c r="BU54" s="111"/>
      <c r="BV54" s="111"/>
      <c r="BW54" s="111"/>
      <c r="BX54" s="111"/>
      <c r="BY54" s="111"/>
      <c r="BZ54" s="111"/>
      <c r="CA54" s="111"/>
      <c r="CB54" s="111"/>
      <c r="CC54" s="111"/>
      <c r="CD54" s="111"/>
      <c r="CE54" s="111"/>
      <c r="CF54" s="111"/>
      <c r="CG54" s="111"/>
      <c r="CH54" s="111"/>
      <c r="CI54" s="111"/>
      <c r="CJ54" s="111"/>
      <c r="CK54" s="111"/>
      <c r="CL54" s="111"/>
      <c r="CM54" s="111"/>
      <c r="CN54" s="111"/>
      <c r="CO54" s="111"/>
      <c r="CP54" s="111"/>
      <c r="CQ54" s="111"/>
    </row>
    <row r="55" spans="1:95" s="298" customFormat="1" ht="25.5" customHeight="1" x14ac:dyDescent="0.25">
      <c r="A55" s="287"/>
      <c r="B55" s="116"/>
      <c r="C55" s="116"/>
      <c r="D55" s="295"/>
      <c r="E55" s="304" t="str">
        <f>Translations!$B$372</f>
        <v>Consumers' CRF category:</v>
      </c>
      <c r="F55" s="1286" t="str">
        <f>Translations!$B$373</f>
        <v>CRF category of the consumers. CRF categories only need to be specified for consumers outside of the ETS2 (when the scope factor is lower than 1).</v>
      </c>
      <c r="G55" s="1286"/>
      <c r="H55" s="1286"/>
      <c r="I55" s="1286"/>
      <c r="J55" s="1286"/>
      <c r="K55" s="1286"/>
      <c r="L55" s="1286"/>
      <c r="M55" s="1286"/>
      <c r="N55" s="1286"/>
      <c r="O55" s="142"/>
      <c r="P55" s="113"/>
      <c r="Q55" s="300"/>
      <c r="R55" s="301"/>
      <c r="S55" s="138"/>
      <c r="T55" s="138"/>
      <c r="U55" s="138"/>
      <c r="V55" s="138"/>
      <c r="W55" s="138"/>
      <c r="X55" s="138"/>
      <c r="Y55" s="111"/>
      <c r="Z55" s="111"/>
      <c r="AA55" s="111"/>
      <c r="AB55" s="111"/>
      <c r="AC55" s="111"/>
      <c r="AD55" s="111"/>
      <c r="AE55" s="111"/>
      <c r="AF55" s="111"/>
      <c r="AG55" s="111"/>
      <c r="AH55" s="111"/>
      <c r="AI55" s="111"/>
      <c r="AJ55" s="111"/>
      <c r="AK55" s="111"/>
      <c r="AL55" s="111"/>
      <c r="AM55" s="111"/>
      <c r="AN55" s="111"/>
      <c r="AO55" s="111"/>
      <c r="AP55" s="111"/>
      <c r="AQ55" s="111"/>
      <c r="AR55" s="111"/>
      <c r="AS55" s="111"/>
      <c r="AT55" s="111"/>
      <c r="AU55" s="111"/>
      <c r="AV55" s="111"/>
      <c r="AW55" s="111"/>
      <c r="AX55" s="111"/>
      <c r="AY55" s="111"/>
      <c r="AZ55" s="111"/>
      <c r="BA55" s="111"/>
      <c r="BB55" s="111"/>
      <c r="BC55" s="111"/>
      <c r="BD55" s="111"/>
      <c r="BE55" s="111"/>
      <c r="BF55" s="111"/>
      <c r="BG55" s="111"/>
      <c r="BH55" s="111"/>
      <c r="BI55" s="111"/>
      <c r="BJ55" s="111"/>
      <c r="BK55" s="111"/>
      <c r="BL55" s="111"/>
      <c r="BM55" s="111"/>
      <c r="BN55" s="111"/>
      <c r="BO55" s="111"/>
      <c r="BP55" s="111"/>
      <c r="BQ55" s="111"/>
      <c r="BR55" s="111"/>
      <c r="BS55" s="111"/>
      <c r="BT55" s="111"/>
      <c r="BU55" s="111"/>
      <c r="BV55" s="111"/>
      <c r="BW55" s="111"/>
      <c r="BX55" s="111"/>
      <c r="BY55" s="111"/>
      <c r="BZ55" s="111"/>
      <c r="CA55" s="111"/>
      <c r="CB55" s="111"/>
      <c r="CC55" s="111"/>
      <c r="CD55" s="111"/>
      <c r="CE55" s="111"/>
      <c r="CF55" s="111"/>
      <c r="CG55" s="111"/>
      <c r="CH55" s="111"/>
      <c r="CI55" s="111"/>
      <c r="CJ55" s="111"/>
      <c r="CK55" s="111"/>
      <c r="CL55" s="111"/>
      <c r="CM55" s="111"/>
      <c r="CN55" s="111"/>
      <c r="CO55" s="111"/>
      <c r="CP55" s="111"/>
      <c r="CQ55" s="111"/>
    </row>
    <row r="56" spans="1:95" s="298" customFormat="1" ht="12.75" customHeight="1" x14ac:dyDescent="0.25">
      <c r="A56" s="287"/>
      <c r="B56" s="116"/>
      <c r="C56" s="116"/>
      <c r="D56" s="295"/>
      <c r="E56" s="299"/>
      <c r="F56" s="178"/>
      <c r="G56" s="178"/>
      <c r="H56" s="178"/>
      <c r="I56" s="178"/>
      <c r="J56" s="178"/>
      <c r="K56" s="178"/>
      <c r="L56" s="178"/>
      <c r="M56" s="178"/>
      <c r="N56" s="178"/>
      <c r="O56" s="142"/>
      <c r="P56" s="113"/>
      <c r="Q56" s="300"/>
      <c r="R56" s="301"/>
      <c r="S56" s="138"/>
      <c r="T56" s="138"/>
      <c r="U56" s="138"/>
      <c r="V56" s="138"/>
      <c r="W56" s="138"/>
      <c r="X56" s="138"/>
      <c r="Y56" s="111"/>
      <c r="Z56" s="111"/>
      <c r="AA56" s="111"/>
      <c r="AB56" s="111"/>
      <c r="AC56" s="111"/>
      <c r="AD56" s="111"/>
      <c r="AE56" s="111"/>
      <c r="AF56" s="111"/>
      <c r="AG56" s="111"/>
      <c r="AH56" s="111"/>
      <c r="AI56" s="111"/>
      <c r="AJ56" s="111"/>
      <c r="AK56" s="111"/>
      <c r="AL56" s="111"/>
      <c r="AM56" s="111"/>
      <c r="AN56" s="111"/>
      <c r="AO56" s="111"/>
      <c r="AP56" s="111"/>
      <c r="AQ56" s="111"/>
      <c r="AR56" s="111"/>
      <c r="AS56" s="111"/>
      <c r="AT56" s="111"/>
      <c r="AU56" s="111"/>
      <c r="AV56" s="111"/>
      <c r="AW56" s="111"/>
      <c r="AX56" s="111"/>
      <c r="AY56" s="111"/>
      <c r="AZ56" s="111"/>
      <c r="BA56" s="111"/>
      <c r="BB56" s="111"/>
      <c r="BC56" s="111"/>
      <c r="BD56" s="111"/>
      <c r="BE56" s="111"/>
      <c r="BF56" s="111"/>
      <c r="BG56" s="111"/>
      <c r="BH56" s="111"/>
      <c r="BI56" s="111"/>
      <c r="BJ56" s="111"/>
      <c r="BK56" s="111"/>
      <c r="BL56" s="111"/>
      <c r="BM56" s="111"/>
      <c r="BN56" s="111"/>
      <c r="BO56" s="111"/>
      <c r="BP56" s="111"/>
      <c r="BQ56" s="111"/>
      <c r="BR56" s="111"/>
      <c r="BS56" s="111"/>
      <c r="BT56" s="111"/>
      <c r="BU56" s="111"/>
      <c r="BV56" s="111"/>
      <c r="BW56" s="111"/>
      <c r="BX56" s="111"/>
      <c r="BY56" s="111"/>
      <c r="BZ56" s="111"/>
      <c r="CA56" s="111"/>
      <c r="CB56" s="111"/>
      <c r="CC56" s="111"/>
      <c r="CD56" s="111"/>
      <c r="CE56" s="111"/>
      <c r="CF56" s="111"/>
      <c r="CG56" s="111"/>
      <c r="CH56" s="111"/>
      <c r="CI56" s="111"/>
      <c r="CJ56" s="111"/>
      <c r="CK56" s="111"/>
      <c r="CL56" s="111"/>
      <c r="CM56" s="111"/>
      <c r="CN56" s="111"/>
      <c r="CO56" s="111"/>
      <c r="CP56" s="111"/>
      <c r="CQ56" s="111"/>
    </row>
    <row r="57" spans="1:95" ht="12.75" customHeight="1" x14ac:dyDescent="0.25">
      <c r="A57" s="138"/>
      <c r="D57" s="295"/>
      <c r="E57" s="1277" t="str">
        <f>Translations!$B$620</f>
        <v>For blended fuels, the tool in sheet “F.a.Tool_Blending” can help you with the calculation of the UCF, (prelim) EF and zero-rated F.</v>
      </c>
      <c r="F57" s="1277"/>
      <c r="G57" s="1277"/>
      <c r="H57" s="1277"/>
      <c r="I57" s="1277"/>
      <c r="J57" s="1277"/>
      <c r="K57" s="1277"/>
      <c r="L57" s="1277"/>
      <c r="M57" s="1277"/>
      <c r="N57" s="1277"/>
      <c r="O57" s="142"/>
      <c r="P57" s="113"/>
      <c r="Q57" s="297"/>
      <c r="R57" s="138"/>
      <c r="S57" s="138"/>
      <c r="T57" s="297"/>
      <c r="U57" s="297"/>
      <c r="V57" s="297"/>
      <c r="W57" s="138"/>
      <c r="X57" s="138"/>
      <c r="AD57" s="549"/>
      <c r="AE57" s="549"/>
      <c r="AF57" s="549"/>
      <c r="AG57" s="549"/>
      <c r="AH57" s="549"/>
      <c r="AI57" s="549"/>
      <c r="AJ57" s="549"/>
      <c r="AK57" s="549"/>
      <c r="AL57" s="549"/>
      <c r="AM57" s="549"/>
      <c r="AN57" s="549"/>
      <c r="AO57" s="549"/>
      <c r="AP57" s="549"/>
      <c r="AQ57" s="549"/>
      <c r="AR57" s="549"/>
      <c r="AS57" s="549"/>
      <c r="AT57" s="549"/>
      <c r="AU57" s="549"/>
      <c r="AV57" s="549"/>
      <c r="AW57" s="549"/>
      <c r="AX57" s="549"/>
      <c r="AY57" s="549"/>
      <c r="AZ57" s="549"/>
      <c r="BA57" s="549"/>
      <c r="BB57" s="549"/>
      <c r="BC57" s="549"/>
      <c r="BD57" s="549"/>
      <c r="BE57" s="549"/>
      <c r="BF57" s="549"/>
      <c r="BG57" s="549"/>
      <c r="BH57" s="549"/>
      <c r="BI57" s="549"/>
      <c r="BJ57" s="549"/>
      <c r="BK57" s="549"/>
      <c r="BL57" s="549"/>
      <c r="BM57" s="549"/>
      <c r="BN57" s="549"/>
      <c r="BO57" s="549"/>
      <c r="BP57" s="549"/>
      <c r="BQ57" s="549"/>
      <c r="BR57" s="549"/>
      <c r="BS57" s="549"/>
      <c r="BT57" s="549"/>
      <c r="BU57" s="549"/>
      <c r="BV57" s="549"/>
      <c r="BW57" s="549"/>
      <c r="BX57" s="549"/>
      <c r="BY57" s="549"/>
      <c r="BZ57" s="549"/>
      <c r="CA57" s="549"/>
      <c r="CB57" s="549"/>
      <c r="CC57" s="549"/>
      <c r="CD57" s="549"/>
      <c r="CE57" s="549"/>
      <c r="CF57" s="549"/>
      <c r="CG57" s="549"/>
      <c r="CH57" s="549"/>
      <c r="CI57" s="549"/>
      <c r="CJ57" s="549"/>
      <c r="CK57" s="549"/>
      <c r="CL57" s="549"/>
      <c r="CM57" s="549"/>
      <c r="CN57" s="549"/>
      <c r="CO57" s="549"/>
      <c r="CP57" s="549"/>
      <c r="CQ57" s="549"/>
    </row>
    <row r="58" spans="1:95" ht="12.75" customHeight="1" thickBot="1" x14ac:dyDescent="0.3">
      <c r="A58" s="307"/>
      <c r="B58" s="76"/>
      <c r="C58" s="308"/>
      <c r="D58" s="309"/>
      <c r="E58" s="310"/>
      <c r="F58" s="308"/>
      <c r="G58" s="311"/>
      <c r="H58" s="311"/>
      <c r="I58" s="311"/>
      <c r="J58" s="311"/>
      <c r="K58" s="311"/>
      <c r="L58" s="311"/>
      <c r="M58" s="311"/>
      <c r="N58" s="311"/>
      <c r="O58" s="160"/>
      <c r="P58" s="109"/>
      <c r="Q58" s="312"/>
      <c r="R58" s="312"/>
      <c r="S58" s="293"/>
      <c r="T58" s="293"/>
      <c r="U58" s="313"/>
      <c r="V58" s="293"/>
      <c r="W58" s="293"/>
      <c r="X58" s="313"/>
      <c r="Y58" s="293"/>
      <c r="Z58" s="293"/>
      <c r="AA58" s="293"/>
      <c r="AB58" s="293"/>
      <c r="AC58" s="293"/>
      <c r="AD58" s="293"/>
      <c r="AE58" s="293"/>
      <c r="AF58" s="293"/>
      <c r="AG58" s="293"/>
      <c r="AH58" s="293"/>
      <c r="AI58" s="293"/>
      <c r="AJ58" s="293"/>
      <c r="AK58" s="293"/>
      <c r="AL58" s="293"/>
      <c r="AM58" s="293"/>
      <c r="AN58" s="293"/>
      <c r="AO58" s="293"/>
      <c r="AP58" s="293"/>
      <c r="AQ58" s="293"/>
      <c r="AR58" s="293"/>
      <c r="AS58" s="293"/>
      <c r="AT58" s="293"/>
      <c r="AU58" s="293"/>
      <c r="AV58" s="293"/>
      <c r="AW58" s="293"/>
      <c r="AX58" s="293"/>
      <c r="AY58" s="293"/>
      <c r="AZ58" s="293"/>
      <c r="BA58" s="293"/>
      <c r="BB58" s="293"/>
      <c r="BC58" s="293"/>
      <c r="BD58" s="293"/>
      <c r="BE58" s="293"/>
      <c r="BF58" s="293"/>
      <c r="BG58" s="293"/>
      <c r="BH58" s="293"/>
      <c r="BI58" s="293"/>
      <c r="BJ58" s="293"/>
      <c r="BK58" s="293"/>
      <c r="BL58" s="293"/>
      <c r="BM58" s="314"/>
      <c r="BN58" s="314"/>
      <c r="BO58" s="314"/>
      <c r="BP58" s="314"/>
      <c r="BQ58" s="314"/>
      <c r="BR58" s="314"/>
      <c r="BS58" s="314"/>
      <c r="BT58" s="314"/>
      <c r="BU58" s="293"/>
      <c r="BV58" s="293"/>
      <c r="BW58" s="293"/>
      <c r="BX58" s="293"/>
      <c r="BY58" s="293"/>
      <c r="BZ58" s="293"/>
      <c r="CA58" s="293"/>
      <c r="CB58" s="293"/>
      <c r="CC58" s="293"/>
      <c r="CD58" s="293"/>
      <c r="CE58" s="293"/>
      <c r="CF58" s="293"/>
      <c r="CG58" s="293"/>
      <c r="CH58" s="293"/>
      <c r="CI58" s="293"/>
      <c r="CJ58" s="293"/>
      <c r="CK58" s="293"/>
      <c r="CL58" s="293"/>
      <c r="CM58" s="293"/>
      <c r="CN58" s="293"/>
      <c r="CO58" s="293"/>
      <c r="CP58" s="293"/>
      <c r="CQ58" s="293"/>
    </row>
    <row r="59" spans="1:95" ht="12.75" customHeight="1" thickBot="1" x14ac:dyDescent="0.3">
      <c r="A59" s="315"/>
      <c r="B59" s="76"/>
      <c r="C59" s="76"/>
      <c r="D59" s="205"/>
      <c r="E59" s="316"/>
      <c r="F59" s="76"/>
      <c r="G59" s="96"/>
      <c r="H59" s="96"/>
      <c r="I59" s="96"/>
      <c r="J59" s="96"/>
      <c r="K59" s="76"/>
      <c r="L59" s="96"/>
      <c r="M59" s="96"/>
      <c r="N59" s="96"/>
      <c r="O59" s="160"/>
      <c r="P59" s="109"/>
      <c r="Q59" s="312"/>
      <c r="R59" s="312"/>
      <c r="S59" s="287"/>
      <c r="T59" s="317" t="str">
        <f>IF(ISBLANK(E60),"",MATCH(E60,CNTR_SourceStreamNames,0))</f>
        <v/>
      </c>
      <c r="U59" s="318" t="str">
        <f>IF(ISBLANK(E60),"",INDEX(B_IdentifyFuelStreams!$D$67:$D$116,MATCH(E60,CNTR_SourceStreamNames,0)))</f>
        <v/>
      </c>
      <c r="V59" s="301"/>
      <c r="W59" s="138"/>
      <c r="X59" s="138"/>
      <c r="Y59" s="138"/>
      <c r="Z59" s="293"/>
      <c r="AA59" s="293"/>
      <c r="AB59" s="293"/>
      <c r="AC59" s="293"/>
      <c r="AD59" s="293"/>
      <c r="AE59" s="293"/>
      <c r="AF59" s="293"/>
      <c r="AG59" s="293"/>
      <c r="AH59" s="293"/>
      <c r="AI59" s="293"/>
      <c r="AJ59" s="293"/>
      <c r="AK59" s="312"/>
      <c r="AL59" s="293"/>
      <c r="AM59" s="293"/>
      <c r="AN59" s="293"/>
      <c r="AO59" s="293"/>
      <c r="AP59" s="293"/>
      <c r="AQ59" s="293"/>
      <c r="AR59" s="293"/>
      <c r="AS59" s="293"/>
      <c r="AT59" s="293"/>
      <c r="AU59" s="293"/>
      <c r="AV59" s="293"/>
      <c r="AW59" s="293"/>
      <c r="AX59" s="293"/>
      <c r="AY59" s="293"/>
      <c r="AZ59" s="293"/>
      <c r="BA59" s="293"/>
      <c r="BB59" s="293"/>
      <c r="BC59" s="293"/>
      <c r="BD59" s="293"/>
      <c r="BE59" s="293"/>
      <c r="BF59" s="293"/>
      <c r="BG59" s="293"/>
      <c r="BH59" s="293"/>
      <c r="BI59" s="293"/>
      <c r="BJ59" s="138"/>
      <c r="BK59" s="138"/>
      <c r="BL59" s="138"/>
      <c r="BM59" s="138"/>
      <c r="BN59" s="138"/>
      <c r="BO59" s="138"/>
      <c r="BP59" s="138"/>
      <c r="BQ59" s="138"/>
      <c r="BR59" s="138"/>
      <c r="BS59" s="138"/>
      <c r="BT59" s="138"/>
      <c r="BU59" s="138"/>
      <c r="BV59" s="138"/>
      <c r="BW59" s="138"/>
      <c r="BX59" s="138"/>
      <c r="BY59" s="138"/>
      <c r="BZ59" s="138"/>
      <c r="CA59" s="138"/>
      <c r="CB59" s="138"/>
      <c r="CC59" s="138"/>
      <c r="CD59" s="138"/>
      <c r="CE59" s="138"/>
      <c r="CF59" s="138"/>
      <c r="CG59" s="138"/>
      <c r="CH59" s="138"/>
      <c r="CI59" s="138"/>
      <c r="CJ59" s="138"/>
      <c r="CK59" s="138"/>
      <c r="CL59" s="138"/>
      <c r="CM59" s="138"/>
      <c r="CN59" s="138"/>
      <c r="CO59" s="138"/>
      <c r="CP59" s="138"/>
      <c r="CQ59" s="319" t="s">
        <v>107</v>
      </c>
    </row>
    <row r="60" spans="1:95" ht="15" customHeight="1" thickBot="1" x14ac:dyDescent="0.3">
      <c r="A60" s="320">
        <f>C60</f>
        <v>1</v>
      </c>
      <c r="B60" s="68"/>
      <c r="C60" s="321">
        <v>1</v>
      </c>
      <c r="D60" s="68"/>
      <c r="E60" s="1269"/>
      <c r="F60" s="1270"/>
      <c r="G60" s="1270"/>
      <c r="H60" s="1270"/>
      <c r="I60" s="1270"/>
      <c r="J60" s="1271"/>
      <c r="K60" s="1272" t="str">
        <f>IF(INDEX(B_IdentifyFuelStreams!$K$125:$K$174,MATCH(U59,B_IdentifyFuelStreams!$D$125:$D$174,0))&gt;0,INDEX(B_IdentifyFuelStreams!$K$125:$K$174,MATCH(U59,B_IdentifyFuelStreams!$D$125:$D$174,0)),"")</f>
        <v/>
      </c>
      <c r="L60" s="1273"/>
      <c r="M60" s="316" t="str">
        <f>Translations!$B$621</f>
        <v>Emissions:</v>
      </c>
      <c r="N60" s="322" t="str">
        <f>IF(E61="","",BG66)</f>
        <v/>
      </c>
      <c r="O60" s="323" t="str">
        <f>EUconst_tCO2</f>
        <v>tCO2</v>
      </c>
      <c r="P60" s="324" t="str">
        <f>IF(AND(E60&lt;&gt;"",COUNTIF(P61:$P$1649,"PRINT")=0),"PRINT","")</f>
        <v/>
      </c>
      <c r="Q60" s="325" t="str">
        <f>EUconst_SumCO2</f>
        <v>SUM_CO2</v>
      </c>
      <c r="R60" s="312"/>
      <c r="S60" s="287"/>
      <c r="T60" s="287"/>
      <c r="U60" s="287"/>
      <c r="V60" s="301"/>
      <c r="W60" s="138"/>
      <c r="X60" s="293"/>
      <c r="Y60" s="293"/>
      <c r="Z60" s="293"/>
      <c r="AA60" s="293"/>
      <c r="AB60" s="293"/>
      <c r="AC60" s="293"/>
      <c r="AD60" s="293"/>
      <c r="AE60" s="293"/>
      <c r="AF60" s="293"/>
      <c r="AG60" s="293"/>
      <c r="AH60" s="293"/>
      <c r="AI60" s="326"/>
      <c r="AJ60" s="326"/>
      <c r="AK60" s="326"/>
      <c r="AL60" s="326"/>
      <c r="AM60" s="326"/>
      <c r="AN60" s="326"/>
      <c r="AO60" s="326"/>
      <c r="AP60" s="326"/>
      <c r="AQ60" s="326"/>
      <c r="AR60" s="326"/>
      <c r="AS60" s="326"/>
      <c r="AT60" s="326"/>
      <c r="AU60" s="326"/>
      <c r="AV60" s="326"/>
      <c r="AW60" s="326"/>
      <c r="AX60" s="326"/>
      <c r="AY60" s="326"/>
      <c r="AZ60" s="326"/>
      <c r="BA60" s="326"/>
      <c r="BB60" s="326"/>
      <c r="BC60" s="326"/>
      <c r="BD60" s="326"/>
      <c r="BE60" s="326"/>
      <c r="BF60" s="326"/>
      <c r="BG60" s="326"/>
      <c r="BH60" s="326"/>
      <c r="BI60" s="327" t="str">
        <f>IF(E60="","",E60)</f>
        <v/>
      </c>
      <c r="BJ60" s="328" t="str">
        <f>IF(F66="","",F66)</f>
        <v/>
      </c>
      <c r="BK60" s="329">
        <f>AV66</f>
        <v>0</v>
      </c>
      <c r="BL60" s="329">
        <f>IF(BK60="","",BK60*(1-BP60))</f>
        <v>0</v>
      </c>
      <c r="BM60" s="328" t="str">
        <f>AJ66</f>
        <v/>
      </c>
      <c r="BN60" s="328" t="str">
        <f>IF(F77="","",F77)</f>
        <v/>
      </c>
      <c r="BO60" s="327" t="str">
        <f>IF(G77="","",G77)</f>
        <v/>
      </c>
      <c r="BP60" s="330">
        <f>AV77</f>
        <v>0</v>
      </c>
      <c r="BQ60" s="328" t="str">
        <f>IF(F69="","",F69)</f>
        <v/>
      </c>
      <c r="BR60" s="330">
        <f>AV69</f>
        <v>0</v>
      </c>
      <c r="BS60" s="330" t="str">
        <f>AJ69</f>
        <v/>
      </c>
      <c r="BT60" s="328" t="str">
        <f>IF(F68="","",F68)</f>
        <v/>
      </c>
      <c r="BU60" s="330">
        <f>IF(F68=EUconst_NA,"",AV68)</f>
        <v>0</v>
      </c>
      <c r="BV60" s="330" t="str">
        <f>AJ68</f>
        <v/>
      </c>
      <c r="BW60" s="328" t="str">
        <f>IF(F70="","",F70)</f>
        <v/>
      </c>
      <c r="BX60" s="330">
        <f>AV70</f>
        <v>0</v>
      </c>
      <c r="BY60" s="328" t="str">
        <f>IF(F71="","",F71)</f>
        <v/>
      </c>
      <c r="BZ60" s="330">
        <f>AV71</f>
        <v>0</v>
      </c>
      <c r="CA60" s="330">
        <f>AV72</f>
        <v>0</v>
      </c>
      <c r="CB60" s="330">
        <f>AV73</f>
        <v>0</v>
      </c>
      <c r="CC60" s="330">
        <f>AV74</f>
        <v>0</v>
      </c>
      <c r="CD60" s="330">
        <f>AV75</f>
        <v>0</v>
      </c>
      <c r="CE60" s="329" t="str">
        <f>BG66</f>
        <v/>
      </c>
      <c r="CF60" s="329" t="str">
        <f>BG68</f>
        <v/>
      </c>
      <c r="CG60" s="329" t="str">
        <f>BG69</f>
        <v/>
      </c>
      <c r="CH60" s="329" t="str">
        <f>BG70</f>
        <v/>
      </c>
      <c r="CI60" s="329" t="str">
        <f>BG71</f>
        <v/>
      </c>
      <c r="CJ60" s="329" t="str">
        <f>BG72</f>
        <v/>
      </c>
      <c r="CK60" s="329" t="str">
        <f>BG73</f>
        <v/>
      </c>
      <c r="CL60" s="329">
        <f>BG74</f>
        <v>0</v>
      </c>
      <c r="CM60" s="329" t="str">
        <f>BG75</f>
        <v/>
      </c>
      <c r="CN60" s="329" t="str">
        <f>BG77</f>
        <v/>
      </c>
      <c r="CO60" s="329" t="str">
        <f>BG81</f>
        <v/>
      </c>
      <c r="CP60" s="329" t="str">
        <f>IF(COUNTIF(AO69:AO70,TRUE)=0,"",BH66)</f>
        <v/>
      </c>
      <c r="CQ60" s="331" t="b">
        <v>0</v>
      </c>
    </row>
    <row r="61" spans="1:95" ht="15" customHeight="1" thickBot="1" x14ac:dyDescent="0.3">
      <c r="A61" s="307"/>
      <c r="B61" s="68"/>
      <c r="C61" s="68"/>
      <c r="D61" s="68"/>
      <c r="E61" s="1274" t="str">
        <f>IF(ISBLANK(E60),"",IF(INDEX(B_IdentifyFuelStreams!$E$67:$E$116,MATCH(U59,B_IdentifyFuelStreams!$D$67:$D$116,0))&gt;0,INDEX(B_IdentifyFuelStreams!$E$67:$E$116,MATCH(U59,B_IdentifyFuelStreams!$D$67:$D$116,0)),""))</f>
        <v/>
      </c>
      <c r="F61" s="1275"/>
      <c r="G61" s="1275"/>
      <c r="H61" s="1275"/>
      <c r="I61" s="1275"/>
      <c r="J61" s="1276"/>
      <c r="K61" s="1272" t="str">
        <f>IF(INDEX(B_IdentifyFuelStreams!$M$125:$M$174,MATCH(U59,B_IdentifyFuelStreams!$D$125:$D$174,0))&gt;0,INDEX(B_IdentifyFuelStreams!$M$125:$M$174,MATCH(U59,B_IdentifyFuelStreams!$D$125:$D$174,0)),"")</f>
        <v/>
      </c>
      <c r="L61" s="1273"/>
      <c r="M61" s="332" t="str">
        <f>Translations!$B$622</f>
        <v>zero-rated:</v>
      </c>
      <c r="N61" s="333" t="str">
        <f>IF(E61="","",SUM(BG68,BG70,BG72))</f>
        <v/>
      </c>
      <c r="O61" s="334" t="str">
        <f>EUconst_tCO2</f>
        <v>tCO2</v>
      </c>
      <c r="P61" s="109"/>
      <c r="Q61" s="325" t="str">
        <f>EUconst_SumBioCO2</f>
        <v>SUM_bioCO2</v>
      </c>
      <c r="R61" s="312"/>
      <c r="S61" s="287"/>
      <c r="T61" s="287"/>
      <c r="U61" s="287"/>
      <c r="V61" s="301"/>
      <c r="W61" s="138"/>
      <c r="X61" s="293"/>
      <c r="Y61" s="317" t="str">
        <f>Translations!$B$143</f>
        <v>Tiers</v>
      </c>
      <c r="Z61" s="314"/>
      <c r="AA61" s="314"/>
      <c r="AB61" s="314"/>
      <c r="AC61" s="314"/>
      <c r="AD61" s="314"/>
      <c r="AE61" s="317" t="s">
        <v>108</v>
      </c>
      <c r="AF61" s="293"/>
      <c r="AG61" s="335"/>
      <c r="AH61" s="314"/>
      <c r="AI61" s="314"/>
      <c r="AJ61" s="335"/>
      <c r="AK61" s="335"/>
      <c r="AL61" s="326"/>
      <c r="AM61" s="326"/>
      <c r="AN61" s="326"/>
      <c r="AO61" s="326"/>
      <c r="AP61" s="326"/>
      <c r="AQ61" s="317" t="s">
        <v>109</v>
      </c>
      <c r="AR61" s="336"/>
      <c r="AS61" s="336"/>
      <c r="AT61" s="314"/>
      <c r="AU61" s="314"/>
      <c r="AV61" s="314"/>
      <c r="AW61" s="314"/>
      <c r="AX61" s="314"/>
      <c r="AY61" s="314"/>
      <c r="AZ61" s="317" t="s">
        <v>110</v>
      </c>
      <c r="BA61" s="314"/>
      <c r="BB61" s="314"/>
      <c r="BC61" s="314"/>
      <c r="BD61" s="314"/>
      <c r="BE61" s="314"/>
      <c r="BF61" s="317" t="s">
        <v>111</v>
      </c>
      <c r="BG61" s="314"/>
      <c r="BH61" s="314"/>
      <c r="BI61" s="317" t="s">
        <v>112</v>
      </c>
      <c r="BJ61" s="328" t="str">
        <f>Translations!$B$376</f>
        <v>RFA Tier</v>
      </c>
      <c r="BK61" s="328" t="str">
        <f>Translations!$B$377</f>
        <v>RFA</v>
      </c>
      <c r="BL61" s="328" t="str">
        <f>Translations!$B$378</f>
        <v>RFA (in scope)</v>
      </c>
      <c r="BM61" s="328" t="str">
        <f>Translations!$B$379</f>
        <v>RFA Unit</v>
      </c>
      <c r="BN61" s="328" t="str">
        <f>Translations!$B$380</f>
        <v>SF Tier</v>
      </c>
      <c r="BO61" s="328" t="str">
        <f>Translations!$B$380</f>
        <v>SF Tier</v>
      </c>
      <c r="BP61" s="328" t="str">
        <f>Translations!$B$381</f>
        <v>SF</v>
      </c>
      <c r="BQ61" s="328" t="str">
        <f>Translations!$B$382</f>
        <v>EF Tier</v>
      </c>
      <c r="BR61" s="328" t="str">
        <f>Translations!$B$383</f>
        <v>EF</v>
      </c>
      <c r="BS61" s="328" t="str">
        <f>Translations!$B$384</f>
        <v>EF Unit</v>
      </c>
      <c r="BT61" s="328" t="str">
        <f>Translations!$B$385</f>
        <v>UCF Tier</v>
      </c>
      <c r="BU61" s="328" t="str">
        <f>Translations!$B$386</f>
        <v>UCF</v>
      </c>
      <c r="BV61" s="328" t="str">
        <f>Translations!$B$387</f>
        <v>UCF Unit</v>
      </c>
      <c r="BW61" s="328" t="str">
        <f>Translations!$B$388</f>
        <v>Bio Tier</v>
      </c>
      <c r="BX61" s="328" t="s">
        <v>113</v>
      </c>
      <c r="BY61" s="328" t="str">
        <f>Translations!$B$389</f>
        <v>NonSustBio Tier</v>
      </c>
      <c r="BZ61" s="328" t="s">
        <v>114</v>
      </c>
      <c r="CA61" s="328" t="s">
        <v>115</v>
      </c>
      <c r="CB61" s="328" t="s">
        <v>116</v>
      </c>
      <c r="CC61" s="328" t="s">
        <v>117</v>
      </c>
      <c r="CD61" s="328" t="s">
        <v>118</v>
      </c>
      <c r="CE61" s="328" t="s">
        <v>119</v>
      </c>
      <c r="CF61" s="328" t="s">
        <v>120</v>
      </c>
      <c r="CG61" s="328" t="str">
        <f>Translations!$B$392</f>
        <v>CO2 non-sust</v>
      </c>
      <c r="CH61" s="328" t="s">
        <v>121</v>
      </c>
      <c r="CI61" s="328" t="s">
        <v>122</v>
      </c>
      <c r="CJ61" s="328" t="s">
        <v>123</v>
      </c>
      <c r="CK61" s="328" t="s">
        <v>124</v>
      </c>
      <c r="CL61" s="328" t="s">
        <v>125</v>
      </c>
      <c r="CM61" s="328" t="str">
        <f>Translations!$B$551</f>
        <v>Energy content (bio), TJ</v>
      </c>
      <c r="CN61" s="328" t="s">
        <v>126</v>
      </c>
      <c r="CO61" s="328" t="s">
        <v>127</v>
      </c>
      <c r="CP61" s="328" t="s">
        <v>128</v>
      </c>
      <c r="CQ61" s="314"/>
    </row>
    <row r="62" spans="1:95" ht="5.15" customHeight="1" thickBot="1" x14ac:dyDescent="0.3">
      <c r="A62" s="307"/>
      <c r="B62" s="68"/>
      <c r="C62" s="68"/>
      <c r="D62" s="68"/>
      <c r="E62" s="68"/>
      <c r="F62" s="68"/>
      <c r="G62" s="68"/>
      <c r="H62" s="76"/>
      <c r="I62" s="76"/>
      <c r="J62" s="76"/>
      <c r="K62" s="76"/>
      <c r="L62" s="76"/>
      <c r="M62" s="76"/>
      <c r="N62" s="76"/>
      <c r="O62" s="160"/>
      <c r="P62" s="109"/>
      <c r="Q62" s="312"/>
      <c r="R62" s="312"/>
      <c r="S62" s="287"/>
      <c r="T62" s="287"/>
      <c r="U62" s="287"/>
      <c r="V62" s="301"/>
      <c r="W62" s="314"/>
      <c r="X62" s="314"/>
      <c r="Y62" s="312"/>
      <c r="Z62" s="314"/>
      <c r="AA62" s="314"/>
      <c r="AB62" s="314"/>
      <c r="AC62" s="314"/>
      <c r="AD62" s="314"/>
      <c r="AE62" s="314"/>
      <c r="AF62" s="293"/>
      <c r="AG62" s="314"/>
      <c r="AH62" s="314"/>
      <c r="AI62" s="314"/>
      <c r="AJ62" s="335"/>
      <c r="AK62" s="335"/>
      <c r="AL62" s="326"/>
      <c r="AM62" s="326"/>
      <c r="AN62" s="326"/>
      <c r="AO62" s="326"/>
      <c r="AP62" s="326"/>
      <c r="AQ62" s="314"/>
      <c r="AR62" s="314"/>
      <c r="AS62" s="314"/>
      <c r="AT62" s="314"/>
      <c r="AU62" s="314"/>
      <c r="AV62" s="314"/>
      <c r="AW62" s="314"/>
      <c r="AX62" s="314"/>
      <c r="AY62" s="314"/>
      <c r="AZ62" s="314"/>
      <c r="BA62" s="314"/>
      <c r="BB62" s="314"/>
      <c r="BC62" s="314"/>
      <c r="BD62" s="314"/>
      <c r="BE62" s="314"/>
      <c r="BF62" s="314"/>
      <c r="BG62" s="314"/>
      <c r="BH62" s="314"/>
      <c r="BI62" s="314"/>
      <c r="BJ62" s="314"/>
      <c r="BK62" s="314"/>
      <c r="BL62" s="314"/>
      <c r="BM62" s="314"/>
      <c r="BN62" s="314"/>
      <c r="BO62" s="314"/>
      <c r="BP62" s="314"/>
      <c r="BQ62" s="314"/>
      <c r="BR62" s="314"/>
      <c r="BS62" s="314"/>
      <c r="BT62" s="314"/>
      <c r="BU62" s="314"/>
      <c r="BV62" s="314"/>
      <c r="BW62" s="314"/>
      <c r="BX62" s="314"/>
      <c r="BY62" s="314"/>
      <c r="BZ62" s="314"/>
      <c r="CA62" s="314"/>
      <c r="CB62" s="314"/>
      <c r="CC62" s="314"/>
      <c r="CD62" s="314"/>
      <c r="CE62" s="314"/>
      <c r="CF62" s="314"/>
      <c r="CG62" s="314"/>
      <c r="CH62" s="314"/>
      <c r="CI62" s="314"/>
      <c r="CJ62" s="314"/>
      <c r="CK62" s="314"/>
      <c r="CL62" s="314"/>
      <c r="CM62" s="314"/>
      <c r="CN62" s="314"/>
      <c r="CO62" s="314"/>
      <c r="CP62" s="314"/>
      <c r="CQ62" s="314"/>
    </row>
    <row r="63" spans="1:95" ht="12.75" customHeight="1" thickBot="1" x14ac:dyDescent="0.3">
      <c r="A63" s="307"/>
      <c r="B63" s="68"/>
      <c r="C63" s="68"/>
      <c r="D63" s="68"/>
      <c r="E63" s="1253" t="str">
        <f>IF(E60="","",HYPERLINK("#JUMP_E_Top",EUconst_FurtherGuidancePoint1))</f>
        <v/>
      </c>
      <c r="F63" s="1253"/>
      <c r="G63" s="1253"/>
      <c r="H63" s="1253"/>
      <c r="I63" s="1253"/>
      <c r="J63" s="1253"/>
      <c r="K63" s="1253"/>
      <c r="L63" s="1253"/>
      <c r="M63" s="1253"/>
      <c r="N63" s="76"/>
      <c r="O63" s="160"/>
      <c r="P63" s="109"/>
      <c r="Q63" s="325" t="str">
        <f>EUconst_SumNonSustBioCO2</f>
        <v>SUM_bioNonSustCO2</v>
      </c>
      <c r="R63" s="337" t="str">
        <f>IF(E61="","",BG69)</f>
        <v/>
      </c>
      <c r="S63" s="287"/>
      <c r="T63" s="287"/>
      <c r="U63" s="287"/>
      <c r="V63" s="314"/>
      <c r="W63" s="314"/>
      <c r="X63" s="314"/>
      <c r="Y63" s="293"/>
      <c r="Z63" s="314"/>
      <c r="AA63" s="314"/>
      <c r="AB63" s="314"/>
      <c r="AC63" s="314"/>
      <c r="AD63" s="314"/>
      <c r="AE63" s="314"/>
      <c r="AF63" s="293"/>
      <c r="AG63" s="314"/>
      <c r="AH63" s="314"/>
      <c r="AI63" s="314"/>
      <c r="AJ63" s="335"/>
      <c r="AK63" s="335"/>
      <c r="AL63" s="326"/>
      <c r="AM63" s="326"/>
      <c r="AN63" s="326"/>
      <c r="AO63" s="326"/>
      <c r="AP63" s="326"/>
      <c r="AQ63" s="314"/>
      <c r="AR63" s="314"/>
      <c r="AS63" s="314"/>
      <c r="AT63" s="314"/>
      <c r="AU63" s="314"/>
      <c r="AV63" s="314"/>
      <c r="AW63" s="314"/>
      <c r="AX63" s="314"/>
      <c r="AY63" s="314"/>
      <c r="AZ63" s="314"/>
      <c r="BA63" s="314"/>
      <c r="BB63" s="314"/>
      <c r="BC63" s="314"/>
      <c r="BD63" s="314"/>
      <c r="BE63" s="314"/>
      <c r="BF63" s="314"/>
      <c r="BG63" s="314"/>
      <c r="BH63" s="314"/>
      <c r="BI63" s="317" t="s">
        <v>129</v>
      </c>
      <c r="BJ63" s="336"/>
      <c r="BK63" s="327" t="str">
        <f>IF(G81="","",G81)</f>
        <v/>
      </c>
      <c r="BL63" s="327" t="str">
        <f>IF(I81="","",I81)</f>
        <v/>
      </c>
      <c r="BM63" s="327" t="str">
        <f>IF(K81="","",K81)</f>
        <v/>
      </c>
      <c r="BN63" s="314"/>
      <c r="BO63" s="314"/>
      <c r="BP63" s="314"/>
      <c r="BQ63" s="314"/>
      <c r="BR63" s="314"/>
      <c r="BS63" s="314"/>
      <c r="BT63" s="319"/>
      <c r="BU63" s="314"/>
      <c r="BV63" s="314"/>
      <c r="BW63" s="314"/>
      <c r="BX63" s="314"/>
      <c r="BY63" s="314"/>
      <c r="BZ63" s="314"/>
      <c r="CA63" s="314"/>
      <c r="CB63" s="314"/>
      <c r="CC63" s="314"/>
      <c r="CD63" s="314"/>
      <c r="CE63" s="314"/>
      <c r="CF63" s="314"/>
      <c r="CG63" s="314"/>
      <c r="CH63" s="314"/>
      <c r="CI63" s="314"/>
      <c r="CJ63" s="314"/>
      <c r="CK63" s="314"/>
      <c r="CL63" s="314"/>
      <c r="CM63" s="314"/>
      <c r="CN63" s="314"/>
      <c r="CO63" s="314"/>
      <c r="CP63" s="314"/>
      <c r="CQ63" s="314"/>
    </row>
    <row r="64" spans="1:95" ht="5.15" customHeight="1" thickBot="1" x14ac:dyDescent="0.3">
      <c r="A64" s="307"/>
      <c r="B64" s="68"/>
      <c r="C64" s="68"/>
      <c r="D64" s="68"/>
      <c r="E64" s="68"/>
      <c r="F64" s="68"/>
      <c r="G64" s="68"/>
      <c r="H64" s="76"/>
      <c r="I64" s="76"/>
      <c r="J64" s="76"/>
      <c r="K64" s="76"/>
      <c r="L64" s="76"/>
      <c r="M64" s="76"/>
      <c r="N64" s="76"/>
      <c r="O64" s="160"/>
      <c r="P64" s="111"/>
      <c r="Q64" s="287"/>
      <c r="R64" s="111"/>
      <c r="S64" s="287"/>
      <c r="T64" s="287"/>
      <c r="U64" s="287"/>
      <c r="V64" s="314"/>
      <c r="W64" s="314"/>
      <c r="X64" s="314"/>
      <c r="Y64" s="312"/>
      <c r="Z64" s="314"/>
      <c r="AA64" s="314"/>
      <c r="AB64" s="314"/>
      <c r="AC64" s="314"/>
      <c r="AD64" s="314"/>
      <c r="AE64" s="314"/>
      <c r="AF64" s="293"/>
      <c r="AG64" s="314"/>
      <c r="AH64" s="314"/>
      <c r="AI64" s="314"/>
      <c r="AJ64" s="335"/>
      <c r="AK64" s="335"/>
      <c r="AL64" s="326"/>
      <c r="AM64" s="326"/>
      <c r="AN64" s="326"/>
      <c r="AO64" s="326"/>
      <c r="AP64" s="326"/>
      <c r="AQ64" s="314"/>
      <c r="AR64" s="314"/>
      <c r="AS64" s="314"/>
      <c r="AT64" s="314"/>
      <c r="AU64" s="314"/>
      <c r="AV64" s="314"/>
      <c r="AW64" s="314"/>
      <c r="AX64" s="314"/>
      <c r="AY64" s="314"/>
      <c r="AZ64" s="314"/>
      <c r="BA64" s="314"/>
      <c r="BB64" s="314"/>
      <c r="BC64" s="314"/>
      <c r="BD64" s="314"/>
      <c r="BE64" s="314"/>
      <c r="BF64" s="314"/>
      <c r="BG64" s="314"/>
      <c r="BH64" s="314"/>
      <c r="BI64" s="314"/>
      <c r="BJ64" s="314"/>
      <c r="BK64" s="314"/>
      <c r="BL64" s="314"/>
      <c r="BM64" s="314"/>
      <c r="BN64" s="314"/>
      <c r="BO64" s="314"/>
      <c r="BP64" s="314"/>
      <c r="BQ64" s="314"/>
      <c r="BR64" s="314"/>
      <c r="BS64" s="314"/>
      <c r="BT64" s="314"/>
      <c r="BU64" s="314"/>
      <c r="BV64" s="314"/>
      <c r="BW64" s="314"/>
      <c r="BX64" s="314"/>
      <c r="BY64" s="314"/>
      <c r="BZ64" s="314"/>
      <c r="CA64" s="314"/>
      <c r="CB64" s="314"/>
      <c r="CC64" s="314"/>
      <c r="CD64" s="314"/>
      <c r="CE64" s="314"/>
      <c r="CF64" s="314"/>
      <c r="CG64" s="314"/>
      <c r="CH64" s="314"/>
      <c r="CI64" s="314"/>
      <c r="CJ64" s="314"/>
      <c r="CK64" s="314"/>
      <c r="CL64" s="314"/>
      <c r="CM64" s="314"/>
      <c r="CN64" s="314"/>
      <c r="CO64" s="314"/>
      <c r="CP64" s="314"/>
      <c r="CQ64" s="314"/>
    </row>
    <row r="65" spans="1:95" ht="12.75" customHeight="1" thickBot="1" x14ac:dyDescent="0.3">
      <c r="A65" s="307"/>
      <c r="B65" s="68"/>
      <c r="C65" s="68"/>
      <c r="D65" s="68"/>
      <c r="E65" s="68"/>
      <c r="F65" s="338" t="str">
        <f>Translations!$B$127</f>
        <v>Tier</v>
      </c>
      <c r="G65" s="1254" t="str">
        <f>Translations!$B$393</f>
        <v>tier description</v>
      </c>
      <c r="H65" s="1254"/>
      <c r="I65" s="1255" t="str">
        <f>Translations!$B$394</f>
        <v>Unit</v>
      </c>
      <c r="J65" s="1255"/>
      <c r="K65" s="1255" t="str">
        <f>Translations!$B$395</f>
        <v>Value</v>
      </c>
      <c r="L65" s="1255"/>
      <c r="M65" s="205" t="str">
        <f>Translations!$B$396</f>
        <v>error</v>
      </c>
      <c r="N65" s="76"/>
      <c r="O65" s="160"/>
      <c r="P65" s="339"/>
      <c r="Q65" s="325" t="str">
        <f>EUconst_SumEnergyIN</f>
        <v>SUM_EnergyIN</v>
      </c>
      <c r="R65" s="340" t="str">
        <f>IF(E61="","",BG74)</f>
        <v/>
      </c>
      <c r="S65" s="314"/>
      <c r="T65" s="314"/>
      <c r="U65" s="314"/>
      <c r="V65" s="341" t="s">
        <v>130</v>
      </c>
      <c r="W65" s="314"/>
      <c r="X65" s="314"/>
      <c r="Y65" s="312" t="s">
        <v>131</v>
      </c>
      <c r="Z65" s="312" t="s">
        <v>132</v>
      </c>
      <c r="AA65" s="314"/>
      <c r="AB65" s="314"/>
      <c r="AC65" s="336" t="s">
        <v>133</v>
      </c>
      <c r="AD65" s="314"/>
      <c r="AE65" s="314"/>
      <c r="AF65" s="314" t="s">
        <v>134</v>
      </c>
      <c r="AG65" s="314" t="s">
        <v>135</v>
      </c>
      <c r="AH65" s="312" t="s">
        <v>136</v>
      </c>
      <c r="AI65" s="335" t="s">
        <v>137</v>
      </c>
      <c r="AJ65" s="335" t="s">
        <v>138</v>
      </c>
      <c r="AK65" s="342" t="s">
        <v>139</v>
      </c>
      <c r="AL65" s="326"/>
      <c r="AM65" s="326"/>
      <c r="AN65" s="326"/>
      <c r="AO65" s="326"/>
      <c r="AP65" s="326"/>
      <c r="AQ65" s="314"/>
      <c r="AR65" s="314" t="s">
        <v>134</v>
      </c>
      <c r="AS65" s="314" t="s">
        <v>135</v>
      </c>
      <c r="AT65" s="343" t="s">
        <v>140</v>
      </c>
      <c r="AU65" s="335" t="s">
        <v>141</v>
      </c>
      <c r="AV65" s="335" t="s">
        <v>142</v>
      </c>
      <c r="AW65" s="342" t="s">
        <v>139</v>
      </c>
      <c r="AX65" s="342" t="s">
        <v>139</v>
      </c>
      <c r="AY65" s="314"/>
      <c r="AZ65" s="314"/>
      <c r="BA65" s="314"/>
      <c r="BB65" s="314" t="s">
        <v>143</v>
      </c>
      <c r="BC65" s="314"/>
      <c r="BD65" s="314"/>
      <c r="BE65" s="314"/>
      <c r="BF65" s="314"/>
      <c r="BG65" s="319" t="s">
        <v>144</v>
      </c>
      <c r="BH65" s="314" t="s">
        <v>145</v>
      </c>
      <c r="BI65" s="314"/>
      <c r="BJ65" s="314"/>
      <c r="BK65" s="314"/>
      <c r="BL65" s="314"/>
      <c r="BM65" s="314"/>
      <c r="BN65" s="314"/>
      <c r="BO65" s="314"/>
      <c r="BP65" s="314"/>
      <c r="BQ65" s="314"/>
      <c r="BR65" s="314"/>
      <c r="BS65" s="314"/>
      <c r="BT65" s="314"/>
      <c r="BU65" s="314"/>
      <c r="BV65" s="314"/>
      <c r="BW65" s="314"/>
      <c r="BX65" s="314"/>
      <c r="BY65" s="314"/>
      <c r="BZ65" s="314"/>
      <c r="CA65" s="314"/>
      <c r="CB65" s="314"/>
      <c r="CC65" s="314"/>
      <c r="CD65" s="314"/>
      <c r="CE65" s="314"/>
      <c r="CF65" s="314"/>
      <c r="CG65" s="314"/>
      <c r="CH65" s="314"/>
      <c r="CI65" s="314"/>
      <c r="CJ65" s="314"/>
      <c r="CK65" s="314"/>
      <c r="CL65" s="314"/>
      <c r="CM65" s="314"/>
      <c r="CN65" s="314"/>
      <c r="CO65" s="314"/>
      <c r="CP65" s="314"/>
      <c r="CQ65" s="319" t="s">
        <v>107</v>
      </c>
    </row>
    <row r="66" spans="1:95" ht="12.75" customHeight="1" thickBot="1" x14ac:dyDescent="0.3">
      <c r="A66" s="307"/>
      <c r="B66" s="68"/>
      <c r="C66" s="199" t="s">
        <v>12</v>
      </c>
      <c r="D66" s="344" t="str">
        <f>Translations!$B$356</f>
        <v>RFA:</v>
      </c>
      <c r="E66" s="345"/>
      <c r="F66" s="6"/>
      <c r="G66" s="1256" t="str">
        <f>IF(OR(ISBLANK(F66),F66=EUconst_NoTier),"",IF(Z66=0,EUconst_NA,IF(ISERROR(Z66),"",Z66)))</f>
        <v/>
      </c>
      <c r="H66" s="1257"/>
      <c r="I66" s="346" t="str">
        <f>IF(J66&lt;&gt;"","",AI66)</f>
        <v/>
      </c>
      <c r="J66" s="7"/>
      <c r="K66" s="1258"/>
      <c r="L66" s="1259"/>
      <c r="M66" s="347" t="str">
        <f>IF(AND(E61&lt;&gt;"",OR(F66="",COUNT(K66)=0),Y66&lt;&gt;EUconst_NA),EUconst_ERR_Incomplete,"")</f>
        <v/>
      </c>
      <c r="N66" s="76"/>
      <c r="O66" s="160"/>
      <c r="P66" s="348"/>
      <c r="Q66" s="325" t="str">
        <f>EUconst_SumBioEnergyIN</f>
        <v>SUM_BioEnergyIN</v>
      </c>
      <c r="R66" s="340" t="str">
        <f>IF(E61="","",BG75)</f>
        <v/>
      </c>
      <c r="S66" s="314"/>
      <c r="T66" s="349" t="str">
        <f>EUconst_CNTR_ActivityData&amp;E61</f>
        <v>ActivityData_</v>
      </c>
      <c r="U66" s="312"/>
      <c r="V66" s="349" t="str">
        <f>IF(E60="","",INDEX(B_IdentifyFuelStreams!$I$67:$I$116,MATCH(U59,B_IdentifyFuelStreams!$D$67:$D$116,0)))</f>
        <v/>
      </c>
      <c r="W66" s="335" t="s">
        <v>146</v>
      </c>
      <c r="X66" s="312"/>
      <c r="Y66" s="350" t="str">
        <f>IF(E61="","",INDEX(EUwideConstants!$P$164:$P$200,MATCH(T66,EUwideConstants!$S$164:$S$200,0)))</f>
        <v/>
      </c>
      <c r="Z66" s="351" t="str">
        <f>IF(ISBLANK(F66),"",IF(F66=EUconst_NA,"",INDEX(EUwideConstants!$H:$O,MATCH(T66,EUwideConstants!$S:$S,0),MATCH(F66,CNTR_TierList,0))))</f>
        <v/>
      </c>
      <c r="AA66" s="352" t="s">
        <v>136</v>
      </c>
      <c r="AB66" s="335"/>
      <c r="AC66" s="331" t="b">
        <f>E60&lt;&gt;""</f>
        <v>0</v>
      </c>
      <c r="AD66" s="314"/>
      <c r="AE66" s="353" t="str">
        <f>EUconst_CNTR_ActivityData&amp;EUconst_Unit</f>
        <v>ActivityData_Unit</v>
      </c>
      <c r="AF66" s="354" t="str">
        <f>IF(AC66=TRUE, IF(COUNTIF(MSPara_SourceStreamCategory,V66)=0,"",INDEX(MSPara_CalcFactorsMatrix,MATCH(V66,MSPara_SourceStreamCategory,0),MATCH(AE66&amp;"_"&amp;2,MSPara_CalcFactors,0))),"")</f>
        <v/>
      </c>
      <c r="AG66" s="355" t="str">
        <f>IF(AC66=TRUE, IF(COUNTIF(MSPara_SourceStreamCategory,V66)=0,"",INDEX(MSPara_CalcFactorsMatrix,MATCH(V66,MSPara_SourceStreamCategory,0),MATCH(AE66&amp;"_"&amp;1,MSPara_CalcFactors,0))),"")</f>
        <v/>
      </c>
      <c r="AH66" s="331" t="str">
        <f>IF(OR(AF66="",AF66=EUconst_NA),IF(OR(AG66=EUconst_NA,AG66=""),"",AG66),AF66)</f>
        <v/>
      </c>
      <c r="AI66" s="350" t="str">
        <f>IF(AC66=TRUE,IF(AH66="",EUconst_t,AH66),"")</f>
        <v/>
      </c>
      <c r="AJ66" s="356" t="str">
        <f>IF(J66="",AI66,J66)</f>
        <v/>
      </c>
      <c r="AK66" s="357" t="b">
        <f>AND(E60&lt;&gt;"",J66&lt;&gt;"")</f>
        <v>0</v>
      </c>
      <c r="AL66" s="326"/>
      <c r="AM66" s="358" t="s">
        <v>147</v>
      </c>
      <c r="AN66" s="359" t="str">
        <f>AJ66</f>
        <v/>
      </c>
      <c r="AO66" s="326"/>
      <c r="AP66" s="326"/>
      <c r="AQ66" s="349" t="str">
        <f>EUconst_CNTR_ActivityData&amp;EUconst_Value</f>
        <v>ActivityData_Value</v>
      </c>
      <c r="AR66" s="336"/>
      <c r="AS66" s="336"/>
      <c r="AT66" s="331" t="b">
        <f>AND(AND(AH66&lt;&gt;"",AJ66&lt;&gt;""),AJ66=AH66)</f>
        <v>0</v>
      </c>
      <c r="AU66" s="314"/>
      <c r="AV66" s="331">
        <f>IF(Y66=EUconst_NA,0,IF(COUNT(K66:K66)=0,0,IF(K66="",#REF!,K66)))</f>
        <v>0</v>
      </c>
      <c r="AW66" s="360" t="b">
        <f>AND(AC66=TRUE,OR(K66&lt;&gt;"",AU66=""))</f>
        <v>0</v>
      </c>
      <c r="AX66" s="360" t="b">
        <f>AND(AC66=TRUE,NOT(AW66))</f>
        <v>0</v>
      </c>
      <c r="AY66" s="314"/>
      <c r="AZ66" s="314" t="s">
        <v>148</v>
      </c>
      <c r="BA66" s="314" t="s">
        <v>149</v>
      </c>
      <c r="BB66" s="360"/>
      <c r="BC66" s="314" t="s">
        <v>150</v>
      </c>
      <c r="BD66" s="314"/>
      <c r="BE66" s="314"/>
      <c r="BF66" s="361" t="s">
        <v>119</v>
      </c>
      <c r="BG66" s="362" t="str">
        <f>IF(COUNTIF(AO69:AO70,TRUE)=0,"",BH66*AV77)</f>
        <v/>
      </c>
      <c r="BH66" s="362" t="str">
        <f>IF(COUNTIF(AO69:AO70,TRUE)=0,"",AV66*IF(AO69,1,AV68*AN70)*AV69-BH68-BH70-BH72)</f>
        <v/>
      </c>
      <c r="BI66" s="314"/>
      <c r="BJ66" s="314"/>
      <c r="BK66" s="314"/>
      <c r="BL66" s="314"/>
      <c r="BM66" s="314"/>
      <c r="BN66" s="314"/>
      <c r="BO66" s="314"/>
      <c r="BP66" s="314"/>
      <c r="BQ66" s="314"/>
      <c r="BR66" s="314"/>
      <c r="BS66" s="314"/>
      <c r="BT66" s="314"/>
      <c r="BU66" s="314"/>
      <c r="BV66" s="314"/>
      <c r="BW66" s="314"/>
      <c r="BX66" s="314"/>
      <c r="BY66" s="314"/>
      <c r="BZ66" s="314"/>
      <c r="CA66" s="314"/>
      <c r="CB66" s="314"/>
      <c r="CC66" s="314"/>
      <c r="CD66" s="314"/>
      <c r="CE66" s="314"/>
      <c r="CF66" s="314"/>
      <c r="CG66" s="314"/>
      <c r="CH66" s="314"/>
      <c r="CI66" s="314"/>
      <c r="CJ66" s="314"/>
      <c r="CK66" s="314"/>
      <c r="CL66" s="314"/>
      <c r="CM66" s="314"/>
      <c r="CN66" s="314"/>
      <c r="CO66" s="314"/>
      <c r="CP66" s="314"/>
      <c r="CQ66" s="360" t="b">
        <v>0</v>
      </c>
    </row>
    <row r="67" spans="1:95" ht="5.15" customHeight="1" thickBot="1" x14ac:dyDescent="0.3">
      <c r="A67" s="307"/>
      <c r="B67" s="68"/>
      <c r="C67" s="199"/>
      <c r="D67" s="202"/>
      <c r="E67" s="76"/>
      <c r="F67" s="76"/>
      <c r="G67" s="76"/>
      <c r="H67" s="76" t="str">
        <f>Translations!$B$397</f>
        <v xml:space="preserve"> </v>
      </c>
      <c r="I67" s="162"/>
      <c r="J67" s="162"/>
      <c r="K67" s="76"/>
      <c r="L67" s="76"/>
      <c r="M67" s="363"/>
      <c r="N67" s="76"/>
      <c r="O67" s="160"/>
      <c r="P67" s="109"/>
      <c r="Q67" s="312"/>
      <c r="R67" s="312"/>
      <c r="S67" s="314"/>
      <c r="T67" s="62"/>
      <c r="U67" s="312"/>
      <c r="V67" s="314"/>
      <c r="W67" s="314"/>
      <c r="X67" s="312"/>
      <c r="Y67" s="319"/>
      <c r="Z67" s="314"/>
      <c r="AA67" s="314"/>
      <c r="AB67" s="314"/>
      <c r="AC67" s="314"/>
      <c r="AD67" s="314"/>
      <c r="AE67" s="314"/>
      <c r="AF67" s="314"/>
      <c r="AG67" s="314"/>
      <c r="AH67" s="314"/>
      <c r="AI67" s="314"/>
      <c r="AJ67" s="314"/>
      <c r="AK67" s="314"/>
      <c r="AL67" s="326"/>
      <c r="AM67" s="326"/>
      <c r="AN67" s="326"/>
      <c r="AO67" s="326"/>
      <c r="AP67" s="326"/>
      <c r="AQ67" s="314"/>
      <c r="AR67" s="314"/>
      <c r="AS67" s="314"/>
      <c r="AT67" s="314"/>
      <c r="AU67" s="314"/>
      <c r="AV67" s="314"/>
      <c r="AW67" s="314"/>
      <c r="AX67" s="314"/>
      <c r="AY67" s="314"/>
      <c r="AZ67" s="314"/>
      <c r="BA67" s="314"/>
      <c r="BB67" s="314"/>
      <c r="BC67" s="314"/>
      <c r="BD67" s="314"/>
      <c r="BE67" s="314"/>
      <c r="BF67" s="314"/>
      <c r="BG67" s="364"/>
      <c r="BH67" s="364"/>
      <c r="BI67" s="314"/>
      <c r="BJ67" s="314"/>
      <c r="BK67" s="314"/>
      <c r="BL67" s="314"/>
      <c r="BM67" s="314"/>
      <c r="BN67" s="314"/>
      <c r="BO67" s="314"/>
      <c r="BP67" s="314"/>
      <c r="BQ67" s="314"/>
      <c r="BR67" s="314"/>
      <c r="BS67" s="314"/>
      <c r="BT67" s="314"/>
      <c r="BU67" s="314"/>
      <c r="BV67" s="314"/>
      <c r="BW67" s="314"/>
      <c r="BX67" s="314"/>
      <c r="BY67" s="314"/>
      <c r="BZ67" s="314"/>
      <c r="CA67" s="314"/>
      <c r="CB67" s="314"/>
      <c r="CC67" s="314"/>
      <c r="CD67" s="314"/>
      <c r="CE67" s="314"/>
      <c r="CF67" s="314"/>
      <c r="CG67" s="314"/>
      <c r="CH67" s="314"/>
      <c r="CI67" s="314"/>
      <c r="CJ67" s="314"/>
      <c r="CK67" s="314"/>
      <c r="CL67" s="314"/>
      <c r="CM67" s="314"/>
      <c r="CN67" s="314"/>
      <c r="CO67" s="314"/>
      <c r="CP67" s="314"/>
      <c r="CQ67" s="319"/>
    </row>
    <row r="68" spans="1:95" ht="12.75" customHeight="1" x14ac:dyDescent="0.25">
      <c r="A68" s="307"/>
      <c r="B68" s="68"/>
      <c r="C68" s="199" t="s">
        <v>13</v>
      </c>
      <c r="D68" s="344" t="str">
        <f>Translations!$B$360</f>
        <v>UCF:</v>
      </c>
      <c r="E68" s="345"/>
      <c r="F68" s="10"/>
      <c r="G68" s="1256" t="str">
        <f>IF(OR(ISBLANK(F68),F68=EUconst_NoTier),"",IF(Z68=0,EUconst_NotApplicable,IF(ISERROR(Z68),"",Z68)))</f>
        <v/>
      </c>
      <c r="H68" s="1257"/>
      <c r="I68" s="365" t="str">
        <f>IF(J68&lt;&gt;"","",AI68)</f>
        <v/>
      </c>
      <c r="J68" s="11"/>
      <c r="K68" s="366" t="str">
        <f>IF(L68="",AU68,"")</f>
        <v/>
      </c>
      <c r="L68" s="23" t="str">
        <f>'F.a.Tool_Blending'!Q86</f>
        <v/>
      </c>
      <c r="M68" s="347" t="str">
        <f>IF(AND(E61&lt;&gt;"",OR(F68="",COUNT(K68:L68)=0),Y68&lt;&gt;EUconst_NA),EUconst_ERR_Incomplete,IF(COUNTIF(BB68:BD68,TRUE)&gt;0,EUconst_ERR_Inconsistent,""))</f>
        <v/>
      </c>
      <c r="N68" s="367"/>
      <c r="O68" s="160"/>
      <c r="P68" s="109"/>
      <c r="Q68" s="312"/>
      <c r="R68" s="312"/>
      <c r="S68" s="314"/>
      <c r="T68" s="368" t="str">
        <f>EUconst_CNTR_UCF&amp;E61</f>
        <v>UCF_</v>
      </c>
      <c r="U68" s="312"/>
      <c r="V68" s="369" t="str">
        <f>V69</f>
        <v/>
      </c>
      <c r="W68" s="314"/>
      <c r="X68" s="312"/>
      <c r="Y68" s="370" t="str">
        <f>IF(E61="","",IF(OR(F68=EUconst_NA,W68=TRUE),EUconst_NA,INDEX(EUwideConstants!$P$164:$P$200,MATCH(T68,EUwideConstants!$S$164:$S$200,0))))</f>
        <v/>
      </c>
      <c r="Z68" s="371" t="str">
        <f>IF(ISBLANK(F68),"",IF(F68=EUconst_NA,"",INDEX(EUwideConstants!$H:$O,MATCH(T68,EUwideConstants!$S:$S,0),MATCH(F68,CNTR_TierList,0))))</f>
        <v/>
      </c>
      <c r="AA68" s="372" t="str">
        <f>IF(COUNTIF(EUconst_DefaultValues,Z68)&gt;0,MATCH(Z68,EUconst_DefaultValues,0),"")</f>
        <v/>
      </c>
      <c r="AB68" s="314"/>
      <c r="AC68" s="373" t="b">
        <f>AND(AC66,Y68&lt;&gt;EUconst_NA)</f>
        <v>0</v>
      </c>
      <c r="AD68" s="314"/>
      <c r="AE68" s="353" t="str">
        <f>EUconst_CNTR_UCF&amp;EUconst_Unit</f>
        <v>UCF_Unit</v>
      </c>
      <c r="AF68" s="374" t="str">
        <f>IF(AC68=TRUE, IF(COUNTIF(MSPara_SourceStreamCategory,V68)=0,"",INDEX(MSPara_CalcFactorsMatrix,MATCH(V68,MSPara_SourceStreamCategory,0),MATCH(AE68&amp;"_"&amp;2,MSPara_CalcFactors,0))),"")</f>
        <v/>
      </c>
      <c r="AG68" s="375" t="str">
        <f>IF(AC68=TRUE, IF(COUNTIF(MSPara_SourceStreamCategory,V68)=0,"",INDEX(MSPara_CalcFactorsMatrix,MATCH(V68,MSPara_SourceStreamCategory,0),MATCH(AE68&amp;"_"&amp;1,MSPara_CalcFactors,0))),"")</f>
        <v/>
      </c>
      <c r="AH68" s="373" t="str">
        <f>IF(AA68="","",INDEX(AF68:AG68,3-AA68))</f>
        <v/>
      </c>
      <c r="AI68" s="373" t="str">
        <f>IF(AC68=TRUE,IF(OR(AH68="",AH68=EUconst_NA),EUconst_GJ&amp;"/"&amp;AJ66,AH68),"")</f>
        <v/>
      </c>
      <c r="AJ68" s="373" t="str">
        <f>IF(J68="",AI68,J68)</f>
        <v/>
      </c>
      <c r="AK68" s="369" t="b">
        <f>AND(E60&lt;&gt;"",J68&lt;&gt;"")</f>
        <v>0</v>
      </c>
      <c r="AL68" s="326"/>
      <c r="AM68" s="358" t="s">
        <v>151</v>
      </c>
      <c r="AN68" s="359" t="str">
        <f>IF(AJ68="",EUconst_NA,IF(AN66=EUconst_TJ,EUconst_TJ,INDEX(EUwideConstants!$C$135:$G$139,MATCH(AN66,RFAUnits,0),MATCH(AJ68,UCFUnits,0))))</f>
        <v>n.a.</v>
      </c>
      <c r="AO68" s="326"/>
      <c r="AP68" s="326"/>
      <c r="AQ68" s="376" t="str">
        <f>EUconst_CNTR_UCF&amp;EUconst_Value</f>
        <v>UCF_Value</v>
      </c>
      <c r="AR68" s="377" t="str">
        <f>IF(AC68=TRUE,IF(COUNTIF(MSPara_SourceStreamCategory,V68)=0,"",INDEX(MSPara_CalcFactorsMatrix,MATCH(V68,MSPara_SourceStreamCategory,0),MATCH(AQ68&amp;"_"&amp;2,MSPara_CalcFactors,0))),"")</f>
        <v/>
      </c>
      <c r="AS68" s="378" t="str">
        <f>IF(AC68=TRUE,IF(COUNTIF(MSPara_SourceStreamCategory,V68)=0,"",INDEX(MSPara_CalcFactorsMatrix,MATCH(V68,MSPara_SourceStreamCategory,0),MATCH(AQ68&amp;"_"&amp;1,MSPara_CalcFactors,0))),"")</f>
        <v/>
      </c>
      <c r="AT68" s="379" t="b">
        <f>AND(AND(AH68&lt;&gt;"",AJ68&lt;&gt;""),AJ68=AH68)</f>
        <v>0</v>
      </c>
      <c r="AU68" s="380" t="str">
        <f>IF(AND(AA68&lt;&gt;"",AT68=TRUE),IF(OR(INDEX(AR68:AS68,3-AA68)=EUconst_NA,INDEX(AR68:AS68,3-AA68)=0),"",INDEX(AR68:AS68,3-AA68)),"")</f>
        <v/>
      </c>
      <c r="AV68" s="373">
        <f>IF(AC68=TRUE,IF(COUNT(K68:L68)=0,0,IF(L68="",K68,L68)),0)</f>
        <v>0</v>
      </c>
      <c r="AW68" s="369" t="b">
        <f t="shared" ref="AW68:AW75" si="0">AND(AC68=TRUE,OR(AND(F68&lt;&gt;"",NOT(ISNUMBER(AA68))),L68&lt;&gt;"",F68="",AU68=""))</f>
        <v>0</v>
      </c>
      <c r="AX68" s="381" t="b">
        <f t="shared" ref="AX68:AX75" si="1">AND(AC68=TRUE,NOT(AW68))</f>
        <v>0</v>
      </c>
      <c r="AY68" s="314"/>
      <c r="AZ68" s="382" t="b">
        <f t="shared" ref="AZ68:AZ75" si="2">AND(ISNUMBER(AA68),AU68="")</f>
        <v>0</v>
      </c>
      <c r="BA68" s="383" t="b">
        <f t="shared" ref="BA68:BA75" si="3">AND(ISNUMBER(AA68),AU68&lt;&gt;AV68)</f>
        <v>0</v>
      </c>
      <c r="BB68" s="369" t="b">
        <f>AND(E61&lt;&gt;"",F68&lt;&gt;EUconst_NA,AN68=EUconst_NA)</f>
        <v>0</v>
      </c>
      <c r="BC68" s="369" t="b">
        <f t="shared" ref="BC68:BC75" si="4">AND(L68&lt;&gt;"",Y68=EUconst_NA)</f>
        <v>0</v>
      </c>
      <c r="BD68" s="314"/>
      <c r="BE68" s="314"/>
      <c r="BF68" s="382" t="s">
        <v>152</v>
      </c>
      <c r="BG68" s="384" t="str">
        <f>IF(COUNTIF(AO69:AO70,TRUE)=0,"",BH68*AV77)</f>
        <v/>
      </c>
      <c r="BH68" s="384" t="str">
        <f>IF(COUNTIF(AO69:AO70,TRUE)=0,"",AV66*IF(AO69,1,AV68*AN70)*AV69*AV70)</f>
        <v/>
      </c>
      <c r="BI68" s="314"/>
      <c r="BJ68" s="314"/>
      <c r="BK68" s="314"/>
      <c r="BL68" s="314"/>
      <c r="BM68" s="314"/>
      <c r="BN68" s="314"/>
      <c r="BO68" s="314"/>
      <c r="BP68" s="314"/>
      <c r="BQ68" s="314"/>
      <c r="BR68" s="314"/>
      <c r="BS68" s="314"/>
      <c r="BT68" s="314"/>
      <c r="BU68" s="314"/>
      <c r="BV68" s="314"/>
      <c r="BW68" s="314"/>
      <c r="BX68" s="314"/>
      <c r="BY68" s="314"/>
      <c r="BZ68" s="314"/>
      <c r="CA68" s="314"/>
      <c r="CB68" s="314"/>
      <c r="CC68" s="314"/>
      <c r="CD68" s="314"/>
      <c r="CE68" s="314"/>
      <c r="CF68" s="314"/>
      <c r="CG68" s="314"/>
      <c r="CH68" s="314"/>
      <c r="CI68" s="314"/>
      <c r="CJ68" s="314"/>
      <c r="CK68" s="314"/>
      <c r="CL68" s="314"/>
      <c r="CM68" s="314"/>
      <c r="CN68" s="314"/>
      <c r="CO68" s="314"/>
      <c r="CP68" s="314"/>
      <c r="CQ68" s="369" t="b">
        <f>OR(CQ66,Y68=EUconst_NA)</f>
        <v>0</v>
      </c>
    </row>
    <row r="69" spans="1:95" ht="12.75" customHeight="1" thickBot="1" x14ac:dyDescent="0.3">
      <c r="A69" s="307"/>
      <c r="B69" s="68"/>
      <c r="C69" s="199" t="s">
        <v>14</v>
      </c>
      <c r="D69" s="344" t="str">
        <f>Translations!$B$358</f>
        <v>(prelim) EF:</v>
      </c>
      <c r="E69" s="345"/>
      <c r="F69" s="59"/>
      <c r="G69" s="1256" t="str">
        <f>IF(OR(ISBLANK(F69),F69=EUconst_NoTier),"",IF(Z69=0,EUconst_NotApplicable,IF(ISERROR(Z69),"",Z69)))</f>
        <v/>
      </c>
      <c r="H69" s="1260"/>
      <c r="I69" s="385" t="str">
        <f>IF(J69&lt;&gt;"","",AI69)</f>
        <v/>
      </c>
      <c r="J69" s="22"/>
      <c r="K69" s="386" t="str">
        <f>IF(L69="",AU69,"")</f>
        <v/>
      </c>
      <c r="L69" s="58" t="str">
        <f>'F.a.Tool_Blending'!Q87</f>
        <v/>
      </c>
      <c r="M69" s="347" t="str">
        <f>IF(AND(E61&lt;&gt;"",OR(F69="",COUNT(K69:L69)=0),Y69&lt;&gt;EUconst_NA),EUconst_ERR_Incomplete,IF(COUNTIF(BB69:BD69,TRUE)&gt;0,EUconst_ERR_Inconsistent,""))</f>
        <v/>
      </c>
      <c r="N69" s="387"/>
      <c r="O69" s="160"/>
      <c r="P69" s="109"/>
      <c r="Q69" s="312"/>
      <c r="R69" s="312"/>
      <c r="S69" s="314"/>
      <c r="T69" s="388" t="str">
        <f>EUconst_CNTR_EF&amp;E61</f>
        <v>EF_</v>
      </c>
      <c r="U69" s="312"/>
      <c r="V69" s="389" t="str">
        <f>V66</f>
        <v/>
      </c>
      <c r="W69" s="314"/>
      <c r="X69" s="312"/>
      <c r="Y69" s="390" t="str">
        <f>IF(E61="","",IF(OR(F69=EUconst_NA,W69=TRUE),EUconst_NA,INDEX(EUwideConstants!$P$164:$P$200,MATCH(T69,EUwideConstants!$S$164:$S$200,0))))</f>
        <v/>
      </c>
      <c r="Z69" s="391" t="str">
        <f>IF(ISBLANK(F69),"",IF(F69=EUconst_NA,"",INDEX(EUwideConstants!$H:$O,MATCH(T69,EUwideConstants!$S:$S,0),MATCH(F69,CNTR_TierList,0))))</f>
        <v/>
      </c>
      <c r="AA69" s="392" t="str">
        <f>IF(COUNTIF(EUconst_DefaultValues,Z69)&gt;0,MATCH(Z69,EUconst_DefaultValues,0),"")</f>
        <v/>
      </c>
      <c r="AB69" s="314"/>
      <c r="AC69" s="393" t="b">
        <f>AND(AC66,Y69&lt;&gt;EUconst_NA)</f>
        <v>0</v>
      </c>
      <c r="AD69" s="314"/>
      <c r="AE69" s="394" t="str">
        <f>EUconst_CNTR_EF&amp;EUconst_Unit</f>
        <v>EF_Unit</v>
      </c>
      <c r="AF69" s="395" t="str">
        <f>IF(AC69=TRUE, IF(COUNTIF(MSPara_SourceStreamCategory,V69)=0,"",INDEX(MSPara_CalcFactorsMatrix,MATCH(V69,MSPara_SourceStreamCategory,0),MATCH(AE69&amp;"_"&amp;2,MSPara_CalcFactors,0))),"")</f>
        <v/>
      </c>
      <c r="AG69" s="396" t="str">
        <f>IF(AC69=TRUE, IF(COUNTIF(MSPara_SourceStreamCategory,V69)=0,"",INDEX(MSPara_CalcFactorsMatrix,MATCH(V69,MSPara_SourceStreamCategory,0),MATCH(AE69&amp;"_"&amp;1,MSPara_CalcFactors,0))),"")</f>
        <v/>
      </c>
      <c r="AH69" s="397" t="str">
        <f>IF(AA69="","",INDEX(AF69:AG69,3-AA69))</f>
        <v/>
      </c>
      <c r="AI69" s="397" t="str">
        <f>IF(AC69=TRUE,IF(OR(AH69="",AH69=EUconst_NA),EUconst_tCO2&amp;"/"&amp;IF(AN68=EUconst_NA,AN66,IF(AN68=EUconst_GJ,EUconst_TJ,AN68)),AH69),"")</f>
        <v/>
      </c>
      <c r="AJ69" s="397" t="str">
        <f>IF(J69="",AI69,J69)</f>
        <v/>
      </c>
      <c r="AK69" s="398" t="b">
        <f>AND(E61&lt;&gt;"",J69&lt;&gt;"")</f>
        <v>0</v>
      </c>
      <c r="AL69" s="326"/>
      <c r="AM69" s="358" t="s">
        <v>153</v>
      </c>
      <c r="AN69" s="359" t="str">
        <f>IF(COUNTIF(RFAUnits,AN66)=0,EUconst_NA,INDEX(EUwideConstants!$C$150:$H$154,MATCH(AJ69,EFUnits,0),MATCH(AN66,EUwideConstants!$C$149:$H$149,0)))</f>
        <v>n.a.</v>
      </c>
      <c r="AO69" s="359" t="b">
        <f>AN69&lt;&gt;EUconst_NA</f>
        <v>0</v>
      </c>
      <c r="AP69" s="326"/>
      <c r="AQ69" s="399" t="str">
        <f>EUconst_CNTR_EF&amp;EUconst_Value</f>
        <v>EF_Value</v>
      </c>
      <c r="AR69" s="400" t="str">
        <f>IF(AC69=TRUE,IF(COUNTIF(MSPara_SourceStreamCategory,V69)=0,"",INDEX(MSPara_CalcFactorsMatrix,MATCH(V69,MSPara_SourceStreamCategory,0),MATCH(AQ69&amp;"_"&amp;2,MSPara_CalcFactors,0))),"")</f>
        <v/>
      </c>
      <c r="AS69" s="401" t="str">
        <f>IF(AC69=TRUE,IF(COUNTIF(MSPara_SourceStreamCategory,V69)=0,"",INDEX(MSPara_CalcFactorsMatrix,MATCH(V69,MSPara_SourceStreamCategory,0),MATCH(AQ69&amp;"_"&amp;1,MSPara_CalcFactors,0))),"")</f>
        <v/>
      </c>
      <c r="AT69" s="402" t="b">
        <f>AND(AND(AH69&lt;&gt;"",AJ69&lt;&gt;""),AJ69=AH69)</f>
        <v>0</v>
      </c>
      <c r="AU69" s="403" t="str">
        <f>IF(AND(AA69&lt;&gt;"",AT69=TRUE),IF(OR(INDEX(AR69:AS69,3-AA69)=EUconst_NA,INDEX(AR69:AS69,3-AA69)=0),"",INDEX(AR69:AS69,3-AA69)),"")</f>
        <v/>
      </c>
      <c r="AV69" s="393">
        <f>IF(AC69=TRUE,IF(COUNT(K69:L69)=0,0,IF(L69="",K69,L69)),0)</f>
        <v>0</v>
      </c>
      <c r="AW69" s="389" t="b">
        <f t="shared" si="0"/>
        <v>0</v>
      </c>
      <c r="AX69" s="404" t="b">
        <f t="shared" si="1"/>
        <v>0</v>
      </c>
      <c r="AY69" s="314"/>
      <c r="AZ69" s="405" t="b">
        <f t="shared" si="2"/>
        <v>0</v>
      </c>
      <c r="BA69" s="406" t="b">
        <f t="shared" si="3"/>
        <v>0</v>
      </c>
      <c r="BB69" s="407" t="b">
        <f>AND(E61&lt;&gt;"",COUNTIF(AO69:AO70,TRUE)=0)</f>
        <v>0</v>
      </c>
      <c r="BC69" s="389" t="b">
        <f t="shared" si="4"/>
        <v>0</v>
      </c>
      <c r="BD69" s="314"/>
      <c r="BE69" s="314"/>
      <c r="BF69" s="408" t="s">
        <v>154</v>
      </c>
      <c r="BG69" s="409" t="str">
        <f>IF(COUNTIF(AO69:AO70,TRUE)=0,"",BH69*AV77)</f>
        <v/>
      </c>
      <c r="BH69" s="409" t="str">
        <f>IF(COUNTIF(AO69:AO70,TRUE)=0,"",AV66*IF(AO69,1,AV68*AN70)*AV69*AV71)</f>
        <v/>
      </c>
      <c r="BI69" s="314"/>
      <c r="BJ69" s="314"/>
      <c r="BK69" s="314"/>
      <c r="BL69" s="314"/>
      <c r="BM69" s="314"/>
      <c r="BN69" s="314"/>
      <c r="BO69" s="314"/>
      <c r="BP69" s="314"/>
      <c r="BQ69" s="314"/>
      <c r="BR69" s="314"/>
      <c r="BS69" s="314"/>
      <c r="BT69" s="314"/>
      <c r="BU69" s="314"/>
      <c r="BV69" s="314"/>
      <c r="BW69" s="314"/>
      <c r="BX69" s="314"/>
      <c r="BY69" s="314"/>
      <c r="BZ69" s="314"/>
      <c r="CA69" s="314"/>
      <c r="CB69" s="314"/>
      <c r="CC69" s="314"/>
      <c r="CD69" s="314"/>
      <c r="CE69" s="314"/>
      <c r="CF69" s="314"/>
      <c r="CG69" s="314"/>
      <c r="CH69" s="314"/>
      <c r="CI69" s="314"/>
      <c r="CJ69" s="314"/>
      <c r="CK69" s="314"/>
      <c r="CL69" s="314"/>
      <c r="CM69" s="314"/>
      <c r="CN69" s="314"/>
      <c r="CO69" s="314"/>
      <c r="CP69" s="314"/>
      <c r="CQ69" s="407" t="b">
        <f>OR(CQ66,Y69=EUconst_NA)</f>
        <v>0</v>
      </c>
    </row>
    <row r="70" spans="1:95" ht="12.75" customHeight="1" x14ac:dyDescent="0.25">
      <c r="A70" s="307"/>
      <c r="B70" s="68"/>
      <c r="C70" s="199" t="s">
        <v>15</v>
      </c>
      <c r="D70" s="344" t="str">
        <f>Translations!$B$362</f>
        <v>BioF:</v>
      </c>
      <c r="E70" s="345"/>
      <c r="F70" s="10"/>
      <c r="G70" s="1256" t="str">
        <f>IF(OR(ISBLANK(F70),F70=EUconst_NoTier),"",IF(Z70=0,EUconst_NotApplicable,IF(ISERROR(Z70),"",Z70)))</f>
        <v/>
      </c>
      <c r="H70" s="1257"/>
      <c r="I70" s="410" t="str">
        <f t="shared" ref="I70:I75" si="5">IF(OR(AC70=FALSE,Y70=EUconst_NA),"","-")</f>
        <v/>
      </c>
      <c r="J70" s="411"/>
      <c r="K70" s="412" t="str">
        <f>IF(L70="",AU70,"")</f>
        <v/>
      </c>
      <c r="L70" s="60" t="str">
        <f>'F.a.Tool_Blending'!Q88</f>
        <v/>
      </c>
      <c r="M70" s="347" t="str">
        <f>IF(AND(E61&lt;&gt;"",OR(F70="",COUNT(K70:L70)=0),Y70&lt;&gt;EUconst_NA),EUconst_ERR_Incomplete,IF(COUNTIF(BB70:BD70,TRUE)&gt;0,EUconst_ERR_Inconsistent,""))</f>
        <v/>
      </c>
      <c r="O70" s="160"/>
      <c r="P70" s="348"/>
      <c r="Q70" s="413"/>
      <c r="R70" s="413"/>
      <c r="S70" s="314"/>
      <c r="T70" s="388" t="str">
        <f>EUconst_CNTR_BiomassContent&amp;E61</f>
        <v>BioC_</v>
      </c>
      <c r="U70" s="312"/>
      <c r="V70" s="369" t="str">
        <f>V68</f>
        <v/>
      </c>
      <c r="W70" s="369" t="str">
        <f>IF(OR(V70="",COUNTIF(MSPara_SourceStreamCategory,V70)=0),"",INDEX(MSPara_IsFossil,MATCH(V70,MSPara_SourceStreamCategory,0)))</f>
        <v/>
      </c>
      <c r="X70" s="312"/>
      <c r="Y70" s="370" t="str">
        <f>IF(E61="","",IF(OR(F70=EUconst_NA,W70=TRUE),EUconst_NA,INDEX(EUwideConstants!$P$164:$P$200,MATCH(T70,EUwideConstants!$S$164:$S$200,0))))</f>
        <v/>
      </c>
      <c r="Z70" s="371" t="str">
        <f>IF(ISBLANK(F70),"",IF(F70=EUconst_NA,"",INDEX(EUwideConstants!$H:$O,MATCH(T70,EUwideConstants!$S:$S,0),MATCH(F70,CNTR_TierList,0))))</f>
        <v/>
      </c>
      <c r="AA70" s="414" t="str">
        <f>IF(F70=1,1,"")</f>
        <v/>
      </c>
      <c r="AB70" s="314"/>
      <c r="AC70" s="373" t="b">
        <f>AND(AC66,Y70&lt;&gt;EUconst_NA)</f>
        <v>0</v>
      </c>
      <c r="AD70" s="314"/>
      <c r="AE70" s="415"/>
      <c r="AF70" s="416"/>
      <c r="AG70" s="417"/>
      <c r="AH70" s="418"/>
      <c r="AI70" s="418"/>
      <c r="AJ70" s="418"/>
      <c r="AK70" s="419"/>
      <c r="AL70" s="326"/>
      <c r="AM70" s="358" t="s">
        <v>155</v>
      </c>
      <c r="AN70" s="359" t="str">
        <f>IF(AN68=EUconst_NA,EUconst_NA,INDEX(EUwideConstants!$C$150:$H$154,MATCH(AJ69,EFUnits,0),MATCH(AN68,EUwideConstants!$C$149:$H$149,0)))</f>
        <v>n.a.</v>
      </c>
      <c r="AO70" s="359" t="b">
        <f>AN70&lt;&gt;EUconst_NA</f>
        <v>0</v>
      </c>
      <c r="AP70" s="326"/>
      <c r="AQ70" s="376" t="str">
        <f>EUconst_CNTR_BiomassContent&amp;EUconst_Value</f>
        <v>BioC_Value</v>
      </c>
      <c r="AR70" s="420"/>
      <c r="AS70" s="378" t="str">
        <f t="shared" ref="AS70:AS75" si="6">IF(AC70=TRUE,IF(COUNTIF(MSPara_SourceStreamCategory,V70)=0,"",INDEX(MSPara_CalcFactorsMatrix,MATCH(V70,MSPara_SourceStreamCategory,0),MATCH(AQ70&amp;"_"&amp;2,MSPara_CalcFactors,0))),"")</f>
        <v/>
      </c>
      <c r="AT70" s="421"/>
      <c r="AU70" s="380" t="str">
        <f t="shared" ref="AU70:AU75" si="7">IF(OR(AA70="",AS70=EUconst_NA),"",AS70)</f>
        <v/>
      </c>
      <c r="AV70" s="373">
        <f>IF(AC70=TRUE,IF(COUNT(K70:L70)=0,0,IF(L70="",K70,L70)),0)</f>
        <v>0</v>
      </c>
      <c r="AW70" s="369" t="b">
        <f t="shared" si="0"/>
        <v>0</v>
      </c>
      <c r="AX70" s="381" t="b">
        <f t="shared" si="1"/>
        <v>0</v>
      </c>
      <c r="AY70" s="314"/>
      <c r="AZ70" s="382" t="b">
        <f t="shared" si="2"/>
        <v>0</v>
      </c>
      <c r="BA70" s="383" t="b">
        <f t="shared" si="3"/>
        <v>0</v>
      </c>
      <c r="BB70" s="314"/>
      <c r="BC70" s="369" t="b">
        <f t="shared" si="4"/>
        <v>0</v>
      </c>
      <c r="BD70" s="369" t="b">
        <f>OR(AV70&gt;100%,(AV70+AV71)&gt;100%)</f>
        <v>0</v>
      </c>
      <c r="BE70" s="314"/>
      <c r="BF70" s="382" t="s">
        <v>156</v>
      </c>
      <c r="BG70" s="384" t="str">
        <f>IF(COUNTIF(AO69:AO70,TRUE)=0,"",BH70*AV77)</f>
        <v/>
      </c>
      <c r="BH70" s="384" t="str">
        <f>IF(COUNTIF(AO69:AO70,TRUE)=0,"",AV66*IF(AO69,1,AV68*AN70)*AV69*AV72)</f>
        <v/>
      </c>
      <c r="BJ70" s="314"/>
      <c r="BK70" s="314"/>
      <c r="BL70" s="314"/>
      <c r="BM70" s="314"/>
      <c r="BN70" s="314"/>
      <c r="BO70" s="314"/>
      <c r="BP70" s="314"/>
      <c r="BQ70" s="314"/>
      <c r="BR70" s="314"/>
      <c r="BS70" s="314"/>
      <c r="BT70" s="314"/>
      <c r="BU70" s="314"/>
      <c r="BV70" s="314"/>
      <c r="BW70" s="314"/>
      <c r="BX70" s="314"/>
      <c r="BY70" s="314"/>
      <c r="BZ70" s="314"/>
      <c r="CA70" s="314"/>
      <c r="CB70" s="314"/>
      <c r="CC70" s="314"/>
      <c r="CD70" s="314"/>
      <c r="CE70" s="314"/>
      <c r="CF70" s="314"/>
      <c r="CG70" s="314"/>
      <c r="CH70" s="314"/>
      <c r="CI70" s="314"/>
      <c r="CJ70" s="314"/>
      <c r="CK70" s="314"/>
      <c r="CL70" s="314"/>
      <c r="CM70" s="314"/>
      <c r="CN70" s="314"/>
      <c r="CO70" s="314"/>
      <c r="CP70" s="314"/>
      <c r="CQ70" s="369" t="b">
        <f>OR(CQ66,Y70=EUconst_NA)</f>
        <v>0</v>
      </c>
    </row>
    <row r="71" spans="1:95" ht="12.75" customHeight="1" thickBot="1" x14ac:dyDescent="0.3">
      <c r="A71" s="307"/>
      <c r="B71" s="68"/>
      <c r="C71" s="199" t="s">
        <v>16</v>
      </c>
      <c r="D71" s="344" t="str">
        <f>Translations!$B$368</f>
        <v>non-sust. BioF:</v>
      </c>
      <c r="E71" s="345"/>
      <c r="F71" s="20"/>
      <c r="G71" s="1256" t="str">
        <f>IF(OR(ISBLANK(F71),F71=EUconst_NoTier),"",IF(Z71=0,EUconst_NotApplicable,IF(ISERROR(Z71),"",Z71)))</f>
        <v/>
      </c>
      <c r="H71" s="1257"/>
      <c r="I71" s="422" t="str">
        <f t="shared" si="5"/>
        <v/>
      </c>
      <c r="J71" s="423"/>
      <c r="K71" s="424" t="str">
        <f>IF(L71="",AU71,"")</f>
        <v/>
      </c>
      <c r="L71" s="21"/>
      <c r="M71" s="347" t="str">
        <f>IF(AND(E61&lt;&gt;"",OR(F71="",COUNT(K71:L71)=0),Y71&lt;&gt;EUconst_NA),EUconst_ERR_Incomplete,IF(COUNTIF(BB71:BD71,TRUE)&gt;0,EUconst_ERR_Inconsistent,""))</f>
        <v/>
      </c>
      <c r="N71" s="76"/>
      <c r="O71" s="160"/>
      <c r="P71" s="348"/>
      <c r="Q71" s="413"/>
      <c r="R71" s="413"/>
      <c r="S71" s="314"/>
      <c r="T71" s="425" t="str">
        <f>EUconst_CNTR_BiomassContent&amp;E61</f>
        <v>BioC_</v>
      </c>
      <c r="U71" s="312"/>
      <c r="V71" s="407" t="str">
        <f>V70</f>
        <v/>
      </c>
      <c r="W71" s="407" t="str">
        <f>IF(OR(V70="",COUNTIF(MSPara_SourceStreamCategory,V71)=0),"",INDEX(MSPara_IsFossil,MATCH(V71,MSPara_SourceStreamCategory,0)))</f>
        <v/>
      </c>
      <c r="X71" s="312"/>
      <c r="Y71" s="426" t="str">
        <f>IF(E61="","",IF(OR(F71=EUconst_NA,W71=TRUE),EUconst_NA,INDEX(EUwideConstants!$P$164:$P$200,MATCH(T71,EUwideConstants!$S$164:$S$200,0))))</f>
        <v/>
      </c>
      <c r="Z71" s="427" t="str">
        <f>IF(ISBLANK(F71),"",IF(F71=EUconst_NA,"",INDEX(EUwideConstants!$H:$O,MATCH(T71,EUwideConstants!$S:$S,0),MATCH(F71,CNTR_TierList,0))))</f>
        <v/>
      </c>
      <c r="AA71" s="428" t="str">
        <f>IF(F71=1,1,"")</f>
        <v/>
      </c>
      <c r="AB71" s="314"/>
      <c r="AC71" s="429" t="b">
        <f>AND(AC66,Y71&lt;&gt;EUconst_NA)</f>
        <v>0</v>
      </c>
      <c r="AD71" s="314"/>
      <c r="AE71" s="430"/>
      <c r="AF71" s="431"/>
      <c r="AG71" s="432"/>
      <c r="AH71" s="433"/>
      <c r="AI71" s="433"/>
      <c r="AJ71" s="433"/>
      <c r="AK71" s="434"/>
      <c r="AL71" s="326"/>
      <c r="AM71" s="326"/>
      <c r="AN71" s="326"/>
      <c r="AO71" s="326"/>
      <c r="AP71" s="326"/>
      <c r="AQ71" s="435" t="str">
        <f>EUconst_CNTR_BiomassContent&amp;EUconst_Value</f>
        <v>BioC_Value</v>
      </c>
      <c r="AR71" s="430"/>
      <c r="AS71" s="436" t="str">
        <f t="shared" si="6"/>
        <v/>
      </c>
      <c r="AT71" s="437"/>
      <c r="AU71" s="438" t="str">
        <f t="shared" si="7"/>
        <v/>
      </c>
      <c r="AV71" s="429">
        <f>IF(AC71=TRUE,IF(COUNT(K71:L71)=0,0,IF(L71="",K71,L71)),0)</f>
        <v>0</v>
      </c>
      <c r="AW71" s="407" t="b">
        <f t="shared" si="0"/>
        <v>0</v>
      </c>
      <c r="AX71" s="439" t="b">
        <f t="shared" si="1"/>
        <v>0</v>
      </c>
      <c r="AY71" s="314"/>
      <c r="AZ71" s="408" t="b">
        <f t="shared" si="2"/>
        <v>0</v>
      </c>
      <c r="BA71" s="440" t="b">
        <f t="shared" si="3"/>
        <v>0</v>
      </c>
      <c r="BB71" s="314"/>
      <c r="BC71" s="407" t="b">
        <f t="shared" si="4"/>
        <v>0</v>
      </c>
      <c r="BD71" s="407" t="b">
        <f>OR(AV70&gt;100%,(AV70+AV71)&gt;100%)</f>
        <v>0</v>
      </c>
      <c r="BE71" s="314"/>
      <c r="BF71" s="408" t="s">
        <v>157</v>
      </c>
      <c r="BG71" s="409" t="str">
        <f>IF(COUNTIF(AO69:AO70,TRUE)=0,"",BH71*AV77)</f>
        <v/>
      </c>
      <c r="BH71" s="409" t="str">
        <f>IF(COUNTIF(AO69:AO70,TRUE)=0,"",AV66*IF(AO69,1,AV68*AN70)*AV69*AV73)</f>
        <v/>
      </c>
      <c r="BJ71" s="314"/>
      <c r="BK71" s="314"/>
      <c r="BL71" s="314"/>
      <c r="BM71" s="314"/>
      <c r="BN71" s="314"/>
      <c r="BO71" s="314"/>
      <c r="BP71" s="314"/>
      <c r="BQ71" s="314"/>
      <c r="BR71" s="314"/>
      <c r="BS71" s="314"/>
      <c r="BT71" s="314"/>
      <c r="BU71" s="314"/>
      <c r="BV71" s="314"/>
      <c r="BW71" s="314"/>
      <c r="BX71" s="314"/>
      <c r="BY71" s="314"/>
      <c r="BZ71" s="314"/>
      <c r="CA71" s="314"/>
      <c r="CB71" s="314"/>
      <c r="CC71" s="314"/>
      <c r="CD71" s="314"/>
      <c r="CE71" s="314"/>
      <c r="CF71" s="314"/>
      <c r="CG71" s="314"/>
      <c r="CH71" s="314"/>
      <c r="CI71" s="314"/>
      <c r="CJ71" s="314"/>
      <c r="CK71" s="314"/>
      <c r="CL71" s="314"/>
      <c r="CM71" s="314"/>
      <c r="CN71" s="314"/>
      <c r="CO71" s="314"/>
      <c r="CP71" s="314"/>
      <c r="CQ71" s="407" t="b">
        <f>OR(CQ66,Y71=EUconst_NA)</f>
        <v>0</v>
      </c>
    </row>
    <row r="72" spans="1:95" ht="12.75" customHeight="1" thickBot="1" x14ac:dyDescent="0.3">
      <c r="A72" s="307"/>
      <c r="B72" s="68"/>
      <c r="C72" s="199" t="s">
        <v>17</v>
      </c>
      <c r="D72" s="344" t="str">
        <f>Translations!$B$610</f>
        <v>sust. RFNBO/RCF:</v>
      </c>
      <c r="E72" s="441"/>
      <c r="F72" s="19" t="s">
        <v>158</v>
      </c>
      <c r="G72" s="1261"/>
      <c r="H72" s="1262"/>
      <c r="I72" s="442" t="str">
        <f t="shared" si="5"/>
        <v/>
      </c>
      <c r="J72" s="411"/>
      <c r="K72" s="443"/>
      <c r="L72" s="55"/>
      <c r="M72" s="347" t="str">
        <f>IF(AND(E61&lt;&gt;"",OR(F72="",COUNT(L72)=0),Y72&lt;&gt;EUconst_NA),EUconst_ERR_Incomplete,"")</f>
        <v/>
      </c>
      <c r="N72" s="76"/>
      <c r="O72" s="160"/>
      <c r="P72" s="348"/>
      <c r="Q72" s="413"/>
      <c r="R72" s="413"/>
      <c r="S72" s="314"/>
      <c r="T72" s="388" t="str">
        <f>EUconst_CNTR_RFNBOetcContent&amp;E61</f>
        <v>RNFBOC_</v>
      </c>
      <c r="U72" s="312"/>
      <c r="V72" s="312"/>
      <c r="W72" s="312"/>
      <c r="X72" s="312"/>
      <c r="Y72" s="380" t="str">
        <f>IF(E61="","",IF(OR(F72=EUconst_NA,W72=TRUE),EUconst_NA,INDEX(EUwideConstants!$P$164:$P$200,MATCH(T72,EUwideConstants!$S$164:$S$200,0))))</f>
        <v/>
      </c>
      <c r="Z72" s="314"/>
      <c r="AA72" s="314"/>
      <c r="AB72" s="314"/>
      <c r="AC72" s="397" t="b">
        <f>AND(AC68,Y72&lt;&gt;EUconst_NA)</f>
        <v>0</v>
      </c>
      <c r="AD72" s="314"/>
      <c r="AE72" s="415"/>
      <c r="AF72" s="416"/>
      <c r="AG72" s="417"/>
      <c r="AH72" s="418"/>
      <c r="AI72" s="418"/>
      <c r="AJ72" s="418"/>
      <c r="AK72" s="419"/>
      <c r="AL72" s="326"/>
      <c r="AM72" s="326"/>
      <c r="AN72" s="326"/>
      <c r="AO72" s="326"/>
      <c r="AP72" s="326"/>
      <c r="AQ72" s="444" t="s">
        <v>159</v>
      </c>
      <c r="AR72" s="415"/>
      <c r="AS72" s="445" t="str">
        <f t="shared" si="6"/>
        <v/>
      </c>
      <c r="AT72" s="446"/>
      <c r="AU72" s="447" t="str">
        <f t="shared" si="7"/>
        <v/>
      </c>
      <c r="AV72" s="397">
        <f>IF(L72&lt;&gt;0,L72,L72)</f>
        <v>0</v>
      </c>
      <c r="AW72" s="398" t="b">
        <f t="shared" si="0"/>
        <v>0</v>
      </c>
      <c r="AX72" s="448" t="b">
        <f t="shared" si="1"/>
        <v>0</v>
      </c>
      <c r="AY72" s="314"/>
      <c r="AZ72" s="449" t="b">
        <f t="shared" si="2"/>
        <v>0</v>
      </c>
      <c r="BA72" s="450" t="b">
        <f t="shared" si="3"/>
        <v>0</v>
      </c>
      <c r="BB72" s="314"/>
      <c r="BC72" s="398" t="b">
        <f t="shared" si="4"/>
        <v>0</v>
      </c>
      <c r="BD72" s="369" t="b">
        <f>OR(AV72&gt;100%,(AV72+AV73)&gt;100%)</f>
        <v>0</v>
      </c>
      <c r="BE72" s="314"/>
      <c r="BF72" s="451" t="s">
        <v>160</v>
      </c>
      <c r="BG72" s="452" t="str">
        <f>IF(COUNTIF(AO69:AO70,TRUE)=0,"",BH72*AV77)</f>
        <v/>
      </c>
      <c r="BH72" s="452" t="str">
        <f>IF(COUNTIF(AO69:AO70,TRUE)=0,"",AV66*IF(AO69,1,AV68*AN70)*AV69*AV74)</f>
        <v/>
      </c>
      <c r="BJ72" s="314"/>
      <c r="BK72" s="314"/>
      <c r="BL72" s="314"/>
      <c r="BM72" s="314"/>
      <c r="BN72" s="314"/>
      <c r="BO72" s="314"/>
      <c r="BP72" s="314"/>
      <c r="BQ72" s="314"/>
      <c r="BR72" s="314"/>
      <c r="BS72" s="314"/>
      <c r="BT72" s="314"/>
      <c r="BU72" s="314"/>
      <c r="BV72" s="314"/>
      <c r="BW72" s="314"/>
      <c r="BX72" s="314"/>
      <c r="BY72" s="314"/>
      <c r="BZ72" s="314"/>
      <c r="CA72" s="314"/>
      <c r="CB72" s="314"/>
      <c r="CC72" s="314"/>
      <c r="CD72" s="314"/>
      <c r="CE72" s="314"/>
      <c r="CF72" s="314"/>
      <c r="CG72" s="314"/>
      <c r="CH72" s="314"/>
      <c r="CI72" s="314"/>
      <c r="CJ72" s="314"/>
      <c r="CK72" s="314"/>
      <c r="CL72" s="314"/>
      <c r="CM72" s="314"/>
      <c r="CN72" s="314"/>
      <c r="CO72" s="314"/>
      <c r="CP72" s="314"/>
      <c r="CQ72" s="407" t="b">
        <f>OR(CQ66,Y72=EUconst_NA)</f>
        <v>0</v>
      </c>
    </row>
    <row r="73" spans="1:95" ht="12.75" customHeight="1" thickBot="1" x14ac:dyDescent="0.3">
      <c r="A73" s="307"/>
      <c r="B73" s="68"/>
      <c r="C73" s="199" t="s">
        <v>161</v>
      </c>
      <c r="D73" s="344" t="str">
        <f>Translations!$B$613</f>
        <v>non-sust. RFNBO/RCF:</v>
      </c>
      <c r="E73" s="441"/>
      <c r="F73" s="20" t="s">
        <v>158</v>
      </c>
      <c r="G73" s="1261"/>
      <c r="H73" s="1262"/>
      <c r="I73" s="422" t="str">
        <f t="shared" si="5"/>
        <v/>
      </c>
      <c r="J73" s="423"/>
      <c r="K73" s="443"/>
      <c r="L73" s="56"/>
      <c r="M73" s="347" t="str">
        <f>IF(AND(E61&lt;&gt;"",OR(F73="",COUNT(L73)=0),Y73&lt;&gt;EUconst_NA),EUconst_ERR_Incomplete,"")</f>
        <v/>
      </c>
      <c r="N73" s="76"/>
      <c r="O73" s="160"/>
      <c r="P73" s="348"/>
      <c r="Q73" s="413"/>
      <c r="R73" s="413"/>
      <c r="S73" s="314"/>
      <c r="T73" s="425" t="str">
        <f>EUconst_CNTR_RFNBOetcContent&amp;E61</f>
        <v>RNFBOC_</v>
      </c>
      <c r="U73" s="312"/>
      <c r="V73" s="312"/>
      <c r="W73" s="312"/>
      <c r="X73" s="312"/>
      <c r="Y73" s="438" t="str">
        <f>IF(E61="","",IF(OR(F73=EUconst_NA,W73=TRUE),EUconst_NA,INDEX(EUwideConstants!$P$164:$P$200,MATCH(T73,EUwideConstants!$S$164:$S$200,0))))</f>
        <v/>
      </c>
      <c r="Z73" s="314"/>
      <c r="AA73" s="314"/>
      <c r="AB73" s="314"/>
      <c r="AC73" s="429" t="b">
        <f>AND(AC68,Y73&lt;&gt;EUconst_NA)</f>
        <v>0</v>
      </c>
      <c r="AD73" s="314"/>
      <c r="AE73" s="430"/>
      <c r="AF73" s="431"/>
      <c r="AG73" s="432"/>
      <c r="AH73" s="433"/>
      <c r="AI73" s="433"/>
      <c r="AJ73" s="433"/>
      <c r="AK73" s="434"/>
      <c r="AL73" s="326"/>
      <c r="AM73" s="326"/>
      <c r="AN73" s="326"/>
      <c r="AO73" s="326"/>
      <c r="AP73" s="326"/>
      <c r="AQ73" s="435" t="s">
        <v>159</v>
      </c>
      <c r="AR73" s="430"/>
      <c r="AS73" s="436" t="str">
        <f t="shared" si="6"/>
        <v/>
      </c>
      <c r="AT73" s="437"/>
      <c r="AU73" s="438" t="str">
        <f t="shared" si="7"/>
        <v/>
      </c>
      <c r="AV73" s="429">
        <f t="shared" ref="AV73:AV75" si="8">IF(L73&lt;&gt;0,L73,L73)</f>
        <v>0</v>
      </c>
      <c r="AW73" s="407" t="b">
        <f t="shared" si="0"/>
        <v>0</v>
      </c>
      <c r="AX73" s="439" t="b">
        <f t="shared" si="1"/>
        <v>0</v>
      </c>
      <c r="AY73" s="314"/>
      <c r="AZ73" s="408" t="b">
        <f t="shared" si="2"/>
        <v>0</v>
      </c>
      <c r="BA73" s="440" t="b">
        <f t="shared" si="3"/>
        <v>0</v>
      </c>
      <c r="BB73" s="314"/>
      <c r="BC73" s="407" t="b">
        <f t="shared" si="4"/>
        <v>0</v>
      </c>
      <c r="BD73" s="407" t="b">
        <f>OR(AV72&gt;100%,(AV72+AV73)&gt;100%)</f>
        <v>0</v>
      </c>
      <c r="BE73" s="314"/>
      <c r="BF73" s="408" t="s">
        <v>162</v>
      </c>
      <c r="BG73" s="409" t="str">
        <f>IF(COUNTIF(AO69:AO70,TRUE)=0,"",BH73*AV77)</f>
        <v/>
      </c>
      <c r="BH73" s="409" t="str">
        <f>IF(COUNTIF(AO69:AO70,TRUE)=0,"",AV66*IF(AO69,1,AV68*AN70)*AV69*AV75)</f>
        <v/>
      </c>
      <c r="BJ73" s="314"/>
      <c r="BK73" s="314"/>
      <c r="BL73" s="314"/>
      <c r="BM73" s="314"/>
      <c r="BN73" s="314"/>
      <c r="BO73" s="314"/>
      <c r="BP73" s="314"/>
      <c r="BQ73" s="314"/>
      <c r="BR73" s="314"/>
      <c r="BS73" s="314"/>
      <c r="BT73" s="314"/>
      <c r="BU73" s="314"/>
      <c r="BV73" s="314"/>
      <c r="BW73" s="314"/>
      <c r="BX73" s="314"/>
      <c r="BY73" s="314"/>
      <c r="BZ73" s="314"/>
      <c r="CA73" s="314"/>
      <c r="CB73" s="314"/>
      <c r="CC73" s="314"/>
      <c r="CD73" s="314"/>
      <c r="CE73" s="314"/>
      <c r="CF73" s="314"/>
      <c r="CG73" s="314"/>
      <c r="CH73" s="314"/>
      <c r="CI73" s="314"/>
      <c r="CJ73" s="314"/>
      <c r="CK73" s="314"/>
      <c r="CL73" s="314"/>
      <c r="CM73" s="314"/>
      <c r="CN73" s="314"/>
      <c r="CO73" s="314"/>
      <c r="CP73" s="314"/>
      <c r="CQ73" s="407" t="b">
        <f>OR(CQ66,Y73=EUconst_NA)</f>
        <v>0</v>
      </c>
    </row>
    <row r="74" spans="1:95" ht="12.75" customHeight="1" thickBot="1" x14ac:dyDescent="0.3">
      <c r="A74" s="307"/>
      <c r="B74" s="68"/>
      <c r="C74" s="199" t="s">
        <v>163</v>
      </c>
      <c r="D74" s="344" t="str">
        <f>Translations!$B$615</f>
        <v>sust. SLCF:</v>
      </c>
      <c r="E74" s="441"/>
      <c r="F74" s="19" t="s">
        <v>158</v>
      </c>
      <c r="G74" s="1261"/>
      <c r="H74" s="1262"/>
      <c r="I74" s="442" t="str">
        <f t="shared" si="5"/>
        <v/>
      </c>
      <c r="J74" s="411"/>
      <c r="K74" s="443"/>
      <c r="L74" s="57"/>
      <c r="M74" s="347" t="str">
        <f>IF(AND(E61&lt;&gt;"",OR(F74="",COUNT(L74)=0),Y74&lt;&gt;EUconst_NA),EUconst_ERR_Incomplete,"")</f>
        <v/>
      </c>
      <c r="N74" s="76"/>
      <c r="O74" s="160"/>
      <c r="P74" s="348"/>
      <c r="Q74" s="413"/>
      <c r="R74" s="413"/>
      <c r="S74" s="314"/>
      <c r="T74" s="388" t="str">
        <f>EUconst_CNTR_RFNBOetcContent&amp;E61</f>
        <v>RNFBOC_</v>
      </c>
      <c r="U74" s="312"/>
      <c r="V74" s="312"/>
      <c r="W74" s="312"/>
      <c r="X74" s="312"/>
      <c r="Y74" s="447" t="str">
        <f>IF(E61="","",IF(OR(F74=EUconst_NA,W74=TRUE),EUconst_NA,INDEX(EUwideConstants!$P$164:$P$200,MATCH(T74,EUwideConstants!$S$164:$S$200,0))))</f>
        <v/>
      </c>
      <c r="Z74" s="314"/>
      <c r="AA74" s="314"/>
      <c r="AB74" s="314"/>
      <c r="AC74" s="397" t="b">
        <f>AND(AC70,Y74&lt;&gt;EUconst_NA)</f>
        <v>0</v>
      </c>
      <c r="AD74" s="314"/>
      <c r="AE74" s="415"/>
      <c r="AF74" s="416"/>
      <c r="AG74" s="417"/>
      <c r="AH74" s="418"/>
      <c r="AI74" s="418"/>
      <c r="AJ74" s="418"/>
      <c r="AK74" s="419"/>
      <c r="AL74" s="326"/>
      <c r="AM74" s="326"/>
      <c r="AN74" s="326"/>
      <c r="AO74" s="326"/>
      <c r="AP74" s="326"/>
      <c r="AQ74" s="444" t="s">
        <v>159</v>
      </c>
      <c r="AR74" s="415"/>
      <c r="AS74" s="445" t="str">
        <f t="shared" si="6"/>
        <v/>
      </c>
      <c r="AT74" s="446"/>
      <c r="AU74" s="447" t="str">
        <f t="shared" si="7"/>
        <v/>
      </c>
      <c r="AV74" s="397">
        <f t="shared" si="8"/>
        <v>0</v>
      </c>
      <c r="AW74" s="398" t="b">
        <f t="shared" si="0"/>
        <v>0</v>
      </c>
      <c r="AX74" s="448" t="b">
        <f t="shared" si="1"/>
        <v>0</v>
      </c>
      <c r="AY74" s="314"/>
      <c r="AZ74" s="449" t="b">
        <f t="shared" si="2"/>
        <v>0</v>
      </c>
      <c r="BA74" s="450" t="b">
        <f t="shared" si="3"/>
        <v>0</v>
      </c>
      <c r="BB74" s="314"/>
      <c r="BC74" s="398" t="b">
        <f t="shared" si="4"/>
        <v>0</v>
      </c>
      <c r="BD74" s="369" t="b">
        <f>OR(AV74&gt;100%,(AV74+AV75)&gt;100%)</f>
        <v>0</v>
      </c>
      <c r="BE74" s="314"/>
      <c r="BF74" s="451" t="s">
        <v>164</v>
      </c>
      <c r="BG74" s="452">
        <f>IF(AN66=EUconst_TJ,AV66*(1-AV70),IF(AN68=EUconst_GJ,AV66*AV68/1000,0))-SUM(BG75:BG81)</f>
        <v>0</v>
      </c>
      <c r="BH74" s="314"/>
      <c r="BI74" s="314"/>
      <c r="BJ74" s="314"/>
      <c r="BK74" s="314"/>
      <c r="BL74" s="314"/>
      <c r="BM74" s="314"/>
      <c r="BN74" s="314"/>
      <c r="BO74" s="314"/>
      <c r="BP74" s="314"/>
      <c r="BQ74" s="314"/>
      <c r="BR74" s="314"/>
      <c r="BS74" s="314"/>
      <c r="BT74" s="314"/>
      <c r="BU74" s="314"/>
      <c r="BV74" s="314"/>
      <c r="BW74" s="314"/>
      <c r="BX74" s="314"/>
      <c r="BY74" s="314"/>
      <c r="BZ74" s="314"/>
      <c r="CA74" s="314"/>
      <c r="CB74" s="314"/>
      <c r="CC74" s="314"/>
      <c r="CD74" s="314"/>
      <c r="CE74" s="314"/>
      <c r="CF74" s="314"/>
      <c r="CG74" s="314"/>
      <c r="CH74" s="314"/>
      <c r="CI74" s="314"/>
      <c r="CJ74" s="314"/>
      <c r="CK74" s="314"/>
      <c r="CL74" s="314"/>
      <c r="CM74" s="314"/>
      <c r="CN74" s="314"/>
      <c r="CO74" s="314"/>
      <c r="CP74" s="314"/>
      <c r="CQ74" s="407" t="b">
        <f>OR(CQ66,Y74=EUconst_NA)</f>
        <v>0</v>
      </c>
    </row>
    <row r="75" spans="1:95" ht="12.75" customHeight="1" thickBot="1" x14ac:dyDescent="0.3">
      <c r="A75" s="307"/>
      <c r="B75" s="68"/>
      <c r="C75" s="199" t="s">
        <v>165</v>
      </c>
      <c r="D75" s="344" t="str">
        <f>Translations!$B$618</f>
        <v>non-sust. SLCF:</v>
      </c>
      <c r="E75" s="441"/>
      <c r="F75" s="20" t="s">
        <v>158</v>
      </c>
      <c r="G75" s="1261"/>
      <c r="H75" s="1262"/>
      <c r="I75" s="422" t="str">
        <f t="shared" si="5"/>
        <v/>
      </c>
      <c r="J75" s="423"/>
      <c r="K75" s="443"/>
      <c r="L75" s="56"/>
      <c r="M75" s="347" t="str">
        <f>IF(AND(E61&lt;&gt;"",OR(F75="",COUNT(L75)=0),Y75&lt;&gt;EUconst_NA),EUconst_ERR_Incomplete,"")</f>
        <v/>
      </c>
      <c r="N75" s="76"/>
      <c r="O75" s="160"/>
      <c r="P75" s="348"/>
      <c r="Q75" s="413"/>
      <c r="R75" s="413"/>
      <c r="S75" s="314"/>
      <c r="T75" s="425" t="str">
        <f>EUconst_CNTR_RFNBOetcContent&amp;E61</f>
        <v>RNFBOC_</v>
      </c>
      <c r="U75" s="312"/>
      <c r="V75" s="312"/>
      <c r="W75" s="312"/>
      <c r="X75" s="312"/>
      <c r="Y75" s="438" t="str">
        <f>IF(E61="","",IF(OR(F75=EUconst_NA,W75=TRUE),EUconst_NA,INDEX(EUwideConstants!$P$164:$P$200,MATCH(T75,EUwideConstants!$S$164:$S$200,0))))</f>
        <v/>
      </c>
      <c r="Z75" s="314"/>
      <c r="AA75" s="314"/>
      <c r="AB75" s="314"/>
      <c r="AC75" s="429" t="b">
        <f>AND(AC70,Y75&lt;&gt;EUconst_NA)</f>
        <v>0</v>
      </c>
      <c r="AD75" s="314"/>
      <c r="AE75" s="430"/>
      <c r="AF75" s="431"/>
      <c r="AG75" s="432"/>
      <c r="AH75" s="433"/>
      <c r="AI75" s="433"/>
      <c r="AJ75" s="433"/>
      <c r="AK75" s="434"/>
      <c r="AL75" s="326"/>
      <c r="AM75" s="326"/>
      <c r="AN75" s="326"/>
      <c r="AO75" s="326"/>
      <c r="AP75" s="326"/>
      <c r="AQ75" s="435" t="s">
        <v>159</v>
      </c>
      <c r="AR75" s="430"/>
      <c r="AS75" s="436" t="str">
        <f t="shared" si="6"/>
        <v/>
      </c>
      <c r="AT75" s="437"/>
      <c r="AU75" s="438" t="str">
        <f t="shared" si="7"/>
        <v/>
      </c>
      <c r="AV75" s="429">
        <f t="shared" si="8"/>
        <v>0</v>
      </c>
      <c r="AW75" s="407" t="b">
        <f t="shared" si="0"/>
        <v>0</v>
      </c>
      <c r="AX75" s="439" t="b">
        <f t="shared" si="1"/>
        <v>0</v>
      </c>
      <c r="AY75" s="314"/>
      <c r="AZ75" s="408" t="b">
        <f t="shared" si="2"/>
        <v>0</v>
      </c>
      <c r="BA75" s="440" t="b">
        <f t="shared" si="3"/>
        <v>0</v>
      </c>
      <c r="BB75" s="314"/>
      <c r="BC75" s="407" t="b">
        <f t="shared" si="4"/>
        <v>0</v>
      </c>
      <c r="BD75" s="407" t="b">
        <f>OR(AV74&gt;100%,(AV74+AV75)&gt;100%)</f>
        <v>0</v>
      </c>
      <c r="BE75" s="314"/>
      <c r="BF75" s="408" t="s">
        <v>166</v>
      </c>
      <c r="BG75" s="409" t="str">
        <f>IF(AN66=EUconst_TJ,AV66*AV70,IF(AN68=EUconst_GJ,AV66*AV68/1000*AV70,""))</f>
        <v/>
      </c>
      <c r="BH75" s="314"/>
      <c r="BI75" s="314"/>
      <c r="BJ75" s="314"/>
      <c r="BK75" s="314"/>
      <c r="BL75" s="314"/>
      <c r="BM75" s="314"/>
      <c r="BN75" s="314"/>
      <c r="BO75" s="314"/>
      <c r="BP75" s="314"/>
      <c r="BQ75" s="314"/>
      <c r="BR75" s="314"/>
      <c r="BS75" s="314"/>
      <c r="BT75" s="314"/>
      <c r="BU75" s="314"/>
      <c r="BV75" s="314"/>
      <c r="BW75" s="314"/>
      <c r="BX75" s="314"/>
      <c r="BY75" s="314"/>
      <c r="BZ75" s="314"/>
      <c r="CA75" s="314"/>
      <c r="CB75" s="314"/>
      <c r="CC75" s="314"/>
      <c r="CD75" s="314"/>
      <c r="CE75" s="314"/>
      <c r="CF75" s="314"/>
      <c r="CG75" s="314"/>
      <c r="CH75" s="314"/>
      <c r="CI75" s="314"/>
      <c r="CJ75" s="314"/>
      <c r="CK75" s="314"/>
      <c r="CL75" s="314"/>
      <c r="CM75" s="314"/>
      <c r="CN75" s="314"/>
      <c r="CO75" s="314"/>
      <c r="CP75" s="314"/>
      <c r="CQ75" s="407" t="b">
        <f>OR(CQ66,Y75=EUconst_NA)</f>
        <v>0</v>
      </c>
    </row>
    <row r="76" spans="1:95" ht="5.15" customHeight="1" thickBot="1" x14ac:dyDescent="0.3">
      <c r="A76" s="307"/>
      <c r="B76" s="68"/>
      <c r="C76" s="68"/>
      <c r="D76" s="205"/>
      <c r="E76" s="76"/>
      <c r="F76" s="76"/>
      <c r="G76" s="76"/>
      <c r="H76" s="76"/>
      <c r="I76" s="76"/>
      <c r="J76" s="76"/>
      <c r="K76" s="76"/>
      <c r="L76" s="76"/>
      <c r="M76" s="453"/>
      <c r="N76" s="76"/>
      <c r="O76" s="160"/>
      <c r="P76" s="109"/>
      <c r="Q76" s="312"/>
      <c r="R76" s="312"/>
      <c r="S76" s="314"/>
      <c r="T76" s="314"/>
      <c r="U76" s="314"/>
      <c r="V76" s="314"/>
      <c r="W76" s="314"/>
      <c r="X76" s="314"/>
      <c r="Y76" s="314"/>
      <c r="Z76" s="314"/>
      <c r="AA76" s="314"/>
      <c r="AB76" s="314"/>
      <c r="AC76" s="314"/>
      <c r="AD76" s="314"/>
      <c r="AE76" s="314"/>
      <c r="AF76" s="314"/>
      <c r="AG76" s="314"/>
      <c r="AH76" s="314"/>
      <c r="AI76" s="314"/>
      <c r="AJ76" s="314"/>
      <c r="AK76" s="314"/>
      <c r="AL76" s="314"/>
      <c r="AM76" s="314"/>
      <c r="AN76" s="314"/>
      <c r="AO76" s="314"/>
      <c r="AP76" s="314"/>
      <c r="AQ76" s="314"/>
      <c r="AR76" s="314"/>
      <c r="AS76" s="314"/>
      <c r="AT76" s="314"/>
      <c r="AU76" s="314"/>
      <c r="AV76" s="314"/>
      <c r="AW76" s="314"/>
      <c r="AX76" s="314"/>
      <c r="AY76" s="314"/>
      <c r="AZ76" s="314"/>
      <c r="BA76" s="314"/>
      <c r="BB76" s="314"/>
      <c r="BC76" s="314"/>
      <c r="BD76" s="314"/>
      <c r="BE76" s="314"/>
      <c r="BF76" s="314"/>
      <c r="BG76" s="364"/>
      <c r="BH76" s="314"/>
      <c r="BI76" s="314"/>
      <c r="BJ76" s="314"/>
      <c r="BK76" s="314"/>
      <c r="BL76" s="314"/>
      <c r="BM76" s="314"/>
      <c r="BN76" s="314"/>
      <c r="BO76" s="314"/>
      <c r="BP76" s="314"/>
      <c r="BQ76" s="314"/>
      <c r="BR76" s="314"/>
      <c r="BS76" s="314"/>
      <c r="BT76" s="314"/>
      <c r="BU76" s="314"/>
      <c r="BV76" s="314"/>
      <c r="BW76" s="314"/>
      <c r="BX76" s="314"/>
      <c r="BY76" s="314"/>
      <c r="BZ76" s="314"/>
      <c r="CA76" s="314"/>
      <c r="CB76" s="314"/>
      <c r="CC76" s="314"/>
      <c r="CD76" s="314"/>
      <c r="CE76" s="314"/>
      <c r="CF76" s="314"/>
      <c r="CG76" s="314"/>
      <c r="CH76" s="314"/>
      <c r="CI76" s="314"/>
      <c r="CJ76" s="314"/>
      <c r="CK76" s="314"/>
      <c r="CL76" s="314"/>
      <c r="CM76" s="314"/>
      <c r="CN76" s="314"/>
      <c r="CO76" s="314"/>
      <c r="CP76" s="314"/>
      <c r="CQ76" s="314"/>
    </row>
    <row r="77" spans="1:95" ht="12.75" customHeight="1" thickBot="1" x14ac:dyDescent="0.3">
      <c r="A77" s="307"/>
      <c r="B77" s="68"/>
      <c r="C77" s="199" t="s">
        <v>167</v>
      </c>
      <c r="D77" s="344" t="str">
        <f>Translations!$B$398</f>
        <v>Scope factor:</v>
      </c>
      <c r="E77" s="454"/>
      <c r="F77" s="992"/>
      <c r="G77" s="1263"/>
      <c r="H77" s="1264"/>
      <c r="I77" s="455" t="s">
        <v>46</v>
      </c>
      <c r="J77" s="456"/>
      <c r="K77" s="457" t="str">
        <f>IF(L77="",AU77,"")</f>
        <v/>
      </c>
      <c r="L77" s="16"/>
      <c r="M77" s="458" t="str">
        <f>IF(AND(E61&lt;&gt;"",OR(F77="",G77="",COUNT(K77:L77)=0)),EUconst_ERR_Incomplete,IF(COUNTIF(BB77:BD77,TRUE)&gt;0,EUconst_ERR_Inconsistent,""))</f>
        <v/>
      </c>
      <c r="N77" s="76"/>
      <c r="O77" s="160"/>
      <c r="P77" s="109"/>
      <c r="Q77" s="312"/>
      <c r="R77" s="314"/>
      <c r="S77" s="297"/>
      <c r="T77" s="459" t="str">
        <f>EUconst_CNTR_ScopeFactor&amp;E61</f>
        <v>ScopeFactor_</v>
      </c>
      <c r="U77" s="231" t="str">
        <f>IF(F77="","",INDEX(ScopeAddress,MATCH(F77,ScopeTiers,0)))</f>
        <v/>
      </c>
      <c r="V77" s="360" t="str">
        <f>V66</f>
        <v/>
      </c>
      <c r="W77" s="314"/>
      <c r="X77" s="314"/>
      <c r="Y77" s="460" t="str">
        <f>IF(E61="","",IF(F77=EUconst_NA,EUconst_NA,INDEX(EUwideConstants!$P$164:$P$200,MATCH(T77,EUwideConstants!$S$164:$S$200,0))))</f>
        <v/>
      </c>
      <c r="Z77" s="461" t="str">
        <f>IF(ISBLANK(F77),"",IF(F77=EUconst_NA,"",INDEX(EUwideConstants!$H:$O,MATCH(T77,EUwideConstants!$S:$S,0),MATCH(F77,CNTR_TierList,0))))</f>
        <v/>
      </c>
      <c r="AA77" s="331" t="str">
        <f>IF(G77=EUwideConstants!$A$89,1,"")</f>
        <v/>
      </c>
      <c r="AB77" s="314"/>
      <c r="AC77" s="331" t="b">
        <f>AND(AC66,Y77&lt;&gt;EUconst_NA)</f>
        <v>0</v>
      </c>
      <c r="AD77" s="314"/>
      <c r="AE77" s="314"/>
      <c r="AF77" s="314"/>
      <c r="AG77" s="319"/>
      <c r="AH77" s="314"/>
      <c r="AI77" s="314"/>
      <c r="AJ77" s="314"/>
      <c r="AK77" s="314"/>
      <c r="AL77" s="314"/>
      <c r="AM77" s="314"/>
      <c r="AN77" s="314"/>
      <c r="AO77" s="314"/>
      <c r="AP77" s="314"/>
      <c r="AQ77" s="314"/>
      <c r="AR77" s="314"/>
      <c r="AS77" s="328">
        <v>1</v>
      </c>
      <c r="AT77" s="314"/>
      <c r="AU77" s="319" t="str">
        <f>IF(G77=EUwideConstants!$A$89,AS77,"")</f>
        <v/>
      </c>
      <c r="AV77" s="331">
        <f>IF(AC77=TRUE,IF(COUNT(K77:L77)=0,0,IF(L77="",K77,L77)),0)</f>
        <v>0</v>
      </c>
      <c r="AW77" s="360" t="b">
        <f>AND(AC77=TRUE,OR(AND(F77&lt;&gt;"",NOT(ISNUMBER(AA77))),L77&lt;&gt;"",F77="",AU77=""))</f>
        <v>0</v>
      </c>
      <c r="AX77" s="357" t="b">
        <f>AND(AC77=TRUE,NOT(AW77))</f>
        <v>0</v>
      </c>
      <c r="AY77" s="314"/>
      <c r="AZ77" s="361" t="b">
        <f>AND(ISNUMBER(AA77),AU77="")</f>
        <v>0</v>
      </c>
      <c r="BA77" s="351" t="b">
        <f>AND(ISNUMBER(AA77),AU77&lt;&gt;AV77)</f>
        <v>0</v>
      </c>
      <c r="BB77" s="314"/>
      <c r="BC77" s="360" t="b">
        <f>AND(F77&lt;&gt;"",OR(COUNTIF(INDEX(ScopeMethods,F77,),G77)=0,AND(AA77&lt;&gt;"",AU77&lt;&gt;AV77)))</f>
        <v>0</v>
      </c>
      <c r="BD77" s="314"/>
      <c r="BE77" s="314"/>
      <c r="BF77" s="361" t="s">
        <v>168</v>
      </c>
      <c r="BG77" s="362" t="str">
        <f>IF(AN66=EUconst_TJ,AV66*AV72,IF(AN68=EUconst_GJ,AV66*AV68/1000*AV72,""))</f>
        <v/>
      </c>
      <c r="BH77" s="314"/>
      <c r="BI77" s="314"/>
      <c r="BJ77" s="314"/>
      <c r="BK77" s="314"/>
      <c r="BL77" s="314"/>
      <c r="BM77" s="314"/>
      <c r="BN77" s="314"/>
      <c r="BO77" s="314"/>
      <c r="BP77" s="314"/>
      <c r="BQ77" s="314"/>
      <c r="BR77" s="314"/>
      <c r="BS77" s="314"/>
      <c r="BT77" s="314"/>
      <c r="BU77" s="314"/>
      <c r="BV77" s="314"/>
      <c r="BW77" s="314"/>
      <c r="BX77" s="314"/>
      <c r="BY77" s="314"/>
      <c r="BZ77" s="314"/>
      <c r="CA77" s="314"/>
      <c r="CB77" s="314"/>
      <c r="CC77" s="314"/>
      <c r="CD77" s="314"/>
      <c r="CE77" s="314"/>
      <c r="CF77" s="314"/>
      <c r="CG77" s="314"/>
      <c r="CH77" s="314"/>
      <c r="CI77" s="314"/>
      <c r="CJ77" s="314"/>
      <c r="CK77" s="314"/>
      <c r="CL77" s="314"/>
      <c r="CM77" s="314"/>
      <c r="CN77" s="314"/>
      <c r="CO77" s="314"/>
      <c r="CP77" s="314"/>
      <c r="CQ77" s="314"/>
    </row>
    <row r="78" spans="1:95" ht="12.75" customHeight="1" x14ac:dyDescent="0.25">
      <c r="A78" s="307"/>
      <c r="B78" s="68"/>
      <c r="C78" s="68"/>
      <c r="D78" s="68"/>
      <c r="E78" s="68"/>
      <c r="F78" s="68"/>
      <c r="G78" s="1265" t="str">
        <f>IF(G77="","",INDEX(ScopeMethodsDetails,MATCH(G77,INDEX(ScopeMethodsDetails,,1),0),2))</f>
        <v/>
      </c>
      <c r="H78" s="1266"/>
      <c r="I78" s="1266"/>
      <c r="J78" s="1266"/>
      <c r="K78" s="1266"/>
      <c r="L78" s="1266"/>
      <c r="M78" s="1267"/>
      <c r="N78" s="76"/>
      <c r="O78" s="160"/>
      <c r="P78" s="109"/>
      <c r="Q78" s="312"/>
      <c r="R78" s="312"/>
      <c r="S78" s="314"/>
      <c r="T78" s="314"/>
      <c r="U78" s="314"/>
      <c r="V78" s="314"/>
      <c r="W78" s="314"/>
      <c r="X78" s="314"/>
      <c r="Y78" s="314"/>
      <c r="Z78" s="314"/>
      <c r="AA78" s="314"/>
      <c r="AB78" s="314"/>
      <c r="AC78" s="314"/>
      <c r="AD78" s="314"/>
      <c r="AE78" s="314"/>
      <c r="AF78" s="314"/>
      <c r="AG78" s="314"/>
      <c r="AH78" s="314"/>
      <c r="AI78" s="314"/>
      <c r="AJ78" s="314"/>
      <c r="AK78" s="314"/>
      <c r="AL78" s="314"/>
      <c r="AM78" s="314"/>
      <c r="AN78" s="314"/>
      <c r="AO78" s="314"/>
      <c r="AP78" s="314"/>
      <c r="AQ78" s="314"/>
      <c r="AR78" s="314"/>
      <c r="AS78" s="314"/>
      <c r="AT78" s="314"/>
      <c r="AU78" s="314"/>
      <c r="AV78" s="314"/>
      <c r="AW78" s="314"/>
      <c r="AX78" s="314"/>
      <c r="AY78" s="314"/>
      <c r="AZ78" s="314"/>
      <c r="BA78" s="314"/>
      <c r="BB78" s="314"/>
      <c r="BC78" s="314"/>
      <c r="BD78" s="314"/>
      <c r="BE78" s="314"/>
      <c r="BG78" s="364"/>
      <c r="BH78" s="314"/>
      <c r="BI78" s="314"/>
      <c r="BJ78" s="314"/>
      <c r="BK78" s="314"/>
      <c r="BL78" s="314"/>
      <c r="BM78" s="314"/>
      <c r="BN78" s="314"/>
      <c r="BO78" s="314"/>
      <c r="BP78" s="314"/>
      <c r="BQ78" s="314"/>
      <c r="BR78" s="314"/>
      <c r="BS78" s="314"/>
      <c r="BT78" s="314"/>
      <c r="BU78" s="314"/>
      <c r="BV78" s="314"/>
      <c r="BW78" s="314"/>
      <c r="BX78" s="314"/>
      <c r="BY78" s="314"/>
      <c r="BZ78" s="314"/>
      <c r="CA78" s="314"/>
      <c r="CB78" s="314"/>
      <c r="CC78" s="314"/>
      <c r="CD78" s="314"/>
      <c r="CE78" s="314"/>
      <c r="CF78" s="314"/>
      <c r="CG78" s="314"/>
      <c r="CH78" s="314"/>
      <c r="CI78" s="314"/>
      <c r="CJ78" s="314"/>
      <c r="CK78" s="314"/>
      <c r="CL78" s="314"/>
      <c r="CM78" s="314"/>
      <c r="CN78" s="314"/>
      <c r="CO78" s="314"/>
      <c r="CP78" s="314"/>
      <c r="CQ78" s="314"/>
    </row>
    <row r="79" spans="1:95" ht="5.15" customHeight="1" x14ac:dyDescent="0.25">
      <c r="A79" s="307"/>
      <c r="C79" s="76"/>
      <c r="D79" s="76"/>
      <c r="E79" s="76"/>
      <c r="F79" s="76"/>
      <c r="G79" s="76"/>
      <c r="H79" s="76"/>
      <c r="I79" s="76"/>
      <c r="J79" s="76"/>
      <c r="K79" s="76"/>
      <c r="L79" s="76"/>
      <c r="O79" s="160"/>
      <c r="P79" s="109"/>
      <c r="Q79" s="312"/>
      <c r="R79" s="312"/>
      <c r="S79" s="314"/>
      <c r="T79" s="314"/>
      <c r="U79" s="314"/>
      <c r="V79" s="314"/>
      <c r="W79" s="314"/>
      <c r="X79" s="314"/>
      <c r="Y79" s="314"/>
      <c r="Z79" s="314"/>
      <c r="AA79" s="314"/>
      <c r="AB79" s="314"/>
      <c r="AC79" s="314"/>
      <c r="AD79" s="314"/>
      <c r="AE79" s="314"/>
      <c r="AF79" s="314"/>
      <c r="AG79" s="314"/>
      <c r="AH79" s="314"/>
      <c r="AI79" s="314"/>
      <c r="AJ79" s="314"/>
      <c r="AK79" s="314"/>
      <c r="AL79" s="314"/>
      <c r="AM79" s="314"/>
      <c r="AN79" s="314"/>
      <c r="AO79" s="314"/>
      <c r="AP79" s="314"/>
      <c r="AQ79" s="314"/>
      <c r="AR79" s="314"/>
      <c r="AS79" s="314"/>
      <c r="AT79" s="314"/>
      <c r="AU79" s="314"/>
      <c r="AV79" s="314"/>
      <c r="AW79" s="314"/>
      <c r="AX79" s="314"/>
      <c r="AY79" s="314"/>
      <c r="AZ79" s="314"/>
      <c r="BA79" s="314"/>
      <c r="BB79" s="314"/>
      <c r="BC79" s="314"/>
      <c r="BD79" s="314"/>
      <c r="BE79" s="314"/>
      <c r="BG79" s="364"/>
      <c r="BH79" s="314"/>
      <c r="BI79" s="314"/>
      <c r="BJ79" s="314"/>
      <c r="BK79" s="314"/>
      <c r="BL79" s="314"/>
      <c r="BM79" s="314"/>
      <c r="BN79" s="314"/>
      <c r="BO79" s="314"/>
      <c r="BP79" s="314"/>
      <c r="BQ79" s="314"/>
      <c r="BR79" s="314"/>
      <c r="BS79" s="314"/>
      <c r="BT79" s="314"/>
      <c r="BU79" s="314"/>
      <c r="BV79" s="314"/>
      <c r="BW79" s="314"/>
      <c r="BX79" s="314"/>
      <c r="BY79" s="314"/>
      <c r="BZ79" s="314"/>
      <c r="CA79" s="314"/>
      <c r="CB79" s="314"/>
      <c r="CC79" s="314"/>
      <c r="CD79" s="314"/>
      <c r="CE79" s="314"/>
      <c r="CF79" s="314"/>
      <c r="CG79" s="314"/>
      <c r="CH79" s="314"/>
      <c r="CI79" s="314"/>
      <c r="CJ79" s="314"/>
      <c r="CK79" s="314"/>
      <c r="CL79" s="314"/>
      <c r="CM79" s="314"/>
      <c r="CN79" s="314"/>
      <c r="CO79" s="314"/>
      <c r="CP79" s="314"/>
      <c r="CQ79" s="314"/>
    </row>
    <row r="80" spans="1:95" ht="12.75" customHeight="1" thickBot="1" x14ac:dyDescent="0.3">
      <c r="A80" s="307"/>
      <c r="C80" s="76"/>
      <c r="D80" s="76"/>
      <c r="E80" s="76"/>
      <c r="F80" s="76"/>
      <c r="G80" s="1268">
        <v>1</v>
      </c>
      <c r="H80" s="1268"/>
      <c r="I80" s="1268">
        <v>2</v>
      </c>
      <c r="J80" s="1268"/>
      <c r="K80" s="1268">
        <v>3</v>
      </c>
      <c r="L80" s="1268"/>
      <c r="O80" s="160"/>
      <c r="P80" s="109"/>
      <c r="Q80" s="312"/>
      <c r="R80" s="312"/>
      <c r="S80" s="314"/>
      <c r="T80" s="314"/>
      <c r="U80" s="314"/>
      <c r="V80" s="314"/>
      <c r="W80" s="314"/>
      <c r="X80" s="314"/>
      <c r="Y80" s="314"/>
      <c r="Z80" s="314"/>
      <c r="AA80" s="314"/>
      <c r="AB80" s="314"/>
      <c r="AC80" s="314"/>
      <c r="AD80" s="314"/>
      <c r="AE80" s="314"/>
      <c r="AF80" s="314"/>
      <c r="AG80" s="314"/>
      <c r="AH80" s="314"/>
      <c r="AI80" s="314"/>
      <c r="AJ80" s="314"/>
      <c r="AK80" s="314"/>
      <c r="AL80" s="314"/>
      <c r="AM80" s="314"/>
      <c r="AN80" s="314"/>
      <c r="AO80" s="314"/>
      <c r="AP80" s="314"/>
      <c r="AQ80" s="314"/>
      <c r="AR80" s="314"/>
      <c r="AS80" s="314"/>
      <c r="AT80" s="314"/>
      <c r="AU80" s="314"/>
      <c r="AV80" s="314"/>
      <c r="AW80" s="314"/>
      <c r="AX80" s="314"/>
      <c r="AY80" s="314"/>
      <c r="AZ80" s="314"/>
      <c r="BA80" s="314"/>
      <c r="BB80" s="314"/>
      <c r="BC80" s="314"/>
      <c r="BD80" s="314"/>
      <c r="BE80" s="314"/>
      <c r="BF80" s="314"/>
      <c r="BG80" s="364"/>
      <c r="BH80" s="314"/>
      <c r="BI80" s="314"/>
      <c r="BJ80" s="314"/>
      <c r="BK80" s="314"/>
      <c r="BL80" s="314"/>
      <c r="BM80" s="314"/>
      <c r="BN80" s="314"/>
      <c r="BO80" s="314"/>
      <c r="BP80" s="314"/>
      <c r="BQ80" s="314"/>
      <c r="BR80" s="314"/>
      <c r="BS80" s="314"/>
      <c r="BT80" s="314"/>
      <c r="BU80" s="314"/>
      <c r="BV80" s="314"/>
      <c r="BW80" s="314"/>
      <c r="BX80" s="314"/>
      <c r="BY80" s="314"/>
      <c r="BZ80" s="314"/>
      <c r="CA80" s="314"/>
      <c r="CB80" s="314"/>
      <c r="CC80" s="314"/>
      <c r="CD80" s="314"/>
      <c r="CE80" s="314"/>
      <c r="CF80" s="314"/>
      <c r="CG80" s="314"/>
      <c r="CH80" s="314"/>
      <c r="CI80" s="314"/>
      <c r="CJ80" s="314"/>
      <c r="CK80" s="314"/>
      <c r="CL80" s="314"/>
      <c r="CM80" s="314"/>
      <c r="CN80" s="314"/>
      <c r="CO80" s="314"/>
      <c r="CP80" s="314"/>
      <c r="CQ80" s="314"/>
    </row>
    <row r="81" spans="1:95" ht="12.75" customHeight="1" thickBot="1" x14ac:dyDescent="0.3">
      <c r="A81" s="462"/>
      <c r="B81" s="76"/>
      <c r="C81" s="76"/>
      <c r="D81" s="1246" t="str">
        <f>Translations!$B$372</f>
        <v>Consumers' CRF category:</v>
      </c>
      <c r="E81" s="1246"/>
      <c r="F81" s="1247"/>
      <c r="G81" s="1248"/>
      <c r="H81" s="1249"/>
      <c r="I81" s="1248"/>
      <c r="J81" s="1249"/>
      <c r="K81" s="1248"/>
      <c r="L81" s="1249"/>
      <c r="M81" s="463" t="str">
        <f>IF(AND(E60&lt;&gt;"",COUNTA(G81:L81)=0,AX81=FALSE),EUconst_ERR_Incomplete,"")</f>
        <v/>
      </c>
      <c r="N81" s="76"/>
      <c r="O81" s="160"/>
      <c r="P81" s="109"/>
      <c r="Q81" s="312"/>
      <c r="R81" s="312"/>
      <c r="S81" s="314"/>
      <c r="T81" s="314"/>
      <c r="U81" s="314"/>
      <c r="V81" s="314"/>
      <c r="W81" s="314"/>
      <c r="X81" s="314"/>
      <c r="Y81" s="314"/>
      <c r="Z81" s="314"/>
      <c r="AA81" s="314"/>
      <c r="AB81" s="314"/>
      <c r="AC81" s="314"/>
      <c r="AD81" s="314"/>
      <c r="AE81" s="314"/>
      <c r="AF81" s="314"/>
      <c r="AG81" s="314"/>
      <c r="AH81" s="314"/>
      <c r="AI81" s="314"/>
      <c r="AJ81" s="314"/>
      <c r="AK81" s="314"/>
      <c r="AL81" s="314"/>
      <c r="AM81" s="314"/>
      <c r="AN81" s="314"/>
      <c r="AO81" s="314"/>
      <c r="AP81" s="314"/>
      <c r="AQ81" s="314"/>
      <c r="AR81" s="314"/>
      <c r="AS81" s="314"/>
      <c r="AT81" s="314"/>
      <c r="AU81" s="314"/>
      <c r="AV81" s="314"/>
      <c r="AW81" s="314"/>
      <c r="AX81" s="464" t="b">
        <f>AND(AV77&lt;&gt;"",SUM(AV77=1))</f>
        <v>0</v>
      </c>
      <c r="AY81" s="314"/>
      <c r="AZ81" s="314"/>
      <c r="BA81" s="314"/>
      <c r="BB81" s="314"/>
      <c r="BC81" s="314"/>
      <c r="BD81" s="314"/>
      <c r="BE81" s="314"/>
      <c r="BF81" s="361" t="s">
        <v>169</v>
      </c>
      <c r="BG81" s="362" t="str">
        <f>IF(AN66=EUconst_TJ,AV66*AV74,IF(AN68=EUconst_GJ,AV66*AV68/1000*AV74,""))</f>
        <v/>
      </c>
      <c r="BH81" s="314"/>
      <c r="BI81" s="314"/>
      <c r="BJ81" s="314"/>
      <c r="BK81" s="314"/>
      <c r="BL81" s="314"/>
      <c r="BM81" s="314"/>
      <c r="BN81" s="314"/>
      <c r="BO81" s="314"/>
      <c r="BP81" s="314"/>
      <c r="BQ81" s="314"/>
      <c r="BR81" s="314"/>
      <c r="BS81" s="314"/>
      <c r="BT81" s="314"/>
      <c r="BU81" s="314"/>
      <c r="BV81" s="314"/>
      <c r="BW81" s="314"/>
      <c r="BX81" s="314"/>
      <c r="BY81" s="314"/>
      <c r="BZ81" s="314"/>
      <c r="CA81" s="314"/>
      <c r="CB81" s="314"/>
      <c r="CC81" s="314"/>
      <c r="CD81" s="314"/>
      <c r="CE81" s="314"/>
      <c r="CF81" s="314"/>
      <c r="CG81" s="314"/>
      <c r="CH81" s="314"/>
      <c r="CI81" s="314"/>
      <c r="CJ81" s="314"/>
      <c r="CK81" s="314"/>
      <c r="CL81" s="314"/>
      <c r="CM81" s="314"/>
      <c r="CN81" s="314"/>
      <c r="CO81" s="314"/>
      <c r="CP81" s="314"/>
      <c r="CQ81" s="314"/>
    </row>
    <row r="82" spans="1:95" ht="5.15" customHeight="1" x14ac:dyDescent="0.25">
      <c r="A82" s="307"/>
      <c r="B82" s="68"/>
      <c r="C82" s="68"/>
      <c r="D82" s="68"/>
      <c r="E82" s="68"/>
      <c r="F82" s="68"/>
      <c r="G82" s="76"/>
      <c r="H82" s="76"/>
      <c r="I82" s="76"/>
      <c r="J82" s="76"/>
      <c r="K82" s="76"/>
      <c r="L82" s="76"/>
      <c r="M82" s="76"/>
      <c r="N82" s="76"/>
      <c r="O82" s="160"/>
      <c r="P82" s="109"/>
      <c r="Q82" s="312"/>
      <c r="R82" s="312"/>
      <c r="S82" s="314"/>
      <c r="T82" s="314"/>
      <c r="U82" s="314"/>
      <c r="V82" s="314"/>
      <c r="W82" s="314"/>
      <c r="X82" s="314"/>
      <c r="Y82" s="314"/>
      <c r="Z82" s="314"/>
      <c r="AA82" s="314"/>
      <c r="AB82" s="314"/>
      <c r="AC82" s="314"/>
      <c r="AD82" s="314"/>
      <c r="AE82" s="314"/>
      <c r="AF82" s="314"/>
      <c r="AG82" s="314"/>
      <c r="AH82" s="314"/>
      <c r="AI82" s="314"/>
      <c r="AJ82" s="314"/>
      <c r="AK82" s="314"/>
      <c r="AL82" s="314"/>
      <c r="AM82" s="314"/>
      <c r="AN82" s="314"/>
      <c r="AO82" s="314"/>
      <c r="AP82" s="314"/>
      <c r="AQ82" s="314"/>
      <c r="AR82" s="314"/>
      <c r="AS82" s="314"/>
      <c r="AT82" s="314"/>
      <c r="AU82" s="314"/>
      <c r="AV82" s="314"/>
      <c r="AW82" s="314"/>
      <c r="AX82" s="314"/>
      <c r="AY82" s="314"/>
      <c r="AZ82" s="314"/>
      <c r="BA82" s="314"/>
      <c r="BB82" s="314"/>
      <c r="BC82" s="314"/>
      <c r="BD82" s="314"/>
      <c r="BE82" s="314"/>
      <c r="BF82" s="314"/>
      <c r="BG82" s="314"/>
      <c r="BH82" s="314"/>
      <c r="BI82" s="314"/>
      <c r="BJ82" s="314"/>
      <c r="BK82" s="314"/>
      <c r="BL82" s="314"/>
      <c r="BM82" s="314"/>
      <c r="BN82" s="314"/>
      <c r="BO82" s="314"/>
      <c r="BP82" s="314"/>
      <c r="BQ82" s="314"/>
      <c r="BR82" s="314"/>
      <c r="BS82" s="314"/>
      <c r="BT82" s="314"/>
      <c r="BU82" s="314"/>
      <c r="BV82" s="314"/>
      <c r="BW82" s="314"/>
      <c r="BX82" s="314"/>
      <c r="BY82" s="314"/>
      <c r="BZ82" s="314"/>
      <c r="CA82" s="314"/>
      <c r="CB82" s="314"/>
      <c r="CC82" s="314"/>
      <c r="CD82" s="314"/>
      <c r="CE82" s="314"/>
      <c r="CF82" s="314"/>
      <c r="CG82" s="314"/>
      <c r="CH82" s="314"/>
      <c r="CI82" s="314"/>
      <c r="CJ82" s="314"/>
      <c r="CK82" s="314"/>
      <c r="CL82" s="314"/>
      <c r="CM82" s="314"/>
      <c r="CN82" s="314"/>
      <c r="CO82" s="314"/>
      <c r="CP82" s="314"/>
      <c r="CQ82" s="314"/>
    </row>
    <row r="83" spans="1:95" ht="12.75" customHeight="1" x14ac:dyDescent="0.25">
      <c r="A83" s="307"/>
      <c r="B83" s="68"/>
      <c r="C83" s="68"/>
      <c r="D83" s="1246" t="str">
        <f>Translations!$B$399</f>
        <v>Tiers valid from:</v>
      </c>
      <c r="E83" s="1246"/>
      <c r="F83" s="1247"/>
      <c r="G83" s="8"/>
      <c r="H83" s="199" t="str">
        <f>Translations!$B$400</f>
        <v>until:</v>
      </c>
      <c r="I83" s="8"/>
      <c r="J83" s="76"/>
      <c r="K83" s="76"/>
      <c r="L83" s="76"/>
      <c r="M83" s="199" t="str">
        <f>Translations!$B$401</f>
        <v>ID used in the monitoring plan for this fuel stream:</v>
      </c>
      <c r="N83" s="9"/>
      <c r="O83" s="160"/>
      <c r="P83" s="109"/>
      <c r="Q83" s="312"/>
      <c r="R83" s="312"/>
      <c r="S83" s="465"/>
      <c r="T83" s="314"/>
      <c r="U83" s="314"/>
      <c r="V83" s="314"/>
      <c r="W83" s="314"/>
      <c r="X83" s="314"/>
      <c r="Y83" s="314"/>
      <c r="Z83" s="314"/>
      <c r="AA83" s="314"/>
      <c r="AB83" s="314"/>
      <c r="AC83" s="314"/>
      <c r="AD83" s="314"/>
      <c r="AE83" s="314"/>
      <c r="AF83" s="314"/>
      <c r="AG83" s="314"/>
      <c r="AH83" s="314"/>
      <c r="AI83" s="314"/>
      <c r="AJ83" s="314"/>
      <c r="AK83" s="314"/>
      <c r="AL83" s="314"/>
      <c r="AM83" s="314"/>
      <c r="AN83" s="314"/>
      <c r="AO83" s="314"/>
      <c r="AP83" s="314"/>
      <c r="AQ83" s="314"/>
      <c r="AR83" s="314"/>
      <c r="AS83" s="314"/>
      <c r="AT83" s="314"/>
      <c r="AU83" s="314"/>
      <c r="AV83" s="314"/>
      <c r="AW83" s="314"/>
      <c r="AX83" s="314"/>
      <c r="AY83" s="314"/>
      <c r="AZ83" s="314"/>
      <c r="BA83" s="314"/>
      <c r="BB83" s="314"/>
      <c r="BC83" s="314"/>
      <c r="BD83" s="314"/>
      <c r="BE83" s="314"/>
      <c r="BF83" s="314"/>
      <c r="BG83" s="314"/>
      <c r="BH83" s="314"/>
      <c r="BI83" s="314"/>
      <c r="BJ83" s="314"/>
      <c r="BK83" s="314"/>
      <c r="BL83" s="314"/>
      <c r="BM83" s="314"/>
      <c r="BN83" s="314"/>
      <c r="BO83" s="314"/>
      <c r="BP83" s="314"/>
      <c r="BQ83" s="314"/>
      <c r="BR83" s="314"/>
      <c r="BS83" s="314"/>
      <c r="BT83" s="314"/>
      <c r="BU83" s="314"/>
      <c r="BV83" s="314"/>
      <c r="BW83" s="314"/>
      <c r="BX83" s="314"/>
      <c r="BY83" s="314"/>
      <c r="BZ83" s="314"/>
      <c r="CA83" s="314"/>
      <c r="CB83" s="314"/>
      <c r="CC83" s="314"/>
      <c r="CD83" s="314"/>
      <c r="CE83" s="314"/>
      <c r="CF83" s="314"/>
      <c r="CG83" s="314"/>
      <c r="CH83" s="314"/>
      <c r="CI83" s="314"/>
      <c r="CJ83" s="314"/>
      <c r="CK83" s="314"/>
      <c r="CL83" s="314"/>
      <c r="CM83" s="314"/>
      <c r="CN83" s="314"/>
      <c r="CO83" s="314"/>
      <c r="CP83" s="314"/>
      <c r="CQ83" s="464" t="b">
        <f>CQ66</f>
        <v>0</v>
      </c>
    </row>
    <row r="84" spans="1:95" ht="5.15" customHeight="1" x14ac:dyDescent="0.25">
      <c r="A84" s="462"/>
      <c r="B84" s="76"/>
      <c r="C84" s="76"/>
      <c r="D84" s="76"/>
      <c r="E84" s="76"/>
      <c r="F84" s="76"/>
      <c r="G84" s="76"/>
      <c r="H84" s="76"/>
      <c r="I84" s="76"/>
      <c r="J84" s="76"/>
      <c r="K84" s="76"/>
      <c r="L84" s="76"/>
      <c r="M84" s="76"/>
      <c r="N84" s="76"/>
      <c r="O84" s="160"/>
      <c r="P84" s="109"/>
      <c r="Q84" s="312"/>
      <c r="R84" s="312"/>
      <c r="S84" s="314"/>
      <c r="T84" s="314"/>
      <c r="U84" s="314"/>
      <c r="V84" s="314"/>
      <c r="W84" s="314"/>
      <c r="X84" s="314"/>
      <c r="Y84" s="314"/>
      <c r="Z84" s="314"/>
      <c r="AA84" s="314"/>
      <c r="AB84" s="314"/>
      <c r="AC84" s="314"/>
      <c r="AD84" s="314"/>
      <c r="AE84" s="314"/>
      <c r="AF84" s="314"/>
      <c r="AG84" s="314"/>
      <c r="AH84" s="314"/>
      <c r="AI84" s="314"/>
      <c r="AJ84" s="314"/>
      <c r="AK84" s="314"/>
      <c r="AL84" s="314"/>
      <c r="AM84" s="314"/>
      <c r="AN84" s="314"/>
      <c r="AO84" s="314"/>
      <c r="AP84" s="314"/>
      <c r="AQ84" s="314"/>
      <c r="AR84" s="314"/>
      <c r="AS84" s="314"/>
      <c r="AT84" s="314"/>
      <c r="AU84" s="314"/>
      <c r="AV84" s="314"/>
      <c r="AW84" s="314"/>
      <c r="AX84" s="314"/>
      <c r="AY84" s="314"/>
      <c r="AZ84" s="314"/>
      <c r="BA84" s="314"/>
      <c r="BB84" s="314"/>
      <c r="BC84" s="314"/>
      <c r="BD84" s="314"/>
      <c r="BE84" s="314"/>
      <c r="BF84" s="314"/>
      <c r="BG84" s="314"/>
      <c r="BH84" s="314"/>
      <c r="BI84" s="314"/>
      <c r="BJ84" s="314"/>
      <c r="BK84" s="314"/>
      <c r="BL84" s="314"/>
      <c r="BM84" s="314"/>
      <c r="BN84" s="314"/>
      <c r="BO84" s="314"/>
      <c r="BP84" s="314"/>
      <c r="BQ84" s="314"/>
      <c r="BR84" s="314"/>
      <c r="BS84" s="314"/>
      <c r="BT84" s="314"/>
      <c r="BU84" s="314"/>
      <c r="BV84" s="314"/>
      <c r="BW84" s="314"/>
      <c r="BX84" s="314"/>
      <c r="BY84" s="314"/>
      <c r="BZ84" s="314"/>
      <c r="CA84" s="314"/>
      <c r="CB84" s="314"/>
      <c r="CC84" s="314"/>
      <c r="CD84" s="314"/>
      <c r="CE84" s="314"/>
      <c r="CF84" s="314"/>
      <c r="CG84" s="314"/>
      <c r="CH84" s="314"/>
      <c r="CI84" s="314"/>
      <c r="CJ84" s="314"/>
      <c r="CK84" s="314"/>
      <c r="CL84" s="314"/>
      <c r="CM84" s="314"/>
      <c r="CN84" s="314"/>
      <c r="CO84" s="314"/>
      <c r="CP84" s="314"/>
      <c r="CQ84" s="314"/>
    </row>
    <row r="85" spans="1:95" ht="12.75" customHeight="1" x14ac:dyDescent="0.25">
      <c r="A85" s="462"/>
      <c r="B85" s="76"/>
      <c r="C85" s="76"/>
      <c r="D85" s="115"/>
      <c r="E85" s="85"/>
      <c r="F85" s="466" t="str">
        <f>Translations!$B$304</f>
        <v>Comments:</v>
      </c>
      <c r="G85" s="1250"/>
      <c r="H85" s="1251"/>
      <c r="I85" s="1251"/>
      <c r="J85" s="1251"/>
      <c r="K85" s="1251"/>
      <c r="L85" s="1251"/>
      <c r="M85" s="1251"/>
      <c r="N85" s="1252"/>
      <c r="O85" s="160"/>
      <c r="P85" s="109"/>
      <c r="Q85" s="312"/>
      <c r="R85" s="312"/>
      <c r="S85" s="314"/>
      <c r="T85" s="314"/>
      <c r="U85" s="314"/>
      <c r="V85" s="314"/>
      <c r="W85" s="314"/>
      <c r="X85" s="314"/>
      <c r="Y85" s="314"/>
      <c r="Z85" s="314"/>
      <c r="AA85" s="314"/>
      <c r="AB85" s="314"/>
      <c r="AC85" s="314"/>
      <c r="AD85" s="314"/>
      <c r="AE85" s="314"/>
      <c r="AF85" s="314"/>
      <c r="AG85" s="314"/>
      <c r="AH85" s="314"/>
      <c r="AI85" s="314"/>
      <c r="AJ85" s="314"/>
      <c r="AK85" s="314"/>
      <c r="AL85" s="314"/>
      <c r="AM85" s="314"/>
      <c r="AN85" s="314"/>
      <c r="AO85" s="314"/>
      <c r="AP85" s="314"/>
      <c r="AQ85" s="314"/>
      <c r="AR85" s="314"/>
      <c r="AS85" s="314"/>
      <c r="AT85" s="314"/>
      <c r="AU85" s="314"/>
      <c r="AV85" s="314"/>
      <c r="AW85" s="314"/>
      <c r="AX85" s="314"/>
      <c r="AY85" s="314"/>
      <c r="AZ85" s="314"/>
      <c r="BA85" s="314"/>
      <c r="BB85" s="314"/>
      <c r="BC85" s="314"/>
      <c r="BD85" s="314"/>
      <c r="BE85" s="314"/>
      <c r="BF85" s="314"/>
      <c r="BG85" s="314"/>
      <c r="BH85" s="314"/>
      <c r="BI85" s="314"/>
      <c r="BJ85" s="314"/>
      <c r="BK85" s="314"/>
      <c r="BL85" s="314"/>
      <c r="BM85" s="314"/>
      <c r="BN85" s="314"/>
      <c r="BO85" s="314"/>
      <c r="BP85" s="314"/>
      <c r="BQ85" s="314"/>
      <c r="BR85" s="314"/>
      <c r="BS85" s="314"/>
      <c r="BT85" s="314"/>
      <c r="BU85" s="314"/>
      <c r="BV85" s="314"/>
      <c r="BW85" s="314"/>
      <c r="BX85" s="314"/>
      <c r="BY85" s="314"/>
      <c r="BZ85" s="314"/>
      <c r="CA85" s="314"/>
      <c r="CB85" s="314"/>
      <c r="CC85" s="314"/>
      <c r="CD85" s="314"/>
      <c r="CE85" s="314"/>
      <c r="CF85" s="314"/>
      <c r="CG85" s="314"/>
      <c r="CH85" s="314"/>
      <c r="CI85" s="314"/>
      <c r="CJ85" s="314"/>
      <c r="CK85" s="314"/>
      <c r="CL85" s="314"/>
      <c r="CM85" s="314"/>
      <c r="CN85" s="314"/>
      <c r="CO85" s="314"/>
      <c r="CP85" s="314"/>
      <c r="CQ85" s="464" t="b">
        <f>CQ83</f>
        <v>0</v>
      </c>
    </row>
    <row r="86" spans="1:95" ht="12.75" customHeight="1" thickBot="1" x14ac:dyDescent="0.3">
      <c r="A86" s="307"/>
      <c r="B86" s="76"/>
      <c r="C86" s="308"/>
      <c r="D86" s="309"/>
      <c r="E86" s="310"/>
      <c r="F86" s="308"/>
      <c r="G86" s="311"/>
      <c r="H86" s="311"/>
      <c r="I86" s="311"/>
      <c r="J86" s="311"/>
      <c r="K86" s="311"/>
      <c r="L86" s="311"/>
      <c r="M86" s="311"/>
      <c r="N86" s="311"/>
      <c r="O86" s="160"/>
      <c r="P86" s="109"/>
      <c r="Q86" s="312"/>
      <c r="R86" s="312"/>
      <c r="S86" s="293"/>
      <c r="T86" s="293"/>
      <c r="U86" s="313"/>
      <c r="V86" s="293"/>
      <c r="W86" s="293"/>
      <c r="X86" s="313"/>
      <c r="Y86" s="293"/>
      <c r="Z86" s="293"/>
      <c r="AA86" s="293"/>
      <c r="AB86" s="293"/>
      <c r="AC86" s="293"/>
      <c r="AD86" s="293"/>
      <c r="AE86" s="293"/>
      <c r="AF86" s="293"/>
      <c r="AG86" s="293"/>
      <c r="AH86" s="293"/>
      <c r="AI86" s="293"/>
      <c r="AJ86" s="293"/>
      <c r="AK86" s="293"/>
      <c r="AL86" s="293"/>
      <c r="AM86" s="293"/>
      <c r="AN86" s="293"/>
      <c r="AO86" s="293"/>
      <c r="AP86" s="293"/>
      <c r="AQ86" s="293"/>
      <c r="AR86" s="293"/>
      <c r="AS86" s="293"/>
      <c r="AT86" s="293"/>
      <c r="AU86" s="293"/>
      <c r="AV86" s="293"/>
      <c r="AW86" s="293"/>
      <c r="AX86" s="293"/>
      <c r="AY86" s="293"/>
      <c r="AZ86" s="293"/>
      <c r="BA86" s="293"/>
      <c r="BB86" s="293"/>
      <c r="BC86" s="293"/>
      <c r="BD86" s="293"/>
      <c r="BE86" s="293"/>
      <c r="BF86" s="293"/>
      <c r="BG86" s="293"/>
      <c r="BH86" s="293"/>
      <c r="BI86" s="293"/>
      <c r="BJ86" s="293"/>
      <c r="BK86" s="293"/>
      <c r="BL86" s="293"/>
      <c r="BM86" s="314"/>
      <c r="BN86" s="314"/>
      <c r="BO86" s="314"/>
      <c r="BP86" s="314"/>
      <c r="BQ86" s="314"/>
      <c r="BR86" s="314"/>
      <c r="BS86" s="314"/>
      <c r="BT86" s="314"/>
      <c r="BU86" s="293"/>
      <c r="BV86" s="293"/>
      <c r="BW86" s="293"/>
      <c r="BX86" s="293"/>
      <c r="BY86" s="293"/>
      <c r="BZ86" s="293"/>
      <c r="CA86" s="293"/>
      <c r="CB86" s="293"/>
      <c r="CC86" s="293"/>
      <c r="CD86" s="293"/>
      <c r="CE86" s="293"/>
      <c r="CF86" s="293"/>
      <c r="CG86" s="293"/>
      <c r="CH86" s="293"/>
      <c r="CI86" s="293"/>
      <c r="CJ86" s="293"/>
      <c r="CK86" s="293"/>
      <c r="CL86" s="293"/>
      <c r="CM86" s="293"/>
      <c r="CN86" s="293"/>
      <c r="CO86" s="293"/>
      <c r="CP86" s="293"/>
      <c r="CQ86" s="293"/>
    </row>
    <row r="87" spans="1:95" ht="12.75" customHeight="1" thickBot="1" x14ac:dyDescent="0.3">
      <c r="A87" s="315"/>
      <c r="B87" s="76"/>
      <c r="C87" s="76"/>
      <c r="D87" s="205"/>
      <c r="E87" s="316"/>
      <c r="F87" s="76"/>
      <c r="G87" s="96"/>
      <c r="H87" s="96"/>
      <c r="I87" s="96"/>
      <c r="J87" s="96"/>
      <c r="K87" s="76"/>
      <c r="L87" s="96"/>
      <c r="M87" s="96"/>
      <c r="N87" s="96"/>
      <c r="O87" s="160"/>
      <c r="P87" s="109"/>
      <c r="Q87" s="312"/>
      <c r="R87" s="312"/>
      <c r="S87" s="287"/>
      <c r="T87" s="317" t="str">
        <f>IF(ISBLANK(E88),"",MATCH(E88,CNTR_SourceStreamNames,0))</f>
        <v/>
      </c>
      <c r="U87" s="318" t="str">
        <f>IF(ISBLANK(E88),"",INDEX(B_IdentifyFuelStreams!$D$67:$D$116,MATCH(E88,CNTR_SourceStreamNames,0)))</f>
        <v/>
      </c>
      <c r="V87" s="301"/>
      <c r="W87" s="138"/>
      <c r="X87" s="138"/>
      <c r="Y87" s="138"/>
      <c r="Z87" s="293"/>
      <c r="AA87" s="293"/>
      <c r="AB87" s="293"/>
      <c r="AC87" s="293"/>
      <c r="AD87" s="293"/>
      <c r="AE87" s="293"/>
      <c r="AF87" s="293"/>
      <c r="AG87" s="293"/>
      <c r="AH87" s="293"/>
      <c r="AI87" s="293"/>
      <c r="AJ87" s="293"/>
      <c r="AK87" s="312"/>
      <c r="AL87" s="293"/>
      <c r="AM87" s="293"/>
      <c r="AN87" s="293"/>
      <c r="AO87" s="293"/>
      <c r="AP87" s="293"/>
      <c r="AQ87" s="293"/>
      <c r="AR87" s="293"/>
      <c r="AS87" s="293"/>
      <c r="AT87" s="293"/>
      <c r="AU87" s="293"/>
      <c r="AV87" s="293"/>
      <c r="AW87" s="293"/>
      <c r="AX87" s="293"/>
      <c r="AY87" s="293"/>
      <c r="AZ87" s="293"/>
      <c r="BA87" s="293"/>
      <c r="BB87" s="293"/>
      <c r="BC87" s="293"/>
      <c r="BD87" s="293"/>
      <c r="BE87" s="293"/>
      <c r="BF87" s="293"/>
      <c r="BG87" s="293"/>
      <c r="BH87" s="293"/>
      <c r="BI87" s="293"/>
      <c r="BJ87" s="138"/>
      <c r="BK87" s="138"/>
      <c r="BL87" s="138"/>
      <c r="BM87" s="138"/>
      <c r="BN87" s="138"/>
      <c r="BO87" s="138"/>
      <c r="BP87" s="138"/>
      <c r="BQ87" s="138"/>
      <c r="BR87" s="138"/>
      <c r="BS87" s="138"/>
      <c r="BT87" s="138"/>
      <c r="BU87" s="138"/>
      <c r="BV87" s="138"/>
      <c r="BW87" s="138"/>
      <c r="BX87" s="138"/>
      <c r="BY87" s="138"/>
      <c r="BZ87" s="138"/>
      <c r="CA87" s="138"/>
      <c r="CB87" s="138"/>
      <c r="CC87" s="138"/>
      <c r="CD87" s="138"/>
      <c r="CE87" s="138"/>
      <c r="CF87" s="138"/>
      <c r="CG87" s="138"/>
      <c r="CH87" s="138"/>
      <c r="CI87" s="138"/>
      <c r="CJ87" s="138"/>
      <c r="CK87" s="138"/>
      <c r="CL87" s="138"/>
      <c r="CM87" s="138"/>
      <c r="CN87" s="138"/>
      <c r="CO87" s="138"/>
      <c r="CP87" s="138"/>
      <c r="CQ87" s="319" t="s">
        <v>107</v>
      </c>
    </row>
    <row r="88" spans="1:95" ht="15" customHeight="1" thickBot="1" x14ac:dyDescent="0.3">
      <c r="A88" s="320">
        <f>C88</f>
        <v>2</v>
      </c>
      <c r="B88" s="68"/>
      <c r="C88" s="321">
        <f>C60+1</f>
        <v>2</v>
      </c>
      <c r="D88" s="68"/>
      <c r="E88" s="1269"/>
      <c r="F88" s="1270"/>
      <c r="G88" s="1270"/>
      <c r="H88" s="1270"/>
      <c r="I88" s="1270"/>
      <c r="J88" s="1271"/>
      <c r="K88" s="1272" t="str">
        <f>IF(INDEX(B_IdentifyFuelStreams!$K$125:$K$174,MATCH(U87,B_IdentifyFuelStreams!$D$125:$D$174,0))&gt;0,INDEX(B_IdentifyFuelStreams!$K$125:$K$174,MATCH(U87,B_IdentifyFuelStreams!$D$125:$D$174,0)),"")</f>
        <v/>
      </c>
      <c r="L88" s="1273"/>
      <c r="M88" s="316" t="str">
        <f>Translations!$B$621</f>
        <v>Emissions:</v>
      </c>
      <c r="N88" s="322" t="str">
        <f>IF(E89="","",BG94)</f>
        <v/>
      </c>
      <c r="O88" s="323" t="str">
        <f>EUconst_tCO2</f>
        <v>tCO2</v>
      </c>
      <c r="P88" s="324" t="str">
        <f>IF(AND(E88&lt;&gt;"",COUNTIF(P89:$P$1649,"PRINT")=0),"PRINT","")</f>
        <v/>
      </c>
      <c r="Q88" s="325" t="str">
        <f>EUconst_SumCO2</f>
        <v>SUM_CO2</v>
      </c>
      <c r="R88" s="312"/>
      <c r="S88" s="287"/>
      <c r="T88" s="287"/>
      <c r="U88" s="287"/>
      <c r="V88" s="301"/>
      <c r="W88" s="138"/>
      <c r="X88" s="293"/>
      <c r="Y88" s="293"/>
      <c r="Z88" s="293"/>
      <c r="AA88" s="293"/>
      <c r="AB88" s="293"/>
      <c r="AC88" s="293"/>
      <c r="AD88" s="293"/>
      <c r="AE88" s="293"/>
      <c r="AF88" s="293"/>
      <c r="AG88" s="293"/>
      <c r="AH88" s="293"/>
      <c r="AI88" s="326"/>
      <c r="AJ88" s="326"/>
      <c r="AK88" s="326"/>
      <c r="AL88" s="326"/>
      <c r="AM88" s="326"/>
      <c r="AN88" s="326"/>
      <c r="AO88" s="326"/>
      <c r="AP88" s="326"/>
      <c r="AQ88" s="326"/>
      <c r="AR88" s="326"/>
      <c r="AS88" s="326"/>
      <c r="AT88" s="326"/>
      <c r="AU88" s="326"/>
      <c r="AV88" s="326"/>
      <c r="AW88" s="326"/>
      <c r="AX88" s="326"/>
      <c r="AY88" s="326"/>
      <c r="AZ88" s="326"/>
      <c r="BA88" s="326"/>
      <c r="BB88" s="326"/>
      <c r="BC88" s="326"/>
      <c r="BD88" s="326"/>
      <c r="BE88" s="326"/>
      <c r="BF88" s="326"/>
      <c r="BG88" s="326"/>
      <c r="BH88" s="326"/>
      <c r="BI88" s="327" t="str">
        <f>IF(E88="","",E88)</f>
        <v/>
      </c>
      <c r="BJ88" s="328" t="str">
        <f>IF(F94="","",F94)</f>
        <v/>
      </c>
      <c r="BK88" s="329">
        <f>AV94</f>
        <v>0</v>
      </c>
      <c r="BL88" s="329">
        <f>IF(BK88="","",BK88*(1-BP88))</f>
        <v>0</v>
      </c>
      <c r="BM88" s="328" t="str">
        <f>AJ94</f>
        <v/>
      </c>
      <c r="BN88" s="328" t="str">
        <f>IF(F105="","",F105)</f>
        <v/>
      </c>
      <c r="BO88" s="327" t="str">
        <f>IF(G105="","",G105)</f>
        <v/>
      </c>
      <c r="BP88" s="330">
        <f>AV105</f>
        <v>0</v>
      </c>
      <c r="BQ88" s="328" t="str">
        <f>IF(F97="","",F97)</f>
        <v/>
      </c>
      <c r="BR88" s="330">
        <f>AV97</f>
        <v>0</v>
      </c>
      <c r="BS88" s="330" t="str">
        <f>AJ97</f>
        <v/>
      </c>
      <c r="BT88" s="328" t="str">
        <f>IF(F96="","",F96)</f>
        <v/>
      </c>
      <c r="BU88" s="330">
        <f>IF(F96=EUconst_NA,"",AV96)</f>
        <v>0</v>
      </c>
      <c r="BV88" s="330" t="str">
        <f>AJ96</f>
        <v/>
      </c>
      <c r="BW88" s="328" t="str">
        <f>IF(F98="","",F98)</f>
        <v/>
      </c>
      <c r="BX88" s="330">
        <f>AV98</f>
        <v>0</v>
      </c>
      <c r="BY88" s="328" t="str">
        <f>IF(F99="","",F99)</f>
        <v/>
      </c>
      <c r="BZ88" s="330">
        <f>AV99</f>
        <v>0</v>
      </c>
      <c r="CA88" s="330">
        <f>AV100</f>
        <v>0</v>
      </c>
      <c r="CB88" s="330">
        <f>AV101</f>
        <v>0</v>
      </c>
      <c r="CC88" s="330">
        <f>AV102</f>
        <v>0</v>
      </c>
      <c r="CD88" s="330">
        <f>AV103</f>
        <v>0</v>
      </c>
      <c r="CE88" s="329" t="str">
        <f>BG94</f>
        <v/>
      </c>
      <c r="CF88" s="329" t="str">
        <f>BG96</f>
        <v/>
      </c>
      <c r="CG88" s="329" t="str">
        <f>BG97</f>
        <v/>
      </c>
      <c r="CH88" s="329" t="str">
        <f>BG98</f>
        <v/>
      </c>
      <c r="CI88" s="329" t="str">
        <f>BG99</f>
        <v/>
      </c>
      <c r="CJ88" s="329" t="str">
        <f>BG100</f>
        <v/>
      </c>
      <c r="CK88" s="329" t="str">
        <f>BG101</f>
        <v/>
      </c>
      <c r="CL88" s="329">
        <f>BG102</f>
        <v>0</v>
      </c>
      <c r="CM88" s="329" t="str">
        <f>BG103</f>
        <v/>
      </c>
      <c r="CN88" s="329" t="str">
        <f>BG105</f>
        <v/>
      </c>
      <c r="CO88" s="329" t="str">
        <f>BG109</f>
        <v/>
      </c>
      <c r="CP88" s="329" t="str">
        <f>IF(COUNTIF(AO97:AO98,TRUE)=0,"",BH94)</f>
        <v/>
      </c>
      <c r="CQ88" s="331" t="b">
        <v>0</v>
      </c>
    </row>
    <row r="89" spans="1:95" ht="15" customHeight="1" thickBot="1" x14ac:dyDescent="0.3">
      <c r="A89" s="307"/>
      <c r="B89" s="68"/>
      <c r="C89" s="68"/>
      <c r="D89" s="68"/>
      <c r="E89" s="1274" t="str">
        <f>IF(ISBLANK(E88),"",IF(INDEX(B_IdentifyFuelStreams!$E$67:$E$116,MATCH(U87,B_IdentifyFuelStreams!$D$67:$D$116,0))&gt;0,INDEX(B_IdentifyFuelStreams!$E$67:$E$116,MATCH(U87,B_IdentifyFuelStreams!$D$67:$D$116,0)),""))</f>
        <v/>
      </c>
      <c r="F89" s="1275"/>
      <c r="G89" s="1275"/>
      <c r="H89" s="1275"/>
      <c r="I89" s="1275"/>
      <c r="J89" s="1276"/>
      <c r="K89" s="1272" t="str">
        <f>IF(INDEX(B_IdentifyFuelStreams!$M$125:$M$174,MATCH(U87,B_IdentifyFuelStreams!$D$125:$D$174,0))&gt;0,INDEX(B_IdentifyFuelStreams!$M$125:$M$174,MATCH(U87,B_IdentifyFuelStreams!$D$125:$D$174,0)),"")</f>
        <v/>
      </c>
      <c r="L89" s="1273"/>
      <c r="M89" s="332" t="str">
        <f>Translations!$B$622</f>
        <v>zero-rated:</v>
      </c>
      <c r="N89" s="333" t="str">
        <f>IF(E89="","",SUM(BG96,BG98,BG100))</f>
        <v/>
      </c>
      <c r="O89" s="334" t="str">
        <f>EUconst_tCO2</f>
        <v>tCO2</v>
      </c>
      <c r="P89" s="109"/>
      <c r="Q89" s="325" t="str">
        <f>EUconst_SumBioCO2</f>
        <v>SUM_bioCO2</v>
      </c>
      <c r="R89" s="312"/>
      <c r="S89" s="287"/>
      <c r="T89" s="287"/>
      <c r="U89" s="287"/>
      <c r="V89" s="301"/>
      <c r="W89" s="138"/>
      <c r="X89" s="293"/>
      <c r="Y89" s="317" t="str">
        <f>Translations!$B$143</f>
        <v>Tiers</v>
      </c>
      <c r="Z89" s="314"/>
      <c r="AA89" s="314"/>
      <c r="AB89" s="314"/>
      <c r="AC89" s="314"/>
      <c r="AD89" s="314"/>
      <c r="AE89" s="317" t="s">
        <v>108</v>
      </c>
      <c r="AF89" s="293"/>
      <c r="AG89" s="335"/>
      <c r="AH89" s="314"/>
      <c r="AI89" s="314"/>
      <c r="AJ89" s="335"/>
      <c r="AK89" s="335"/>
      <c r="AL89" s="326"/>
      <c r="AM89" s="326"/>
      <c r="AN89" s="326"/>
      <c r="AO89" s="326"/>
      <c r="AP89" s="326"/>
      <c r="AQ89" s="317" t="s">
        <v>109</v>
      </c>
      <c r="AR89" s="336"/>
      <c r="AS89" s="336"/>
      <c r="AT89" s="314"/>
      <c r="AU89" s="314"/>
      <c r="AV89" s="314"/>
      <c r="AW89" s="314"/>
      <c r="AX89" s="314"/>
      <c r="AY89" s="314"/>
      <c r="AZ89" s="317" t="s">
        <v>110</v>
      </c>
      <c r="BA89" s="314"/>
      <c r="BB89" s="314"/>
      <c r="BC89" s="314"/>
      <c r="BD89" s="314"/>
      <c r="BE89" s="314"/>
      <c r="BF89" s="317" t="s">
        <v>111</v>
      </c>
      <c r="BG89" s="314"/>
      <c r="BH89" s="314"/>
      <c r="BI89" s="317" t="s">
        <v>112</v>
      </c>
      <c r="BJ89" s="328" t="str">
        <f>Translations!$B$376</f>
        <v>RFA Tier</v>
      </c>
      <c r="BK89" s="328" t="str">
        <f>Translations!$B$377</f>
        <v>RFA</v>
      </c>
      <c r="BL89" s="328" t="str">
        <f>Translations!$B$378</f>
        <v>RFA (in scope)</v>
      </c>
      <c r="BM89" s="328" t="str">
        <f>Translations!$B$379</f>
        <v>RFA Unit</v>
      </c>
      <c r="BN89" s="328" t="str">
        <f>Translations!$B$380</f>
        <v>SF Tier</v>
      </c>
      <c r="BO89" s="328" t="str">
        <f>Translations!$B$380</f>
        <v>SF Tier</v>
      </c>
      <c r="BP89" s="328" t="str">
        <f>Translations!$B$381</f>
        <v>SF</v>
      </c>
      <c r="BQ89" s="328" t="str">
        <f>Translations!$B$382</f>
        <v>EF Tier</v>
      </c>
      <c r="BR89" s="328" t="str">
        <f>Translations!$B$383</f>
        <v>EF</v>
      </c>
      <c r="BS89" s="328" t="str">
        <f>Translations!$B$384</f>
        <v>EF Unit</v>
      </c>
      <c r="BT89" s="328" t="str">
        <f>Translations!$B$385</f>
        <v>UCF Tier</v>
      </c>
      <c r="BU89" s="328" t="str">
        <f>Translations!$B$386</f>
        <v>UCF</v>
      </c>
      <c r="BV89" s="328" t="str">
        <f>Translations!$B$387</f>
        <v>UCF Unit</v>
      </c>
      <c r="BW89" s="328" t="str">
        <f>Translations!$B$388</f>
        <v>Bio Tier</v>
      </c>
      <c r="BX89" s="328" t="s">
        <v>113</v>
      </c>
      <c r="BY89" s="328" t="str">
        <f>Translations!$B$389</f>
        <v>NonSustBio Tier</v>
      </c>
      <c r="BZ89" s="328" t="s">
        <v>114</v>
      </c>
      <c r="CA89" s="328" t="s">
        <v>115</v>
      </c>
      <c r="CB89" s="328" t="s">
        <v>116</v>
      </c>
      <c r="CC89" s="328" t="s">
        <v>117</v>
      </c>
      <c r="CD89" s="328" t="s">
        <v>118</v>
      </c>
      <c r="CE89" s="328" t="s">
        <v>119</v>
      </c>
      <c r="CF89" s="328" t="s">
        <v>120</v>
      </c>
      <c r="CG89" s="328" t="str">
        <f>Translations!$B$392</f>
        <v>CO2 non-sust</v>
      </c>
      <c r="CH89" s="328" t="s">
        <v>121</v>
      </c>
      <c r="CI89" s="328" t="s">
        <v>122</v>
      </c>
      <c r="CJ89" s="328" t="s">
        <v>123</v>
      </c>
      <c r="CK89" s="328" t="s">
        <v>124</v>
      </c>
      <c r="CL89" s="328" t="s">
        <v>125</v>
      </c>
      <c r="CM89" s="328" t="str">
        <f>Translations!$B$551</f>
        <v>Energy content (bio), TJ</v>
      </c>
      <c r="CN89" s="328" t="s">
        <v>126</v>
      </c>
      <c r="CO89" s="328" t="s">
        <v>127</v>
      </c>
      <c r="CP89" s="328" t="s">
        <v>128</v>
      </c>
      <c r="CQ89" s="314"/>
    </row>
    <row r="90" spans="1:95" ht="5.15" customHeight="1" thickBot="1" x14ac:dyDescent="0.3">
      <c r="A90" s="307"/>
      <c r="B90" s="68"/>
      <c r="C90" s="68"/>
      <c r="D90" s="68"/>
      <c r="E90" s="68"/>
      <c r="F90" s="68"/>
      <c r="G90" s="68"/>
      <c r="H90" s="76"/>
      <c r="I90" s="76"/>
      <c r="J90" s="76"/>
      <c r="K90" s="76"/>
      <c r="L90" s="76"/>
      <c r="M90" s="76"/>
      <c r="N90" s="76"/>
      <c r="O90" s="160"/>
      <c r="P90" s="109"/>
      <c r="Q90" s="312"/>
      <c r="R90" s="312"/>
      <c r="S90" s="287"/>
      <c r="T90" s="287"/>
      <c r="U90" s="287"/>
      <c r="V90" s="301"/>
      <c r="W90" s="314"/>
      <c r="X90" s="314"/>
      <c r="Y90" s="312"/>
      <c r="Z90" s="314"/>
      <c r="AA90" s="314"/>
      <c r="AB90" s="314"/>
      <c r="AC90" s="314"/>
      <c r="AD90" s="314"/>
      <c r="AE90" s="314"/>
      <c r="AF90" s="293"/>
      <c r="AG90" s="314"/>
      <c r="AH90" s="314"/>
      <c r="AI90" s="314"/>
      <c r="AJ90" s="335"/>
      <c r="AK90" s="335"/>
      <c r="AL90" s="326"/>
      <c r="AM90" s="326"/>
      <c r="AN90" s="326"/>
      <c r="AO90" s="326"/>
      <c r="AP90" s="326"/>
      <c r="AQ90" s="314"/>
      <c r="AR90" s="314"/>
      <c r="AS90" s="314"/>
      <c r="AT90" s="314"/>
      <c r="AU90" s="314"/>
      <c r="AV90" s="314"/>
      <c r="AW90" s="314"/>
      <c r="AX90" s="314"/>
      <c r="AY90" s="314"/>
      <c r="AZ90" s="314"/>
      <c r="BA90" s="314"/>
      <c r="BB90" s="314"/>
      <c r="BC90" s="314"/>
      <c r="BD90" s="314"/>
      <c r="BE90" s="314"/>
      <c r="BF90" s="314"/>
      <c r="BG90" s="314"/>
      <c r="BH90" s="314"/>
      <c r="BI90" s="314"/>
      <c r="BJ90" s="314"/>
      <c r="BK90" s="314"/>
      <c r="BL90" s="314"/>
      <c r="BM90" s="314"/>
      <c r="BN90" s="314"/>
      <c r="BO90" s="314"/>
      <c r="BP90" s="314"/>
      <c r="BQ90" s="314"/>
      <c r="BR90" s="314"/>
      <c r="BS90" s="314"/>
      <c r="BT90" s="314"/>
      <c r="BU90" s="314"/>
      <c r="BV90" s="314"/>
      <c r="BW90" s="314"/>
      <c r="BX90" s="314"/>
      <c r="BY90" s="314"/>
      <c r="BZ90" s="314"/>
      <c r="CA90" s="314"/>
      <c r="CB90" s="314"/>
      <c r="CC90" s="314"/>
      <c r="CD90" s="314"/>
      <c r="CE90" s="314"/>
      <c r="CF90" s="314"/>
      <c r="CG90" s="314"/>
      <c r="CH90" s="314"/>
      <c r="CI90" s="314"/>
      <c r="CJ90" s="314"/>
      <c r="CK90" s="314"/>
      <c r="CL90" s="314"/>
      <c r="CM90" s="314"/>
      <c r="CN90" s="314"/>
      <c r="CO90" s="314"/>
      <c r="CP90" s="314"/>
      <c r="CQ90" s="314"/>
    </row>
    <row r="91" spans="1:95" ht="12.75" customHeight="1" thickBot="1" x14ac:dyDescent="0.3">
      <c r="A91" s="307"/>
      <c r="B91" s="68"/>
      <c r="C91" s="68"/>
      <c r="D91" s="68"/>
      <c r="E91" s="1253" t="str">
        <f>IF(E88="","",HYPERLINK("#JUMP_E_Top",EUconst_FurtherGuidancePoint1))</f>
        <v/>
      </c>
      <c r="F91" s="1253"/>
      <c r="G91" s="1253"/>
      <c r="H91" s="1253"/>
      <c r="I91" s="1253"/>
      <c r="J91" s="1253"/>
      <c r="K91" s="1253"/>
      <c r="L91" s="1253"/>
      <c r="M91" s="1253"/>
      <c r="N91" s="76"/>
      <c r="O91" s="160"/>
      <c r="P91" s="109"/>
      <c r="Q91" s="325" t="str">
        <f>EUconst_SumNonSustBioCO2</f>
        <v>SUM_bioNonSustCO2</v>
      </c>
      <c r="R91" s="337" t="str">
        <f>IF(E89="","",BG97)</f>
        <v/>
      </c>
      <c r="S91" s="287"/>
      <c r="T91" s="287"/>
      <c r="U91" s="287"/>
      <c r="V91" s="314"/>
      <c r="W91" s="314"/>
      <c r="X91" s="314"/>
      <c r="Y91" s="293"/>
      <c r="Z91" s="314"/>
      <c r="AA91" s="314"/>
      <c r="AB91" s="314"/>
      <c r="AC91" s="314"/>
      <c r="AD91" s="314"/>
      <c r="AE91" s="314"/>
      <c r="AF91" s="293"/>
      <c r="AG91" s="314"/>
      <c r="AH91" s="314"/>
      <c r="AI91" s="314"/>
      <c r="AJ91" s="335"/>
      <c r="AK91" s="335"/>
      <c r="AL91" s="326"/>
      <c r="AM91" s="326"/>
      <c r="AN91" s="326"/>
      <c r="AO91" s="326"/>
      <c r="AP91" s="326"/>
      <c r="AQ91" s="314"/>
      <c r="AR91" s="314"/>
      <c r="AS91" s="314"/>
      <c r="AT91" s="314"/>
      <c r="AU91" s="314"/>
      <c r="AV91" s="314"/>
      <c r="AW91" s="314"/>
      <c r="AX91" s="314"/>
      <c r="AY91" s="314"/>
      <c r="AZ91" s="314"/>
      <c r="BA91" s="314"/>
      <c r="BB91" s="314"/>
      <c r="BC91" s="314"/>
      <c r="BD91" s="314"/>
      <c r="BE91" s="314"/>
      <c r="BF91" s="314"/>
      <c r="BG91" s="314"/>
      <c r="BH91" s="314"/>
      <c r="BI91" s="317" t="s">
        <v>129</v>
      </c>
      <c r="BJ91" s="336"/>
      <c r="BK91" s="327" t="str">
        <f>IF(G109="","",G109)</f>
        <v/>
      </c>
      <c r="BL91" s="327" t="str">
        <f>IF(I109="","",I109)</f>
        <v/>
      </c>
      <c r="BM91" s="327" t="str">
        <f>IF(K109="","",K109)</f>
        <v/>
      </c>
      <c r="BN91" s="314"/>
      <c r="BO91" s="314"/>
      <c r="BP91" s="314"/>
      <c r="BQ91" s="314"/>
      <c r="BR91" s="314"/>
      <c r="BS91" s="314"/>
      <c r="BT91" s="319"/>
      <c r="BU91" s="314"/>
      <c r="BV91" s="314"/>
      <c r="BW91" s="314"/>
      <c r="BX91" s="314"/>
      <c r="BY91" s="314"/>
      <c r="BZ91" s="314"/>
      <c r="CA91" s="314"/>
      <c r="CB91" s="314"/>
      <c r="CC91" s="314"/>
      <c r="CD91" s="314"/>
      <c r="CE91" s="314"/>
      <c r="CF91" s="314"/>
      <c r="CG91" s="314"/>
      <c r="CH91" s="314"/>
      <c r="CI91" s="314"/>
      <c r="CJ91" s="314"/>
      <c r="CK91" s="314"/>
      <c r="CL91" s="314"/>
      <c r="CM91" s="314"/>
      <c r="CN91" s="314"/>
      <c r="CO91" s="314"/>
      <c r="CP91" s="314"/>
      <c r="CQ91" s="314"/>
    </row>
    <row r="92" spans="1:95" ht="5.15" customHeight="1" thickBot="1" x14ac:dyDescent="0.3">
      <c r="A92" s="307"/>
      <c r="B92" s="68"/>
      <c r="C92" s="68"/>
      <c r="D92" s="68"/>
      <c r="E92" s="68"/>
      <c r="F92" s="68"/>
      <c r="G92" s="68"/>
      <c r="H92" s="76"/>
      <c r="I92" s="76"/>
      <c r="J92" s="76"/>
      <c r="K92" s="76"/>
      <c r="L92" s="76"/>
      <c r="M92" s="76"/>
      <c r="N92" s="76"/>
      <c r="O92" s="160"/>
      <c r="P92" s="111"/>
      <c r="Q92" s="287"/>
      <c r="R92" s="111"/>
      <c r="S92" s="287"/>
      <c r="T92" s="287"/>
      <c r="U92" s="287"/>
      <c r="V92" s="314"/>
      <c r="W92" s="314"/>
      <c r="X92" s="314"/>
      <c r="Y92" s="312"/>
      <c r="Z92" s="314"/>
      <c r="AA92" s="314"/>
      <c r="AB92" s="314"/>
      <c r="AC92" s="314"/>
      <c r="AD92" s="314"/>
      <c r="AE92" s="314"/>
      <c r="AF92" s="293"/>
      <c r="AG92" s="314"/>
      <c r="AH92" s="314"/>
      <c r="AI92" s="314"/>
      <c r="AJ92" s="335"/>
      <c r="AK92" s="335"/>
      <c r="AL92" s="326"/>
      <c r="AM92" s="326"/>
      <c r="AN92" s="326"/>
      <c r="AO92" s="326"/>
      <c r="AP92" s="326"/>
      <c r="AQ92" s="314"/>
      <c r="AR92" s="314"/>
      <c r="AS92" s="314"/>
      <c r="AT92" s="314"/>
      <c r="AU92" s="314"/>
      <c r="AV92" s="314"/>
      <c r="AW92" s="314"/>
      <c r="AX92" s="314"/>
      <c r="AY92" s="314"/>
      <c r="AZ92" s="314"/>
      <c r="BA92" s="314"/>
      <c r="BB92" s="314"/>
      <c r="BC92" s="314"/>
      <c r="BD92" s="314"/>
      <c r="BE92" s="314"/>
      <c r="BF92" s="314"/>
      <c r="BG92" s="314"/>
      <c r="BH92" s="314"/>
      <c r="BI92" s="314"/>
      <c r="BJ92" s="314"/>
      <c r="BK92" s="314"/>
      <c r="BL92" s="314"/>
      <c r="BM92" s="314"/>
      <c r="BN92" s="314"/>
      <c r="BO92" s="314"/>
      <c r="BP92" s="314"/>
      <c r="BQ92" s="314"/>
      <c r="BR92" s="314"/>
      <c r="BS92" s="314"/>
      <c r="BT92" s="314"/>
      <c r="BU92" s="314"/>
      <c r="BV92" s="314"/>
      <c r="BW92" s="314"/>
      <c r="BX92" s="314"/>
      <c r="BY92" s="314"/>
      <c r="BZ92" s="314"/>
      <c r="CA92" s="314"/>
      <c r="CB92" s="314"/>
      <c r="CC92" s="314"/>
      <c r="CD92" s="314"/>
      <c r="CE92" s="314"/>
      <c r="CF92" s="314"/>
      <c r="CG92" s="314"/>
      <c r="CH92" s="314"/>
      <c r="CI92" s="314"/>
      <c r="CJ92" s="314"/>
      <c r="CK92" s="314"/>
      <c r="CL92" s="314"/>
      <c r="CM92" s="314"/>
      <c r="CN92" s="314"/>
      <c r="CO92" s="314"/>
      <c r="CP92" s="314"/>
      <c r="CQ92" s="314"/>
    </row>
    <row r="93" spans="1:95" ht="12.75" customHeight="1" thickBot="1" x14ac:dyDescent="0.3">
      <c r="A93" s="307"/>
      <c r="B93" s="68"/>
      <c r="C93" s="68"/>
      <c r="D93" s="68"/>
      <c r="E93" s="68"/>
      <c r="F93" s="338" t="str">
        <f>Translations!$B$127</f>
        <v>Tier</v>
      </c>
      <c r="G93" s="1254" t="str">
        <f>Translations!$B$393</f>
        <v>tier description</v>
      </c>
      <c r="H93" s="1254"/>
      <c r="I93" s="1255" t="str">
        <f>Translations!$B$394</f>
        <v>Unit</v>
      </c>
      <c r="J93" s="1255"/>
      <c r="K93" s="1255" t="str">
        <f>Translations!$B$395</f>
        <v>Value</v>
      </c>
      <c r="L93" s="1255"/>
      <c r="M93" s="205" t="str">
        <f>Translations!$B$396</f>
        <v>error</v>
      </c>
      <c r="N93" s="76"/>
      <c r="O93" s="160"/>
      <c r="P93" s="339"/>
      <c r="Q93" s="325" t="str">
        <f>EUconst_SumEnergyIN</f>
        <v>SUM_EnergyIN</v>
      </c>
      <c r="R93" s="340" t="str">
        <f>IF(E89="","",BG102)</f>
        <v/>
      </c>
      <c r="S93" s="314"/>
      <c r="T93" s="314"/>
      <c r="U93" s="314"/>
      <c r="V93" s="341" t="s">
        <v>130</v>
      </c>
      <c r="W93" s="314"/>
      <c r="X93" s="314"/>
      <c r="Y93" s="312" t="s">
        <v>131</v>
      </c>
      <c r="Z93" s="312" t="s">
        <v>132</v>
      </c>
      <c r="AA93" s="314"/>
      <c r="AB93" s="314"/>
      <c r="AC93" s="336" t="s">
        <v>133</v>
      </c>
      <c r="AD93" s="314"/>
      <c r="AE93" s="314"/>
      <c r="AF93" s="314" t="s">
        <v>134</v>
      </c>
      <c r="AG93" s="314" t="s">
        <v>135</v>
      </c>
      <c r="AH93" s="312" t="s">
        <v>136</v>
      </c>
      <c r="AI93" s="335" t="s">
        <v>137</v>
      </c>
      <c r="AJ93" s="335" t="s">
        <v>138</v>
      </c>
      <c r="AK93" s="342" t="s">
        <v>139</v>
      </c>
      <c r="AL93" s="326"/>
      <c r="AM93" s="326"/>
      <c r="AN93" s="326"/>
      <c r="AO93" s="326"/>
      <c r="AP93" s="326"/>
      <c r="AQ93" s="314"/>
      <c r="AR93" s="314" t="s">
        <v>134</v>
      </c>
      <c r="AS93" s="314" t="s">
        <v>135</v>
      </c>
      <c r="AT93" s="343" t="s">
        <v>140</v>
      </c>
      <c r="AU93" s="335" t="s">
        <v>141</v>
      </c>
      <c r="AV93" s="335" t="s">
        <v>142</v>
      </c>
      <c r="AW93" s="342" t="s">
        <v>139</v>
      </c>
      <c r="AX93" s="342" t="s">
        <v>139</v>
      </c>
      <c r="AY93" s="314"/>
      <c r="AZ93" s="314"/>
      <c r="BA93" s="314"/>
      <c r="BB93" s="314" t="s">
        <v>143</v>
      </c>
      <c r="BC93" s="314"/>
      <c r="BD93" s="314"/>
      <c r="BE93" s="314"/>
      <c r="BF93" s="314"/>
      <c r="BG93" s="319" t="s">
        <v>144</v>
      </c>
      <c r="BH93" s="314" t="s">
        <v>145</v>
      </c>
      <c r="BI93" s="314"/>
      <c r="BJ93" s="314"/>
      <c r="BK93" s="314"/>
      <c r="BL93" s="314"/>
      <c r="BM93" s="314"/>
      <c r="BN93" s="314"/>
      <c r="BO93" s="314"/>
      <c r="BP93" s="314"/>
      <c r="BQ93" s="314"/>
      <c r="BR93" s="314"/>
      <c r="BS93" s="314"/>
      <c r="BT93" s="314"/>
      <c r="BU93" s="314"/>
      <c r="BV93" s="314"/>
      <c r="BW93" s="314"/>
      <c r="BX93" s="314"/>
      <c r="BY93" s="314"/>
      <c r="BZ93" s="314"/>
      <c r="CA93" s="314"/>
      <c r="CB93" s="314"/>
      <c r="CC93" s="314"/>
      <c r="CD93" s="314"/>
      <c r="CE93" s="314"/>
      <c r="CF93" s="314"/>
      <c r="CG93" s="314"/>
      <c r="CH93" s="314"/>
      <c r="CI93" s="314"/>
      <c r="CJ93" s="314"/>
      <c r="CK93" s="314"/>
      <c r="CL93" s="314"/>
      <c r="CM93" s="314"/>
      <c r="CN93" s="314"/>
      <c r="CO93" s="314"/>
      <c r="CP93" s="314"/>
      <c r="CQ93" s="319" t="s">
        <v>107</v>
      </c>
    </row>
    <row r="94" spans="1:95" ht="12.75" customHeight="1" thickBot="1" x14ac:dyDescent="0.3">
      <c r="A94" s="307"/>
      <c r="B94" s="68"/>
      <c r="C94" s="199" t="s">
        <v>12</v>
      </c>
      <c r="D94" s="344" t="str">
        <f>Translations!$B$356</f>
        <v>RFA:</v>
      </c>
      <c r="E94" s="345"/>
      <c r="F94" s="6"/>
      <c r="G94" s="1256" t="str">
        <f>IF(OR(ISBLANK(F94),F94=EUconst_NoTier),"",IF(Z94=0,EUconst_NA,IF(ISERROR(Z94),"",Z94)))</f>
        <v/>
      </c>
      <c r="H94" s="1257"/>
      <c r="I94" s="346" t="str">
        <f>IF(J94&lt;&gt;"","",AI94)</f>
        <v/>
      </c>
      <c r="J94" s="7"/>
      <c r="K94" s="1258"/>
      <c r="L94" s="1259"/>
      <c r="M94" s="347" t="str">
        <f>IF(AND(E89&lt;&gt;"",OR(F94="",COUNT(K94)=0),Y94&lt;&gt;EUconst_NA),EUconst_ERR_Incomplete,"")</f>
        <v/>
      </c>
      <c r="N94" s="76"/>
      <c r="O94" s="160"/>
      <c r="P94" s="348"/>
      <c r="Q94" s="325" t="str">
        <f>EUconst_SumBioEnergyIN</f>
        <v>SUM_BioEnergyIN</v>
      </c>
      <c r="R94" s="340" t="str">
        <f>IF(E89="","",BG103)</f>
        <v/>
      </c>
      <c r="S94" s="314"/>
      <c r="T94" s="349" t="str">
        <f>EUconst_CNTR_ActivityData&amp;E89</f>
        <v>ActivityData_</v>
      </c>
      <c r="U94" s="312"/>
      <c r="V94" s="349" t="str">
        <f>IF(E88="","",INDEX(B_IdentifyFuelStreams!$I$67:$I$116,MATCH(U87,B_IdentifyFuelStreams!$D$67:$D$116,0)))</f>
        <v/>
      </c>
      <c r="W94" s="335" t="s">
        <v>146</v>
      </c>
      <c r="X94" s="312"/>
      <c r="Y94" s="350" t="str">
        <f>IF(E89="","",INDEX(EUwideConstants!$P$164:$P$200,MATCH(T94,EUwideConstants!$S$164:$S$200,0)))</f>
        <v/>
      </c>
      <c r="Z94" s="351" t="str">
        <f>IF(ISBLANK(F94),"",IF(F94=EUconst_NA,"",INDEX(EUwideConstants!$H:$O,MATCH(T94,EUwideConstants!$S:$S,0),MATCH(F94,CNTR_TierList,0))))</f>
        <v/>
      </c>
      <c r="AA94" s="352" t="s">
        <v>136</v>
      </c>
      <c r="AB94" s="335"/>
      <c r="AC94" s="331" t="b">
        <f>E88&lt;&gt;""</f>
        <v>0</v>
      </c>
      <c r="AD94" s="314"/>
      <c r="AE94" s="353" t="str">
        <f>EUconst_CNTR_ActivityData&amp;EUconst_Unit</f>
        <v>ActivityData_Unit</v>
      </c>
      <c r="AF94" s="354" t="str">
        <f>IF(AC94=TRUE, IF(COUNTIF(MSPara_SourceStreamCategory,V94)=0,"",INDEX(MSPara_CalcFactorsMatrix,MATCH(V94,MSPara_SourceStreamCategory,0),MATCH(AE94&amp;"_"&amp;2,MSPara_CalcFactors,0))),"")</f>
        <v/>
      </c>
      <c r="AG94" s="355" t="str">
        <f>IF(AC94=TRUE, IF(COUNTIF(MSPara_SourceStreamCategory,V94)=0,"",INDEX(MSPara_CalcFactorsMatrix,MATCH(V94,MSPara_SourceStreamCategory,0),MATCH(AE94&amp;"_"&amp;1,MSPara_CalcFactors,0))),"")</f>
        <v/>
      </c>
      <c r="AH94" s="331" t="str">
        <f>IF(OR(AF94="",AF94=EUconst_NA),IF(OR(AG94=EUconst_NA,AG94=""),"",AG94),AF94)</f>
        <v/>
      </c>
      <c r="AI94" s="350" t="str">
        <f>IF(AC94=TRUE,IF(AH94="",EUconst_t,AH94),"")</f>
        <v/>
      </c>
      <c r="AJ94" s="356" t="str">
        <f>IF(J94="",AI94,J94)</f>
        <v/>
      </c>
      <c r="AK94" s="357" t="b">
        <f>AND(E88&lt;&gt;"",J94&lt;&gt;"")</f>
        <v>0</v>
      </c>
      <c r="AL94" s="326"/>
      <c r="AM94" s="358" t="s">
        <v>147</v>
      </c>
      <c r="AN94" s="359" t="str">
        <f>AJ94</f>
        <v/>
      </c>
      <c r="AO94" s="326"/>
      <c r="AP94" s="326"/>
      <c r="AQ94" s="349" t="str">
        <f>EUconst_CNTR_ActivityData&amp;EUconst_Value</f>
        <v>ActivityData_Value</v>
      </c>
      <c r="AR94" s="336"/>
      <c r="AS94" s="336"/>
      <c r="AT94" s="331" t="b">
        <f>AND(AND(AH94&lt;&gt;"",AJ94&lt;&gt;""),AJ94=AH94)</f>
        <v>0</v>
      </c>
      <c r="AU94" s="314"/>
      <c r="AV94" s="331">
        <f>IF(Y94=EUconst_NA,0,IF(COUNT(K94:K94)=0,0,IF(K94="",#REF!,K94)))</f>
        <v>0</v>
      </c>
      <c r="AW94" s="360" t="b">
        <f>AND(AC94=TRUE,OR(K94&lt;&gt;"",AU94=""))</f>
        <v>0</v>
      </c>
      <c r="AX94" s="360" t="b">
        <f>AND(AC94=TRUE,NOT(AW94))</f>
        <v>0</v>
      </c>
      <c r="AY94" s="314"/>
      <c r="AZ94" s="314" t="s">
        <v>148</v>
      </c>
      <c r="BA94" s="314" t="s">
        <v>149</v>
      </c>
      <c r="BB94" s="360"/>
      <c r="BC94" s="314" t="s">
        <v>150</v>
      </c>
      <c r="BD94" s="314"/>
      <c r="BE94" s="314"/>
      <c r="BF94" s="361" t="s">
        <v>119</v>
      </c>
      <c r="BG94" s="362" t="str">
        <f>IF(COUNTIF(AO97:AO98,TRUE)=0,"",BH94*AV105)</f>
        <v/>
      </c>
      <c r="BH94" s="362" t="str">
        <f>IF(COUNTIF(AO97:AO98,TRUE)=0,"",AV94*IF(AO97,1,AV96*AN98)*AV97-BH96-BH98-BH100)</f>
        <v/>
      </c>
      <c r="BI94" s="314"/>
      <c r="BJ94" s="314"/>
      <c r="BK94" s="314"/>
      <c r="BL94" s="314"/>
      <c r="BM94" s="314"/>
      <c r="BN94" s="314"/>
      <c r="BO94" s="314"/>
      <c r="BP94" s="314"/>
      <c r="BQ94" s="314"/>
      <c r="BR94" s="314"/>
      <c r="BS94" s="314"/>
      <c r="BT94" s="314"/>
      <c r="BU94" s="314"/>
      <c r="BV94" s="314"/>
      <c r="BW94" s="314"/>
      <c r="BX94" s="314"/>
      <c r="BY94" s="314"/>
      <c r="BZ94" s="314"/>
      <c r="CA94" s="314"/>
      <c r="CB94" s="314"/>
      <c r="CC94" s="314"/>
      <c r="CD94" s="314"/>
      <c r="CE94" s="314"/>
      <c r="CF94" s="314"/>
      <c r="CG94" s="314"/>
      <c r="CH94" s="314"/>
      <c r="CI94" s="314"/>
      <c r="CJ94" s="314"/>
      <c r="CK94" s="314"/>
      <c r="CL94" s="314"/>
      <c r="CM94" s="314"/>
      <c r="CN94" s="314"/>
      <c r="CO94" s="314"/>
      <c r="CP94" s="314"/>
      <c r="CQ94" s="360" t="b">
        <v>0</v>
      </c>
    </row>
    <row r="95" spans="1:95" ht="5.15" customHeight="1" thickBot="1" x14ac:dyDescent="0.3">
      <c r="A95" s="307"/>
      <c r="B95" s="68"/>
      <c r="C95" s="199"/>
      <c r="D95" s="202"/>
      <c r="E95" s="76"/>
      <c r="F95" s="76"/>
      <c r="G95" s="76"/>
      <c r="H95" s="76" t="str">
        <f>Translations!$B$397</f>
        <v xml:space="preserve"> </v>
      </c>
      <c r="I95" s="162"/>
      <c r="J95" s="162"/>
      <c r="K95" s="76"/>
      <c r="L95" s="76"/>
      <c r="M95" s="363"/>
      <c r="N95" s="76"/>
      <c r="O95" s="160"/>
      <c r="P95" s="109"/>
      <c r="Q95" s="312"/>
      <c r="R95" s="312"/>
      <c r="S95" s="314"/>
      <c r="T95" s="62"/>
      <c r="U95" s="312"/>
      <c r="V95" s="314"/>
      <c r="W95" s="314"/>
      <c r="X95" s="312"/>
      <c r="Y95" s="319"/>
      <c r="Z95" s="314"/>
      <c r="AA95" s="314"/>
      <c r="AB95" s="314"/>
      <c r="AC95" s="314"/>
      <c r="AD95" s="314"/>
      <c r="AE95" s="314"/>
      <c r="AF95" s="314"/>
      <c r="AG95" s="314"/>
      <c r="AH95" s="314"/>
      <c r="AI95" s="314"/>
      <c r="AJ95" s="314"/>
      <c r="AK95" s="314"/>
      <c r="AL95" s="326"/>
      <c r="AM95" s="326"/>
      <c r="AN95" s="326"/>
      <c r="AO95" s="326"/>
      <c r="AP95" s="326"/>
      <c r="AQ95" s="314"/>
      <c r="AR95" s="314"/>
      <c r="AS95" s="314"/>
      <c r="AT95" s="314"/>
      <c r="AU95" s="314"/>
      <c r="AV95" s="314"/>
      <c r="AW95" s="314"/>
      <c r="AX95" s="314"/>
      <c r="AY95" s="314"/>
      <c r="AZ95" s="314"/>
      <c r="BA95" s="314"/>
      <c r="BB95" s="314"/>
      <c r="BC95" s="314"/>
      <c r="BD95" s="314"/>
      <c r="BE95" s="314"/>
      <c r="BF95" s="314"/>
      <c r="BG95" s="364"/>
      <c r="BH95" s="364"/>
      <c r="BI95" s="314"/>
      <c r="BJ95" s="314"/>
      <c r="BK95" s="314"/>
      <c r="BL95" s="314"/>
      <c r="BM95" s="314"/>
      <c r="BN95" s="314"/>
      <c r="BO95" s="314"/>
      <c r="BP95" s="314"/>
      <c r="BQ95" s="314"/>
      <c r="BR95" s="314"/>
      <c r="BS95" s="314"/>
      <c r="BT95" s="314"/>
      <c r="BU95" s="314"/>
      <c r="BV95" s="314"/>
      <c r="BW95" s="314"/>
      <c r="BX95" s="314"/>
      <c r="BY95" s="314"/>
      <c r="BZ95" s="314"/>
      <c r="CA95" s="314"/>
      <c r="CB95" s="314"/>
      <c r="CC95" s="314"/>
      <c r="CD95" s="314"/>
      <c r="CE95" s="314"/>
      <c r="CF95" s="314"/>
      <c r="CG95" s="314"/>
      <c r="CH95" s="314"/>
      <c r="CI95" s="314"/>
      <c r="CJ95" s="314"/>
      <c r="CK95" s="314"/>
      <c r="CL95" s="314"/>
      <c r="CM95" s="314"/>
      <c r="CN95" s="314"/>
      <c r="CO95" s="314"/>
      <c r="CP95" s="314"/>
      <c r="CQ95" s="319"/>
    </row>
    <row r="96" spans="1:95" ht="12.75" customHeight="1" x14ac:dyDescent="0.25">
      <c r="A96" s="307"/>
      <c r="B96" s="68"/>
      <c r="C96" s="199" t="s">
        <v>13</v>
      </c>
      <c r="D96" s="344" t="str">
        <f>Translations!$B$360</f>
        <v>UCF:</v>
      </c>
      <c r="E96" s="345"/>
      <c r="F96" s="10"/>
      <c r="G96" s="1256" t="str">
        <f>IF(OR(ISBLANK(F96),F96=EUconst_NoTier),"",IF(Z96=0,EUconst_NotApplicable,IF(ISERROR(Z96),"",Z96)))</f>
        <v/>
      </c>
      <c r="H96" s="1257"/>
      <c r="I96" s="365" t="str">
        <f>IF(J96&lt;&gt;"","",AI96)</f>
        <v/>
      </c>
      <c r="J96" s="11"/>
      <c r="K96" s="366" t="str">
        <f>IF(L96="",AU96,"")</f>
        <v/>
      </c>
      <c r="L96" s="23"/>
      <c r="M96" s="347" t="str">
        <f>IF(AND(E89&lt;&gt;"",OR(F96="",COUNT(K96:L96)=0),Y96&lt;&gt;EUconst_NA),EUconst_ERR_Incomplete,IF(COUNTIF(BB96:BD96,TRUE)&gt;0,EUconst_ERR_Inconsistent,""))</f>
        <v/>
      </c>
      <c r="N96" s="367"/>
      <c r="O96" s="160"/>
      <c r="P96" s="109"/>
      <c r="Q96" s="312"/>
      <c r="R96" s="312"/>
      <c r="S96" s="314"/>
      <c r="T96" s="368" t="str">
        <f>EUconst_CNTR_UCF&amp;E89</f>
        <v>UCF_</v>
      </c>
      <c r="U96" s="312"/>
      <c r="V96" s="369" t="str">
        <f>V97</f>
        <v/>
      </c>
      <c r="W96" s="314"/>
      <c r="X96" s="312"/>
      <c r="Y96" s="370" t="str">
        <f>IF(E89="","",IF(OR(F96=EUconst_NA,W96=TRUE),EUconst_NA,INDEX(EUwideConstants!$P$164:$P$200,MATCH(T96,EUwideConstants!$S$164:$S$200,0))))</f>
        <v/>
      </c>
      <c r="Z96" s="371" t="str">
        <f>IF(ISBLANK(F96),"",IF(F96=EUconst_NA,"",INDEX(EUwideConstants!$H:$O,MATCH(T96,EUwideConstants!$S:$S,0),MATCH(F96,CNTR_TierList,0))))</f>
        <v/>
      </c>
      <c r="AA96" s="372" t="str">
        <f>IF(COUNTIF(EUconst_DefaultValues,Z96)&gt;0,MATCH(Z96,EUconst_DefaultValues,0),"")</f>
        <v/>
      </c>
      <c r="AB96" s="314"/>
      <c r="AC96" s="373" t="b">
        <f>AND(AC94,Y96&lt;&gt;EUconst_NA)</f>
        <v>0</v>
      </c>
      <c r="AD96" s="314"/>
      <c r="AE96" s="353" t="str">
        <f>EUconst_CNTR_UCF&amp;EUconst_Unit</f>
        <v>UCF_Unit</v>
      </c>
      <c r="AF96" s="374" t="str">
        <f>IF(AC96=TRUE, IF(COUNTIF(MSPara_SourceStreamCategory,V96)=0,"",INDEX(MSPara_CalcFactorsMatrix,MATCH(V96,MSPara_SourceStreamCategory,0),MATCH(AE96&amp;"_"&amp;2,MSPara_CalcFactors,0))),"")</f>
        <v/>
      </c>
      <c r="AG96" s="375" t="str">
        <f>IF(AC96=TRUE, IF(COUNTIF(MSPara_SourceStreamCategory,V96)=0,"",INDEX(MSPara_CalcFactorsMatrix,MATCH(V96,MSPara_SourceStreamCategory,0),MATCH(AE96&amp;"_"&amp;1,MSPara_CalcFactors,0))),"")</f>
        <v/>
      </c>
      <c r="AH96" s="373" t="str">
        <f>IF(AA96="","",INDEX(AF96:AG96,3-AA96))</f>
        <v/>
      </c>
      <c r="AI96" s="373" t="str">
        <f>IF(AC96=TRUE,IF(OR(AH96="",AH96=EUconst_NA),EUconst_GJ&amp;"/"&amp;AJ94,AH96),"")</f>
        <v/>
      </c>
      <c r="AJ96" s="373" t="str">
        <f>IF(J96="",AI96,J96)</f>
        <v/>
      </c>
      <c r="AK96" s="369" t="b">
        <f>AND(E88&lt;&gt;"",J96&lt;&gt;"")</f>
        <v>0</v>
      </c>
      <c r="AL96" s="326"/>
      <c r="AM96" s="358" t="s">
        <v>151</v>
      </c>
      <c r="AN96" s="359" t="str">
        <f>IF(AJ96="",EUconst_NA,IF(AN94=EUconst_TJ,EUconst_TJ,INDEX(EUwideConstants!$C$135:$G$139,MATCH(AN94,RFAUnits,0),MATCH(AJ96,UCFUnits,0))))</f>
        <v>n.a.</v>
      </c>
      <c r="AO96" s="326"/>
      <c r="AP96" s="326"/>
      <c r="AQ96" s="376" t="str">
        <f>EUconst_CNTR_UCF&amp;EUconst_Value</f>
        <v>UCF_Value</v>
      </c>
      <c r="AR96" s="377" t="str">
        <f>IF(AC96=TRUE,IF(COUNTIF(MSPara_SourceStreamCategory,V96)=0,"",INDEX(MSPara_CalcFactorsMatrix,MATCH(V96,MSPara_SourceStreamCategory,0),MATCH(AQ96&amp;"_"&amp;2,MSPara_CalcFactors,0))),"")</f>
        <v/>
      </c>
      <c r="AS96" s="378" t="str">
        <f>IF(AC96=TRUE,IF(COUNTIF(MSPara_SourceStreamCategory,V96)=0,"",INDEX(MSPara_CalcFactorsMatrix,MATCH(V96,MSPara_SourceStreamCategory,0),MATCH(AQ96&amp;"_"&amp;1,MSPara_CalcFactors,0))),"")</f>
        <v/>
      </c>
      <c r="AT96" s="379" t="b">
        <f>AND(AND(AH96&lt;&gt;"",AJ96&lt;&gt;""),AJ96=AH96)</f>
        <v>0</v>
      </c>
      <c r="AU96" s="380" t="str">
        <f>IF(AND(AA96&lt;&gt;"",AT96=TRUE),IF(OR(INDEX(AR96:AS96,3-AA96)=EUconst_NA,INDEX(AR96:AS96,3-AA96)=0),"",INDEX(AR96:AS96,3-AA96)),"")</f>
        <v/>
      </c>
      <c r="AV96" s="373">
        <f>IF(AC96=TRUE,IF(COUNT(K96:L96)=0,0,IF(L96="",K96,L96)),0)</f>
        <v>0</v>
      </c>
      <c r="AW96" s="369" t="b">
        <f t="shared" ref="AW96:AW103" si="9">AND(AC96=TRUE,OR(AND(F96&lt;&gt;"",NOT(ISNUMBER(AA96))),L96&lt;&gt;"",F96="",AU96=""))</f>
        <v>0</v>
      </c>
      <c r="AX96" s="381" t="b">
        <f t="shared" ref="AX96:AX103" si="10">AND(AC96=TRUE,NOT(AW96))</f>
        <v>0</v>
      </c>
      <c r="AY96" s="314"/>
      <c r="AZ96" s="382" t="b">
        <f t="shared" ref="AZ96:AZ103" si="11">AND(ISNUMBER(AA96),AU96="")</f>
        <v>0</v>
      </c>
      <c r="BA96" s="383" t="b">
        <f t="shared" ref="BA96:BA103" si="12">AND(ISNUMBER(AA96),AU96&lt;&gt;AV96)</f>
        <v>0</v>
      </c>
      <c r="BB96" s="369" t="b">
        <f>AND(E89&lt;&gt;"",F96&lt;&gt;EUconst_NA,AN96=EUconst_NA)</f>
        <v>0</v>
      </c>
      <c r="BC96" s="369" t="b">
        <f t="shared" ref="BC96:BC103" si="13">AND(L96&lt;&gt;"",Y96=EUconst_NA)</f>
        <v>0</v>
      </c>
      <c r="BD96" s="314"/>
      <c r="BE96" s="314"/>
      <c r="BF96" s="382" t="s">
        <v>152</v>
      </c>
      <c r="BG96" s="384" t="str">
        <f>IF(COUNTIF(AO97:AO98,TRUE)=0,"",BH96*AV105)</f>
        <v/>
      </c>
      <c r="BH96" s="384" t="str">
        <f>IF(COUNTIF(AO97:AO98,TRUE)=0,"",AV94*IF(AO97,1,AV96*AN98)*AV97*AV98)</f>
        <v/>
      </c>
      <c r="BI96" s="314"/>
      <c r="BJ96" s="314"/>
      <c r="BK96" s="314"/>
      <c r="BL96" s="314"/>
      <c r="BM96" s="314"/>
      <c r="BN96" s="314"/>
      <c r="BO96" s="314"/>
      <c r="BP96" s="314"/>
      <c r="BQ96" s="314"/>
      <c r="BR96" s="314"/>
      <c r="BS96" s="314"/>
      <c r="BT96" s="314"/>
      <c r="BU96" s="314"/>
      <c r="BV96" s="314"/>
      <c r="BW96" s="314"/>
      <c r="BX96" s="314"/>
      <c r="BY96" s="314"/>
      <c r="BZ96" s="314"/>
      <c r="CA96" s="314"/>
      <c r="CB96" s="314"/>
      <c r="CC96" s="314"/>
      <c r="CD96" s="314"/>
      <c r="CE96" s="314"/>
      <c r="CF96" s="314"/>
      <c r="CG96" s="314"/>
      <c r="CH96" s="314"/>
      <c r="CI96" s="314"/>
      <c r="CJ96" s="314"/>
      <c r="CK96" s="314"/>
      <c r="CL96" s="314"/>
      <c r="CM96" s="314"/>
      <c r="CN96" s="314"/>
      <c r="CO96" s="314"/>
      <c r="CP96" s="314"/>
      <c r="CQ96" s="369" t="b">
        <f>OR(CQ94,Y96=EUconst_NA)</f>
        <v>0</v>
      </c>
    </row>
    <row r="97" spans="1:95" ht="12.75" customHeight="1" thickBot="1" x14ac:dyDescent="0.3">
      <c r="A97" s="307"/>
      <c r="B97" s="68"/>
      <c r="C97" s="199" t="s">
        <v>14</v>
      </c>
      <c r="D97" s="344" t="str">
        <f>Translations!$B$358</f>
        <v>(prelim) EF:</v>
      </c>
      <c r="E97" s="345"/>
      <c r="F97" s="59"/>
      <c r="G97" s="1256" t="str">
        <f>IF(OR(ISBLANK(F97),F97=EUconst_NoTier),"",IF(Z97=0,EUconst_NotApplicable,IF(ISERROR(Z97),"",Z97)))</f>
        <v/>
      </c>
      <c r="H97" s="1260"/>
      <c r="I97" s="385" t="str">
        <f>IF(J97&lt;&gt;"","",AI97)</f>
        <v/>
      </c>
      <c r="J97" s="22"/>
      <c r="K97" s="386" t="str">
        <f>IF(L97="",AU97,"")</f>
        <v/>
      </c>
      <c r="L97" s="58"/>
      <c r="M97" s="347" t="str">
        <f>IF(AND(E89&lt;&gt;"",OR(F97="",COUNT(K97:L97)=0),Y97&lt;&gt;EUconst_NA),EUconst_ERR_Incomplete,IF(COUNTIF(BB97:BD97,TRUE)&gt;0,EUconst_ERR_Inconsistent,""))</f>
        <v/>
      </c>
      <c r="N97" s="387"/>
      <c r="O97" s="160"/>
      <c r="P97" s="109"/>
      <c r="Q97" s="312"/>
      <c r="R97" s="312"/>
      <c r="S97" s="314"/>
      <c r="T97" s="388" t="str">
        <f>EUconst_CNTR_EF&amp;E89</f>
        <v>EF_</v>
      </c>
      <c r="U97" s="312"/>
      <c r="V97" s="389" t="str">
        <f>V94</f>
        <v/>
      </c>
      <c r="W97" s="314"/>
      <c r="X97" s="312"/>
      <c r="Y97" s="390" t="str">
        <f>IF(E89="","",IF(OR(F97=EUconst_NA,W97=TRUE),EUconst_NA,INDEX(EUwideConstants!$P$164:$P$200,MATCH(T97,EUwideConstants!$S$164:$S$200,0))))</f>
        <v/>
      </c>
      <c r="Z97" s="391" t="str">
        <f>IF(ISBLANK(F97),"",IF(F97=EUconst_NA,"",INDEX(EUwideConstants!$H:$O,MATCH(T97,EUwideConstants!$S:$S,0),MATCH(F97,CNTR_TierList,0))))</f>
        <v/>
      </c>
      <c r="AA97" s="392" t="str">
        <f>IF(COUNTIF(EUconst_DefaultValues,Z97)&gt;0,MATCH(Z97,EUconst_DefaultValues,0),"")</f>
        <v/>
      </c>
      <c r="AB97" s="314"/>
      <c r="AC97" s="393" t="b">
        <f>AND(AC94,Y97&lt;&gt;EUconst_NA)</f>
        <v>0</v>
      </c>
      <c r="AD97" s="314"/>
      <c r="AE97" s="394" t="str">
        <f>EUconst_CNTR_EF&amp;EUconst_Unit</f>
        <v>EF_Unit</v>
      </c>
      <c r="AF97" s="395" t="str">
        <f>IF(AC97=TRUE, IF(COUNTIF(MSPara_SourceStreamCategory,V97)=0,"",INDEX(MSPara_CalcFactorsMatrix,MATCH(V97,MSPara_SourceStreamCategory,0),MATCH(AE97&amp;"_"&amp;2,MSPara_CalcFactors,0))),"")</f>
        <v/>
      </c>
      <c r="AG97" s="396" t="str">
        <f>IF(AC97=TRUE, IF(COUNTIF(MSPara_SourceStreamCategory,V97)=0,"",INDEX(MSPara_CalcFactorsMatrix,MATCH(V97,MSPara_SourceStreamCategory,0),MATCH(AE97&amp;"_"&amp;1,MSPara_CalcFactors,0))),"")</f>
        <v/>
      </c>
      <c r="AH97" s="397" t="str">
        <f>IF(AA97="","",INDEX(AF97:AG97,3-AA97))</f>
        <v/>
      </c>
      <c r="AI97" s="397" t="str">
        <f>IF(AC97=TRUE,IF(OR(AH97="",AH97=EUconst_NA),EUconst_tCO2&amp;"/"&amp;IF(AN96=EUconst_NA,AN94,IF(AN96=EUconst_GJ,EUconst_TJ,AN96)),AH97),"")</f>
        <v/>
      </c>
      <c r="AJ97" s="397" t="str">
        <f>IF(J97="",AI97,J97)</f>
        <v/>
      </c>
      <c r="AK97" s="398" t="b">
        <f>AND(E89&lt;&gt;"",J97&lt;&gt;"")</f>
        <v>0</v>
      </c>
      <c r="AL97" s="326"/>
      <c r="AM97" s="358" t="s">
        <v>153</v>
      </c>
      <c r="AN97" s="359" t="str">
        <f>IF(COUNTIF(RFAUnits,AN94)=0,EUconst_NA,INDEX(EUwideConstants!$C$150:$H$154,MATCH(AJ97,EFUnits,0),MATCH(AN94,EUwideConstants!$C$149:$H$149,0)))</f>
        <v>n.a.</v>
      </c>
      <c r="AO97" s="359" t="b">
        <f>AN97&lt;&gt;EUconst_NA</f>
        <v>0</v>
      </c>
      <c r="AP97" s="326"/>
      <c r="AQ97" s="399" t="str">
        <f>EUconst_CNTR_EF&amp;EUconst_Value</f>
        <v>EF_Value</v>
      </c>
      <c r="AR97" s="400" t="str">
        <f>IF(AC97=TRUE,IF(COUNTIF(MSPara_SourceStreamCategory,V97)=0,"",INDEX(MSPara_CalcFactorsMatrix,MATCH(V97,MSPara_SourceStreamCategory,0),MATCH(AQ97&amp;"_"&amp;2,MSPara_CalcFactors,0))),"")</f>
        <v/>
      </c>
      <c r="AS97" s="401" t="str">
        <f>IF(AC97=TRUE,IF(COUNTIF(MSPara_SourceStreamCategory,V97)=0,"",INDEX(MSPara_CalcFactorsMatrix,MATCH(V97,MSPara_SourceStreamCategory,0),MATCH(AQ97&amp;"_"&amp;1,MSPara_CalcFactors,0))),"")</f>
        <v/>
      </c>
      <c r="AT97" s="402" t="b">
        <f>AND(AND(AH97&lt;&gt;"",AJ97&lt;&gt;""),AJ97=AH97)</f>
        <v>0</v>
      </c>
      <c r="AU97" s="403" t="str">
        <f>IF(AND(AA97&lt;&gt;"",AT97=TRUE),IF(OR(INDEX(AR97:AS97,3-AA97)=EUconst_NA,INDEX(AR97:AS97,3-AA97)=0),"",INDEX(AR97:AS97,3-AA97)),"")</f>
        <v/>
      </c>
      <c r="AV97" s="393">
        <f>IF(AC97=TRUE,IF(COUNT(K97:L97)=0,0,IF(L97="",K97,L97)),0)</f>
        <v>0</v>
      </c>
      <c r="AW97" s="389" t="b">
        <f t="shared" si="9"/>
        <v>0</v>
      </c>
      <c r="AX97" s="404" t="b">
        <f t="shared" si="10"/>
        <v>0</v>
      </c>
      <c r="AY97" s="314"/>
      <c r="AZ97" s="405" t="b">
        <f t="shared" si="11"/>
        <v>0</v>
      </c>
      <c r="BA97" s="406" t="b">
        <f t="shared" si="12"/>
        <v>0</v>
      </c>
      <c r="BB97" s="407" t="b">
        <f>AND(E89&lt;&gt;"",COUNTIF(AO97:AO98,TRUE)=0)</f>
        <v>0</v>
      </c>
      <c r="BC97" s="389" t="b">
        <f t="shared" si="13"/>
        <v>0</v>
      </c>
      <c r="BD97" s="314"/>
      <c r="BE97" s="314"/>
      <c r="BF97" s="408" t="s">
        <v>154</v>
      </c>
      <c r="BG97" s="409" t="str">
        <f>IF(COUNTIF(AO97:AO98,TRUE)=0,"",BH97*AV105)</f>
        <v/>
      </c>
      <c r="BH97" s="409" t="str">
        <f>IF(COUNTIF(AO97:AO98,TRUE)=0,"",AV94*IF(AO97,1,AV96*AN98)*AV97*AV99)</f>
        <v/>
      </c>
      <c r="BI97" s="314"/>
      <c r="BJ97" s="314"/>
      <c r="BK97" s="314"/>
      <c r="BL97" s="314"/>
      <c r="BM97" s="314"/>
      <c r="BN97" s="314"/>
      <c r="BO97" s="314"/>
      <c r="BP97" s="314"/>
      <c r="BQ97" s="314"/>
      <c r="BR97" s="314"/>
      <c r="BS97" s="314"/>
      <c r="BT97" s="314"/>
      <c r="BU97" s="314"/>
      <c r="BV97" s="314"/>
      <c r="BW97" s="314"/>
      <c r="BX97" s="314"/>
      <c r="BY97" s="314"/>
      <c r="BZ97" s="314"/>
      <c r="CA97" s="314"/>
      <c r="CB97" s="314"/>
      <c r="CC97" s="314"/>
      <c r="CD97" s="314"/>
      <c r="CE97" s="314"/>
      <c r="CF97" s="314"/>
      <c r="CG97" s="314"/>
      <c r="CH97" s="314"/>
      <c r="CI97" s="314"/>
      <c r="CJ97" s="314"/>
      <c r="CK97" s="314"/>
      <c r="CL97" s="314"/>
      <c r="CM97" s="314"/>
      <c r="CN97" s="314"/>
      <c r="CO97" s="314"/>
      <c r="CP97" s="314"/>
      <c r="CQ97" s="407" t="b">
        <f>OR(CQ94,Y97=EUconst_NA)</f>
        <v>0</v>
      </c>
    </row>
    <row r="98" spans="1:95" ht="12.75" customHeight="1" x14ac:dyDescent="0.25">
      <c r="A98" s="307"/>
      <c r="B98" s="68"/>
      <c r="C98" s="199" t="s">
        <v>15</v>
      </c>
      <c r="D98" s="344" t="str">
        <f>Translations!$B$362</f>
        <v>BioF:</v>
      </c>
      <c r="E98" s="345"/>
      <c r="F98" s="10"/>
      <c r="G98" s="1256" t="str">
        <f>IF(OR(ISBLANK(F98),F98=EUconst_NoTier),"",IF(Z98=0,EUconst_NotApplicable,IF(ISERROR(Z98),"",Z98)))</f>
        <v/>
      </c>
      <c r="H98" s="1257"/>
      <c r="I98" s="410" t="str">
        <f t="shared" ref="I98:I103" si="14">IF(OR(AC98=FALSE,Y98=EUconst_NA),"","-")</f>
        <v/>
      </c>
      <c r="J98" s="411"/>
      <c r="K98" s="412" t="str">
        <f>IF(L98="",AU98,"")</f>
        <v/>
      </c>
      <c r="L98" s="60"/>
      <c r="M98" s="347" t="str">
        <f>IF(AND(E89&lt;&gt;"",OR(F98="",COUNT(K98:L98)=0),Y98&lt;&gt;EUconst_NA),EUconst_ERR_Incomplete,IF(COUNTIF(BB98:BD98,TRUE)&gt;0,EUconst_ERR_Inconsistent,""))</f>
        <v/>
      </c>
      <c r="O98" s="160"/>
      <c r="P98" s="348"/>
      <c r="Q98" s="413"/>
      <c r="R98" s="413"/>
      <c r="S98" s="314"/>
      <c r="T98" s="388" t="str">
        <f>EUconst_CNTR_BiomassContent&amp;E89</f>
        <v>BioC_</v>
      </c>
      <c r="U98" s="312"/>
      <c r="V98" s="369" t="str">
        <f>V96</f>
        <v/>
      </c>
      <c r="W98" s="369" t="str">
        <f>IF(OR(V98="",COUNTIF(MSPara_SourceStreamCategory,V98)=0),"",INDEX(MSPara_IsFossil,MATCH(V98,MSPara_SourceStreamCategory,0)))</f>
        <v/>
      </c>
      <c r="X98" s="312"/>
      <c r="Y98" s="370" t="str">
        <f>IF(E89="","",IF(OR(F98=EUconst_NA,W98=TRUE),EUconst_NA,INDEX(EUwideConstants!$P$164:$P$200,MATCH(T98,EUwideConstants!$S$164:$S$200,0))))</f>
        <v/>
      </c>
      <c r="Z98" s="371" t="str">
        <f>IF(ISBLANK(F98),"",IF(F98=EUconst_NA,"",INDEX(EUwideConstants!$H:$O,MATCH(T98,EUwideConstants!$S:$S,0),MATCH(F98,CNTR_TierList,0))))</f>
        <v/>
      </c>
      <c r="AA98" s="414" t="str">
        <f>IF(F98=1,1,"")</f>
        <v/>
      </c>
      <c r="AB98" s="314"/>
      <c r="AC98" s="373" t="b">
        <f>AND(AC94,Y98&lt;&gt;EUconst_NA)</f>
        <v>0</v>
      </c>
      <c r="AD98" s="314"/>
      <c r="AE98" s="415"/>
      <c r="AF98" s="416"/>
      <c r="AG98" s="417"/>
      <c r="AH98" s="418"/>
      <c r="AI98" s="418"/>
      <c r="AJ98" s="418"/>
      <c r="AK98" s="419"/>
      <c r="AL98" s="326"/>
      <c r="AM98" s="358" t="s">
        <v>155</v>
      </c>
      <c r="AN98" s="359" t="str">
        <f>IF(AN96=EUconst_NA,EUconst_NA,INDEX(EUwideConstants!$C$150:$H$154,MATCH(AJ97,EFUnits,0),MATCH(AN96,EUwideConstants!$C$149:$H$149,0)))</f>
        <v>n.a.</v>
      </c>
      <c r="AO98" s="359" t="b">
        <f>AN98&lt;&gt;EUconst_NA</f>
        <v>0</v>
      </c>
      <c r="AP98" s="326"/>
      <c r="AQ98" s="376" t="str">
        <f>EUconst_CNTR_BiomassContent&amp;EUconst_Value</f>
        <v>BioC_Value</v>
      </c>
      <c r="AR98" s="420"/>
      <c r="AS98" s="378" t="str">
        <f t="shared" ref="AS98:AS103" si="15">IF(AC98=TRUE,IF(COUNTIF(MSPara_SourceStreamCategory,V98)=0,"",INDEX(MSPara_CalcFactorsMatrix,MATCH(V98,MSPara_SourceStreamCategory,0),MATCH(AQ98&amp;"_"&amp;2,MSPara_CalcFactors,0))),"")</f>
        <v/>
      </c>
      <c r="AT98" s="421"/>
      <c r="AU98" s="380" t="str">
        <f t="shared" ref="AU98:AU103" si="16">IF(OR(AA98="",AS98=EUconst_NA),"",AS98)</f>
        <v/>
      </c>
      <c r="AV98" s="373">
        <f>IF(AC98=TRUE,IF(COUNT(K98:L98)=0,0,IF(L98="",K98,L98)),0)</f>
        <v>0</v>
      </c>
      <c r="AW98" s="369" t="b">
        <f t="shared" si="9"/>
        <v>0</v>
      </c>
      <c r="AX98" s="381" t="b">
        <f t="shared" si="10"/>
        <v>0</v>
      </c>
      <c r="AY98" s="314"/>
      <c r="AZ98" s="382" t="b">
        <f t="shared" si="11"/>
        <v>0</v>
      </c>
      <c r="BA98" s="383" t="b">
        <f t="shared" si="12"/>
        <v>0</v>
      </c>
      <c r="BB98" s="314"/>
      <c r="BC98" s="369" t="b">
        <f t="shared" si="13"/>
        <v>0</v>
      </c>
      <c r="BD98" s="369" t="b">
        <f>OR(AV98&gt;100%,(AV98+AV99)&gt;100%)</f>
        <v>0</v>
      </c>
      <c r="BE98" s="314"/>
      <c r="BF98" s="382" t="s">
        <v>156</v>
      </c>
      <c r="BG98" s="384" t="str">
        <f>IF(COUNTIF(AO97:AO98,TRUE)=0,"",BH98*AV105)</f>
        <v/>
      </c>
      <c r="BH98" s="384" t="str">
        <f>IF(COUNTIF(AO97:AO98,TRUE)=0,"",AV94*IF(AO97,1,AV96*AN98)*AV97*AV100)</f>
        <v/>
      </c>
      <c r="BJ98" s="314"/>
      <c r="BK98" s="314"/>
      <c r="BL98" s="314"/>
      <c r="BM98" s="314"/>
      <c r="BN98" s="314"/>
      <c r="BO98" s="314"/>
      <c r="BP98" s="314"/>
      <c r="BQ98" s="314"/>
      <c r="BR98" s="314"/>
      <c r="BS98" s="314"/>
      <c r="BT98" s="314"/>
      <c r="BU98" s="314"/>
      <c r="BV98" s="314"/>
      <c r="BW98" s="314"/>
      <c r="BX98" s="314"/>
      <c r="BY98" s="314"/>
      <c r="BZ98" s="314"/>
      <c r="CA98" s="314"/>
      <c r="CB98" s="314"/>
      <c r="CC98" s="314"/>
      <c r="CD98" s="314"/>
      <c r="CE98" s="314"/>
      <c r="CF98" s="314"/>
      <c r="CG98" s="314"/>
      <c r="CH98" s="314"/>
      <c r="CI98" s="314"/>
      <c r="CJ98" s="314"/>
      <c r="CK98" s="314"/>
      <c r="CL98" s="314"/>
      <c r="CM98" s="314"/>
      <c r="CN98" s="314"/>
      <c r="CO98" s="314"/>
      <c r="CP98" s="314"/>
      <c r="CQ98" s="369" t="b">
        <f>OR(CQ94,Y98=EUconst_NA)</f>
        <v>0</v>
      </c>
    </row>
    <row r="99" spans="1:95" ht="12.75" customHeight="1" thickBot="1" x14ac:dyDescent="0.3">
      <c r="A99" s="307"/>
      <c r="B99" s="68"/>
      <c r="C99" s="199" t="s">
        <v>16</v>
      </c>
      <c r="D99" s="344" t="str">
        <f>Translations!$B$368</f>
        <v>non-sust. BioF:</v>
      </c>
      <c r="E99" s="345"/>
      <c r="F99" s="20"/>
      <c r="G99" s="1256" t="str">
        <f>IF(OR(ISBLANK(F99),F99=EUconst_NoTier),"",IF(Z99=0,EUconst_NotApplicable,IF(ISERROR(Z99),"",Z99)))</f>
        <v/>
      </c>
      <c r="H99" s="1257"/>
      <c r="I99" s="422" t="str">
        <f t="shared" si="14"/>
        <v/>
      </c>
      <c r="J99" s="423"/>
      <c r="K99" s="424" t="str">
        <f>IF(L99="",AU99,"")</f>
        <v/>
      </c>
      <c r="L99" s="21"/>
      <c r="M99" s="347" t="str">
        <f>IF(AND(E89&lt;&gt;"",OR(F99="",COUNT(K99:L99)=0),Y99&lt;&gt;EUconst_NA),EUconst_ERR_Incomplete,IF(COUNTIF(BB99:BD99,TRUE)&gt;0,EUconst_ERR_Inconsistent,""))</f>
        <v/>
      </c>
      <c r="N99" s="76"/>
      <c r="O99" s="160"/>
      <c r="P99" s="348"/>
      <c r="Q99" s="413"/>
      <c r="R99" s="413"/>
      <c r="S99" s="314"/>
      <c r="T99" s="425" t="str">
        <f>EUconst_CNTR_BiomassContent&amp;E89</f>
        <v>BioC_</v>
      </c>
      <c r="U99" s="312"/>
      <c r="V99" s="407" t="str">
        <f>V98</f>
        <v/>
      </c>
      <c r="W99" s="407" t="str">
        <f>IF(OR(V98="",COUNTIF(MSPara_SourceStreamCategory,V99)=0),"",INDEX(MSPara_IsFossil,MATCH(V99,MSPara_SourceStreamCategory,0)))</f>
        <v/>
      </c>
      <c r="X99" s="312"/>
      <c r="Y99" s="426" t="str">
        <f>IF(E89="","",IF(OR(F99=EUconst_NA,W99=TRUE),EUconst_NA,INDEX(EUwideConstants!$P$164:$P$200,MATCH(T99,EUwideConstants!$S$164:$S$200,0))))</f>
        <v/>
      </c>
      <c r="Z99" s="427" t="str">
        <f>IF(ISBLANK(F99),"",IF(F99=EUconst_NA,"",INDEX(EUwideConstants!$H:$O,MATCH(T99,EUwideConstants!$S:$S,0),MATCH(F99,CNTR_TierList,0))))</f>
        <v/>
      </c>
      <c r="AA99" s="428" t="str">
        <f>IF(F99=1,1,"")</f>
        <v/>
      </c>
      <c r="AB99" s="314"/>
      <c r="AC99" s="429" t="b">
        <f>AND(AC94,Y99&lt;&gt;EUconst_NA)</f>
        <v>0</v>
      </c>
      <c r="AD99" s="314"/>
      <c r="AE99" s="430"/>
      <c r="AF99" s="431"/>
      <c r="AG99" s="432"/>
      <c r="AH99" s="433"/>
      <c r="AI99" s="433"/>
      <c r="AJ99" s="433"/>
      <c r="AK99" s="434"/>
      <c r="AL99" s="326"/>
      <c r="AM99" s="326"/>
      <c r="AN99" s="326"/>
      <c r="AO99" s="326"/>
      <c r="AP99" s="326"/>
      <c r="AQ99" s="435" t="str">
        <f>EUconst_CNTR_BiomassContent&amp;EUconst_Value</f>
        <v>BioC_Value</v>
      </c>
      <c r="AR99" s="430"/>
      <c r="AS99" s="436" t="str">
        <f t="shared" si="15"/>
        <v/>
      </c>
      <c r="AT99" s="437"/>
      <c r="AU99" s="438" t="str">
        <f t="shared" si="16"/>
        <v/>
      </c>
      <c r="AV99" s="429">
        <f>IF(AC99=TRUE,IF(COUNT(K99:L99)=0,0,IF(L99="",K99,L99)),0)</f>
        <v>0</v>
      </c>
      <c r="AW99" s="407" t="b">
        <f t="shared" si="9"/>
        <v>0</v>
      </c>
      <c r="AX99" s="439" t="b">
        <f t="shared" si="10"/>
        <v>0</v>
      </c>
      <c r="AY99" s="314"/>
      <c r="AZ99" s="408" t="b">
        <f t="shared" si="11"/>
        <v>0</v>
      </c>
      <c r="BA99" s="440" t="b">
        <f t="shared" si="12"/>
        <v>0</v>
      </c>
      <c r="BB99" s="314"/>
      <c r="BC99" s="407" t="b">
        <f t="shared" si="13"/>
        <v>0</v>
      </c>
      <c r="BD99" s="407" t="b">
        <f>OR(AV98&gt;100%,(AV98+AV99)&gt;100%)</f>
        <v>0</v>
      </c>
      <c r="BE99" s="314"/>
      <c r="BF99" s="408" t="s">
        <v>157</v>
      </c>
      <c r="BG99" s="409" t="str">
        <f>IF(COUNTIF(AO97:AO98,TRUE)=0,"",BH99*AV105)</f>
        <v/>
      </c>
      <c r="BH99" s="409" t="str">
        <f>IF(COUNTIF(AO97:AO98,TRUE)=0,"",AV94*IF(AO97,1,AV96*AN98)*AV97*AV101)</f>
        <v/>
      </c>
      <c r="BJ99" s="314"/>
      <c r="BK99" s="314"/>
      <c r="BL99" s="314"/>
      <c r="BM99" s="314"/>
      <c r="BN99" s="314"/>
      <c r="BO99" s="314"/>
      <c r="BP99" s="314"/>
      <c r="BQ99" s="314"/>
      <c r="BR99" s="314"/>
      <c r="BS99" s="314"/>
      <c r="BT99" s="314"/>
      <c r="BU99" s="314"/>
      <c r="BV99" s="314"/>
      <c r="BW99" s="314"/>
      <c r="BX99" s="314"/>
      <c r="BY99" s="314"/>
      <c r="BZ99" s="314"/>
      <c r="CA99" s="314"/>
      <c r="CB99" s="314"/>
      <c r="CC99" s="314"/>
      <c r="CD99" s="314"/>
      <c r="CE99" s="314"/>
      <c r="CF99" s="314"/>
      <c r="CG99" s="314"/>
      <c r="CH99" s="314"/>
      <c r="CI99" s="314"/>
      <c r="CJ99" s="314"/>
      <c r="CK99" s="314"/>
      <c r="CL99" s="314"/>
      <c r="CM99" s="314"/>
      <c r="CN99" s="314"/>
      <c r="CO99" s="314"/>
      <c r="CP99" s="314"/>
      <c r="CQ99" s="407" t="b">
        <f>OR(CQ94,Y99=EUconst_NA)</f>
        <v>0</v>
      </c>
    </row>
    <row r="100" spans="1:95" ht="12.75" customHeight="1" thickBot="1" x14ac:dyDescent="0.3">
      <c r="A100" s="307"/>
      <c r="B100" s="68"/>
      <c r="C100" s="199" t="s">
        <v>17</v>
      </c>
      <c r="D100" s="344" t="str">
        <f>Translations!$B$610</f>
        <v>sust. RFNBO/RCF:</v>
      </c>
      <c r="E100" s="441"/>
      <c r="F100" s="19" t="s">
        <v>158</v>
      </c>
      <c r="G100" s="1261"/>
      <c r="H100" s="1262"/>
      <c r="I100" s="442" t="str">
        <f t="shared" si="14"/>
        <v/>
      </c>
      <c r="J100" s="411"/>
      <c r="K100" s="443"/>
      <c r="L100" s="55"/>
      <c r="M100" s="347" t="str">
        <f>IF(AND(E89&lt;&gt;"",OR(F100="",COUNT(L100)=0),Y100&lt;&gt;EUconst_NA),EUconst_ERR_Incomplete,"")</f>
        <v/>
      </c>
      <c r="N100" s="76"/>
      <c r="O100" s="160"/>
      <c r="P100" s="348"/>
      <c r="Q100" s="413"/>
      <c r="R100" s="413"/>
      <c r="S100" s="314"/>
      <c r="T100" s="388" t="str">
        <f>EUconst_CNTR_RFNBOetcContent&amp;E89</f>
        <v>RNFBOC_</v>
      </c>
      <c r="U100" s="312"/>
      <c r="V100" s="312"/>
      <c r="W100" s="312"/>
      <c r="X100" s="312"/>
      <c r="Y100" s="380" t="str">
        <f>IF(E89="","",IF(OR(F100=EUconst_NA,W100=TRUE),EUconst_NA,INDEX(EUwideConstants!$P$164:$P$200,MATCH(T100,EUwideConstants!$S$164:$S$200,0))))</f>
        <v/>
      </c>
      <c r="Z100" s="314"/>
      <c r="AA100" s="314"/>
      <c r="AB100" s="314"/>
      <c r="AC100" s="397" t="b">
        <f>AND(AC96,Y100&lt;&gt;EUconst_NA)</f>
        <v>0</v>
      </c>
      <c r="AD100" s="314"/>
      <c r="AE100" s="415"/>
      <c r="AF100" s="416"/>
      <c r="AG100" s="417"/>
      <c r="AH100" s="418"/>
      <c r="AI100" s="418"/>
      <c r="AJ100" s="418"/>
      <c r="AK100" s="419"/>
      <c r="AL100" s="326"/>
      <c r="AM100" s="326"/>
      <c r="AN100" s="326"/>
      <c r="AO100" s="326"/>
      <c r="AP100" s="326"/>
      <c r="AQ100" s="444" t="s">
        <v>159</v>
      </c>
      <c r="AR100" s="415"/>
      <c r="AS100" s="445" t="str">
        <f t="shared" si="15"/>
        <v/>
      </c>
      <c r="AT100" s="446"/>
      <c r="AU100" s="447" t="str">
        <f t="shared" si="16"/>
        <v/>
      </c>
      <c r="AV100" s="397">
        <f>IF(L100&lt;&gt;0,L100,L100)</f>
        <v>0</v>
      </c>
      <c r="AW100" s="398" t="b">
        <f t="shared" si="9"/>
        <v>0</v>
      </c>
      <c r="AX100" s="448" t="b">
        <f t="shared" si="10"/>
        <v>0</v>
      </c>
      <c r="AY100" s="314"/>
      <c r="AZ100" s="449" t="b">
        <f t="shared" si="11"/>
        <v>0</v>
      </c>
      <c r="BA100" s="450" t="b">
        <f t="shared" si="12"/>
        <v>0</v>
      </c>
      <c r="BB100" s="314"/>
      <c r="BC100" s="398" t="b">
        <f t="shared" si="13"/>
        <v>0</v>
      </c>
      <c r="BD100" s="369" t="b">
        <f>OR(AV100&gt;100%,(AV100+AV101)&gt;100%)</f>
        <v>0</v>
      </c>
      <c r="BE100" s="314"/>
      <c r="BF100" s="451" t="s">
        <v>160</v>
      </c>
      <c r="BG100" s="452" t="str">
        <f>IF(COUNTIF(AO97:AO98,TRUE)=0,"",BH100*AV105)</f>
        <v/>
      </c>
      <c r="BH100" s="452" t="str">
        <f>IF(COUNTIF(AO97:AO98,TRUE)=0,"",AV94*IF(AO97,1,AV96*AN98)*AV97*AV102)</f>
        <v/>
      </c>
      <c r="BJ100" s="314"/>
      <c r="BK100" s="314"/>
      <c r="BL100" s="314"/>
      <c r="BM100" s="314"/>
      <c r="BN100" s="314"/>
      <c r="BO100" s="314"/>
      <c r="BP100" s="314"/>
      <c r="BQ100" s="314"/>
      <c r="BR100" s="314"/>
      <c r="BS100" s="314"/>
      <c r="BT100" s="314"/>
      <c r="BU100" s="314"/>
      <c r="BV100" s="314"/>
      <c r="BW100" s="314"/>
      <c r="BX100" s="314"/>
      <c r="BY100" s="314"/>
      <c r="BZ100" s="314"/>
      <c r="CA100" s="314"/>
      <c r="CB100" s="314"/>
      <c r="CC100" s="314"/>
      <c r="CD100" s="314"/>
      <c r="CE100" s="314"/>
      <c r="CF100" s="314"/>
      <c r="CG100" s="314"/>
      <c r="CH100" s="314"/>
      <c r="CI100" s="314"/>
      <c r="CJ100" s="314"/>
      <c r="CK100" s="314"/>
      <c r="CL100" s="314"/>
      <c r="CM100" s="314"/>
      <c r="CN100" s="314"/>
      <c r="CO100" s="314"/>
      <c r="CP100" s="314"/>
      <c r="CQ100" s="407" t="b">
        <f>OR(CQ94,Y100=EUconst_NA)</f>
        <v>0</v>
      </c>
    </row>
    <row r="101" spans="1:95" ht="12.75" customHeight="1" thickBot="1" x14ac:dyDescent="0.3">
      <c r="A101" s="307"/>
      <c r="B101" s="68"/>
      <c r="C101" s="199" t="s">
        <v>161</v>
      </c>
      <c r="D101" s="344" t="str">
        <f>Translations!$B$613</f>
        <v>non-sust. RFNBO/RCF:</v>
      </c>
      <c r="E101" s="441"/>
      <c r="F101" s="20" t="s">
        <v>158</v>
      </c>
      <c r="G101" s="1261"/>
      <c r="H101" s="1262"/>
      <c r="I101" s="422" t="str">
        <f t="shared" si="14"/>
        <v/>
      </c>
      <c r="J101" s="423"/>
      <c r="K101" s="443"/>
      <c r="L101" s="56"/>
      <c r="M101" s="347" t="str">
        <f>IF(AND(E89&lt;&gt;"",OR(F101="",COUNT(L101)=0),Y101&lt;&gt;EUconst_NA),EUconst_ERR_Incomplete,"")</f>
        <v/>
      </c>
      <c r="N101" s="76"/>
      <c r="O101" s="160"/>
      <c r="P101" s="348"/>
      <c r="Q101" s="413"/>
      <c r="R101" s="413"/>
      <c r="S101" s="314"/>
      <c r="T101" s="425" t="str">
        <f>EUconst_CNTR_RFNBOetcContent&amp;E89</f>
        <v>RNFBOC_</v>
      </c>
      <c r="U101" s="312"/>
      <c r="V101" s="312"/>
      <c r="W101" s="312"/>
      <c r="X101" s="312"/>
      <c r="Y101" s="438" t="str">
        <f>IF(E89="","",IF(OR(F101=EUconst_NA,W101=TRUE),EUconst_NA,INDEX(EUwideConstants!$P$164:$P$200,MATCH(T101,EUwideConstants!$S$164:$S$200,0))))</f>
        <v/>
      </c>
      <c r="Z101" s="314"/>
      <c r="AA101" s="314"/>
      <c r="AB101" s="314"/>
      <c r="AC101" s="429" t="b">
        <f>AND(AC96,Y101&lt;&gt;EUconst_NA)</f>
        <v>0</v>
      </c>
      <c r="AD101" s="314"/>
      <c r="AE101" s="430"/>
      <c r="AF101" s="431"/>
      <c r="AG101" s="432"/>
      <c r="AH101" s="433"/>
      <c r="AI101" s="433"/>
      <c r="AJ101" s="433"/>
      <c r="AK101" s="434"/>
      <c r="AL101" s="326"/>
      <c r="AM101" s="326"/>
      <c r="AN101" s="326"/>
      <c r="AO101" s="326"/>
      <c r="AP101" s="326"/>
      <c r="AQ101" s="435" t="s">
        <v>159</v>
      </c>
      <c r="AR101" s="430"/>
      <c r="AS101" s="436" t="str">
        <f t="shared" si="15"/>
        <v/>
      </c>
      <c r="AT101" s="437"/>
      <c r="AU101" s="438" t="str">
        <f t="shared" si="16"/>
        <v/>
      </c>
      <c r="AV101" s="429">
        <f t="shared" ref="AV101:AV103" si="17">IF(L101&lt;&gt;0,L101,L101)</f>
        <v>0</v>
      </c>
      <c r="AW101" s="407" t="b">
        <f t="shared" si="9"/>
        <v>0</v>
      </c>
      <c r="AX101" s="439" t="b">
        <f t="shared" si="10"/>
        <v>0</v>
      </c>
      <c r="AY101" s="314"/>
      <c r="AZ101" s="408" t="b">
        <f t="shared" si="11"/>
        <v>0</v>
      </c>
      <c r="BA101" s="440" t="b">
        <f t="shared" si="12"/>
        <v>0</v>
      </c>
      <c r="BB101" s="314"/>
      <c r="BC101" s="407" t="b">
        <f t="shared" si="13"/>
        <v>0</v>
      </c>
      <c r="BD101" s="407" t="b">
        <f>OR(AV100&gt;100%,(AV100+AV101)&gt;100%)</f>
        <v>0</v>
      </c>
      <c r="BE101" s="314"/>
      <c r="BF101" s="408" t="s">
        <v>162</v>
      </c>
      <c r="BG101" s="409" t="str">
        <f>IF(COUNTIF(AO97:AO98,TRUE)=0,"",BH101*AV105)</f>
        <v/>
      </c>
      <c r="BH101" s="409" t="str">
        <f>IF(COUNTIF(AO97:AO98,TRUE)=0,"",AV94*IF(AO97,1,AV96*AN98)*AV97*AV103)</f>
        <v/>
      </c>
      <c r="BJ101" s="314"/>
      <c r="BK101" s="314"/>
      <c r="BL101" s="314"/>
      <c r="BM101" s="314"/>
      <c r="BN101" s="314"/>
      <c r="BO101" s="314"/>
      <c r="BP101" s="314"/>
      <c r="BQ101" s="314"/>
      <c r="BR101" s="314"/>
      <c r="BS101" s="314"/>
      <c r="BT101" s="314"/>
      <c r="BU101" s="314"/>
      <c r="BV101" s="314"/>
      <c r="BW101" s="314"/>
      <c r="BX101" s="314"/>
      <c r="BY101" s="314"/>
      <c r="BZ101" s="314"/>
      <c r="CA101" s="314"/>
      <c r="CB101" s="314"/>
      <c r="CC101" s="314"/>
      <c r="CD101" s="314"/>
      <c r="CE101" s="314"/>
      <c r="CF101" s="314"/>
      <c r="CG101" s="314"/>
      <c r="CH101" s="314"/>
      <c r="CI101" s="314"/>
      <c r="CJ101" s="314"/>
      <c r="CK101" s="314"/>
      <c r="CL101" s="314"/>
      <c r="CM101" s="314"/>
      <c r="CN101" s="314"/>
      <c r="CO101" s="314"/>
      <c r="CP101" s="314"/>
      <c r="CQ101" s="407" t="b">
        <f>OR(CQ94,Y101=EUconst_NA)</f>
        <v>0</v>
      </c>
    </row>
    <row r="102" spans="1:95" ht="12.75" customHeight="1" thickBot="1" x14ac:dyDescent="0.3">
      <c r="A102" s="307"/>
      <c r="B102" s="68"/>
      <c r="C102" s="199" t="s">
        <v>163</v>
      </c>
      <c r="D102" s="344" t="str">
        <f>Translations!$B$615</f>
        <v>sust. SLCF:</v>
      </c>
      <c r="E102" s="441"/>
      <c r="F102" s="19" t="s">
        <v>158</v>
      </c>
      <c r="G102" s="1261"/>
      <c r="H102" s="1262"/>
      <c r="I102" s="442" t="str">
        <f t="shared" si="14"/>
        <v/>
      </c>
      <c r="J102" s="411"/>
      <c r="K102" s="443"/>
      <c r="L102" s="57"/>
      <c r="M102" s="347" t="str">
        <f>IF(AND(E89&lt;&gt;"",OR(F102="",COUNT(L102)=0),Y102&lt;&gt;EUconst_NA),EUconst_ERR_Incomplete,"")</f>
        <v/>
      </c>
      <c r="N102" s="76"/>
      <c r="O102" s="160"/>
      <c r="P102" s="348"/>
      <c r="Q102" s="413"/>
      <c r="R102" s="413"/>
      <c r="S102" s="314"/>
      <c r="T102" s="388" t="str">
        <f>EUconst_CNTR_RFNBOetcContent&amp;E89</f>
        <v>RNFBOC_</v>
      </c>
      <c r="U102" s="312"/>
      <c r="V102" s="312"/>
      <c r="W102" s="312"/>
      <c r="X102" s="312"/>
      <c r="Y102" s="447" t="str">
        <f>IF(E89="","",IF(OR(F102=EUconst_NA,W102=TRUE),EUconst_NA,INDEX(EUwideConstants!$P$164:$P$200,MATCH(T102,EUwideConstants!$S$164:$S$200,0))))</f>
        <v/>
      </c>
      <c r="Z102" s="314"/>
      <c r="AA102" s="314"/>
      <c r="AB102" s="314"/>
      <c r="AC102" s="397" t="b">
        <f>AND(AC98,Y102&lt;&gt;EUconst_NA)</f>
        <v>0</v>
      </c>
      <c r="AD102" s="314"/>
      <c r="AE102" s="415"/>
      <c r="AF102" s="416"/>
      <c r="AG102" s="417"/>
      <c r="AH102" s="418"/>
      <c r="AI102" s="418"/>
      <c r="AJ102" s="418"/>
      <c r="AK102" s="419"/>
      <c r="AL102" s="326"/>
      <c r="AM102" s="326"/>
      <c r="AN102" s="326"/>
      <c r="AO102" s="326"/>
      <c r="AP102" s="326"/>
      <c r="AQ102" s="444" t="s">
        <v>159</v>
      </c>
      <c r="AR102" s="415"/>
      <c r="AS102" s="445" t="str">
        <f t="shared" si="15"/>
        <v/>
      </c>
      <c r="AT102" s="446"/>
      <c r="AU102" s="447" t="str">
        <f t="shared" si="16"/>
        <v/>
      </c>
      <c r="AV102" s="397">
        <f t="shared" si="17"/>
        <v>0</v>
      </c>
      <c r="AW102" s="398" t="b">
        <f t="shared" si="9"/>
        <v>0</v>
      </c>
      <c r="AX102" s="448" t="b">
        <f t="shared" si="10"/>
        <v>0</v>
      </c>
      <c r="AY102" s="314"/>
      <c r="AZ102" s="449" t="b">
        <f t="shared" si="11"/>
        <v>0</v>
      </c>
      <c r="BA102" s="450" t="b">
        <f t="shared" si="12"/>
        <v>0</v>
      </c>
      <c r="BB102" s="314"/>
      <c r="BC102" s="398" t="b">
        <f t="shared" si="13"/>
        <v>0</v>
      </c>
      <c r="BD102" s="369" t="b">
        <f>OR(AV102&gt;100%,(AV102+AV103)&gt;100%)</f>
        <v>0</v>
      </c>
      <c r="BE102" s="314"/>
      <c r="BF102" s="451" t="s">
        <v>164</v>
      </c>
      <c r="BG102" s="452">
        <f>IF(AN94=EUconst_TJ,AV94*(1-AV98),IF(AN96=EUconst_GJ,AV94*AV96/1000,0))-SUM(BG103:BG109)</f>
        <v>0</v>
      </c>
      <c r="BH102" s="314"/>
      <c r="BI102" s="314"/>
      <c r="BJ102" s="314"/>
      <c r="BK102" s="314"/>
      <c r="BL102" s="314"/>
      <c r="BM102" s="314"/>
      <c r="BN102" s="314"/>
      <c r="BO102" s="314"/>
      <c r="BP102" s="314"/>
      <c r="BQ102" s="314"/>
      <c r="BR102" s="314"/>
      <c r="BS102" s="314"/>
      <c r="BT102" s="314"/>
      <c r="BU102" s="314"/>
      <c r="BV102" s="314"/>
      <c r="BW102" s="314"/>
      <c r="BX102" s="314"/>
      <c r="BY102" s="314"/>
      <c r="BZ102" s="314"/>
      <c r="CA102" s="314"/>
      <c r="CB102" s="314"/>
      <c r="CC102" s="314"/>
      <c r="CD102" s="314"/>
      <c r="CE102" s="314"/>
      <c r="CF102" s="314"/>
      <c r="CG102" s="314"/>
      <c r="CH102" s="314"/>
      <c r="CI102" s="314"/>
      <c r="CJ102" s="314"/>
      <c r="CK102" s="314"/>
      <c r="CL102" s="314"/>
      <c r="CM102" s="314"/>
      <c r="CN102" s="314"/>
      <c r="CO102" s="314"/>
      <c r="CP102" s="314"/>
      <c r="CQ102" s="407" t="b">
        <f>OR(CQ94,Y102=EUconst_NA)</f>
        <v>0</v>
      </c>
    </row>
    <row r="103" spans="1:95" ht="12.75" customHeight="1" thickBot="1" x14ac:dyDescent="0.3">
      <c r="A103" s="307"/>
      <c r="B103" s="68"/>
      <c r="C103" s="199" t="s">
        <v>165</v>
      </c>
      <c r="D103" s="344" t="str">
        <f>Translations!$B$618</f>
        <v>non-sust. SLCF:</v>
      </c>
      <c r="E103" s="441"/>
      <c r="F103" s="20" t="s">
        <v>158</v>
      </c>
      <c r="G103" s="1261"/>
      <c r="H103" s="1262"/>
      <c r="I103" s="422" t="str">
        <f t="shared" si="14"/>
        <v/>
      </c>
      <c r="J103" s="423"/>
      <c r="K103" s="443"/>
      <c r="L103" s="56"/>
      <c r="M103" s="347" t="str">
        <f>IF(AND(E89&lt;&gt;"",OR(F103="",COUNT(L103)=0),Y103&lt;&gt;EUconst_NA),EUconst_ERR_Incomplete,"")</f>
        <v/>
      </c>
      <c r="N103" s="76"/>
      <c r="O103" s="160"/>
      <c r="P103" s="348"/>
      <c r="Q103" s="413"/>
      <c r="R103" s="413"/>
      <c r="S103" s="314"/>
      <c r="T103" s="425" t="str">
        <f>EUconst_CNTR_RFNBOetcContent&amp;E89</f>
        <v>RNFBOC_</v>
      </c>
      <c r="U103" s="312"/>
      <c r="V103" s="312"/>
      <c r="W103" s="312"/>
      <c r="X103" s="312"/>
      <c r="Y103" s="438" t="str">
        <f>IF(E89="","",IF(OR(F103=EUconst_NA,W103=TRUE),EUconst_NA,INDEX(EUwideConstants!$P$164:$P$200,MATCH(T103,EUwideConstants!$S$164:$S$200,0))))</f>
        <v/>
      </c>
      <c r="Z103" s="314"/>
      <c r="AA103" s="314"/>
      <c r="AB103" s="314"/>
      <c r="AC103" s="429" t="b">
        <f>AND(AC98,Y103&lt;&gt;EUconst_NA)</f>
        <v>0</v>
      </c>
      <c r="AD103" s="314"/>
      <c r="AE103" s="430"/>
      <c r="AF103" s="431"/>
      <c r="AG103" s="432"/>
      <c r="AH103" s="433"/>
      <c r="AI103" s="433"/>
      <c r="AJ103" s="433"/>
      <c r="AK103" s="434"/>
      <c r="AL103" s="326"/>
      <c r="AM103" s="326"/>
      <c r="AN103" s="326"/>
      <c r="AO103" s="326"/>
      <c r="AP103" s="326"/>
      <c r="AQ103" s="435" t="s">
        <v>159</v>
      </c>
      <c r="AR103" s="430"/>
      <c r="AS103" s="436" t="str">
        <f t="shared" si="15"/>
        <v/>
      </c>
      <c r="AT103" s="437"/>
      <c r="AU103" s="438" t="str">
        <f t="shared" si="16"/>
        <v/>
      </c>
      <c r="AV103" s="429">
        <f t="shared" si="17"/>
        <v>0</v>
      </c>
      <c r="AW103" s="407" t="b">
        <f t="shared" si="9"/>
        <v>0</v>
      </c>
      <c r="AX103" s="439" t="b">
        <f t="shared" si="10"/>
        <v>0</v>
      </c>
      <c r="AY103" s="314"/>
      <c r="AZ103" s="408" t="b">
        <f t="shared" si="11"/>
        <v>0</v>
      </c>
      <c r="BA103" s="440" t="b">
        <f t="shared" si="12"/>
        <v>0</v>
      </c>
      <c r="BB103" s="314"/>
      <c r="BC103" s="407" t="b">
        <f t="shared" si="13"/>
        <v>0</v>
      </c>
      <c r="BD103" s="407" t="b">
        <f>OR(AV102&gt;100%,(AV102+AV103)&gt;100%)</f>
        <v>0</v>
      </c>
      <c r="BE103" s="314"/>
      <c r="BF103" s="408" t="s">
        <v>166</v>
      </c>
      <c r="BG103" s="409" t="str">
        <f>IF(AN94=EUconst_TJ,AV94*AV98,IF(AN96=EUconst_GJ,AV94*AV96/1000*AV98,""))</f>
        <v/>
      </c>
      <c r="BH103" s="314"/>
      <c r="BI103" s="314"/>
      <c r="BJ103" s="314"/>
      <c r="BK103" s="314"/>
      <c r="BL103" s="314"/>
      <c r="BM103" s="314"/>
      <c r="BN103" s="314"/>
      <c r="BO103" s="314"/>
      <c r="BP103" s="314"/>
      <c r="BQ103" s="314"/>
      <c r="BR103" s="314"/>
      <c r="BS103" s="314"/>
      <c r="BT103" s="314"/>
      <c r="BU103" s="314"/>
      <c r="BV103" s="314"/>
      <c r="BW103" s="314"/>
      <c r="BX103" s="314"/>
      <c r="BY103" s="314"/>
      <c r="BZ103" s="314"/>
      <c r="CA103" s="314"/>
      <c r="CB103" s="314"/>
      <c r="CC103" s="314"/>
      <c r="CD103" s="314"/>
      <c r="CE103" s="314"/>
      <c r="CF103" s="314"/>
      <c r="CG103" s="314"/>
      <c r="CH103" s="314"/>
      <c r="CI103" s="314"/>
      <c r="CJ103" s="314"/>
      <c r="CK103" s="314"/>
      <c r="CL103" s="314"/>
      <c r="CM103" s="314"/>
      <c r="CN103" s="314"/>
      <c r="CO103" s="314"/>
      <c r="CP103" s="314"/>
      <c r="CQ103" s="407" t="b">
        <f>OR(CQ94,Y103=EUconst_NA)</f>
        <v>0</v>
      </c>
    </row>
    <row r="104" spans="1:95" ht="5.15" customHeight="1" thickBot="1" x14ac:dyDescent="0.3">
      <c r="A104" s="307"/>
      <c r="B104" s="68"/>
      <c r="C104" s="68"/>
      <c r="D104" s="205"/>
      <c r="E104" s="76"/>
      <c r="F104" s="76"/>
      <c r="G104" s="76"/>
      <c r="H104" s="76"/>
      <c r="I104" s="76"/>
      <c r="J104" s="76"/>
      <c r="K104" s="76"/>
      <c r="L104" s="76"/>
      <c r="M104" s="453"/>
      <c r="N104" s="76"/>
      <c r="O104" s="160"/>
      <c r="P104" s="109"/>
      <c r="Q104" s="312"/>
      <c r="R104" s="312"/>
      <c r="S104" s="314"/>
      <c r="T104" s="314"/>
      <c r="U104" s="314"/>
      <c r="V104" s="314"/>
      <c r="W104" s="314"/>
      <c r="X104" s="314"/>
      <c r="Y104" s="314"/>
      <c r="Z104" s="314"/>
      <c r="AA104" s="314"/>
      <c r="AB104" s="314"/>
      <c r="AC104" s="314"/>
      <c r="AD104" s="314"/>
      <c r="AE104" s="314"/>
      <c r="AF104" s="314"/>
      <c r="AG104" s="314"/>
      <c r="AH104" s="314"/>
      <c r="AI104" s="314"/>
      <c r="AJ104" s="314"/>
      <c r="AK104" s="314"/>
      <c r="AL104" s="314"/>
      <c r="AM104" s="314"/>
      <c r="AN104" s="314"/>
      <c r="AO104" s="314"/>
      <c r="AP104" s="314"/>
      <c r="AQ104" s="314"/>
      <c r="AR104" s="314"/>
      <c r="AS104" s="314"/>
      <c r="AT104" s="314"/>
      <c r="AU104" s="314"/>
      <c r="AV104" s="314"/>
      <c r="AW104" s="314"/>
      <c r="AX104" s="314"/>
      <c r="AY104" s="314"/>
      <c r="AZ104" s="314"/>
      <c r="BA104" s="314"/>
      <c r="BB104" s="314"/>
      <c r="BC104" s="314"/>
      <c r="BD104" s="314"/>
      <c r="BE104" s="314"/>
      <c r="BF104" s="314"/>
      <c r="BG104" s="364"/>
      <c r="BH104" s="314"/>
      <c r="BI104" s="314"/>
      <c r="BJ104" s="314"/>
      <c r="BK104" s="314"/>
      <c r="BL104" s="314"/>
      <c r="BM104" s="314"/>
      <c r="BN104" s="314"/>
      <c r="BO104" s="314"/>
      <c r="BP104" s="314"/>
      <c r="BQ104" s="314"/>
      <c r="BR104" s="314"/>
      <c r="BS104" s="314"/>
      <c r="BT104" s="314"/>
      <c r="BU104" s="314"/>
      <c r="BV104" s="314"/>
      <c r="BW104" s="314"/>
      <c r="BX104" s="314"/>
      <c r="BY104" s="314"/>
      <c r="BZ104" s="314"/>
      <c r="CA104" s="314"/>
      <c r="CB104" s="314"/>
      <c r="CC104" s="314"/>
      <c r="CD104" s="314"/>
      <c r="CE104" s="314"/>
      <c r="CF104" s="314"/>
      <c r="CG104" s="314"/>
      <c r="CH104" s="314"/>
      <c r="CI104" s="314"/>
      <c r="CJ104" s="314"/>
      <c r="CK104" s="314"/>
      <c r="CL104" s="314"/>
      <c r="CM104" s="314"/>
      <c r="CN104" s="314"/>
      <c r="CO104" s="314"/>
      <c r="CP104" s="314"/>
      <c r="CQ104" s="314"/>
    </row>
    <row r="105" spans="1:95" ht="12.75" customHeight="1" thickBot="1" x14ac:dyDescent="0.3">
      <c r="A105" s="307"/>
      <c r="B105" s="68"/>
      <c r="C105" s="199" t="s">
        <v>167</v>
      </c>
      <c r="D105" s="344" t="str">
        <f>Translations!$B$398</f>
        <v>Scope factor:</v>
      </c>
      <c r="E105" s="454"/>
      <c r="F105" s="992"/>
      <c r="G105" s="1263"/>
      <c r="H105" s="1264"/>
      <c r="I105" s="455" t="s">
        <v>46</v>
      </c>
      <c r="J105" s="456"/>
      <c r="K105" s="457" t="str">
        <f>IF(L105="",AU105,"")</f>
        <v/>
      </c>
      <c r="L105" s="16"/>
      <c r="M105" s="458" t="str">
        <f>IF(AND(E89&lt;&gt;"",OR(F105="",G105="",COUNT(K105:L105)=0)),EUconst_ERR_Incomplete,IF(COUNTIF(BB105:BD105,TRUE)&gt;0,EUconst_ERR_Inconsistent,""))</f>
        <v/>
      </c>
      <c r="N105" s="76"/>
      <c r="O105" s="160"/>
      <c r="P105" s="109"/>
      <c r="Q105" s="312"/>
      <c r="R105" s="314"/>
      <c r="S105" s="297"/>
      <c r="T105" s="459" t="str">
        <f>EUconst_CNTR_ScopeFactor&amp;E89</f>
        <v>ScopeFactor_</v>
      </c>
      <c r="U105" s="231" t="str">
        <f>IF(F105="","",INDEX(ScopeAddress,MATCH(F105,ScopeTiers,0)))</f>
        <v/>
      </c>
      <c r="V105" s="360" t="str">
        <f>V94</f>
        <v/>
      </c>
      <c r="W105" s="314"/>
      <c r="X105" s="314"/>
      <c r="Y105" s="460" t="str">
        <f>IF(E89="","",IF(F105=EUconst_NA,EUconst_NA,INDEX(EUwideConstants!$P$164:$P$200,MATCH(T105,EUwideConstants!$S$164:$S$200,0))))</f>
        <v/>
      </c>
      <c r="Z105" s="461" t="str">
        <f>IF(ISBLANK(F105),"",IF(F105=EUconst_NA,"",INDEX(EUwideConstants!$H:$O,MATCH(T105,EUwideConstants!$S:$S,0),MATCH(F105,CNTR_TierList,0))))</f>
        <v/>
      </c>
      <c r="AA105" s="331" t="str">
        <f>IF(G105=EUwideConstants!$A$89,1,"")</f>
        <v/>
      </c>
      <c r="AB105" s="314"/>
      <c r="AC105" s="331" t="b">
        <f>AND(AC94,Y105&lt;&gt;EUconst_NA)</f>
        <v>0</v>
      </c>
      <c r="AD105" s="314"/>
      <c r="AE105" s="314"/>
      <c r="AF105" s="314"/>
      <c r="AG105" s="319"/>
      <c r="AH105" s="314"/>
      <c r="AI105" s="314"/>
      <c r="AJ105" s="314"/>
      <c r="AK105" s="314"/>
      <c r="AL105" s="314"/>
      <c r="AM105" s="314"/>
      <c r="AN105" s="314"/>
      <c r="AO105" s="314"/>
      <c r="AP105" s="314"/>
      <c r="AQ105" s="314"/>
      <c r="AR105" s="314"/>
      <c r="AS105" s="328">
        <v>1</v>
      </c>
      <c r="AT105" s="314"/>
      <c r="AU105" s="319" t="str">
        <f>IF(G105=EUwideConstants!$A$89,AS105,"")</f>
        <v/>
      </c>
      <c r="AV105" s="331">
        <f>IF(AC105=TRUE,IF(COUNT(K105:L105)=0,0,IF(L105="",K105,L105)),0)</f>
        <v>0</v>
      </c>
      <c r="AW105" s="360" t="b">
        <f>AND(AC105=TRUE,OR(AND(F105&lt;&gt;"",NOT(ISNUMBER(AA105))),L105&lt;&gt;"",F105="",AU105=""))</f>
        <v>0</v>
      </c>
      <c r="AX105" s="357" t="b">
        <f>AND(AC105=TRUE,NOT(AW105))</f>
        <v>0</v>
      </c>
      <c r="AY105" s="314"/>
      <c r="AZ105" s="361" t="b">
        <f>AND(ISNUMBER(AA105),AU105="")</f>
        <v>0</v>
      </c>
      <c r="BA105" s="351" t="b">
        <f>AND(ISNUMBER(AA105),AU105&lt;&gt;AV105)</f>
        <v>0</v>
      </c>
      <c r="BB105" s="314"/>
      <c r="BC105" s="360" t="b">
        <f>AND(F105&lt;&gt;"",OR(COUNTIF(INDEX(ScopeMethods,F105,),G105)=0,AND(AA105&lt;&gt;"",AU105&lt;&gt;AV105)))</f>
        <v>0</v>
      </c>
      <c r="BD105" s="314"/>
      <c r="BE105" s="314"/>
      <c r="BF105" s="361" t="s">
        <v>168</v>
      </c>
      <c r="BG105" s="362" t="str">
        <f>IF(AN94=EUconst_TJ,AV94*AV100,IF(AN96=EUconst_GJ,AV94*AV96/1000*AV100,""))</f>
        <v/>
      </c>
      <c r="BH105" s="314"/>
      <c r="BI105" s="314"/>
      <c r="BJ105" s="314"/>
      <c r="BK105" s="314"/>
      <c r="BL105" s="314"/>
      <c r="BM105" s="314"/>
      <c r="BN105" s="314"/>
      <c r="BO105" s="314"/>
      <c r="BP105" s="314"/>
      <c r="BQ105" s="314"/>
      <c r="BR105" s="314"/>
      <c r="BS105" s="314"/>
      <c r="BT105" s="314"/>
      <c r="BU105" s="314"/>
      <c r="BV105" s="314"/>
      <c r="BW105" s="314"/>
      <c r="BX105" s="314"/>
      <c r="BY105" s="314"/>
      <c r="BZ105" s="314"/>
      <c r="CA105" s="314"/>
      <c r="CB105" s="314"/>
      <c r="CC105" s="314"/>
      <c r="CD105" s="314"/>
      <c r="CE105" s="314"/>
      <c r="CF105" s="314"/>
      <c r="CG105" s="314"/>
      <c r="CH105" s="314"/>
      <c r="CI105" s="314"/>
      <c r="CJ105" s="314"/>
      <c r="CK105" s="314"/>
      <c r="CL105" s="314"/>
      <c r="CM105" s="314"/>
      <c r="CN105" s="314"/>
      <c r="CO105" s="314"/>
      <c r="CP105" s="314"/>
      <c r="CQ105" s="314"/>
    </row>
    <row r="106" spans="1:95" ht="12.75" customHeight="1" x14ac:dyDescent="0.25">
      <c r="A106" s="307"/>
      <c r="B106" s="68"/>
      <c r="C106" s="68"/>
      <c r="D106" s="68"/>
      <c r="E106" s="68"/>
      <c r="F106" s="68"/>
      <c r="G106" s="1265" t="str">
        <f>IF(G105="","",INDEX(ScopeMethodsDetails,MATCH(G105,INDEX(ScopeMethodsDetails,,1),0),2))</f>
        <v/>
      </c>
      <c r="H106" s="1266"/>
      <c r="I106" s="1266"/>
      <c r="J106" s="1266"/>
      <c r="K106" s="1266"/>
      <c r="L106" s="1266"/>
      <c r="M106" s="1267"/>
      <c r="N106" s="76"/>
      <c r="O106" s="160"/>
      <c r="P106" s="109"/>
      <c r="Q106" s="312"/>
      <c r="R106" s="312"/>
      <c r="S106" s="314"/>
      <c r="T106" s="314"/>
      <c r="U106" s="314"/>
      <c r="V106" s="314"/>
      <c r="W106" s="314"/>
      <c r="X106" s="314"/>
      <c r="Y106" s="314"/>
      <c r="Z106" s="314"/>
      <c r="AA106" s="314"/>
      <c r="AB106" s="314"/>
      <c r="AC106" s="314"/>
      <c r="AD106" s="314"/>
      <c r="AE106" s="314"/>
      <c r="AF106" s="314"/>
      <c r="AG106" s="314"/>
      <c r="AH106" s="314"/>
      <c r="AI106" s="314"/>
      <c r="AJ106" s="314"/>
      <c r="AK106" s="314"/>
      <c r="AL106" s="314"/>
      <c r="AM106" s="314"/>
      <c r="AN106" s="314"/>
      <c r="AO106" s="314"/>
      <c r="AP106" s="314"/>
      <c r="AQ106" s="314"/>
      <c r="AR106" s="314"/>
      <c r="AS106" s="314"/>
      <c r="AT106" s="314"/>
      <c r="AU106" s="314"/>
      <c r="AV106" s="314"/>
      <c r="AW106" s="314"/>
      <c r="AX106" s="314"/>
      <c r="AY106" s="314"/>
      <c r="AZ106" s="314"/>
      <c r="BA106" s="314"/>
      <c r="BB106" s="314"/>
      <c r="BC106" s="314"/>
      <c r="BD106" s="314"/>
      <c r="BE106" s="314"/>
      <c r="BG106" s="364"/>
      <c r="BH106" s="314"/>
      <c r="BI106" s="314"/>
      <c r="BJ106" s="314"/>
      <c r="BK106" s="314"/>
      <c r="BL106" s="314"/>
      <c r="BM106" s="314"/>
      <c r="BN106" s="314"/>
      <c r="BO106" s="314"/>
      <c r="BP106" s="314"/>
      <c r="BQ106" s="314"/>
      <c r="BR106" s="314"/>
      <c r="BS106" s="314"/>
      <c r="BT106" s="314"/>
      <c r="BU106" s="314"/>
      <c r="BV106" s="314"/>
      <c r="BW106" s="314"/>
      <c r="BX106" s="314"/>
      <c r="BY106" s="314"/>
      <c r="BZ106" s="314"/>
      <c r="CA106" s="314"/>
      <c r="CB106" s="314"/>
      <c r="CC106" s="314"/>
      <c r="CD106" s="314"/>
      <c r="CE106" s="314"/>
      <c r="CF106" s="314"/>
      <c r="CG106" s="314"/>
      <c r="CH106" s="314"/>
      <c r="CI106" s="314"/>
      <c r="CJ106" s="314"/>
      <c r="CK106" s="314"/>
      <c r="CL106" s="314"/>
      <c r="CM106" s="314"/>
      <c r="CN106" s="314"/>
      <c r="CO106" s="314"/>
      <c r="CP106" s="314"/>
      <c r="CQ106" s="314"/>
    </row>
    <row r="107" spans="1:95" ht="5.15" customHeight="1" x14ac:dyDescent="0.25">
      <c r="A107" s="307"/>
      <c r="C107" s="76"/>
      <c r="D107" s="76"/>
      <c r="E107" s="76"/>
      <c r="F107" s="76"/>
      <c r="G107" s="76"/>
      <c r="H107" s="76"/>
      <c r="I107" s="76"/>
      <c r="J107" s="76"/>
      <c r="K107" s="76"/>
      <c r="L107" s="76"/>
      <c r="O107" s="160"/>
      <c r="P107" s="109"/>
      <c r="Q107" s="312"/>
      <c r="R107" s="312"/>
      <c r="S107" s="314"/>
      <c r="T107" s="314"/>
      <c r="U107" s="314"/>
      <c r="V107" s="314"/>
      <c r="W107" s="314"/>
      <c r="X107" s="314"/>
      <c r="Y107" s="314"/>
      <c r="Z107" s="314"/>
      <c r="AA107" s="314"/>
      <c r="AB107" s="314"/>
      <c r="AC107" s="314"/>
      <c r="AD107" s="314"/>
      <c r="AE107" s="314"/>
      <c r="AF107" s="314"/>
      <c r="AG107" s="314"/>
      <c r="AH107" s="314"/>
      <c r="AI107" s="314"/>
      <c r="AJ107" s="314"/>
      <c r="AK107" s="314"/>
      <c r="AL107" s="314"/>
      <c r="AM107" s="314"/>
      <c r="AN107" s="314"/>
      <c r="AO107" s="314"/>
      <c r="AP107" s="314"/>
      <c r="AQ107" s="314"/>
      <c r="AR107" s="314"/>
      <c r="AS107" s="314"/>
      <c r="AT107" s="314"/>
      <c r="AU107" s="314"/>
      <c r="AV107" s="314"/>
      <c r="AW107" s="314"/>
      <c r="AX107" s="314"/>
      <c r="AY107" s="314"/>
      <c r="AZ107" s="314"/>
      <c r="BA107" s="314"/>
      <c r="BB107" s="314"/>
      <c r="BC107" s="314"/>
      <c r="BD107" s="314"/>
      <c r="BE107" s="314"/>
      <c r="BG107" s="364"/>
      <c r="BH107" s="314"/>
      <c r="BI107" s="314"/>
      <c r="BJ107" s="314"/>
      <c r="BK107" s="314"/>
      <c r="BL107" s="314"/>
      <c r="BM107" s="314"/>
      <c r="BN107" s="314"/>
      <c r="BO107" s="314"/>
      <c r="BP107" s="314"/>
      <c r="BQ107" s="314"/>
      <c r="BR107" s="314"/>
      <c r="BS107" s="314"/>
      <c r="BT107" s="314"/>
      <c r="BU107" s="314"/>
      <c r="BV107" s="314"/>
      <c r="BW107" s="314"/>
      <c r="BX107" s="314"/>
      <c r="BY107" s="314"/>
      <c r="BZ107" s="314"/>
      <c r="CA107" s="314"/>
      <c r="CB107" s="314"/>
      <c r="CC107" s="314"/>
      <c r="CD107" s="314"/>
      <c r="CE107" s="314"/>
      <c r="CF107" s="314"/>
      <c r="CG107" s="314"/>
      <c r="CH107" s="314"/>
      <c r="CI107" s="314"/>
      <c r="CJ107" s="314"/>
      <c r="CK107" s="314"/>
      <c r="CL107" s="314"/>
      <c r="CM107" s="314"/>
      <c r="CN107" s="314"/>
      <c r="CO107" s="314"/>
      <c r="CP107" s="314"/>
      <c r="CQ107" s="314"/>
    </row>
    <row r="108" spans="1:95" ht="12.75" customHeight="1" thickBot="1" x14ac:dyDescent="0.3">
      <c r="A108" s="307"/>
      <c r="C108" s="76"/>
      <c r="D108" s="76"/>
      <c r="E108" s="76"/>
      <c r="F108" s="76"/>
      <c r="G108" s="1268">
        <v>1</v>
      </c>
      <c r="H108" s="1268"/>
      <c r="I108" s="1268">
        <v>2</v>
      </c>
      <c r="J108" s="1268"/>
      <c r="K108" s="1268">
        <v>3</v>
      </c>
      <c r="L108" s="1268"/>
      <c r="O108" s="160"/>
      <c r="P108" s="109"/>
      <c r="Q108" s="312"/>
      <c r="R108" s="312"/>
      <c r="S108" s="314"/>
      <c r="T108" s="314"/>
      <c r="U108" s="314"/>
      <c r="V108" s="314"/>
      <c r="W108" s="314"/>
      <c r="X108" s="314"/>
      <c r="Y108" s="314"/>
      <c r="Z108" s="314"/>
      <c r="AA108" s="314"/>
      <c r="AB108" s="314"/>
      <c r="AC108" s="314"/>
      <c r="AD108" s="314"/>
      <c r="AE108" s="314"/>
      <c r="AF108" s="314"/>
      <c r="AG108" s="314"/>
      <c r="AH108" s="314"/>
      <c r="AI108" s="314"/>
      <c r="AJ108" s="314"/>
      <c r="AK108" s="314"/>
      <c r="AL108" s="314"/>
      <c r="AM108" s="314"/>
      <c r="AN108" s="314"/>
      <c r="AO108" s="314"/>
      <c r="AP108" s="314"/>
      <c r="AQ108" s="314"/>
      <c r="AR108" s="314"/>
      <c r="AS108" s="314"/>
      <c r="AT108" s="314"/>
      <c r="AU108" s="314"/>
      <c r="AV108" s="314"/>
      <c r="AW108" s="314"/>
      <c r="AX108" s="314"/>
      <c r="AY108" s="314"/>
      <c r="AZ108" s="314"/>
      <c r="BA108" s="314"/>
      <c r="BB108" s="314"/>
      <c r="BC108" s="314"/>
      <c r="BD108" s="314"/>
      <c r="BE108" s="314"/>
      <c r="BF108" s="314"/>
      <c r="BG108" s="364"/>
      <c r="BH108" s="314"/>
      <c r="BI108" s="314"/>
      <c r="BJ108" s="314"/>
      <c r="BK108" s="314"/>
      <c r="BL108" s="314"/>
      <c r="BM108" s="314"/>
      <c r="BN108" s="314"/>
      <c r="BO108" s="314"/>
      <c r="BP108" s="314"/>
      <c r="BQ108" s="314"/>
      <c r="BR108" s="314"/>
      <c r="BS108" s="314"/>
      <c r="BT108" s="314"/>
      <c r="BU108" s="314"/>
      <c r="BV108" s="314"/>
      <c r="BW108" s="314"/>
      <c r="BX108" s="314"/>
      <c r="BY108" s="314"/>
      <c r="BZ108" s="314"/>
      <c r="CA108" s="314"/>
      <c r="CB108" s="314"/>
      <c r="CC108" s="314"/>
      <c r="CD108" s="314"/>
      <c r="CE108" s="314"/>
      <c r="CF108" s="314"/>
      <c r="CG108" s="314"/>
      <c r="CH108" s="314"/>
      <c r="CI108" s="314"/>
      <c r="CJ108" s="314"/>
      <c r="CK108" s="314"/>
      <c r="CL108" s="314"/>
      <c r="CM108" s="314"/>
      <c r="CN108" s="314"/>
      <c r="CO108" s="314"/>
      <c r="CP108" s="314"/>
      <c r="CQ108" s="314"/>
    </row>
    <row r="109" spans="1:95" ht="12.75" customHeight="1" thickBot="1" x14ac:dyDescent="0.3">
      <c r="A109" s="462"/>
      <c r="B109" s="76"/>
      <c r="C109" s="76"/>
      <c r="D109" s="1246" t="str">
        <f>Translations!$B$372</f>
        <v>Consumers' CRF category:</v>
      </c>
      <c r="E109" s="1246"/>
      <c r="F109" s="1247"/>
      <c r="G109" s="1248"/>
      <c r="H109" s="1249"/>
      <c r="I109" s="1248"/>
      <c r="J109" s="1249"/>
      <c r="K109" s="1248"/>
      <c r="L109" s="1249"/>
      <c r="M109" s="463" t="str">
        <f>IF(AND(E88&lt;&gt;"",COUNTA(G109:L109)=0,AX109=FALSE),EUconst_ERR_Incomplete,"")</f>
        <v/>
      </c>
      <c r="N109" s="76"/>
      <c r="O109" s="160"/>
      <c r="P109" s="109"/>
      <c r="Q109" s="312"/>
      <c r="R109" s="312"/>
      <c r="S109" s="314"/>
      <c r="T109" s="314"/>
      <c r="U109" s="314"/>
      <c r="V109" s="314"/>
      <c r="W109" s="314"/>
      <c r="X109" s="314"/>
      <c r="Y109" s="314"/>
      <c r="Z109" s="314"/>
      <c r="AA109" s="314"/>
      <c r="AB109" s="314"/>
      <c r="AC109" s="314"/>
      <c r="AD109" s="314"/>
      <c r="AE109" s="314"/>
      <c r="AF109" s="314"/>
      <c r="AG109" s="314"/>
      <c r="AH109" s="314"/>
      <c r="AI109" s="314"/>
      <c r="AJ109" s="314"/>
      <c r="AK109" s="314"/>
      <c r="AL109" s="314"/>
      <c r="AM109" s="314"/>
      <c r="AN109" s="314"/>
      <c r="AO109" s="314"/>
      <c r="AP109" s="314"/>
      <c r="AQ109" s="314"/>
      <c r="AR109" s="314"/>
      <c r="AS109" s="314"/>
      <c r="AT109" s="314"/>
      <c r="AU109" s="314"/>
      <c r="AV109" s="314"/>
      <c r="AW109" s="314"/>
      <c r="AX109" s="464" t="b">
        <f>AND(AV105&lt;&gt;"",SUM(AV105=1))</f>
        <v>0</v>
      </c>
      <c r="AY109" s="314"/>
      <c r="AZ109" s="314"/>
      <c r="BA109" s="314"/>
      <c r="BB109" s="314"/>
      <c r="BC109" s="314"/>
      <c r="BD109" s="314"/>
      <c r="BE109" s="314"/>
      <c r="BF109" s="361" t="s">
        <v>169</v>
      </c>
      <c r="BG109" s="362" t="str">
        <f>IF(AN94=EUconst_TJ,AV94*AV102,IF(AN96=EUconst_GJ,AV94*AV96/1000*AV102,""))</f>
        <v/>
      </c>
      <c r="BH109" s="314"/>
      <c r="BI109" s="314"/>
      <c r="BJ109" s="314"/>
      <c r="BK109" s="314"/>
      <c r="BL109" s="314"/>
      <c r="BM109" s="314"/>
      <c r="BN109" s="314"/>
      <c r="BO109" s="314"/>
      <c r="BP109" s="314"/>
      <c r="BQ109" s="314"/>
      <c r="BR109" s="314"/>
      <c r="BS109" s="314"/>
      <c r="BT109" s="314"/>
      <c r="BU109" s="314"/>
      <c r="BV109" s="314"/>
      <c r="BW109" s="314"/>
      <c r="BX109" s="314"/>
      <c r="BY109" s="314"/>
      <c r="BZ109" s="314"/>
      <c r="CA109" s="314"/>
      <c r="CB109" s="314"/>
      <c r="CC109" s="314"/>
      <c r="CD109" s="314"/>
      <c r="CE109" s="314"/>
      <c r="CF109" s="314"/>
      <c r="CG109" s="314"/>
      <c r="CH109" s="314"/>
      <c r="CI109" s="314"/>
      <c r="CJ109" s="314"/>
      <c r="CK109" s="314"/>
      <c r="CL109" s="314"/>
      <c r="CM109" s="314"/>
      <c r="CN109" s="314"/>
      <c r="CO109" s="314"/>
      <c r="CP109" s="314"/>
      <c r="CQ109" s="314"/>
    </row>
    <row r="110" spans="1:95" ht="5.15" customHeight="1" x14ac:dyDescent="0.25">
      <c r="A110" s="307"/>
      <c r="B110" s="68"/>
      <c r="C110" s="68"/>
      <c r="D110" s="68"/>
      <c r="E110" s="68"/>
      <c r="F110" s="68"/>
      <c r="G110" s="76"/>
      <c r="H110" s="76"/>
      <c r="I110" s="76"/>
      <c r="J110" s="76"/>
      <c r="K110" s="76"/>
      <c r="L110" s="76"/>
      <c r="M110" s="76"/>
      <c r="N110" s="76"/>
      <c r="O110" s="160"/>
      <c r="P110" s="109"/>
      <c r="Q110" s="312"/>
      <c r="R110" s="312"/>
      <c r="S110" s="314"/>
      <c r="T110" s="314"/>
      <c r="U110" s="314"/>
      <c r="V110" s="314"/>
      <c r="W110" s="314"/>
      <c r="X110" s="314"/>
      <c r="Y110" s="314"/>
      <c r="Z110" s="314"/>
      <c r="AA110" s="314"/>
      <c r="AB110" s="314"/>
      <c r="AC110" s="314"/>
      <c r="AD110" s="314"/>
      <c r="AE110" s="314"/>
      <c r="AF110" s="314"/>
      <c r="AG110" s="314"/>
      <c r="AH110" s="314"/>
      <c r="AI110" s="314"/>
      <c r="AJ110" s="314"/>
      <c r="AK110" s="314"/>
      <c r="AL110" s="314"/>
      <c r="AM110" s="314"/>
      <c r="AN110" s="314"/>
      <c r="AO110" s="314"/>
      <c r="AP110" s="314"/>
      <c r="AQ110" s="314"/>
      <c r="AR110" s="314"/>
      <c r="AS110" s="314"/>
      <c r="AT110" s="314"/>
      <c r="AU110" s="314"/>
      <c r="AV110" s="314"/>
      <c r="AW110" s="314"/>
      <c r="AX110" s="314"/>
      <c r="AY110" s="314"/>
      <c r="AZ110" s="314"/>
      <c r="BA110" s="314"/>
      <c r="BB110" s="314"/>
      <c r="BC110" s="314"/>
      <c r="BD110" s="314"/>
      <c r="BE110" s="314"/>
      <c r="BF110" s="314"/>
      <c r="BG110" s="314"/>
      <c r="BH110" s="314"/>
      <c r="BI110" s="314"/>
      <c r="BJ110" s="314"/>
      <c r="BK110" s="314"/>
      <c r="BL110" s="314"/>
      <c r="BM110" s="314"/>
      <c r="BN110" s="314"/>
      <c r="BO110" s="314"/>
      <c r="BP110" s="314"/>
      <c r="BQ110" s="314"/>
      <c r="BR110" s="314"/>
      <c r="BS110" s="314"/>
      <c r="BT110" s="314"/>
      <c r="BU110" s="314"/>
      <c r="BV110" s="314"/>
      <c r="BW110" s="314"/>
      <c r="BX110" s="314"/>
      <c r="BY110" s="314"/>
      <c r="BZ110" s="314"/>
      <c r="CA110" s="314"/>
      <c r="CB110" s="314"/>
      <c r="CC110" s="314"/>
      <c r="CD110" s="314"/>
      <c r="CE110" s="314"/>
      <c r="CF110" s="314"/>
      <c r="CG110" s="314"/>
      <c r="CH110" s="314"/>
      <c r="CI110" s="314"/>
      <c r="CJ110" s="314"/>
      <c r="CK110" s="314"/>
      <c r="CL110" s="314"/>
      <c r="CM110" s="314"/>
      <c r="CN110" s="314"/>
      <c r="CO110" s="314"/>
      <c r="CP110" s="314"/>
      <c r="CQ110" s="314"/>
    </row>
    <row r="111" spans="1:95" ht="12.75" customHeight="1" x14ac:dyDescent="0.25">
      <c r="A111" s="307"/>
      <c r="B111" s="68"/>
      <c r="C111" s="68"/>
      <c r="D111" s="1246" t="str">
        <f>Translations!$B$399</f>
        <v>Tiers valid from:</v>
      </c>
      <c r="E111" s="1246"/>
      <c r="F111" s="1247"/>
      <c r="G111" s="8"/>
      <c r="H111" s="199" t="str">
        <f>Translations!$B$400</f>
        <v>until:</v>
      </c>
      <c r="I111" s="8"/>
      <c r="J111" s="76"/>
      <c r="K111" s="76"/>
      <c r="L111" s="76"/>
      <c r="M111" s="199" t="str">
        <f>Translations!$B$401</f>
        <v>ID used in the monitoring plan for this fuel stream:</v>
      </c>
      <c r="N111" s="9"/>
      <c r="O111" s="160"/>
      <c r="P111" s="109"/>
      <c r="Q111" s="312"/>
      <c r="R111" s="312"/>
      <c r="S111" s="465"/>
      <c r="T111" s="314"/>
      <c r="U111" s="314"/>
      <c r="V111" s="314"/>
      <c r="W111" s="314"/>
      <c r="X111" s="314"/>
      <c r="Y111" s="314"/>
      <c r="Z111" s="314"/>
      <c r="AA111" s="314"/>
      <c r="AB111" s="314"/>
      <c r="AC111" s="314"/>
      <c r="AD111" s="314"/>
      <c r="AE111" s="314"/>
      <c r="AF111" s="314"/>
      <c r="AG111" s="314"/>
      <c r="AH111" s="314"/>
      <c r="AI111" s="314"/>
      <c r="AJ111" s="314"/>
      <c r="AK111" s="314"/>
      <c r="AL111" s="314"/>
      <c r="AM111" s="314"/>
      <c r="AN111" s="314"/>
      <c r="AO111" s="314"/>
      <c r="AP111" s="314"/>
      <c r="AQ111" s="314"/>
      <c r="AR111" s="314"/>
      <c r="AS111" s="314"/>
      <c r="AT111" s="314"/>
      <c r="AU111" s="314"/>
      <c r="AV111" s="314"/>
      <c r="AW111" s="314"/>
      <c r="AX111" s="314"/>
      <c r="AY111" s="314"/>
      <c r="AZ111" s="314"/>
      <c r="BA111" s="314"/>
      <c r="BB111" s="314"/>
      <c r="BC111" s="314"/>
      <c r="BD111" s="314"/>
      <c r="BE111" s="314"/>
      <c r="BF111" s="314"/>
      <c r="BG111" s="314"/>
      <c r="BH111" s="314"/>
      <c r="BI111" s="314"/>
      <c r="BJ111" s="314"/>
      <c r="BK111" s="314"/>
      <c r="BL111" s="314"/>
      <c r="BM111" s="314"/>
      <c r="BN111" s="314"/>
      <c r="BO111" s="314"/>
      <c r="BP111" s="314"/>
      <c r="BQ111" s="314"/>
      <c r="BR111" s="314"/>
      <c r="BS111" s="314"/>
      <c r="BT111" s="314"/>
      <c r="BU111" s="314"/>
      <c r="BV111" s="314"/>
      <c r="BW111" s="314"/>
      <c r="BX111" s="314"/>
      <c r="BY111" s="314"/>
      <c r="BZ111" s="314"/>
      <c r="CA111" s="314"/>
      <c r="CB111" s="314"/>
      <c r="CC111" s="314"/>
      <c r="CD111" s="314"/>
      <c r="CE111" s="314"/>
      <c r="CF111" s="314"/>
      <c r="CG111" s="314"/>
      <c r="CH111" s="314"/>
      <c r="CI111" s="314"/>
      <c r="CJ111" s="314"/>
      <c r="CK111" s="314"/>
      <c r="CL111" s="314"/>
      <c r="CM111" s="314"/>
      <c r="CN111" s="314"/>
      <c r="CO111" s="314"/>
      <c r="CP111" s="314"/>
      <c r="CQ111" s="464" t="b">
        <f>CQ94</f>
        <v>0</v>
      </c>
    </row>
    <row r="112" spans="1:95" ht="5.15" customHeight="1" x14ac:dyDescent="0.25">
      <c r="A112" s="462"/>
      <c r="B112" s="76"/>
      <c r="C112" s="76"/>
      <c r="D112" s="76"/>
      <c r="E112" s="76"/>
      <c r="F112" s="76"/>
      <c r="G112" s="76"/>
      <c r="H112" s="76"/>
      <c r="I112" s="76"/>
      <c r="J112" s="76"/>
      <c r="K112" s="76"/>
      <c r="L112" s="76"/>
      <c r="M112" s="76"/>
      <c r="N112" s="76"/>
      <c r="O112" s="160"/>
      <c r="P112" s="109"/>
      <c r="Q112" s="312"/>
      <c r="R112" s="312"/>
      <c r="S112" s="314"/>
      <c r="T112" s="314"/>
      <c r="U112" s="314"/>
      <c r="V112" s="314"/>
      <c r="W112" s="314"/>
      <c r="X112" s="314"/>
      <c r="Y112" s="314"/>
      <c r="Z112" s="314"/>
      <c r="AA112" s="314"/>
      <c r="AB112" s="314"/>
      <c r="AC112" s="314"/>
      <c r="AD112" s="314"/>
      <c r="AE112" s="314"/>
      <c r="AF112" s="314"/>
      <c r="AG112" s="314"/>
      <c r="AH112" s="314"/>
      <c r="AI112" s="314"/>
      <c r="AJ112" s="314"/>
      <c r="AK112" s="314"/>
      <c r="AL112" s="314"/>
      <c r="AM112" s="314"/>
      <c r="AN112" s="314"/>
      <c r="AO112" s="314"/>
      <c r="AP112" s="314"/>
      <c r="AQ112" s="314"/>
      <c r="AR112" s="314"/>
      <c r="AS112" s="314"/>
      <c r="AT112" s="314"/>
      <c r="AU112" s="314"/>
      <c r="AV112" s="314"/>
      <c r="AW112" s="314"/>
      <c r="AX112" s="314"/>
      <c r="AY112" s="314"/>
      <c r="AZ112" s="314"/>
      <c r="BA112" s="314"/>
      <c r="BB112" s="314"/>
      <c r="BC112" s="314"/>
      <c r="BD112" s="314"/>
      <c r="BE112" s="314"/>
      <c r="BF112" s="314"/>
      <c r="BG112" s="314"/>
      <c r="BH112" s="314"/>
      <c r="BI112" s="314"/>
      <c r="BJ112" s="314"/>
      <c r="BK112" s="314"/>
      <c r="BL112" s="314"/>
      <c r="BM112" s="314"/>
      <c r="BN112" s="314"/>
      <c r="BO112" s="314"/>
      <c r="BP112" s="314"/>
      <c r="BQ112" s="314"/>
      <c r="BR112" s="314"/>
      <c r="BS112" s="314"/>
      <c r="BT112" s="314"/>
      <c r="BU112" s="314"/>
      <c r="BV112" s="314"/>
      <c r="BW112" s="314"/>
      <c r="BX112" s="314"/>
      <c r="BY112" s="314"/>
      <c r="BZ112" s="314"/>
      <c r="CA112" s="314"/>
      <c r="CB112" s="314"/>
      <c r="CC112" s="314"/>
      <c r="CD112" s="314"/>
      <c r="CE112" s="314"/>
      <c r="CF112" s="314"/>
      <c r="CG112" s="314"/>
      <c r="CH112" s="314"/>
      <c r="CI112" s="314"/>
      <c r="CJ112" s="314"/>
      <c r="CK112" s="314"/>
      <c r="CL112" s="314"/>
      <c r="CM112" s="314"/>
      <c r="CN112" s="314"/>
      <c r="CO112" s="314"/>
      <c r="CP112" s="314"/>
      <c r="CQ112" s="314"/>
    </row>
    <row r="113" spans="1:95" ht="12.75" customHeight="1" x14ac:dyDescent="0.25">
      <c r="A113" s="462"/>
      <c r="B113" s="76"/>
      <c r="C113" s="76"/>
      <c r="D113" s="115"/>
      <c r="E113" s="85"/>
      <c r="F113" s="466" t="str">
        <f>Translations!$B$304</f>
        <v>Comments:</v>
      </c>
      <c r="G113" s="1250"/>
      <c r="H113" s="1251"/>
      <c r="I113" s="1251"/>
      <c r="J113" s="1251"/>
      <c r="K113" s="1251"/>
      <c r="L113" s="1251"/>
      <c r="M113" s="1251"/>
      <c r="N113" s="1252"/>
      <c r="O113" s="160"/>
      <c r="P113" s="109"/>
      <c r="Q113" s="312"/>
      <c r="R113" s="312"/>
      <c r="S113" s="314"/>
      <c r="T113" s="314"/>
      <c r="U113" s="314"/>
      <c r="V113" s="314"/>
      <c r="W113" s="314"/>
      <c r="X113" s="314"/>
      <c r="Y113" s="314"/>
      <c r="Z113" s="314"/>
      <c r="AA113" s="314"/>
      <c r="AB113" s="314"/>
      <c r="AC113" s="314"/>
      <c r="AD113" s="314"/>
      <c r="AE113" s="314"/>
      <c r="AF113" s="314"/>
      <c r="AG113" s="314"/>
      <c r="AH113" s="314"/>
      <c r="AI113" s="314"/>
      <c r="AJ113" s="314"/>
      <c r="AK113" s="314"/>
      <c r="AL113" s="314"/>
      <c r="AM113" s="314"/>
      <c r="AN113" s="314"/>
      <c r="AO113" s="314"/>
      <c r="AP113" s="314"/>
      <c r="AQ113" s="314"/>
      <c r="AR113" s="314"/>
      <c r="AS113" s="314"/>
      <c r="AT113" s="314"/>
      <c r="AU113" s="314"/>
      <c r="AV113" s="314"/>
      <c r="AW113" s="314"/>
      <c r="AX113" s="314"/>
      <c r="AY113" s="314"/>
      <c r="AZ113" s="314"/>
      <c r="BA113" s="314"/>
      <c r="BB113" s="314"/>
      <c r="BC113" s="314"/>
      <c r="BD113" s="314"/>
      <c r="BE113" s="314"/>
      <c r="BF113" s="314"/>
      <c r="BG113" s="314"/>
      <c r="BH113" s="314"/>
      <c r="BI113" s="314"/>
      <c r="BJ113" s="314"/>
      <c r="BK113" s="314"/>
      <c r="BL113" s="314"/>
      <c r="BM113" s="314"/>
      <c r="BN113" s="314"/>
      <c r="BO113" s="314"/>
      <c r="BP113" s="314"/>
      <c r="BQ113" s="314"/>
      <c r="BR113" s="314"/>
      <c r="BS113" s="314"/>
      <c r="BT113" s="314"/>
      <c r="BU113" s="314"/>
      <c r="BV113" s="314"/>
      <c r="BW113" s="314"/>
      <c r="BX113" s="314"/>
      <c r="BY113" s="314"/>
      <c r="BZ113" s="314"/>
      <c r="CA113" s="314"/>
      <c r="CB113" s="314"/>
      <c r="CC113" s="314"/>
      <c r="CD113" s="314"/>
      <c r="CE113" s="314"/>
      <c r="CF113" s="314"/>
      <c r="CG113" s="314"/>
      <c r="CH113" s="314"/>
      <c r="CI113" s="314"/>
      <c r="CJ113" s="314"/>
      <c r="CK113" s="314"/>
      <c r="CL113" s="314"/>
      <c r="CM113" s="314"/>
      <c r="CN113" s="314"/>
      <c r="CO113" s="314"/>
      <c r="CP113" s="314"/>
      <c r="CQ113" s="464" t="b">
        <f>CQ111</f>
        <v>0</v>
      </c>
    </row>
    <row r="114" spans="1:95" ht="12.75" customHeight="1" thickBot="1" x14ac:dyDescent="0.3">
      <c r="A114" s="307"/>
      <c r="B114" s="76"/>
      <c r="C114" s="308"/>
      <c r="D114" s="309"/>
      <c r="E114" s="310"/>
      <c r="F114" s="308"/>
      <c r="G114" s="311"/>
      <c r="H114" s="311"/>
      <c r="I114" s="311"/>
      <c r="J114" s="311"/>
      <c r="K114" s="311"/>
      <c r="L114" s="311"/>
      <c r="M114" s="311"/>
      <c r="N114" s="311"/>
      <c r="O114" s="160"/>
      <c r="P114" s="109"/>
      <c r="Q114" s="312"/>
      <c r="R114" s="312"/>
      <c r="S114" s="293"/>
      <c r="T114" s="293"/>
      <c r="U114" s="313"/>
      <c r="V114" s="293"/>
      <c r="W114" s="293"/>
      <c r="X114" s="313"/>
      <c r="Y114" s="293"/>
      <c r="Z114" s="293"/>
      <c r="AA114" s="293"/>
      <c r="AB114" s="293"/>
      <c r="AC114" s="293"/>
      <c r="AD114" s="293"/>
      <c r="AE114" s="293"/>
      <c r="AF114" s="293"/>
      <c r="AG114" s="293"/>
      <c r="AH114" s="293"/>
      <c r="AI114" s="293"/>
      <c r="AJ114" s="293"/>
      <c r="AK114" s="293"/>
      <c r="AL114" s="293"/>
      <c r="AM114" s="293"/>
      <c r="AN114" s="293"/>
      <c r="AO114" s="293"/>
      <c r="AP114" s="293"/>
      <c r="AQ114" s="293"/>
      <c r="AR114" s="293"/>
      <c r="AS114" s="293"/>
      <c r="AT114" s="293"/>
      <c r="AU114" s="293"/>
      <c r="AV114" s="293"/>
      <c r="AW114" s="293"/>
      <c r="AX114" s="293"/>
      <c r="AY114" s="293"/>
      <c r="AZ114" s="293"/>
      <c r="BA114" s="293"/>
      <c r="BB114" s="293"/>
      <c r="BC114" s="293"/>
      <c r="BD114" s="293"/>
      <c r="BE114" s="293"/>
      <c r="BF114" s="293"/>
      <c r="BG114" s="293"/>
      <c r="BH114" s="293"/>
      <c r="BI114" s="293"/>
      <c r="BJ114" s="293"/>
      <c r="BK114" s="293"/>
      <c r="BL114" s="293"/>
      <c r="BM114" s="314"/>
      <c r="BN114" s="314"/>
      <c r="BO114" s="314"/>
      <c r="BP114" s="314"/>
      <c r="BQ114" s="314"/>
      <c r="BR114" s="314"/>
      <c r="BS114" s="314"/>
      <c r="BT114" s="314"/>
      <c r="BU114" s="293"/>
      <c r="BV114" s="293"/>
      <c r="BW114" s="293"/>
      <c r="BX114" s="293"/>
      <c r="BY114" s="293"/>
      <c r="BZ114" s="293"/>
      <c r="CA114" s="293"/>
      <c r="CB114" s="293"/>
      <c r="CC114" s="293"/>
      <c r="CD114" s="293"/>
      <c r="CE114" s="293"/>
      <c r="CF114" s="293"/>
      <c r="CG114" s="293"/>
      <c r="CH114" s="293"/>
      <c r="CI114" s="293"/>
      <c r="CJ114" s="293"/>
      <c r="CK114" s="293"/>
      <c r="CL114" s="293"/>
      <c r="CM114" s="293"/>
      <c r="CN114" s="293"/>
      <c r="CO114" s="293"/>
      <c r="CP114" s="293"/>
      <c r="CQ114" s="293"/>
    </row>
    <row r="115" spans="1:95" ht="12.75" customHeight="1" thickBot="1" x14ac:dyDescent="0.3">
      <c r="A115" s="315"/>
      <c r="B115" s="76"/>
      <c r="C115" s="76"/>
      <c r="D115" s="205"/>
      <c r="E115" s="316"/>
      <c r="F115" s="76"/>
      <c r="G115" s="96"/>
      <c r="H115" s="96"/>
      <c r="I115" s="96"/>
      <c r="J115" s="96"/>
      <c r="K115" s="76"/>
      <c r="L115" s="96"/>
      <c r="M115" s="96"/>
      <c r="N115" s="96"/>
      <c r="O115" s="160"/>
      <c r="P115" s="109"/>
      <c r="Q115" s="312"/>
      <c r="R115" s="312"/>
      <c r="S115" s="287"/>
      <c r="T115" s="317" t="str">
        <f>IF(ISBLANK(E116),"",MATCH(E116,CNTR_SourceStreamNames,0))</f>
        <v/>
      </c>
      <c r="U115" s="318" t="str">
        <f>IF(ISBLANK(E116),"",INDEX(B_IdentifyFuelStreams!$D$67:$D$116,MATCH(E116,CNTR_SourceStreamNames,0)))</f>
        <v/>
      </c>
      <c r="V115" s="301"/>
      <c r="W115" s="138"/>
      <c r="X115" s="138"/>
      <c r="Y115" s="138"/>
      <c r="Z115" s="293"/>
      <c r="AA115" s="293"/>
      <c r="AB115" s="293"/>
      <c r="AC115" s="293"/>
      <c r="AD115" s="293"/>
      <c r="AE115" s="293"/>
      <c r="AF115" s="293"/>
      <c r="AG115" s="293"/>
      <c r="AH115" s="293"/>
      <c r="AI115" s="293"/>
      <c r="AJ115" s="293"/>
      <c r="AK115" s="312"/>
      <c r="AL115" s="293"/>
      <c r="AM115" s="293"/>
      <c r="AN115" s="293"/>
      <c r="AO115" s="293"/>
      <c r="AP115" s="293"/>
      <c r="AQ115" s="293"/>
      <c r="AR115" s="293"/>
      <c r="AS115" s="293"/>
      <c r="AT115" s="293"/>
      <c r="AU115" s="293"/>
      <c r="AV115" s="293"/>
      <c r="AW115" s="293"/>
      <c r="AX115" s="293"/>
      <c r="AY115" s="293"/>
      <c r="AZ115" s="293"/>
      <c r="BA115" s="293"/>
      <c r="BB115" s="293"/>
      <c r="BC115" s="293"/>
      <c r="BD115" s="293"/>
      <c r="BE115" s="293"/>
      <c r="BF115" s="293"/>
      <c r="BG115" s="293"/>
      <c r="BH115" s="293"/>
      <c r="BI115" s="293"/>
      <c r="BJ115" s="138"/>
      <c r="BK115" s="138"/>
      <c r="BL115" s="138"/>
      <c r="BM115" s="138"/>
      <c r="BN115" s="138"/>
      <c r="BO115" s="138"/>
      <c r="BP115" s="138"/>
      <c r="BQ115" s="138"/>
      <c r="BR115" s="138"/>
      <c r="BS115" s="138"/>
      <c r="BT115" s="138"/>
      <c r="BU115" s="138"/>
      <c r="BV115" s="138"/>
      <c r="BW115" s="138"/>
      <c r="BX115" s="138"/>
      <c r="BY115" s="138"/>
      <c r="BZ115" s="138"/>
      <c r="CA115" s="138"/>
      <c r="CB115" s="138"/>
      <c r="CC115" s="138"/>
      <c r="CD115" s="138"/>
      <c r="CE115" s="138"/>
      <c r="CF115" s="138"/>
      <c r="CG115" s="138"/>
      <c r="CH115" s="138"/>
      <c r="CI115" s="138"/>
      <c r="CJ115" s="138"/>
      <c r="CK115" s="138"/>
      <c r="CL115" s="138"/>
      <c r="CM115" s="138"/>
      <c r="CN115" s="138"/>
      <c r="CO115" s="138"/>
      <c r="CP115" s="138"/>
      <c r="CQ115" s="319" t="s">
        <v>107</v>
      </c>
    </row>
    <row r="116" spans="1:95" ht="15" customHeight="1" thickBot="1" x14ac:dyDescent="0.3">
      <c r="A116" s="320">
        <f>C116</f>
        <v>3</v>
      </c>
      <c r="B116" s="68"/>
      <c r="C116" s="321">
        <f>C88+1</f>
        <v>3</v>
      </c>
      <c r="D116" s="68"/>
      <c r="E116" s="1269"/>
      <c r="F116" s="1270"/>
      <c r="G116" s="1270"/>
      <c r="H116" s="1270"/>
      <c r="I116" s="1270"/>
      <c r="J116" s="1271"/>
      <c r="K116" s="1272" t="str">
        <f>IF(INDEX(B_IdentifyFuelStreams!$K$125:$K$174,MATCH(U115,B_IdentifyFuelStreams!$D$125:$D$174,0))&gt;0,INDEX(B_IdentifyFuelStreams!$K$125:$K$174,MATCH(U115,B_IdentifyFuelStreams!$D$125:$D$174,0)),"")</f>
        <v/>
      </c>
      <c r="L116" s="1273"/>
      <c r="M116" s="316" t="str">
        <f>Translations!$B$621</f>
        <v>Emissions:</v>
      </c>
      <c r="N116" s="322" t="str">
        <f>IF(E117="","",BG122)</f>
        <v/>
      </c>
      <c r="O116" s="323" t="str">
        <f>EUconst_tCO2</f>
        <v>tCO2</v>
      </c>
      <c r="P116" s="324" t="str">
        <f>IF(AND(E116&lt;&gt;"",COUNTIF(P117:$P$1649,"PRINT")=0),"PRINT","")</f>
        <v/>
      </c>
      <c r="Q116" s="325" t="str">
        <f>EUconst_SumCO2</f>
        <v>SUM_CO2</v>
      </c>
      <c r="R116" s="312"/>
      <c r="S116" s="287"/>
      <c r="T116" s="287"/>
      <c r="U116" s="287"/>
      <c r="V116" s="301"/>
      <c r="W116" s="138"/>
      <c r="X116" s="293"/>
      <c r="Y116" s="293"/>
      <c r="Z116" s="293"/>
      <c r="AA116" s="293"/>
      <c r="AB116" s="293"/>
      <c r="AC116" s="293"/>
      <c r="AD116" s="293"/>
      <c r="AE116" s="293"/>
      <c r="AF116" s="293"/>
      <c r="AG116" s="293"/>
      <c r="AH116" s="293"/>
      <c r="AI116" s="326"/>
      <c r="AJ116" s="326"/>
      <c r="AK116" s="326"/>
      <c r="AL116" s="326"/>
      <c r="AM116" s="326"/>
      <c r="AN116" s="326"/>
      <c r="AO116" s="326"/>
      <c r="AP116" s="326"/>
      <c r="AQ116" s="326"/>
      <c r="AR116" s="326"/>
      <c r="AS116" s="326"/>
      <c r="AT116" s="326"/>
      <c r="AU116" s="326"/>
      <c r="AV116" s="326"/>
      <c r="AW116" s="326"/>
      <c r="AX116" s="326"/>
      <c r="AY116" s="326"/>
      <c r="AZ116" s="326"/>
      <c r="BA116" s="326"/>
      <c r="BB116" s="326"/>
      <c r="BC116" s="326"/>
      <c r="BD116" s="326"/>
      <c r="BE116" s="326"/>
      <c r="BF116" s="326"/>
      <c r="BG116" s="326"/>
      <c r="BH116" s="326"/>
      <c r="BI116" s="327" t="str">
        <f>IF(E116="","",E116)</f>
        <v/>
      </c>
      <c r="BJ116" s="328" t="str">
        <f>IF(F122="","",F122)</f>
        <v/>
      </c>
      <c r="BK116" s="329">
        <f>AV122</f>
        <v>0</v>
      </c>
      <c r="BL116" s="329">
        <f>IF(BK116="","",BK116*(1-BP116))</f>
        <v>0</v>
      </c>
      <c r="BM116" s="328" t="str">
        <f>AJ122</f>
        <v/>
      </c>
      <c r="BN116" s="328" t="str">
        <f>IF(F133="","",F133)</f>
        <v/>
      </c>
      <c r="BO116" s="327" t="str">
        <f>IF(G133="","",G133)</f>
        <v/>
      </c>
      <c r="BP116" s="330">
        <f>AV133</f>
        <v>0</v>
      </c>
      <c r="BQ116" s="328" t="str">
        <f>IF(F125="","",F125)</f>
        <v/>
      </c>
      <c r="BR116" s="330">
        <f>AV125</f>
        <v>0</v>
      </c>
      <c r="BS116" s="330" t="str">
        <f>AJ125</f>
        <v/>
      </c>
      <c r="BT116" s="328" t="str">
        <f>IF(F124="","",F124)</f>
        <v/>
      </c>
      <c r="BU116" s="330">
        <f>IF(F124=EUconst_NA,"",AV124)</f>
        <v>0</v>
      </c>
      <c r="BV116" s="330" t="str">
        <f>AJ124</f>
        <v/>
      </c>
      <c r="BW116" s="328" t="str">
        <f>IF(F126="","",F126)</f>
        <v/>
      </c>
      <c r="BX116" s="330">
        <f>AV126</f>
        <v>0</v>
      </c>
      <c r="BY116" s="328" t="str">
        <f>IF(F127="","",F127)</f>
        <v/>
      </c>
      <c r="BZ116" s="330">
        <f>AV127</f>
        <v>0</v>
      </c>
      <c r="CA116" s="330">
        <f>AV128</f>
        <v>0</v>
      </c>
      <c r="CB116" s="330">
        <f>AV129</f>
        <v>0</v>
      </c>
      <c r="CC116" s="330">
        <f>AV130</f>
        <v>0</v>
      </c>
      <c r="CD116" s="330">
        <f>AV131</f>
        <v>0</v>
      </c>
      <c r="CE116" s="329" t="str">
        <f>BG122</f>
        <v/>
      </c>
      <c r="CF116" s="329" t="str">
        <f>BG124</f>
        <v/>
      </c>
      <c r="CG116" s="329" t="str">
        <f>BG125</f>
        <v/>
      </c>
      <c r="CH116" s="329" t="str">
        <f>BG126</f>
        <v/>
      </c>
      <c r="CI116" s="329" t="str">
        <f>BG127</f>
        <v/>
      </c>
      <c r="CJ116" s="329" t="str">
        <f>BG128</f>
        <v/>
      </c>
      <c r="CK116" s="329" t="str">
        <f>BG129</f>
        <v/>
      </c>
      <c r="CL116" s="329">
        <f>BG130</f>
        <v>0</v>
      </c>
      <c r="CM116" s="329" t="str">
        <f>BG131</f>
        <v/>
      </c>
      <c r="CN116" s="329" t="str">
        <f>BG133</f>
        <v/>
      </c>
      <c r="CO116" s="329" t="str">
        <f>BG137</f>
        <v/>
      </c>
      <c r="CP116" s="329" t="str">
        <f>IF(COUNTIF(AO125:AO126,TRUE)=0,"",BH122)</f>
        <v/>
      </c>
      <c r="CQ116" s="331" t="b">
        <v>0</v>
      </c>
    </row>
    <row r="117" spans="1:95" ht="15" customHeight="1" thickBot="1" x14ac:dyDescent="0.3">
      <c r="A117" s="307"/>
      <c r="B117" s="68"/>
      <c r="C117" s="68"/>
      <c r="D117" s="68"/>
      <c r="E117" s="1274" t="str">
        <f>IF(ISBLANK(E116),"",IF(INDEX(B_IdentifyFuelStreams!$E$67:$E$116,MATCH(U115,B_IdentifyFuelStreams!$D$67:$D$116,0))&gt;0,INDEX(B_IdentifyFuelStreams!$E$67:$E$116,MATCH(U115,B_IdentifyFuelStreams!$D$67:$D$116,0)),""))</f>
        <v/>
      </c>
      <c r="F117" s="1275"/>
      <c r="G117" s="1275"/>
      <c r="H117" s="1275"/>
      <c r="I117" s="1275"/>
      <c r="J117" s="1276"/>
      <c r="K117" s="1272" t="str">
        <f>IF(INDEX(B_IdentifyFuelStreams!$M$125:$M$174,MATCH(U115,B_IdentifyFuelStreams!$D$125:$D$174,0))&gt;0,INDEX(B_IdentifyFuelStreams!$M$125:$M$174,MATCH(U115,B_IdentifyFuelStreams!$D$125:$D$174,0)),"")</f>
        <v/>
      </c>
      <c r="L117" s="1273"/>
      <c r="M117" s="332" t="str">
        <f>Translations!$B$622</f>
        <v>zero-rated:</v>
      </c>
      <c r="N117" s="333" t="str">
        <f>IF(E117="","",SUM(BG124,BG126,BG128))</f>
        <v/>
      </c>
      <c r="O117" s="334" t="str">
        <f>EUconst_tCO2</f>
        <v>tCO2</v>
      </c>
      <c r="P117" s="109"/>
      <c r="Q117" s="325" t="str">
        <f>EUconst_SumBioCO2</f>
        <v>SUM_bioCO2</v>
      </c>
      <c r="R117" s="312"/>
      <c r="S117" s="287"/>
      <c r="T117" s="287"/>
      <c r="U117" s="287"/>
      <c r="V117" s="301"/>
      <c r="W117" s="138"/>
      <c r="X117" s="293"/>
      <c r="Y117" s="317" t="str">
        <f>Translations!$B$143</f>
        <v>Tiers</v>
      </c>
      <c r="Z117" s="314"/>
      <c r="AA117" s="314"/>
      <c r="AB117" s="314"/>
      <c r="AC117" s="314"/>
      <c r="AD117" s="314"/>
      <c r="AE117" s="317" t="s">
        <v>108</v>
      </c>
      <c r="AF117" s="293"/>
      <c r="AG117" s="335"/>
      <c r="AH117" s="314"/>
      <c r="AI117" s="314"/>
      <c r="AJ117" s="335"/>
      <c r="AK117" s="335"/>
      <c r="AL117" s="326"/>
      <c r="AM117" s="326"/>
      <c r="AN117" s="326"/>
      <c r="AO117" s="326"/>
      <c r="AP117" s="326"/>
      <c r="AQ117" s="317" t="s">
        <v>109</v>
      </c>
      <c r="AR117" s="336"/>
      <c r="AS117" s="336"/>
      <c r="AT117" s="314"/>
      <c r="AU117" s="314"/>
      <c r="AV117" s="314"/>
      <c r="AW117" s="314"/>
      <c r="AX117" s="314"/>
      <c r="AY117" s="314"/>
      <c r="AZ117" s="317" t="s">
        <v>110</v>
      </c>
      <c r="BA117" s="314"/>
      <c r="BB117" s="314"/>
      <c r="BC117" s="314"/>
      <c r="BD117" s="314"/>
      <c r="BE117" s="314"/>
      <c r="BF117" s="317" t="s">
        <v>111</v>
      </c>
      <c r="BG117" s="314"/>
      <c r="BH117" s="314"/>
      <c r="BI117" s="317" t="s">
        <v>112</v>
      </c>
      <c r="BJ117" s="328" t="str">
        <f>Translations!$B$376</f>
        <v>RFA Tier</v>
      </c>
      <c r="BK117" s="328" t="str">
        <f>Translations!$B$377</f>
        <v>RFA</v>
      </c>
      <c r="BL117" s="328" t="str">
        <f>Translations!$B$378</f>
        <v>RFA (in scope)</v>
      </c>
      <c r="BM117" s="328" t="str">
        <f>Translations!$B$379</f>
        <v>RFA Unit</v>
      </c>
      <c r="BN117" s="328" t="str">
        <f>Translations!$B$380</f>
        <v>SF Tier</v>
      </c>
      <c r="BO117" s="328" t="str">
        <f>Translations!$B$380</f>
        <v>SF Tier</v>
      </c>
      <c r="BP117" s="328" t="str">
        <f>Translations!$B$381</f>
        <v>SF</v>
      </c>
      <c r="BQ117" s="328" t="str">
        <f>Translations!$B$382</f>
        <v>EF Tier</v>
      </c>
      <c r="BR117" s="328" t="str">
        <f>Translations!$B$383</f>
        <v>EF</v>
      </c>
      <c r="BS117" s="328" t="str">
        <f>Translations!$B$384</f>
        <v>EF Unit</v>
      </c>
      <c r="BT117" s="328" t="str">
        <f>Translations!$B$385</f>
        <v>UCF Tier</v>
      </c>
      <c r="BU117" s="328" t="str">
        <f>Translations!$B$386</f>
        <v>UCF</v>
      </c>
      <c r="BV117" s="328" t="str">
        <f>Translations!$B$387</f>
        <v>UCF Unit</v>
      </c>
      <c r="BW117" s="328" t="str">
        <f>Translations!$B$388</f>
        <v>Bio Tier</v>
      </c>
      <c r="BX117" s="328" t="s">
        <v>113</v>
      </c>
      <c r="BY117" s="328" t="str">
        <f>Translations!$B$389</f>
        <v>NonSustBio Tier</v>
      </c>
      <c r="BZ117" s="328" t="s">
        <v>114</v>
      </c>
      <c r="CA117" s="328" t="s">
        <v>115</v>
      </c>
      <c r="CB117" s="328" t="s">
        <v>116</v>
      </c>
      <c r="CC117" s="328" t="s">
        <v>117</v>
      </c>
      <c r="CD117" s="328" t="s">
        <v>118</v>
      </c>
      <c r="CE117" s="328" t="s">
        <v>119</v>
      </c>
      <c r="CF117" s="328" t="s">
        <v>120</v>
      </c>
      <c r="CG117" s="328" t="str">
        <f>Translations!$B$392</f>
        <v>CO2 non-sust</v>
      </c>
      <c r="CH117" s="328" t="s">
        <v>121</v>
      </c>
      <c r="CI117" s="328" t="s">
        <v>122</v>
      </c>
      <c r="CJ117" s="328" t="s">
        <v>123</v>
      </c>
      <c r="CK117" s="328" t="s">
        <v>124</v>
      </c>
      <c r="CL117" s="328" t="s">
        <v>125</v>
      </c>
      <c r="CM117" s="328" t="str">
        <f>Translations!$B$551</f>
        <v>Energy content (bio), TJ</v>
      </c>
      <c r="CN117" s="328" t="s">
        <v>126</v>
      </c>
      <c r="CO117" s="328" t="s">
        <v>127</v>
      </c>
      <c r="CP117" s="328" t="s">
        <v>128</v>
      </c>
      <c r="CQ117" s="314"/>
    </row>
    <row r="118" spans="1:95" ht="5.15" customHeight="1" thickBot="1" x14ac:dyDescent="0.3">
      <c r="A118" s="307"/>
      <c r="B118" s="68"/>
      <c r="C118" s="68"/>
      <c r="D118" s="68"/>
      <c r="E118" s="68"/>
      <c r="F118" s="68"/>
      <c r="G118" s="68"/>
      <c r="H118" s="76"/>
      <c r="I118" s="76"/>
      <c r="J118" s="76"/>
      <c r="K118" s="76"/>
      <c r="L118" s="76"/>
      <c r="M118" s="76"/>
      <c r="N118" s="76"/>
      <c r="O118" s="160"/>
      <c r="P118" s="109"/>
      <c r="Q118" s="312"/>
      <c r="R118" s="312"/>
      <c r="S118" s="287"/>
      <c r="T118" s="287"/>
      <c r="U118" s="287"/>
      <c r="V118" s="301"/>
      <c r="W118" s="314"/>
      <c r="X118" s="314"/>
      <c r="Y118" s="312"/>
      <c r="Z118" s="314"/>
      <c r="AA118" s="314"/>
      <c r="AB118" s="314"/>
      <c r="AC118" s="314"/>
      <c r="AD118" s="314"/>
      <c r="AE118" s="314"/>
      <c r="AF118" s="293"/>
      <c r="AG118" s="314"/>
      <c r="AH118" s="314"/>
      <c r="AI118" s="314"/>
      <c r="AJ118" s="335"/>
      <c r="AK118" s="335"/>
      <c r="AL118" s="326"/>
      <c r="AM118" s="326"/>
      <c r="AN118" s="326"/>
      <c r="AO118" s="326"/>
      <c r="AP118" s="326"/>
      <c r="AQ118" s="314"/>
      <c r="AR118" s="314"/>
      <c r="AS118" s="314"/>
      <c r="AT118" s="314"/>
      <c r="AU118" s="314"/>
      <c r="AV118" s="314"/>
      <c r="AW118" s="314"/>
      <c r="AX118" s="314"/>
      <c r="AY118" s="314"/>
      <c r="AZ118" s="314"/>
      <c r="BA118" s="314"/>
      <c r="BB118" s="314"/>
      <c r="BC118" s="314"/>
      <c r="BD118" s="314"/>
      <c r="BE118" s="314"/>
      <c r="BF118" s="314"/>
      <c r="BG118" s="314"/>
      <c r="BH118" s="314"/>
      <c r="BI118" s="314"/>
      <c r="BJ118" s="314"/>
      <c r="BK118" s="314"/>
      <c r="BL118" s="314"/>
      <c r="BM118" s="314"/>
      <c r="BN118" s="314"/>
      <c r="BO118" s="314"/>
      <c r="BP118" s="314"/>
      <c r="BQ118" s="314"/>
      <c r="BR118" s="314"/>
      <c r="BS118" s="314"/>
      <c r="BT118" s="314"/>
      <c r="BU118" s="314"/>
      <c r="BV118" s="314"/>
      <c r="BW118" s="314"/>
      <c r="BX118" s="314"/>
      <c r="BY118" s="314"/>
      <c r="BZ118" s="314"/>
      <c r="CA118" s="314"/>
      <c r="CB118" s="314"/>
      <c r="CC118" s="314"/>
      <c r="CD118" s="314"/>
      <c r="CE118" s="314"/>
      <c r="CF118" s="314"/>
      <c r="CG118" s="314"/>
      <c r="CH118" s="314"/>
      <c r="CI118" s="314"/>
      <c r="CJ118" s="314"/>
      <c r="CK118" s="314"/>
      <c r="CL118" s="314"/>
      <c r="CM118" s="314"/>
      <c r="CN118" s="314"/>
      <c r="CO118" s="314"/>
      <c r="CP118" s="314"/>
      <c r="CQ118" s="314"/>
    </row>
    <row r="119" spans="1:95" ht="12.75" customHeight="1" thickBot="1" x14ac:dyDescent="0.3">
      <c r="A119" s="307"/>
      <c r="B119" s="68"/>
      <c r="C119" s="68"/>
      <c r="D119" s="68"/>
      <c r="E119" s="1253" t="str">
        <f>IF(E116="","",HYPERLINK("#JUMP_E_Top",EUconst_FurtherGuidancePoint1))</f>
        <v/>
      </c>
      <c r="F119" s="1253"/>
      <c r="G119" s="1253"/>
      <c r="H119" s="1253"/>
      <c r="I119" s="1253"/>
      <c r="J119" s="1253"/>
      <c r="K119" s="1253"/>
      <c r="L119" s="1253"/>
      <c r="M119" s="1253"/>
      <c r="N119" s="76"/>
      <c r="O119" s="160"/>
      <c r="P119" s="109"/>
      <c r="Q119" s="325" t="str">
        <f>EUconst_SumNonSustBioCO2</f>
        <v>SUM_bioNonSustCO2</v>
      </c>
      <c r="R119" s="337" t="str">
        <f>IF(E117="","",BG125)</f>
        <v/>
      </c>
      <c r="S119" s="287"/>
      <c r="T119" s="287"/>
      <c r="U119" s="287"/>
      <c r="V119" s="314"/>
      <c r="W119" s="314"/>
      <c r="X119" s="314"/>
      <c r="Y119" s="293"/>
      <c r="Z119" s="314"/>
      <c r="AA119" s="314"/>
      <c r="AB119" s="314"/>
      <c r="AC119" s="314"/>
      <c r="AD119" s="314"/>
      <c r="AE119" s="314"/>
      <c r="AF119" s="293"/>
      <c r="AG119" s="314"/>
      <c r="AH119" s="314"/>
      <c r="AI119" s="314"/>
      <c r="AJ119" s="335"/>
      <c r="AK119" s="335"/>
      <c r="AL119" s="326"/>
      <c r="AM119" s="326"/>
      <c r="AN119" s="326"/>
      <c r="AO119" s="326"/>
      <c r="AP119" s="326"/>
      <c r="AQ119" s="314"/>
      <c r="AR119" s="314"/>
      <c r="AS119" s="314"/>
      <c r="AT119" s="314"/>
      <c r="AU119" s="314"/>
      <c r="AV119" s="314"/>
      <c r="AW119" s="314"/>
      <c r="AX119" s="314"/>
      <c r="AY119" s="314"/>
      <c r="AZ119" s="314"/>
      <c r="BA119" s="314"/>
      <c r="BB119" s="314"/>
      <c r="BC119" s="314"/>
      <c r="BD119" s="314"/>
      <c r="BE119" s="314"/>
      <c r="BF119" s="314"/>
      <c r="BG119" s="314"/>
      <c r="BH119" s="314"/>
      <c r="BI119" s="317" t="s">
        <v>129</v>
      </c>
      <c r="BJ119" s="336"/>
      <c r="BK119" s="327" t="str">
        <f>IF(G137="","",G137)</f>
        <v/>
      </c>
      <c r="BL119" s="327" t="str">
        <f>IF(I137="","",I137)</f>
        <v/>
      </c>
      <c r="BM119" s="327" t="str">
        <f>IF(K137="","",K137)</f>
        <v/>
      </c>
      <c r="BN119" s="314"/>
      <c r="BO119" s="314"/>
      <c r="BP119" s="314"/>
      <c r="BQ119" s="314"/>
      <c r="BR119" s="314"/>
      <c r="BS119" s="314"/>
      <c r="BT119" s="319"/>
      <c r="BU119" s="314"/>
      <c r="BV119" s="314"/>
      <c r="BW119" s="314"/>
      <c r="BX119" s="314"/>
      <c r="BY119" s="314"/>
      <c r="BZ119" s="314"/>
      <c r="CA119" s="314"/>
      <c r="CB119" s="314"/>
      <c r="CC119" s="314"/>
      <c r="CD119" s="314"/>
      <c r="CE119" s="314"/>
      <c r="CF119" s="314"/>
      <c r="CG119" s="314"/>
      <c r="CH119" s="314"/>
      <c r="CI119" s="314"/>
      <c r="CJ119" s="314"/>
      <c r="CK119" s="314"/>
      <c r="CL119" s="314"/>
      <c r="CM119" s="314"/>
      <c r="CN119" s="314"/>
      <c r="CO119" s="314"/>
      <c r="CP119" s="314"/>
      <c r="CQ119" s="314"/>
    </row>
    <row r="120" spans="1:95" ht="5.15" customHeight="1" thickBot="1" x14ac:dyDescent="0.3">
      <c r="A120" s="307"/>
      <c r="B120" s="68"/>
      <c r="C120" s="68"/>
      <c r="D120" s="68"/>
      <c r="E120" s="68"/>
      <c r="F120" s="68"/>
      <c r="G120" s="68"/>
      <c r="H120" s="76"/>
      <c r="I120" s="76"/>
      <c r="J120" s="76"/>
      <c r="K120" s="76"/>
      <c r="L120" s="76"/>
      <c r="M120" s="76"/>
      <c r="N120" s="76"/>
      <c r="O120" s="160"/>
      <c r="P120" s="111"/>
      <c r="Q120" s="287"/>
      <c r="R120" s="111"/>
      <c r="S120" s="287"/>
      <c r="T120" s="287"/>
      <c r="U120" s="287"/>
      <c r="V120" s="314"/>
      <c r="W120" s="314"/>
      <c r="X120" s="314"/>
      <c r="Y120" s="312"/>
      <c r="Z120" s="314"/>
      <c r="AA120" s="314"/>
      <c r="AB120" s="314"/>
      <c r="AC120" s="314"/>
      <c r="AD120" s="314"/>
      <c r="AE120" s="314"/>
      <c r="AF120" s="293"/>
      <c r="AG120" s="314"/>
      <c r="AH120" s="314"/>
      <c r="AI120" s="314"/>
      <c r="AJ120" s="335"/>
      <c r="AK120" s="335"/>
      <c r="AL120" s="326"/>
      <c r="AM120" s="326"/>
      <c r="AN120" s="326"/>
      <c r="AO120" s="326"/>
      <c r="AP120" s="326"/>
      <c r="AQ120" s="314"/>
      <c r="AR120" s="314"/>
      <c r="AS120" s="314"/>
      <c r="AT120" s="314"/>
      <c r="AU120" s="314"/>
      <c r="AV120" s="314"/>
      <c r="AW120" s="314"/>
      <c r="AX120" s="314"/>
      <c r="AY120" s="314"/>
      <c r="AZ120" s="314"/>
      <c r="BA120" s="314"/>
      <c r="BB120" s="314"/>
      <c r="BC120" s="314"/>
      <c r="BD120" s="314"/>
      <c r="BE120" s="314"/>
      <c r="BF120" s="314"/>
      <c r="BG120" s="314"/>
      <c r="BH120" s="314"/>
      <c r="BI120" s="314"/>
      <c r="BJ120" s="314"/>
      <c r="BK120" s="314"/>
      <c r="BL120" s="314"/>
      <c r="BM120" s="314"/>
      <c r="BN120" s="314"/>
      <c r="BO120" s="314"/>
      <c r="BP120" s="314"/>
      <c r="BQ120" s="314"/>
      <c r="BR120" s="314"/>
      <c r="BS120" s="314"/>
      <c r="BT120" s="314"/>
      <c r="BU120" s="314"/>
      <c r="BV120" s="314"/>
      <c r="BW120" s="314"/>
      <c r="BX120" s="314"/>
      <c r="BY120" s="314"/>
      <c r="BZ120" s="314"/>
      <c r="CA120" s="314"/>
      <c r="CB120" s="314"/>
      <c r="CC120" s="314"/>
      <c r="CD120" s="314"/>
      <c r="CE120" s="314"/>
      <c r="CF120" s="314"/>
      <c r="CG120" s="314"/>
      <c r="CH120" s="314"/>
      <c r="CI120" s="314"/>
      <c r="CJ120" s="314"/>
      <c r="CK120" s="314"/>
      <c r="CL120" s="314"/>
      <c r="CM120" s="314"/>
      <c r="CN120" s="314"/>
      <c r="CO120" s="314"/>
      <c r="CP120" s="314"/>
      <c r="CQ120" s="314"/>
    </row>
    <row r="121" spans="1:95" ht="12.75" customHeight="1" thickBot="1" x14ac:dyDescent="0.3">
      <c r="A121" s="307"/>
      <c r="B121" s="68"/>
      <c r="C121" s="68"/>
      <c r="D121" s="68"/>
      <c r="E121" s="68"/>
      <c r="F121" s="338" t="str">
        <f>Translations!$B$127</f>
        <v>Tier</v>
      </c>
      <c r="G121" s="1254" t="str">
        <f>Translations!$B$393</f>
        <v>tier description</v>
      </c>
      <c r="H121" s="1254"/>
      <c r="I121" s="1255" t="str">
        <f>Translations!$B$394</f>
        <v>Unit</v>
      </c>
      <c r="J121" s="1255"/>
      <c r="K121" s="1255" t="str">
        <f>Translations!$B$395</f>
        <v>Value</v>
      </c>
      <c r="L121" s="1255"/>
      <c r="M121" s="205" t="str">
        <f>Translations!$B$396</f>
        <v>error</v>
      </c>
      <c r="N121" s="76"/>
      <c r="O121" s="160"/>
      <c r="P121" s="339"/>
      <c r="Q121" s="325" t="str">
        <f>EUconst_SumEnergyIN</f>
        <v>SUM_EnergyIN</v>
      </c>
      <c r="R121" s="340" t="str">
        <f>IF(E117="","",BG130)</f>
        <v/>
      </c>
      <c r="S121" s="314"/>
      <c r="T121" s="314"/>
      <c r="U121" s="314"/>
      <c r="V121" s="341" t="s">
        <v>130</v>
      </c>
      <c r="W121" s="314"/>
      <c r="X121" s="314"/>
      <c r="Y121" s="312" t="s">
        <v>131</v>
      </c>
      <c r="Z121" s="312" t="s">
        <v>132</v>
      </c>
      <c r="AA121" s="314"/>
      <c r="AB121" s="314"/>
      <c r="AC121" s="336" t="s">
        <v>133</v>
      </c>
      <c r="AD121" s="314"/>
      <c r="AE121" s="314"/>
      <c r="AF121" s="314" t="s">
        <v>134</v>
      </c>
      <c r="AG121" s="314" t="s">
        <v>135</v>
      </c>
      <c r="AH121" s="312" t="s">
        <v>136</v>
      </c>
      <c r="AI121" s="335" t="s">
        <v>137</v>
      </c>
      <c r="AJ121" s="335" t="s">
        <v>138</v>
      </c>
      <c r="AK121" s="342" t="s">
        <v>139</v>
      </c>
      <c r="AL121" s="326"/>
      <c r="AM121" s="326"/>
      <c r="AN121" s="326"/>
      <c r="AO121" s="326"/>
      <c r="AP121" s="326"/>
      <c r="AQ121" s="314"/>
      <c r="AR121" s="314" t="s">
        <v>134</v>
      </c>
      <c r="AS121" s="314" t="s">
        <v>135</v>
      </c>
      <c r="AT121" s="343" t="s">
        <v>140</v>
      </c>
      <c r="AU121" s="335" t="s">
        <v>141</v>
      </c>
      <c r="AV121" s="335" t="s">
        <v>142</v>
      </c>
      <c r="AW121" s="342" t="s">
        <v>139</v>
      </c>
      <c r="AX121" s="342" t="s">
        <v>139</v>
      </c>
      <c r="AY121" s="314"/>
      <c r="AZ121" s="314"/>
      <c r="BA121" s="314"/>
      <c r="BB121" s="314" t="s">
        <v>143</v>
      </c>
      <c r="BC121" s="314"/>
      <c r="BD121" s="314"/>
      <c r="BE121" s="314"/>
      <c r="BF121" s="314"/>
      <c r="BG121" s="319" t="s">
        <v>144</v>
      </c>
      <c r="BH121" s="314" t="s">
        <v>145</v>
      </c>
      <c r="BI121" s="314"/>
      <c r="BJ121" s="314"/>
      <c r="BK121" s="314"/>
      <c r="BL121" s="314"/>
      <c r="BM121" s="314"/>
      <c r="BN121" s="314"/>
      <c r="BO121" s="314"/>
      <c r="BP121" s="314"/>
      <c r="BQ121" s="314"/>
      <c r="BR121" s="314"/>
      <c r="BS121" s="314"/>
      <c r="BT121" s="314"/>
      <c r="BU121" s="314"/>
      <c r="BV121" s="314"/>
      <c r="BW121" s="314"/>
      <c r="BX121" s="314"/>
      <c r="BY121" s="314"/>
      <c r="BZ121" s="314"/>
      <c r="CA121" s="314"/>
      <c r="CB121" s="314"/>
      <c r="CC121" s="314"/>
      <c r="CD121" s="314"/>
      <c r="CE121" s="314"/>
      <c r="CF121" s="314"/>
      <c r="CG121" s="314"/>
      <c r="CH121" s="314"/>
      <c r="CI121" s="314"/>
      <c r="CJ121" s="314"/>
      <c r="CK121" s="314"/>
      <c r="CL121" s="314"/>
      <c r="CM121" s="314"/>
      <c r="CN121" s="314"/>
      <c r="CO121" s="314"/>
      <c r="CP121" s="314"/>
      <c r="CQ121" s="319" t="s">
        <v>107</v>
      </c>
    </row>
    <row r="122" spans="1:95" ht="12.75" customHeight="1" thickBot="1" x14ac:dyDescent="0.3">
      <c r="A122" s="307"/>
      <c r="B122" s="68"/>
      <c r="C122" s="199" t="s">
        <v>12</v>
      </c>
      <c r="D122" s="344" t="str">
        <f>Translations!$B$356</f>
        <v>RFA:</v>
      </c>
      <c r="E122" s="345"/>
      <c r="F122" s="6"/>
      <c r="G122" s="1256" t="str">
        <f>IF(OR(ISBLANK(F122),F122=EUconst_NoTier),"",IF(Z122=0,EUconst_NA,IF(ISERROR(Z122),"",Z122)))</f>
        <v/>
      </c>
      <c r="H122" s="1257"/>
      <c r="I122" s="346" t="str">
        <f>IF(J122&lt;&gt;"","",AI122)</f>
        <v/>
      </c>
      <c r="J122" s="7"/>
      <c r="K122" s="1258"/>
      <c r="L122" s="1259"/>
      <c r="M122" s="347" t="str">
        <f>IF(AND(E117&lt;&gt;"",OR(F122="",COUNT(K122)=0),Y122&lt;&gt;EUconst_NA),EUconst_ERR_Incomplete,"")</f>
        <v/>
      </c>
      <c r="N122" s="76"/>
      <c r="O122" s="160"/>
      <c r="P122" s="348"/>
      <c r="Q122" s="325" t="str">
        <f>EUconst_SumBioEnergyIN</f>
        <v>SUM_BioEnergyIN</v>
      </c>
      <c r="R122" s="340" t="str">
        <f>IF(E117="","",BG131)</f>
        <v/>
      </c>
      <c r="S122" s="314"/>
      <c r="T122" s="349" t="str">
        <f>EUconst_CNTR_ActivityData&amp;E117</f>
        <v>ActivityData_</v>
      </c>
      <c r="U122" s="312"/>
      <c r="V122" s="349" t="str">
        <f>IF(E116="","",INDEX(B_IdentifyFuelStreams!$I$67:$I$116,MATCH(U115,B_IdentifyFuelStreams!$D$67:$D$116,0)))</f>
        <v/>
      </c>
      <c r="W122" s="335" t="s">
        <v>146</v>
      </c>
      <c r="X122" s="312"/>
      <c r="Y122" s="350" t="str">
        <f>IF(E117="","",INDEX(EUwideConstants!$P$164:$P$200,MATCH(T122,EUwideConstants!$S$164:$S$200,0)))</f>
        <v/>
      </c>
      <c r="Z122" s="351" t="str">
        <f>IF(ISBLANK(F122),"",IF(F122=EUconst_NA,"",INDEX(EUwideConstants!$H:$O,MATCH(T122,EUwideConstants!$S:$S,0),MATCH(F122,CNTR_TierList,0))))</f>
        <v/>
      </c>
      <c r="AA122" s="352" t="s">
        <v>136</v>
      </c>
      <c r="AB122" s="335"/>
      <c r="AC122" s="331" t="b">
        <f>E116&lt;&gt;""</f>
        <v>0</v>
      </c>
      <c r="AD122" s="314"/>
      <c r="AE122" s="353" t="str">
        <f>EUconst_CNTR_ActivityData&amp;EUconst_Unit</f>
        <v>ActivityData_Unit</v>
      </c>
      <c r="AF122" s="354" t="str">
        <f>IF(AC122=TRUE, IF(COUNTIF(MSPara_SourceStreamCategory,V122)=0,"",INDEX(MSPara_CalcFactorsMatrix,MATCH(V122,MSPara_SourceStreamCategory,0),MATCH(AE122&amp;"_"&amp;2,MSPara_CalcFactors,0))),"")</f>
        <v/>
      </c>
      <c r="AG122" s="355" t="str">
        <f>IF(AC122=TRUE, IF(COUNTIF(MSPara_SourceStreamCategory,V122)=0,"",INDEX(MSPara_CalcFactorsMatrix,MATCH(V122,MSPara_SourceStreamCategory,0),MATCH(AE122&amp;"_"&amp;1,MSPara_CalcFactors,0))),"")</f>
        <v/>
      </c>
      <c r="AH122" s="331" t="str">
        <f>IF(OR(AF122="",AF122=EUconst_NA),IF(OR(AG122=EUconst_NA,AG122=""),"",AG122),AF122)</f>
        <v/>
      </c>
      <c r="AI122" s="350" t="str">
        <f>IF(AC122=TRUE,IF(AH122="",EUconst_t,AH122),"")</f>
        <v/>
      </c>
      <c r="AJ122" s="356" t="str">
        <f>IF(J122="",AI122,J122)</f>
        <v/>
      </c>
      <c r="AK122" s="357" t="b">
        <f>AND(E116&lt;&gt;"",J122&lt;&gt;"")</f>
        <v>0</v>
      </c>
      <c r="AL122" s="326"/>
      <c r="AM122" s="358" t="s">
        <v>147</v>
      </c>
      <c r="AN122" s="359" t="str">
        <f>AJ122</f>
        <v/>
      </c>
      <c r="AO122" s="326"/>
      <c r="AP122" s="326"/>
      <c r="AQ122" s="349" t="str">
        <f>EUconst_CNTR_ActivityData&amp;EUconst_Value</f>
        <v>ActivityData_Value</v>
      </c>
      <c r="AR122" s="336"/>
      <c r="AS122" s="336"/>
      <c r="AT122" s="331" t="b">
        <f>AND(AND(AH122&lt;&gt;"",AJ122&lt;&gt;""),AJ122=AH122)</f>
        <v>0</v>
      </c>
      <c r="AU122" s="314"/>
      <c r="AV122" s="331">
        <f>IF(Y122=EUconst_NA,0,IF(COUNT(K122:K122)=0,0,IF(K122="",#REF!,K122)))</f>
        <v>0</v>
      </c>
      <c r="AW122" s="360" t="b">
        <f>AND(AC122=TRUE,OR(K122&lt;&gt;"",AU122=""))</f>
        <v>0</v>
      </c>
      <c r="AX122" s="360" t="b">
        <f>AND(AC122=TRUE,NOT(AW122))</f>
        <v>0</v>
      </c>
      <c r="AY122" s="314"/>
      <c r="AZ122" s="314" t="s">
        <v>148</v>
      </c>
      <c r="BA122" s="314" t="s">
        <v>149</v>
      </c>
      <c r="BB122" s="360"/>
      <c r="BC122" s="314" t="s">
        <v>150</v>
      </c>
      <c r="BD122" s="314"/>
      <c r="BE122" s="314"/>
      <c r="BF122" s="361" t="s">
        <v>119</v>
      </c>
      <c r="BG122" s="362" t="str">
        <f>IF(COUNTIF(AO125:AO126,TRUE)=0,"",BH122*AV133)</f>
        <v/>
      </c>
      <c r="BH122" s="362" t="str">
        <f>IF(COUNTIF(AO125:AO126,TRUE)=0,"",AV122*IF(AO125,1,AV124*AN126)*AV125-BH124-BH126-BH128)</f>
        <v/>
      </c>
      <c r="BI122" s="314"/>
      <c r="BJ122" s="314"/>
      <c r="BK122" s="314"/>
      <c r="BL122" s="314"/>
      <c r="BM122" s="314"/>
      <c r="BN122" s="314"/>
      <c r="BO122" s="314"/>
      <c r="BP122" s="314"/>
      <c r="BQ122" s="314"/>
      <c r="BR122" s="314"/>
      <c r="BS122" s="314"/>
      <c r="BT122" s="314"/>
      <c r="BU122" s="314"/>
      <c r="BV122" s="314"/>
      <c r="BW122" s="314"/>
      <c r="BX122" s="314"/>
      <c r="BY122" s="314"/>
      <c r="BZ122" s="314"/>
      <c r="CA122" s="314"/>
      <c r="CB122" s="314"/>
      <c r="CC122" s="314"/>
      <c r="CD122" s="314"/>
      <c r="CE122" s="314"/>
      <c r="CF122" s="314"/>
      <c r="CG122" s="314"/>
      <c r="CH122" s="314"/>
      <c r="CI122" s="314"/>
      <c r="CJ122" s="314"/>
      <c r="CK122" s="314"/>
      <c r="CL122" s="314"/>
      <c r="CM122" s="314"/>
      <c r="CN122" s="314"/>
      <c r="CO122" s="314"/>
      <c r="CP122" s="314"/>
      <c r="CQ122" s="360" t="b">
        <v>0</v>
      </c>
    </row>
    <row r="123" spans="1:95" ht="5.15" customHeight="1" thickBot="1" x14ac:dyDescent="0.3">
      <c r="A123" s="307"/>
      <c r="B123" s="68"/>
      <c r="C123" s="199"/>
      <c r="D123" s="202"/>
      <c r="E123" s="76"/>
      <c r="F123" s="76"/>
      <c r="G123" s="76"/>
      <c r="H123" s="76" t="str">
        <f>Translations!$B$397</f>
        <v xml:space="preserve"> </v>
      </c>
      <c r="I123" s="162"/>
      <c r="J123" s="162"/>
      <c r="K123" s="76"/>
      <c r="L123" s="76"/>
      <c r="M123" s="363"/>
      <c r="N123" s="76"/>
      <c r="O123" s="160"/>
      <c r="P123" s="109"/>
      <c r="Q123" s="312"/>
      <c r="R123" s="312"/>
      <c r="S123" s="314"/>
      <c r="T123" s="62"/>
      <c r="U123" s="312"/>
      <c r="V123" s="314"/>
      <c r="W123" s="314"/>
      <c r="X123" s="312"/>
      <c r="Y123" s="319"/>
      <c r="Z123" s="314"/>
      <c r="AA123" s="314"/>
      <c r="AB123" s="314"/>
      <c r="AC123" s="314"/>
      <c r="AD123" s="314"/>
      <c r="AE123" s="314"/>
      <c r="AF123" s="314"/>
      <c r="AG123" s="314"/>
      <c r="AH123" s="314"/>
      <c r="AI123" s="314"/>
      <c r="AJ123" s="314"/>
      <c r="AK123" s="314"/>
      <c r="AL123" s="326"/>
      <c r="AM123" s="326"/>
      <c r="AN123" s="326"/>
      <c r="AO123" s="326"/>
      <c r="AP123" s="326"/>
      <c r="AQ123" s="314"/>
      <c r="AR123" s="314"/>
      <c r="AS123" s="314"/>
      <c r="AT123" s="314"/>
      <c r="AU123" s="314"/>
      <c r="AV123" s="314"/>
      <c r="AW123" s="314"/>
      <c r="AX123" s="314"/>
      <c r="AY123" s="314"/>
      <c r="AZ123" s="314"/>
      <c r="BA123" s="314"/>
      <c r="BB123" s="314"/>
      <c r="BC123" s="314"/>
      <c r="BD123" s="314"/>
      <c r="BE123" s="314"/>
      <c r="BF123" s="314"/>
      <c r="BG123" s="364"/>
      <c r="BH123" s="364"/>
      <c r="BI123" s="314"/>
      <c r="BJ123" s="314"/>
      <c r="BK123" s="314"/>
      <c r="BL123" s="314"/>
      <c r="BM123" s="314"/>
      <c r="BN123" s="314"/>
      <c r="BO123" s="314"/>
      <c r="BP123" s="314"/>
      <c r="BQ123" s="314"/>
      <c r="BR123" s="314"/>
      <c r="BS123" s="314"/>
      <c r="BT123" s="314"/>
      <c r="BU123" s="314"/>
      <c r="BV123" s="314"/>
      <c r="BW123" s="314"/>
      <c r="BX123" s="314"/>
      <c r="BY123" s="314"/>
      <c r="BZ123" s="314"/>
      <c r="CA123" s="314"/>
      <c r="CB123" s="314"/>
      <c r="CC123" s="314"/>
      <c r="CD123" s="314"/>
      <c r="CE123" s="314"/>
      <c r="CF123" s="314"/>
      <c r="CG123" s="314"/>
      <c r="CH123" s="314"/>
      <c r="CI123" s="314"/>
      <c r="CJ123" s="314"/>
      <c r="CK123" s="314"/>
      <c r="CL123" s="314"/>
      <c r="CM123" s="314"/>
      <c r="CN123" s="314"/>
      <c r="CO123" s="314"/>
      <c r="CP123" s="314"/>
      <c r="CQ123" s="319"/>
    </row>
    <row r="124" spans="1:95" ht="12.75" customHeight="1" x14ac:dyDescent="0.25">
      <c r="A124" s="307"/>
      <c r="B124" s="68"/>
      <c r="C124" s="199" t="s">
        <v>13</v>
      </c>
      <c r="D124" s="344" t="str">
        <f>Translations!$B$360</f>
        <v>UCF:</v>
      </c>
      <c r="E124" s="345"/>
      <c r="F124" s="10"/>
      <c r="G124" s="1256" t="str">
        <f>IF(OR(ISBLANK(F124),F124=EUconst_NoTier),"",IF(Z124=0,EUconst_NotApplicable,IF(ISERROR(Z124),"",Z124)))</f>
        <v/>
      </c>
      <c r="H124" s="1257"/>
      <c r="I124" s="365" t="str">
        <f>IF(J124&lt;&gt;"","",AI124)</f>
        <v/>
      </c>
      <c r="J124" s="11"/>
      <c r="K124" s="366" t="str">
        <f>IF(L124="",AU124,"")</f>
        <v/>
      </c>
      <c r="L124" s="23"/>
      <c r="M124" s="347" t="str">
        <f>IF(AND(E117&lt;&gt;"",OR(F124="",COUNT(K124:L124)=0),Y124&lt;&gt;EUconst_NA),EUconst_ERR_Incomplete,IF(COUNTIF(BB124:BD124,TRUE)&gt;0,EUconst_ERR_Inconsistent,""))</f>
        <v/>
      </c>
      <c r="N124" s="367"/>
      <c r="O124" s="160"/>
      <c r="P124" s="109"/>
      <c r="Q124" s="312"/>
      <c r="R124" s="312"/>
      <c r="S124" s="314"/>
      <c r="T124" s="368" t="str">
        <f>EUconst_CNTR_UCF&amp;E117</f>
        <v>UCF_</v>
      </c>
      <c r="U124" s="312"/>
      <c r="V124" s="369" t="str">
        <f>V125</f>
        <v/>
      </c>
      <c r="W124" s="314"/>
      <c r="X124" s="312"/>
      <c r="Y124" s="370" t="str">
        <f>IF(E117="","",IF(OR(F124=EUconst_NA,W124=TRUE),EUconst_NA,INDEX(EUwideConstants!$P$164:$P$200,MATCH(T124,EUwideConstants!$S$164:$S$200,0))))</f>
        <v/>
      </c>
      <c r="Z124" s="371" t="str">
        <f>IF(ISBLANK(F124),"",IF(F124=EUconst_NA,"",INDEX(EUwideConstants!$H:$O,MATCH(T124,EUwideConstants!$S:$S,0),MATCH(F124,CNTR_TierList,0))))</f>
        <v/>
      </c>
      <c r="AA124" s="372" t="str">
        <f>IF(COUNTIF(EUconst_DefaultValues,Z124)&gt;0,MATCH(Z124,EUconst_DefaultValues,0),"")</f>
        <v/>
      </c>
      <c r="AB124" s="314"/>
      <c r="AC124" s="373" t="b">
        <f>AND(AC122,Y124&lt;&gt;EUconst_NA)</f>
        <v>0</v>
      </c>
      <c r="AD124" s="314"/>
      <c r="AE124" s="353" t="str">
        <f>EUconst_CNTR_UCF&amp;EUconst_Unit</f>
        <v>UCF_Unit</v>
      </c>
      <c r="AF124" s="374" t="str">
        <f>IF(AC124=TRUE, IF(COUNTIF(MSPara_SourceStreamCategory,V124)=0,"",INDEX(MSPara_CalcFactorsMatrix,MATCH(V124,MSPara_SourceStreamCategory,0),MATCH(AE124&amp;"_"&amp;2,MSPara_CalcFactors,0))),"")</f>
        <v/>
      </c>
      <c r="AG124" s="375" t="str">
        <f>IF(AC124=TRUE, IF(COUNTIF(MSPara_SourceStreamCategory,V124)=0,"",INDEX(MSPara_CalcFactorsMatrix,MATCH(V124,MSPara_SourceStreamCategory,0),MATCH(AE124&amp;"_"&amp;1,MSPara_CalcFactors,0))),"")</f>
        <v/>
      </c>
      <c r="AH124" s="373" t="str">
        <f>IF(AA124="","",INDEX(AF124:AG124,3-AA124))</f>
        <v/>
      </c>
      <c r="AI124" s="373" t="str">
        <f>IF(AC124=TRUE,IF(OR(AH124="",AH124=EUconst_NA),EUconst_GJ&amp;"/"&amp;AJ122,AH124),"")</f>
        <v/>
      </c>
      <c r="AJ124" s="373" t="str">
        <f>IF(J124="",AI124,J124)</f>
        <v/>
      </c>
      <c r="AK124" s="369" t="b">
        <f>AND(E116&lt;&gt;"",J124&lt;&gt;"")</f>
        <v>0</v>
      </c>
      <c r="AL124" s="326"/>
      <c r="AM124" s="358" t="s">
        <v>151</v>
      </c>
      <c r="AN124" s="359" t="str">
        <f>IF(AJ124="",EUconst_NA,IF(AN122=EUconst_TJ,EUconst_TJ,INDEX(EUwideConstants!$C$135:$G$139,MATCH(AN122,RFAUnits,0),MATCH(AJ124,UCFUnits,0))))</f>
        <v>n.a.</v>
      </c>
      <c r="AO124" s="326"/>
      <c r="AP124" s="326"/>
      <c r="AQ124" s="376" t="str">
        <f>EUconst_CNTR_UCF&amp;EUconst_Value</f>
        <v>UCF_Value</v>
      </c>
      <c r="AR124" s="377" t="str">
        <f>IF(AC124=TRUE,IF(COUNTIF(MSPara_SourceStreamCategory,V124)=0,"",INDEX(MSPara_CalcFactorsMatrix,MATCH(V124,MSPara_SourceStreamCategory,0),MATCH(AQ124&amp;"_"&amp;2,MSPara_CalcFactors,0))),"")</f>
        <v/>
      </c>
      <c r="AS124" s="378" t="str">
        <f>IF(AC124=TRUE,IF(COUNTIF(MSPara_SourceStreamCategory,V124)=0,"",INDEX(MSPara_CalcFactorsMatrix,MATCH(V124,MSPara_SourceStreamCategory,0),MATCH(AQ124&amp;"_"&amp;1,MSPara_CalcFactors,0))),"")</f>
        <v/>
      </c>
      <c r="AT124" s="379" t="b">
        <f>AND(AND(AH124&lt;&gt;"",AJ124&lt;&gt;""),AJ124=AH124)</f>
        <v>0</v>
      </c>
      <c r="AU124" s="380" t="str">
        <f>IF(AND(AA124&lt;&gt;"",AT124=TRUE),IF(OR(INDEX(AR124:AS124,3-AA124)=EUconst_NA,INDEX(AR124:AS124,3-AA124)=0),"",INDEX(AR124:AS124,3-AA124)),"")</f>
        <v/>
      </c>
      <c r="AV124" s="373">
        <f>IF(AC124=TRUE,IF(COUNT(K124:L124)=0,0,IF(L124="",K124,L124)),0)</f>
        <v>0</v>
      </c>
      <c r="AW124" s="369" t="b">
        <f t="shared" ref="AW124:AW131" si="18">AND(AC124=TRUE,OR(AND(F124&lt;&gt;"",NOT(ISNUMBER(AA124))),L124&lt;&gt;"",F124="",AU124=""))</f>
        <v>0</v>
      </c>
      <c r="AX124" s="381" t="b">
        <f t="shared" ref="AX124:AX131" si="19">AND(AC124=TRUE,NOT(AW124))</f>
        <v>0</v>
      </c>
      <c r="AY124" s="314"/>
      <c r="AZ124" s="382" t="b">
        <f t="shared" ref="AZ124:AZ131" si="20">AND(ISNUMBER(AA124),AU124="")</f>
        <v>0</v>
      </c>
      <c r="BA124" s="383" t="b">
        <f t="shared" ref="BA124:BA131" si="21">AND(ISNUMBER(AA124),AU124&lt;&gt;AV124)</f>
        <v>0</v>
      </c>
      <c r="BB124" s="369" t="b">
        <f>AND(E117&lt;&gt;"",F124&lt;&gt;EUconst_NA,AN124=EUconst_NA)</f>
        <v>0</v>
      </c>
      <c r="BC124" s="369" t="b">
        <f t="shared" ref="BC124:BC131" si="22">AND(L124&lt;&gt;"",Y124=EUconst_NA)</f>
        <v>0</v>
      </c>
      <c r="BD124" s="314"/>
      <c r="BE124" s="314"/>
      <c r="BF124" s="382" t="s">
        <v>152</v>
      </c>
      <c r="BG124" s="384" t="str">
        <f>IF(COUNTIF(AO125:AO126,TRUE)=0,"",BH124*AV133)</f>
        <v/>
      </c>
      <c r="BH124" s="384" t="str">
        <f>IF(COUNTIF(AO125:AO126,TRUE)=0,"",AV122*IF(AO125,1,AV124*AN126)*AV125*AV126)</f>
        <v/>
      </c>
      <c r="BI124" s="314"/>
      <c r="BJ124" s="314"/>
      <c r="BK124" s="314"/>
      <c r="BL124" s="314"/>
      <c r="BM124" s="314"/>
      <c r="BN124" s="314"/>
      <c r="BO124" s="314"/>
      <c r="BP124" s="314"/>
      <c r="BQ124" s="314"/>
      <c r="BR124" s="314"/>
      <c r="BS124" s="314"/>
      <c r="BT124" s="314"/>
      <c r="BU124" s="314"/>
      <c r="BV124" s="314"/>
      <c r="BW124" s="314"/>
      <c r="BX124" s="314"/>
      <c r="BY124" s="314"/>
      <c r="BZ124" s="314"/>
      <c r="CA124" s="314"/>
      <c r="CB124" s="314"/>
      <c r="CC124" s="314"/>
      <c r="CD124" s="314"/>
      <c r="CE124" s="314"/>
      <c r="CF124" s="314"/>
      <c r="CG124" s="314"/>
      <c r="CH124" s="314"/>
      <c r="CI124" s="314"/>
      <c r="CJ124" s="314"/>
      <c r="CK124" s="314"/>
      <c r="CL124" s="314"/>
      <c r="CM124" s="314"/>
      <c r="CN124" s="314"/>
      <c r="CO124" s="314"/>
      <c r="CP124" s="314"/>
      <c r="CQ124" s="369" t="b">
        <f>OR(CQ122,Y124=EUconst_NA)</f>
        <v>0</v>
      </c>
    </row>
    <row r="125" spans="1:95" ht="12.75" customHeight="1" thickBot="1" x14ac:dyDescent="0.3">
      <c r="A125" s="307"/>
      <c r="B125" s="68"/>
      <c r="C125" s="199" t="s">
        <v>14</v>
      </c>
      <c r="D125" s="344" t="str">
        <f>Translations!$B$358</f>
        <v>(prelim) EF:</v>
      </c>
      <c r="E125" s="345"/>
      <c r="F125" s="59"/>
      <c r="G125" s="1256" t="str">
        <f>IF(OR(ISBLANK(F125),F125=EUconst_NoTier),"",IF(Z125=0,EUconst_NotApplicable,IF(ISERROR(Z125),"",Z125)))</f>
        <v/>
      </c>
      <c r="H125" s="1260"/>
      <c r="I125" s="385" t="str">
        <f>IF(J125&lt;&gt;"","",AI125)</f>
        <v/>
      </c>
      <c r="J125" s="22"/>
      <c r="K125" s="386" t="str">
        <f>IF(L125="",AU125,"")</f>
        <v/>
      </c>
      <c r="L125" s="58"/>
      <c r="M125" s="347" t="str">
        <f>IF(AND(E117&lt;&gt;"",OR(F125="",COUNT(K125:L125)=0),Y125&lt;&gt;EUconst_NA),EUconst_ERR_Incomplete,IF(COUNTIF(BB125:BD125,TRUE)&gt;0,EUconst_ERR_Inconsistent,""))</f>
        <v/>
      </c>
      <c r="N125" s="387"/>
      <c r="O125" s="160"/>
      <c r="P125" s="109"/>
      <c r="Q125" s="312"/>
      <c r="R125" s="312"/>
      <c r="S125" s="314"/>
      <c r="T125" s="388" t="str">
        <f>EUconst_CNTR_EF&amp;E117</f>
        <v>EF_</v>
      </c>
      <c r="U125" s="312"/>
      <c r="V125" s="389" t="str">
        <f>V122</f>
        <v/>
      </c>
      <c r="W125" s="314"/>
      <c r="X125" s="312"/>
      <c r="Y125" s="390" t="str">
        <f>IF(E117="","",IF(OR(F125=EUconst_NA,W125=TRUE),EUconst_NA,INDEX(EUwideConstants!$P$164:$P$200,MATCH(T125,EUwideConstants!$S$164:$S$200,0))))</f>
        <v/>
      </c>
      <c r="Z125" s="391" t="str">
        <f>IF(ISBLANK(F125),"",IF(F125=EUconst_NA,"",INDEX(EUwideConstants!$H:$O,MATCH(T125,EUwideConstants!$S:$S,0),MATCH(F125,CNTR_TierList,0))))</f>
        <v/>
      </c>
      <c r="AA125" s="392" t="str">
        <f>IF(COUNTIF(EUconst_DefaultValues,Z125)&gt;0,MATCH(Z125,EUconst_DefaultValues,0),"")</f>
        <v/>
      </c>
      <c r="AB125" s="314"/>
      <c r="AC125" s="393" t="b">
        <f>AND(AC122,Y125&lt;&gt;EUconst_NA)</f>
        <v>0</v>
      </c>
      <c r="AD125" s="314"/>
      <c r="AE125" s="394" t="str">
        <f>EUconst_CNTR_EF&amp;EUconst_Unit</f>
        <v>EF_Unit</v>
      </c>
      <c r="AF125" s="395" t="str">
        <f>IF(AC125=TRUE, IF(COUNTIF(MSPara_SourceStreamCategory,V125)=0,"",INDEX(MSPara_CalcFactorsMatrix,MATCH(V125,MSPara_SourceStreamCategory,0),MATCH(AE125&amp;"_"&amp;2,MSPara_CalcFactors,0))),"")</f>
        <v/>
      </c>
      <c r="AG125" s="396" t="str">
        <f>IF(AC125=TRUE, IF(COUNTIF(MSPara_SourceStreamCategory,V125)=0,"",INDEX(MSPara_CalcFactorsMatrix,MATCH(V125,MSPara_SourceStreamCategory,0),MATCH(AE125&amp;"_"&amp;1,MSPara_CalcFactors,0))),"")</f>
        <v/>
      </c>
      <c r="AH125" s="397" t="str">
        <f>IF(AA125="","",INDEX(AF125:AG125,3-AA125))</f>
        <v/>
      </c>
      <c r="AI125" s="397" t="str">
        <f>IF(AC125=TRUE,IF(OR(AH125="",AH125=EUconst_NA),EUconst_tCO2&amp;"/"&amp;IF(AN124=EUconst_NA,AN122,IF(AN124=EUconst_GJ,EUconst_TJ,AN124)),AH125),"")</f>
        <v/>
      </c>
      <c r="AJ125" s="397" t="str">
        <f>IF(J125="",AI125,J125)</f>
        <v/>
      </c>
      <c r="AK125" s="398" t="b">
        <f>AND(E117&lt;&gt;"",J125&lt;&gt;"")</f>
        <v>0</v>
      </c>
      <c r="AL125" s="326"/>
      <c r="AM125" s="358" t="s">
        <v>153</v>
      </c>
      <c r="AN125" s="359" t="str">
        <f>IF(COUNTIF(RFAUnits,AN122)=0,EUconst_NA,INDEX(EUwideConstants!$C$150:$H$154,MATCH(AJ125,EFUnits,0),MATCH(AN122,EUwideConstants!$C$149:$H$149,0)))</f>
        <v>n.a.</v>
      </c>
      <c r="AO125" s="359" t="b">
        <f>AN125&lt;&gt;EUconst_NA</f>
        <v>0</v>
      </c>
      <c r="AP125" s="326"/>
      <c r="AQ125" s="399" t="str">
        <f>EUconst_CNTR_EF&amp;EUconst_Value</f>
        <v>EF_Value</v>
      </c>
      <c r="AR125" s="400" t="str">
        <f>IF(AC125=TRUE,IF(COUNTIF(MSPara_SourceStreamCategory,V125)=0,"",INDEX(MSPara_CalcFactorsMatrix,MATCH(V125,MSPara_SourceStreamCategory,0),MATCH(AQ125&amp;"_"&amp;2,MSPara_CalcFactors,0))),"")</f>
        <v/>
      </c>
      <c r="AS125" s="401" t="str">
        <f>IF(AC125=TRUE,IF(COUNTIF(MSPara_SourceStreamCategory,V125)=0,"",INDEX(MSPara_CalcFactorsMatrix,MATCH(V125,MSPara_SourceStreamCategory,0),MATCH(AQ125&amp;"_"&amp;1,MSPara_CalcFactors,0))),"")</f>
        <v/>
      </c>
      <c r="AT125" s="402" t="b">
        <f>AND(AND(AH125&lt;&gt;"",AJ125&lt;&gt;""),AJ125=AH125)</f>
        <v>0</v>
      </c>
      <c r="AU125" s="403" t="str">
        <f>IF(AND(AA125&lt;&gt;"",AT125=TRUE),IF(OR(INDEX(AR125:AS125,3-AA125)=EUconst_NA,INDEX(AR125:AS125,3-AA125)=0),"",INDEX(AR125:AS125,3-AA125)),"")</f>
        <v/>
      </c>
      <c r="AV125" s="393">
        <f>IF(AC125=TRUE,IF(COUNT(K125:L125)=0,0,IF(L125="",K125,L125)),0)</f>
        <v>0</v>
      </c>
      <c r="AW125" s="389" t="b">
        <f t="shared" si="18"/>
        <v>0</v>
      </c>
      <c r="AX125" s="404" t="b">
        <f t="shared" si="19"/>
        <v>0</v>
      </c>
      <c r="AY125" s="314"/>
      <c r="AZ125" s="405" t="b">
        <f t="shared" si="20"/>
        <v>0</v>
      </c>
      <c r="BA125" s="406" t="b">
        <f t="shared" si="21"/>
        <v>0</v>
      </c>
      <c r="BB125" s="407" t="b">
        <f>AND(E117&lt;&gt;"",COUNTIF(AO125:AO126,TRUE)=0)</f>
        <v>0</v>
      </c>
      <c r="BC125" s="389" t="b">
        <f t="shared" si="22"/>
        <v>0</v>
      </c>
      <c r="BD125" s="314"/>
      <c r="BE125" s="314"/>
      <c r="BF125" s="408" t="s">
        <v>154</v>
      </c>
      <c r="BG125" s="409" t="str">
        <f>IF(COUNTIF(AO125:AO126,TRUE)=0,"",BH125*AV133)</f>
        <v/>
      </c>
      <c r="BH125" s="409" t="str">
        <f>IF(COUNTIF(AO125:AO126,TRUE)=0,"",AV122*IF(AO125,1,AV124*AN126)*AV125*AV127)</f>
        <v/>
      </c>
      <c r="BI125" s="314"/>
      <c r="BJ125" s="314"/>
      <c r="BK125" s="314"/>
      <c r="BL125" s="314"/>
      <c r="BM125" s="314"/>
      <c r="BN125" s="314"/>
      <c r="BO125" s="314"/>
      <c r="BP125" s="314"/>
      <c r="BQ125" s="314"/>
      <c r="BR125" s="314"/>
      <c r="BS125" s="314"/>
      <c r="BT125" s="314"/>
      <c r="BU125" s="314"/>
      <c r="BV125" s="314"/>
      <c r="BW125" s="314"/>
      <c r="BX125" s="314"/>
      <c r="BY125" s="314"/>
      <c r="BZ125" s="314"/>
      <c r="CA125" s="314"/>
      <c r="CB125" s="314"/>
      <c r="CC125" s="314"/>
      <c r="CD125" s="314"/>
      <c r="CE125" s="314"/>
      <c r="CF125" s="314"/>
      <c r="CG125" s="314"/>
      <c r="CH125" s="314"/>
      <c r="CI125" s="314"/>
      <c r="CJ125" s="314"/>
      <c r="CK125" s="314"/>
      <c r="CL125" s="314"/>
      <c r="CM125" s="314"/>
      <c r="CN125" s="314"/>
      <c r="CO125" s="314"/>
      <c r="CP125" s="314"/>
      <c r="CQ125" s="407" t="b">
        <f>OR(CQ122,Y125=EUconst_NA)</f>
        <v>0</v>
      </c>
    </row>
    <row r="126" spans="1:95" ht="12.75" customHeight="1" x14ac:dyDescent="0.25">
      <c r="A126" s="307"/>
      <c r="B126" s="68"/>
      <c r="C126" s="199" t="s">
        <v>15</v>
      </c>
      <c r="D126" s="344" t="str">
        <f>Translations!$B$362</f>
        <v>BioF:</v>
      </c>
      <c r="E126" s="345"/>
      <c r="F126" s="10"/>
      <c r="G126" s="1256" t="str">
        <f>IF(OR(ISBLANK(F126),F126=EUconst_NoTier),"",IF(Z126=0,EUconst_NotApplicable,IF(ISERROR(Z126),"",Z126)))</f>
        <v/>
      </c>
      <c r="H126" s="1257"/>
      <c r="I126" s="410" t="str">
        <f t="shared" ref="I126:I131" si="23">IF(OR(AC126=FALSE,Y126=EUconst_NA),"","-")</f>
        <v/>
      </c>
      <c r="J126" s="411"/>
      <c r="K126" s="412" t="str">
        <f>IF(L126="",AU126,"")</f>
        <v/>
      </c>
      <c r="L126" s="60"/>
      <c r="M126" s="347" t="str">
        <f>IF(AND(E117&lt;&gt;"",OR(F126="",COUNT(K126:L126)=0),Y126&lt;&gt;EUconst_NA),EUconst_ERR_Incomplete,IF(COUNTIF(BB126:BD126,TRUE)&gt;0,EUconst_ERR_Inconsistent,""))</f>
        <v/>
      </c>
      <c r="O126" s="160"/>
      <c r="P126" s="348"/>
      <c r="Q126" s="413"/>
      <c r="R126" s="413"/>
      <c r="S126" s="314"/>
      <c r="T126" s="388" t="str">
        <f>EUconst_CNTR_BiomassContent&amp;E117</f>
        <v>BioC_</v>
      </c>
      <c r="U126" s="312"/>
      <c r="V126" s="369" t="str">
        <f>V124</f>
        <v/>
      </c>
      <c r="W126" s="369" t="str">
        <f>IF(OR(V126="",COUNTIF(MSPara_SourceStreamCategory,V126)=0),"",INDEX(MSPara_IsFossil,MATCH(V126,MSPara_SourceStreamCategory,0)))</f>
        <v/>
      </c>
      <c r="X126" s="312"/>
      <c r="Y126" s="370" t="str">
        <f>IF(E117="","",IF(OR(F126=EUconst_NA,W126=TRUE),EUconst_NA,INDEX(EUwideConstants!$P$164:$P$200,MATCH(T126,EUwideConstants!$S$164:$S$200,0))))</f>
        <v/>
      </c>
      <c r="Z126" s="371" t="str">
        <f>IF(ISBLANK(F126),"",IF(F126=EUconst_NA,"",INDEX(EUwideConstants!$H:$O,MATCH(T126,EUwideConstants!$S:$S,0),MATCH(F126,CNTR_TierList,0))))</f>
        <v/>
      </c>
      <c r="AA126" s="414" t="str">
        <f>IF(F126=1,1,"")</f>
        <v/>
      </c>
      <c r="AB126" s="314"/>
      <c r="AC126" s="373" t="b">
        <f>AND(AC122,Y126&lt;&gt;EUconst_NA)</f>
        <v>0</v>
      </c>
      <c r="AD126" s="314"/>
      <c r="AE126" s="415"/>
      <c r="AF126" s="416"/>
      <c r="AG126" s="417"/>
      <c r="AH126" s="418"/>
      <c r="AI126" s="418"/>
      <c r="AJ126" s="418"/>
      <c r="AK126" s="419"/>
      <c r="AL126" s="326"/>
      <c r="AM126" s="358" t="s">
        <v>155</v>
      </c>
      <c r="AN126" s="359" t="str">
        <f>IF(AN124=EUconst_NA,EUconst_NA,INDEX(EUwideConstants!$C$150:$H$154,MATCH(AJ125,EFUnits,0),MATCH(AN124,EUwideConstants!$C$149:$H$149,0)))</f>
        <v>n.a.</v>
      </c>
      <c r="AO126" s="359" t="b">
        <f>AN126&lt;&gt;EUconst_NA</f>
        <v>0</v>
      </c>
      <c r="AP126" s="326"/>
      <c r="AQ126" s="376" t="str">
        <f>EUconst_CNTR_BiomassContent&amp;EUconst_Value</f>
        <v>BioC_Value</v>
      </c>
      <c r="AR126" s="420"/>
      <c r="AS126" s="378" t="str">
        <f t="shared" ref="AS126:AS131" si="24">IF(AC126=TRUE,IF(COUNTIF(MSPara_SourceStreamCategory,V126)=0,"",INDEX(MSPara_CalcFactorsMatrix,MATCH(V126,MSPara_SourceStreamCategory,0),MATCH(AQ126&amp;"_"&amp;2,MSPara_CalcFactors,0))),"")</f>
        <v/>
      </c>
      <c r="AT126" s="421"/>
      <c r="AU126" s="380" t="str">
        <f t="shared" ref="AU126:AU131" si="25">IF(OR(AA126="",AS126=EUconst_NA),"",AS126)</f>
        <v/>
      </c>
      <c r="AV126" s="373">
        <f>IF(AC126=TRUE,IF(COUNT(K126:L126)=0,0,IF(L126="",K126,L126)),0)</f>
        <v>0</v>
      </c>
      <c r="AW126" s="369" t="b">
        <f t="shared" si="18"/>
        <v>0</v>
      </c>
      <c r="AX126" s="381" t="b">
        <f t="shared" si="19"/>
        <v>0</v>
      </c>
      <c r="AY126" s="314"/>
      <c r="AZ126" s="382" t="b">
        <f t="shared" si="20"/>
        <v>0</v>
      </c>
      <c r="BA126" s="383" t="b">
        <f t="shared" si="21"/>
        <v>0</v>
      </c>
      <c r="BB126" s="314"/>
      <c r="BC126" s="369" t="b">
        <f t="shared" si="22"/>
        <v>0</v>
      </c>
      <c r="BD126" s="369" t="b">
        <f>OR(AV126&gt;100%,(AV126+AV127)&gt;100%)</f>
        <v>0</v>
      </c>
      <c r="BE126" s="314"/>
      <c r="BF126" s="382" t="s">
        <v>156</v>
      </c>
      <c r="BG126" s="384" t="str">
        <f>IF(COUNTIF(AO125:AO126,TRUE)=0,"",BH126*AV133)</f>
        <v/>
      </c>
      <c r="BH126" s="384" t="str">
        <f>IF(COUNTIF(AO125:AO126,TRUE)=0,"",AV122*IF(AO125,1,AV124*AN126)*AV125*AV128)</f>
        <v/>
      </c>
      <c r="BJ126" s="314"/>
      <c r="BK126" s="314"/>
      <c r="BL126" s="314"/>
      <c r="BM126" s="314"/>
      <c r="BN126" s="314"/>
      <c r="BO126" s="314"/>
      <c r="BP126" s="314"/>
      <c r="BQ126" s="314"/>
      <c r="BR126" s="314"/>
      <c r="BS126" s="314"/>
      <c r="BT126" s="314"/>
      <c r="BU126" s="314"/>
      <c r="BV126" s="314"/>
      <c r="BW126" s="314"/>
      <c r="BX126" s="314"/>
      <c r="BY126" s="314"/>
      <c r="BZ126" s="314"/>
      <c r="CA126" s="314"/>
      <c r="CB126" s="314"/>
      <c r="CC126" s="314"/>
      <c r="CD126" s="314"/>
      <c r="CE126" s="314"/>
      <c r="CF126" s="314"/>
      <c r="CG126" s="314"/>
      <c r="CH126" s="314"/>
      <c r="CI126" s="314"/>
      <c r="CJ126" s="314"/>
      <c r="CK126" s="314"/>
      <c r="CL126" s="314"/>
      <c r="CM126" s="314"/>
      <c r="CN126" s="314"/>
      <c r="CO126" s="314"/>
      <c r="CP126" s="314"/>
      <c r="CQ126" s="369" t="b">
        <f>OR(CQ122,Y126=EUconst_NA)</f>
        <v>0</v>
      </c>
    </row>
    <row r="127" spans="1:95" ht="12.75" customHeight="1" thickBot="1" x14ac:dyDescent="0.3">
      <c r="A127" s="307"/>
      <c r="B127" s="68"/>
      <c r="C127" s="199" t="s">
        <v>16</v>
      </c>
      <c r="D127" s="344" t="str">
        <f>Translations!$B$368</f>
        <v>non-sust. BioF:</v>
      </c>
      <c r="E127" s="345"/>
      <c r="F127" s="20"/>
      <c r="G127" s="1256" t="str">
        <f>IF(OR(ISBLANK(F127),F127=EUconst_NoTier),"",IF(Z127=0,EUconst_NotApplicable,IF(ISERROR(Z127),"",Z127)))</f>
        <v/>
      </c>
      <c r="H127" s="1257"/>
      <c r="I127" s="422" t="str">
        <f t="shared" si="23"/>
        <v/>
      </c>
      <c r="J127" s="423"/>
      <c r="K127" s="424" t="str">
        <f>IF(L127="",AU127,"")</f>
        <v/>
      </c>
      <c r="L127" s="21"/>
      <c r="M127" s="347" t="str">
        <f>IF(AND(E117&lt;&gt;"",OR(F127="",COUNT(K127:L127)=0),Y127&lt;&gt;EUconst_NA),EUconst_ERR_Incomplete,IF(COUNTIF(BB127:BD127,TRUE)&gt;0,EUconst_ERR_Inconsistent,""))</f>
        <v/>
      </c>
      <c r="N127" s="76"/>
      <c r="O127" s="160"/>
      <c r="P127" s="348"/>
      <c r="Q127" s="413"/>
      <c r="R127" s="413"/>
      <c r="S127" s="314"/>
      <c r="T127" s="425" t="str">
        <f>EUconst_CNTR_BiomassContent&amp;E117</f>
        <v>BioC_</v>
      </c>
      <c r="U127" s="312"/>
      <c r="V127" s="407" t="str">
        <f>V126</f>
        <v/>
      </c>
      <c r="W127" s="407" t="str">
        <f>IF(OR(V126="",COUNTIF(MSPara_SourceStreamCategory,V127)=0),"",INDEX(MSPara_IsFossil,MATCH(V127,MSPara_SourceStreamCategory,0)))</f>
        <v/>
      </c>
      <c r="X127" s="312"/>
      <c r="Y127" s="426" t="str">
        <f>IF(E117="","",IF(OR(F127=EUconst_NA,W127=TRUE),EUconst_NA,INDEX(EUwideConstants!$P$164:$P$200,MATCH(T127,EUwideConstants!$S$164:$S$200,0))))</f>
        <v/>
      </c>
      <c r="Z127" s="427" t="str">
        <f>IF(ISBLANK(F127),"",IF(F127=EUconst_NA,"",INDEX(EUwideConstants!$H:$O,MATCH(T127,EUwideConstants!$S:$S,0),MATCH(F127,CNTR_TierList,0))))</f>
        <v/>
      </c>
      <c r="AA127" s="428" t="str">
        <f>IF(F127=1,1,"")</f>
        <v/>
      </c>
      <c r="AB127" s="314"/>
      <c r="AC127" s="429" t="b">
        <f>AND(AC122,Y127&lt;&gt;EUconst_NA)</f>
        <v>0</v>
      </c>
      <c r="AD127" s="314"/>
      <c r="AE127" s="430"/>
      <c r="AF127" s="431"/>
      <c r="AG127" s="432"/>
      <c r="AH127" s="433"/>
      <c r="AI127" s="433"/>
      <c r="AJ127" s="433"/>
      <c r="AK127" s="434"/>
      <c r="AL127" s="326"/>
      <c r="AM127" s="326"/>
      <c r="AN127" s="326"/>
      <c r="AO127" s="326"/>
      <c r="AP127" s="326"/>
      <c r="AQ127" s="435" t="str">
        <f>EUconst_CNTR_BiomassContent&amp;EUconst_Value</f>
        <v>BioC_Value</v>
      </c>
      <c r="AR127" s="430"/>
      <c r="AS127" s="436" t="str">
        <f t="shared" si="24"/>
        <v/>
      </c>
      <c r="AT127" s="437"/>
      <c r="AU127" s="438" t="str">
        <f t="shared" si="25"/>
        <v/>
      </c>
      <c r="AV127" s="429">
        <f>IF(AC127=TRUE,IF(COUNT(K127:L127)=0,0,IF(L127="",K127,L127)),0)</f>
        <v>0</v>
      </c>
      <c r="AW127" s="407" t="b">
        <f t="shared" si="18"/>
        <v>0</v>
      </c>
      <c r="AX127" s="439" t="b">
        <f t="shared" si="19"/>
        <v>0</v>
      </c>
      <c r="AY127" s="314"/>
      <c r="AZ127" s="408" t="b">
        <f t="shared" si="20"/>
        <v>0</v>
      </c>
      <c r="BA127" s="440" t="b">
        <f t="shared" si="21"/>
        <v>0</v>
      </c>
      <c r="BB127" s="314"/>
      <c r="BC127" s="407" t="b">
        <f t="shared" si="22"/>
        <v>0</v>
      </c>
      <c r="BD127" s="407" t="b">
        <f>OR(AV126&gt;100%,(AV126+AV127)&gt;100%)</f>
        <v>0</v>
      </c>
      <c r="BE127" s="314"/>
      <c r="BF127" s="408" t="s">
        <v>157</v>
      </c>
      <c r="BG127" s="409" t="str">
        <f>IF(COUNTIF(AO125:AO126,TRUE)=0,"",BH127*AV133)</f>
        <v/>
      </c>
      <c r="BH127" s="409" t="str">
        <f>IF(COUNTIF(AO125:AO126,TRUE)=0,"",AV122*IF(AO125,1,AV124*AN126)*AV125*AV129)</f>
        <v/>
      </c>
      <c r="BJ127" s="314"/>
      <c r="BK127" s="314"/>
      <c r="BL127" s="314"/>
      <c r="BM127" s="314"/>
      <c r="BN127" s="314"/>
      <c r="BO127" s="314"/>
      <c r="BP127" s="314"/>
      <c r="BQ127" s="314"/>
      <c r="BR127" s="314"/>
      <c r="BS127" s="314"/>
      <c r="BT127" s="314"/>
      <c r="BU127" s="314"/>
      <c r="BV127" s="314"/>
      <c r="BW127" s="314"/>
      <c r="BX127" s="314"/>
      <c r="BY127" s="314"/>
      <c r="BZ127" s="314"/>
      <c r="CA127" s="314"/>
      <c r="CB127" s="314"/>
      <c r="CC127" s="314"/>
      <c r="CD127" s="314"/>
      <c r="CE127" s="314"/>
      <c r="CF127" s="314"/>
      <c r="CG127" s="314"/>
      <c r="CH127" s="314"/>
      <c r="CI127" s="314"/>
      <c r="CJ127" s="314"/>
      <c r="CK127" s="314"/>
      <c r="CL127" s="314"/>
      <c r="CM127" s="314"/>
      <c r="CN127" s="314"/>
      <c r="CO127" s="314"/>
      <c r="CP127" s="314"/>
      <c r="CQ127" s="407" t="b">
        <f>OR(CQ122,Y127=EUconst_NA)</f>
        <v>0</v>
      </c>
    </row>
    <row r="128" spans="1:95" ht="12.75" customHeight="1" thickBot="1" x14ac:dyDescent="0.3">
      <c r="A128" s="307"/>
      <c r="B128" s="68"/>
      <c r="C128" s="199" t="s">
        <v>17</v>
      </c>
      <c r="D128" s="344" t="str">
        <f>Translations!$B$610</f>
        <v>sust. RFNBO/RCF:</v>
      </c>
      <c r="E128" s="441"/>
      <c r="F128" s="19" t="s">
        <v>158</v>
      </c>
      <c r="G128" s="1261"/>
      <c r="H128" s="1262"/>
      <c r="I128" s="442" t="str">
        <f t="shared" si="23"/>
        <v/>
      </c>
      <c r="J128" s="411"/>
      <c r="K128" s="443"/>
      <c r="L128" s="55"/>
      <c r="M128" s="347" t="str">
        <f>IF(AND(E117&lt;&gt;"",OR(F128="",COUNT(L128)=0),Y128&lt;&gt;EUconst_NA),EUconst_ERR_Incomplete,"")</f>
        <v/>
      </c>
      <c r="N128" s="76"/>
      <c r="O128" s="160"/>
      <c r="P128" s="348"/>
      <c r="Q128" s="413"/>
      <c r="R128" s="413"/>
      <c r="S128" s="314"/>
      <c r="T128" s="388" t="str">
        <f>EUconst_CNTR_RFNBOetcContent&amp;E117</f>
        <v>RNFBOC_</v>
      </c>
      <c r="U128" s="312"/>
      <c r="V128" s="312"/>
      <c r="W128" s="312"/>
      <c r="X128" s="312"/>
      <c r="Y128" s="380" t="str">
        <f>IF(E117="","",IF(OR(F128=EUconst_NA,W128=TRUE),EUconst_NA,INDEX(EUwideConstants!$P$164:$P$200,MATCH(T128,EUwideConstants!$S$164:$S$200,0))))</f>
        <v/>
      </c>
      <c r="Z128" s="314"/>
      <c r="AA128" s="314"/>
      <c r="AB128" s="314"/>
      <c r="AC128" s="397" t="b">
        <f>AND(AC124,Y128&lt;&gt;EUconst_NA)</f>
        <v>0</v>
      </c>
      <c r="AD128" s="314"/>
      <c r="AE128" s="415"/>
      <c r="AF128" s="416"/>
      <c r="AG128" s="417"/>
      <c r="AH128" s="418"/>
      <c r="AI128" s="418"/>
      <c r="AJ128" s="418"/>
      <c r="AK128" s="419"/>
      <c r="AL128" s="326"/>
      <c r="AM128" s="326"/>
      <c r="AN128" s="326"/>
      <c r="AO128" s="326"/>
      <c r="AP128" s="326"/>
      <c r="AQ128" s="444" t="s">
        <v>159</v>
      </c>
      <c r="AR128" s="415"/>
      <c r="AS128" s="445" t="str">
        <f t="shared" si="24"/>
        <v/>
      </c>
      <c r="AT128" s="446"/>
      <c r="AU128" s="447" t="str">
        <f t="shared" si="25"/>
        <v/>
      </c>
      <c r="AV128" s="397">
        <f>IF(L128&lt;&gt;0,L128,L128)</f>
        <v>0</v>
      </c>
      <c r="AW128" s="398" t="b">
        <f t="shared" si="18"/>
        <v>0</v>
      </c>
      <c r="AX128" s="448" t="b">
        <f t="shared" si="19"/>
        <v>0</v>
      </c>
      <c r="AY128" s="314"/>
      <c r="AZ128" s="449" t="b">
        <f t="shared" si="20"/>
        <v>0</v>
      </c>
      <c r="BA128" s="450" t="b">
        <f t="shared" si="21"/>
        <v>0</v>
      </c>
      <c r="BB128" s="314"/>
      <c r="BC128" s="398" t="b">
        <f t="shared" si="22"/>
        <v>0</v>
      </c>
      <c r="BD128" s="369" t="b">
        <f>OR(AV128&gt;100%,(AV128+AV129)&gt;100%)</f>
        <v>0</v>
      </c>
      <c r="BE128" s="314"/>
      <c r="BF128" s="451" t="s">
        <v>160</v>
      </c>
      <c r="BG128" s="452" t="str">
        <f>IF(COUNTIF(AO125:AO126,TRUE)=0,"",BH128*AV133)</f>
        <v/>
      </c>
      <c r="BH128" s="452" t="str">
        <f>IF(COUNTIF(AO125:AO126,TRUE)=0,"",AV122*IF(AO125,1,AV124*AN126)*AV125*AV130)</f>
        <v/>
      </c>
      <c r="BJ128" s="314"/>
      <c r="BK128" s="314"/>
      <c r="BL128" s="314"/>
      <c r="BM128" s="314"/>
      <c r="BN128" s="314"/>
      <c r="BO128" s="314"/>
      <c r="BP128" s="314"/>
      <c r="BQ128" s="314"/>
      <c r="BR128" s="314"/>
      <c r="BS128" s="314"/>
      <c r="BT128" s="314"/>
      <c r="BU128" s="314"/>
      <c r="BV128" s="314"/>
      <c r="BW128" s="314"/>
      <c r="BX128" s="314"/>
      <c r="BY128" s="314"/>
      <c r="BZ128" s="314"/>
      <c r="CA128" s="314"/>
      <c r="CB128" s="314"/>
      <c r="CC128" s="314"/>
      <c r="CD128" s="314"/>
      <c r="CE128" s="314"/>
      <c r="CF128" s="314"/>
      <c r="CG128" s="314"/>
      <c r="CH128" s="314"/>
      <c r="CI128" s="314"/>
      <c r="CJ128" s="314"/>
      <c r="CK128" s="314"/>
      <c r="CL128" s="314"/>
      <c r="CM128" s="314"/>
      <c r="CN128" s="314"/>
      <c r="CO128" s="314"/>
      <c r="CP128" s="314"/>
      <c r="CQ128" s="407" t="b">
        <f>OR(CQ122,Y128=EUconst_NA)</f>
        <v>0</v>
      </c>
    </row>
    <row r="129" spans="1:95" ht="12.75" customHeight="1" thickBot="1" x14ac:dyDescent="0.3">
      <c r="A129" s="307"/>
      <c r="B129" s="68"/>
      <c r="C129" s="199" t="s">
        <v>161</v>
      </c>
      <c r="D129" s="344" t="str">
        <f>Translations!$B$613</f>
        <v>non-sust. RFNBO/RCF:</v>
      </c>
      <c r="E129" s="441"/>
      <c r="F129" s="20" t="s">
        <v>158</v>
      </c>
      <c r="G129" s="1261"/>
      <c r="H129" s="1262"/>
      <c r="I129" s="422" t="str">
        <f t="shared" si="23"/>
        <v/>
      </c>
      <c r="J129" s="423"/>
      <c r="K129" s="443"/>
      <c r="L129" s="56"/>
      <c r="M129" s="347" t="str">
        <f>IF(AND(E117&lt;&gt;"",OR(F129="",COUNT(L129)=0),Y129&lt;&gt;EUconst_NA),EUconst_ERR_Incomplete,"")</f>
        <v/>
      </c>
      <c r="N129" s="76"/>
      <c r="O129" s="160"/>
      <c r="P129" s="348"/>
      <c r="Q129" s="413"/>
      <c r="R129" s="413"/>
      <c r="S129" s="314"/>
      <c r="T129" s="425" t="str">
        <f>EUconst_CNTR_RFNBOetcContent&amp;E117</f>
        <v>RNFBOC_</v>
      </c>
      <c r="U129" s="312"/>
      <c r="V129" s="312"/>
      <c r="W129" s="312"/>
      <c r="X129" s="312"/>
      <c r="Y129" s="438" t="str">
        <f>IF(E117="","",IF(OR(F129=EUconst_NA,W129=TRUE),EUconst_NA,INDEX(EUwideConstants!$P$164:$P$200,MATCH(T129,EUwideConstants!$S$164:$S$200,0))))</f>
        <v/>
      </c>
      <c r="Z129" s="314"/>
      <c r="AA129" s="314"/>
      <c r="AB129" s="314"/>
      <c r="AC129" s="429" t="b">
        <f>AND(AC124,Y129&lt;&gt;EUconst_NA)</f>
        <v>0</v>
      </c>
      <c r="AD129" s="314"/>
      <c r="AE129" s="430"/>
      <c r="AF129" s="431"/>
      <c r="AG129" s="432"/>
      <c r="AH129" s="433"/>
      <c r="AI129" s="433"/>
      <c r="AJ129" s="433"/>
      <c r="AK129" s="434"/>
      <c r="AL129" s="326"/>
      <c r="AM129" s="326"/>
      <c r="AN129" s="326"/>
      <c r="AO129" s="326"/>
      <c r="AP129" s="326"/>
      <c r="AQ129" s="435" t="s">
        <v>159</v>
      </c>
      <c r="AR129" s="430"/>
      <c r="AS129" s="436" t="str">
        <f t="shared" si="24"/>
        <v/>
      </c>
      <c r="AT129" s="437"/>
      <c r="AU129" s="438" t="str">
        <f t="shared" si="25"/>
        <v/>
      </c>
      <c r="AV129" s="429">
        <f t="shared" ref="AV129:AV131" si="26">IF(L129&lt;&gt;0,L129,L129)</f>
        <v>0</v>
      </c>
      <c r="AW129" s="407" t="b">
        <f t="shared" si="18"/>
        <v>0</v>
      </c>
      <c r="AX129" s="439" t="b">
        <f t="shared" si="19"/>
        <v>0</v>
      </c>
      <c r="AY129" s="314"/>
      <c r="AZ129" s="408" t="b">
        <f t="shared" si="20"/>
        <v>0</v>
      </c>
      <c r="BA129" s="440" t="b">
        <f t="shared" si="21"/>
        <v>0</v>
      </c>
      <c r="BB129" s="314"/>
      <c r="BC129" s="407" t="b">
        <f t="shared" si="22"/>
        <v>0</v>
      </c>
      <c r="BD129" s="407" t="b">
        <f>OR(AV128&gt;100%,(AV128+AV129)&gt;100%)</f>
        <v>0</v>
      </c>
      <c r="BE129" s="314"/>
      <c r="BF129" s="408" t="s">
        <v>162</v>
      </c>
      <c r="BG129" s="409" t="str">
        <f>IF(COUNTIF(AO125:AO126,TRUE)=0,"",BH129*AV133)</f>
        <v/>
      </c>
      <c r="BH129" s="409" t="str">
        <f>IF(COUNTIF(AO125:AO126,TRUE)=0,"",AV122*IF(AO125,1,AV124*AN126)*AV125*AV131)</f>
        <v/>
      </c>
      <c r="BJ129" s="314"/>
      <c r="BK129" s="314"/>
      <c r="BL129" s="314"/>
      <c r="BM129" s="314"/>
      <c r="BN129" s="314"/>
      <c r="BO129" s="314"/>
      <c r="BP129" s="314"/>
      <c r="BQ129" s="314"/>
      <c r="BR129" s="314"/>
      <c r="BS129" s="314"/>
      <c r="BT129" s="314"/>
      <c r="BU129" s="314"/>
      <c r="BV129" s="314"/>
      <c r="BW129" s="314"/>
      <c r="BX129" s="314"/>
      <c r="BY129" s="314"/>
      <c r="BZ129" s="314"/>
      <c r="CA129" s="314"/>
      <c r="CB129" s="314"/>
      <c r="CC129" s="314"/>
      <c r="CD129" s="314"/>
      <c r="CE129" s="314"/>
      <c r="CF129" s="314"/>
      <c r="CG129" s="314"/>
      <c r="CH129" s="314"/>
      <c r="CI129" s="314"/>
      <c r="CJ129" s="314"/>
      <c r="CK129" s="314"/>
      <c r="CL129" s="314"/>
      <c r="CM129" s="314"/>
      <c r="CN129" s="314"/>
      <c r="CO129" s="314"/>
      <c r="CP129" s="314"/>
      <c r="CQ129" s="407" t="b">
        <f>OR(CQ122,Y129=EUconst_NA)</f>
        <v>0</v>
      </c>
    </row>
    <row r="130" spans="1:95" ht="12.75" customHeight="1" thickBot="1" x14ac:dyDescent="0.3">
      <c r="A130" s="307"/>
      <c r="B130" s="68"/>
      <c r="C130" s="199" t="s">
        <v>163</v>
      </c>
      <c r="D130" s="344" t="str">
        <f>Translations!$B$615</f>
        <v>sust. SLCF:</v>
      </c>
      <c r="E130" s="441"/>
      <c r="F130" s="19" t="s">
        <v>158</v>
      </c>
      <c r="G130" s="1261"/>
      <c r="H130" s="1262"/>
      <c r="I130" s="442" t="str">
        <f t="shared" si="23"/>
        <v/>
      </c>
      <c r="J130" s="411"/>
      <c r="K130" s="443"/>
      <c r="L130" s="57"/>
      <c r="M130" s="347" t="str">
        <f>IF(AND(E117&lt;&gt;"",OR(F130="",COUNT(L130)=0),Y130&lt;&gt;EUconst_NA),EUconst_ERR_Incomplete,"")</f>
        <v/>
      </c>
      <c r="N130" s="76"/>
      <c r="O130" s="160"/>
      <c r="P130" s="348"/>
      <c r="Q130" s="413"/>
      <c r="R130" s="413"/>
      <c r="S130" s="314"/>
      <c r="T130" s="388" t="str">
        <f>EUconst_CNTR_RFNBOetcContent&amp;E117</f>
        <v>RNFBOC_</v>
      </c>
      <c r="U130" s="312"/>
      <c r="V130" s="312"/>
      <c r="W130" s="312"/>
      <c r="X130" s="312"/>
      <c r="Y130" s="447" t="str">
        <f>IF(E117="","",IF(OR(F130=EUconst_NA,W130=TRUE),EUconst_NA,INDEX(EUwideConstants!$P$164:$P$200,MATCH(T130,EUwideConstants!$S$164:$S$200,0))))</f>
        <v/>
      </c>
      <c r="Z130" s="314"/>
      <c r="AA130" s="314"/>
      <c r="AB130" s="314"/>
      <c r="AC130" s="397" t="b">
        <f>AND(AC126,Y130&lt;&gt;EUconst_NA)</f>
        <v>0</v>
      </c>
      <c r="AD130" s="314"/>
      <c r="AE130" s="415"/>
      <c r="AF130" s="416"/>
      <c r="AG130" s="417"/>
      <c r="AH130" s="418"/>
      <c r="AI130" s="418"/>
      <c r="AJ130" s="418"/>
      <c r="AK130" s="419"/>
      <c r="AL130" s="326"/>
      <c r="AM130" s="326"/>
      <c r="AN130" s="326"/>
      <c r="AO130" s="326"/>
      <c r="AP130" s="326"/>
      <c r="AQ130" s="444" t="s">
        <v>159</v>
      </c>
      <c r="AR130" s="415"/>
      <c r="AS130" s="445" t="str">
        <f t="shared" si="24"/>
        <v/>
      </c>
      <c r="AT130" s="446"/>
      <c r="AU130" s="447" t="str">
        <f t="shared" si="25"/>
        <v/>
      </c>
      <c r="AV130" s="397">
        <f t="shared" si="26"/>
        <v>0</v>
      </c>
      <c r="AW130" s="398" t="b">
        <f t="shared" si="18"/>
        <v>0</v>
      </c>
      <c r="AX130" s="448" t="b">
        <f t="shared" si="19"/>
        <v>0</v>
      </c>
      <c r="AY130" s="314"/>
      <c r="AZ130" s="449" t="b">
        <f t="shared" si="20"/>
        <v>0</v>
      </c>
      <c r="BA130" s="450" t="b">
        <f t="shared" si="21"/>
        <v>0</v>
      </c>
      <c r="BB130" s="314"/>
      <c r="BC130" s="398" t="b">
        <f t="shared" si="22"/>
        <v>0</v>
      </c>
      <c r="BD130" s="369" t="b">
        <f>OR(AV130&gt;100%,(AV130+AV131)&gt;100%)</f>
        <v>0</v>
      </c>
      <c r="BE130" s="314"/>
      <c r="BF130" s="451" t="s">
        <v>164</v>
      </c>
      <c r="BG130" s="452">
        <f>IF(AN122=EUconst_TJ,AV122*(1-AV126),IF(AN124=EUconst_GJ,AV122*AV124/1000,0))-SUM(BG131:BG137)</f>
        <v>0</v>
      </c>
      <c r="BH130" s="314"/>
      <c r="BI130" s="314"/>
      <c r="BJ130" s="314"/>
      <c r="BK130" s="314"/>
      <c r="BL130" s="314"/>
      <c r="BM130" s="314"/>
      <c r="BN130" s="314"/>
      <c r="BO130" s="314"/>
      <c r="BP130" s="314"/>
      <c r="BQ130" s="314"/>
      <c r="BR130" s="314"/>
      <c r="BS130" s="314"/>
      <c r="BT130" s="314"/>
      <c r="BU130" s="314"/>
      <c r="BV130" s="314"/>
      <c r="BW130" s="314"/>
      <c r="BX130" s="314"/>
      <c r="BY130" s="314"/>
      <c r="BZ130" s="314"/>
      <c r="CA130" s="314"/>
      <c r="CB130" s="314"/>
      <c r="CC130" s="314"/>
      <c r="CD130" s="314"/>
      <c r="CE130" s="314"/>
      <c r="CF130" s="314"/>
      <c r="CG130" s="314"/>
      <c r="CH130" s="314"/>
      <c r="CI130" s="314"/>
      <c r="CJ130" s="314"/>
      <c r="CK130" s="314"/>
      <c r="CL130" s="314"/>
      <c r="CM130" s="314"/>
      <c r="CN130" s="314"/>
      <c r="CO130" s="314"/>
      <c r="CP130" s="314"/>
      <c r="CQ130" s="407" t="b">
        <f>OR(CQ122,Y130=EUconst_NA)</f>
        <v>0</v>
      </c>
    </row>
    <row r="131" spans="1:95" ht="12.75" customHeight="1" thickBot="1" x14ac:dyDescent="0.3">
      <c r="A131" s="307"/>
      <c r="B131" s="68"/>
      <c r="C131" s="199" t="s">
        <v>165</v>
      </c>
      <c r="D131" s="344" t="str">
        <f>Translations!$B$618</f>
        <v>non-sust. SLCF:</v>
      </c>
      <c r="E131" s="441"/>
      <c r="F131" s="20" t="s">
        <v>158</v>
      </c>
      <c r="G131" s="1261"/>
      <c r="H131" s="1262"/>
      <c r="I131" s="422" t="str">
        <f t="shared" si="23"/>
        <v/>
      </c>
      <c r="J131" s="423"/>
      <c r="K131" s="443"/>
      <c r="L131" s="56"/>
      <c r="M131" s="347" t="str">
        <f>IF(AND(E117&lt;&gt;"",OR(F131="",COUNT(L131)=0),Y131&lt;&gt;EUconst_NA),EUconst_ERR_Incomplete,"")</f>
        <v/>
      </c>
      <c r="N131" s="76"/>
      <c r="O131" s="160"/>
      <c r="P131" s="348"/>
      <c r="Q131" s="413"/>
      <c r="R131" s="413"/>
      <c r="S131" s="314"/>
      <c r="T131" s="425" t="str">
        <f>EUconst_CNTR_RFNBOetcContent&amp;E117</f>
        <v>RNFBOC_</v>
      </c>
      <c r="U131" s="312"/>
      <c r="V131" s="312"/>
      <c r="W131" s="312"/>
      <c r="X131" s="312"/>
      <c r="Y131" s="438" t="str">
        <f>IF(E117="","",IF(OR(F131=EUconst_NA,W131=TRUE),EUconst_NA,INDEX(EUwideConstants!$P$164:$P$200,MATCH(T131,EUwideConstants!$S$164:$S$200,0))))</f>
        <v/>
      </c>
      <c r="Z131" s="314"/>
      <c r="AA131" s="314"/>
      <c r="AB131" s="314"/>
      <c r="AC131" s="429" t="b">
        <f>AND(AC126,Y131&lt;&gt;EUconst_NA)</f>
        <v>0</v>
      </c>
      <c r="AD131" s="314"/>
      <c r="AE131" s="430"/>
      <c r="AF131" s="431"/>
      <c r="AG131" s="432"/>
      <c r="AH131" s="433"/>
      <c r="AI131" s="433"/>
      <c r="AJ131" s="433"/>
      <c r="AK131" s="434"/>
      <c r="AL131" s="326"/>
      <c r="AM131" s="326"/>
      <c r="AN131" s="326"/>
      <c r="AO131" s="326"/>
      <c r="AP131" s="326"/>
      <c r="AQ131" s="435" t="s">
        <v>159</v>
      </c>
      <c r="AR131" s="430"/>
      <c r="AS131" s="436" t="str">
        <f t="shared" si="24"/>
        <v/>
      </c>
      <c r="AT131" s="437"/>
      <c r="AU131" s="438" t="str">
        <f t="shared" si="25"/>
        <v/>
      </c>
      <c r="AV131" s="429">
        <f t="shared" si="26"/>
        <v>0</v>
      </c>
      <c r="AW131" s="407" t="b">
        <f t="shared" si="18"/>
        <v>0</v>
      </c>
      <c r="AX131" s="439" t="b">
        <f t="shared" si="19"/>
        <v>0</v>
      </c>
      <c r="AY131" s="314"/>
      <c r="AZ131" s="408" t="b">
        <f t="shared" si="20"/>
        <v>0</v>
      </c>
      <c r="BA131" s="440" t="b">
        <f t="shared" si="21"/>
        <v>0</v>
      </c>
      <c r="BB131" s="314"/>
      <c r="BC131" s="407" t="b">
        <f t="shared" si="22"/>
        <v>0</v>
      </c>
      <c r="BD131" s="407" t="b">
        <f>OR(AV130&gt;100%,(AV130+AV131)&gt;100%)</f>
        <v>0</v>
      </c>
      <c r="BE131" s="314"/>
      <c r="BF131" s="408" t="s">
        <v>166</v>
      </c>
      <c r="BG131" s="409" t="str">
        <f>IF(AN122=EUconst_TJ,AV122*AV126,IF(AN124=EUconst_GJ,AV122*AV124/1000*AV126,""))</f>
        <v/>
      </c>
      <c r="BH131" s="314"/>
      <c r="BI131" s="314"/>
      <c r="BJ131" s="314"/>
      <c r="BK131" s="314"/>
      <c r="BL131" s="314"/>
      <c r="BM131" s="314"/>
      <c r="BN131" s="314"/>
      <c r="BO131" s="314"/>
      <c r="BP131" s="314"/>
      <c r="BQ131" s="314"/>
      <c r="BR131" s="314"/>
      <c r="BS131" s="314"/>
      <c r="BT131" s="314"/>
      <c r="BU131" s="314"/>
      <c r="BV131" s="314"/>
      <c r="BW131" s="314"/>
      <c r="BX131" s="314"/>
      <c r="BY131" s="314"/>
      <c r="BZ131" s="314"/>
      <c r="CA131" s="314"/>
      <c r="CB131" s="314"/>
      <c r="CC131" s="314"/>
      <c r="CD131" s="314"/>
      <c r="CE131" s="314"/>
      <c r="CF131" s="314"/>
      <c r="CG131" s="314"/>
      <c r="CH131" s="314"/>
      <c r="CI131" s="314"/>
      <c r="CJ131" s="314"/>
      <c r="CK131" s="314"/>
      <c r="CL131" s="314"/>
      <c r="CM131" s="314"/>
      <c r="CN131" s="314"/>
      <c r="CO131" s="314"/>
      <c r="CP131" s="314"/>
      <c r="CQ131" s="407" t="b">
        <f>OR(CQ122,Y131=EUconst_NA)</f>
        <v>0</v>
      </c>
    </row>
    <row r="132" spans="1:95" ht="5.15" customHeight="1" thickBot="1" x14ac:dyDescent="0.3">
      <c r="A132" s="307"/>
      <c r="B132" s="68"/>
      <c r="C132" s="68"/>
      <c r="D132" s="205"/>
      <c r="E132" s="76"/>
      <c r="F132" s="76"/>
      <c r="G132" s="76"/>
      <c r="H132" s="76"/>
      <c r="I132" s="76"/>
      <c r="J132" s="76"/>
      <c r="K132" s="76"/>
      <c r="L132" s="76"/>
      <c r="M132" s="453"/>
      <c r="N132" s="76"/>
      <c r="O132" s="160"/>
      <c r="P132" s="109"/>
      <c r="Q132" s="312"/>
      <c r="R132" s="312"/>
      <c r="S132" s="314"/>
      <c r="T132" s="314"/>
      <c r="U132" s="314"/>
      <c r="V132" s="314"/>
      <c r="W132" s="314"/>
      <c r="X132" s="314"/>
      <c r="Y132" s="314"/>
      <c r="Z132" s="314"/>
      <c r="AA132" s="314"/>
      <c r="AB132" s="314"/>
      <c r="AC132" s="314"/>
      <c r="AD132" s="314"/>
      <c r="AE132" s="314"/>
      <c r="AF132" s="314"/>
      <c r="AG132" s="314"/>
      <c r="AH132" s="314"/>
      <c r="AI132" s="314"/>
      <c r="AJ132" s="314"/>
      <c r="AK132" s="314"/>
      <c r="AL132" s="314"/>
      <c r="AM132" s="314"/>
      <c r="AN132" s="314"/>
      <c r="AO132" s="314"/>
      <c r="AP132" s="314"/>
      <c r="AQ132" s="314"/>
      <c r="AR132" s="314"/>
      <c r="AS132" s="314"/>
      <c r="AT132" s="314"/>
      <c r="AU132" s="314"/>
      <c r="AV132" s="314"/>
      <c r="AW132" s="314"/>
      <c r="AX132" s="314"/>
      <c r="AY132" s="314"/>
      <c r="AZ132" s="314"/>
      <c r="BA132" s="314"/>
      <c r="BB132" s="314"/>
      <c r="BC132" s="314"/>
      <c r="BD132" s="314"/>
      <c r="BE132" s="314"/>
      <c r="BF132" s="314"/>
      <c r="BG132" s="364"/>
      <c r="BH132" s="314"/>
      <c r="BI132" s="314"/>
      <c r="BJ132" s="314"/>
      <c r="BK132" s="314"/>
      <c r="BL132" s="314"/>
      <c r="BM132" s="314"/>
      <c r="BN132" s="314"/>
      <c r="BO132" s="314"/>
      <c r="BP132" s="314"/>
      <c r="BQ132" s="314"/>
      <c r="BR132" s="314"/>
      <c r="BS132" s="314"/>
      <c r="BT132" s="314"/>
      <c r="BU132" s="314"/>
      <c r="BV132" s="314"/>
      <c r="BW132" s="314"/>
      <c r="BX132" s="314"/>
      <c r="BY132" s="314"/>
      <c r="BZ132" s="314"/>
      <c r="CA132" s="314"/>
      <c r="CB132" s="314"/>
      <c r="CC132" s="314"/>
      <c r="CD132" s="314"/>
      <c r="CE132" s="314"/>
      <c r="CF132" s="314"/>
      <c r="CG132" s="314"/>
      <c r="CH132" s="314"/>
      <c r="CI132" s="314"/>
      <c r="CJ132" s="314"/>
      <c r="CK132" s="314"/>
      <c r="CL132" s="314"/>
      <c r="CM132" s="314"/>
      <c r="CN132" s="314"/>
      <c r="CO132" s="314"/>
      <c r="CP132" s="314"/>
      <c r="CQ132" s="314"/>
    </row>
    <row r="133" spans="1:95" ht="12.75" customHeight="1" thickBot="1" x14ac:dyDescent="0.3">
      <c r="A133" s="307"/>
      <c r="B133" s="68"/>
      <c r="C133" s="199" t="s">
        <v>167</v>
      </c>
      <c r="D133" s="344" t="str">
        <f>Translations!$B$398</f>
        <v>Scope factor:</v>
      </c>
      <c r="E133" s="454"/>
      <c r="F133" s="992"/>
      <c r="G133" s="1263"/>
      <c r="H133" s="1264"/>
      <c r="I133" s="455" t="s">
        <v>46</v>
      </c>
      <c r="J133" s="456"/>
      <c r="K133" s="457" t="str">
        <f>IF(L133="",AU133,"")</f>
        <v/>
      </c>
      <c r="L133" s="16"/>
      <c r="M133" s="458" t="str">
        <f>IF(AND(E117&lt;&gt;"",OR(F133="",G133="",COUNT(K133:L133)=0)),EUconst_ERR_Incomplete,IF(COUNTIF(BB133:BD133,TRUE)&gt;0,EUconst_ERR_Inconsistent,""))</f>
        <v/>
      </c>
      <c r="N133" s="76"/>
      <c r="O133" s="160"/>
      <c r="P133" s="109"/>
      <c r="Q133" s="312"/>
      <c r="R133" s="314"/>
      <c r="S133" s="297"/>
      <c r="T133" s="459" t="str">
        <f>EUconst_CNTR_ScopeFactor&amp;E117</f>
        <v>ScopeFactor_</v>
      </c>
      <c r="U133" s="231" t="str">
        <f>IF(F133="","",INDEX(ScopeAddress,MATCH(F133,ScopeTiers,0)))</f>
        <v/>
      </c>
      <c r="V133" s="360" t="str">
        <f>V122</f>
        <v/>
      </c>
      <c r="W133" s="314"/>
      <c r="X133" s="314"/>
      <c r="Y133" s="460" t="str">
        <f>IF(E117="","",IF(F133=EUconst_NA,EUconst_NA,INDEX(EUwideConstants!$P$164:$P$200,MATCH(T133,EUwideConstants!$S$164:$S$200,0))))</f>
        <v/>
      </c>
      <c r="Z133" s="461" t="str">
        <f>IF(ISBLANK(F133),"",IF(F133=EUconst_NA,"",INDEX(EUwideConstants!$H:$O,MATCH(T133,EUwideConstants!$S:$S,0),MATCH(F133,CNTR_TierList,0))))</f>
        <v/>
      </c>
      <c r="AA133" s="331" t="str">
        <f>IF(G133=EUwideConstants!$A$89,1,"")</f>
        <v/>
      </c>
      <c r="AB133" s="314"/>
      <c r="AC133" s="331" t="b">
        <f>AND(AC122,Y133&lt;&gt;EUconst_NA)</f>
        <v>0</v>
      </c>
      <c r="AD133" s="314"/>
      <c r="AE133" s="314"/>
      <c r="AF133" s="314"/>
      <c r="AG133" s="319"/>
      <c r="AH133" s="314"/>
      <c r="AI133" s="314"/>
      <c r="AJ133" s="314"/>
      <c r="AK133" s="314"/>
      <c r="AL133" s="314"/>
      <c r="AM133" s="314"/>
      <c r="AN133" s="314"/>
      <c r="AO133" s="314"/>
      <c r="AP133" s="314"/>
      <c r="AQ133" s="314"/>
      <c r="AR133" s="314"/>
      <c r="AS133" s="328">
        <v>1</v>
      </c>
      <c r="AT133" s="314"/>
      <c r="AU133" s="319" t="str">
        <f>IF(G133=EUwideConstants!$A$89,AS133,"")</f>
        <v/>
      </c>
      <c r="AV133" s="331">
        <f>IF(AC133=TRUE,IF(COUNT(K133:L133)=0,0,IF(L133="",K133,L133)),0)</f>
        <v>0</v>
      </c>
      <c r="AW133" s="360" t="b">
        <f>AND(AC133=TRUE,OR(AND(F133&lt;&gt;"",NOT(ISNUMBER(AA133))),L133&lt;&gt;"",F133="",AU133=""))</f>
        <v>0</v>
      </c>
      <c r="AX133" s="357" t="b">
        <f>AND(AC133=TRUE,NOT(AW133))</f>
        <v>0</v>
      </c>
      <c r="AY133" s="314"/>
      <c r="AZ133" s="361" t="b">
        <f>AND(ISNUMBER(AA133),AU133="")</f>
        <v>0</v>
      </c>
      <c r="BA133" s="351" t="b">
        <f>AND(ISNUMBER(AA133),AU133&lt;&gt;AV133)</f>
        <v>0</v>
      </c>
      <c r="BB133" s="314"/>
      <c r="BC133" s="360" t="b">
        <f>AND(F133&lt;&gt;"",OR(COUNTIF(INDEX(ScopeMethods,F133,),G133)=0,AND(AA133&lt;&gt;"",AU133&lt;&gt;AV133)))</f>
        <v>0</v>
      </c>
      <c r="BD133" s="314"/>
      <c r="BE133" s="314"/>
      <c r="BF133" s="361" t="s">
        <v>168</v>
      </c>
      <c r="BG133" s="362" t="str">
        <f>IF(AN122=EUconst_TJ,AV122*AV128,IF(AN124=EUconst_GJ,AV122*AV124/1000*AV128,""))</f>
        <v/>
      </c>
      <c r="BH133" s="314"/>
      <c r="BI133" s="314"/>
      <c r="BJ133" s="314"/>
      <c r="BK133" s="314"/>
      <c r="BL133" s="314"/>
      <c r="BM133" s="314"/>
      <c r="BN133" s="314"/>
      <c r="BO133" s="314"/>
      <c r="BP133" s="314"/>
      <c r="BQ133" s="314"/>
      <c r="BR133" s="314"/>
      <c r="BS133" s="314"/>
      <c r="BT133" s="314"/>
      <c r="BU133" s="314"/>
      <c r="BV133" s="314"/>
      <c r="BW133" s="314"/>
      <c r="BX133" s="314"/>
      <c r="BY133" s="314"/>
      <c r="BZ133" s="314"/>
      <c r="CA133" s="314"/>
      <c r="CB133" s="314"/>
      <c r="CC133" s="314"/>
      <c r="CD133" s="314"/>
      <c r="CE133" s="314"/>
      <c r="CF133" s="314"/>
      <c r="CG133" s="314"/>
      <c r="CH133" s="314"/>
      <c r="CI133" s="314"/>
      <c r="CJ133" s="314"/>
      <c r="CK133" s="314"/>
      <c r="CL133" s="314"/>
      <c r="CM133" s="314"/>
      <c r="CN133" s="314"/>
      <c r="CO133" s="314"/>
      <c r="CP133" s="314"/>
      <c r="CQ133" s="314"/>
    </row>
    <row r="134" spans="1:95" ht="12.75" customHeight="1" x14ac:dyDescent="0.25">
      <c r="A134" s="307"/>
      <c r="B134" s="68"/>
      <c r="C134" s="68"/>
      <c r="D134" s="68"/>
      <c r="E134" s="68"/>
      <c r="F134" s="68"/>
      <c r="G134" s="1265" t="str">
        <f>IF(G133="","",INDEX(ScopeMethodsDetails,MATCH(G133,INDEX(ScopeMethodsDetails,,1),0),2))</f>
        <v/>
      </c>
      <c r="H134" s="1266"/>
      <c r="I134" s="1266"/>
      <c r="J134" s="1266"/>
      <c r="K134" s="1266"/>
      <c r="L134" s="1266"/>
      <c r="M134" s="1267"/>
      <c r="N134" s="76"/>
      <c r="O134" s="160"/>
      <c r="P134" s="109"/>
      <c r="Q134" s="312"/>
      <c r="R134" s="312"/>
      <c r="S134" s="314"/>
      <c r="T134" s="314"/>
      <c r="U134" s="314"/>
      <c r="V134" s="314"/>
      <c r="W134" s="314"/>
      <c r="X134" s="314"/>
      <c r="Y134" s="314"/>
      <c r="Z134" s="314"/>
      <c r="AA134" s="314"/>
      <c r="AB134" s="314"/>
      <c r="AC134" s="314"/>
      <c r="AD134" s="314"/>
      <c r="AE134" s="314"/>
      <c r="AF134" s="314"/>
      <c r="AG134" s="314"/>
      <c r="AH134" s="314"/>
      <c r="AI134" s="314"/>
      <c r="AJ134" s="314"/>
      <c r="AK134" s="314"/>
      <c r="AL134" s="314"/>
      <c r="AM134" s="314"/>
      <c r="AN134" s="314"/>
      <c r="AO134" s="314"/>
      <c r="AP134" s="314"/>
      <c r="AQ134" s="314"/>
      <c r="AR134" s="314"/>
      <c r="AS134" s="314"/>
      <c r="AT134" s="314"/>
      <c r="AU134" s="314"/>
      <c r="AV134" s="314"/>
      <c r="AW134" s="314"/>
      <c r="AX134" s="314"/>
      <c r="AY134" s="314"/>
      <c r="AZ134" s="314"/>
      <c r="BA134" s="314"/>
      <c r="BB134" s="314"/>
      <c r="BC134" s="314"/>
      <c r="BD134" s="314"/>
      <c r="BE134" s="314"/>
      <c r="BG134" s="364"/>
      <c r="BH134" s="314"/>
      <c r="BI134" s="314"/>
      <c r="BJ134" s="314"/>
      <c r="BK134" s="314"/>
      <c r="BL134" s="314"/>
      <c r="BM134" s="314"/>
      <c r="BN134" s="314"/>
      <c r="BO134" s="314"/>
      <c r="BP134" s="314"/>
      <c r="BQ134" s="314"/>
      <c r="BR134" s="314"/>
      <c r="BS134" s="314"/>
      <c r="BT134" s="314"/>
      <c r="BU134" s="314"/>
      <c r="BV134" s="314"/>
      <c r="BW134" s="314"/>
      <c r="BX134" s="314"/>
      <c r="BY134" s="314"/>
      <c r="BZ134" s="314"/>
      <c r="CA134" s="314"/>
      <c r="CB134" s="314"/>
      <c r="CC134" s="314"/>
      <c r="CD134" s="314"/>
      <c r="CE134" s="314"/>
      <c r="CF134" s="314"/>
      <c r="CG134" s="314"/>
      <c r="CH134" s="314"/>
      <c r="CI134" s="314"/>
      <c r="CJ134" s="314"/>
      <c r="CK134" s="314"/>
      <c r="CL134" s="314"/>
      <c r="CM134" s="314"/>
      <c r="CN134" s="314"/>
      <c r="CO134" s="314"/>
      <c r="CP134" s="314"/>
      <c r="CQ134" s="314"/>
    </row>
    <row r="135" spans="1:95" ht="5.15" customHeight="1" x14ac:dyDescent="0.25">
      <c r="A135" s="307"/>
      <c r="C135" s="76"/>
      <c r="D135" s="76"/>
      <c r="E135" s="76"/>
      <c r="F135" s="76"/>
      <c r="G135" s="76"/>
      <c r="H135" s="76"/>
      <c r="I135" s="76"/>
      <c r="J135" s="76"/>
      <c r="K135" s="76"/>
      <c r="L135" s="76"/>
      <c r="O135" s="160"/>
      <c r="P135" s="109"/>
      <c r="Q135" s="312"/>
      <c r="R135" s="312"/>
      <c r="S135" s="314"/>
      <c r="T135" s="314"/>
      <c r="U135" s="314"/>
      <c r="V135" s="314"/>
      <c r="W135" s="314"/>
      <c r="X135" s="314"/>
      <c r="Y135" s="314"/>
      <c r="Z135" s="314"/>
      <c r="AA135" s="314"/>
      <c r="AB135" s="314"/>
      <c r="AC135" s="314"/>
      <c r="AD135" s="314"/>
      <c r="AE135" s="314"/>
      <c r="AF135" s="314"/>
      <c r="AG135" s="314"/>
      <c r="AH135" s="314"/>
      <c r="AI135" s="314"/>
      <c r="AJ135" s="314"/>
      <c r="AK135" s="314"/>
      <c r="AL135" s="314"/>
      <c r="AM135" s="314"/>
      <c r="AN135" s="314"/>
      <c r="AO135" s="314"/>
      <c r="AP135" s="314"/>
      <c r="AQ135" s="314"/>
      <c r="AR135" s="314"/>
      <c r="AS135" s="314"/>
      <c r="AT135" s="314"/>
      <c r="AU135" s="314"/>
      <c r="AV135" s="314"/>
      <c r="AW135" s="314"/>
      <c r="AX135" s="314"/>
      <c r="AY135" s="314"/>
      <c r="AZ135" s="314"/>
      <c r="BA135" s="314"/>
      <c r="BB135" s="314"/>
      <c r="BC135" s="314"/>
      <c r="BD135" s="314"/>
      <c r="BE135" s="314"/>
      <c r="BG135" s="364"/>
      <c r="BH135" s="314"/>
      <c r="BI135" s="314"/>
      <c r="BJ135" s="314"/>
      <c r="BK135" s="314"/>
      <c r="BL135" s="314"/>
      <c r="BM135" s="314"/>
      <c r="BN135" s="314"/>
      <c r="BO135" s="314"/>
      <c r="BP135" s="314"/>
      <c r="BQ135" s="314"/>
      <c r="BR135" s="314"/>
      <c r="BS135" s="314"/>
      <c r="BT135" s="314"/>
      <c r="BU135" s="314"/>
      <c r="BV135" s="314"/>
      <c r="BW135" s="314"/>
      <c r="BX135" s="314"/>
      <c r="BY135" s="314"/>
      <c r="BZ135" s="314"/>
      <c r="CA135" s="314"/>
      <c r="CB135" s="314"/>
      <c r="CC135" s="314"/>
      <c r="CD135" s="314"/>
      <c r="CE135" s="314"/>
      <c r="CF135" s="314"/>
      <c r="CG135" s="314"/>
      <c r="CH135" s="314"/>
      <c r="CI135" s="314"/>
      <c r="CJ135" s="314"/>
      <c r="CK135" s="314"/>
      <c r="CL135" s="314"/>
      <c r="CM135" s="314"/>
      <c r="CN135" s="314"/>
      <c r="CO135" s="314"/>
      <c r="CP135" s="314"/>
      <c r="CQ135" s="314"/>
    </row>
    <row r="136" spans="1:95" ht="12.75" customHeight="1" thickBot="1" x14ac:dyDescent="0.3">
      <c r="A136" s="307"/>
      <c r="C136" s="76"/>
      <c r="D136" s="76"/>
      <c r="E136" s="76"/>
      <c r="F136" s="76"/>
      <c r="G136" s="1268">
        <v>1</v>
      </c>
      <c r="H136" s="1268"/>
      <c r="I136" s="1268">
        <v>2</v>
      </c>
      <c r="J136" s="1268"/>
      <c r="K136" s="1268">
        <v>3</v>
      </c>
      <c r="L136" s="1268"/>
      <c r="O136" s="160"/>
      <c r="P136" s="109"/>
      <c r="Q136" s="312"/>
      <c r="R136" s="312"/>
      <c r="S136" s="314"/>
      <c r="T136" s="314"/>
      <c r="U136" s="314"/>
      <c r="V136" s="314"/>
      <c r="W136" s="314"/>
      <c r="X136" s="314"/>
      <c r="Y136" s="314"/>
      <c r="Z136" s="314"/>
      <c r="AA136" s="314"/>
      <c r="AB136" s="314"/>
      <c r="AC136" s="314"/>
      <c r="AD136" s="314"/>
      <c r="AE136" s="314"/>
      <c r="AF136" s="314"/>
      <c r="AG136" s="314"/>
      <c r="AH136" s="314"/>
      <c r="AI136" s="314"/>
      <c r="AJ136" s="314"/>
      <c r="AK136" s="314"/>
      <c r="AL136" s="314"/>
      <c r="AM136" s="314"/>
      <c r="AN136" s="314"/>
      <c r="AO136" s="314"/>
      <c r="AP136" s="314"/>
      <c r="AQ136" s="314"/>
      <c r="AR136" s="314"/>
      <c r="AS136" s="314"/>
      <c r="AT136" s="314"/>
      <c r="AU136" s="314"/>
      <c r="AV136" s="314"/>
      <c r="AW136" s="314"/>
      <c r="AX136" s="314"/>
      <c r="AY136" s="314"/>
      <c r="AZ136" s="314"/>
      <c r="BA136" s="314"/>
      <c r="BB136" s="314"/>
      <c r="BC136" s="314"/>
      <c r="BD136" s="314"/>
      <c r="BE136" s="314"/>
      <c r="BF136" s="314"/>
      <c r="BG136" s="364"/>
      <c r="BH136" s="314"/>
      <c r="BI136" s="314"/>
      <c r="BJ136" s="314"/>
      <c r="BK136" s="314"/>
      <c r="BL136" s="314"/>
      <c r="BM136" s="314"/>
      <c r="BN136" s="314"/>
      <c r="BO136" s="314"/>
      <c r="BP136" s="314"/>
      <c r="BQ136" s="314"/>
      <c r="BR136" s="314"/>
      <c r="BS136" s="314"/>
      <c r="BT136" s="314"/>
      <c r="BU136" s="314"/>
      <c r="BV136" s="314"/>
      <c r="BW136" s="314"/>
      <c r="BX136" s="314"/>
      <c r="BY136" s="314"/>
      <c r="BZ136" s="314"/>
      <c r="CA136" s="314"/>
      <c r="CB136" s="314"/>
      <c r="CC136" s="314"/>
      <c r="CD136" s="314"/>
      <c r="CE136" s="314"/>
      <c r="CF136" s="314"/>
      <c r="CG136" s="314"/>
      <c r="CH136" s="314"/>
      <c r="CI136" s="314"/>
      <c r="CJ136" s="314"/>
      <c r="CK136" s="314"/>
      <c r="CL136" s="314"/>
      <c r="CM136" s="314"/>
      <c r="CN136" s="314"/>
      <c r="CO136" s="314"/>
      <c r="CP136" s="314"/>
      <c r="CQ136" s="314"/>
    </row>
    <row r="137" spans="1:95" ht="12.75" customHeight="1" thickBot="1" x14ac:dyDescent="0.3">
      <c r="A137" s="462"/>
      <c r="B137" s="76"/>
      <c r="C137" s="76"/>
      <c r="D137" s="1246" t="str">
        <f>Translations!$B$372</f>
        <v>Consumers' CRF category:</v>
      </c>
      <c r="E137" s="1246"/>
      <c r="F137" s="1247"/>
      <c r="G137" s="1248"/>
      <c r="H137" s="1249"/>
      <c r="I137" s="1248"/>
      <c r="J137" s="1249"/>
      <c r="K137" s="1248"/>
      <c r="L137" s="1249"/>
      <c r="M137" s="463" t="str">
        <f>IF(AND(E116&lt;&gt;"",COUNTA(G137:L137)=0,AX137=FALSE),EUconst_ERR_Incomplete,"")</f>
        <v/>
      </c>
      <c r="N137" s="76"/>
      <c r="O137" s="160"/>
      <c r="P137" s="109"/>
      <c r="Q137" s="312"/>
      <c r="R137" s="312"/>
      <c r="S137" s="314"/>
      <c r="T137" s="314"/>
      <c r="U137" s="314"/>
      <c r="V137" s="314"/>
      <c r="W137" s="314"/>
      <c r="X137" s="314"/>
      <c r="Y137" s="314"/>
      <c r="Z137" s="314"/>
      <c r="AA137" s="314"/>
      <c r="AB137" s="314"/>
      <c r="AC137" s="314"/>
      <c r="AD137" s="314"/>
      <c r="AE137" s="314"/>
      <c r="AF137" s="314"/>
      <c r="AG137" s="314"/>
      <c r="AH137" s="314"/>
      <c r="AI137" s="314"/>
      <c r="AJ137" s="314"/>
      <c r="AK137" s="314"/>
      <c r="AL137" s="314"/>
      <c r="AM137" s="314"/>
      <c r="AN137" s="314"/>
      <c r="AO137" s="314"/>
      <c r="AP137" s="314"/>
      <c r="AQ137" s="314"/>
      <c r="AR137" s="314"/>
      <c r="AS137" s="314"/>
      <c r="AT137" s="314"/>
      <c r="AU137" s="314"/>
      <c r="AV137" s="314"/>
      <c r="AW137" s="314"/>
      <c r="AX137" s="464" t="b">
        <f>AND(AV133&lt;&gt;"",SUM(AV133=1))</f>
        <v>0</v>
      </c>
      <c r="AY137" s="314"/>
      <c r="AZ137" s="314"/>
      <c r="BA137" s="314"/>
      <c r="BB137" s="314"/>
      <c r="BC137" s="314"/>
      <c r="BD137" s="314"/>
      <c r="BE137" s="314"/>
      <c r="BF137" s="361" t="s">
        <v>169</v>
      </c>
      <c r="BG137" s="362" t="str">
        <f>IF(AN122=EUconst_TJ,AV122*AV130,IF(AN124=EUconst_GJ,AV122*AV124/1000*AV130,""))</f>
        <v/>
      </c>
      <c r="BH137" s="314"/>
      <c r="BI137" s="314"/>
      <c r="BJ137" s="314"/>
      <c r="BK137" s="314"/>
      <c r="BL137" s="314"/>
      <c r="BM137" s="314"/>
      <c r="BN137" s="314"/>
      <c r="BO137" s="314"/>
      <c r="BP137" s="314"/>
      <c r="BQ137" s="314"/>
      <c r="BR137" s="314"/>
      <c r="BS137" s="314"/>
      <c r="BT137" s="314"/>
      <c r="BU137" s="314"/>
      <c r="BV137" s="314"/>
      <c r="BW137" s="314"/>
      <c r="BX137" s="314"/>
      <c r="BY137" s="314"/>
      <c r="BZ137" s="314"/>
      <c r="CA137" s="314"/>
      <c r="CB137" s="314"/>
      <c r="CC137" s="314"/>
      <c r="CD137" s="314"/>
      <c r="CE137" s="314"/>
      <c r="CF137" s="314"/>
      <c r="CG137" s="314"/>
      <c r="CH137" s="314"/>
      <c r="CI137" s="314"/>
      <c r="CJ137" s="314"/>
      <c r="CK137" s="314"/>
      <c r="CL137" s="314"/>
      <c r="CM137" s="314"/>
      <c r="CN137" s="314"/>
      <c r="CO137" s="314"/>
      <c r="CP137" s="314"/>
      <c r="CQ137" s="314"/>
    </row>
    <row r="138" spans="1:95" ht="5.15" customHeight="1" x14ac:dyDescent="0.25">
      <c r="A138" s="307"/>
      <c r="B138" s="68"/>
      <c r="C138" s="68"/>
      <c r="D138" s="68"/>
      <c r="E138" s="68"/>
      <c r="F138" s="68"/>
      <c r="G138" s="76"/>
      <c r="H138" s="76"/>
      <c r="I138" s="76"/>
      <c r="J138" s="76"/>
      <c r="K138" s="76"/>
      <c r="L138" s="76"/>
      <c r="M138" s="76"/>
      <c r="N138" s="76"/>
      <c r="O138" s="160"/>
      <c r="P138" s="109"/>
      <c r="Q138" s="312"/>
      <c r="R138" s="312"/>
      <c r="S138" s="314"/>
      <c r="T138" s="314"/>
      <c r="U138" s="314"/>
      <c r="V138" s="314"/>
      <c r="W138" s="314"/>
      <c r="X138" s="314"/>
      <c r="Y138" s="314"/>
      <c r="Z138" s="314"/>
      <c r="AA138" s="314"/>
      <c r="AB138" s="314"/>
      <c r="AC138" s="314"/>
      <c r="AD138" s="314"/>
      <c r="AE138" s="314"/>
      <c r="AF138" s="314"/>
      <c r="AG138" s="314"/>
      <c r="AH138" s="314"/>
      <c r="AI138" s="314"/>
      <c r="AJ138" s="314"/>
      <c r="AK138" s="314"/>
      <c r="AL138" s="314"/>
      <c r="AM138" s="314"/>
      <c r="AN138" s="314"/>
      <c r="AO138" s="314"/>
      <c r="AP138" s="314"/>
      <c r="AQ138" s="314"/>
      <c r="AR138" s="314"/>
      <c r="AS138" s="314"/>
      <c r="AT138" s="314"/>
      <c r="AU138" s="314"/>
      <c r="AV138" s="314"/>
      <c r="AW138" s="314"/>
      <c r="AX138" s="314"/>
      <c r="AY138" s="314"/>
      <c r="AZ138" s="314"/>
      <c r="BA138" s="314"/>
      <c r="BB138" s="314"/>
      <c r="BC138" s="314"/>
      <c r="BD138" s="314"/>
      <c r="BE138" s="314"/>
      <c r="BF138" s="314"/>
      <c r="BG138" s="314"/>
      <c r="BH138" s="314"/>
      <c r="BI138" s="314"/>
      <c r="BJ138" s="314"/>
      <c r="BK138" s="314"/>
      <c r="BL138" s="314"/>
      <c r="BM138" s="314"/>
      <c r="BN138" s="314"/>
      <c r="BO138" s="314"/>
      <c r="BP138" s="314"/>
      <c r="BQ138" s="314"/>
      <c r="BR138" s="314"/>
      <c r="BS138" s="314"/>
      <c r="BT138" s="314"/>
      <c r="BU138" s="314"/>
      <c r="BV138" s="314"/>
      <c r="BW138" s="314"/>
      <c r="BX138" s="314"/>
      <c r="BY138" s="314"/>
      <c r="BZ138" s="314"/>
      <c r="CA138" s="314"/>
      <c r="CB138" s="314"/>
      <c r="CC138" s="314"/>
      <c r="CD138" s="314"/>
      <c r="CE138" s="314"/>
      <c r="CF138" s="314"/>
      <c r="CG138" s="314"/>
      <c r="CH138" s="314"/>
      <c r="CI138" s="314"/>
      <c r="CJ138" s="314"/>
      <c r="CK138" s="314"/>
      <c r="CL138" s="314"/>
      <c r="CM138" s="314"/>
      <c r="CN138" s="314"/>
      <c r="CO138" s="314"/>
      <c r="CP138" s="314"/>
      <c r="CQ138" s="314"/>
    </row>
    <row r="139" spans="1:95" ht="12.75" customHeight="1" x14ac:dyDescent="0.25">
      <c r="A139" s="307"/>
      <c r="B139" s="68"/>
      <c r="C139" s="68"/>
      <c r="D139" s="1246" t="str">
        <f>Translations!$B$399</f>
        <v>Tiers valid from:</v>
      </c>
      <c r="E139" s="1246"/>
      <c r="F139" s="1247"/>
      <c r="G139" s="8"/>
      <c r="H139" s="199" t="str">
        <f>Translations!$B$400</f>
        <v>until:</v>
      </c>
      <c r="I139" s="8"/>
      <c r="J139" s="76"/>
      <c r="K139" s="76"/>
      <c r="L139" s="76"/>
      <c r="M139" s="199" t="str">
        <f>Translations!$B$401</f>
        <v>ID used in the monitoring plan for this fuel stream:</v>
      </c>
      <c r="N139" s="9"/>
      <c r="O139" s="160"/>
      <c r="P139" s="109"/>
      <c r="Q139" s="312"/>
      <c r="R139" s="312"/>
      <c r="S139" s="465"/>
      <c r="T139" s="314"/>
      <c r="U139" s="314"/>
      <c r="V139" s="314"/>
      <c r="W139" s="314"/>
      <c r="X139" s="314"/>
      <c r="Y139" s="314"/>
      <c r="Z139" s="314"/>
      <c r="AA139" s="314"/>
      <c r="AB139" s="314"/>
      <c r="AC139" s="314"/>
      <c r="AD139" s="314"/>
      <c r="AE139" s="314"/>
      <c r="AF139" s="314"/>
      <c r="AG139" s="314"/>
      <c r="AH139" s="314"/>
      <c r="AI139" s="314"/>
      <c r="AJ139" s="314"/>
      <c r="AK139" s="314"/>
      <c r="AL139" s="314"/>
      <c r="AM139" s="314"/>
      <c r="AN139" s="314"/>
      <c r="AO139" s="314"/>
      <c r="AP139" s="314"/>
      <c r="AQ139" s="314"/>
      <c r="AR139" s="314"/>
      <c r="AS139" s="314"/>
      <c r="AT139" s="314"/>
      <c r="AU139" s="314"/>
      <c r="AV139" s="314"/>
      <c r="AW139" s="314"/>
      <c r="AX139" s="314"/>
      <c r="AY139" s="314"/>
      <c r="AZ139" s="314"/>
      <c r="BA139" s="314"/>
      <c r="BB139" s="314"/>
      <c r="BC139" s="314"/>
      <c r="BD139" s="314"/>
      <c r="BE139" s="314"/>
      <c r="BF139" s="314"/>
      <c r="BG139" s="314"/>
      <c r="BH139" s="314"/>
      <c r="BI139" s="314"/>
      <c r="BJ139" s="314"/>
      <c r="BK139" s="314"/>
      <c r="BL139" s="314"/>
      <c r="BM139" s="314"/>
      <c r="BN139" s="314"/>
      <c r="BO139" s="314"/>
      <c r="BP139" s="314"/>
      <c r="BQ139" s="314"/>
      <c r="BR139" s="314"/>
      <c r="BS139" s="314"/>
      <c r="BT139" s="314"/>
      <c r="BU139" s="314"/>
      <c r="BV139" s="314"/>
      <c r="BW139" s="314"/>
      <c r="BX139" s="314"/>
      <c r="BY139" s="314"/>
      <c r="BZ139" s="314"/>
      <c r="CA139" s="314"/>
      <c r="CB139" s="314"/>
      <c r="CC139" s="314"/>
      <c r="CD139" s="314"/>
      <c r="CE139" s="314"/>
      <c r="CF139" s="314"/>
      <c r="CG139" s="314"/>
      <c r="CH139" s="314"/>
      <c r="CI139" s="314"/>
      <c r="CJ139" s="314"/>
      <c r="CK139" s="314"/>
      <c r="CL139" s="314"/>
      <c r="CM139" s="314"/>
      <c r="CN139" s="314"/>
      <c r="CO139" s="314"/>
      <c r="CP139" s="314"/>
      <c r="CQ139" s="464" t="b">
        <f>CQ122</f>
        <v>0</v>
      </c>
    </row>
    <row r="140" spans="1:95" ht="5.15" customHeight="1" x14ac:dyDescent="0.25">
      <c r="A140" s="462"/>
      <c r="B140" s="76"/>
      <c r="C140" s="76"/>
      <c r="D140" s="76"/>
      <c r="E140" s="76"/>
      <c r="F140" s="76"/>
      <c r="G140" s="76"/>
      <c r="H140" s="76"/>
      <c r="I140" s="76"/>
      <c r="J140" s="76"/>
      <c r="K140" s="76"/>
      <c r="L140" s="76"/>
      <c r="M140" s="76"/>
      <c r="N140" s="76"/>
      <c r="O140" s="160"/>
      <c r="P140" s="109"/>
      <c r="Q140" s="312"/>
      <c r="R140" s="312"/>
      <c r="S140" s="314"/>
      <c r="T140" s="314"/>
      <c r="U140" s="314"/>
      <c r="V140" s="314"/>
      <c r="W140" s="314"/>
      <c r="X140" s="314"/>
      <c r="Y140" s="314"/>
      <c r="Z140" s="314"/>
      <c r="AA140" s="314"/>
      <c r="AB140" s="314"/>
      <c r="AC140" s="314"/>
      <c r="AD140" s="314"/>
      <c r="AE140" s="314"/>
      <c r="AF140" s="314"/>
      <c r="AG140" s="314"/>
      <c r="AH140" s="314"/>
      <c r="AI140" s="314"/>
      <c r="AJ140" s="314"/>
      <c r="AK140" s="314"/>
      <c r="AL140" s="314"/>
      <c r="AM140" s="314"/>
      <c r="AN140" s="314"/>
      <c r="AO140" s="314"/>
      <c r="AP140" s="314"/>
      <c r="AQ140" s="314"/>
      <c r="AR140" s="314"/>
      <c r="AS140" s="314"/>
      <c r="AT140" s="314"/>
      <c r="AU140" s="314"/>
      <c r="AV140" s="314"/>
      <c r="AW140" s="314"/>
      <c r="AX140" s="314"/>
      <c r="AY140" s="314"/>
      <c r="AZ140" s="314"/>
      <c r="BA140" s="314"/>
      <c r="BB140" s="314"/>
      <c r="BC140" s="314"/>
      <c r="BD140" s="314"/>
      <c r="BE140" s="314"/>
      <c r="BF140" s="314"/>
      <c r="BG140" s="314"/>
      <c r="BH140" s="314"/>
      <c r="BI140" s="314"/>
      <c r="BJ140" s="314"/>
      <c r="BK140" s="314"/>
      <c r="BL140" s="314"/>
      <c r="BM140" s="314"/>
      <c r="BN140" s="314"/>
      <c r="BO140" s="314"/>
      <c r="BP140" s="314"/>
      <c r="BQ140" s="314"/>
      <c r="BR140" s="314"/>
      <c r="BS140" s="314"/>
      <c r="BT140" s="314"/>
      <c r="BU140" s="314"/>
      <c r="BV140" s="314"/>
      <c r="BW140" s="314"/>
      <c r="BX140" s="314"/>
      <c r="BY140" s="314"/>
      <c r="BZ140" s="314"/>
      <c r="CA140" s="314"/>
      <c r="CB140" s="314"/>
      <c r="CC140" s="314"/>
      <c r="CD140" s="314"/>
      <c r="CE140" s="314"/>
      <c r="CF140" s="314"/>
      <c r="CG140" s="314"/>
      <c r="CH140" s="314"/>
      <c r="CI140" s="314"/>
      <c r="CJ140" s="314"/>
      <c r="CK140" s="314"/>
      <c r="CL140" s="314"/>
      <c r="CM140" s="314"/>
      <c r="CN140" s="314"/>
      <c r="CO140" s="314"/>
      <c r="CP140" s="314"/>
      <c r="CQ140" s="314"/>
    </row>
    <row r="141" spans="1:95" ht="12.75" customHeight="1" x14ac:dyDescent="0.25">
      <c r="A141" s="462"/>
      <c r="B141" s="76"/>
      <c r="C141" s="76"/>
      <c r="D141" s="115"/>
      <c r="E141" s="85"/>
      <c r="F141" s="466" t="str">
        <f>Translations!$B$304</f>
        <v>Comments:</v>
      </c>
      <c r="G141" s="1250"/>
      <c r="H141" s="1251"/>
      <c r="I141" s="1251"/>
      <c r="J141" s="1251"/>
      <c r="K141" s="1251"/>
      <c r="L141" s="1251"/>
      <c r="M141" s="1251"/>
      <c r="N141" s="1252"/>
      <c r="O141" s="160"/>
      <c r="P141" s="109"/>
      <c r="Q141" s="312"/>
      <c r="R141" s="312"/>
      <c r="S141" s="314"/>
      <c r="T141" s="314"/>
      <c r="U141" s="314"/>
      <c r="V141" s="314"/>
      <c r="W141" s="314"/>
      <c r="X141" s="314"/>
      <c r="Y141" s="314"/>
      <c r="Z141" s="314"/>
      <c r="AA141" s="314"/>
      <c r="AB141" s="314"/>
      <c r="AC141" s="314"/>
      <c r="AD141" s="314"/>
      <c r="AE141" s="314"/>
      <c r="AF141" s="314"/>
      <c r="AG141" s="314"/>
      <c r="AH141" s="314"/>
      <c r="AI141" s="314"/>
      <c r="AJ141" s="314"/>
      <c r="AK141" s="314"/>
      <c r="AL141" s="314"/>
      <c r="AM141" s="314"/>
      <c r="AN141" s="314"/>
      <c r="AO141" s="314"/>
      <c r="AP141" s="314"/>
      <c r="AQ141" s="314"/>
      <c r="AR141" s="314"/>
      <c r="AS141" s="314"/>
      <c r="AT141" s="314"/>
      <c r="AU141" s="314"/>
      <c r="AV141" s="314"/>
      <c r="AW141" s="314"/>
      <c r="AX141" s="314"/>
      <c r="AY141" s="314"/>
      <c r="AZ141" s="314"/>
      <c r="BA141" s="314"/>
      <c r="BB141" s="314"/>
      <c r="BC141" s="314"/>
      <c r="BD141" s="314"/>
      <c r="BE141" s="314"/>
      <c r="BF141" s="314"/>
      <c r="BG141" s="314"/>
      <c r="BH141" s="314"/>
      <c r="BI141" s="314"/>
      <c r="BJ141" s="314"/>
      <c r="BK141" s="314"/>
      <c r="BL141" s="314"/>
      <c r="BM141" s="314"/>
      <c r="BN141" s="314"/>
      <c r="BO141" s="314"/>
      <c r="BP141" s="314"/>
      <c r="BQ141" s="314"/>
      <c r="BR141" s="314"/>
      <c r="BS141" s="314"/>
      <c r="BT141" s="314"/>
      <c r="BU141" s="314"/>
      <c r="BV141" s="314"/>
      <c r="BW141" s="314"/>
      <c r="BX141" s="314"/>
      <c r="BY141" s="314"/>
      <c r="BZ141" s="314"/>
      <c r="CA141" s="314"/>
      <c r="CB141" s="314"/>
      <c r="CC141" s="314"/>
      <c r="CD141" s="314"/>
      <c r="CE141" s="314"/>
      <c r="CF141" s="314"/>
      <c r="CG141" s="314"/>
      <c r="CH141" s="314"/>
      <c r="CI141" s="314"/>
      <c r="CJ141" s="314"/>
      <c r="CK141" s="314"/>
      <c r="CL141" s="314"/>
      <c r="CM141" s="314"/>
      <c r="CN141" s="314"/>
      <c r="CO141" s="314"/>
      <c r="CP141" s="314"/>
      <c r="CQ141" s="464" t="b">
        <f>CQ139</f>
        <v>0</v>
      </c>
    </row>
    <row r="142" spans="1:95" ht="12.75" customHeight="1" thickBot="1" x14ac:dyDescent="0.3">
      <c r="A142" s="307"/>
      <c r="B142" s="76"/>
      <c r="C142" s="308"/>
      <c r="D142" s="309"/>
      <c r="E142" s="310"/>
      <c r="F142" s="308"/>
      <c r="G142" s="311"/>
      <c r="H142" s="311"/>
      <c r="I142" s="311"/>
      <c r="J142" s="311"/>
      <c r="K142" s="311"/>
      <c r="L142" s="311"/>
      <c r="M142" s="311"/>
      <c r="N142" s="311"/>
      <c r="O142" s="160"/>
      <c r="P142" s="109"/>
      <c r="Q142" s="312"/>
      <c r="R142" s="312"/>
      <c r="S142" s="293"/>
      <c r="T142" s="293"/>
      <c r="U142" s="313"/>
      <c r="V142" s="293"/>
      <c r="W142" s="293"/>
      <c r="X142" s="313"/>
      <c r="Y142" s="293"/>
      <c r="Z142" s="293"/>
      <c r="AA142" s="293"/>
      <c r="AB142" s="293"/>
      <c r="AC142" s="293"/>
      <c r="AD142" s="293"/>
      <c r="AE142" s="293"/>
      <c r="AF142" s="293"/>
      <c r="AG142" s="293"/>
      <c r="AH142" s="293"/>
      <c r="AI142" s="293"/>
      <c r="AJ142" s="293"/>
      <c r="AK142" s="293"/>
      <c r="AL142" s="293"/>
      <c r="AM142" s="293"/>
      <c r="AN142" s="293"/>
      <c r="AO142" s="293"/>
      <c r="AP142" s="293"/>
      <c r="AQ142" s="293"/>
      <c r="AR142" s="293"/>
      <c r="AS142" s="293"/>
      <c r="AT142" s="293"/>
      <c r="AU142" s="293"/>
      <c r="AV142" s="293"/>
      <c r="AW142" s="293"/>
      <c r="AX142" s="293"/>
      <c r="AY142" s="293"/>
      <c r="AZ142" s="293"/>
      <c r="BA142" s="293"/>
      <c r="BB142" s="293"/>
      <c r="BC142" s="293"/>
      <c r="BD142" s="293"/>
      <c r="BE142" s="293"/>
      <c r="BF142" s="293"/>
      <c r="BG142" s="293"/>
      <c r="BH142" s="293"/>
      <c r="BI142" s="293"/>
      <c r="BJ142" s="293"/>
      <c r="BK142" s="293"/>
      <c r="BL142" s="293"/>
      <c r="BM142" s="314"/>
      <c r="BN142" s="314"/>
      <c r="BO142" s="314"/>
      <c r="BP142" s="314"/>
      <c r="BQ142" s="314"/>
      <c r="BR142" s="314"/>
      <c r="BS142" s="314"/>
      <c r="BT142" s="314"/>
      <c r="BU142" s="293"/>
      <c r="BV142" s="293"/>
      <c r="BW142" s="293"/>
      <c r="BX142" s="293"/>
      <c r="BY142" s="293"/>
      <c r="BZ142" s="293"/>
      <c r="CA142" s="293"/>
      <c r="CB142" s="293"/>
      <c r="CC142" s="293"/>
      <c r="CD142" s="293"/>
      <c r="CE142" s="293"/>
      <c r="CF142" s="293"/>
      <c r="CG142" s="293"/>
      <c r="CH142" s="293"/>
      <c r="CI142" s="293"/>
      <c r="CJ142" s="293"/>
      <c r="CK142" s="293"/>
      <c r="CL142" s="293"/>
      <c r="CM142" s="293"/>
      <c r="CN142" s="293"/>
      <c r="CO142" s="293"/>
      <c r="CP142" s="293"/>
      <c r="CQ142" s="293"/>
    </row>
    <row r="143" spans="1:95" ht="12.75" customHeight="1" thickBot="1" x14ac:dyDescent="0.3">
      <c r="A143" s="315"/>
      <c r="B143" s="76"/>
      <c r="C143" s="76"/>
      <c r="D143" s="205"/>
      <c r="E143" s="316"/>
      <c r="F143" s="76"/>
      <c r="G143" s="96"/>
      <c r="H143" s="96"/>
      <c r="I143" s="96"/>
      <c r="J143" s="96"/>
      <c r="K143" s="76"/>
      <c r="L143" s="96"/>
      <c r="M143" s="96"/>
      <c r="N143" s="96"/>
      <c r="O143" s="160"/>
      <c r="P143" s="109"/>
      <c r="Q143" s="312"/>
      <c r="R143" s="312"/>
      <c r="S143" s="287"/>
      <c r="T143" s="317" t="str">
        <f>IF(ISBLANK(E144),"",MATCH(E144,CNTR_SourceStreamNames,0))</f>
        <v/>
      </c>
      <c r="U143" s="318" t="str">
        <f>IF(ISBLANK(E144),"",INDEX(B_IdentifyFuelStreams!$D$67:$D$116,MATCH(E144,CNTR_SourceStreamNames,0)))</f>
        <v/>
      </c>
      <c r="V143" s="301"/>
      <c r="W143" s="138"/>
      <c r="X143" s="138"/>
      <c r="Y143" s="138"/>
      <c r="Z143" s="293"/>
      <c r="AA143" s="293"/>
      <c r="AB143" s="293"/>
      <c r="AC143" s="293"/>
      <c r="AD143" s="293"/>
      <c r="AE143" s="293"/>
      <c r="AF143" s="293"/>
      <c r="AG143" s="293"/>
      <c r="AH143" s="293"/>
      <c r="AI143" s="293"/>
      <c r="AJ143" s="293"/>
      <c r="AK143" s="312"/>
      <c r="AL143" s="293"/>
      <c r="AM143" s="293"/>
      <c r="AN143" s="293"/>
      <c r="AO143" s="293"/>
      <c r="AP143" s="293"/>
      <c r="AQ143" s="293"/>
      <c r="AR143" s="293"/>
      <c r="AS143" s="293"/>
      <c r="AT143" s="293"/>
      <c r="AU143" s="293"/>
      <c r="AV143" s="293"/>
      <c r="AW143" s="293"/>
      <c r="AX143" s="293"/>
      <c r="AY143" s="293"/>
      <c r="AZ143" s="293"/>
      <c r="BA143" s="293"/>
      <c r="BB143" s="293"/>
      <c r="BC143" s="293"/>
      <c r="BD143" s="293"/>
      <c r="BE143" s="293"/>
      <c r="BF143" s="293"/>
      <c r="BG143" s="293"/>
      <c r="BH143" s="293"/>
      <c r="BI143" s="293"/>
      <c r="BJ143" s="138"/>
      <c r="BK143" s="138"/>
      <c r="BL143" s="138"/>
      <c r="BM143" s="138"/>
      <c r="BN143" s="138"/>
      <c r="BO143" s="138"/>
      <c r="BP143" s="138"/>
      <c r="BQ143" s="138"/>
      <c r="BR143" s="138"/>
      <c r="BS143" s="138"/>
      <c r="BT143" s="138"/>
      <c r="BU143" s="138"/>
      <c r="BV143" s="138"/>
      <c r="BW143" s="138"/>
      <c r="BX143" s="138"/>
      <c r="BY143" s="138"/>
      <c r="BZ143" s="138"/>
      <c r="CA143" s="138"/>
      <c r="CB143" s="138"/>
      <c r="CC143" s="138"/>
      <c r="CD143" s="138"/>
      <c r="CE143" s="138"/>
      <c r="CF143" s="138"/>
      <c r="CG143" s="138"/>
      <c r="CH143" s="138"/>
      <c r="CI143" s="138"/>
      <c r="CJ143" s="138"/>
      <c r="CK143" s="138"/>
      <c r="CL143" s="138"/>
      <c r="CM143" s="138"/>
      <c r="CN143" s="138"/>
      <c r="CO143" s="138"/>
      <c r="CP143" s="138"/>
      <c r="CQ143" s="319" t="s">
        <v>107</v>
      </c>
    </row>
    <row r="144" spans="1:95" ht="15" customHeight="1" thickBot="1" x14ac:dyDescent="0.3">
      <c r="A144" s="320">
        <f>C144</f>
        <v>4</v>
      </c>
      <c r="B144" s="68"/>
      <c r="C144" s="321">
        <f>C116+1</f>
        <v>4</v>
      </c>
      <c r="D144" s="68"/>
      <c r="E144" s="1269"/>
      <c r="F144" s="1270"/>
      <c r="G144" s="1270"/>
      <c r="H144" s="1270"/>
      <c r="I144" s="1270"/>
      <c r="J144" s="1271"/>
      <c r="K144" s="1272" t="str">
        <f>IF(INDEX(B_IdentifyFuelStreams!$K$125:$K$174,MATCH(U143,B_IdentifyFuelStreams!$D$125:$D$174,0))&gt;0,INDEX(B_IdentifyFuelStreams!$K$125:$K$174,MATCH(U143,B_IdentifyFuelStreams!$D$125:$D$174,0)),"")</f>
        <v/>
      </c>
      <c r="L144" s="1273"/>
      <c r="M144" s="316" t="str">
        <f>Translations!$B$621</f>
        <v>Emissions:</v>
      </c>
      <c r="N144" s="322" t="str">
        <f>IF(E145="","",BG150)</f>
        <v/>
      </c>
      <c r="O144" s="323" t="str">
        <f>EUconst_tCO2</f>
        <v>tCO2</v>
      </c>
      <c r="P144" s="324" t="str">
        <f>IF(AND(E144&lt;&gt;"",COUNTIF(P145:$P$1649,"PRINT")=0),"PRINT","")</f>
        <v/>
      </c>
      <c r="Q144" s="325" t="str">
        <f>EUconst_SumCO2</f>
        <v>SUM_CO2</v>
      </c>
      <c r="R144" s="312"/>
      <c r="S144" s="287"/>
      <c r="T144" s="287"/>
      <c r="U144" s="287"/>
      <c r="V144" s="301"/>
      <c r="W144" s="138"/>
      <c r="X144" s="293"/>
      <c r="Y144" s="293"/>
      <c r="Z144" s="293"/>
      <c r="AA144" s="293"/>
      <c r="AB144" s="293"/>
      <c r="AC144" s="293"/>
      <c r="AD144" s="293"/>
      <c r="AE144" s="293"/>
      <c r="AF144" s="293"/>
      <c r="AG144" s="293"/>
      <c r="AH144" s="293"/>
      <c r="AI144" s="326"/>
      <c r="AJ144" s="326"/>
      <c r="AK144" s="326"/>
      <c r="AL144" s="326"/>
      <c r="AM144" s="326"/>
      <c r="AN144" s="326"/>
      <c r="AO144" s="326"/>
      <c r="AP144" s="326"/>
      <c r="AQ144" s="326"/>
      <c r="AR144" s="326"/>
      <c r="AS144" s="326"/>
      <c r="AT144" s="326"/>
      <c r="AU144" s="326"/>
      <c r="AV144" s="326"/>
      <c r="AW144" s="326"/>
      <c r="AX144" s="326"/>
      <c r="AY144" s="326"/>
      <c r="AZ144" s="326"/>
      <c r="BA144" s="326"/>
      <c r="BB144" s="326"/>
      <c r="BC144" s="326"/>
      <c r="BD144" s="326"/>
      <c r="BE144" s="326"/>
      <c r="BF144" s="326"/>
      <c r="BG144" s="326"/>
      <c r="BH144" s="326"/>
      <c r="BI144" s="327" t="str">
        <f>IF(E144="","",E144)</f>
        <v/>
      </c>
      <c r="BJ144" s="328" t="str">
        <f>IF(F150="","",F150)</f>
        <v/>
      </c>
      <c r="BK144" s="329">
        <f>AV150</f>
        <v>0</v>
      </c>
      <c r="BL144" s="329">
        <f>IF(BK144="","",BK144*(1-BP144))</f>
        <v>0</v>
      </c>
      <c r="BM144" s="328" t="str">
        <f>AJ150</f>
        <v/>
      </c>
      <c r="BN144" s="328" t="str">
        <f>IF(F161="","",F161)</f>
        <v/>
      </c>
      <c r="BO144" s="327" t="str">
        <f>IF(G161="","",G161)</f>
        <v/>
      </c>
      <c r="BP144" s="330">
        <f>AV161</f>
        <v>0</v>
      </c>
      <c r="BQ144" s="328" t="str">
        <f>IF(F153="","",F153)</f>
        <v/>
      </c>
      <c r="BR144" s="330">
        <f>AV153</f>
        <v>0</v>
      </c>
      <c r="BS144" s="330" t="str">
        <f>AJ153</f>
        <v/>
      </c>
      <c r="BT144" s="328" t="str">
        <f>IF(F152="","",F152)</f>
        <v/>
      </c>
      <c r="BU144" s="330">
        <f>IF(F152=EUconst_NA,"",AV152)</f>
        <v>0</v>
      </c>
      <c r="BV144" s="330" t="str">
        <f>AJ152</f>
        <v/>
      </c>
      <c r="BW144" s="328" t="str">
        <f>IF(F154="","",F154)</f>
        <v/>
      </c>
      <c r="BX144" s="330">
        <f>AV154</f>
        <v>0</v>
      </c>
      <c r="BY144" s="328" t="str">
        <f>IF(F155="","",F155)</f>
        <v/>
      </c>
      <c r="BZ144" s="330">
        <f>AV155</f>
        <v>0</v>
      </c>
      <c r="CA144" s="330">
        <f>AV156</f>
        <v>0</v>
      </c>
      <c r="CB144" s="330">
        <f>AV157</f>
        <v>0</v>
      </c>
      <c r="CC144" s="330">
        <f>AV158</f>
        <v>0</v>
      </c>
      <c r="CD144" s="330">
        <f>AV159</f>
        <v>0</v>
      </c>
      <c r="CE144" s="329" t="str">
        <f>BG150</f>
        <v/>
      </c>
      <c r="CF144" s="329" t="str">
        <f>BG152</f>
        <v/>
      </c>
      <c r="CG144" s="329" t="str">
        <f>BG153</f>
        <v/>
      </c>
      <c r="CH144" s="329" t="str">
        <f>BG154</f>
        <v/>
      </c>
      <c r="CI144" s="329" t="str">
        <f>BG155</f>
        <v/>
      </c>
      <c r="CJ144" s="329" t="str">
        <f>BG156</f>
        <v/>
      </c>
      <c r="CK144" s="329" t="str">
        <f>BG157</f>
        <v/>
      </c>
      <c r="CL144" s="329">
        <f>BG158</f>
        <v>0</v>
      </c>
      <c r="CM144" s="329" t="str">
        <f>BG159</f>
        <v/>
      </c>
      <c r="CN144" s="329" t="str">
        <f>BG161</f>
        <v/>
      </c>
      <c r="CO144" s="329" t="str">
        <f>BG165</f>
        <v/>
      </c>
      <c r="CP144" s="329" t="str">
        <f>IF(COUNTIF(AO153:AO154,TRUE)=0,"",BH150)</f>
        <v/>
      </c>
      <c r="CQ144" s="331" t="b">
        <v>0</v>
      </c>
    </row>
    <row r="145" spans="1:95" ht="15" customHeight="1" thickBot="1" x14ac:dyDescent="0.3">
      <c r="A145" s="307"/>
      <c r="B145" s="68"/>
      <c r="C145" s="68"/>
      <c r="D145" s="68"/>
      <c r="E145" s="1274" t="str">
        <f>IF(ISBLANK(E144),"",IF(INDEX(B_IdentifyFuelStreams!$E$67:$E$116,MATCH(U143,B_IdentifyFuelStreams!$D$67:$D$116,0))&gt;0,INDEX(B_IdentifyFuelStreams!$E$67:$E$116,MATCH(U143,B_IdentifyFuelStreams!$D$67:$D$116,0)),""))</f>
        <v/>
      </c>
      <c r="F145" s="1275"/>
      <c r="G145" s="1275"/>
      <c r="H145" s="1275"/>
      <c r="I145" s="1275"/>
      <c r="J145" s="1276"/>
      <c r="K145" s="1272" t="str">
        <f>IF(INDEX(B_IdentifyFuelStreams!$M$125:$M$174,MATCH(U143,B_IdentifyFuelStreams!$D$125:$D$174,0))&gt;0,INDEX(B_IdentifyFuelStreams!$M$125:$M$174,MATCH(U143,B_IdentifyFuelStreams!$D$125:$D$174,0)),"")</f>
        <v/>
      </c>
      <c r="L145" s="1273"/>
      <c r="M145" s="332" t="str">
        <f>Translations!$B$622</f>
        <v>zero-rated:</v>
      </c>
      <c r="N145" s="333" t="str">
        <f>IF(E145="","",SUM(BG152,BG154,BG156))</f>
        <v/>
      </c>
      <c r="O145" s="334" t="str">
        <f>EUconst_tCO2</f>
        <v>tCO2</v>
      </c>
      <c r="P145" s="109"/>
      <c r="Q145" s="325" t="str">
        <f>EUconst_SumBioCO2</f>
        <v>SUM_bioCO2</v>
      </c>
      <c r="R145" s="312"/>
      <c r="S145" s="287"/>
      <c r="T145" s="287"/>
      <c r="U145" s="287"/>
      <c r="V145" s="301"/>
      <c r="W145" s="138"/>
      <c r="X145" s="293"/>
      <c r="Y145" s="317" t="str">
        <f>Translations!$B$143</f>
        <v>Tiers</v>
      </c>
      <c r="Z145" s="314"/>
      <c r="AA145" s="314"/>
      <c r="AB145" s="314"/>
      <c r="AC145" s="314"/>
      <c r="AD145" s="314"/>
      <c r="AE145" s="317" t="s">
        <v>108</v>
      </c>
      <c r="AF145" s="293"/>
      <c r="AG145" s="335"/>
      <c r="AH145" s="314"/>
      <c r="AI145" s="314"/>
      <c r="AJ145" s="335"/>
      <c r="AK145" s="335"/>
      <c r="AL145" s="326"/>
      <c r="AM145" s="326"/>
      <c r="AN145" s="326"/>
      <c r="AO145" s="326"/>
      <c r="AP145" s="326"/>
      <c r="AQ145" s="317" t="s">
        <v>109</v>
      </c>
      <c r="AR145" s="336"/>
      <c r="AS145" s="336"/>
      <c r="AT145" s="314"/>
      <c r="AU145" s="314"/>
      <c r="AV145" s="314"/>
      <c r="AW145" s="314"/>
      <c r="AX145" s="314"/>
      <c r="AY145" s="314"/>
      <c r="AZ145" s="317" t="s">
        <v>110</v>
      </c>
      <c r="BA145" s="314"/>
      <c r="BB145" s="314"/>
      <c r="BC145" s="314"/>
      <c r="BD145" s="314"/>
      <c r="BE145" s="314"/>
      <c r="BF145" s="317" t="s">
        <v>111</v>
      </c>
      <c r="BG145" s="314"/>
      <c r="BH145" s="314"/>
      <c r="BI145" s="317" t="s">
        <v>112</v>
      </c>
      <c r="BJ145" s="328" t="str">
        <f>Translations!$B$376</f>
        <v>RFA Tier</v>
      </c>
      <c r="BK145" s="328" t="str">
        <f>Translations!$B$377</f>
        <v>RFA</v>
      </c>
      <c r="BL145" s="328" t="str">
        <f>Translations!$B$378</f>
        <v>RFA (in scope)</v>
      </c>
      <c r="BM145" s="328" t="str">
        <f>Translations!$B$379</f>
        <v>RFA Unit</v>
      </c>
      <c r="BN145" s="328" t="str">
        <f>Translations!$B$380</f>
        <v>SF Tier</v>
      </c>
      <c r="BO145" s="328" t="str">
        <f>Translations!$B$380</f>
        <v>SF Tier</v>
      </c>
      <c r="BP145" s="328" t="str">
        <f>Translations!$B$381</f>
        <v>SF</v>
      </c>
      <c r="BQ145" s="328" t="str">
        <f>Translations!$B$382</f>
        <v>EF Tier</v>
      </c>
      <c r="BR145" s="328" t="str">
        <f>Translations!$B$383</f>
        <v>EF</v>
      </c>
      <c r="BS145" s="328" t="str">
        <f>Translations!$B$384</f>
        <v>EF Unit</v>
      </c>
      <c r="BT145" s="328" t="s">
        <v>170</v>
      </c>
      <c r="BU145" s="328" t="s">
        <v>171</v>
      </c>
      <c r="BV145" s="328" t="s">
        <v>172</v>
      </c>
      <c r="BW145" s="328" t="s">
        <v>173</v>
      </c>
      <c r="BX145" s="328" t="s">
        <v>113</v>
      </c>
      <c r="BY145" s="328" t="str">
        <f>Translations!$B$389</f>
        <v>NonSustBio Tier</v>
      </c>
      <c r="BZ145" s="328" t="s">
        <v>114</v>
      </c>
      <c r="CA145" s="328" t="s">
        <v>115</v>
      </c>
      <c r="CB145" s="328" t="s">
        <v>116</v>
      </c>
      <c r="CC145" s="328" t="s">
        <v>117</v>
      </c>
      <c r="CD145" s="328" t="s">
        <v>118</v>
      </c>
      <c r="CE145" s="328" t="s">
        <v>119</v>
      </c>
      <c r="CF145" s="328" t="s">
        <v>120</v>
      </c>
      <c r="CG145" s="328" t="str">
        <f>Translations!$B$392</f>
        <v>CO2 non-sust</v>
      </c>
      <c r="CH145" s="328" t="s">
        <v>121</v>
      </c>
      <c r="CI145" s="328" t="s">
        <v>122</v>
      </c>
      <c r="CJ145" s="328" t="s">
        <v>123</v>
      </c>
      <c r="CK145" s="328" t="s">
        <v>124</v>
      </c>
      <c r="CL145" s="328" t="s">
        <v>125</v>
      </c>
      <c r="CM145" s="328" t="str">
        <f>Translations!$B$551</f>
        <v>Energy content (bio), TJ</v>
      </c>
      <c r="CN145" s="328" t="s">
        <v>126</v>
      </c>
      <c r="CO145" s="328" t="s">
        <v>127</v>
      </c>
      <c r="CP145" s="328" t="s">
        <v>128</v>
      </c>
      <c r="CQ145" s="314"/>
    </row>
    <row r="146" spans="1:95" ht="5.15" customHeight="1" thickBot="1" x14ac:dyDescent="0.3">
      <c r="A146" s="307"/>
      <c r="B146" s="68"/>
      <c r="C146" s="68"/>
      <c r="D146" s="68"/>
      <c r="E146" s="68"/>
      <c r="F146" s="68"/>
      <c r="G146" s="68"/>
      <c r="H146" s="76"/>
      <c r="I146" s="76"/>
      <c r="J146" s="76"/>
      <c r="K146" s="76"/>
      <c r="L146" s="76"/>
      <c r="M146" s="76"/>
      <c r="N146" s="76"/>
      <c r="O146" s="160"/>
      <c r="P146" s="109"/>
      <c r="Q146" s="312"/>
      <c r="R146" s="312"/>
      <c r="S146" s="287"/>
      <c r="T146" s="287"/>
      <c r="U146" s="287"/>
      <c r="V146" s="301"/>
      <c r="W146" s="314"/>
      <c r="X146" s="314"/>
      <c r="Y146" s="312"/>
      <c r="Z146" s="314"/>
      <c r="AA146" s="314"/>
      <c r="AB146" s="314"/>
      <c r="AC146" s="314"/>
      <c r="AD146" s="314"/>
      <c r="AE146" s="314"/>
      <c r="AF146" s="293"/>
      <c r="AG146" s="314"/>
      <c r="AH146" s="314"/>
      <c r="AI146" s="314"/>
      <c r="AJ146" s="335"/>
      <c r="AK146" s="335"/>
      <c r="AL146" s="326"/>
      <c r="AM146" s="326"/>
      <c r="AN146" s="326"/>
      <c r="AO146" s="326"/>
      <c r="AP146" s="326"/>
      <c r="AQ146" s="314"/>
      <c r="AR146" s="314"/>
      <c r="AS146" s="314"/>
      <c r="AT146" s="314"/>
      <c r="AU146" s="314"/>
      <c r="AV146" s="314"/>
      <c r="AW146" s="314"/>
      <c r="AX146" s="314"/>
      <c r="AY146" s="314"/>
      <c r="AZ146" s="314"/>
      <c r="BA146" s="314"/>
      <c r="BB146" s="314"/>
      <c r="BC146" s="314"/>
      <c r="BD146" s="314"/>
      <c r="BE146" s="314"/>
      <c r="BF146" s="314"/>
      <c r="BG146" s="314"/>
      <c r="BH146" s="314"/>
      <c r="BI146" s="314"/>
      <c r="BJ146" s="314"/>
      <c r="BK146" s="314"/>
      <c r="BL146" s="314"/>
      <c r="BM146" s="314"/>
      <c r="BN146" s="314"/>
      <c r="BO146" s="314"/>
      <c r="BP146" s="314"/>
      <c r="BQ146" s="314"/>
      <c r="BR146" s="314"/>
      <c r="BS146" s="314"/>
      <c r="BT146" s="314"/>
      <c r="BU146" s="314"/>
      <c r="BV146" s="314"/>
      <c r="BW146" s="314"/>
      <c r="BX146" s="314"/>
      <c r="BY146" s="314"/>
      <c r="BZ146" s="314"/>
      <c r="CA146" s="314"/>
      <c r="CB146" s="314"/>
      <c r="CC146" s="314"/>
      <c r="CD146" s="314"/>
      <c r="CE146" s="314"/>
      <c r="CF146" s="314"/>
      <c r="CG146" s="314"/>
      <c r="CH146" s="314"/>
      <c r="CI146" s="314"/>
      <c r="CJ146" s="314"/>
      <c r="CK146" s="314"/>
      <c r="CL146" s="314"/>
      <c r="CM146" s="314"/>
      <c r="CN146" s="314"/>
      <c r="CO146" s="314"/>
      <c r="CP146" s="314"/>
      <c r="CQ146" s="314"/>
    </row>
    <row r="147" spans="1:95" ht="12.75" customHeight="1" thickBot="1" x14ac:dyDescent="0.3">
      <c r="A147" s="307"/>
      <c r="B147" s="68"/>
      <c r="C147" s="68"/>
      <c r="D147" s="68"/>
      <c r="E147" s="1253" t="str">
        <f>IF(E144="","",HYPERLINK("#JUMP_E_Top",EUconst_FurtherGuidancePoint1))</f>
        <v/>
      </c>
      <c r="F147" s="1253"/>
      <c r="G147" s="1253"/>
      <c r="H147" s="1253"/>
      <c r="I147" s="1253"/>
      <c r="J147" s="1253"/>
      <c r="K147" s="1253"/>
      <c r="L147" s="1253"/>
      <c r="M147" s="1253"/>
      <c r="N147" s="76"/>
      <c r="O147" s="160"/>
      <c r="P147" s="109"/>
      <c r="Q147" s="325" t="str">
        <f>EUconst_SumNonSustBioCO2</f>
        <v>SUM_bioNonSustCO2</v>
      </c>
      <c r="R147" s="337" t="str">
        <f>IF(E145="","",BG153)</f>
        <v/>
      </c>
      <c r="S147" s="287"/>
      <c r="T147" s="287"/>
      <c r="U147" s="287"/>
      <c r="V147" s="314"/>
      <c r="W147" s="314"/>
      <c r="X147" s="314"/>
      <c r="Y147" s="293"/>
      <c r="Z147" s="314"/>
      <c r="AA147" s="314"/>
      <c r="AB147" s="314"/>
      <c r="AC147" s="314"/>
      <c r="AD147" s="314"/>
      <c r="AE147" s="314"/>
      <c r="AF147" s="293"/>
      <c r="AG147" s="314"/>
      <c r="AH147" s="314"/>
      <c r="AI147" s="314"/>
      <c r="AJ147" s="335"/>
      <c r="AK147" s="335"/>
      <c r="AL147" s="326"/>
      <c r="AM147" s="326"/>
      <c r="AN147" s="326"/>
      <c r="AO147" s="326"/>
      <c r="AP147" s="326"/>
      <c r="AQ147" s="314"/>
      <c r="AR147" s="314"/>
      <c r="AS147" s="314"/>
      <c r="AT147" s="314"/>
      <c r="AU147" s="314"/>
      <c r="AV147" s="314"/>
      <c r="AW147" s="314"/>
      <c r="AX147" s="314"/>
      <c r="AY147" s="314"/>
      <c r="AZ147" s="314"/>
      <c r="BA147" s="314"/>
      <c r="BB147" s="314"/>
      <c r="BC147" s="314"/>
      <c r="BD147" s="314"/>
      <c r="BE147" s="314"/>
      <c r="BF147" s="314"/>
      <c r="BG147" s="314"/>
      <c r="BH147" s="314"/>
      <c r="BI147" s="317" t="s">
        <v>129</v>
      </c>
      <c r="BJ147" s="336"/>
      <c r="BK147" s="327" t="str">
        <f>IF(G165="","",G165)</f>
        <v/>
      </c>
      <c r="BL147" s="327" t="str">
        <f>IF(I165="","",I165)</f>
        <v/>
      </c>
      <c r="BM147" s="327" t="str">
        <f>IF(K165="","",K165)</f>
        <v/>
      </c>
      <c r="BN147" s="314"/>
      <c r="BO147" s="314"/>
      <c r="BP147" s="314"/>
      <c r="BQ147" s="314"/>
      <c r="BR147" s="314"/>
      <c r="BS147" s="314"/>
      <c r="BT147" s="319"/>
      <c r="BU147" s="314"/>
      <c r="BV147" s="314"/>
      <c r="BW147" s="314"/>
      <c r="BX147" s="314"/>
      <c r="BY147" s="314"/>
      <c r="BZ147" s="314"/>
      <c r="CA147" s="314"/>
      <c r="CB147" s="314"/>
      <c r="CC147" s="314"/>
      <c r="CD147" s="314"/>
      <c r="CE147" s="314"/>
      <c r="CF147" s="314"/>
      <c r="CG147" s="314"/>
      <c r="CH147" s="314"/>
      <c r="CI147" s="314"/>
      <c r="CJ147" s="314"/>
      <c r="CK147" s="314"/>
      <c r="CL147" s="314"/>
      <c r="CM147" s="314"/>
      <c r="CN147" s="314"/>
      <c r="CO147" s="314"/>
      <c r="CP147" s="314"/>
      <c r="CQ147" s="314"/>
    </row>
    <row r="148" spans="1:95" ht="5.15" customHeight="1" thickBot="1" x14ac:dyDescent="0.3">
      <c r="A148" s="307"/>
      <c r="B148" s="68"/>
      <c r="C148" s="68"/>
      <c r="D148" s="68"/>
      <c r="E148" s="68"/>
      <c r="F148" s="68"/>
      <c r="G148" s="68"/>
      <c r="H148" s="76"/>
      <c r="I148" s="76"/>
      <c r="J148" s="76"/>
      <c r="K148" s="76"/>
      <c r="L148" s="76"/>
      <c r="M148" s="76"/>
      <c r="N148" s="76"/>
      <c r="O148" s="160"/>
      <c r="P148" s="111"/>
      <c r="Q148" s="287"/>
      <c r="R148" s="111"/>
      <c r="S148" s="287"/>
      <c r="T148" s="287"/>
      <c r="U148" s="287"/>
      <c r="V148" s="314"/>
      <c r="W148" s="314"/>
      <c r="X148" s="314"/>
      <c r="Y148" s="312"/>
      <c r="Z148" s="314"/>
      <c r="AA148" s="314"/>
      <c r="AB148" s="314"/>
      <c r="AC148" s="314"/>
      <c r="AD148" s="314"/>
      <c r="AE148" s="314"/>
      <c r="AF148" s="293"/>
      <c r="AG148" s="314"/>
      <c r="AH148" s="314"/>
      <c r="AI148" s="314"/>
      <c r="AJ148" s="335"/>
      <c r="AK148" s="335"/>
      <c r="AL148" s="326"/>
      <c r="AM148" s="326"/>
      <c r="AN148" s="326"/>
      <c r="AO148" s="326"/>
      <c r="AP148" s="326"/>
      <c r="AQ148" s="314"/>
      <c r="AR148" s="314"/>
      <c r="AS148" s="314"/>
      <c r="AT148" s="314"/>
      <c r="AU148" s="314"/>
      <c r="AV148" s="314"/>
      <c r="AW148" s="314"/>
      <c r="AX148" s="314"/>
      <c r="AY148" s="314"/>
      <c r="AZ148" s="314"/>
      <c r="BA148" s="314"/>
      <c r="BB148" s="314"/>
      <c r="BC148" s="314"/>
      <c r="BD148" s="314"/>
      <c r="BE148" s="314"/>
      <c r="BF148" s="314"/>
      <c r="BG148" s="314"/>
      <c r="BH148" s="314"/>
      <c r="BI148" s="314"/>
      <c r="BJ148" s="314"/>
      <c r="BK148" s="314"/>
      <c r="BL148" s="314"/>
      <c r="BM148" s="314"/>
      <c r="BN148" s="314"/>
      <c r="BO148" s="314"/>
      <c r="BP148" s="314"/>
      <c r="BQ148" s="314"/>
      <c r="BR148" s="314"/>
      <c r="BS148" s="314"/>
      <c r="BT148" s="314"/>
      <c r="BU148" s="314"/>
      <c r="BV148" s="314"/>
      <c r="BW148" s="314"/>
      <c r="BX148" s="314"/>
      <c r="BY148" s="314"/>
      <c r="BZ148" s="314"/>
      <c r="CA148" s="314"/>
      <c r="CB148" s="314"/>
      <c r="CC148" s="314"/>
      <c r="CD148" s="314"/>
      <c r="CE148" s="314"/>
      <c r="CF148" s="314"/>
      <c r="CG148" s="314"/>
      <c r="CH148" s="314"/>
      <c r="CI148" s="314"/>
      <c r="CJ148" s="314"/>
      <c r="CK148" s="314"/>
      <c r="CL148" s="314"/>
      <c r="CM148" s="314"/>
      <c r="CN148" s="314"/>
      <c r="CO148" s="314"/>
      <c r="CP148" s="314"/>
      <c r="CQ148" s="314"/>
    </row>
    <row r="149" spans="1:95" ht="12.75" customHeight="1" thickBot="1" x14ac:dyDescent="0.3">
      <c r="A149" s="307"/>
      <c r="B149" s="68"/>
      <c r="C149" s="68"/>
      <c r="D149" s="68"/>
      <c r="E149" s="68"/>
      <c r="F149" s="338" t="str">
        <f>Translations!$B$127</f>
        <v>Tier</v>
      </c>
      <c r="G149" s="1254" t="str">
        <f>Translations!$B$393</f>
        <v>tier description</v>
      </c>
      <c r="H149" s="1254"/>
      <c r="I149" s="1255" t="str">
        <f>Translations!$B$394</f>
        <v>Unit</v>
      </c>
      <c r="J149" s="1255"/>
      <c r="K149" s="1255" t="str">
        <f>Translations!$B$395</f>
        <v>Value</v>
      </c>
      <c r="L149" s="1255"/>
      <c r="M149" s="205" t="str">
        <f>Translations!$B$396</f>
        <v>error</v>
      </c>
      <c r="N149" s="76"/>
      <c r="O149" s="160"/>
      <c r="P149" s="339"/>
      <c r="Q149" s="325" t="str">
        <f>EUconst_SumEnergyIN</f>
        <v>SUM_EnergyIN</v>
      </c>
      <c r="R149" s="340" t="str">
        <f>IF(E145="","",BG158)</f>
        <v/>
      </c>
      <c r="S149" s="314"/>
      <c r="T149" s="314"/>
      <c r="U149" s="314"/>
      <c r="V149" s="341" t="s">
        <v>130</v>
      </c>
      <c r="W149" s="314"/>
      <c r="X149" s="314"/>
      <c r="Y149" s="312" t="s">
        <v>131</v>
      </c>
      <c r="Z149" s="312" t="s">
        <v>132</v>
      </c>
      <c r="AA149" s="314"/>
      <c r="AB149" s="314"/>
      <c r="AC149" s="336" t="s">
        <v>133</v>
      </c>
      <c r="AD149" s="314"/>
      <c r="AE149" s="314"/>
      <c r="AF149" s="314" t="s">
        <v>134</v>
      </c>
      <c r="AG149" s="314" t="s">
        <v>135</v>
      </c>
      <c r="AH149" s="312" t="s">
        <v>136</v>
      </c>
      <c r="AI149" s="335" t="s">
        <v>137</v>
      </c>
      <c r="AJ149" s="335" t="s">
        <v>138</v>
      </c>
      <c r="AK149" s="342" t="s">
        <v>139</v>
      </c>
      <c r="AL149" s="326"/>
      <c r="AM149" s="326"/>
      <c r="AN149" s="326"/>
      <c r="AO149" s="326"/>
      <c r="AP149" s="326"/>
      <c r="AQ149" s="314"/>
      <c r="AR149" s="314" t="s">
        <v>134</v>
      </c>
      <c r="AS149" s="314" t="s">
        <v>135</v>
      </c>
      <c r="AT149" s="343" t="s">
        <v>140</v>
      </c>
      <c r="AU149" s="335" t="s">
        <v>141</v>
      </c>
      <c r="AV149" s="335" t="s">
        <v>142</v>
      </c>
      <c r="AW149" s="342" t="s">
        <v>139</v>
      </c>
      <c r="AX149" s="342" t="s">
        <v>139</v>
      </c>
      <c r="AY149" s="314"/>
      <c r="AZ149" s="314"/>
      <c r="BA149" s="314"/>
      <c r="BB149" s="314" t="s">
        <v>143</v>
      </c>
      <c r="BC149" s="314"/>
      <c r="BD149" s="314"/>
      <c r="BE149" s="314"/>
      <c r="BF149" s="314"/>
      <c r="BG149" s="319" t="s">
        <v>144</v>
      </c>
      <c r="BH149" s="314" t="s">
        <v>145</v>
      </c>
      <c r="BI149" s="314"/>
      <c r="BJ149" s="314"/>
      <c r="BK149" s="314"/>
      <c r="BL149" s="314"/>
      <c r="BM149" s="314"/>
      <c r="BN149" s="314"/>
      <c r="BO149" s="314"/>
      <c r="BP149" s="314"/>
      <c r="BQ149" s="314"/>
      <c r="BR149" s="314"/>
      <c r="BS149" s="314"/>
      <c r="BT149" s="314"/>
      <c r="BU149" s="314"/>
      <c r="BV149" s="314"/>
      <c r="BW149" s="314"/>
      <c r="BX149" s="314"/>
      <c r="BY149" s="314"/>
      <c r="BZ149" s="314"/>
      <c r="CA149" s="314"/>
      <c r="CB149" s="314"/>
      <c r="CC149" s="314"/>
      <c r="CD149" s="314"/>
      <c r="CE149" s="314"/>
      <c r="CF149" s="314"/>
      <c r="CG149" s="314"/>
      <c r="CH149" s="314"/>
      <c r="CI149" s="314"/>
      <c r="CJ149" s="314"/>
      <c r="CK149" s="314"/>
      <c r="CL149" s="314"/>
      <c r="CM149" s="314"/>
      <c r="CN149" s="314"/>
      <c r="CO149" s="314"/>
      <c r="CP149" s="314"/>
      <c r="CQ149" s="319" t="s">
        <v>107</v>
      </c>
    </row>
    <row r="150" spans="1:95" ht="12.75" customHeight="1" thickBot="1" x14ac:dyDescent="0.3">
      <c r="A150" s="307"/>
      <c r="B150" s="68"/>
      <c r="C150" s="199" t="s">
        <v>12</v>
      </c>
      <c r="D150" s="344" t="str">
        <f>Translations!$B$356</f>
        <v>RFA:</v>
      </c>
      <c r="E150" s="345"/>
      <c r="F150" s="6"/>
      <c r="G150" s="1256" t="str">
        <f>IF(OR(ISBLANK(F150),F150=EUconst_NoTier),"",IF(Z150=0,EUconst_NA,IF(ISERROR(Z150),"",Z150)))</f>
        <v/>
      </c>
      <c r="H150" s="1257"/>
      <c r="I150" s="346" t="str">
        <f>IF(J150&lt;&gt;"","",AI150)</f>
        <v/>
      </c>
      <c r="J150" s="7"/>
      <c r="K150" s="1258"/>
      <c r="L150" s="1259"/>
      <c r="M150" s="347" t="str">
        <f>IF(AND(E145&lt;&gt;"",OR(F150="",COUNT(K150)=0),Y150&lt;&gt;EUconst_NA),EUconst_ERR_Incomplete,"")</f>
        <v/>
      </c>
      <c r="N150" s="76"/>
      <c r="O150" s="160"/>
      <c r="P150" s="348"/>
      <c r="Q150" s="325" t="str">
        <f>EUconst_SumBioEnergyIN</f>
        <v>SUM_BioEnergyIN</v>
      </c>
      <c r="R150" s="340" t="str">
        <f>IF(E145="","",BG159)</f>
        <v/>
      </c>
      <c r="S150" s="314"/>
      <c r="T150" s="349" t="str">
        <f>EUconst_CNTR_ActivityData&amp;E145</f>
        <v>ActivityData_</v>
      </c>
      <c r="U150" s="312"/>
      <c r="V150" s="349" t="str">
        <f>IF(E144="","",INDEX(B_IdentifyFuelStreams!$I$67:$I$116,MATCH(U143,B_IdentifyFuelStreams!$D$67:$D$116,0)))</f>
        <v/>
      </c>
      <c r="W150" s="335" t="s">
        <v>146</v>
      </c>
      <c r="X150" s="312"/>
      <c r="Y150" s="350" t="str">
        <f>IF(E145="","",INDEX(EUwideConstants!$P$164:$P$200,MATCH(T150,EUwideConstants!$S$164:$S$200,0)))</f>
        <v/>
      </c>
      <c r="Z150" s="351" t="str">
        <f>IF(ISBLANK(F150),"",IF(F150=EUconst_NA,"",INDEX(EUwideConstants!$H:$O,MATCH(T150,EUwideConstants!$S:$S,0),MATCH(F150,CNTR_TierList,0))))</f>
        <v/>
      </c>
      <c r="AA150" s="352" t="s">
        <v>136</v>
      </c>
      <c r="AB150" s="335"/>
      <c r="AC150" s="331" t="b">
        <f>E144&lt;&gt;""</f>
        <v>0</v>
      </c>
      <c r="AD150" s="314"/>
      <c r="AE150" s="353" t="str">
        <f>EUconst_CNTR_ActivityData&amp;EUconst_Unit</f>
        <v>ActivityData_Unit</v>
      </c>
      <c r="AF150" s="354" t="str">
        <f>IF(AC150=TRUE, IF(COUNTIF(MSPara_SourceStreamCategory,V150)=0,"",INDEX(MSPara_CalcFactorsMatrix,MATCH(V150,MSPara_SourceStreamCategory,0),MATCH(AE150&amp;"_"&amp;2,MSPara_CalcFactors,0))),"")</f>
        <v/>
      </c>
      <c r="AG150" s="355" t="str">
        <f>IF(AC150=TRUE, IF(COUNTIF(MSPara_SourceStreamCategory,V150)=0,"",INDEX(MSPara_CalcFactorsMatrix,MATCH(V150,MSPara_SourceStreamCategory,0),MATCH(AE150&amp;"_"&amp;1,MSPara_CalcFactors,0))),"")</f>
        <v/>
      </c>
      <c r="AH150" s="331" t="str">
        <f>IF(OR(AF150="",AF150=EUconst_NA),IF(OR(AG150=EUconst_NA,AG150=""),"",AG150),AF150)</f>
        <v/>
      </c>
      <c r="AI150" s="350" t="str">
        <f>IF(AC150=TRUE,IF(AH150="",EUconst_t,AH150),"")</f>
        <v/>
      </c>
      <c r="AJ150" s="356" t="str">
        <f>IF(J150="",AI150,J150)</f>
        <v/>
      </c>
      <c r="AK150" s="357" t="b">
        <f>AND(E144&lt;&gt;"",J150&lt;&gt;"")</f>
        <v>0</v>
      </c>
      <c r="AL150" s="326"/>
      <c r="AM150" s="358" t="s">
        <v>147</v>
      </c>
      <c r="AN150" s="359" t="str">
        <f>AJ150</f>
        <v/>
      </c>
      <c r="AO150" s="326"/>
      <c r="AP150" s="326"/>
      <c r="AQ150" s="349" t="str">
        <f>EUconst_CNTR_ActivityData&amp;EUconst_Value</f>
        <v>ActivityData_Value</v>
      </c>
      <c r="AR150" s="336"/>
      <c r="AS150" s="336"/>
      <c r="AT150" s="331" t="b">
        <f>AND(AND(AH150&lt;&gt;"",AJ150&lt;&gt;""),AJ150=AH150)</f>
        <v>0</v>
      </c>
      <c r="AU150" s="314"/>
      <c r="AV150" s="331">
        <f>IF(Y150=EUconst_NA,0,IF(COUNT(K150:K150)=0,0,IF(K150="",#REF!,K150)))</f>
        <v>0</v>
      </c>
      <c r="AW150" s="360" t="b">
        <f>AND(AC150=TRUE,OR(K150&lt;&gt;"",AU150=""))</f>
        <v>0</v>
      </c>
      <c r="AX150" s="360" t="b">
        <f>AND(AC150=TRUE,NOT(AW150))</f>
        <v>0</v>
      </c>
      <c r="AY150" s="314"/>
      <c r="AZ150" s="314" t="s">
        <v>148</v>
      </c>
      <c r="BA150" s="314" t="s">
        <v>149</v>
      </c>
      <c r="BB150" s="360"/>
      <c r="BC150" s="314" t="s">
        <v>150</v>
      </c>
      <c r="BD150" s="314"/>
      <c r="BE150" s="314"/>
      <c r="BF150" s="361" t="s">
        <v>119</v>
      </c>
      <c r="BG150" s="362" t="str">
        <f>IF(COUNTIF(AO153:AO154,TRUE)=0,"",BH150*AV161)</f>
        <v/>
      </c>
      <c r="BH150" s="362" t="str">
        <f>IF(COUNTIF(AO153:AO154,TRUE)=0,"",AV150*IF(AO153,1,AV152*AN154)*AV153-BH152-BH154-BH156)</f>
        <v/>
      </c>
      <c r="BI150" s="314"/>
      <c r="BJ150" s="314"/>
      <c r="BK150" s="314"/>
      <c r="BL150" s="314"/>
      <c r="BM150" s="314"/>
      <c r="BN150" s="314"/>
      <c r="BO150" s="314"/>
      <c r="BP150" s="314"/>
      <c r="BQ150" s="314"/>
      <c r="BR150" s="314"/>
      <c r="BS150" s="314"/>
      <c r="BT150" s="314"/>
      <c r="BU150" s="314"/>
      <c r="BV150" s="314"/>
      <c r="BW150" s="314"/>
      <c r="BX150" s="314"/>
      <c r="BY150" s="314"/>
      <c r="BZ150" s="314"/>
      <c r="CA150" s="314"/>
      <c r="CB150" s="314"/>
      <c r="CC150" s="314"/>
      <c r="CD150" s="314"/>
      <c r="CE150" s="314"/>
      <c r="CF150" s="314"/>
      <c r="CG150" s="314"/>
      <c r="CH150" s="314"/>
      <c r="CI150" s="314"/>
      <c r="CJ150" s="314"/>
      <c r="CK150" s="314"/>
      <c r="CL150" s="314"/>
      <c r="CM150" s="314"/>
      <c r="CN150" s="314"/>
      <c r="CO150" s="314"/>
      <c r="CP150" s="314"/>
      <c r="CQ150" s="360" t="b">
        <v>0</v>
      </c>
    </row>
    <row r="151" spans="1:95" ht="5.15" customHeight="1" thickBot="1" x14ac:dyDescent="0.3">
      <c r="A151" s="307"/>
      <c r="B151" s="68"/>
      <c r="C151" s="199"/>
      <c r="D151" s="202"/>
      <c r="E151" s="76"/>
      <c r="F151" s="76"/>
      <c r="G151" s="76"/>
      <c r="H151" s="76" t="str">
        <f>Translations!$B$397</f>
        <v xml:space="preserve"> </v>
      </c>
      <c r="I151" s="162"/>
      <c r="J151" s="162"/>
      <c r="K151" s="76"/>
      <c r="L151" s="76"/>
      <c r="M151" s="363"/>
      <c r="N151" s="76"/>
      <c r="O151" s="160"/>
      <c r="P151" s="109"/>
      <c r="Q151" s="312"/>
      <c r="R151" s="312"/>
      <c r="S151" s="314"/>
      <c r="T151" s="62"/>
      <c r="U151" s="312"/>
      <c r="V151" s="314"/>
      <c r="W151" s="314"/>
      <c r="X151" s="312"/>
      <c r="Y151" s="319"/>
      <c r="Z151" s="314"/>
      <c r="AA151" s="314"/>
      <c r="AB151" s="314"/>
      <c r="AC151" s="314"/>
      <c r="AD151" s="314"/>
      <c r="AE151" s="314"/>
      <c r="AF151" s="314"/>
      <c r="AG151" s="314"/>
      <c r="AH151" s="314"/>
      <c r="AI151" s="314"/>
      <c r="AJ151" s="314"/>
      <c r="AK151" s="314"/>
      <c r="AL151" s="326"/>
      <c r="AM151" s="326"/>
      <c r="AN151" s="326"/>
      <c r="AO151" s="326"/>
      <c r="AP151" s="326"/>
      <c r="AQ151" s="314"/>
      <c r="AR151" s="314"/>
      <c r="AS151" s="314"/>
      <c r="AT151" s="314"/>
      <c r="AU151" s="314"/>
      <c r="AV151" s="314"/>
      <c r="AW151" s="314"/>
      <c r="AX151" s="314"/>
      <c r="AY151" s="314"/>
      <c r="AZ151" s="314"/>
      <c r="BA151" s="314"/>
      <c r="BB151" s="314"/>
      <c r="BC151" s="314"/>
      <c r="BD151" s="314"/>
      <c r="BE151" s="314"/>
      <c r="BF151" s="314"/>
      <c r="BG151" s="364"/>
      <c r="BH151" s="364"/>
      <c r="BI151" s="314"/>
      <c r="BJ151" s="314"/>
      <c r="BK151" s="314"/>
      <c r="BL151" s="314"/>
      <c r="BM151" s="314"/>
      <c r="BN151" s="314"/>
      <c r="BO151" s="314"/>
      <c r="BP151" s="314"/>
      <c r="BQ151" s="314"/>
      <c r="BR151" s="314"/>
      <c r="BS151" s="314"/>
      <c r="BT151" s="314"/>
      <c r="BU151" s="314"/>
      <c r="BV151" s="314"/>
      <c r="BW151" s="314"/>
      <c r="BX151" s="314"/>
      <c r="BY151" s="314"/>
      <c r="BZ151" s="314"/>
      <c r="CA151" s="314"/>
      <c r="CB151" s="314"/>
      <c r="CC151" s="314"/>
      <c r="CD151" s="314"/>
      <c r="CE151" s="314"/>
      <c r="CF151" s="314"/>
      <c r="CG151" s="314"/>
      <c r="CH151" s="314"/>
      <c r="CI151" s="314"/>
      <c r="CJ151" s="314"/>
      <c r="CK151" s="314"/>
      <c r="CL151" s="314"/>
      <c r="CM151" s="314"/>
      <c r="CN151" s="314"/>
      <c r="CO151" s="314"/>
      <c r="CP151" s="314"/>
      <c r="CQ151" s="319"/>
    </row>
    <row r="152" spans="1:95" ht="12.75" customHeight="1" x14ac:dyDescent="0.25">
      <c r="A152" s="307"/>
      <c r="B152" s="68"/>
      <c r="C152" s="199" t="s">
        <v>13</v>
      </c>
      <c r="D152" s="344" t="str">
        <f>Translations!$B$360</f>
        <v>UCF:</v>
      </c>
      <c r="E152" s="345"/>
      <c r="F152" s="10"/>
      <c r="G152" s="1256" t="str">
        <f>IF(OR(ISBLANK(F152),F152=EUconst_NoTier),"",IF(Z152=0,EUconst_NotApplicable,IF(ISERROR(Z152),"",Z152)))</f>
        <v/>
      </c>
      <c r="H152" s="1257"/>
      <c r="I152" s="365" t="str">
        <f>IF(J152&lt;&gt;"","",AI152)</f>
        <v/>
      </c>
      <c r="J152" s="11"/>
      <c r="K152" s="366" t="str">
        <f>IF(L152="",AU152,"")</f>
        <v/>
      </c>
      <c r="L152" s="23"/>
      <c r="M152" s="347" t="str">
        <f>IF(AND(E145&lt;&gt;"",OR(F152="",COUNT(K152:L152)=0),Y152&lt;&gt;EUconst_NA),EUconst_ERR_Incomplete,IF(COUNTIF(BB152:BD152,TRUE)&gt;0,EUconst_ERR_Inconsistent,""))</f>
        <v/>
      </c>
      <c r="N152" s="367"/>
      <c r="O152" s="160"/>
      <c r="P152" s="109"/>
      <c r="Q152" s="312"/>
      <c r="R152" s="312"/>
      <c r="S152" s="314"/>
      <c r="T152" s="368" t="str">
        <f>EUconst_CNTR_UCF&amp;E145</f>
        <v>UCF_</v>
      </c>
      <c r="U152" s="312"/>
      <c r="V152" s="369" t="str">
        <f>V153</f>
        <v/>
      </c>
      <c r="W152" s="314"/>
      <c r="X152" s="312"/>
      <c r="Y152" s="370" t="str">
        <f>IF(E145="","",IF(OR(F152=EUconst_NA,W152=TRUE),EUconst_NA,INDEX(EUwideConstants!$P$164:$P$200,MATCH(T152,EUwideConstants!$S$164:$S$200,0))))</f>
        <v/>
      </c>
      <c r="Z152" s="371" t="str">
        <f>IF(ISBLANK(F152),"",IF(F152=EUconst_NA,"",INDEX(EUwideConstants!$H:$O,MATCH(T152,EUwideConstants!$S:$S,0),MATCH(F152,CNTR_TierList,0))))</f>
        <v/>
      </c>
      <c r="AA152" s="372" t="str">
        <f>IF(COUNTIF(EUconst_DefaultValues,Z152)&gt;0,MATCH(Z152,EUconst_DefaultValues,0),"")</f>
        <v/>
      </c>
      <c r="AB152" s="314"/>
      <c r="AC152" s="373" t="b">
        <f>AND(AC150,Y152&lt;&gt;EUconst_NA)</f>
        <v>0</v>
      </c>
      <c r="AD152" s="314"/>
      <c r="AE152" s="353" t="str">
        <f>EUconst_CNTR_UCF&amp;EUconst_Unit</f>
        <v>UCF_Unit</v>
      </c>
      <c r="AF152" s="374" t="str">
        <f>IF(AC152=TRUE, IF(COUNTIF(MSPara_SourceStreamCategory,V152)=0,"",INDEX(MSPara_CalcFactorsMatrix,MATCH(V152,MSPara_SourceStreamCategory,0),MATCH(AE152&amp;"_"&amp;2,MSPara_CalcFactors,0))),"")</f>
        <v/>
      </c>
      <c r="AG152" s="375" t="str">
        <f>IF(AC152=TRUE, IF(COUNTIF(MSPara_SourceStreamCategory,V152)=0,"",INDEX(MSPara_CalcFactorsMatrix,MATCH(V152,MSPara_SourceStreamCategory,0),MATCH(AE152&amp;"_"&amp;1,MSPara_CalcFactors,0))),"")</f>
        <v/>
      </c>
      <c r="AH152" s="373" t="str">
        <f>IF(AA152="","",INDEX(AF152:AG152,3-AA152))</f>
        <v/>
      </c>
      <c r="AI152" s="373" t="str">
        <f>IF(AC152=TRUE,IF(OR(AH152="",AH152=EUconst_NA),EUconst_GJ&amp;"/"&amp;AJ150,AH152),"")</f>
        <v/>
      </c>
      <c r="AJ152" s="373" t="str">
        <f>IF(J152="",AI152,J152)</f>
        <v/>
      </c>
      <c r="AK152" s="369" t="b">
        <f>AND(E144&lt;&gt;"",J152&lt;&gt;"")</f>
        <v>0</v>
      </c>
      <c r="AL152" s="326"/>
      <c r="AM152" s="358" t="s">
        <v>151</v>
      </c>
      <c r="AN152" s="359" t="str">
        <f>IF(AJ152="",EUconst_NA,IF(AN150=EUconst_TJ,EUconst_TJ,INDEX(EUwideConstants!$C$135:$G$139,MATCH(AN150,RFAUnits,0),MATCH(AJ152,UCFUnits,0))))</f>
        <v>n.a.</v>
      </c>
      <c r="AO152" s="326"/>
      <c r="AP152" s="326"/>
      <c r="AQ152" s="376" t="str">
        <f>EUconst_CNTR_UCF&amp;EUconst_Value</f>
        <v>UCF_Value</v>
      </c>
      <c r="AR152" s="377" t="str">
        <f>IF(AC152=TRUE,IF(COUNTIF(MSPara_SourceStreamCategory,V152)=0,"",INDEX(MSPara_CalcFactorsMatrix,MATCH(V152,MSPara_SourceStreamCategory,0),MATCH(AQ152&amp;"_"&amp;2,MSPara_CalcFactors,0))),"")</f>
        <v/>
      </c>
      <c r="AS152" s="378" t="str">
        <f>IF(AC152=TRUE,IF(COUNTIF(MSPara_SourceStreamCategory,V152)=0,"",INDEX(MSPara_CalcFactorsMatrix,MATCH(V152,MSPara_SourceStreamCategory,0),MATCH(AQ152&amp;"_"&amp;1,MSPara_CalcFactors,0))),"")</f>
        <v/>
      </c>
      <c r="AT152" s="379" t="b">
        <f>AND(AND(AH152&lt;&gt;"",AJ152&lt;&gt;""),AJ152=AH152)</f>
        <v>0</v>
      </c>
      <c r="AU152" s="380" t="str">
        <f>IF(AND(AA152&lt;&gt;"",AT152=TRUE),IF(OR(INDEX(AR152:AS152,3-AA152)=EUconst_NA,INDEX(AR152:AS152,3-AA152)=0),"",INDEX(AR152:AS152,3-AA152)),"")</f>
        <v/>
      </c>
      <c r="AV152" s="373">
        <f>IF(AC152=TRUE,IF(COUNT(K152:L152)=0,0,IF(L152="",K152,L152)),0)</f>
        <v>0</v>
      </c>
      <c r="AW152" s="369" t="b">
        <f t="shared" ref="AW152:AW159" si="27">AND(AC152=TRUE,OR(AND(F152&lt;&gt;"",NOT(ISNUMBER(AA152))),L152&lt;&gt;"",F152="",AU152=""))</f>
        <v>0</v>
      </c>
      <c r="AX152" s="381" t="b">
        <f t="shared" ref="AX152:AX159" si="28">AND(AC152=TRUE,NOT(AW152))</f>
        <v>0</v>
      </c>
      <c r="AY152" s="314"/>
      <c r="AZ152" s="382" t="b">
        <f t="shared" ref="AZ152:AZ159" si="29">AND(ISNUMBER(AA152),AU152="")</f>
        <v>0</v>
      </c>
      <c r="BA152" s="383" t="b">
        <f t="shared" ref="BA152:BA159" si="30">AND(ISNUMBER(AA152),AU152&lt;&gt;AV152)</f>
        <v>0</v>
      </c>
      <c r="BB152" s="369" t="b">
        <f>AND(E145&lt;&gt;"",F152&lt;&gt;EUconst_NA,AN152=EUconst_NA)</f>
        <v>0</v>
      </c>
      <c r="BC152" s="369" t="b">
        <f t="shared" ref="BC152:BC159" si="31">AND(L152&lt;&gt;"",Y152=EUconst_NA)</f>
        <v>0</v>
      </c>
      <c r="BD152" s="314"/>
      <c r="BE152" s="314"/>
      <c r="BF152" s="382" t="s">
        <v>152</v>
      </c>
      <c r="BG152" s="384" t="str">
        <f>IF(COUNTIF(AO153:AO154,TRUE)=0,"",BH152*AV161)</f>
        <v/>
      </c>
      <c r="BH152" s="384" t="str">
        <f>IF(COUNTIF(AO153:AO154,TRUE)=0,"",AV150*IF(AO153,1,AV152*AN154)*AV153*AV154)</f>
        <v/>
      </c>
      <c r="BI152" s="314"/>
      <c r="BJ152" s="314"/>
      <c r="BK152" s="314"/>
      <c r="BL152" s="314"/>
      <c r="BM152" s="314"/>
      <c r="BN152" s="314"/>
      <c r="BO152" s="314"/>
      <c r="BP152" s="314"/>
      <c r="BQ152" s="314"/>
      <c r="BR152" s="314"/>
      <c r="BS152" s="314"/>
      <c r="BT152" s="314"/>
      <c r="BU152" s="314"/>
      <c r="BV152" s="314"/>
      <c r="BW152" s="314"/>
      <c r="BX152" s="314"/>
      <c r="BY152" s="314"/>
      <c r="BZ152" s="314"/>
      <c r="CA152" s="314"/>
      <c r="CB152" s="314"/>
      <c r="CC152" s="314"/>
      <c r="CD152" s="314"/>
      <c r="CE152" s="314"/>
      <c r="CF152" s="314"/>
      <c r="CG152" s="314"/>
      <c r="CH152" s="314"/>
      <c r="CI152" s="314"/>
      <c r="CJ152" s="314"/>
      <c r="CK152" s="314"/>
      <c r="CL152" s="314"/>
      <c r="CM152" s="314"/>
      <c r="CN152" s="314"/>
      <c r="CO152" s="314"/>
      <c r="CP152" s="314"/>
      <c r="CQ152" s="369" t="b">
        <f>OR(CQ150,Y152=EUconst_NA)</f>
        <v>0</v>
      </c>
    </row>
    <row r="153" spans="1:95" ht="12.75" customHeight="1" thickBot="1" x14ac:dyDescent="0.3">
      <c r="A153" s="307"/>
      <c r="B153" s="68"/>
      <c r="C153" s="199" t="s">
        <v>14</v>
      </c>
      <c r="D153" s="344" t="str">
        <f>Translations!$B$358</f>
        <v>(prelim) EF:</v>
      </c>
      <c r="E153" s="345"/>
      <c r="F153" s="59"/>
      <c r="G153" s="1256" t="str">
        <f>IF(OR(ISBLANK(F153),F153=EUconst_NoTier),"",IF(Z153=0,EUconst_NotApplicable,IF(ISERROR(Z153),"",Z153)))</f>
        <v/>
      </c>
      <c r="H153" s="1260"/>
      <c r="I153" s="385" t="str">
        <f>IF(J153&lt;&gt;"","",AI153)</f>
        <v/>
      </c>
      <c r="J153" s="22"/>
      <c r="K153" s="386" t="str">
        <f>IF(L153="",AU153,"")</f>
        <v/>
      </c>
      <c r="L153" s="58"/>
      <c r="M153" s="347" t="str">
        <f>IF(AND(E145&lt;&gt;"",OR(F153="",COUNT(K153:L153)=0),Y153&lt;&gt;EUconst_NA),EUconst_ERR_Incomplete,IF(COUNTIF(BB153:BD153,TRUE)&gt;0,EUconst_ERR_Inconsistent,""))</f>
        <v/>
      </c>
      <c r="N153" s="387"/>
      <c r="O153" s="160"/>
      <c r="P153" s="109"/>
      <c r="Q153" s="312"/>
      <c r="R153" s="312"/>
      <c r="S153" s="314"/>
      <c r="T153" s="388" t="str">
        <f>EUconst_CNTR_EF&amp;E145</f>
        <v>EF_</v>
      </c>
      <c r="U153" s="312"/>
      <c r="V153" s="389" t="str">
        <f>V150</f>
        <v/>
      </c>
      <c r="W153" s="314"/>
      <c r="X153" s="312"/>
      <c r="Y153" s="390" t="str">
        <f>IF(E145="","",IF(OR(F153=EUconst_NA,W153=TRUE),EUconst_NA,INDEX(EUwideConstants!$P$164:$P$200,MATCH(T153,EUwideConstants!$S$164:$S$200,0))))</f>
        <v/>
      </c>
      <c r="Z153" s="391" t="str">
        <f>IF(ISBLANK(F153),"",IF(F153=EUconst_NA,"",INDEX(EUwideConstants!$H:$O,MATCH(T153,EUwideConstants!$S:$S,0),MATCH(F153,CNTR_TierList,0))))</f>
        <v/>
      </c>
      <c r="AA153" s="392" t="str">
        <f>IF(COUNTIF(EUconst_DefaultValues,Z153)&gt;0,MATCH(Z153,EUconst_DefaultValues,0),"")</f>
        <v/>
      </c>
      <c r="AB153" s="314"/>
      <c r="AC153" s="393" t="b">
        <f>AND(AC150,Y153&lt;&gt;EUconst_NA)</f>
        <v>0</v>
      </c>
      <c r="AD153" s="314"/>
      <c r="AE153" s="394" t="str">
        <f>EUconst_CNTR_EF&amp;EUconst_Unit</f>
        <v>EF_Unit</v>
      </c>
      <c r="AF153" s="395" t="str">
        <f>IF(AC153=TRUE, IF(COUNTIF(MSPara_SourceStreamCategory,V153)=0,"",INDEX(MSPara_CalcFactorsMatrix,MATCH(V153,MSPara_SourceStreamCategory,0),MATCH(AE153&amp;"_"&amp;2,MSPara_CalcFactors,0))),"")</f>
        <v/>
      </c>
      <c r="AG153" s="396" t="str">
        <f>IF(AC153=TRUE, IF(COUNTIF(MSPara_SourceStreamCategory,V153)=0,"",INDEX(MSPara_CalcFactorsMatrix,MATCH(V153,MSPara_SourceStreamCategory,0),MATCH(AE153&amp;"_"&amp;1,MSPara_CalcFactors,0))),"")</f>
        <v/>
      </c>
      <c r="AH153" s="397" t="str">
        <f>IF(AA153="","",INDEX(AF153:AG153,3-AA153))</f>
        <v/>
      </c>
      <c r="AI153" s="397" t="str">
        <f>IF(AC153=TRUE,IF(OR(AH153="",AH153=EUconst_NA),EUconst_tCO2&amp;"/"&amp;IF(AN152=EUconst_NA,AN150,IF(AN152=EUconst_GJ,EUconst_TJ,AN152)),AH153),"")</f>
        <v/>
      </c>
      <c r="AJ153" s="397" t="str">
        <f>IF(J153="",AI153,J153)</f>
        <v/>
      </c>
      <c r="AK153" s="398" t="b">
        <f>AND(E145&lt;&gt;"",J153&lt;&gt;"")</f>
        <v>0</v>
      </c>
      <c r="AL153" s="326"/>
      <c r="AM153" s="358" t="s">
        <v>153</v>
      </c>
      <c r="AN153" s="359" t="str">
        <f>IF(COUNTIF(RFAUnits,AN150)=0,EUconst_NA,INDEX(EUwideConstants!$C$150:$H$154,MATCH(AJ153,EFUnits,0),MATCH(AN150,EUwideConstants!$C$149:$H$149,0)))</f>
        <v>n.a.</v>
      </c>
      <c r="AO153" s="359" t="b">
        <f>AN153&lt;&gt;EUconst_NA</f>
        <v>0</v>
      </c>
      <c r="AP153" s="326"/>
      <c r="AQ153" s="399" t="str">
        <f>EUconst_CNTR_EF&amp;EUconst_Value</f>
        <v>EF_Value</v>
      </c>
      <c r="AR153" s="400" t="str">
        <f>IF(AC153=TRUE,IF(COUNTIF(MSPara_SourceStreamCategory,V153)=0,"",INDEX(MSPara_CalcFactorsMatrix,MATCH(V153,MSPara_SourceStreamCategory,0),MATCH(AQ153&amp;"_"&amp;2,MSPara_CalcFactors,0))),"")</f>
        <v/>
      </c>
      <c r="AS153" s="401" t="str">
        <f>IF(AC153=TRUE,IF(COUNTIF(MSPara_SourceStreamCategory,V153)=0,"",INDEX(MSPara_CalcFactorsMatrix,MATCH(V153,MSPara_SourceStreamCategory,0),MATCH(AQ153&amp;"_"&amp;1,MSPara_CalcFactors,0))),"")</f>
        <v/>
      </c>
      <c r="AT153" s="402" t="b">
        <f>AND(AND(AH153&lt;&gt;"",AJ153&lt;&gt;""),AJ153=AH153)</f>
        <v>0</v>
      </c>
      <c r="AU153" s="403" t="str">
        <f>IF(AND(AA153&lt;&gt;"",AT153=TRUE),IF(OR(INDEX(AR153:AS153,3-AA153)=EUconst_NA,INDEX(AR153:AS153,3-AA153)=0),"",INDEX(AR153:AS153,3-AA153)),"")</f>
        <v/>
      </c>
      <c r="AV153" s="393">
        <f>IF(AC153=TRUE,IF(COUNT(K153:L153)=0,0,IF(L153="",K153,L153)),0)</f>
        <v>0</v>
      </c>
      <c r="AW153" s="389" t="b">
        <f t="shared" si="27"/>
        <v>0</v>
      </c>
      <c r="AX153" s="404" t="b">
        <f t="shared" si="28"/>
        <v>0</v>
      </c>
      <c r="AY153" s="314"/>
      <c r="AZ153" s="405" t="b">
        <f t="shared" si="29"/>
        <v>0</v>
      </c>
      <c r="BA153" s="406" t="b">
        <f t="shared" si="30"/>
        <v>0</v>
      </c>
      <c r="BB153" s="407" t="b">
        <f>AND(E145&lt;&gt;"",COUNTIF(AO153:AO154,TRUE)=0)</f>
        <v>0</v>
      </c>
      <c r="BC153" s="389" t="b">
        <f t="shared" si="31"/>
        <v>0</v>
      </c>
      <c r="BD153" s="314"/>
      <c r="BE153" s="314"/>
      <c r="BF153" s="408" t="s">
        <v>154</v>
      </c>
      <c r="BG153" s="409" t="str">
        <f>IF(COUNTIF(AO153:AO154,TRUE)=0,"",BH153*AV161)</f>
        <v/>
      </c>
      <c r="BH153" s="409" t="str">
        <f>IF(COUNTIF(AO153:AO154,TRUE)=0,"",AV150*IF(AO153,1,AV152*AN154)*AV153*AV155)</f>
        <v/>
      </c>
      <c r="BI153" s="314"/>
      <c r="BJ153" s="314"/>
      <c r="BK153" s="314"/>
      <c r="BL153" s="314"/>
      <c r="BM153" s="314"/>
      <c r="BN153" s="314"/>
      <c r="BO153" s="314"/>
      <c r="BP153" s="314"/>
      <c r="BQ153" s="314"/>
      <c r="BR153" s="314"/>
      <c r="BS153" s="314"/>
      <c r="BT153" s="314"/>
      <c r="BU153" s="314"/>
      <c r="BV153" s="314"/>
      <c r="BW153" s="314"/>
      <c r="BX153" s="314"/>
      <c r="BY153" s="314"/>
      <c r="BZ153" s="314"/>
      <c r="CA153" s="314"/>
      <c r="CB153" s="314"/>
      <c r="CC153" s="314"/>
      <c r="CD153" s="314"/>
      <c r="CE153" s="314"/>
      <c r="CF153" s="314"/>
      <c r="CG153" s="314"/>
      <c r="CH153" s="314"/>
      <c r="CI153" s="314"/>
      <c r="CJ153" s="314"/>
      <c r="CK153" s="314"/>
      <c r="CL153" s="314"/>
      <c r="CM153" s="314"/>
      <c r="CN153" s="314"/>
      <c r="CO153" s="314"/>
      <c r="CP153" s="314"/>
      <c r="CQ153" s="407" t="b">
        <f>OR(CQ150,Y153=EUconst_NA)</f>
        <v>0</v>
      </c>
    </row>
    <row r="154" spans="1:95" ht="12.75" customHeight="1" x14ac:dyDescent="0.25">
      <c r="A154" s="307"/>
      <c r="B154" s="68"/>
      <c r="C154" s="199" t="s">
        <v>15</v>
      </c>
      <c r="D154" s="344" t="str">
        <f>Translations!$B$362</f>
        <v>BioF:</v>
      </c>
      <c r="E154" s="345"/>
      <c r="F154" s="10"/>
      <c r="G154" s="1256" t="str">
        <f>IF(OR(ISBLANK(F154),F154=EUconst_NoTier),"",IF(Z154=0,EUconst_NotApplicable,IF(ISERROR(Z154),"",Z154)))</f>
        <v/>
      </c>
      <c r="H154" s="1257"/>
      <c r="I154" s="410" t="str">
        <f t="shared" ref="I154:I159" si="32">IF(OR(AC154=FALSE,Y154=EUconst_NA),"","-")</f>
        <v/>
      </c>
      <c r="J154" s="411"/>
      <c r="K154" s="412" t="str">
        <f>IF(L154="",AU154,"")</f>
        <v/>
      </c>
      <c r="L154" s="60"/>
      <c r="M154" s="347" t="str">
        <f>IF(AND(E145&lt;&gt;"",OR(F154="",COUNT(K154:L154)=0),Y154&lt;&gt;EUconst_NA),EUconst_ERR_Incomplete,IF(COUNTIF(BB154:BD154,TRUE)&gt;0,EUconst_ERR_Inconsistent,""))</f>
        <v/>
      </c>
      <c r="O154" s="160"/>
      <c r="P154" s="348"/>
      <c r="Q154" s="413"/>
      <c r="R154" s="413"/>
      <c r="S154" s="314"/>
      <c r="T154" s="388" t="str">
        <f>EUconst_CNTR_BiomassContent&amp;E145</f>
        <v>BioC_</v>
      </c>
      <c r="U154" s="312"/>
      <c r="V154" s="369" t="str">
        <f>V152</f>
        <v/>
      </c>
      <c r="W154" s="369" t="str">
        <f>IF(OR(V154="",COUNTIF(MSPara_SourceStreamCategory,V154)=0),"",INDEX(MSPara_IsFossil,MATCH(V154,MSPara_SourceStreamCategory,0)))</f>
        <v/>
      </c>
      <c r="X154" s="312"/>
      <c r="Y154" s="370" t="str">
        <f>IF(E145="","",IF(OR(F154=EUconst_NA,W154=TRUE),EUconst_NA,INDEX(EUwideConstants!$P$164:$P$200,MATCH(T154,EUwideConstants!$S$164:$S$200,0))))</f>
        <v/>
      </c>
      <c r="Z154" s="371" t="str">
        <f>IF(ISBLANK(F154),"",IF(F154=EUconst_NA,"",INDEX(EUwideConstants!$H:$O,MATCH(T154,EUwideConstants!$S:$S,0),MATCH(F154,CNTR_TierList,0))))</f>
        <v/>
      </c>
      <c r="AA154" s="414" t="str">
        <f>IF(F154=1,1,"")</f>
        <v/>
      </c>
      <c r="AB154" s="314"/>
      <c r="AC154" s="373" t="b">
        <f>AND(AC150,Y154&lt;&gt;EUconst_NA)</f>
        <v>0</v>
      </c>
      <c r="AD154" s="314"/>
      <c r="AE154" s="415"/>
      <c r="AF154" s="416"/>
      <c r="AG154" s="417"/>
      <c r="AH154" s="418"/>
      <c r="AI154" s="418"/>
      <c r="AJ154" s="418"/>
      <c r="AK154" s="419"/>
      <c r="AL154" s="326"/>
      <c r="AM154" s="358" t="s">
        <v>155</v>
      </c>
      <c r="AN154" s="359" t="str">
        <f>IF(AN152=EUconst_NA,EUconst_NA,INDEX(EUwideConstants!$C$150:$H$154,MATCH(AJ153,EFUnits,0),MATCH(AN152,EUwideConstants!$C$149:$H$149,0)))</f>
        <v>n.a.</v>
      </c>
      <c r="AO154" s="359" t="b">
        <f>AN154&lt;&gt;EUconst_NA</f>
        <v>0</v>
      </c>
      <c r="AP154" s="326"/>
      <c r="AQ154" s="376" t="str">
        <f>EUconst_CNTR_BiomassContent&amp;EUconst_Value</f>
        <v>BioC_Value</v>
      </c>
      <c r="AR154" s="420"/>
      <c r="AS154" s="378" t="str">
        <f t="shared" ref="AS154:AS159" si="33">IF(AC154=TRUE,IF(COUNTIF(MSPara_SourceStreamCategory,V154)=0,"",INDEX(MSPara_CalcFactorsMatrix,MATCH(V154,MSPara_SourceStreamCategory,0),MATCH(AQ154&amp;"_"&amp;2,MSPara_CalcFactors,0))),"")</f>
        <v/>
      </c>
      <c r="AT154" s="421"/>
      <c r="AU154" s="380" t="str">
        <f t="shared" ref="AU154:AU159" si="34">IF(OR(AA154="",AS154=EUconst_NA),"",AS154)</f>
        <v/>
      </c>
      <c r="AV154" s="373">
        <f>IF(AC154=TRUE,IF(COUNT(K154:L154)=0,0,IF(L154="",K154,L154)),0)</f>
        <v>0</v>
      </c>
      <c r="AW154" s="369" t="b">
        <f t="shared" si="27"/>
        <v>0</v>
      </c>
      <c r="AX154" s="381" t="b">
        <f t="shared" si="28"/>
        <v>0</v>
      </c>
      <c r="AY154" s="314"/>
      <c r="AZ154" s="382" t="b">
        <f t="shared" si="29"/>
        <v>0</v>
      </c>
      <c r="BA154" s="383" t="b">
        <f t="shared" si="30"/>
        <v>0</v>
      </c>
      <c r="BB154" s="314"/>
      <c r="BC154" s="369" t="b">
        <f t="shared" si="31"/>
        <v>0</v>
      </c>
      <c r="BD154" s="369" t="b">
        <f>OR(AV154&gt;100%,(AV154+AV155)&gt;100%)</f>
        <v>0</v>
      </c>
      <c r="BE154" s="314"/>
      <c r="BF154" s="382" t="s">
        <v>156</v>
      </c>
      <c r="BG154" s="384" t="str">
        <f>IF(COUNTIF(AO153:AO154,TRUE)=0,"",BH154*AV161)</f>
        <v/>
      </c>
      <c r="BH154" s="384" t="str">
        <f>IF(COUNTIF(AO153:AO154,TRUE)=0,"",AV150*IF(AO153,1,AV152*AN154)*AV153*AV156)</f>
        <v/>
      </c>
      <c r="BJ154" s="314"/>
      <c r="BK154" s="314"/>
      <c r="BL154" s="314"/>
      <c r="BM154" s="314"/>
      <c r="BN154" s="314"/>
      <c r="BO154" s="314"/>
      <c r="BP154" s="314"/>
      <c r="BQ154" s="314"/>
      <c r="BR154" s="314"/>
      <c r="BS154" s="314"/>
      <c r="BT154" s="314"/>
      <c r="BU154" s="314"/>
      <c r="BV154" s="314"/>
      <c r="BW154" s="314"/>
      <c r="BX154" s="314"/>
      <c r="BY154" s="314"/>
      <c r="BZ154" s="314"/>
      <c r="CA154" s="314"/>
      <c r="CB154" s="314"/>
      <c r="CC154" s="314"/>
      <c r="CD154" s="314"/>
      <c r="CE154" s="314"/>
      <c r="CF154" s="314"/>
      <c r="CG154" s="314"/>
      <c r="CH154" s="314"/>
      <c r="CI154" s="314"/>
      <c r="CJ154" s="314"/>
      <c r="CK154" s="314"/>
      <c r="CL154" s="314"/>
      <c r="CM154" s="314"/>
      <c r="CN154" s="314"/>
      <c r="CO154" s="314"/>
      <c r="CP154" s="314"/>
      <c r="CQ154" s="369" t="b">
        <f>OR(CQ150,Y154=EUconst_NA)</f>
        <v>0</v>
      </c>
    </row>
    <row r="155" spans="1:95" ht="12.75" customHeight="1" thickBot="1" x14ac:dyDescent="0.3">
      <c r="A155" s="307"/>
      <c r="B155" s="68"/>
      <c r="C155" s="199" t="s">
        <v>16</v>
      </c>
      <c r="D155" s="344" t="str">
        <f>Translations!$B$368</f>
        <v>non-sust. BioF:</v>
      </c>
      <c r="E155" s="345"/>
      <c r="F155" s="20"/>
      <c r="G155" s="1256" t="str">
        <f>IF(OR(ISBLANK(F155),F155=EUconst_NoTier),"",IF(Z155=0,EUconst_NotApplicable,IF(ISERROR(Z155),"",Z155)))</f>
        <v/>
      </c>
      <c r="H155" s="1257"/>
      <c r="I155" s="422" t="str">
        <f t="shared" si="32"/>
        <v/>
      </c>
      <c r="J155" s="423"/>
      <c r="K155" s="424" t="str">
        <f>IF(L155="",AU155,"")</f>
        <v/>
      </c>
      <c r="L155" s="21"/>
      <c r="M155" s="347" t="str">
        <f>IF(AND(E145&lt;&gt;"",OR(F155="",COUNT(K155:L155)=0),Y155&lt;&gt;EUconst_NA),EUconst_ERR_Incomplete,IF(COUNTIF(BB155:BD155,TRUE)&gt;0,EUconst_ERR_Inconsistent,""))</f>
        <v/>
      </c>
      <c r="N155" s="76"/>
      <c r="O155" s="160"/>
      <c r="P155" s="348"/>
      <c r="Q155" s="413"/>
      <c r="R155" s="413"/>
      <c r="S155" s="314"/>
      <c r="T155" s="425" t="str">
        <f>EUconst_CNTR_BiomassContent&amp;E145</f>
        <v>BioC_</v>
      </c>
      <c r="U155" s="312"/>
      <c r="V155" s="407" t="str">
        <f>V154</f>
        <v/>
      </c>
      <c r="W155" s="407" t="str">
        <f>IF(OR(V154="",COUNTIF(MSPara_SourceStreamCategory,V155)=0),"",INDEX(MSPara_IsFossil,MATCH(V155,MSPara_SourceStreamCategory,0)))</f>
        <v/>
      </c>
      <c r="X155" s="312"/>
      <c r="Y155" s="426" t="str">
        <f>IF(E145="","",IF(OR(F155=EUconst_NA,W155=TRUE),EUconst_NA,INDEX(EUwideConstants!$P$164:$P$200,MATCH(T155,EUwideConstants!$S$164:$S$200,0))))</f>
        <v/>
      </c>
      <c r="Z155" s="427" t="str">
        <f>IF(ISBLANK(F155),"",IF(F155=EUconst_NA,"",INDEX(EUwideConstants!$H:$O,MATCH(T155,EUwideConstants!$S:$S,0),MATCH(F155,CNTR_TierList,0))))</f>
        <v/>
      </c>
      <c r="AA155" s="428" t="str">
        <f>IF(F155=1,1,"")</f>
        <v/>
      </c>
      <c r="AB155" s="314"/>
      <c r="AC155" s="429" t="b">
        <f>AND(AC150,Y155&lt;&gt;EUconst_NA)</f>
        <v>0</v>
      </c>
      <c r="AD155" s="314"/>
      <c r="AE155" s="430"/>
      <c r="AF155" s="431"/>
      <c r="AG155" s="432"/>
      <c r="AH155" s="433"/>
      <c r="AI155" s="433"/>
      <c r="AJ155" s="433"/>
      <c r="AK155" s="434"/>
      <c r="AL155" s="326"/>
      <c r="AM155" s="326"/>
      <c r="AN155" s="326"/>
      <c r="AO155" s="326"/>
      <c r="AP155" s="326"/>
      <c r="AQ155" s="435" t="str">
        <f>EUconst_CNTR_BiomassContent&amp;EUconst_Value</f>
        <v>BioC_Value</v>
      </c>
      <c r="AR155" s="430"/>
      <c r="AS155" s="436" t="str">
        <f t="shared" si="33"/>
        <v/>
      </c>
      <c r="AT155" s="437"/>
      <c r="AU155" s="438" t="str">
        <f t="shared" si="34"/>
        <v/>
      </c>
      <c r="AV155" s="429">
        <f>IF(AC155=TRUE,IF(COUNT(K155:L155)=0,0,IF(L155="",K155,L155)),0)</f>
        <v>0</v>
      </c>
      <c r="AW155" s="407" t="b">
        <f t="shared" si="27"/>
        <v>0</v>
      </c>
      <c r="AX155" s="439" t="b">
        <f t="shared" si="28"/>
        <v>0</v>
      </c>
      <c r="AY155" s="314"/>
      <c r="AZ155" s="408" t="b">
        <f t="shared" si="29"/>
        <v>0</v>
      </c>
      <c r="BA155" s="440" t="b">
        <f t="shared" si="30"/>
        <v>0</v>
      </c>
      <c r="BB155" s="314"/>
      <c r="BC155" s="407" t="b">
        <f t="shared" si="31"/>
        <v>0</v>
      </c>
      <c r="BD155" s="407" t="b">
        <f>OR(AV154&gt;100%,(AV154+AV155)&gt;100%)</f>
        <v>0</v>
      </c>
      <c r="BE155" s="314"/>
      <c r="BF155" s="408" t="s">
        <v>157</v>
      </c>
      <c r="BG155" s="409" t="str">
        <f>IF(COUNTIF(AO153:AO154,TRUE)=0,"",BH155*AV161)</f>
        <v/>
      </c>
      <c r="BH155" s="409" t="str">
        <f>IF(COUNTIF(AO153:AO154,TRUE)=0,"",AV150*IF(AO153,1,AV152*AN154)*AV153*AV157)</f>
        <v/>
      </c>
      <c r="BJ155" s="314"/>
      <c r="BK155" s="314"/>
      <c r="BL155" s="314"/>
      <c r="BM155" s="314"/>
      <c r="BN155" s="314"/>
      <c r="BO155" s="314"/>
      <c r="BP155" s="314"/>
      <c r="BQ155" s="314"/>
      <c r="BR155" s="314"/>
      <c r="BS155" s="314"/>
      <c r="BT155" s="314"/>
      <c r="BU155" s="314"/>
      <c r="BV155" s="314"/>
      <c r="BW155" s="314"/>
      <c r="BX155" s="314"/>
      <c r="BY155" s="314"/>
      <c r="BZ155" s="314"/>
      <c r="CA155" s="314"/>
      <c r="CB155" s="314"/>
      <c r="CC155" s="314"/>
      <c r="CD155" s="314"/>
      <c r="CE155" s="314"/>
      <c r="CF155" s="314"/>
      <c r="CG155" s="314"/>
      <c r="CH155" s="314"/>
      <c r="CI155" s="314"/>
      <c r="CJ155" s="314"/>
      <c r="CK155" s="314"/>
      <c r="CL155" s="314"/>
      <c r="CM155" s="314"/>
      <c r="CN155" s="314"/>
      <c r="CO155" s="314"/>
      <c r="CP155" s="314"/>
      <c r="CQ155" s="407" t="b">
        <f>OR(CQ150,Y155=EUconst_NA)</f>
        <v>0</v>
      </c>
    </row>
    <row r="156" spans="1:95" ht="12.75" customHeight="1" thickBot="1" x14ac:dyDescent="0.3">
      <c r="A156" s="307"/>
      <c r="B156" s="68"/>
      <c r="C156" s="199" t="s">
        <v>17</v>
      </c>
      <c r="D156" s="344" t="str">
        <f>Translations!$B$610</f>
        <v>sust. RFNBO/RCF:</v>
      </c>
      <c r="E156" s="441"/>
      <c r="F156" s="19" t="s">
        <v>158</v>
      </c>
      <c r="G156" s="1261"/>
      <c r="H156" s="1262"/>
      <c r="I156" s="442" t="str">
        <f t="shared" si="32"/>
        <v/>
      </c>
      <c r="J156" s="411"/>
      <c r="K156" s="443"/>
      <c r="L156" s="55"/>
      <c r="M156" s="347" t="str">
        <f>IF(AND(E145&lt;&gt;"",OR(F156="",COUNT(L156)=0),Y156&lt;&gt;EUconst_NA),EUconst_ERR_Incomplete,"")</f>
        <v/>
      </c>
      <c r="N156" s="76"/>
      <c r="O156" s="160"/>
      <c r="P156" s="348"/>
      <c r="Q156" s="413"/>
      <c r="R156" s="413"/>
      <c r="S156" s="314"/>
      <c r="T156" s="388" t="str">
        <f>EUconst_CNTR_RFNBOetcContent&amp;E145</f>
        <v>RNFBOC_</v>
      </c>
      <c r="U156" s="312"/>
      <c r="V156" s="312"/>
      <c r="W156" s="312"/>
      <c r="X156" s="312"/>
      <c r="Y156" s="380" t="str">
        <f>IF(E145="","",IF(OR(F156=EUconst_NA,W156=TRUE),EUconst_NA,INDEX(EUwideConstants!$P$164:$P$200,MATCH(T156,EUwideConstants!$S$164:$S$200,0))))</f>
        <v/>
      </c>
      <c r="Z156" s="314"/>
      <c r="AA156" s="314"/>
      <c r="AB156" s="314"/>
      <c r="AC156" s="397" t="b">
        <f>AND(AC152,Y156&lt;&gt;EUconst_NA)</f>
        <v>0</v>
      </c>
      <c r="AD156" s="314"/>
      <c r="AE156" s="415"/>
      <c r="AF156" s="416"/>
      <c r="AG156" s="417"/>
      <c r="AH156" s="418"/>
      <c r="AI156" s="418"/>
      <c r="AJ156" s="418"/>
      <c r="AK156" s="419"/>
      <c r="AL156" s="326"/>
      <c r="AM156" s="326"/>
      <c r="AN156" s="326"/>
      <c r="AO156" s="326"/>
      <c r="AP156" s="326"/>
      <c r="AQ156" s="444" t="s">
        <v>159</v>
      </c>
      <c r="AR156" s="415"/>
      <c r="AS156" s="445" t="str">
        <f t="shared" si="33"/>
        <v/>
      </c>
      <c r="AT156" s="446"/>
      <c r="AU156" s="447" t="str">
        <f t="shared" si="34"/>
        <v/>
      </c>
      <c r="AV156" s="397">
        <f>IF(L156&lt;&gt;0,L156,L156)</f>
        <v>0</v>
      </c>
      <c r="AW156" s="398" t="b">
        <f t="shared" si="27"/>
        <v>0</v>
      </c>
      <c r="AX156" s="448" t="b">
        <f t="shared" si="28"/>
        <v>0</v>
      </c>
      <c r="AY156" s="314"/>
      <c r="AZ156" s="449" t="b">
        <f t="shared" si="29"/>
        <v>0</v>
      </c>
      <c r="BA156" s="450" t="b">
        <f t="shared" si="30"/>
        <v>0</v>
      </c>
      <c r="BB156" s="314"/>
      <c r="BC156" s="398" t="b">
        <f t="shared" si="31"/>
        <v>0</v>
      </c>
      <c r="BD156" s="369" t="b">
        <f>OR(AV156&gt;100%,(AV156+AV157)&gt;100%)</f>
        <v>0</v>
      </c>
      <c r="BE156" s="314"/>
      <c r="BF156" s="451" t="s">
        <v>160</v>
      </c>
      <c r="BG156" s="452" t="str">
        <f>IF(COUNTIF(AO153:AO154,TRUE)=0,"",BH156*AV161)</f>
        <v/>
      </c>
      <c r="BH156" s="452" t="str">
        <f>IF(COUNTIF(AO153:AO154,TRUE)=0,"",AV150*IF(AO153,1,AV152*AN154)*AV153*AV158)</f>
        <v/>
      </c>
      <c r="BJ156" s="314"/>
      <c r="BK156" s="314"/>
      <c r="BL156" s="314"/>
      <c r="BM156" s="314"/>
      <c r="BN156" s="314"/>
      <c r="BO156" s="314"/>
      <c r="BP156" s="314"/>
      <c r="BQ156" s="314"/>
      <c r="BR156" s="314"/>
      <c r="BS156" s="314"/>
      <c r="BT156" s="314"/>
      <c r="BU156" s="314"/>
      <c r="BV156" s="314"/>
      <c r="BW156" s="314"/>
      <c r="BX156" s="314"/>
      <c r="BY156" s="314"/>
      <c r="BZ156" s="314"/>
      <c r="CA156" s="314"/>
      <c r="CB156" s="314"/>
      <c r="CC156" s="314"/>
      <c r="CD156" s="314"/>
      <c r="CE156" s="314"/>
      <c r="CF156" s="314"/>
      <c r="CG156" s="314"/>
      <c r="CH156" s="314"/>
      <c r="CI156" s="314"/>
      <c r="CJ156" s="314"/>
      <c r="CK156" s="314"/>
      <c r="CL156" s="314"/>
      <c r="CM156" s="314"/>
      <c r="CN156" s="314"/>
      <c r="CO156" s="314"/>
      <c r="CP156" s="314"/>
      <c r="CQ156" s="407" t="b">
        <f>OR(CQ150,Y156=EUconst_NA)</f>
        <v>0</v>
      </c>
    </row>
    <row r="157" spans="1:95" ht="12.75" customHeight="1" thickBot="1" x14ac:dyDescent="0.3">
      <c r="A157" s="307"/>
      <c r="B157" s="68"/>
      <c r="C157" s="199" t="s">
        <v>161</v>
      </c>
      <c r="D157" s="344" t="str">
        <f>Translations!$B$613</f>
        <v>non-sust. RFNBO/RCF:</v>
      </c>
      <c r="E157" s="441"/>
      <c r="F157" s="20" t="s">
        <v>158</v>
      </c>
      <c r="G157" s="1261"/>
      <c r="H157" s="1262"/>
      <c r="I157" s="422" t="str">
        <f t="shared" si="32"/>
        <v/>
      </c>
      <c r="J157" s="423"/>
      <c r="K157" s="443"/>
      <c r="L157" s="56"/>
      <c r="M157" s="347" t="str">
        <f>IF(AND(E145&lt;&gt;"",OR(F157="",COUNT(L157)=0),Y157&lt;&gt;EUconst_NA),EUconst_ERR_Incomplete,"")</f>
        <v/>
      </c>
      <c r="N157" s="76"/>
      <c r="O157" s="160"/>
      <c r="P157" s="348"/>
      <c r="Q157" s="413"/>
      <c r="R157" s="413"/>
      <c r="S157" s="314"/>
      <c r="T157" s="425" t="str">
        <f>EUconst_CNTR_RFNBOetcContent&amp;E145</f>
        <v>RNFBOC_</v>
      </c>
      <c r="U157" s="312"/>
      <c r="V157" s="312"/>
      <c r="W157" s="312"/>
      <c r="X157" s="312"/>
      <c r="Y157" s="438" t="str">
        <f>IF(E145="","",IF(OR(F157=EUconst_NA,W157=TRUE),EUconst_NA,INDEX(EUwideConstants!$P$164:$P$200,MATCH(T157,EUwideConstants!$S$164:$S$200,0))))</f>
        <v/>
      </c>
      <c r="Z157" s="314"/>
      <c r="AA157" s="314"/>
      <c r="AB157" s="314"/>
      <c r="AC157" s="429" t="b">
        <f>AND(AC152,Y157&lt;&gt;EUconst_NA)</f>
        <v>0</v>
      </c>
      <c r="AD157" s="314"/>
      <c r="AE157" s="430"/>
      <c r="AF157" s="431"/>
      <c r="AG157" s="432"/>
      <c r="AH157" s="433"/>
      <c r="AI157" s="433"/>
      <c r="AJ157" s="433"/>
      <c r="AK157" s="434"/>
      <c r="AL157" s="326"/>
      <c r="AM157" s="326"/>
      <c r="AN157" s="326"/>
      <c r="AO157" s="326"/>
      <c r="AP157" s="326"/>
      <c r="AQ157" s="435" t="s">
        <v>159</v>
      </c>
      <c r="AR157" s="430"/>
      <c r="AS157" s="436" t="str">
        <f t="shared" si="33"/>
        <v/>
      </c>
      <c r="AT157" s="437"/>
      <c r="AU157" s="438" t="str">
        <f t="shared" si="34"/>
        <v/>
      </c>
      <c r="AV157" s="429">
        <f t="shared" ref="AV157:AV159" si="35">IF(L157&lt;&gt;0,L157,L157)</f>
        <v>0</v>
      </c>
      <c r="AW157" s="407" t="b">
        <f t="shared" si="27"/>
        <v>0</v>
      </c>
      <c r="AX157" s="439" t="b">
        <f t="shared" si="28"/>
        <v>0</v>
      </c>
      <c r="AY157" s="314"/>
      <c r="AZ157" s="408" t="b">
        <f t="shared" si="29"/>
        <v>0</v>
      </c>
      <c r="BA157" s="440" t="b">
        <f t="shared" si="30"/>
        <v>0</v>
      </c>
      <c r="BB157" s="314"/>
      <c r="BC157" s="407" t="b">
        <f t="shared" si="31"/>
        <v>0</v>
      </c>
      <c r="BD157" s="407" t="b">
        <f>OR(AV156&gt;100%,(AV156+AV157)&gt;100%)</f>
        <v>0</v>
      </c>
      <c r="BE157" s="314"/>
      <c r="BF157" s="408" t="s">
        <v>162</v>
      </c>
      <c r="BG157" s="409" t="str">
        <f>IF(COUNTIF(AO153:AO154,TRUE)=0,"",BH157*AV161)</f>
        <v/>
      </c>
      <c r="BH157" s="409" t="str">
        <f>IF(COUNTIF(AO153:AO154,TRUE)=0,"",AV150*IF(AO153,1,AV152*AN154)*AV153*AV159)</f>
        <v/>
      </c>
      <c r="BJ157" s="314"/>
      <c r="BK157" s="314"/>
      <c r="BL157" s="314"/>
      <c r="BM157" s="314"/>
      <c r="BN157" s="314"/>
      <c r="BO157" s="314"/>
      <c r="BP157" s="314"/>
      <c r="BQ157" s="314"/>
      <c r="BR157" s="314"/>
      <c r="BS157" s="314"/>
      <c r="BT157" s="314"/>
      <c r="BU157" s="314"/>
      <c r="BV157" s="314"/>
      <c r="BW157" s="314"/>
      <c r="BX157" s="314"/>
      <c r="BY157" s="314"/>
      <c r="BZ157" s="314"/>
      <c r="CA157" s="314"/>
      <c r="CB157" s="314"/>
      <c r="CC157" s="314"/>
      <c r="CD157" s="314"/>
      <c r="CE157" s="314"/>
      <c r="CF157" s="314"/>
      <c r="CG157" s="314"/>
      <c r="CH157" s="314"/>
      <c r="CI157" s="314"/>
      <c r="CJ157" s="314"/>
      <c r="CK157" s="314"/>
      <c r="CL157" s="314"/>
      <c r="CM157" s="314"/>
      <c r="CN157" s="314"/>
      <c r="CO157" s="314"/>
      <c r="CP157" s="314"/>
      <c r="CQ157" s="407" t="b">
        <f>OR(CQ150,Y157=EUconst_NA)</f>
        <v>0</v>
      </c>
    </row>
    <row r="158" spans="1:95" ht="12.75" customHeight="1" thickBot="1" x14ac:dyDescent="0.3">
      <c r="A158" s="307"/>
      <c r="B158" s="68"/>
      <c r="C158" s="199" t="s">
        <v>163</v>
      </c>
      <c r="D158" s="344" t="str">
        <f>Translations!$B$615</f>
        <v>sust. SLCF:</v>
      </c>
      <c r="E158" s="441"/>
      <c r="F158" s="19" t="s">
        <v>158</v>
      </c>
      <c r="G158" s="1261"/>
      <c r="H158" s="1262"/>
      <c r="I158" s="442" t="str">
        <f t="shared" si="32"/>
        <v/>
      </c>
      <c r="J158" s="411"/>
      <c r="K158" s="443"/>
      <c r="L158" s="57"/>
      <c r="M158" s="347" t="str">
        <f>IF(AND(E145&lt;&gt;"",OR(F158="",COUNT(L158)=0),Y158&lt;&gt;EUconst_NA),EUconst_ERR_Incomplete,"")</f>
        <v/>
      </c>
      <c r="N158" s="76"/>
      <c r="O158" s="160"/>
      <c r="P158" s="348"/>
      <c r="Q158" s="413"/>
      <c r="R158" s="413"/>
      <c r="S158" s="314"/>
      <c r="T158" s="388" t="str">
        <f>EUconst_CNTR_RFNBOetcContent&amp;E145</f>
        <v>RNFBOC_</v>
      </c>
      <c r="U158" s="312"/>
      <c r="V158" s="312"/>
      <c r="W158" s="312"/>
      <c r="X158" s="312"/>
      <c r="Y158" s="447" t="str">
        <f>IF(E145="","",IF(OR(F158=EUconst_NA,W158=TRUE),EUconst_NA,INDEX(EUwideConstants!$P$164:$P$200,MATCH(T158,EUwideConstants!$S$164:$S$200,0))))</f>
        <v/>
      </c>
      <c r="Z158" s="314"/>
      <c r="AA158" s="314"/>
      <c r="AB158" s="314"/>
      <c r="AC158" s="397" t="b">
        <f>AND(AC154,Y158&lt;&gt;EUconst_NA)</f>
        <v>0</v>
      </c>
      <c r="AD158" s="314"/>
      <c r="AE158" s="415"/>
      <c r="AF158" s="416"/>
      <c r="AG158" s="417"/>
      <c r="AH158" s="418"/>
      <c r="AI158" s="418"/>
      <c r="AJ158" s="418"/>
      <c r="AK158" s="419"/>
      <c r="AL158" s="326"/>
      <c r="AM158" s="326"/>
      <c r="AN158" s="326"/>
      <c r="AO158" s="326"/>
      <c r="AP158" s="326"/>
      <c r="AQ158" s="444" t="s">
        <v>159</v>
      </c>
      <c r="AR158" s="415"/>
      <c r="AS158" s="445" t="str">
        <f t="shared" si="33"/>
        <v/>
      </c>
      <c r="AT158" s="446"/>
      <c r="AU158" s="447" t="str">
        <f t="shared" si="34"/>
        <v/>
      </c>
      <c r="AV158" s="397">
        <f t="shared" si="35"/>
        <v>0</v>
      </c>
      <c r="AW158" s="398" t="b">
        <f t="shared" si="27"/>
        <v>0</v>
      </c>
      <c r="AX158" s="448" t="b">
        <f t="shared" si="28"/>
        <v>0</v>
      </c>
      <c r="AY158" s="314"/>
      <c r="AZ158" s="449" t="b">
        <f t="shared" si="29"/>
        <v>0</v>
      </c>
      <c r="BA158" s="450" t="b">
        <f t="shared" si="30"/>
        <v>0</v>
      </c>
      <c r="BB158" s="314"/>
      <c r="BC158" s="398" t="b">
        <f t="shared" si="31"/>
        <v>0</v>
      </c>
      <c r="BD158" s="369" t="b">
        <f>OR(AV158&gt;100%,(AV158+AV159)&gt;100%)</f>
        <v>0</v>
      </c>
      <c r="BE158" s="314"/>
      <c r="BF158" s="451" t="s">
        <v>164</v>
      </c>
      <c r="BG158" s="452">
        <f>IF(AN150=EUconst_TJ,AV150*(1-AV154),IF(AN152=EUconst_GJ,AV150*AV152/1000,0))-SUM(BG159:BG165)</f>
        <v>0</v>
      </c>
      <c r="BH158" s="314"/>
      <c r="BI158" s="314"/>
      <c r="BJ158" s="314"/>
      <c r="BK158" s="314"/>
      <c r="BL158" s="314"/>
      <c r="BM158" s="314"/>
      <c r="BN158" s="314"/>
      <c r="BO158" s="314"/>
      <c r="BP158" s="314"/>
      <c r="BQ158" s="314"/>
      <c r="BR158" s="314"/>
      <c r="BS158" s="314"/>
      <c r="BT158" s="314"/>
      <c r="BU158" s="314"/>
      <c r="BV158" s="314"/>
      <c r="BW158" s="314"/>
      <c r="BX158" s="314"/>
      <c r="BY158" s="314"/>
      <c r="BZ158" s="314"/>
      <c r="CA158" s="314"/>
      <c r="CB158" s="314"/>
      <c r="CC158" s="314"/>
      <c r="CD158" s="314"/>
      <c r="CE158" s="314"/>
      <c r="CF158" s="314"/>
      <c r="CG158" s="314"/>
      <c r="CH158" s="314"/>
      <c r="CI158" s="314"/>
      <c r="CJ158" s="314"/>
      <c r="CK158" s="314"/>
      <c r="CL158" s="314"/>
      <c r="CM158" s="314"/>
      <c r="CN158" s="314"/>
      <c r="CO158" s="314"/>
      <c r="CP158" s="314"/>
      <c r="CQ158" s="407" t="b">
        <f>OR(CQ150,Y158=EUconst_NA)</f>
        <v>0</v>
      </c>
    </row>
    <row r="159" spans="1:95" ht="12.75" customHeight="1" thickBot="1" x14ac:dyDescent="0.3">
      <c r="A159" s="307"/>
      <c r="B159" s="68"/>
      <c r="C159" s="199" t="s">
        <v>165</v>
      </c>
      <c r="D159" s="344" t="str">
        <f>Translations!$B$618</f>
        <v>non-sust. SLCF:</v>
      </c>
      <c r="E159" s="441"/>
      <c r="F159" s="20" t="s">
        <v>158</v>
      </c>
      <c r="G159" s="1261"/>
      <c r="H159" s="1262"/>
      <c r="I159" s="422" t="str">
        <f t="shared" si="32"/>
        <v/>
      </c>
      <c r="J159" s="423"/>
      <c r="K159" s="443"/>
      <c r="L159" s="56"/>
      <c r="M159" s="347" t="str">
        <f>IF(AND(E145&lt;&gt;"",OR(F159="",COUNT(L159)=0),Y159&lt;&gt;EUconst_NA),EUconst_ERR_Incomplete,"")</f>
        <v/>
      </c>
      <c r="N159" s="76"/>
      <c r="O159" s="160"/>
      <c r="P159" s="348"/>
      <c r="Q159" s="413"/>
      <c r="R159" s="413"/>
      <c r="S159" s="314"/>
      <c r="T159" s="425" t="str">
        <f>EUconst_CNTR_RFNBOetcContent&amp;E145</f>
        <v>RNFBOC_</v>
      </c>
      <c r="U159" s="312"/>
      <c r="V159" s="312"/>
      <c r="W159" s="312"/>
      <c r="X159" s="312"/>
      <c r="Y159" s="438" t="str">
        <f>IF(E145="","",IF(OR(F159=EUconst_NA,W159=TRUE),EUconst_NA,INDEX(EUwideConstants!$P$164:$P$200,MATCH(T159,EUwideConstants!$S$164:$S$200,0))))</f>
        <v/>
      </c>
      <c r="Z159" s="314"/>
      <c r="AA159" s="314"/>
      <c r="AB159" s="314"/>
      <c r="AC159" s="429" t="b">
        <f>AND(AC154,Y159&lt;&gt;EUconst_NA)</f>
        <v>0</v>
      </c>
      <c r="AD159" s="314"/>
      <c r="AE159" s="430"/>
      <c r="AF159" s="431"/>
      <c r="AG159" s="432"/>
      <c r="AH159" s="433"/>
      <c r="AI159" s="433"/>
      <c r="AJ159" s="433"/>
      <c r="AK159" s="434"/>
      <c r="AL159" s="326"/>
      <c r="AM159" s="326"/>
      <c r="AN159" s="326"/>
      <c r="AO159" s="326"/>
      <c r="AP159" s="326"/>
      <c r="AQ159" s="435" t="s">
        <v>159</v>
      </c>
      <c r="AR159" s="430"/>
      <c r="AS159" s="436" t="str">
        <f t="shared" si="33"/>
        <v/>
      </c>
      <c r="AT159" s="437"/>
      <c r="AU159" s="438" t="str">
        <f t="shared" si="34"/>
        <v/>
      </c>
      <c r="AV159" s="429">
        <f t="shared" si="35"/>
        <v>0</v>
      </c>
      <c r="AW159" s="407" t="b">
        <f t="shared" si="27"/>
        <v>0</v>
      </c>
      <c r="AX159" s="439" t="b">
        <f t="shared" si="28"/>
        <v>0</v>
      </c>
      <c r="AY159" s="314"/>
      <c r="AZ159" s="408" t="b">
        <f t="shared" si="29"/>
        <v>0</v>
      </c>
      <c r="BA159" s="440" t="b">
        <f t="shared" si="30"/>
        <v>0</v>
      </c>
      <c r="BB159" s="314"/>
      <c r="BC159" s="407" t="b">
        <f t="shared" si="31"/>
        <v>0</v>
      </c>
      <c r="BD159" s="407" t="b">
        <f>OR(AV158&gt;100%,(AV158+AV159)&gt;100%)</f>
        <v>0</v>
      </c>
      <c r="BE159" s="314"/>
      <c r="BF159" s="408" t="s">
        <v>166</v>
      </c>
      <c r="BG159" s="409" t="str">
        <f>IF(AN150=EUconst_TJ,AV150*AV154,IF(AN152=EUconst_GJ,AV150*AV152/1000*AV154,""))</f>
        <v/>
      </c>
      <c r="BH159" s="314"/>
      <c r="BI159" s="314"/>
      <c r="BJ159" s="314"/>
      <c r="BK159" s="314"/>
      <c r="BL159" s="314"/>
      <c r="BM159" s="314"/>
      <c r="BN159" s="314"/>
      <c r="BO159" s="314"/>
      <c r="BP159" s="314"/>
      <c r="BQ159" s="314"/>
      <c r="BR159" s="314"/>
      <c r="BS159" s="314"/>
      <c r="BT159" s="314"/>
      <c r="BU159" s="314"/>
      <c r="BV159" s="314"/>
      <c r="BW159" s="314"/>
      <c r="BX159" s="314"/>
      <c r="BY159" s="314"/>
      <c r="BZ159" s="314"/>
      <c r="CA159" s="314"/>
      <c r="CB159" s="314"/>
      <c r="CC159" s="314"/>
      <c r="CD159" s="314"/>
      <c r="CE159" s="314"/>
      <c r="CF159" s="314"/>
      <c r="CG159" s="314"/>
      <c r="CH159" s="314"/>
      <c r="CI159" s="314"/>
      <c r="CJ159" s="314"/>
      <c r="CK159" s="314"/>
      <c r="CL159" s="314"/>
      <c r="CM159" s="314"/>
      <c r="CN159" s="314"/>
      <c r="CO159" s="314"/>
      <c r="CP159" s="314"/>
      <c r="CQ159" s="407" t="b">
        <f>OR(CQ150,Y159=EUconst_NA)</f>
        <v>0</v>
      </c>
    </row>
    <row r="160" spans="1:95" ht="5.15" customHeight="1" thickBot="1" x14ac:dyDescent="0.3">
      <c r="A160" s="307"/>
      <c r="B160" s="68"/>
      <c r="C160" s="68"/>
      <c r="D160" s="205"/>
      <c r="E160" s="76"/>
      <c r="F160" s="76"/>
      <c r="G160" s="76"/>
      <c r="H160" s="76"/>
      <c r="I160" s="76"/>
      <c r="J160" s="76"/>
      <c r="K160" s="76"/>
      <c r="L160" s="76"/>
      <c r="M160" s="453"/>
      <c r="N160" s="76"/>
      <c r="O160" s="160"/>
      <c r="P160" s="109"/>
      <c r="Q160" s="312"/>
      <c r="R160" s="312"/>
      <c r="S160" s="314"/>
      <c r="T160" s="314"/>
      <c r="U160" s="314"/>
      <c r="V160" s="314"/>
      <c r="W160" s="314"/>
      <c r="X160" s="314"/>
      <c r="Y160" s="314"/>
      <c r="Z160" s="314"/>
      <c r="AA160" s="314"/>
      <c r="AB160" s="314"/>
      <c r="AC160" s="314"/>
      <c r="AD160" s="314"/>
      <c r="AE160" s="314"/>
      <c r="AF160" s="314"/>
      <c r="AG160" s="314"/>
      <c r="AH160" s="314"/>
      <c r="AI160" s="314"/>
      <c r="AJ160" s="314"/>
      <c r="AK160" s="314"/>
      <c r="AL160" s="314"/>
      <c r="AM160" s="314"/>
      <c r="AN160" s="314"/>
      <c r="AO160" s="314"/>
      <c r="AP160" s="314"/>
      <c r="AQ160" s="314"/>
      <c r="AR160" s="314"/>
      <c r="AS160" s="314"/>
      <c r="AT160" s="314"/>
      <c r="AU160" s="314"/>
      <c r="AV160" s="314"/>
      <c r="AW160" s="314"/>
      <c r="AX160" s="314"/>
      <c r="AY160" s="314"/>
      <c r="AZ160" s="314"/>
      <c r="BA160" s="314"/>
      <c r="BB160" s="314"/>
      <c r="BC160" s="314"/>
      <c r="BD160" s="314"/>
      <c r="BE160" s="314"/>
      <c r="BF160" s="314"/>
      <c r="BG160" s="364"/>
      <c r="BH160" s="314"/>
      <c r="BI160" s="314"/>
      <c r="BJ160" s="314"/>
      <c r="BK160" s="314"/>
      <c r="BL160" s="314"/>
      <c r="BM160" s="314"/>
      <c r="BN160" s="314"/>
      <c r="BO160" s="314"/>
      <c r="BP160" s="314"/>
      <c r="BQ160" s="314"/>
      <c r="BR160" s="314"/>
      <c r="BS160" s="314"/>
      <c r="BT160" s="314"/>
      <c r="BU160" s="314"/>
      <c r="BV160" s="314"/>
      <c r="BW160" s="314"/>
      <c r="BX160" s="314"/>
      <c r="BY160" s="314"/>
      <c r="BZ160" s="314"/>
      <c r="CA160" s="314"/>
      <c r="CB160" s="314"/>
      <c r="CC160" s="314"/>
      <c r="CD160" s="314"/>
      <c r="CE160" s="314"/>
      <c r="CF160" s="314"/>
      <c r="CG160" s="314"/>
      <c r="CH160" s="314"/>
      <c r="CI160" s="314"/>
      <c r="CJ160" s="314"/>
      <c r="CK160" s="314"/>
      <c r="CL160" s="314"/>
      <c r="CM160" s="314"/>
      <c r="CN160" s="314"/>
      <c r="CO160" s="314"/>
      <c r="CP160" s="314"/>
      <c r="CQ160" s="314"/>
    </row>
    <row r="161" spans="1:95" ht="12.75" customHeight="1" thickBot="1" x14ac:dyDescent="0.3">
      <c r="A161" s="307"/>
      <c r="B161" s="68"/>
      <c r="C161" s="199" t="s">
        <v>167</v>
      </c>
      <c r="D161" s="344" t="str">
        <f>Translations!$B$398</f>
        <v>Scope factor:</v>
      </c>
      <c r="E161" s="454"/>
      <c r="F161" s="992"/>
      <c r="G161" s="1263"/>
      <c r="H161" s="1264"/>
      <c r="I161" s="455" t="s">
        <v>46</v>
      </c>
      <c r="J161" s="456"/>
      <c r="K161" s="457" t="str">
        <f>IF(L161="",AU161,"")</f>
        <v/>
      </c>
      <c r="L161" s="16"/>
      <c r="M161" s="458" t="str">
        <f>IF(AND(E145&lt;&gt;"",OR(F161="",G161="",COUNT(K161:L161)=0)),EUconst_ERR_Incomplete,IF(COUNTIF(BB161:BD161,TRUE)&gt;0,EUconst_ERR_Inconsistent,""))</f>
        <v/>
      </c>
      <c r="N161" s="76"/>
      <c r="O161" s="160"/>
      <c r="P161" s="109"/>
      <c r="Q161" s="312"/>
      <c r="R161" s="314"/>
      <c r="S161" s="297"/>
      <c r="T161" s="459" t="str">
        <f>EUconst_CNTR_ScopeFactor&amp;E145</f>
        <v>ScopeFactor_</v>
      </c>
      <c r="U161" s="231" t="str">
        <f>IF(F161="","",INDEX(ScopeAddress,MATCH(F161,ScopeTiers,0)))</f>
        <v/>
      </c>
      <c r="V161" s="360" t="str">
        <f>V150</f>
        <v/>
      </c>
      <c r="W161" s="314"/>
      <c r="X161" s="314"/>
      <c r="Y161" s="460" t="str">
        <f>IF(E145="","",IF(F161=EUconst_NA,EUconst_NA,INDEX(EUwideConstants!$P$164:$P$200,MATCH(T161,EUwideConstants!$S$164:$S$200,0))))</f>
        <v/>
      </c>
      <c r="Z161" s="461" t="str">
        <f>IF(ISBLANK(F161),"",IF(F161=EUconst_NA,"",INDEX(EUwideConstants!$H:$O,MATCH(T161,EUwideConstants!$S:$S,0),MATCH(F161,CNTR_TierList,0))))</f>
        <v/>
      </c>
      <c r="AA161" s="331" t="str">
        <f>IF(G161=EUwideConstants!$A$89,1,"")</f>
        <v/>
      </c>
      <c r="AB161" s="314"/>
      <c r="AC161" s="331" t="b">
        <f>AND(AC150,Y161&lt;&gt;EUconst_NA)</f>
        <v>0</v>
      </c>
      <c r="AD161" s="314"/>
      <c r="AE161" s="314"/>
      <c r="AF161" s="314"/>
      <c r="AG161" s="319"/>
      <c r="AH161" s="314"/>
      <c r="AI161" s="314"/>
      <c r="AJ161" s="314"/>
      <c r="AK161" s="314"/>
      <c r="AL161" s="314"/>
      <c r="AM161" s="314"/>
      <c r="AN161" s="314"/>
      <c r="AO161" s="314"/>
      <c r="AP161" s="314"/>
      <c r="AQ161" s="314"/>
      <c r="AR161" s="314"/>
      <c r="AS161" s="328">
        <v>1</v>
      </c>
      <c r="AT161" s="314"/>
      <c r="AU161" s="319" t="str">
        <f>IF(G161=EUwideConstants!$A$89,AS161,"")</f>
        <v/>
      </c>
      <c r="AV161" s="331">
        <f>IF(AC161=TRUE,IF(COUNT(K161:L161)=0,0,IF(L161="",K161,L161)),0)</f>
        <v>0</v>
      </c>
      <c r="AW161" s="360" t="b">
        <f>AND(AC161=TRUE,OR(AND(F161&lt;&gt;"",NOT(ISNUMBER(AA161))),L161&lt;&gt;"",F161="",AU161=""))</f>
        <v>0</v>
      </c>
      <c r="AX161" s="357" t="b">
        <f>AND(AC161=TRUE,NOT(AW161))</f>
        <v>0</v>
      </c>
      <c r="AY161" s="314"/>
      <c r="AZ161" s="361" t="b">
        <f>AND(ISNUMBER(AA161),AU161="")</f>
        <v>0</v>
      </c>
      <c r="BA161" s="351" t="b">
        <f>AND(ISNUMBER(AA161),AU161&lt;&gt;AV161)</f>
        <v>0</v>
      </c>
      <c r="BB161" s="314"/>
      <c r="BC161" s="360" t="b">
        <f>AND(F161&lt;&gt;"",OR(COUNTIF(INDEX(ScopeMethods,F161,),G161)=0,AND(AA161&lt;&gt;"",AU161&lt;&gt;AV161)))</f>
        <v>0</v>
      </c>
      <c r="BD161" s="314"/>
      <c r="BE161" s="314"/>
      <c r="BF161" s="361" t="s">
        <v>168</v>
      </c>
      <c r="BG161" s="362" t="str">
        <f>IF(AN150=EUconst_TJ,AV150*AV156,IF(AN152=EUconst_GJ,AV150*AV152/1000*AV156,""))</f>
        <v/>
      </c>
      <c r="BH161" s="314"/>
      <c r="BI161" s="314"/>
      <c r="BJ161" s="314"/>
      <c r="BK161" s="314"/>
      <c r="BL161" s="314"/>
      <c r="BM161" s="314"/>
      <c r="BN161" s="314"/>
      <c r="BO161" s="314"/>
      <c r="BP161" s="314"/>
      <c r="BQ161" s="314"/>
      <c r="BR161" s="314"/>
      <c r="BS161" s="314"/>
      <c r="BT161" s="314"/>
      <c r="BU161" s="314"/>
      <c r="BV161" s="314"/>
      <c r="BW161" s="314"/>
      <c r="BX161" s="314"/>
      <c r="BY161" s="314"/>
      <c r="BZ161" s="314"/>
      <c r="CA161" s="314"/>
      <c r="CB161" s="314"/>
      <c r="CC161" s="314"/>
      <c r="CD161" s="314"/>
      <c r="CE161" s="314"/>
      <c r="CF161" s="314"/>
      <c r="CG161" s="314"/>
      <c r="CH161" s="314"/>
      <c r="CI161" s="314"/>
      <c r="CJ161" s="314"/>
      <c r="CK161" s="314"/>
      <c r="CL161" s="314"/>
      <c r="CM161" s="314"/>
      <c r="CN161" s="314"/>
      <c r="CO161" s="314"/>
      <c r="CP161" s="314"/>
      <c r="CQ161" s="314"/>
    </row>
    <row r="162" spans="1:95" ht="12.75" customHeight="1" x14ac:dyDescent="0.25">
      <c r="A162" s="307"/>
      <c r="B162" s="68"/>
      <c r="C162" s="68"/>
      <c r="D162" s="68"/>
      <c r="E162" s="68"/>
      <c r="F162" s="68"/>
      <c r="G162" s="1265" t="str">
        <f>IF(G161="","",INDEX(ScopeMethodsDetails,MATCH(G161,INDEX(ScopeMethodsDetails,,1),0),2))</f>
        <v/>
      </c>
      <c r="H162" s="1266"/>
      <c r="I162" s="1266"/>
      <c r="J162" s="1266"/>
      <c r="K162" s="1266"/>
      <c r="L162" s="1266"/>
      <c r="M162" s="1267"/>
      <c r="N162" s="76"/>
      <c r="O162" s="160"/>
      <c r="P162" s="109"/>
      <c r="Q162" s="312"/>
      <c r="R162" s="312"/>
      <c r="S162" s="314"/>
      <c r="T162" s="314"/>
      <c r="U162" s="314"/>
      <c r="V162" s="314"/>
      <c r="W162" s="314"/>
      <c r="X162" s="314"/>
      <c r="Y162" s="314"/>
      <c r="Z162" s="314"/>
      <c r="AA162" s="314"/>
      <c r="AB162" s="314"/>
      <c r="AC162" s="314"/>
      <c r="AD162" s="314"/>
      <c r="AE162" s="314"/>
      <c r="AF162" s="314"/>
      <c r="AG162" s="314"/>
      <c r="AH162" s="314"/>
      <c r="AI162" s="314"/>
      <c r="AJ162" s="314"/>
      <c r="AK162" s="314"/>
      <c r="AL162" s="314"/>
      <c r="AM162" s="314"/>
      <c r="AN162" s="314"/>
      <c r="AO162" s="314"/>
      <c r="AP162" s="314"/>
      <c r="AQ162" s="314"/>
      <c r="AR162" s="314"/>
      <c r="AS162" s="314"/>
      <c r="AT162" s="314"/>
      <c r="AU162" s="314"/>
      <c r="AV162" s="314"/>
      <c r="AW162" s="314"/>
      <c r="AX162" s="314"/>
      <c r="AY162" s="314"/>
      <c r="AZ162" s="314"/>
      <c r="BA162" s="314"/>
      <c r="BB162" s="314"/>
      <c r="BC162" s="314"/>
      <c r="BD162" s="314"/>
      <c r="BE162" s="314"/>
      <c r="BG162" s="364"/>
      <c r="BH162" s="314"/>
      <c r="BI162" s="314"/>
      <c r="BJ162" s="314"/>
      <c r="BK162" s="314"/>
      <c r="BL162" s="314"/>
      <c r="BM162" s="314"/>
      <c r="BN162" s="314"/>
      <c r="BO162" s="314"/>
      <c r="BP162" s="314"/>
      <c r="BQ162" s="314"/>
      <c r="BR162" s="314"/>
      <c r="BS162" s="314"/>
      <c r="BT162" s="314"/>
      <c r="BU162" s="314"/>
      <c r="BV162" s="314"/>
      <c r="BW162" s="314"/>
      <c r="BX162" s="314"/>
      <c r="BY162" s="314"/>
      <c r="BZ162" s="314"/>
      <c r="CA162" s="314"/>
      <c r="CB162" s="314"/>
      <c r="CC162" s="314"/>
      <c r="CD162" s="314"/>
      <c r="CE162" s="314"/>
      <c r="CF162" s="314"/>
      <c r="CG162" s="314"/>
      <c r="CH162" s="314"/>
      <c r="CI162" s="314"/>
      <c r="CJ162" s="314"/>
      <c r="CK162" s="314"/>
      <c r="CL162" s="314"/>
      <c r="CM162" s="314"/>
      <c r="CN162" s="314"/>
      <c r="CO162" s="314"/>
      <c r="CP162" s="314"/>
      <c r="CQ162" s="314"/>
    </row>
    <row r="163" spans="1:95" ht="5.15" customHeight="1" x14ac:dyDescent="0.25">
      <c r="A163" s="307"/>
      <c r="C163" s="76"/>
      <c r="D163" s="76"/>
      <c r="E163" s="76"/>
      <c r="F163" s="76"/>
      <c r="G163" s="76"/>
      <c r="H163" s="76"/>
      <c r="I163" s="76"/>
      <c r="J163" s="76"/>
      <c r="K163" s="76"/>
      <c r="L163" s="76"/>
      <c r="O163" s="160"/>
      <c r="P163" s="109"/>
      <c r="Q163" s="312"/>
      <c r="R163" s="312"/>
      <c r="S163" s="314"/>
      <c r="T163" s="314"/>
      <c r="U163" s="314"/>
      <c r="V163" s="314"/>
      <c r="W163" s="314"/>
      <c r="X163" s="314"/>
      <c r="Y163" s="314"/>
      <c r="Z163" s="314"/>
      <c r="AA163" s="314"/>
      <c r="AB163" s="314"/>
      <c r="AC163" s="314"/>
      <c r="AD163" s="314"/>
      <c r="AE163" s="314"/>
      <c r="AF163" s="314"/>
      <c r="AG163" s="314"/>
      <c r="AH163" s="314"/>
      <c r="AI163" s="314"/>
      <c r="AJ163" s="314"/>
      <c r="AK163" s="314"/>
      <c r="AL163" s="314"/>
      <c r="AM163" s="314"/>
      <c r="AN163" s="314"/>
      <c r="AO163" s="314"/>
      <c r="AP163" s="314"/>
      <c r="AQ163" s="314"/>
      <c r="AR163" s="314"/>
      <c r="AS163" s="314"/>
      <c r="AT163" s="314"/>
      <c r="AU163" s="314"/>
      <c r="AV163" s="314"/>
      <c r="AW163" s="314"/>
      <c r="AX163" s="314"/>
      <c r="AY163" s="314"/>
      <c r="AZ163" s="314"/>
      <c r="BA163" s="314"/>
      <c r="BB163" s="314"/>
      <c r="BC163" s="314"/>
      <c r="BD163" s="314"/>
      <c r="BE163" s="314"/>
      <c r="BG163" s="364"/>
      <c r="BH163" s="314"/>
      <c r="BI163" s="314"/>
      <c r="BJ163" s="314"/>
      <c r="BK163" s="314"/>
      <c r="BL163" s="314"/>
      <c r="BM163" s="314"/>
      <c r="BN163" s="314"/>
      <c r="BO163" s="314"/>
      <c r="BP163" s="314"/>
      <c r="BQ163" s="314"/>
      <c r="BR163" s="314"/>
      <c r="BS163" s="314"/>
      <c r="BT163" s="314"/>
      <c r="BU163" s="314"/>
      <c r="BV163" s="314"/>
      <c r="BW163" s="314"/>
      <c r="BX163" s="314"/>
      <c r="BY163" s="314"/>
      <c r="BZ163" s="314"/>
      <c r="CA163" s="314"/>
      <c r="CB163" s="314"/>
      <c r="CC163" s="314"/>
      <c r="CD163" s="314"/>
      <c r="CE163" s="314"/>
      <c r="CF163" s="314"/>
      <c r="CG163" s="314"/>
      <c r="CH163" s="314"/>
      <c r="CI163" s="314"/>
      <c r="CJ163" s="314"/>
      <c r="CK163" s="314"/>
      <c r="CL163" s="314"/>
      <c r="CM163" s="314"/>
      <c r="CN163" s="314"/>
      <c r="CO163" s="314"/>
      <c r="CP163" s="314"/>
      <c r="CQ163" s="314"/>
    </row>
    <row r="164" spans="1:95" ht="12.75" customHeight="1" thickBot="1" x14ac:dyDescent="0.3">
      <c r="A164" s="307"/>
      <c r="C164" s="76"/>
      <c r="D164" s="76"/>
      <c r="E164" s="76"/>
      <c r="F164" s="76"/>
      <c r="G164" s="1268">
        <v>1</v>
      </c>
      <c r="H164" s="1268"/>
      <c r="I164" s="1268">
        <v>2</v>
      </c>
      <c r="J164" s="1268"/>
      <c r="K164" s="1268">
        <v>3</v>
      </c>
      <c r="L164" s="1268"/>
      <c r="O164" s="160"/>
      <c r="P164" s="109"/>
      <c r="Q164" s="312"/>
      <c r="R164" s="312"/>
      <c r="S164" s="314"/>
      <c r="T164" s="314"/>
      <c r="U164" s="314"/>
      <c r="V164" s="314"/>
      <c r="W164" s="314"/>
      <c r="X164" s="314"/>
      <c r="Y164" s="314"/>
      <c r="Z164" s="314"/>
      <c r="AA164" s="314"/>
      <c r="AB164" s="314"/>
      <c r="AC164" s="314"/>
      <c r="AD164" s="314"/>
      <c r="AE164" s="314"/>
      <c r="AF164" s="314"/>
      <c r="AG164" s="314"/>
      <c r="AH164" s="314"/>
      <c r="AI164" s="314"/>
      <c r="AJ164" s="314"/>
      <c r="AK164" s="314"/>
      <c r="AL164" s="314"/>
      <c r="AM164" s="314"/>
      <c r="AN164" s="314"/>
      <c r="AO164" s="314"/>
      <c r="AP164" s="314"/>
      <c r="AQ164" s="314"/>
      <c r="AR164" s="314"/>
      <c r="AS164" s="314"/>
      <c r="AT164" s="314"/>
      <c r="AU164" s="314"/>
      <c r="AV164" s="314"/>
      <c r="AW164" s="314"/>
      <c r="AX164" s="314"/>
      <c r="AY164" s="314"/>
      <c r="AZ164" s="314"/>
      <c r="BA164" s="314"/>
      <c r="BB164" s="314"/>
      <c r="BC164" s="314"/>
      <c r="BD164" s="314"/>
      <c r="BE164" s="314"/>
      <c r="BF164" s="314"/>
      <c r="BG164" s="364"/>
      <c r="BH164" s="314"/>
      <c r="BI164" s="314"/>
      <c r="BJ164" s="314"/>
      <c r="BK164" s="314"/>
      <c r="BL164" s="314"/>
      <c r="BM164" s="314"/>
      <c r="BN164" s="314"/>
      <c r="BO164" s="314"/>
      <c r="BP164" s="314"/>
      <c r="BQ164" s="314"/>
      <c r="BR164" s="314"/>
      <c r="BS164" s="314"/>
      <c r="BT164" s="314"/>
      <c r="BU164" s="314"/>
      <c r="BV164" s="314"/>
      <c r="BW164" s="314"/>
      <c r="BX164" s="314"/>
      <c r="BY164" s="314"/>
      <c r="BZ164" s="314"/>
      <c r="CA164" s="314"/>
      <c r="CB164" s="314"/>
      <c r="CC164" s="314"/>
      <c r="CD164" s="314"/>
      <c r="CE164" s="314"/>
      <c r="CF164" s="314"/>
      <c r="CG164" s="314"/>
      <c r="CH164" s="314"/>
      <c r="CI164" s="314"/>
      <c r="CJ164" s="314"/>
      <c r="CK164" s="314"/>
      <c r="CL164" s="314"/>
      <c r="CM164" s="314"/>
      <c r="CN164" s="314"/>
      <c r="CO164" s="314"/>
      <c r="CP164" s="314"/>
      <c r="CQ164" s="314"/>
    </row>
    <row r="165" spans="1:95" ht="12.75" customHeight="1" thickBot="1" x14ac:dyDescent="0.3">
      <c r="A165" s="462"/>
      <c r="B165" s="76"/>
      <c r="C165" s="76"/>
      <c r="D165" s="1246" t="str">
        <f>Translations!$B$372</f>
        <v>Consumers' CRF category:</v>
      </c>
      <c r="E165" s="1246"/>
      <c r="F165" s="1247"/>
      <c r="G165" s="1248"/>
      <c r="H165" s="1249"/>
      <c r="I165" s="1248"/>
      <c r="J165" s="1249"/>
      <c r="K165" s="1248"/>
      <c r="L165" s="1249"/>
      <c r="M165" s="463" t="str">
        <f>IF(AND(E144&lt;&gt;"",COUNTA(G165:L165)=0,AX165=FALSE),EUconst_ERR_Incomplete,"")</f>
        <v/>
      </c>
      <c r="N165" s="76"/>
      <c r="O165" s="160"/>
      <c r="P165" s="109"/>
      <c r="Q165" s="312"/>
      <c r="R165" s="312"/>
      <c r="S165" s="314"/>
      <c r="T165" s="314"/>
      <c r="U165" s="314"/>
      <c r="V165" s="314"/>
      <c r="W165" s="314"/>
      <c r="X165" s="314"/>
      <c r="Y165" s="314"/>
      <c r="Z165" s="314"/>
      <c r="AA165" s="314"/>
      <c r="AB165" s="314"/>
      <c r="AC165" s="314"/>
      <c r="AD165" s="314"/>
      <c r="AE165" s="314"/>
      <c r="AF165" s="314"/>
      <c r="AG165" s="314"/>
      <c r="AH165" s="314"/>
      <c r="AI165" s="314"/>
      <c r="AJ165" s="314"/>
      <c r="AK165" s="314"/>
      <c r="AL165" s="314"/>
      <c r="AM165" s="314"/>
      <c r="AN165" s="314"/>
      <c r="AO165" s="314"/>
      <c r="AP165" s="314"/>
      <c r="AQ165" s="314"/>
      <c r="AR165" s="314"/>
      <c r="AS165" s="314"/>
      <c r="AT165" s="314"/>
      <c r="AU165" s="314"/>
      <c r="AV165" s="314"/>
      <c r="AW165" s="314"/>
      <c r="AX165" s="464" t="b">
        <f>AND(AV161&lt;&gt;"",SUM(AV161=1))</f>
        <v>0</v>
      </c>
      <c r="AY165" s="314"/>
      <c r="AZ165" s="314"/>
      <c r="BA165" s="314"/>
      <c r="BB165" s="314"/>
      <c r="BC165" s="314"/>
      <c r="BD165" s="314"/>
      <c r="BE165" s="314"/>
      <c r="BF165" s="361" t="s">
        <v>169</v>
      </c>
      <c r="BG165" s="362" t="str">
        <f>IF(AN150=EUconst_TJ,AV150*AV158,IF(AN152=EUconst_GJ,AV150*AV152/1000*AV158,""))</f>
        <v/>
      </c>
      <c r="BH165" s="314"/>
      <c r="BI165" s="314"/>
      <c r="BJ165" s="314"/>
      <c r="BK165" s="314"/>
      <c r="BL165" s="314"/>
      <c r="BM165" s="314"/>
      <c r="BN165" s="314"/>
      <c r="BO165" s="314"/>
      <c r="BP165" s="314"/>
      <c r="BQ165" s="314"/>
      <c r="BR165" s="314"/>
      <c r="BS165" s="314"/>
      <c r="BT165" s="314"/>
      <c r="BU165" s="314"/>
      <c r="BV165" s="314"/>
      <c r="BW165" s="314"/>
      <c r="BX165" s="314"/>
      <c r="BY165" s="314"/>
      <c r="BZ165" s="314"/>
      <c r="CA165" s="314"/>
      <c r="CB165" s="314"/>
      <c r="CC165" s="314"/>
      <c r="CD165" s="314"/>
      <c r="CE165" s="314"/>
      <c r="CF165" s="314"/>
      <c r="CG165" s="314"/>
      <c r="CH165" s="314"/>
      <c r="CI165" s="314"/>
      <c r="CJ165" s="314"/>
      <c r="CK165" s="314"/>
      <c r="CL165" s="314"/>
      <c r="CM165" s="314"/>
      <c r="CN165" s="314"/>
      <c r="CO165" s="314"/>
      <c r="CP165" s="314"/>
      <c r="CQ165" s="314"/>
    </row>
    <row r="166" spans="1:95" ht="5.15" customHeight="1" x14ac:dyDescent="0.25">
      <c r="A166" s="307"/>
      <c r="B166" s="68"/>
      <c r="C166" s="68"/>
      <c r="D166" s="68"/>
      <c r="E166" s="68"/>
      <c r="F166" s="68"/>
      <c r="G166" s="76"/>
      <c r="H166" s="76"/>
      <c r="I166" s="76"/>
      <c r="J166" s="76"/>
      <c r="K166" s="76"/>
      <c r="L166" s="76"/>
      <c r="M166" s="76"/>
      <c r="N166" s="76"/>
      <c r="O166" s="160"/>
      <c r="P166" s="109"/>
      <c r="Q166" s="312"/>
      <c r="R166" s="312"/>
      <c r="S166" s="314"/>
      <c r="T166" s="314"/>
      <c r="U166" s="314"/>
      <c r="V166" s="314"/>
      <c r="W166" s="314"/>
      <c r="X166" s="314"/>
      <c r="Y166" s="314"/>
      <c r="Z166" s="314"/>
      <c r="AA166" s="314"/>
      <c r="AB166" s="314"/>
      <c r="AC166" s="314"/>
      <c r="AD166" s="314"/>
      <c r="AE166" s="314"/>
      <c r="AF166" s="314"/>
      <c r="AG166" s="314"/>
      <c r="AH166" s="314"/>
      <c r="AI166" s="314"/>
      <c r="AJ166" s="314"/>
      <c r="AK166" s="314"/>
      <c r="AL166" s="314"/>
      <c r="AM166" s="314"/>
      <c r="AN166" s="314"/>
      <c r="AO166" s="314"/>
      <c r="AP166" s="314"/>
      <c r="AQ166" s="314"/>
      <c r="AR166" s="314"/>
      <c r="AS166" s="314"/>
      <c r="AT166" s="314"/>
      <c r="AU166" s="314"/>
      <c r="AV166" s="314"/>
      <c r="AW166" s="314"/>
      <c r="AX166" s="314"/>
      <c r="AY166" s="314"/>
      <c r="AZ166" s="314"/>
      <c r="BA166" s="314"/>
      <c r="BB166" s="314"/>
      <c r="BC166" s="314"/>
      <c r="BD166" s="314"/>
      <c r="BE166" s="314"/>
      <c r="BF166" s="314"/>
      <c r="BG166" s="314"/>
      <c r="BH166" s="314"/>
      <c r="BI166" s="314"/>
      <c r="BJ166" s="314"/>
      <c r="BK166" s="314"/>
      <c r="BL166" s="314"/>
      <c r="BM166" s="314"/>
      <c r="BN166" s="314"/>
      <c r="BO166" s="314"/>
      <c r="BP166" s="314"/>
      <c r="BQ166" s="314"/>
      <c r="BR166" s="314"/>
      <c r="BS166" s="314"/>
      <c r="BT166" s="314"/>
      <c r="BU166" s="314"/>
      <c r="BV166" s="314"/>
      <c r="BW166" s="314"/>
      <c r="BX166" s="314"/>
      <c r="BY166" s="314"/>
      <c r="BZ166" s="314"/>
      <c r="CA166" s="314"/>
      <c r="CB166" s="314"/>
      <c r="CC166" s="314"/>
      <c r="CD166" s="314"/>
      <c r="CE166" s="314"/>
      <c r="CF166" s="314"/>
      <c r="CG166" s="314"/>
      <c r="CH166" s="314"/>
      <c r="CI166" s="314"/>
      <c r="CJ166" s="314"/>
      <c r="CK166" s="314"/>
      <c r="CL166" s="314"/>
      <c r="CM166" s="314"/>
      <c r="CN166" s="314"/>
      <c r="CO166" s="314"/>
      <c r="CP166" s="314"/>
      <c r="CQ166" s="314"/>
    </row>
    <row r="167" spans="1:95" ht="12.75" customHeight="1" x14ac:dyDescent="0.25">
      <c r="A167" s="307"/>
      <c r="B167" s="68"/>
      <c r="C167" s="68"/>
      <c r="D167" s="1246" t="str">
        <f>Translations!$B$399</f>
        <v>Tiers valid from:</v>
      </c>
      <c r="E167" s="1246"/>
      <c r="F167" s="1247"/>
      <c r="G167" s="8"/>
      <c r="H167" s="199" t="str">
        <f>Translations!$B$400</f>
        <v>until:</v>
      </c>
      <c r="I167" s="8"/>
      <c r="J167" s="76"/>
      <c r="K167" s="76"/>
      <c r="L167" s="76"/>
      <c r="M167" s="199" t="str">
        <f>Translations!$B$401</f>
        <v>ID used in the monitoring plan for this fuel stream:</v>
      </c>
      <c r="N167" s="9"/>
      <c r="O167" s="160"/>
      <c r="P167" s="109"/>
      <c r="Q167" s="312"/>
      <c r="R167" s="312"/>
      <c r="S167" s="465"/>
      <c r="T167" s="314"/>
      <c r="U167" s="314"/>
      <c r="V167" s="314"/>
      <c r="W167" s="314"/>
      <c r="X167" s="314"/>
      <c r="Y167" s="314"/>
      <c r="Z167" s="314"/>
      <c r="AA167" s="314"/>
      <c r="AB167" s="314"/>
      <c r="AC167" s="314"/>
      <c r="AD167" s="314"/>
      <c r="AE167" s="314"/>
      <c r="AF167" s="314"/>
      <c r="AG167" s="314"/>
      <c r="AH167" s="314"/>
      <c r="AI167" s="314"/>
      <c r="AJ167" s="314"/>
      <c r="AK167" s="314"/>
      <c r="AL167" s="314"/>
      <c r="AM167" s="314"/>
      <c r="AN167" s="314"/>
      <c r="AO167" s="314"/>
      <c r="AP167" s="314"/>
      <c r="AQ167" s="314"/>
      <c r="AR167" s="314"/>
      <c r="AS167" s="314"/>
      <c r="AT167" s="314"/>
      <c r="AU167" s="314"/>
      <c r="AV167" s="314"/>
      <c r="AW167" s="314"/>
      <c r="AX167" s="314"/>
      <c r="AY167" s="314"/>
      <c r="AZ167" s="314"/>
      <c r="BA167" s="314"/>
      <c r="BB167" s="314"/>
      <c r="BC167" s="314"/>
      <c r="BD167" s="314"/>
      <c r="BE167" s="314"/>
      <c r="BF167" s="314"/>
      <c r="BG167" s="314"/>
      <c r="BH167" s="314"/>
      <c r="BI167" s="314"/>
      <c r="BJ167" s="314"/>
      <c r="BK167" s="314"/>
      <c r="BL167" s="314"/>
      <c r="BM167" s="314"/>
      <c r="BN167" s="314"/>
      <c r="BO167" s="314"/>
      <c r="BP167" s="314"/>
      <c r="BQ167" s="314"/>
      <c r="BR167" s="314"/>
      <c r="BS167" s="314"/>
      <c r="BT167" s="314"/>
      <c r="BU167" s="314"/>
      <c r="BV167" s="314"/>
      <c r="BW167" s="314"/>
      <c r="BX167" s="314"/>
      <c r="BY167" s="314"/>
      <c r="BZ167" s="314"/>
      <c r="CA167" s="314"/>
      <c r="CB167" s="314"/>
      <c r="CC167" s="314"/>
      <c r="CD167" s="314"/>
      <c r="CE167" s="314"/>
      <c r="CF167" s="314"/>
      <c r="CG167" s="314"/>
      <c r="CH167" s="314"/>
      <c r="CI167" s="314"/>
      <c r="CJ167" s="314"/>
      <c r="CK167" s="314"/>
      <c r="CL167" s="314"/>
      <c r="CM167" s="314"/>
      <c r="CN167" s="314"/>
      <c r="CO167" s="314"/>
      <c r="CP167" s="314"/>
      <c r="CQ167" s="464" t="b">
        <f>CQ150</f>
        <v>0</v>
      </c>
    </row>
    <row r="168" spans="1:95" ht="5.15" customHeight="1" x14ac:dyDescent="0.25">
      <c r="A168" s="462"/>
      <c r="B168" s="76"/>
      <c r="C168" s="76"/>
      <c r="D168" s="76"/>
      <c r="E168" s="76"/>
      <c r="F168" s="76"/>
      <c r="G168" s="76"/>
      <c r="H168" s="76"/>
      <c r="I168" s="76"/>
      <c r="J168" s="76"/>
      <c r="K168" s="76"/>
      <c r="L168" s="76"/>
      <c r="M168" s="76"/>
      <c r="N168" s="76"/>
      <c r="O168" s="160"/>
      <c r="P168" s="109"/>
      <c r="Q168" s="312"/>
      <c r="R168" s="312"/>
      <c r="S168" s="314"/>
      <c r="T168" s="314"/>
      <c r="U168" s="314"/>
      <c r="V168" s="314"/>
      <c r="W168" s="314"/>
      <c r="X168" s="314"/>
      <c r="Y168" s="314"/>
      <c r="Z168" s="314"/>
      <c r="AA168" s="314"/>
      <c r="AB168" s="314"/>
      <c r="AC168" s="314"/>
      <c r="AD168" s="314"/>
      <c r="AE168" s="314"/>
      <c r="AF168" s="314"/>
      <c r="AG168" s="314"/>
      <c r="AH168" s="314"/>
      <c r="AI168" s="314"/>
      <c r="AJ168" s="314"/>
      <c r="AK168" s="314"/>
      <c r="AL168" s="314"/>
      <c r="AM168" s="314"/>
      <c r="AN168" s="314"/>
      <c r="AO168" s="314"/>
      <c r="AP168" s="314"/>
      <c r="AQ168" s="314"/>
      <c r="AR168" s="314"/>
      <c r="AS168" s="314"/>
      <c r="AT168" s="314"/>
      <c r="AU168" s="314"/>
      <c r="AV168" s="314"/>
      <c r="AW168" s="314"/>
      <c r="AX168" s="314"/>
      <c r="AY168" s="314"/>
      <c r="AZ168" s="314"/>
      <c r="BA168" s="314"/>
      <c r="BB168" s="314"/>
      <c r="BC168" s="314"/>
      <c r="BD168" s="314"/>
      <c r="BE168" s="314"/>
      <c r="BF168" s="314"/>
      <c r="BG168" s="314"/>
      <c r="BH168" s="314"/>
      <c r="BI168" s="314"/>
      <c r="BJ168" s="314"/>
      <c r="BK168" s="314"/>
      <c r="BL168" s="314"/>
      <c r="BM168" s="314"/>
      <c r="BN168" s="314"/>
      <c r="BO168" s="314"/>
      <c r="BP168" s="314"/>
      <c r="BQ168" s="314"/>
      <c r="BR168" s="314"/>
      <c r="BS168" s="314"/>
      <c r="BT168" s="314"/>
      <c r="BU168" s="314"/>
      <c r="BV168" s="314"/>
      <c r="BW168" s="314"/>
      <c r="BX168" s="314"/>
      <c r="BY168" s="314"/>
      <c r="BZ168" s="314"/>
      <c r="CA168" s="314"/>
      <c r="CB168" s="314"/>
      <c r="CC168" s="314"/>
      <c r="CD168" s="314"/>
      <c r="CE168" s="314"/>
      <c r="CF168" s="314"/>
      <c r="CG168" s="314"/>
      <c r="CH168" s="314"/>
      <c r="CI168" s="314"/>
      <c r="CJ168" s="314"/>
      <c r="CK168" s="314"/>
      <c r="CL168" s="314"/>
      <c r="CM168" s="314"/>
      <c r="CN168" s="314"/>
      <c r="CO168" s="314"/>
      <c r="CP168" s="314"/>
      <c r="CQ168" s="314"/>
    </row>
    <row r="169" spans="1:95" ht="12.75" customHeight="1" x14ac:dyDescent="0.25">
      <c r="A169" s="462"/>
      <c r="B169" s="76"/>
      <c r="C169" s="76"/>
      <c r="D169" s="115"/>
      <c r="E169" s="85"/>
      <c r="F169" s="466" t="str">
        <f>Translations!$B$304</f>
        <v>Comments:</v>
      </c>
      <c r="G169" s="1250"/>
      <c r="H169" s="1251"/>
      <c r="I169" s="1251"/>
      <c r="J169" s="1251"/>
      <c r="K169" s="1251"/>
      <c r="L169" s="1251"/>
      <c r="M169" s="1251"/>
      <c r="N169" s="1252"/>
      <c r="O169" s="160"/>
      <c r="P169" s="109"/>
      <c r="Q169" s="312"/>
      <c r="R169" s="312"/>
      <c r="S169" s="314"/>
      <c r="T169" s="314"/>
      <c r="U169" s="314"/>
      <c r="V169" s="314"/>
      <c r="W169" s="314"/>
      <c r="X169" s="314"/>
      <c r="Y169" s="314"/>
      <c r="Z169" s="314"/>
      <c r="AA169" s="314"/>
      <c r="AB169" s="314"/>
      <c r="AC169" s="314"/>
      <c r="AD169" s="314"/>
      <c r="AE169" s="314"/>
      <c r="AF169" s="314"/>
      <c r="AG169" s="314"/>
      <c r="AH169" s="314"/>
      <c r="AI169" s="314"/>
      <c r="AJ169" s="314"/>
      <c r="AK169" s="314"/>
      <c r="AL169" s="314"/>
      <c r="AM169" s="314"/>
      <c r="AN169" s="314"/>
      <c r="AO169" s="314"/>
      <c r="AP169" s="314"/>
      <c r="AQ169" s="314"/>
      <c r="AR169" s="314"/>
      <c r="AS169" s="314"/>
      <c r="AT169" s="314"/>
      <c r="AU169" s="314"/>
      <c r="AV169" s="314"/>
      <c r="AW169" s="314"/>
      <c r="AX169" s="314"/>
      <c r="AY169" s="314"/>
      <c r="AZ169" s="314"/>
      <c r="BA169" s="314"/>
      <c r="BB169" s="314"/>
      <c r="BC169" s="314"/>
      <c r="BD169" s="314"/>
      <c r="BE169" s="314"/>
      <c r="BF169" s="314"/>
      <c r="BG169" s="314"/>
      <c r="BH169" s="314"/>
      <c r="BI169" s="314"/>
      <c r="BJ169" s="314"/>
      <c r="BK169" s="314"/>
      <c r="BL169" s="314"/>
      <c r="BM169" s="314"/>
      <c r="BN169" s="314"/>
      <c r="BO169" s="314"/>
      <c r="BP169" s="314"/>
      <c r="BQ169" s="314"/>
      <c r="BR169" s="314"/>
      <c r="BS169" s="314"/>
      <c r="BT169" s="314"/>
      <c r="BU169" s="314"/>
      <c r="BV169" s="314"/>
      <c r="BW169" s="314"/>
      <c r="BX169" s="314"/>
      <c r="BY169" s="314"/>
      <c r="BZ169" s="314"/>
      <c r="CA169" s="314"/>
      <c r="CB169" s="314"/>
      <c r="CC169" s="314"/>
      <c r="CD169" s="314"/>
      <c r="CE169" s="314"/>
      <c r="CF169" s="314"/>
      <c r="CG169" s="314"/>
      <c r="CH169" s="314"/>
      <c r="CI169" s="314"/>
      <c r="CJ169" s="314"/>
      <c r="CK169" s="314"/>
      <c r="CL169" s="314"/>
      <c r="CM169" s="314"/>
      <c r="CN169" s="314"/>
      <c r="CO169" s="314"/>
      <c r="CP169" s="314"/>
      <c r="CQ169" s="464" t="b">
        <f>CQ167</f>
        <v>0</v>
      </c>
    </row>
    <row r="170" spans="1:95" ht="12.75" customHeight="1" thickBot="1" x14ac:dyDescent="0.3">
      <c r="A170" s="307"/>
      <c r="B170" s="76"/>
      <c r="C170" s="308"/>
      <c r="D170" s="309"/>
      <c r="E170" s="310"/>
      <c r="F170" s="308"/>
      <c r="G170" s="311"/>
      <c r="H170" s="311"/>
      <c r="I170" s="311"/>
      <c r="J170" s="311"/>
      <c r="K170" s="311"/>
      <c r="L170" s="311"/>
      <c r="M170" s="311"/>
      <c r="N170" s="311"/>
      <c r="O170" s="160"/>
      <c r="P170" s="109"/>
      <c r="Q170" s="312"/>
      <c r="R170" s="312"/>
      <c r="S170" s="293"/>
      <c r="T170" s="293"/>
      <c r="U170" s="313"/>
      <c r="V170" s="293"/>
      <c r="W170" s="293"/>
      <c r="X170" s="313"/>
      <c r="Y170" s="293"/>
      <c r="Z170" s="293"/>
      <c r="AA170" s="293"/>
      <c r="AB170" s="293"/>
      <c r="AC170" s="293"/>
      <c r="AD170" s="293"/>
      <c r="AE170" s="293"/>
      <c r="AF170" s="293"/>
      <c r="AG170" s="293"/>
      <c r="AH170" s="293"/>
      <c r="AI170" s="293"/>
      <c r="AJ170" s="293"/>
      <c r="AK170" s="293"/>
      <c r="AL170" s="293"/>
      <c r="AM170" s="293"/>
      <c r="AN170" s="293"/>
      <c r="AO170" s="293"/>
      <c r="AP170" s="293"/>
      <c r="AQ170" s="293"/>
      <c r="AR170" s="293"/>
      <c r="AS170" s="293"/>
      <c r="AT170" s="293"/>
      <c r="AU170" s="293"/>
      <c r="AV170" s="293"/>
      <c r="AW170" s="293"/>
      <c r="AX170" s="293"/>
      <c r="AY170" s="293"/>
      <c r="AZ170" s="293"/>
      <c r="BA170" s="293"/>
      <c r="BB170" s="293"/>
      <c r="BC170" s="293"/>
      <c r="BD170" s="293"/>
      <c r="BE170" s="293"/>
      <c r="BF170" s="293"/>
      <c r="BG170" s="293"/>
      <c r="BH170" s="293"/>
      <c r="BI170" s="293"/>
      <c r="BJ170" s="293"/>
      <c r="BK170" s="293"/>
      <c r="BL170" s="293"/>
      <c r="BM170" s="314"/>
      <c r="BN170" s="314"/>
      <c r="BO170" s="314"/>
      <c r="BP170" s="314"/>
      <c r="BQ170" s="314"/>
      <c r="BR170" s="314"/>
      <c r="BS170" s="314"/>
      <c r="BT170" s="314"/>
      <c r="BU170" s="293"/>
      <c r="BV170" s="293"/>
      <c r="BW170" s="293"/>
      <c r="BX170" s="293"/>
      <c r="BY170" s="293"/>
      <c r="BZ170" s="293"/>
      <c r="CA170" s="293"/>
      <c r="CB170" s="293"/>
      <c r="CC170" s="293"/>
      <c r="CD170" s="293"/>
      <c r="CE170" s="293"/>
      <c r="CF170" s="293"/>
      <c r="CG170" s="293"/>
      <c r="CH170" s="293"/>
      <c r="CI170" s="293"/>
      <c r="CJ170" s="293"/>
      <c r="CK170" s="293"/>
      <c r="CL170" s="293"/>
      <c r="CM170" s="293"/>
      <c r="CN170" s="293"/>
      <c r="CO170" s="293"/>
      <c r="CP170" s="293"/>
      <c r="CQ170" s="293"/>
    </row>
    <row r="171" spans="1:95" ht="12.75" customHeight="1" thickBot="1" x14ac:dyDescent="0.3">
      <c r="A171" s="315"/>
      <c r="B171" s="76"/>
      <c r="C171" s="76"/>
      <c r="D171" s="205"/>
      <c r="E171" s="316"/>
      <c r="F171" s="76"/>
      <c r="G171" s="96"/>
      <c r="H171" s="96"/>
      <c r="I171" s="96"/>
      <c r="J171" s="96"/>
      <c r="K171" s="76"/>
      <c r="L171" s="96"/>
      <c r="M171" s="96"/>
      <c r="N171" s="96"/>
      <c r="O171" s="160"/>
      <c r="P171" s="109"/>
      <c r="Q171" s="312"/>
      <c r="R171" s="312"/>
      <c r="S171" s="287"/>
      <c r="T171" s="317" t="str">
        <f>IF(ISBLANK(E172),"",MATCH(E172,CNTR_SourceStreamNames,0))</f>
        <v/>
      </c>
      <c r="U171" s="318" t="str">
        <f>IF(ISBLANK(E172),"",INDEX(B_IdentifyFuelStreams!$D$67:$D$116,MATCH(E172,CNTR_SourceStreamNames,0)))</f>
        <v/>
      </c>
      <c r="V171" s="301"/>
      <c r="W171" s="138"/>
      <c r="X171" s="138"/>
      <c r="Y171" s="138"/>
      <c r="Z171" s="293"/>
      <c r="AA171" s="293"/>
      <c r="AB171" s="293"/>
      <c r="AC171" s="293"/>
      <c r="AD171" s="293"/>
      <c r="AE171" s="293"/>
      <c r="AF171" s="293"/>
      <c r="AG171" s="293"/>
      <c r="AH171" s="293"/>
      <c r="AI171" s="293"/>
      <c r="AJ171" s="293"/>
      <c r="AK171" s="312"/>
      <c r="AL171" s="293"/>
      <c r="AM171" s="293"/>
      <c r="AN171" s="293"/>
      <c r="AO171" s="293"/>
      <c r="AP171" s="293"/>
      <c r="AQ171" s="293"/>
      <c r="AR171" s="293"/>
      <c r="AS171" s="293"/>
      <c r="AT171" s="293"/>
      <c r="AU171" s="293"/>
      <c r="AV171" s="293"/>
      <c r="AW171" s="293"/>
      <c r="AX171" s="293"/>
      <c r="AY171" s="293"/>
      <c r="AZ171" s="293"/>
      <c r="BA171" s="293"/>
      <c r="BB171" s="293"/>
      <c r="BC171" s="293"/>
      <c r="BD171" s="293"/>
      <c r="BE171" s="293"/>
      <c r="BF171" s="293"/>
      <c r="BG171" s="293"/>
      <c r="BH171" s="293"/>
      <c r="BI171" s="293"/>
      <c r="BJ171" s="138"/>
      <c r="BK171" s="138"/>
      <c r="BL171" s="138"/>
      <c r="BM171" s="138"/>
      <c r="BN171" s="138"/>
      <c r="BO171" s="138"/>
      <c r="BP171" s="138"/>
      <c r="BQ171" s="138"/>
      <c r="BR171" s="138"/>
      <c r="BS171" s="138"/>
      <c r="BT171" s="138"/>
      <c r="BU171" s="138"/>
      <c r="BV171" s="138"/>
      <c r="BW171" s="138"/>
      <c r="BX171" s="138"/>
      <c r="BY171" s="138"/>
      <c r="BZ171" s="138"/>
      <c r="CA171" s="138"/>
      <c r="CB171" s="138"/>
      <c r="CC171" s="138"/>
      <c r="CD171" s="138"/>
      <c r="CE171" s="138"/>
      <c r="CF171" s="138"/>
      <c r="CG171" s="138"/>
      <c r="CH171" s="138"/>
      <c r="CI171" s="138"/>
      <c r="CJ171" s="138"/>
      <c r="CK171" s="138"/>
      <c r="CL171" s="138"/>
      <c r="CM171" s="138"/>
      <c r="CN171" s="138"/>
      <c r="CO171" s="138"/>
      <c r="CP171" s="138"/>
      <c r="CQ171" s="319" t="s">
        <v>107</v>
      </c>
    </row>
    <row r="172" spans="1:95" ht="15" customHeight="1" thickBot="1" x14ac:dyDescent="0.3">
      <c r="A172" s="320">
        <f>C172</f>
        <v>5</v>
      </c>
      <c r="B172" s="68"/>
      <c r="C172" s="321">
        <f>C144+1</f>
        <v>5</v>
      </c>
      <c r="D172" s="68"/>
      <c r="E172" s="1269"/>
      <c r="F172" s="1270"/>
      <c r="G172" s="1270"/>
      <c r="H172" s="1270"/>
      <c r="I172" s="1270"/>
      <c r="J172" s="1271"/>
      <c r="K172" s="1272" t="str">
        <f>IF(INDEX(B_IdentifyFuelStreams!$K$125:$K$174,MATCH(U171,B_IdentifyFuelStreams!$D$125:$D$174,0))&gt;0,INDEX(B_IdentifyFuelStreams!$K$125:$K$174,MATCH(U171,B_IdentifyFuelStreams!$D$125:$D$174,0)),"")</f>
        <v/>
      </c>
      <c r="L172" s="1273"/>
      <c r="M172" s="316" t="str">
        <f>Translations!$B$621</f>
        <v>Emissions:</v>
      </c>
      <c r="N172" s="322" t="str">
        <f>IF(E173="","",BG178)</f>
        <v/>
      </c>
      <c r="O172" s="323" t="str">
        <f>EUconst_tCO2</f>
        <v>tCO2</v>
      </c>
      <c r="P172" s="324" t="str">
        <f>IF(AND(E172&lt;&gt;"",COUNTIF(P173:$P$1649,"PRINT")=0),"PRINT","")</f>
        <v/>
      </c>
      <c r="Q172" s="325" t="str">
        <f>EUconst_SumCO2</f>
        <v>SUM_CO2</v>
      </c>
      <c r="R172" s="312"/>
      <c r="S172" s="287"/>
      <c r="T172" s="287"/>
      <c r="U172" s="287"/>
      <c r="V172" s="301"/>
      <c r="W172" s="138"/>
      <c r="X172" s="293"/>
      <c r="Y172" s="293"/>
      <c r="Z172" s="293"/>
      <c r="AA172" s="293"/>
      <c r="AB172" s="293"/>
      <c r="AC172" s="293"/>
      <c r="AD172" s="293"/>
      <c r="AE172" s="293"/>
      <c r="AF172" s="293"/>
      <c r="AG172" s="293"/>
      <c r="AH172" s="293"/>
      <c r="AI172" s="326"/>
      <c r="AJ172" s="326"/>
      <c r="AK172" s="326"/>
      <c r="AL172" s="326"/>
      <c r="AM172" s="326"/>
      <c r="AN172" s="326"/>
      <c r="AO172" s="326"/>
      <c r="AP172" s="326"/>
      <c r="AQ172" s="326"/>
      <c r="AR172" s="326"/>
      <c r="AS172" s="326"/>
      <c r="AT172" s="326"/>
      <c r="AU172" s="326"/>
      <c r="AV172" s="326"/>
      <c r="AW172" s="326"/>
      <c r="AX172" s="326"/>
      <c r="AY172" s="326"/>
      <c r="AZ172" s="326"/>
      <c r="BA172" s="326"/>
      <c r="BB172" s="326"/>
      <c r="BC172" s="326"/>
      <c r="BD172" s="326"/>
      <c r="BE172" s="326"/>
      <c r="BF172" s="326"/>
      <c r="BG172" s="326"/>
      <c r="BH172" s="326"/>
      <c r="BI172" s="327" t="str">
        <f>IF(E172="","",E172)</f>
        <v/>
      </c>
      <c r="BJ172" s="328" t="str">
        <f>IF(F178="","",F178)</f>
        <v/>
      </c>
      <c r="BK172" s="329">
        <f>AV178</f>
        <v>0</v>
      </c>
      <c r="BL172" s="329">
        <f>IF(BK172="","",BK172*(1-BP172))</f>
        <v>0</v>
      </c>
      <c r="BM172" s="328" t="str">
        <f>AJ178</f>
        <v/>
      </c>
      <c r="BN172" s="328" t="str">
        <f>IF(F189="","",F189)</f>
        <v/>
      </c>
      <c r="BO172" s="327" t="str">
        <f>IF(G189="","",G189)</f>
        <v/>
      </c>
      <c r="BP172" s="330">
        <f>AV189</f>
        <v>0</v>
      </c>
      <c r="BQ172" s="328" t="str">
        <f>IF(F181="","",F181)</f>
        <v/>
      </c>
      <c r="BR172" s="330">
        <f>AV181</f>
        <v>0</v>
      </c>
      <c r="BS172" s="330" t="str">
        <f>AJ181</f>
        <v/>
      </c>
      <c r="BT172" s="328" t="str">
        <f>IF(F180="","",F180)</f>
        <v/>
      </c>
      <c r="BU172" s="330">
        <f>IF(F180=EUconst_NA,"",AV180)</f>
        <v>0</v>
      </c>
      <c r="BV172" s="330" t="str">
        <f>AJ180</f>
        <v/>
      </c>
      <c r="BW172" s="328" t="str">
        <f>IF(F182="","",F182)</f>
        <v/>
      </c>
      <c r="BX172" s="330">
        <f>AV182</f>
        <v>0</v>
      </c>
      <c r="BY172" s="328" t="str">
        <f>IF(F183="","",F183)</f>
        <v/>
      </c>
      <c r="BZ172" s="330">
        <f>AV183</f>
        <v>0</v>
      </c>
      <c r="CA172" s="330">
        <f>AV184</f>
        <v>0</v>
      </c>
      <c r="CB172" s="330">
        <f>AV185</f>
        <v>0</v>
      </c>
      <c r="CC172" s="330">
        <f>AV186</f>
        <v>0</v>
      </c>
      <c r="CD172" s="330">
        <f>AV187</f>
        <v>0</v>
      </c>
      <c r="CE172" s="329" t="str">
        <f>BG178</f>
        <v/>
      </c>
      <c r="CF172" s="329" t="str">
        <f>BG180</f>
        <v/>
      </c>
      <c r="CG172" s="329" t="str">
        <f>BG181</f>
        <v/>
      </c>
      <c r="CH172" s="329" t="str">
        <f>BG182</f>
        <v/>
      </c>
      <c r="CI172" s="329" t="str">
        <f>BG183</f>
        <v/>
      </c>
      <c r="CJ172" s="329" t="str">
        <f>BG184</f>
        <v/>
      </c>
      <c r="CK172" s="329" t="str">
        <f>BG185</f>
        <v/>
      </c>
      <c r="CL172" s="329">
        <f>BG186</f>
        <v>0</v>
      </c>
      <c r="CM172" s="329" t="str">
        <f>BG187</f>
        <v/>
      </c>
      <c r="CN172" s="329" t="str">
        <f>BG189</f>
        <v/>
      </c>
      <c r="CO172" s="329" t="str">
        <f>BG193</f>
        <v/>
      </c>
      <c r="CP172" s="329" t="str">
        <f>IF(COUNTIF(AO181:AO182,TRUE)=0,"",BH178)</f>
        <v/>
      </c>
      <c r="CQ172" s="331" t="b">
        <v>0</v>
      </c>
    </row>
    <row r="173" spans="1:95" ht="15" customHeight="1" thickBot="1" x14ac:dyDescent="0.3">
      <c r="A173" s="307"/>
      <c r="B173" s="68"/>
      <c r="C173" s="68"/>
      <c r="D173" s="68"/>
      <c r="E173" s="1274" t="str">
        <f>IF(ISBLANK(E172),"",IF(INDEX(B_IdentifyFuelStreams!$E$67:$E$116,MATCH(U171,B_IdentifyFuelStreams!$D$67:$D$116,0))&gt;0,INDEX(B_IdentifyFuelStreams!$E$67:$E$116,MATCH(U171,B_IdentifyFuelStreams!$D$67:$D$116,0)),""))</f>
        <v/>
      </c>
      <c r="F173" s="1275"/>
      <c r="G173" s="1275"/>
      <c r="H173" s="1275"/>
      <c r="I173" s="1275"/>
      <c r="J173" s="1276"/>
      <c r="K173" s="1272" t="str">
        <f>IF(INDEX(B_IdentifyFuelStreams!$M$125:$M$174,MATCH(U171,B_IdentifyFuelStreams!$D$125:$D$174,0))&gt;0,INDEX(B_IdentifyFuelStreams!$M$125:$M$174,MATCH(U171,B_IdentifyFuelStreams!$D$125:$D$174,0)),"")</f>
        <v/>
      </c>
      <c r="L173" s="1273"/>
      <c r="M173" s="332" t="str">
        <f>Translations!$B$622</f>
        <v>zero-rated:</v>
      </c>
      <c r="N173" s="333" t="str">
        <f>IF(E173="","",SUM(BG180,BG182,BG184))</f>
        <v/>
      </c>
      <c r="O173" s="334" t="str">
        <f>EUconst_tCO2</f>
        <v>tCO2</v>
      </c>
      <c r="P173" s="109"/>
      <c r="Q173" s="325" t="str">
        <f>EUconst_SumBioCO2</f>
        <v>SUM_bioCO2</v>
      </c>
      <c r="R173" s="312"/>
      <c r="S173" s="287"/>
      <c r="T173" s="287"/>
      <c r="U173" s="287"/>
      <c r="V173" s="301"/>
      <c r="W173" s="138"/>
      <c r="X173" s="293"/>
      <c r="Y173" s="317" t="str">
        <f>Translations!$B$143</f>
        <v>Tiers</v>
      </c>
      <c r="Z173" s="314"/>
      <c r="AA173" s="314"/>
      <c r="AB173" s="314"/>
      <c r="AC173" s="314"/>
      <c r="AD173" s="314"/>
      <c r="AE173" s="317" t="s">
        <v>108</v>
      </c>
      <c r="AF173" s="293"/>
      <c r="AG173" s="335"/>
      <c r="AH173" s="314"/>
      <c r="AI173" s="314"/>
      <c r="AJ173" s="335"/>
      <c r="AK173" s="335"/>
      <c r="AL173" s="326"/>
      <c r="AM173" s="326"/>
      <c r="AN173" s="326"/>
      <c r="AO173" s="326"/>
      <c r="AP173" s="326"/>
      <c r="AQ173" s="317" t="s">
        <v>109</v>
      </c>
      <c r="AR173" s="336"/>
      <c r="AS173" s="336"/>
      <c r="AT173" s="314"/>
      <c r="AU173" s="314"/>
      <c r="AV173" s="314"/>
      <c r="AW173" s="314"/>
      <c r="AX173" s="314"/>
      <c r="AY173" s="314"/>
      <c r="AZ173" s="317" t="s">
        <v>110</v>
      </c>
      <c r="BA173" s="314"/>
      <c r="BB173" s="314"/>
      <c r="BC173" s="314"/>
      <c r="BD173" s="314"/>
      <c r="BE173" s="314"/>
      <c r="BF173" s="317" t="s">
        <v>111</v>
      </c>
      <c r="BG173" s="314"/>
      <c r="BH173" s="314"/>
      <c r="BI173" s="317" t="s">
        <v>112</v>
      </c>
      <c r="BJ173" s="328" t="str">
        <f>Translations!$B$376</f>
        <v>RFA Tier</v>
      </c>
      <c r="BK173" s="328" t="str">
        <f>Translations!$B$377</f>
        <v>RFA</v>
      </c>
      <c r="BL173" s="328" t="str">
        <f>Translations!$B$378</f>
        <v>RFA (in scope)</v>
      </c>
      <c r="BM173" s="328" t="str">
        <f>Translations!$B$379</f>
        <v>RFA Unit</v>
      </c>
      <c r="BN173" s="328" t="str">
        <f>Translations!$B$380</f>
        <v>SF Tier</v>
      </c>
      <c r="BO173" s="328" t="str">
        <f>Translations!$B$380</f>
        <v>SF Tier</v>
      </c>
      <c r="BP173" s="328" t="str">
        <f>Translations!$B$381</f>
        <v>SF</v>
      </c>
      <c r="BQ173" s="328" t="str">
        <f>Translations!$B$382</f>
        <v>EF Tier</v>
      </c>
      <c r="BR173" s="328" t="str">
        <f>Translations!$B$383</f>
        <v>EF</v>
      </c>
      <c r="BS173" s="328" t="str">
        <f>Translations!$B$384</f>
        <v>EF Unit</v>
      </c>
      <c r="BT173" s="328" t="str">
        <f>Translations!$B$385</f>
        <v>UCF Tier</v>
      </c>
      <c r="BU173" s="328" t="str">
        <f>Translations!$B$386</f>
        <v>UCF</v>
      </c>
      <c r="BV173" s="328" t="str">
        <f>Translations!$B$387</f>
        <v>UCF Unit</v>
      </c>
      <c r="BW173" s="328" t="str">
        <f>Translations!$B$388</f>
        <v>Bio Tier</v>
      </c>
      <c r="BX173" s="328" t="s">
        <v>113</v>
      </c>
      <c r="BY173" s="328" t="str">
        <f>Translations!$B$389</f>
        <v>NonSustBio Tier</v>
      </c>
      <c r="BZ173" s="328" t="s">
        <v>114</v>
      </c>
      <c r="CA173" s="328" t="s">
        <v>115</v>
      </c>
      <c r="CB173" s="328" t="s">
        <v>116</v>
      </c>
      <c r="CC173" s="328" t="s">
        <v>117</v>
      </c>
      <c r="CD173" s="328" t="s">
        <v>118</v>
      </c>
      <c r="CE173" s="328" t="s">
        <v>119</v>
      </c>
      <c r="CF173" s="328" t="s">
        <v>120</v>
      </c>
      <c r="CG173" s="328" t="str">
        <f>Translations!$B$392</f>
        <v>CO2 non-sust</v>
      </c>
      <c r="CH173" s="328" t="s">
        <v>121</v>
      </c>
      <c r="CI173" s="328" t="s">
        <v>122</v>
      </c>
      <c r="CJ173" s="328" t="s">
        <v>123</v>
      </c>
      <c r="CK173" s="328" t="s">
        <v>124</v>
      </c>
      <c r="CL173" s="328" t="s">
        <v>125</v>
      </c>
      <c r="CM173" s="328" t="str">
        <f>Translations!$B$551</f>
        <v>Energy content (bio), TJ</v>
      </c>
      <c r="CN173" s="328" t="s">
        <v>126</v>
      </c>
      <c r="CO173" s="328" t="s">
        <v>127</v>
      </c>
      <c r="CP173" s="328" t="s">
        <v>128</v>
      </c>
      <c r="CQ173" s="314"/>
    </row>
    <row r="174" spans="1:95" ht="5.15" customHeight="1" thickBot="1" x14ac:dyDescent="0.3">
      <c r="A174" s="307"/>
      <c r="B174" s="68"/>
      <c r="C174" s="68"/>
      <c r="D174" s="68"/>
      <c r="E174" s="68"/>
      <c r="F174" s="68"/>
      <c r="G174" s="68"/>
      <c r="H174" s="76"/>
      <c r="I174" s="76"/>
      <c r="J174" s="76"/>
      <c r="K174" s="76"/>
      <c r="L174" s="76"/>
      <c r="M174" s="76"/>
      <c r="N174" s="76"/>
      <c r="O174" s="160"/>
      <c r="P174" s="109"/>
      <c r="Q174" s="312"/>
      <c r="R174" s="312"/>
      <c r="S174" s="287"/>
      <c r="T174" s="287"/>
      <c r="U174" s="287"/>
      <c r="V174" s="301"/>
      <c r="W174" s="314"/>
      <c r="X174" s="314"/>
      <c r="Y174" s="312"/>
      <c r="Z174" s="314"/>
      <c r="AA174" s="314"/>
      <c r="AB174" s="314"/>
      <c r="AC174" s="314"/>
      <c r="AD174" s="314"/>
      <c r="AE174" s="314"/>
      <c r="AF174" s="293"/>
      <c r="AG174" s="314"/>
      <c r="AH174" s="314"/>
      <c r="AI174" s="314"/>
      <c r="AJ174" s="335"/>
      <c r="AK174" s="335"/>
      <c r="AL174" s="326"/>
      <c r="AM174" s="326"/>
      <c r="AN174" s="326"/>
      <c r="AO174" s="326"/>
      <c r="AP174" s="326"/>
      <c r="AQ174" s="314"/>
      <c r="AR174" s="314"/>
      <c r="AS174" s="314"/>
      <c r="AT174" s="314"/>
      <c r="AU174" s="314"/>
      <c r="AV174" s="314"/>
      <c r="AW174" s="314"/>
      <c r="AX174" s="314"/>
      <c r="AY174" s="314"/>
      <c r="AZ174" s="314"/>
      <c r="BA174" s="314"/>
      <c r="BB174" s="314"/>
      <c r="BC174" s="314"/>
      <c r="BD174" s="314"/>
      <c r="BE174" s="314"/>
      <c r="BF174" s="314"/>
      <c r="BG174" s="314"/>
      <c r="BH174" s="314"/>
      <c r="BI174" s="314"/>
      <c r="BJ174" s="314"/>
      <c r="BK174" s="314"/>
      <c r="BL174" s="314"/>
      <c r="BM174" s="314"/>
      <c r="BN174" s="314"/>
      <c r="BO174" s="314"/>
      <c r="BP174" s="314"/>
      <c r="BQ174" s="314"/>
      <c r="BR174" s="314"/>
      <c r="BS174" s="314"/>
      <c r="BT174" s="314"/>
      <c r="BU174" s="314"/>
      <c r="BV174" s="314"/>
      <c r="BW174" s="314"/>
      <c r="BX174" s="314"/>
      <c r="BY174" s="314"/>
      <c r="BZ174" s="314"/>
      <c r="CA174" s="314"/>
      <c r="CB174" s="314"/>
      <c r="CC174" s="314"/>
      <c r="CD174" s="314"/>
      <c r="CE174" s="314"/>
      <c r="CF174" s="314"/>
      <c r="CG174" s="314"/>
      <c r="CH174" s="314"/>
      <c r="CI174" s="314"/>
      <c r="CJ174" s="314"/>
      <c r="CK174" s="314"/>
      <c r="CL174" s="314"/>
      <c r="CM174" s="314"/>
      <c r="CN174" s="314"/>
      <c r="CO174" s="314"/>
      <c r="CP174" s="314"/>
      <c r="CQ174" s="314"/>
    </row>
    <row r="175" spans="1:95" ht="12.75" customHeight="1" thickBot="1" x14ac:dyDescent="0.3">
      <c r="A175" s="307"/>
      <c r="B175" s="68"/>
      <c r="C175" s="68"/>
      <c r="D175" s="68"/>
      <c r="E175" s="1253" t="str">
        <f>IF(E172="","",HYPERLINK("#JUMP_E_Top",EUconst_FurtherGuidancePoint1))</f>
        <v/>
      </c>
      <c r="F175" s="1253"/>
      <c r="G175" s="1253"/>
      <c r="H175" s="1253"/>
      <c r="I175" s="1253"/>
      <c r="J175" s="1253"/>
      <c r="K175" s="1253"/>
      <c r="L175" s="1253"/>
      <c r="M175" s="1253"/>
      <c r="N175" s="76"/>
      <c r="O175" s="160"/>
      <c r="P175" s="109"/>
      <c r="Q175" s="325" t="str">
        <f>EUconst_SumNonSustBioCO2</f>
        <v>SUM_bioNonSustCO2</v>
      </c>
      <c r="R175" s="337" t="str">
        <f>IF(E173="","",BG181)</f>
        <v/>
      </c>
      <c r="S175" s="287"/>
      <c r="T175" s="287"/>
      <c r="U175" s="287"/>
      <c r="V175" s="314"/>
      <c r="W175" s="314"/>
      <c r="X175" s="314"/>
      <c r="Y175" s="293"/>
      <c r="Z175" s="314"/>
      <c r="AA175" s="314"/>
      <c r="AB175" s="314"/>
      <c r="AC175" s="314"/>
      <c r="AD175" s="314"/>
      <c r="AE175" s="314"/>
      <c r="AF175" s="293"/>
      <c r="AG175" s="314"/>
      <c r="AH175" s="314"/>
      <c r="AI175" s="314"/>
      <c r="AJ175" s="335"/>
      <c r="AK175" s="335"/>
      <c r="AL175" s="326"/>
      <c r="AM175" s="326"/>
      <c r="AN175" s="326"/>
      <c r="AO175" s="326"/>
      <c r="AP175" s="326"/>
      <c r="AQ175" s="314"/>
      <c r="AR175" s="314"/>
      <c r="AS175" s="314"/>
      <c r="AT175" s="314"/>
      <c r="AU175" s="314"/>
      <c r="AV175" s="314"/>
      <c r="AW175" s="314"/>
      <c r="AX175" s="314"/>
      <c r="AY175" s="314"/>
      <c r="AZ175" s="314"/>
      <c r="BA175" s="314"/>
      <c r="BB175" s="314"/>
      <c r="BC175" s="314"/>
      <c r="BD175" s="314"/>
      <c r="BE175" s="314"/>
      <c r="BF175" s="314"/>
      <c r="BG175" s="314"/>
      <c r="BH175" s="314"/>
      <c r="BI175" s="317" t="s">
        <v>129</v>
      </c>
      <c r="BJ175" s="336"/>
      <c r="BK175" s="327" t="str">
        <f>IF(G193="","",G193)</f>
        <v/>
      </c>
      <c r="BL175" s="327" t="str">
        <f>IF(I193="","",I193)</f>
        <v/>
      </c>
      <c r="BM175" s="327" t="str">
        <f>IF(K193="","",K193)</f>
        <v/>
      </c>
      <c r="BN175" s="314"/>
      <c r="BO175" s="314"/>
      <c r="BP175" s="314"/>
      <c r="BQ175" s="314"/>
      <c r="BR175" s="314"/>
      <c r="BS175" s="314"/>
      <c r="BT175" s="319"/>
      <c r="BU175" s="314"/>
      <c r="BV175" s="314"/>
      <c r="BW175" s="314"/>
      <c r="BX175" s="314"/>
      <c r="BY175" s="314"/>
      <c r="BZ175" s="314"/>
      <c r="CA175" s="314"/>
      <c r="CB175" s="314"/>
      <c r="CC175" s="314"/>
      <c r="CD175" s="314"/>
      <c r="CE175" s="314"/>
      <c r="CF175" s="314"/>
      <c r="CG175" s="314"/>
      <c r="CH175" s="314"/>
      <c r="CI175" s="314"/>
      <c r="CJ175" s="314"/>
      <c r="CK175" s="314"/>
      <c r="CL175" s="314"/>
      <c r="CM175" s="314"/>
      <c r="CN175" s="314"/>
      <c r="CO175" s="314"/>
      <c r="CP175" s="314"/>
      <c r="CQ175" s="314"/>
    </row>
    <row r="176" spans="1:95" ht="5.15" customHeight="1" thickBot="1" x14ac:dyDescent="0.3">
      <c r="A176" s="307"/>
      <c r="B176" s="68"/>
      <c r="C176" s="68"/>
      <c r="D176" s="68"/>
      <c r="E176" s="68"/>
      <c r="F176" s="68"/>
      <c r="G176" s="68"/>
      <c r="H176" s="76"/>
      <c r="I176" s="76"/>
      <c r="J176" s="76"/>
      <c r="K176" s="76"/>
      <c r="L176" s="76"/>
      <c r="M176" s="76"/>
      <c r="N176" s="76"/>
      <c r="O176" s="160"/>
      <c r="P176" s="111"/>
      <c r="Q176" s="287"/>
      <c r="R176" s="111"/>
      <c r="S176" s="287"/>
      <c r="T176" s="287"/>
      <c r="U176" s="287"/>
      <c r="V176" s="314"/>
      <c r="W176" s="314"/>
      <c r="X176" s="314"/>
      <c r="Y176" s="312"/>
      <c r="Z176" s="314"/>
      <c r="AA176" s="314"/>
      <c r="AB176" s="314"/>
      <c r="AC176" s="314"/>
      <c r="AD176" s="314"/>
      <c r="AE176" s="314"/>
      <c r="AF176" s="293"/>
      <c r="AG176" s="314"/>
      <c r="AH176" s="314"/>
      <c r="AI176" s="314"/>
      <c r="AJ176" s="335"/>
      <c r="AK176" s="335"/>
      <c r="AL176" s="326"/>
      <c r="AM176" s="326"/>
      <c r="AN176" s="326"/>
      <c r="AO176" s="326"/>
      <c r="AP176" s="326"/>
      <c r="AQ176" s="314"/>
      <c r="AR176" s="314"/>
      <c r="AS176" s="314"/>
      <c r="AT176" s="314"/>
      <c r="AU176" s="314"/>
      <c r="AV176" s="314"/>
      <c r="AW176" s="314"/>
      <c r="AX176" s="314"/>
      <c r="AY176" s="314"/>
      <c r="AZ176" s="314"/>
      <c r="BA176" s="314"/>
      <c r="BB176" s="314"/>
      <c r="BC176" s="314"/>
      <c r="BD176" s="314"/>
      <c r="BE176" s="314"/>
      <c r="BF176" s="314"/>
      <c r="BG176" s="314"/>
      <c r="BH176" s="314"/>
      <c r="BI176" s="314"/>
      <c r="BJ176" s="314"/>
      <c r="BK176" s="314"/>
      <c r="BL176" s="314"/>
      <c r="BM176" s="314"/>
      <c r="BN176" s="314"/>
      <c r="BO176" s="314"/>
      <c r="BP176" s="314"/>
      <c r="BQ176" s="314"/>
      <c r="BR176" s="314"/>
      <c r="BS176" s="314"/>
      <c r="BT176" s="314"/>
      <c r="BU176" s="314"/>
      <c r="BV176" s="314"/>
      <c r="BW176" s="314"/>
      <c r="BX176" s="314"/>
      <c r="BY176" s="314"/>
      <c r="BZ176" s="314"/>
      <c r="CA176" s="314"/>
      <c r="CB176" s="314"/>
      <c r="CC176" s="314"/>
      <c r="CD176" s="314"/>
      <c r="CE176" s="314"/>
      <c r="CF176" s="314"/>
      <c r="CG176" s="314"/>
      <c r="CH176" s="314"/>
      <c r="CI176" s="314"/>
      <c r="CJ176" s="314"/>
      <c r="CK176" s="314"/>
      <c r="CL176" s="314"/>
      <c r="CM176" s="314"/>
      <c r="CN176" s="314"/>
      <c r="CO176" s="314"/>
      <c r="CP176" s="314"/>
      <c r="CQ176" s="314"/>
    </row>
    <row r="177" spans="1:95" ht="12.75" customHeight="1" thickBot="1" x14ac:dyDescent="0.3">
      <c r="A177" s="307"/>
      <c r="B177" s="68"/>
      <c r="C177" s="68"/>
      <c r="D177" s="68"/>
      <c r="E177" s="68"/>
      <c r="F177" s="338" t="str">
        <f>Translations!$B$127</f>
        <v>Tier</v>
      </c>
      <c r="G177" s="1254" t="str">
        <f>Translations!$B$393</f>
        <v>tier description</v>
      </c>
      <c r="H177" s="1254"/>
      <c r="I177" s="1255" t="str">
        <f>Translations!$B$394</f>
        <v>Unit</v>
      </c>
      <c r="J177" s="1255"/>
      <c r="K177" s="1255" t="str">
        <f>Translations!$B$395</f>
        <v>Value</v>
      </c>
      <c r="L177" s="1255"/>
      <c r="M177" s="205" t="str">
        <f>Translations!$B$396</f>
        <v>error</v>
      </c>
      <c r="N177" s="76"/>
      <c r="O177" s="160"/>
      <c r="P177" s="339"/>
      <c r="Q177" s="325" t="str">
        <f>EUconst_SumEnergyIN</f>
        <v>SUM_EnergyIN</v>
      </c>
      <c r="R177" s="340" t="str">
        <f>IF(E173="","",BG186)</f>
        <v/>
      </c>
      <c r="S177" s="314"/>
      <c r="T177" s="314"/>
      <c r="U177" s="314"/>
      <c r="V177" s="341" t="s">
        <v>130</v>
      </c>
      <c r="W177" s="314"/>
      <c r="X177" s="314"/>
      <c r="Y177" s="312" t="s">
        <v>131</v>
      </c>
      <c r="Z177" s="312" t="s">
        <v>132</v>
      </c>
      <c r="AA177" s="314"/>
      <c r="AB177" s="314"/>
      <c r="AC177" s="336" t="s">
        <v>133</v>
      </c>
      <c r="AD177" s="314"/>
      <c r="AE177" s="314"/>
      <c r="AF177" s="314" t="s">
        <v>134</v>
      </c>
      <c r="AG177" s="314" t="s">
        <v>135</v>
      </c>
      <c r="AH177" s="312" t="s">
        <v>136</v>
      </c>
      <c r="AI177" s="335" t="s">
        <v>137</v>
      </c>
      <c r="AJ177" s="335" t="s">
        <v>138</v>
      </c>
      <c r="AK177" s="342" t="s">
        <v>139</v>
      </c>
      <c r="AL177" s="326"/>
      <c r="AM177" s="326"/>
      <c r="AN177" s="326"/>
      <c r="AO177" s="326"/>
      <c r="AP177" s="326"/>
      <c r="AQ177" s="314"/>
      <c r="AR177" s="314" t="s">
        <v>134</v>
      </c>
      <c r="AS177" s="314" t="s">
        <v>135</v>
      </c>
      <c r="AT177" s="343" t="s">
        <v>140</v>
      </c>
      <c r="AU177" s="335" t="s">
        <v>141</v>
      </c>
      <c r="AV177" s="335" t="s">
        <v>142</v>
      </c>
      <c r="AW177" s="342" t="s">
        <v>139</v>
      </c>
      <c r="AX177" s="342" t="s">
        <v>139</v>
      </c>
      <c r="AY177" s="314"/>
      <c r="AZ177" s="314"/>
      <c r="BA177" s="314"/>
      <c r="BB177" s="314" t="s">
        <v>143</v>
      </c>
      <c r="BC177" s="314"/>
      <c r="BD177" s="314"/>
      <c r="BE177" s="314"/>
      <c r="BF177" s="314"/>
      <c r="BG177" s="319" t="s">
        <v>144</v>
      </c>
      <c r="BH177" s="314" t="s">
        <v>145</v>
      </c>
      <c r="BI177" s="314"/>
      <c r="BJ177" s="314"/>
      <c r="BK177" s="314"/>
      <c r="BL177" s="314"/>
      <c r="BM177" s="314"/>
      <c r="BN177" s="314"/>
      <c r="BO177" s="314"/>
      <c r="BP177" s="314"/>
      <c r="BQ177" s="314"/>
      <c r="BR177" s="314"/>
      <c r="BS177" s="314"/>
      <c r="BT177" s="314"/>
      <c r="BU177" s="314"/>
      <c r="BV177" s="314"/>
      <c r="BW177" s="314"/>
      <c r="BX177" s="314"/>
      <c r="BY177" s="314"/>
      <c r="BZ177" s="314"/>
      <c r="CA177" s="314"/>
      <c r="CB177" s="314"/>
      <c r="CC177" s="314"/>
      <c r="CD177" s="314"/>
      <c r="CE177" s="314"/>
      <c r="CF177" s="314"/>
      <c r="CG177" s="314"/>
      <c r="CH177" s="314"/>
      <c r="CI177" s="314"/>
      <c r="CJ177" s="314"/>
      <c r="CK177" s="314"/>
      <c r="CL177" s="314"/>
      <c r="CM177" s="314"/>
      <c r="CN177" s="314"/>
      <c r="CO177" s="314"/>
      <c r="CP177" s="314"/>
      <c r="CQ177" s="319" t="s">
        <v>107</v>
      </c>
    </row>
    <row r="178" spans="1:95" ht="12.75" customHeight="1" thickBot="1" x14ac:dyDescent="0.3">
      <c r="A178" s="307"/>
      <c r="B178" s="68"/>
      <c r="C178" s="199" t="s">
        <v>12</v>
      </c>
      <c r="D178" s="344" t="str">
        <f>Translations!$B$356</f>
        <v>RFA:</v>
      </c>
      <c r="E178" s="345"/>
      <c r="F178" s="6"/>
      <c r="G178" s="1256" t="str">
        <f>IF(OR(ISBLANK(F178),F178=EUconst_NoTier),"",IF(Z178=0,EUconst_NA,IF(ISERROR(Z178),"",Z178)))</f>
        <v/>
      </c>
      <c r="H178" s="1257"/>
      <c r="I178" s="346" t="str">
        <f>IF(J178&lt;&gt;"","",AI178)</f>
        <v/>
      </c>
      <c r="J178" s="7"/>
      <c r="K178" s="1258"/>
      <c r="L178" s="1259"/>
      <c r="M178" s="347" t="str">
        <f>IF(AND(E173&lt;&gt;"",OR(F178="",COUNT(K178)=0),Y178&lt;&gt;EUconst_NA),EUconst_ERR_Incomplete,"")</f>
        <v/>
      </c>
      <c r="N178" s="76"/>
      <c r="O178" s="160"/>
      <c r="P178" s="348"/>
      <c r="Q178" s="325" t="str">
        <f>EUconst_SumBioEnergyIN</f>
        <v>SUM_BioEnergyIN</v>
      </c>
      <c r="R178" s="340" t="str">
        <f>IF(E173="","",BG187)</f>
        <v/>
      </c>
      <c r="S178" s="314"/>
      <c r="T178" s="349" t="str">
        <f>EUconst_CNTR_ActivityData&amp;E173</f>
        <v>ActivityData_</v>
      </c>
      <c r="U178" s="312"/>
      <c r="V178" s="349" t="str">
        <f>IF(E172="","",INDEX(B_IdentifyFuelStreams!$I$67:$I$116,MATCH(U171,B_IdentifyFuelStreams!$D$67:$D$116,0)))</f>
        <v/>
      </c>
      <c r="W178" s="335" t="s">
        <v>146</v>
      </c>
      <c r="X178" s="312"/>
      <c r="Y178" s="350" t="str">
        <f>IF(E173="","",INDEX(EUwideConstants!$P$164:$P$200,MATCH(T178,EUwideConstants!$S$164:$S$200,0)))</f>
        <v/>
      </c>
      <c r="Z178" s="351" t="str">
        <f>IF(ISBLANK(F178),"",IF(F178=EUconst_NA,"",INDEX(EUwideConstants!$H:$O,MATCH(T178,EUwideConstants!$S:$S,0),MATCH(F178,CNTR_TierList,0))))</f>
        <v/>
      </c>
      <c r="AA178" s="352" t="s">
        <v>136</v>
      </c>
      <c r="AB178" s="335"/>
      <c r="AC178" s="331" t="b">
        <f>E172&lt;&gt;""</f>
        <v>0</v>
      </c>
      <c r="AD178" s="314"/>
      <c r="AE178" s="353" t="str">
        <f>EUconst_CNTR_ActivityData&amp;EUconst_Unit</f>
        <v>ActivityData_Unit</v>
      </c>
      <c r="AF178" s="354" t="str">
        <f>IF(AC178=TRUE, IF(COUNTIF(MSPara_SourceStreamCategory,V178)=0,"",INDEX(MSPara_CalcFactorsMatrix,MATCH(V178,MSPara_SourceStreamCategory,0),MATCH(AE178&amp;"_"&amp;2,MSPara_CalcFactors,0))),"")</f>
        <v/>
      </c>
      <c r="AG178" s="355" t="str">
        <f>IF(AC178=TRUE, IF(COUNTIF(MSPara_SourceStreamCategory,V178)=0,"",INDEX(MSPara_CalcFactorsMatrix,MATCH(V178,MSPara_SourceStreamCategory,0),MATCH(AE178&amp;"_"&amp;1,MSPara_CalcFactors,0))),"")</f>
        <v/>
      </c>
      <c r="AH178" s="331" t="str">
        <f>IF(OR(AF178="",AF178=EUconst_NA),IF(OR(AG178=EUconst_NA,AG178=""),"",AG178),AF178)</f>
        <v/>
      </c>
      <c r="AI178" s="350" t="str">
        <f>IF(AC178=TRUE,IF(AH178="",EUconst_t,AH178),"")</f>
        <v/>
      </c>
      <c r="AJ178" s="356" t="str">
        <f>IF(J178="",AI178,J178)</f>
        <v/>
      </c>
      <c r="AK178" s="357" t="b">
        <f>AND(E172&lt;&gt;"",J178&lt;&gt;"")</f>
        <v>0</v>
      </c>
      <c r="AL178" s="326"/>
      <c r="AM178" s="358" t="s">
        <v>147</v>
      </c>
      <c r="AN178" s="359" t="str">
        <f>AJ178</f>
        <v/>
      </c>
      <c r="AO178" s="326"/>
      <c r="AP178" s="326"/>
      <c r="AQ178" s="349" t="str">
        <f>EUconst_CNTR_ActivityData&amp;EUconst_Value</f>
        <v>ActivityData_Value</v>
      </c>
      <c r="AR178" s="336"/>
      <c r="AS178" s="336"/>
      <c r="AT178" s="331" t="b">
        <f>AND(AND(AH178&lt;&gt;"",AJ178&lt;&gt;""),AJ178=AH178)</f>
        <v>0</v>
      </c>
      <c r="AU178" s="314"/>
      <c r="AV178" s="331">
        <f>IF(Y178=EUconst_NA,0,IF(COUNT(K178:K178)=0,0,IF(K178="",#REF!,K178)))</f>
        <v>0</v>
      </c>
      <c r="AW178" s="360" t="b">
        <f>AND(AC178=TRUE,OR(K178&lt;&gt;"",AU178=""))</f>
        <v>0</v>
      </c>
      <c r="AX178" s="360" t="b">
        <f>AND(AC178=TRUE,NOT(AW178))</f>
        <v>0</v>
      </c>
      <c r="AY178" s="314"/>
      <c r="AZ178" s="314" t="s">
        <v>148</v>
      </c>
      <c r="BA178" s="314" t="s">
        <v>149</v>
      </c>
      <c r="BB178" s="360"/>
      <c r="BC178" s="314" t="s">
        <v>150</v>
      </c>
      <c r="BD178" s="314"/>
      <c r="BE178" s="314"/>
      <c r="BF178" s="361" t="s">
        <v>119</v>
      </c>
      <c r="BG178" s="362" t="str">
        <f>IF(COUNTIF(AO181:AO182,TRUE)=0,"",BH178*AV189)</f>
        <v/>
      </c>
      <c r="BH178" s="362" t="str">
        <f>IF(COUNTIF(AO181:AO182,TRUE)=0,"",AV178*IF(AO181,1,AV180*AN182)*AV181-BH180-BH182-BH184)</f>
        <v/>
      </c>
      <c r="BI178" s="314"/>
      <c r="BJ178" s="314"/>
      <c r="BK178" s="314"/>
      <c r="BL178" s="314"/>
      <c r="BM178" s="314"/>
      <c r="BN178" s="314"/>
      <c r="BO178" s="314"/>
      <c r="BP178" s="314"/>
      <c r="BQ178" s="314"/>
      <c r="BR178" s="314"/>
      <c r="BS178" s="314"/>
      <c r="BT178" s="314"/>
      <c r="BU178" s="314"/>
      <c r="BV178" s="314"/>
      <c r="BW178" s="314"/>
      <c r="BX178" s="314"/>
      <c r="BY178" s="314"/>
      <c r="BZ178" s="314"/>
      <c r="CA178" s="314"/>
      <c r="CB178" s="314"/>
      <c r="CC178" s="314"/>
      <c r="CD178" s="314"/>
      <c r="CE178" s="314"/>
      <c r="CF178" s="314"/>
      <c r="CG178" s="314"/>
      <c r="CH178" s="314"/>
      <c r="CI178" s="314"/>
      <c r="CJ178" s="314"/>
      <c r="CK178" s="314"/>
      <c r="CL178" s="314"/>
      <c r="CM178" s="314"/>
      <c r="CN178" s="314"/>
      <c r="CO178" s="314"/>
      <c r="CP178" s="314"/>
      <c r="CQ178" s="360" t="b">
        <v>0</v>
      </c>
    </row>
    <row r="179" spans="1:95" ht="5.15" customHeight="1" thickBot="1" x14ac:dyDescent="0.3">
      <c r="A179" s="307"/>
      <c r="B179" s="68"/>
      <c r="C179" s="199"/>
      <c r="D179" s="202"/>
      <c r="E179" s="76"/>
      <c r="F179" s="76"/>
      <c r="G179" s="76"/>
      <c r="H179" s="76" t="str">
        <f>Translations!$B$397</f>
        <v xml:space="preserve"> </v>
      </c>
      <c r="I179" s="162"/>
      <c r="J179" s="162"/>
      <c r="K179" s="76"/>
      <c r="L179" s="76"/>
      <c r="M179" s="363"/>
      <c r="N179" s="76"/>
      <c r="O179" s="160"/>
      <c r="P179" s="109"/>
      <c r="Q179" s="312"/>
      <c r="R179" s="312"/>
      <c r="S179" s="314"/>
      <c r="T179" s="62"/>
      <c r="U179" s="312"/>
      <c r="V179" s="314"/>
      <c r="W179" s="314"/>
      <c r="X179" s="312"/>
      <c r="Y179" s="319"/>
      <c r="Z179" s="314"/>
      <c r="AA179" s="314"/>
      <c r="AB179" s="314"/>
      <c r="AC179" s="314"/>
      <c r="AD179" s="314"/>
      <c r="AE179" s="314"/>
      <c r="AF179" s="314"/>
      <c r="AG179" s="314"/>
      <c r="AH179" s="314"/>
      <c r="AI179" s="314"/>
      <c r="AJ179" s="314"/>
      <c r="AK179" s="314"/>
      <c r="AL179" s="326"/>
      <c r="AM179" s="326"/>
      <c r="AN179" s="326"/>
      <c r="AO179" s="326"/>
      <c r="AP179" s="326"/>
      <c r="AQ179" s="314"/>
      <c r="AR179" s="314"/>
      <c r="AS179" s="314"/>
      <c r="AT179" s="314"/>
      <c r="AU179" s="314"/>
      <c r="AV179" s="314"/>
      <c r="AW179" s="314"/>
      <c r="AX179" s="314"/>
      <c r="AY179" s="314"/>
      <c r="AZ179" s="314"/>
      <c r="BA179" s="314"/>
      <c r="BB179" s="314"/>
      <c r="BC179" s="314"/>
      <c r="BD179" s="314"/>
      <c r="BE179" s="314"/>
      <c r="BF179" s="314"/>
      <c r="BG179" s="364"/>
      <c r="BH179" s="364"/>
      <c r="BI179" s="314"/>
      <c r="BJ179" s="314"/>
      <c r="BK179" s="314"/>
      <c r="BL179" s="314"/>
      <c r="BM179" s="314"/>
      <c r="BN179" s="314"/>
      <c r="BO179" s="314"/>
      <c r="BP179" s="314"/>
      <c r="BQ179" s="314"/>
      <c r="BR179" s="314"/>
      <c r="BS179" s="314"/>
      <c r="BT179" s="314"/>
      <c r="BU179" s="314"/>
      <c r="BV179" s="314"/>
      <c r="BW179" s="314"/>
      <c r="BX179" s="314"/>
      <c r="BY179" s="314"/>
      <c r="BZ179" s="314"/>
      <c r="CA179" s="314"/>
      <c r="CB179" s="314"/>
      <c r="CC179" s="314"/>
      <c r="CD179" s="314"/>
      <c r="CE179" s="314"/>
      <c r="CF179" s="314"/>
      <c r="CG179" s="314"/>
      <c r="CH179" s="314"/>
      <c r="CI179" s="314"/>
      <c r="CJ179" s="314"/>
      <c r="CK179" s="314"/>
      <c r="CL179" s="314"/>
      <c r="CM179" s="314"/>
      <c r="CN179" s="314"/>
      <c r="CO179" s="314"/>
      <c r="CP179" s="314"/>
      <c r="CQ179" s="319"/>
    </row>
    <row r="180" spans="1:95" ht="12.75" customHeight="1" x14ac:dyDescent="0.25">
      <c r="A180" s="307"/>
      <c r="B180" s="68"/>
      <c r="C180" s="199" t="s">
        <v>13</v>
      </c>
      <c r="D180" s="344" t="str">
        <f>Translations!$B$360</f>
        <v>UCF:</v>
      </c>
      <c r="E180" s="345"/>
      <c r="F180" s="10"/>
      <c r="G180" s="1256" t="str">
        <f>IF(OR(ISBLANK(F180),F180=EUconst_NoTier),"",IF(Z180=0,EUconst_NotApplicable,IF(ISERROR(Z180),"",Z180)))</f>
        <v/>
      </c>
      <c r="H180" s="1257"/>
      <c r="I180" s="365" t="str">
        <f>IF(J180&lt;&gt;"","",AI180)</f>
        <v/>
      </c>
      <c r="J180" s="11"/>
      <c r="K180" s="366" t="str">
        <f>IF(L180="",AU180,"")</f>
        <v/>
      </c>
      <c r="L180" s="23"/>
      <c r="M180" s="347" t="str">
        <f>IF(AND(E173&lt;&gt;"",OR(F180="",COUNT(K180:L180)=0),Y180&lt;&gt;EUconst_NA),EUconst_ERR_Incomplete,IF(COUNTIF(BB180:BD180,TRUE)&gt;0,EUconst_ERR_Inconsistent,""))</f>
        <v/>
      </c>
      <c r="N180" s="367"/>
      <c r="O180" s="160"/>
      <c r="P180" s="109"/>
      <c r="Q180" s="312"/>
      <c r="R180" s="312"/>
      <c r="S180" s="314"/>
      <c r="T180" s="368" t="str">
        <f>EUconst_CNTR_UCF&amp;E173</f>
        <v>UCF_</v>
      </c>
      <c r="U180" s="312"/>
      <c r="V180" s="369" t="str">
        <f>V181</f>
        <v/>
      </c>
      <c r="W180" s="314"/>
      <c r="X180" s="312"/>
      <c r="Y180" s="370" t="str">
        <f>IF(E173="","",IF(OR(F180=EUconst_NA,W180=TRUE),EUconst_NA,INDEX(EUwideConstants!$P$164:$P$200,MATCH(T180,EUwideConstants!$S$164:$S$200,0))))</f>
        <v/>
      </c>
      <c r="Z180" s="371" t="str">
        <f>IF(ISBLANK(F180),"",IF(F180=EUconst_NA,"",INDEX(EUwideConstants!$H:$O,MATCH(T180,EUwideConstants!$S:$S,0),MATCH(F180,CNTR_TierList,0))))</f>
        <v/>
      </c>
      <c r="AA180" s="372" t="str">
        <f>IF(COUNTIF(EUconst_DefaultValues,Z180)&gt;0,MATCH(Z180,EUconst_DefaultValues,0),"")</f>
        <v/>
      </c>
      <c r="AB180" s="314"/>
      <c r="AC180" s="373" t="b">
        <f>AND(AC178,Y180&lt;&gt;EUconst_NA)</f>
        <v>0</v>
      </c>
      <c r="AD180" s="314"/>
      <c r="AE180" s="353" t="str">
        <f>EUconst_CNTR_UCF&amp;EUconst_Unit</f>
        <v>UCF_Unit</v>
      </c>
      <c r="AF180" s="374" t="str">
        <f>IF(AC180=TRUE, IF(COUNTIF(MSPara_SourceStreamCategory,V180)=0,"",INDEX(MSPara_CalcFactorsMatrix,MATCH(V180,MSPara_SourceStreamCategory,0),MATCH(AE180&amp;"_"&amp;2,MSPara_CalcFactors,0))),"")</f>
        <v/>
      </c>
      <c r="AG180" s="375" t="str">
        <f>IF(AC180=TRUE, IF(COUNTIF(MSPara_SourceStreamCategory,V180)=0,"",INDEX(MSPara_CalcFactorsMatrix,MATCH(V180,MSPara_SourceStreamCategory,0),MATCH(AE180&amp;"_"&amp;1,MSPara_CalcFactors,0))),"")</f>
        <v/>
      </c>
      <c r="AH180" s="373" t="str">
        <f>IF(AA180="","",INDEX(AF180:AG180,3-AA180))</f>
        <v/>
      </c>
      <c r="AI180" s="373" t="str">
        <f>IF(AC180=TRUE,IF(OR(AH180="",AH180=EUconst_NA),EUconst_GJ&amp;"/"&amp;AJ178,AH180),"")</f>
        <v/>
      </c>
      <c r="AJ180" s="373" t="str">
        <f>IF(J180="",AI180,J180)</f>
        <v/>
      </c>
      <c r="AK180" s="369" t="b">
        <f>AND(E172&lt;&gt;"",J180&lt;&gt;"")</f>
        <v>0</v>
      </c>
      <c r="AL180" s="326"/>
      <c r="AM180" s="358" t="s">
        <v>151</v>
      </c>
      <c r="AN180" s="359" t="str">
        <f>IF(AJ180="",EUconst_NA,IF(AN178=EUconst_TJ,EUconst_TJ,INDEX(EUwideConstants!$C$135:$G$139,MATCH(AN178,RFAUnits,0),MATCH(AJ180,UCFUnits,0))))</f>
        <v>n.a.</v>
      </c>
      <c r="AO180" s="326"/>
      <c r="AP180" s="326"/>
      <c r="AQ180" s="376" t="str">
        <f>EUconst_CNTR_UCF&amp;EUconst_Value</f>
        <v>UCF_Value</v>
      </c>
      <c r="AR180" s="377" t="str">
        <f>IF(AC180=TRUE,IF(COUNTIF(MSPara_SourceStreamCategory,V180)=0,"",INDEX(MSPara_CalcFactorsMatrix,MATCH(V180,MSPara_SourceStreamCategory,0),MATCH(AQ180&amp;"_"&amp;2,MSPara_CalcFactors,0))),"")</f>
        <v/>
      </c>
      <c r="AS180" s="378" t="str">
        <f>IF(AC180=TRUE,IF(COUNTIF(MSPara_SourceStreamCategory,V180)=0,"",INDEX(MSPara_CalcFactorsMatrix,MATCH(V180,MSPara_SourceStreamCategory,0),MATCH(AQ180&amp;"_"&amp;1,MSPara_CalcFactors,0))),"")</f>
        <v/>
      </c>
      <c r="AT180" s="379" t="b">
        <f>AND(AND(AH180&lt;&gt;"",AJ180&lt;&gt;""),AJ180=AH180)</f>
        <v>0</v>
      </c>
      <c r="AU180" s="380" t="str">
        <f>IF(AND(AA180&lt;&gt;"",AT180=TRUE),IF(OR(INDEX(AR180:AS180,3-AA180)=EUconst_NA,INDEX(AR180:AS180,3-AA180)=0),"",INDEX(AR180:AS180,3-AA180)),"")</f>
        <v/>
      </c>
      <c r="AV180" s="373">
        <f>IF(AC180=TRUE,IF(COUNT(K180:L180)=0,0,IF(L180="",K180,L180)),0)</f>
        <v>0</v>
      </c>
      <c r="AW180" s="369" t="b">
        <f t="shared" ref="AW180:AW187" si="36">AND(AC180=TRUE,OR(AND(F180&lt;&gt;"",NOT(ISNUMBER(AA180))),L180&lt;&gt;"",F180="",AU180=""))</f>
        <v>0</v>
      </c>
      <c r="AX180" s="381" t="b">
        <f t="shared" ref="AX180:AX187" si="37">AND(AC180=TRUE,NOT(AW180))</f>
        <v>0</v>
      </c>
      <c r="AY180" s="314"/>
      <c r="AZ180" s="382" t="b">
        <f t="shared" ref="AZ180:AZ187" si="38">AND(ISNUMBER(AA180),AU180="")</f>
        <v>0</v>
      </c>
      <c r="BA180" s="383" t="b">
        <f t="shared" ref="BA180:BA187" si="39">AND(ISNUMBER(AA180),AU180&lt;&gt;AV180)</f>
        <v>0</v>
      </c>
      <c r="BB180" s="369" t="b">
        <f>AND(E173&lt;&gt;"",F180&lt;&gt;EUconst_NA,AN180=EUconst_NA)</f>
        <v>0</v>
      </c>
      <c r="BC180" s="369" t="b">
        <f t="shared" ref="BC180:BC187" si="40">AND(L180&lt;&gt;"",Y180=EUconst_NA)</f>
        <v>0</v>
      </c>
      <c r="BD180" s="314"/>
      <c r="BE180" s="314"/>
      <c r="BF180" s="382" t="s">
        <v>152</v>
      </c>
      <c r="BG180" s="384" t="str">
        <f>IF(COUNTIF(AO181:AO182,TRUE)=0,"",BH180*AV189)</f>
        <v/>
      </c>
      <c r="BH180" s="384" t="str">
        <f>IF(COUNTIF(AO181:AO182,TRUE)=0,"",AV178*IF(AO181,1,AV180*AN182)*AV181*AV182)</f>
        <v/>
      </c>
      <c r="BI180" s="314"/>
      <c r="BJ180" s="314"/>
      <c r="BK180" s="314"/>
      <c r="BL180" s="314"/>
      <c r="BM180" s="314"/>
      <c r="BN180" s="314"/>
      <c r="BO180" s="314"/>
      <c r="BP180" s="314"/>
      <c r="BQ180" s="314"/>
      <c r="BR180" s="314"/>
      <c r="BS180" s="314"/>
      <c r="BT180" s="314"/>
      <c r="BU180" s="314"/>
      <c r="BV180" s="314"/>
      <c r="BW180" s="314"/>
      <c r="BX180" s="314"/>
      <c r="BY180" s="314"/>
      <c r="BZ180" s="314"/>
      <c r="CA180" s="314"/>
      <c r="CB180" s="314"/>
      <c r="CC180" s="314"/>
      <c r="CD180" s="314"/>
      <c r="CE180" s="314"/>
      <c r="CF180" s="314"/>
      <c r="CG180" s="314"/>
      <c r="CH180" s="314"/>
      <c r="CI180" s="314"/>
      <c r="CJ180" s="314"/>
      <c r="CK180" s="314"/>
      <c r="CL180" s="314"/>
      <c r="CM180" s="314"/>
      <c r="CN180" s="314"/>
      <c r="CO180" s="314"/>
      <c r="CP180" s="314"/>
      <c r="CQ180" s="369" t="b">
        <f>OR(CQ178,Y180=EUconst_NA)</f>
        <v>0</v>
      </c>
    </row>
    <row r="181" spans="1:95" ht="12.75" customHeight="1" thickBot="1" x14ac:dyDescent="0.3">
      <c r="A181" s="307"/>
      <c r="B181" s="68"/>
      <c r="C181" s="199" t="s">
        <v>14</v>
      </c>
      <c r="D181" s="344" t="str">
        <f>Translations!$B$358</f>
        <v>(prelim) EF:</v>
      </c>
      <c r="E181" s="345"/>
      <c r="F181" s="59"/>
      <c r="G181" s="1256" t="str">
        <f>IF(OR(ISBLANK(F181),F181=EUconst_NoTier),"",IF(Z181=0,EUconst_NotApplicable,IF(ISERROR(Z181),"",Z181)))</f>
        <v/>
      </c>
      <c r="H181" s="1260"/>
      <c r="I181" s="385" t="str">
        <f>IF(J181&lt;&gt;"","",AI181)</f>
        <v/>
      </c>
      <c r="J181" s="22"/>
      <c r="K181" s="386" t="str">
        <f>IF(L181="",AU181,"")</f>
        <v/>
      </c>
      <c r="L181" s="58"/>
      <c r="M181" s="347" t="str">
        <f>IF(AND(E173&lt;&gt;"",OR(F181="",COUNT(K181:L181)=0),Y181&lt;&gt;EUconst_NA),EUconst_ERR_Incomplete,IF(COUNTIF(BB181:BD181,TRUE)&gt;0,EUconst_ERR_Inconsistent,""))</f>
        <v/>
      </c>
      <c r="N181" s="387"/>
      <c r="O181" s="160"/>
      <c r="P181" s="109"/>
      <c r="Q181" s="312"/>
      <c r="R181" s="312"/>
      <c r="S181" s="314"/>
      <c r="T181" s="388" t="str">
        <f>EUconst_CNTR_EF&amp;E173</f>
        <v>EF_</v>
      </c>
      <c r="U181" s="312"/>
      <c r="V181" s="389" t="str">
        <f>V178</f>
        <v/>
      </c>
      <c r="W181" s="314"/>
      <c r="X181" s="312"/>
      <c r="Y181" s="390" t="str">
        <f>IF(E173="","",IF(OR(F181=EUconst_NA,W181=TRUE),EUconst_NA,INDEX(EUwideConstants!$P$164:$P$200,MATCH(T181,EUwideConstants!$S$164:$S$200,0))))</f>
        <v/>
      </c>
      <c r="Z181" s="391" t="str">
        <f>IF(ISBLANK(F181),"",IF(F181=EUconst_NA,"",INDEX(EUwideConstants!$H:$O,MATCH(T181,EUwideConstants!$S:$S,0),MATCH(F181,CNTR_TierList,0))))</f>
        <v/>
      </c>
      <c r="AA181" s="392" t="str">
        <f>IF(COUNTIF(EUconst_DefaultValues,Z181)&gt;0,MATCH(Z181,EUconst_DefaultValues,0),"")</f>
        <v/>
      </c>
      <c r="AB181" s="314"/>
      <c r="AC181" s="393" t="b">
        <f>AND(AC178,Y181&lt;&gt;EUconst_NA)</f>
        <v>0</v>
      </c>
      <c r="AD181" s="314"/>
      <c r="AE181" s="394" t="str">
        <f>EUconst_CNTR_EF&amp;EUconst_Unit</f>
        <v>EF_Unit</v>
      </c>
      <c r="AF181" s="395" t="str">
        <f>IF(AC181=TRUE, IF(COUNTIF(MSPara_SourceStreamCategory,V181)=0,"",INDEX(MSPara_CalcFactorsMatrix,MATCH(V181,MSPara_SourceStreamCategory,0),MATCH(AE181&amp;"_"&amp;2,MSPara_CalcFactors,0))),"")</f>
        <v/>
      </c>
      <c r="AG181" s="396" t="str">
        <f>IF(AC181=TRUE, IF(COUNTIF(MSPara_SourceStreamCategory,V181)=0,"",INDEX(MSPara_CalcFactorsMatrix,MATCH(V181,MSPara_SourceStreamCategory,0),MATCH(AE181&amp;"_"&amp;1,MSPara_CalcFactors,0))),"")</f>
        <v/>
      </c>
      <c r="AH181" s="397" t="str">
        <f>IF(AA181="","",INDEX(AF181:AG181,3-AA181))</f>
        <v/>
      </c>
      <c r="AI181" s="397" t="str">
        <f>IF(AC181=TRUE,IF(OR(AH181="",AH181=EUconst_NA),EUconst_tCO2&amp;"/"&amp;IF(AN180=EUconst_NA,AN178,IF(AN180=EUconst_GJ,EUconst_TJ,AN180)),AH181),"")</f>
        <v/>
      </c>
      <c r="AJ181" s="397" t="str">
        <f>IF(J181="",AI181,J181)</f>
        <v/>
      </c>
      <c r="AK181" s="398" t="b">
        <f>AND(E173&lt;&gt;"",J181&lt;&gt;"")</f>
        <v>0</v>
      </c>
      <c r="AL181" s="326"/>
      <c r="AM181" s="358" t="s">
        <v>153</v>
      </c>
      <c r="AN181" s="359" t="str">
        <f>IF(COUNTIF(RFAUnits,AN178)=0,EUconst_NA,INDEX(EUwideConstants!$C$150:$H$154,MATCH(AJ181,EFUnits,0),MATCH(AN178,EUwideConstants!$C$149:$H$149,0)))</f>
        <v>n.a.</v>
      </c>
      <c r="AO181" s="359" t="b">
        <f>AN181&lt;&gt;EUconst_NA</f>
        <v>0</v>
      </c>
      <c r="AP181" s="326"/>
      <c r="AQ181" s="399" t="str">
        <f>EUconst_CNTR_EF&amp;EUconst_Value</f>
        <v>EF_Value</v>
      </c>
      <c r="AR181" s="400" t="str">
        <f>IF(AC181=TRUE,IF(COUNTIF(MSPara_SourceStreamCategory,V181)=0,"",INDEX(MSPara_CalcFactorsMatrix,MATCH(V181,MSPara_SourceStreamCategory,0),MATCH(AQ181&amp;"_"&amp;2,MSPara_CalcFactors,0))),"")</f>
        <v/>
      </c>
      <c r="AS181" s="401" t="str">
        <f>IF(AC181=TRUE,IF(COUNTIF(MSPara_SourceStreamCategory,V181)=0,"",INDEX(MSPara_CalcFactorsMatrix,MATCH(V181,MSPara_SourceStreamCategory,0),MATCH(AQ181&amp;"_"&amp;1,MSPara_CalcFactors,0))),"")</f>
        <v/>
      </c>
      <c r="AT181" s="402" t="b">
        <f>AND(AND(AH181&lt;&gt;"",AJ181&lt;&gt;""),AJ181=AH181)</f>
        <v>0</v>
      </c>
      <c r="AU181" s="403" t="str">
        <f>IF(AND(AA181&lt;&gt;"",AT181=TRUE),IF(OR(INDEX(AR181:AS181,3-AA181)=EUconst_NA,INDEX(AR181:AS181,3-AA181)=0),"",INDEX(AR181:AS181,3-AA181)),"")</f>
        <v/>
      </c>
      <c r="AV181" s="393">
        <f>IF(AC181=TRUE,IF(COUNT(K181:L181)=0,0,IF(L181="",K181,L181)),0)</f>
        <v>0</v>
      </c>
      <c r="AW181" s="389" t="b">
        <f t="shared" si="36"/>
        <v>0</v>
      </c>
      <c r="AX181" s="404" t="b">
        <f t="shared" si="37"/>
        <v>0</v>
      </c>
      <c r="AY181" s="314"/>
      <c r="AZ181" s="405" t="b">
        <f t="shared" si="38"/>
        <v>0</v>
      </c>
      <c r="BA181" s="406" t="b">
        <f t="shared" si="39"/>
        <v>0</v>
      </c>
      <c r="BB181" s="407" t="b">
        <f>AND(E173&lt;&gt;"",COUNTIF(AO181:AO182,TRUE)=0)</f>
        <v>0</v>
      </c>
      <c r="BC181" s="389" t="b">
        <f t="shared" si="40"/>
        <v>0</v>
      </c>
      <c r="BD181" s="314"/>
      <c r="BE181" s="314"/>
      <c r="BF181" s="408" t="s">
        <v>154</v>
      </c>
      <c r="BG181" s="409" t="str">
        <f>IF(COUNTIF(AO181:AO182,TRUE)=0,"",BH181*AV189)</f>
        <v/>
      </c>
      <c r="BH181" s="409" t="str">
        <f>IF(COUNTIF(AO181:AO182,TRUE)=0,"",AV178*IF(AO181,1,AV180*AN182)*AV181*AV183)</f>
        <v/>
      </c>
      <c r="BI181" s="314"/>
      <c r="BJ181" s="314"/>
      <c r="BK181" s="314"/>
      <c r="BL181" s="314"/>
      <c r="BM181" s="314"/>
      <c r="BN181" s="314"/>
      <c r="BO181" s="314"/>
      <c r="BP181" s="314"/>
      <c r="BQ181" s="314"/>
      <c r="BR181" s="314"/>
      <c r="BS181" s="314"/>
      <c r="BT181" s="314"/>
      <c r="BU181" s="314"/>
      <c r="BV181" s="314"/>
      <c r="BW181" s="314"/>
      <c r="BX181" s="314"/>
      <c r="BY181" s="314"/>
      <c r="BZ181" s="314"/>
      <c r="CA181" s="314"/>
      <c r="CB181" s="314"/>
      <c r="CC181" s="314"/>
      <c r="CD181" s="314"/>
      <c r="CE181" s="314"/>
      <c r="CF181" s="314"/>
      <c r="CG181" s="314"/>
      <c r="CH181" s="314"/>
      <c r="CI181" s="314"/>
      <c r="CJ181" s="314"/>
      <c r="CK181" s="314"/>
      <c r="CL181" s="314"/>
      <c r="CM181" s="314"/>
      <c r="CN181" s="314"/>
      <c r="CO181" s="314"/>
      <c r="CP181" s="314"/>
      <c r="CQ181" s="407" t="b">
        <f>OR(CQ178,Y181=EUconst_NA)</f>
        <v>0</v>
      </c>
    </row>
    <row r="182" spans="1:95" ht="12.75" customHeight="1" x14ac:dyDescent="0.25">
      <c r="A182" s="307"/>
      <c r="B182" s="68"/>
      <c r="C182" s="199" t="s">
        <v>15</v>
      </c>
      <c r="D182" s="344" t="str">
        <f>Translations!$B$362</f>
        <v>BioF:</v>
      </c>
      <c r="E182" s="345"/>
      <c r="F182" s="10"/>
      <c r="G182" s="1256" t="str">
        <f>IF(OR(ISBLANK(F182),F182=EUconst_NoTier),"",IF(Z182=0,EUconst_NotApplicable,IF(ISERROR(Z182),"",Z182)))</f>
        <v/>
      </c>
      <c r="H182" s="1257"/>
      <c r="I182" s="410" t="str">
        <f t="shared" ref="I182:I187" si="41">IF(OR(AC182=FALSE,Y182=EUconst_NA),"","-")</f>
        <v/>
      </c>
      <c r="J182" s="411"/>
      <c r="K182" s="412" t="str">
        <f>IF(L182="",AU182,"")</f>
        <v/>
      </c>
      <c r="L182" s="60"/>
      <c r="M182" s="347" t="str">
        <f>IF(AND(E173&lt;&gt;"",OR(F182="",COUNT(K182:L182)=0),Y182&lt;&gt;EUconst_NA),EUconst_ERR_Incomplete,IF(COUNTIF(BB182:BD182,TRUE)&gt;0,EUconst_ERR_Inconsistent,""))</f>
        <v/>
      </c>
      <c r="O182" s="160"/>
      <c r="P182" s="348"/>
      <c r="Q182" s="413"/>
      <c r="R182" s="413"/>
      <c r="S182" s="314"/>
      <c r="T182" s="388" t="str">
        <f>EUconst_CNTR_BiomassContent&amp;E173</f>
        <v>BioC_</v>
      </c>
      <c r="U182" s="312"/>
      <c r="V182" s="369" t="str">
        <f>V180</f>
        <v/>
      </c>
      <c r="W182" s="369" t="str">
        <f>IF(OR(V182="",COUNTIF(MSPara_SourceStreamCategory,V182)=0),"",INDEX(MSPara_IsFossil,MATCH(V182,MSPara_SourceStreamCategory,0)))</f>
        <v/>
      </c>
      <c r="X182" s="312"/>
      <c r="Y182" s="370" t="str">
        <f>IF(E173="","",IF(OR(F182=EUconst_NA,W182=TRUE),EUconst_NA,INDEX(EUwideConstants!$P$164:$P$200,MATCH(T182,EUwideConstants!$S$164:$S$200,0))))</f>
        <v/>
      </c>
      <c r="Z182" s="371" t="str">
        <f>IF(ISBLANK(F182),"",IF(F182=EUconst_NA,"",INDEX(EUwideConstants!$H:$O,MATCH(T182,EUwideConstants!$S:$S,0),MATCH(F182,CNTR_TierList,0))))</f>
        <v/>
      </c>
      <c r="AA182" s="414" t="str">
        <f>IF(F182=1,1,"")</f>
        <v/>
      </c>
      <c r="AB182" s="314"/>
      <c r="AC182" s="373" t="b">
        <f>AND(AC178,Y182&lt;&gt;EUconst_NA)</f>
        <v>0</v>
      </c>
      <c r="AD182" s="314"/>
      <c r="AE182" s="415"/>
      <c r="AF182" s="416"/>
      <c r="AG182" s="417"/>
      <c r="AH182" s="418"/>
      <c r="AI182" s="418"/>
      <c r="AJ182" s="418"/>
      <c r="AK182" s="419"/>
      <c r="AL182" s="326"/>
      <c r="AM182" s="358" t="s">
        <v>155</v>
      </c>
      <c r="AN182" s="359" t="str">
        <f>IF(AN180=EUconst_NA,EUconst_NA,INDEX(EUwideConstants!$C$150:$H$154,MATCH(AJ181,EFUnits,0),MATCH(AN180,EUwideConstants!$C$149:$H$149,0)))</f>
        <v>n.a.</v>
      </c>
      <c r="AO182" s="359" t="b">
        <f>AN182&lt;&gt;EUconst_NA</f>
        <v>0</v>
      </c>
      <c r="AP182" s="326"/>
      <c r="AQ182" s="376" t="str">
        <f>EUconst_CNTR_BiomassContent&amp;EUconst_Value</f>
        <v>BioC_Value</v>
      </c>
      <c r="AR182" s="420"/>
      <c r="AS182" s="378" t="str">
        <f t="shared" ref="AS182:AS187" si="42">IF(AC182=TRUE,IF(COUNTIF(MSPara_SourceStreamCategory,V182)=0,"",INDEX(MSPara_CalcFactorsMatrix,MATCH(V182,MSPara_SourceStreamCategory,0),MATCH(AQ182&amp;"_"&amp;2,MSPara_CalcFactors,0))),"")</f>
        <v/>
      </c>
      <c r="AT182" s="421"/>
      <c r="AU182" s="380" t="str">
        <f t="shared" ref="AU182:AU187" si="43">IF(OR(AA182="",AS182=EUconst_NA),"",AS182)</f>
        <v/>
      </c>
      <c r="AV182" s="373">
        <f>IF(AC182=TRUE,IF(COUNT(K182:L182)=0,0,IF(L182="",K182,L182)),0)</f>
        <v>0</v>
      </c>
      <c r="AW182" s="369" t="b">
        <f t="shared" si="36"/>
        <v>0</v>
      </c>
      <c r="AX182" s="381" t="b">
        <f t="shared" si="37"/>
        <v>0</v>
      </c>
      <c r="AY182" s="314"/>
      <c r="AZ182" s="382" t="b">
        <f t="shared" si="38"/>
        <v>0</v>
      </c>
      <c r="BA182" s="383" t="b">
        <f t="shared" si="39"/>
        <v>0</v>
      </c>
      <c r="BB182" s="314"/>
      <c r="BC182" s="369" t="b">
        <f t="shared" si="40"/>
        <v>0</v>
      </c>
      <c r="BD182" s="369" t="b">
        <f>OR(AV182&gt;100%,(AV182+AV183)&gt;100%)</f>
        <v>0</v>
      </c>
      <c r="BE182" s="314"/>
      <c r="BF182" s="382" t="s">
        <v>156</v>
      </c>
      <c r="BG182" s="384" t="str">
        <f>IF(COUNTIF(AO181:AO182,TRUE)=0,"",BH182*AV189)</f>
        <v/>
      </c>
      <c r="BH182" s="384" t="str">
        <f>IF(COUNTIF(AO181:AO182,TRUE)=0,"",AV178*IF(AO181,1,AV180*AN182)*AV181*AV184)</f>
        <v/>
      </c>
      <c r="BJ182" s="314"/>
      <c r="BK182" s="314"/>
      <c r="BL182" s="314"/>
      <c r="BM182" s="314"/>
      <c r="BN182" s="314"/>
      <c r="BO182" s="314"/>
      <c r="BP182" s="314"/>
      <c r="BQ182" s="314"/>
      <c r="BR182" s="314"/>
      <c r="BS182" s="314"/>
      <c r="BT182" s="314"/>
      <c r="BU182" s="314"/>
      <c r="BV182" s="314"/>
      <c r="BW182" s="314"/>
      <c r="BX182" s="314"/>
      <c r="BY182" s="314"/>
      <c r="BZ182" s="314"/>
      <c r="CA182" s="314"/>
      <c r="CB182" s="314"/>
      <c r="CC182" s="314"/>
      <c r="CD182" s="314"/>
      <c r="CE182" s="314"/>
      <c r="CF182" s="314"/>
      <c r="CG182" s="314"/>
      <c r="CH182" s="314"/>
      <c r="CI182" s="314"/>
      <c r="CJ182" s="314"/>
      <c r="CK182" s="314"/>
      <c r="CL182" s="314"/>
      <c r="CM182" s="314"/>
      <c r="CN182" s="314"/>
      <c r="CO182" s="314"/>
      <c r="CP182" s="314"/>
      <c r="CQ182" s="369" t="b">
        <f>OR(CQ178,Y182=EUconst_NA)</f>
        <v>0</v>
      </c>
    </row>
    <row r="183" spans="1:95" ht="12.75" customHeight="1" thickBot="1" x14ac:dyDescent="0.3">
      <c r="A183" s="307"/>
      <c r="B183" s="68"/>
      <c r="C183" s="199" t="s">
        <v>16</v>
      </c>
      <c r="D183" s="344" t="str">
        <f>Translations!$B$368</f>
        <v>non-sust. BioF:</v>
      </c>
      <c r="E183" s="345"/>
      <c r="F183" s="20"/>
      <c r="G183" s="1256" t="str">
        <f>IF(OR(ISBLANK(F183),F183=EUconst_NoTier),"",IF(Z183=0,EUconst_NotApplicable,IF(ISERROR(Z183),"",Z183)))</f>
        <v/>
      </c>
      <c r="H183" s="1257"/>
      <c r="I183" s="422" t="str">
        <f t="shared" si="41"/>
        <v/>
      </c>
      <c r="J183" s="423"/>
      <c r="K183" s="424" t="str">
        <f>IF(L183="",AU183,"")</f>
        <v/>
      </c>
      <c r="L183" s="21"/>
      <c r="M183" s="347" t="str">
        <f>IF(AND(E173&lt;&gt;"",OR(F183="",COUNT(K183:L183)=0),Y183&lt;&gt;EUconst_NA),EUconst_ERR_Incomplete,IF(COUNTIF(BB183:BD183,TRUE)&gt;0,EUconst_ERR_Inconsistent,""))</f>
        <v/>
      </c>
      <c r="N183" s="76"/>
      <c r="O183" s="160"/>
      <c r="P183" s="348"/>
      <c r="Q183" s="413"/>
      <c r="R183" s="413"/>
      <c r="S183" s="314"/>
      <c r="T183" s="425" t="str">
        <f>EUconst_CNTR_BiomassContent&amp;E173</f>
        <v>BioC_</v>
      </c>
      <c r="U183" s="312"/>
      <c r="V183" s="407" t="str">
        <f>V182</f>
        <v/>
      </c>
      <c r="W183" s="407" t="str">
        <f>IF(OR(V182="",COUNTIF(MSPara_SourceStreamCategory,V183)=0),"",INDEX(MSPara_IsFossil,MATCH(V183,MSPara_SourceStreamCategory,0)))</f>
        <v/>
      </c>
      <c r="X183" s="312"/>
      <c r="Y183" s="426" t="str">
        <f>IF(E173="","",IF(OR(F183=EUconst_NA,W183=TRUE),EUconst_NA,INDEX(EUwideConstants!$P$164:$P$200,MATCH(T183,EUwideConstants!$S$164:$S$200,0))))</f>
        <v/>
      </c>
      <c r="Z183" s="427" t="str">
        <f>IF(ISBLANK(F183),"",IF(F183=EUconst_NA,"",INDEX(EUwideConstants!$H:$O,MATCH(T183,EUwideConstants!$S:$S,0),MATCH(F183,CNTR_TierList,0))))</f>
        <v/>
      </c>
      <c r="AA183" s="428" t="str">
        <f>IF(F183=1,1,"")</f>
        <v/>
      </c>
      <c r="AB183" s="314"/>
      <c r="AC183" s="429" t="b">
        <f>AND(AC178,Y183&lt;&gt;EUconst_NA)</f>
        <v>0</v>
      </c>
      <c r="AD183" s="314"/>
      <c r="AE183" s="430"/>
      <c r="AF183" s="431"/>
      <c r="AG183" s="432"/>
      <c r="AH183" s="433"/>
      <c r="AI183" s="433"/>
      <c r="AJ183" s="433"/>
      <c r="AK183" s="434"/>
      <c r="AL183" s="326"/>
      <c r="AM183" s="326"/>
      <c r="AN183" s="326"/>
      <c r="AO183" s="326"/>
      <c r="AP183" s="326"/>
      <c r="AQ183" s="435" t="str">
        <f>EUconst_CNTR_BiomassContent&amp;EUconst_Value</f>
        <v>BioC_Value</v>
      </c>
      <c r="AR183" s="430"/>
      <c r="AS183" s="436" t="str">
        <f t="shared" si="42"/>
        <v/>
      </c>
      <c r="AT183" s="437"/>
      <c r="AU183" s="438" t="str">
        <f t="shared" si="43"/>
        <v/>
      </c>
      <c r="AV183" s="429">
        <f>IF(AC183=TRUE,IF(COUNT(K183:L183)=0,0,IF(L183="",K183,L183)),0)</f>
        <v>0</v>
      </c>
      <c r="AW183" s="407" t="b">
        <f t="shared" si="36"/>
        <v>0</v>
      </c>
      <c r="AX183" s="439" t="b">
        <f t="shared" si="37"/>
        <v>0</v>
      </c>
      <c r="AY183" s="314"/>
      <c r="AZ183" s="408" t="b">
        <f t="shared" si="38"/>
        <v>0</v>
      </c>
      <c r="BA183" s="440" t="b">
        <f t="shared" si="39"/>
        <v>0</v>
      </c>
      <c r="BB183" s="314"/>
      <c r="BC183" s="407" t="b">
        <f t="shared" si="40"/>
        <v>0</v>
      </c>
      <c r="BD183" s="407" t="b">
        <f>OR(AV182&gt;100%,(AV182+AV183)&gt;100%)</f>
        <v>0</v>
      </c>
      <c r="BE183" s="314"/>
      <c r="BF183" s="408" t="s">
        <v>157</v>
      </c>
      <c r="BG183" s="409" t="str">
        <f>IF(COUNTIF(AO181:AO182,TRUE)=0,"",BH183*AV189)</f>
        <v/>
      </c>
      <c r="BH183" s="409" t="str">
        <f>IF(COUNTIF(AO181:AO182,TRUE)=0,"",AV178*IF(AO181,1,AV180*AN182)*AV181*AV185)</f>
        <v/>
      </c>
      <c r="BJ183" s="314"/>
      <c r="BK183" s="314"/>
      <c r="BL183" s="314"/>
      <c r="BM183" s="314"/>
      <c r="BN183" s="314"/>
      <c r="BO183" s="314"/>
      <c r="BP183" s="314"/>
      <c r="BQ183" s="314"/>
      <c r="BR183" s="314"/>
      <c r="BS183" s="314"/>
      <c r="BT183" s="314"/>
      <c r="BU183" s="314"/>
      <c r="BV183" s="314"/>
      <c r="BW183" s="314"/>
      <c r="BX183" s="314"/>
      <c r="BY183" s="314"/>
      <c r="BZ183" s="314"/>
      <c r="CA183" s="314"/>
      <c r="CB183" s="314"/>
      <c r="CC183" s="314"/>
      <c r="CD183" s="314"/>
      <c r="CE183" s="314"/>
      <c r="CF183" s="314"/>
      <c r="CG183" s="314"/>
      <c r="CH183" s="314"/>
      <c r="CI183" s="314"/>
      <c r="CJ183" s="314"/>
      <c r="CK183" s="314"/>
      <c r="CL183" s="314"/>
      <c r="CM183" s="314"/>
      <c r="CN183" s="314"/>
      <c r="CO183" s="314"/>
      <c r="CP183" s="314"/>
      <c r="CQ183" s="407" t="b">
        <f>OR(CQ178,Y183=EUconst_NA)</f>
        <v>0</v>
      </c>
    </row>
    <row r="184" spans="1:95" ht="12.75" customHeight="1" thickBot="1" x14ac:dyDescent="0.3">
      <c r="A184" s="307"/>
      <c r="B184" s="68"/>
      <c r="C184" s="199" t="s">
        <v>17</v>
      </c>
      <c r="D184" s="344" t="str">
        <f>Translations!$B$610</f>
        <v>sust. RFNBO/RCF:</v>
      </c>
      <c r="E184" s="441"/>
      <c r="F184" s="19" t="s">
        <v>158</v>
      </c>
      <c r="G184" s="1261"/>
      <c r="H184" s="1262"/>
      <c r="I184" s="442" t="str">
        <f t="shared" si="41"/>
        <v/>
      </c>
      <c r="J184" s="411"/>
      <c r="K184" s="443"/>
      <c r="L184" s="55"/>
      <c r="M184" s="347" t="str">
        <f>IF(AND(E173&lt;&gt;"",OR(F184="",COUNT(L184)=0),Y184&lt;&gt;EUconst_NA),EUconst_ERR_Incomplete,"")</f>
        <v/>
      </c>
      <c r="N184" s="76"/>
      <c r="O184" s="160"/>
      <c r="P184" s="348"/>
      <c r="Q184" s="413"/>
      <c r="R184" s="413"/>
      <c r="S184" s="314"/>
      <c r="T184" s="388" t="str">
        <f>EUconst_CNTR_RFNBOetcContent&amp;E173</f>
        <v>RNFBOC_</v>
      </c>
      <c r="U184" s="312"/>
      <c r="V184" s="312"/>
      <c r="W184" s="312"/>
      <c r="X184" s="312"/>
      <c r="Y184" s="380" t="str">
        <f>IF(E173="","",IF(OR(F184=EUconst_NA,W184=TRUE),EUconst_NA,INDEX(EUwideConstants!$P$164:$P$200,MATCH(T184,EUwideConstants!$S$164:$S$200,0))))</f>
        <v/>
      </c>
      <c r="Z184" s="314"/>
      <c r="AA184" s="314"/>
      <c r="AB184" s="314"/>
      <c r="AC184" s="397" t="b">
        <f>AND(AC180,Y184&lt;&gt;EUconst_NA)</f>
        <v>0</v>
      </c>
      <c r="AD184" s="314"/>
      <c r="AE184" s="415"/>
      <c r="AF184" s="416"/>
      <c r="AG184" s="417"/>
      <c r="AH184" s="418"/>
      <c r="AI184" s="418"/>
      <c r="AJ184" s="418"/>
      <c r="AK184" s="419"/>
      <c r="AL184" s="326"/>
      <c r="AM184" s="326"/>
      <c r="AN184" s="326"/>
      <c r="AO184" s="326"/>
      <c r="AP184" s="326"/>
      <c r="AQ184" s="444" t="s">
        <v>159</v>
      </c>
      <c r="AR184" s="415"/>
      <c r="AS184" s="445" t="str">
        <f t="shared" si="42"/>
        <v/>
      </c>
      <c r="AT184" s="446"/>
      <c r="AU184" s="447" t="str">
        <f t="shared" si="43"/>
        <v/>
      </c>
      <c r="AV184" s="397">
        <f>IF(L184&lt;&gt;0,L184,L184)</f>
        <v>0</v>
      </c>
      <c r="AW184" s="398" t="b">
        <f t="shared" si="36"/>
        <v>0</v>
      </c>
      <c r="AX184" s="448" t="b">
        <f t="shared" si="37"/>
        <v>0</v>
      </c>
      <c r="AY184" s="314"/>
      <c r="AZ184" s="449" t="b">
        <f t="shared" si="38"/>
        <v>0</v>
      </c>
      <c r="BA184" s="450" t="b">
        <f t="shared" si="39"/>
        <v>0</v>
      </c>
      <c r="BB184" s="314"/>
      <c r="BC184" s="398" t="b">
        <f t="shared" si="40"/>
        <v>0</v>
      </c>
      <c r="BD184" s="369" t="b">
        <f>OR(AV184&gt;100%,(AV184+AV185)&gt;100%)</f>
        <v>0</v>
      </c>
      <c r="BE184" s="314"/>
      <c r="BF184" s="451" t="s">
        <v>160</v>
      </c>
      <c r="BG184" s="452" t="str">
        <f>IF(COUNTIF(AO181:AO182,TRUE)=0,"",BH184*AV189)</f>
        <v/>
      </c>
      <c r="BH184" s="452" t="str">
        <f>IF(COUNTIF(AO181:AO182,TRUE)=0,"",AV178*IF(AO181,1,AV180*AN182)*AV181*AV186)</f>
        <v/>
      </c>
      <c r="BJ184" s="314"/>
      <c r="BK184" s="314"/>
      <c r="BL184" s="314"/>
      <c r="BM184" s="314"/>
      <c r="BN184" s="314"/>
      <c r="BO184" s="314"/>
      <c r="BP184" s="314"/>
      <c r="BQ184" s="314"/>
      <c r="BR184" s="314"/>
      <c r="BS184" s="314"/>
      <c r="BT184" s="314"/>
      <c r="BU184" s="314"/>
      <c r="BV184" s="314"/>
      <c r="BW184" s="314"/>
      <c r="BX184" s="314"/>
      <c r="BY184" s="314"/>
      <c r="BZ184" s="314"/>
      <c r="CA184" s="314"/>
      <c r="CB184" s="314"/>
      <c r="CC184" s="314"/>
      <c r="CD184" s="314"/>
      <c r="CE184" s="314"/>
      <c r="CF184" s="314"/>
      <c r="CG184" s="314"/>
      <c r="CH184" s="314"/>
      <c r="CI184" s="314"/>
      <c r="CJ184" s="314"/>
      <c r="CK184" s="314"/>
      <c r="CL184" s="314"/>
      <c r="CM184" s="314"/>
      <c r="CN184" s="314"/>
      <c r="CO184" s="314"/>
      <c r="CP184" s="314"/>
      <c r="CQ184" s="407" t="b">
        <f>OR(CQ178,Y184=EUconst_NA)</f>
        <v>0</v>
      </c>
    </row>
    <row r="185" spans="1:95" ht="12.75" customHeight="1" thickBot="1" x14ac:dyDescent="0.3">
      <c r="A185" s="307"/>
      <c r="B185" s="68"/>
      <c r="C185" s="199" t="s">
        <v>161</v>
      </c>
      <c r="D185" s="344" t="str">
        <f>Translations!$B$613</f>
        <v>non-sust. RFNBO/RCF:</v>
      </c>
      <c r="E185" s="441"/>
      <c r="F185" s="20" t="s">
        <v>158</v>
      </c>
      <c r="G185" s="1261"/>
      <c r="H185" s="1262"/>
      <c r="I185" s="422" t="str">
        <f t="shared" si="41"/>
        <v/>
      </c>
      <c r="J185" s="423"/>
      <c r="K185" s="443"/>
      <c r="L185" s="56"/>
      <c r="M185" s="347" t="str">
        <f>IF(AND(E173&lt;&gt;"",OR(F185="",COUNT(L185)=0),Y185&lt;&gt;EUconst_NA),EUconst_ERR_Incomplete,"")</f>
        <v/>
      </c>
      <c r="N185" s="76"/>
      <c r="O185" s="160"/>
      <c r="P185" s="348"/>
      <c r="Q185" s="413"/>
      <c r="R185" s="413"/>
      <c r="S185" s="314"/>
      <c r="T185" s="425" t="str">
        <f>EUconst_CNTR_RFNBOetcContent&amp;E173</f>
        <v>RNFBOC_</v>
      </c>
      <c r="U185" s="312"/>
      <c r="V185" s="312"/>
      <c r="W185" s="312"/>
      <c r="X185" s="312"/>
      <c r="Y185" s="438" t="str">
        <f>IF(E173="","",IF(OR(F185=EUconst_NA,W185=TRUE),EUconst_NA,INDEX(EUwideConstants!$P$164:$P$200,MATCH(T185,EUwideConstants!$S$164:$S$200,0))))</f>
        <v/>
      </c>
      <c r="Z185" s="314"/>
      <c r="AA185" s="314"/>
      <c r="AB185" s="314"/>
      <c r="AC185" s="429" t="b">
        <f>AND(AC180,Y185&lt;&gt;EUconst_NA)</f>
        <v>0</v>
      </c>
      <c r="AD185" s="314"/>
      <c r="AE185" s="430"/>
      <c r="AF185" s="431"/>
      <c r="AG185" s="432"/>
      <c r="AH185" s="433"/>
      <c r="AI185" s="433"/>
      <c r="AJ185" s="433"/>
      <c r="AK185" s="434"/>
      <c r="AL185" s="326"/>
      <c r="AM185" s="326"/>
      <c r="AN185" s="326"/>
      <c r="AO185" s="326"/>
      <c r="AP185" s="326"/>
      <c r="AQ185" s="435" t="s">
        <v>159</v>
      </c>
      <c r="AR185" s="430"/>
      <c r="AS185" s="436" t="str">
        <f t="shared" si="42"/>
        <v/>
      </c>
      <c r="AT185" s="437"/>
      <c r="AU185" s="438" t="str">
        <f t="shared" si="43"/>
        <v/>
      </c>
      <c r="AV185" s="429">
        <f t="shared" ref="AV185:AV187" si="44">IF(L185&lt;&gt;0,L185,L185)</f>
        <v>0</v>
      </c>
      <c r="AW185" s="407" t="b">
        <f t="shared" si="36"/>
        <v>0</v>
      </c>
      <c r="AX185" s="439" t="b">
        <f t="shared" si="37"/>
        <v>0</v>
      </c>
      <c r="AY185" s="314"/>
      <c r="AZ185" s="408" t="b">
        <f t="shared" si="38"/>
        <v>0</v>
      </c>
      <c r="BA185" s="440" t="b">
        <f t="shared" si="39"/>
        <v>0</v>
      </c>
      <c r="BB185" s="314"/>
      <c r="BC185" s="407" t="b">
        <f t="shared" si="40"/>
        <v>0</v>
      </c>
      <c r="BD185" s="407" t="b">
        <f>OR(AV184&gt;100%,(AV184+AV185)&gt;100%)</f>
        <v>0</v>
      </c>
      <c r="BE185" s="314"/>
      <c r="BF185" s="408" t="s">
        <v>162</v>
      </c>
      <c r="BG185" s="409" t="str">
        <f>IF(COUNTIF(AO181:AO182,TRUE)=0,"",BH185*AV189)</f>
        <v/>
      </c>
      <c r="BH185" s="409" t="str">
        <f>IF(COUNTIF(AO181:AO182,TRUE)=0,"",AV178*IF(AO181,1,AV180*AN182)*AV181*AV187)</f>
        <v/>
      </c>
      <c r="BJ185" s="314"/>
      <c r="BK185" s="314"/>
      <c r="BL185" s="314"/>
      <c r="BM185" s="314"/>
      <c r="BN185" s="314"/>
      <c r="BO185" s="314"/>
      <c r="BP185" s="314"/>
      <c r="BQ185" s="314"/>
      <c r="BR185" s="314"/>
      <c r="BS185" s="314"/>
      <c r="BT185" s="314"/>
      <c r="BU185" s="314"/>
      <c r="BV185" s="314"/>
      <c r="BW185" s="314"/>
      <c r="BX185" s="314"/>
      <c r="BY185" s="314"/>
      <c r="BZ185" s="314"/>
      <c r="CA185" s="314"/>
      <c r="CB185" s="314"/>
      <c r="CC185" s="314"/>
      <c r="CD185" s="314"/>
      <c r="CE185" s="314"/>
      <c r="CF185" s="314"/>
      <c r="CG185" s="314"/>
      <c r="CH185" s="314"/>
      <c r="CI185" s="314"/>
      <c r="CJ185" s="314"/>
      <c r="CK185" s="314"/>
      <c r="CL185" s="314"/>
      <c r="CM185" s="314"/>
      <c r="CN185" s="314"/>
      <c r="CO185" s="314"/>
      <c r="CP185" s="314"/>
      <c r="CQ185" s="407" t="b">
        <f>OR(CQ178,Y185=EUconst_NA)</f>
        <v>0</v>
      </c>
    </row>
    <row r="186" spans="1:95" ht="12.75" customHeight="1" thickBot="1" x14ac:dyDescent="0.3">
      <c r="A186" s="307"/>
      <c r="B186" s="68"/>
      <c r="C186" s="199" t="s">
        <v>163</v>
      </c>
      <c r="D186" s="344" t="str">
        <f>Translations!$B$615</f>
        <v>sust. SLCF:</v>
      </c>
      <c r="E186" s="441"/>
      <c r="F186" s="19" t="s">
        <v>158</v>
      </c>
      <c r="G186" s="1261"/>
      <c r="H186" s="1262"/>
      <c r="I186" s="442" t="str">
        <f t="shared" si="41"/>
        <v/>
      </c>
      <c r="J186" s="411"/>
      <c r="K186" s="443"/>
      <c r="L186" s="57"/>
      <c r="M186" s="347" t="str">
        <f>IF(AND(E173&lt;&gt;"",OR(F186="",COUNT(L186)=0),Y186&lt;&gt;EUconst_NA),EUconst_ERR_Incomplete,"")</f>
        <v/>
      </c>
      <c r="N186" s="76"/>
      <c r="O186" s="160"/>
      <c r="P186" s="348"/>
      <c r="Q186" s="413"/>
      <c r="R186" s="413"/>
      <c r="S186" s="314"/>
      <c r="T186" s="388" t="str">
        <f>EUconst_CNTR_RFNBOetcContent&amp;E173</f>
        <v>RNFBOC_</v>
      </c>
      <c r="U186" s="312"/>
      <c r="V186" s="312"/>
      <c r="W186" s="312"/>
      <c r="X186" s="312"/>
      <c r="Y186" s="447" t="str">
        <f>IF(E173="","",IF(OR(F186=EUconst_NA,W186=TRUE),EUconst_NA,INDEX(EUwideConstants!$P$164:$P$200,MATCH(T186,EUwideConstants!$S$164:$S$200,0))))</f>
        <v/>
      </c>
      <c r="Z186" s="314"/>
      <c r="AA186" s="314"/>
      <c r="AB186" s="314"/>
      <c r="AC186" s="397" t="b">
        <f>AND(AC182,Y186&lt;&gt;EUconst_NA)</f>
        <v>0</v>
      </c>
      <c r="AD186" s="314"/>
      <c r="AE186" s="415"/>
      <c r="AF186" s="416"/>
      <c r="AG186" s="417"/>
      <c r="AH186" s="418"/>
      <c r="AI186" s="418"/>
      <c r="AJ186" s="418"/>
      <c r="AK186" s="419"/>
      <c r="AL186" s="326"/>
      <c r="AM186" s="326"/>
      <c r="AN186" s="326"/>
      <c r="AO186" s="326"/>
      <c r="AP186" s="326"/>
      <c r="AQ186" s="444" t="s">
        <v>159</v>
      </c>
      <c r="AR186" s="415"/>
      <c r="AS186" s="445" t="str">
        <f t="shared" si="42"/>
        <v/>
      </c>
      <c r="AT186" s="446"/>
      <c r="AU186" s="447" t="str">
        <f t="shared" si="43"/>
        <v/>
      </c>
      <c r="AV186" s="397">
        <f t="shared" si="44"/>
        <v>0</v>
      </c>
      <c r="AW186" s="398" t="b">
        <f t="shared" si="36"/>
        <v>0</v>
      </c>
      <c r="AX186" s="448" t="b">
        <f t="shared" si="37"/>
        <v>0</v>
      </c>
      <c r="AY186" s="314"/>
      <c r="AZ186" s="449" t="b">
        <f t="shared" si="38"/>
        <v>0</v>
      </c>
      <c r="BA186" s="450" t="b">
        <f t="shared" si="39"/>
        <v>0</v>
      </c>
      <c r="BB186" s="314"/>
      <c r="BC186" s="398" t="b">
        <f t="shared" si="40"/>
        <v>0</v>
      </c>
      <c r="BD186" s="369" t="b">
        <f>OR(AV186&gt;100%,(AV186+AV187)&gt;100%)</f>
        <v>0</v>
      </c>
      <c r="BE186" s="314"/>
      <c r="BF186" s="451" t="s">
        <v>164</v>
      </c>
      <c r="BG186" s="452">
        <f>IF(AN178=EUconst_TJ,AV178*(1-AV182),IF(AN180=EUconst_GJ,AV178*AV180/1000,0))-SUM(BG187:BG193)</f>
        <v>0</v>
      </c>
      <c r="BH186" s="314"/>
      <c r="BI186" s="314"/>
      <c r="BJ186" s="314"/>
      <c r="BK186" s="314"/>
      <c r="BL186" s="314"/>
      <c r="BM186" s="314"/>
      <c r="BN186" s="314"/>
      <c r="BO186" s="314"/>
      <c r="BP186" s="314"/>
      <c r="BQ186" s="314"/>
      <c r="BR186" s="314"/>
      <c r="BS186" s="314"/>
      <c r="BT186" s="314"/>
      <c r="BU186" s="314"/>
      <c r="BV186" s="314"/>
      <c r="BW186" s="314"/>
      <c r="BX186" s="314"/>
      <c r="BY186" s="314"/>
      <c r="BZ186" s="314"/>
      <c r="CA186" s="314"/>
      <c r="CB186" s="314"/>
      <c r="CC186" s="314"/>
      <c r="CD186" s="314"/>
      <c r="CE186" s="314"/>
      <c r="CF186" s="314"/>
      <c r="CG186" s="314"/>
      <c r="CH186" s="314"/>
      <c r="CI186" s="314"/>
      <c r="CJ186" s="314"/>
      <c r="CK186" s="314"/>
      <c r="CL186" s="314"/>
      <c r="CM186" s="314"/>
      <c r="CN186" s="314"/>
      <c r="CO186" s="314"/>
      <c r="CP186" s="314"/>
      <c r="CQ186" s="407" t="b">
        <f>OR(CQ178,Y186=EUconst_NA)</f>
        <v>0</v>
      </c>
    </row>
    <row r="187" spans="1:95" ht="12.75" customHeight="1" thickBot="1" x14ac:dyDescent="0.3">
      <c r="A187" s="307"/>
      <c r="B187" s="68"/>
      <c r="C187" s="199" t="s">
        <v>165</v>
      </c>
      <c r="D187" s="344" t="str">
        <f>Translations!$B$618</f>
        <v>non-sust. SLCF:</v>
      </c>
      <c r="E187" s="441"/>
      <c r="F187" s="20" t="s">
        <v>158</v>
      </c>
      <c r="G187" s="1261"/>
      <c r="H187" s="1262"/>
      <c r="I187" s="422" t="str">
        <f t="shared" si="41"/>
        <v/>
      </c>
      <c r="J187" s="423"/>
      <c r="K187" s="443"/>
      <c r="L187" s="56"/>
      <c r="M187" s="347" t="str">
        <f>IF(AND(E173&lt;&gt;"",OR(F187="",COUNT(L187)=0),Y187&lt;&gt;EUconst_NA),EUconst_ERR_Incomplete,"")</f>
        <v/>
      </c>
      <c r="N187" s="76"/>
      <c r="O187" s="160"/>
      <c r="P187" s="348"/>
      <c r="Q187" s="413"/>
      <c r="R187" s="413"/>
      <c r="S187" s="314"/>
      <c r="T187" s="425" t="str">
        <f>EUconst_CNTR_RFNBOetcContent&amp;E173</f>
        <v>RNFBOC_</v>
      </c>
      <c r="U187" s="312"/>
      <c r="V187" s="312"/>
      <c r="W187" s="312"/>
      <c r="X187" s="312"/>
      <c r="Y187" s="438" t="str">
        <f>IF(E173="","",IF(OR(F187=EUconst_NA,W187=TRUE),EUconst_NA,INDEX(EUwideConstants!$P$164:$P$200,MATCH(T187,EUwideConstants!$S$164:$S$200,0))))</f>
        <v/>
      </c>
      <c r="Z187" s="314"/>
      <c r="AA187" s="314"/>
      <c r="AB187" s="314"/>
      <c r="AC187" s="429" t="b">
        <f>AND(AC182,Y187&lt;&gt;EUconst_NA)</f>
        <v>0</v>
      </c>
      <c r="AD187" s="314"/>
      <c r="AE187" s="430"/>
      <c r="AF187" s="431"/>
      <c r="AG187" s="432"/>
      <c r="AH187" s="433"/>
      <c r="AI187" s="433"/>
      <c r="AJ187" s="433"/>
      <c r="AK187" s="434"/>
      <c r="AL187" s="326"/>
      <c r="AM187" s="326"/>
      <c r="AN187" s="326"/>
      <c r="AO187" s="326"/>
      <c r="AP187" s="326"/>
      <c r="AQ187" s="435" t="s">
        <v>159</v>
      </c>
      <c r="AR187" s="430"/>
      <c r="AS187" s="436" t="str">
        <f t="shared" si="42"/>
        <v/>
      </c>
      <c r="AT187" s="437"/>
      <c r="AU187" s="438" t="str">
        <f t="shared" si="43"/>
        <v/>
      </c>
      <c r="AV187" s="429">
        <f t="shared" si="44"/>
        <v>0</v>
      </c>
      <c r="AW187" s="407" t="b">
        <f t="shared" si="36"/>
        <v>0</v>
      </c>
      <c r="AX187" s="439" t="b">
        <f t="shared" si="37"/>
        <v>0</v>
      </c>
      <c r="AY187" s="314"/>
      <c r="AZ187" s="408" t="b">
        <f t="shared" si="38"/>
        <v>0</v>
      </c>
      <c r="BA187" s="440" t="b">
        <f t="shared" si="39"/>
        <v>0</v>
      </c>
      <c r="BB187" s="314"/>
      <c r="BC187" s="407" t="b">
        <f t="shared" si="40"/>
        <v>0</v>
      </c>
      <c r="BD187" s="407" t="b">
        <f>OR(AV186&gt;100%,(AV186+AV187)&gt;100%)</f>
        <v>0</v>
      </c>
      <c r="BE187" s="314"/>
      <c r="BF187" s="408" t="s">
        <v>166</v>
      </c>
      <c r="BG187" s="409" t="str">
        <f>IF(AN178=EUconst_TJ,AV178*AV182,IF(AN180=EUconst_GJ,AV178*AV180/1000*AV182,""))</f>
        <v/>
      </c>
      <c r="BH187" s="314"/>
      <c r="BI187" s="314"/>
      <c r="BJ187" s="314"/>
      <c r="BK187" s="314"/>
      <c r="BL187" s="314"/>
      <c r="BM187" s="314"/>
      <c r="BN187" s="314"/>
      <c r="BO187" s="314"/>
      <c r="BP187" s="314"/>
      <c r="BQ187" s="314"/>
      <c r="BR187" s="314"/>
      <c r="BS187" s="314"/>
      <c r="BT187" s="314"/>
      <c r="BU187" s="314"/>
      <c r="BV187" s="314"/>
      <c r="BW187" s="314"/>
      <c r="BX187" s="314"/>
      <c r="BY187" s="314"/>
      <c r="BZ187" s="314"/>
      <c r="CA187" s="314"/>
      <c r="CB187" s="314"/>
      <c r="CC187" s="314"/>
      <c r="CD187" s="314"/>
      <c r="CE187" s="314"/>
      <c r="CF187" s="314"/>
      <c r="CG187" s="314"/>
      <c r="CH187" s="314"/>
      <c r="CI187" s="314"/>
      <c r="CJ187" s="314"/>
      <c r="CK187" s="314"/>
      <c r="CL187" s="314"/>
      <c r="CM187" s="314"/>
      <c r="CN187" s="314"/>
      <c r="CO187" s="314"/>
      <c r="CP187" s="314"/>
      <c r="CQ187" s="407" t="b">
        <f>OR(CQ178,Y187=EUconst_NA)</f>
        <v>0</v>
      </c>
    </row>
    <row r="188" spans="1:95" ht="5.15" customHeight="1" thickBot="1" x14ac:dyDescent="0.3">
      <c r="A188" s="307"/>
      <c r="B188" s="68"/>
      <c r="C188" s="68"/>
      <c r="D188" s="205"/>
      <c r="E188" s="76"/>
      <c r="F188" s="76"/>
      <c r="G188" s="76"/>
      <c r="H188" s="76"/>
      <c r="I188" s="76"/>
      <c r="J188" s="76"/>
      <c r="K188" s="76"/>
      <c r="L188" s="76"/>
      <c r="M188" s="453"/>
      <c r="N188" s="76"/>
      <c r="O188" s="160"/>
      <c r="P188" s="109"/>
      <c r="Q188" s="312"/>
      <c r="R188" s="312"/>
      <c r="S188" s="314"/>
      <c r="T188" s="314"/>
      <c r="U188" s="314"/>
      <c r="V188" s="314"/>
      <c r="W188" s="314"/>
      <c r="X188" s="314"/>
      <c r="Y188" s="314"/>
      <c r="Z188" s="314"/>
      <c r="AA188" s="314"/>
      <c r="AB188" s="314"/>
      <c r="AC188" s="314"/>
      <c r="AD188" s="314"/>
      <c r="AE188" s="314"/>
      <c r="AF188" s="314"/>
      <c r="AG188" s="314"/>
      <c r="AH188" s="314"/>
      <c r="AI188" s="314"/>
      <c r="AJ188" s="314"/>
      <c r="AK188" s="314"/>
      <c r="AL188" s="314"/>
      <c r="AM188" s="314"/>
      <c r="AN188" s="314"/>
      <c r="AO188" s="314"/>
      <c r="AP188" s="314"/>
      <c r="AQ188" s="314"/>
      <c r="AR188" s="314"/>
      <c r="AS188" s="314"/>
      <c r="AT188" s="314"/>
      <c r="AU188" s="314"/>
      <c r="AV188" s="314"/>
      <c r="AW188" s="314"/>
      <c r="AX188" s="314"/>
      <c r="AY188" s="314"/>
      <c r="AZ188" s="314"/>
      <c r="BA188" s="314"/>
      <c r="BB188" s="314"/>
      <c r="BC188" s="314"/>
      <c r="BD188" s="314"/>
      <c r="BE188" s="314"/>
      <c r="BF188" s="314"/>
      <c r="BG188" s="364"/>
      <c r="BH188" s="314"/>
      <c r="BI188" s="314"/>
      <c r="BJ188" s="314"/>
      <c r="BK188" s="314"/>
      <c r="BL188" s="314"/>
      <c r="BM188" s="314"/>
      <c r="BN188" s="314"/>
      <c r="BO188" s="314"/>
      <c r="BP188" s="314"/>
      <c r="BQ188" s="314"/>
      <c r="BR188" s="314"/>
      <c r="BS188" s="314"/>
      <c r="BT188" s="314"/>
      <c r="BU188" s="314"/>
      <c r="BV188" s="314"/>
      <c r="BW188" s="314"/>
      <c r="BX188" s="314"/>
      <c r="BY188" s="314"/>
      <c r="BZ188" s="314"/>
      <c r="CA188" s="314"/>
      <c r="CB188" s="314"/>
      <c r="CC188" s="314"/>
      <c r="CD188" s="314"/>
      <c r="CE188" s="314"/>
      <c r="CF188" s="314"/>
      <c r="CG188" s="314"/>
      <c r="CH188" s="314"/>
      <c r="CI188" s="314"/>
      <c r="CJ188" s="314"/>
      <c r="CK188" s="314"/>
      <c r="CL188" s="314"/>
      <c r="CM188" s="314"/>
      <c r="CN188" s="314"/>
      <c r="CO188" s="314"/>
      <c r="CP188" s="314"/>
      <c r="CQ188" s="314"/>
    </row>
    <row r="189" spans="1:95" ht="12.75" customHeight="1" thickBot="1" x14ac:dyDescent="0.3">
      <c r="A189" s="307"/>
      <c r="B189" s="68"/>
      <c r="C189" s="199" t="s">
        <v>167</v>
      </c>
      <c r="D189" s="344" t="str">
        <f>Translations!$B$398</f>
        <v>Scope factor:</v>
      </c>
      <c r="E189" s="454"/>
      <c r="F189" s="992"/>
      <c r="G189" s="1263"/>
      <c r="H189" s="1264"/>
      <c r="I189" s="455" t="s">
        <v>46</v>
      </c>
      <c r="J189" s="456"/>
      <c r="K189" s="457" t="str">
        <f>IF(L189="",AU189,"")</f>
        <v/>
      </c>
      <c r="L189" s="16"/>
      <c r="M189" s="458" t="str">
        <f>IF(AND(E173&lt;&gt;"",OR(F189="",G189="",COUNT(K189:L189)=0)),EUconst_ERR_Incomplete,IF(COUNTIF(BB189:BD189,TRUE)&gt;0,EUconst_ERR_Inconsistent,""))</f>
        <v/>
      </c>
      <c r="N189" s="76"/>
      <c r="O189" s="160"/>
      <c r="P189" s="109"/>
      <c r="Q189" s="312"/>
      <c r="R189" s="314"/>
      <c r="S189" s="297"/>
      <c r="T189" s="459" t="str">
        <f>EUconst_CNTR_ScopeFactor&amp;E173</f>
        <v>ScopeFactor_</v>
      </c>
      <c r="U189" s="231" t="str">
        <f>IF(F189="","",INDEX(ScopeAddress,MATCH(F189,ScopeTiers,0)))</f>
        <v/>
      </c>
      <c r="V189" s="360" t="str">
        <f>V178</f>
        <v/>
      </c>
      <c r="W189" s="314"/>
      <c r="X189" s="314"/>
      <c r="Y189" s="460" t="str">
        <f>IF(E173="","",IF(F189=EUconst_NA,EUconst_NA,INDEX(EUwideConstants!$P$164:$P$200,MATCH(T189,EUwideConstants!$S$164:$S$200,0))))</f>
        <v/>
      </c>
      <c r="Z189" s="461" t="str">
        <f>IF(ISBLANK(F189),"",IF(F189=EUconst_NA,"",INDEX(EUwideConstants!$H:$O,MATCH(T189,EUwideConstants!$S:$S,0),MATCH(F189,CNTR_TierList,0))))</f>
        <v/>
      </c>
      <c r="AA189" s="331" t="str">
        <f>IF(G189=EUwideConstants!$A$89,1,"")</f>
        <v/>
      </c>
      <c r="AB189" s="314"/>
      <c r="AC189" s="331" t="b">
        <f>AND(AC178,Y189&lt;&gt;EUconst_NA)</f>
        <v>0</v>
      </c>
      <c r="AD189" s="314"/>
      <c r="AE189" s="314"/>
      <c r="AF189" s="314"/>
      <c r="AG189" s="319"/>
      <c r="AH189" s="314"/>
      <c r="AI189" s="314"/>
      <c r="AJ189" s="314"/>
      <c r="AK189" s="314"/>
      <c r="AL189" s="314"/>
      <c r="AM189" s="314"/>
      <c r="AN189" s="314"/>
      <c r="AO189" s="314"/>
      <c r="AP189" s="314"/>
      <c r="AQ189" s="314"/>
      <c r="AR189" s="314"/>
      <c r="AS189" s="328">
        <v>1</v>
      </c>
      <c r="AT189" s="314"/>
      <c r="AU189" s="319" t="str">
        <f>IF(G189=EUwideConstants!$A$89,AS189,"")</f>
        <v/>
      </c>
      <c r="AV189" s="331">
        <f>IF(AC189=TRUE,IF(COUNT(K189:L189)=0,0,IF(L189="",K189,L189)),0)</f>
        <v>0</v>
      </c>
      <c r="AW189" s="360" t="b">
        <f>AND(AC189=TRUE,OR(AND(F189&lt;&gt;"",NOT(ISNUMBER(AA189))),L189&lt;&gt;"",F189="",AU189=""))</f>
        <v>0</v>
      </c>
      <c r="AX189" s="357" t="b">
        <f>AND(AC189=TRUE,NOT(AW189))</f>
        <v>0</v>
      </c>
      <c r="AY189" s="314"/>
      <c r="AZ189" s="361" t="b">
        <f>AND(ISNUMBER(AA189),AU189="")</f>
        <v>0</v>
      </c>
      <c r="BA189" s="351" t="b">
        <f>AND(ISNUMBER(AA189),AU189&lt;&gt;AV189)</f>
        <v>0</v>
      </c>
      <c r="BB189" s="314"/>
      <c r="BC189" s="360" t="b">
        <f>AND(F189&lt;&gt;"",OR(COUNTIF(INDEX(ScopeMethods,F189,),G189)=0,AND(AA189&lt;&gt;"",AU189&lt;&gt;AV189)))</f>
        <v>0</v>
      </c>
      <c r="BD189" s="314"/>
      <c r="BE189" s="314"/>
      <c r="BF189" s="361" t="s">
        <v>168</v>
      </c>
      <c r="BG189" s="362" t="str">
        <f>IF(AN178=EUconst_TJ,AV178*AV184,IF(AN180=EUconst_GJ,AV178*AV180/1000*AV184,""))</f>
        <v/>
      </c>
      <c r="BH189" s="314"/>
      <c r="BI189" s="314"/>
      <c r="BJ189" s="314"/>
      <c r="BK189" s="314"/>
      <c r="BL189" s="314"/>
      <c r="BM189" s="314"/>
      <c r="BN189" s="314"/>
      <c r="BO189" s="314"/>
      <c r="BP189" s="314"/>
      <c r="BQ189" s="314"/>
      <c r="BR189" s="314"/>
      <c r="BS189" s="314"/>
      <c r="BT189" s="314"/>
      <c r="BU189" s="314"/>
      <c r="BV189" s="314"/>
      <c r="BW189" s="314"/>
      <c r="BX189" s="314"/>
      <c r="BY189" s="314"/>
      <c r="BZ189" s="314"/>
      <c r="CA189" s="314"/>
      <c r="CB189" s="314"/>
      <c r="CC189" s="314"/>
      <c r="CD189" s="314"/>
      <c r="CE189" s="314"/>
      <c r="CF189" s="314"/>
      <c r="CG189" s="314"/>
      <c r="CH189" s="314"/>
      <c r="CI189" s="314"/>
      <c r="CJ189" s="314"/>
      <c r="CK189" s="314"/>
      <c r="CL189" s="314"/>
      <c r="CM189" s="314"/>
      <c r="CN189" s="314"/>
      <c r="CO189" s="314"/>
      <c r="CP189" s="314"/>
      <c r="CQ189" s="314"/>
    </row>
    <row r="190" spans="1:95" ht="12.75" customHeight="1" x14ac:dyDescent="0.25">
      <c r="A190" s="307"/>
      <c r="B190" s="68"/>
      <c r="C190" s="68"/>
      <c r="D190" s="68"/>
      <c r="E190" s="68"/>
      <c r="F190" s="68"/>
      <c r="G190" s="1265" t="str">
        <f>IF(G189="","",INDEX(ScopeMethodsDetails,MATCH(G189,INDEX(ScopeMethodsDetails,,1),0),2))</f>
        <v/>
      </c>
      <c r="H190" s="1266"/>
      <c r="I190" s="1266"/>
      <c r="J190" s="1266"/>
      <c r="K190" s="1266"/>
      <c r="L190" s="1266"/>
      <c r="M190" s="1267"/>
      <c r="N190" s="76"/>
      <c r="O190" s="160"/>
      <c r="P190" s="109"/>
      <c r="Q190" s="312"/>
      <c r="R190" s="312"/>
      <c r="S190" s="314"/>
      <c r="T190" s="314"/>
      <c r="U190" s="314"/>
      <c r="V190" s="314"/>
      <c r="W190" s="314"/>
      <c r="X190" s="314"/>
      <c r="Y190" s="314"/>
      <c r="Z190" s="314"/>
      <c r="AA190" s="314"/>
      <c r="AB190" s="314"/>
      <c r="AC190" s="314"/>
      <c r="AD190" s="314"/>
      <c r="AE190" s="314"/>
      <c r="AF190" s="314"/>
      <c r="AG190" s="314"/>
      <c r="AH190" s="314"/>
      <c r="AI190" s="314"/>
      <c r="AJ190" s="314"/>
      <c r="AK190" s="314"/>
      <c r="AL190" s="314"/>
      <c r="AM190" s="314"/>
      <c r="AN190" s="314"/>
      <c r="AO190" s="314"/>
      <c r="AP190" s="314"/>
      <c r="AQ190" s="314"/>
      <c r="AR190" s="314"/>
      <c r="AS190" s="314"/>
      <c r="AT190" s="314"/>
      <c r="AU190" s="314"/>
      <c r="AV190" s="314"/>
      <c r="AW190" s="314"/>
      <c r="AX190" s="314"/>
      <c r="AY190" s="314"/>
      <c r="AZ190" s="314"/>
      <c r="BA190" s="314"/>
      <c r="BB190" s="314"/>
      <c r="BC190" s="314"/>
      <c r="BD190" s="314"/>
      <c r="BE190" s="314"/>
      <c r="BG190" s="364"/>
      <c r="BH190" s="314"/>
      <c r="BI190" s="314"/>
      <c r="BJ190" s="314"/>
      <c r="BK190" s="314"/>
      <c r="BL190" s="314"/>
      <c r="BM190" s="314"/>
      <c r="BN190" s="314"/>
      <c r="BO190" s="314"/>
      <c r="BP190" s="314"/>
      <c r="BQ190" s="314"/>
      <c r="BR190" s="314"/>
      <c r="BS190" s="314"/>
      <c r="BT190" s="314"/>
      <c r="BU190" s="314"/>
      <c r="BV190" s="314"/>
      <c r="BW190" s="314"/>
      <c r="BX190" s="314"/>
      <c r="BY190" s="314"/>
      <c r="BZ190" s="314"/>
      <c r="CA190" s="314"/>
      <c r="CB190" s="314"/>
      <c r="CC190" s="314"/>
      <c r="CD190" s="314"/>
      <c r="CE190" s="314"/>
      <c r="CF190" s="314"/>
      <c r="CG190" s="314"/>
      <c r="CH190" s="314"/>
      <c r="CI190" s="314"/>
      <c r="CJ190" s="314"/>
      <c r="CK190" s="314"/>
      <c r="CL190" s="314"/>
      <c r="CM190" s="314"/>
      <c r="CN190" s="314"/>
      <c r="CO190" s="314"/>
      <c r="CP190" s="314"/>
      <c r="CQ190" s="314"/>
    </row>
    <row r="191" spans="1:95" ht="5.15" customHeight="1" x14ac:dyDescent="0.25">
      <c r="A191" s="307"/>
      <c r="C191" s="76"/>
      <c r="D191" s="76"/>
      <c r="E191" s="76"/>
      <c r="F191" s="76"/>
      <c r="G191" s="76"/>
      <c r="H191" s="76"/>
      <c r="I191" s="76"/>
      <c r="J191" s="76"/>
      <c r="K191" s="76"/>
      <c r="L191" s="76"/>
      <c r="O191" s="160"/>
      <c r="P191" s="109"/>
      <c r="Q191" s="312"/>
      <c r="R191" s="312"/>
      <c r="S191" s="314"/>
      <c r="T191" s="314"/>
      <c r="U191" s="314"/>
      <c r="V191" s="314"/>
      <c r="W191" s="314"/>
      <c r="X191" s="314"/>
      <c r="Y191" s="314"/>
      <c r="Z191" s="314"/>
      <c r="AA191" s="314"/>
      <c r="AB191" s="314"/>
      <c r="AC191" s="314"/>
      <c r="AD191" s="314"/>
      <c r="AE191" s="314"/>
      <c r="AF191" s="314"/>
      <c r="AG191" s="314"/>
      <c r="AH191" s="314"/>
      <c r="AI191" s="314"/>
      <c r="AJ191" s="314"/>
      <c r="AK191" s="314"/>
      <c r="AL191" s="314"/>
      <c r="AM191" s="314"/>
      <c r="AN191" s="314"/>
      <c r="AO191" s="314"/>
      <c r="AP191" s="314"/>
      <c r="AQ191" s="314"/>
      <c r="AR191" s="314"/>
      <c r="AS191" s="314"/>
      <c r="AT191" s="314"/>
      <c r="AU191" s="314"/>
      <c r="AV191" s="314"/>
      <c r="AW191" s="314"/>
      <c r="AX191" s="314"/>
      <c r="AY191" s="314"/>
      <c r="AZ191" s="314"/>
      <c r="BA191" s="314"/>
      <c r="BB191" s="314"/>
      <c r="BC191" s="314"/>
      <c r="BD191" s="314"/>
      <c r="BE191" s="314"/>
      <c r="BG191" s="364"/>
      <c r="BH191" s="314"/>
      <c r="BI191" s="314"/>
      <c r="BJ191" s="314"/>
      <c r="BK191" s="314"/>
      <c r="BL191" s="314"/>
      <c r="BM191" s="314"/>
      <c r="BN191" s="314"/>
      <c r="BO191" s="314"/>
      <c r="BP191" s="314"/>
      <c r="BQ191" s="314"/>
      <c r="BR191" s="314"/>
      <c r="BS191" s="314"/>
      <c r="BT191" s="314"/>
      <c r="BU191" s="314"/>
      <c r="BV191" s="314"/>
      <c r="BW191" s="314"/>
      <c r="BX191" s="314"/>
      <c r="BY191" s="314"/>
      <c r="BZ191" s="314"/>
      <c r="CA191" s="314"/>
      <c r="CB191" s="314"/>
      <c r="CC191" s="314"/>
      <c r="CD191" s="314"/>
      <c r="CE191" s="314"/>
      <c r="CF191" s="314"/>
      <c r="CG191" s="314"/>
      <c r="CH191" s="314"/>
      <c r="CI191" s="314"/>
      <c r="CJ191" s="314"/>
      <c r="CK191" s="314"/>
      <c r="CL191" s="314"/>
      <c r="CM191" s="314"/>
      <c r="CN191" s="314"/>
      <c r="CO191" s="314"/>
      <c r="CP191" s="314"/>
      <c r="CQ191" s="314"/>
    </row>
    <row r="192" spans="1:95" ht="12.75" customHeight="1" thickBot="1" x14ac:dyDescent="0.3">
      <c r="A192" s="307"/>
      <c r="C192" s="76"/>
      <c r="D192" s="76"/>
      <c r="E192" s="76"/>
      <c r="F192" s="76"/>
      <c r="G192" s="1268">
        <v>1</v>
      </c>
      <c r="H192" s="1268"/>
      <c r="I192" s="1268">
        <v>2</v>
      </c>
      <c r="J192" s="1268"/>
      <c r="K192" s="1268">
        <v>3</v>
      </c>
      <c r="L192" s="1268"/>
      <c r="O192" s="160"/>
      <c r="P192" s="109"/>
      <c r="Q192" s="312"/>
      <c r="R192" s="312"/>
      <c r="S192" s="314"/>
      <c r="T192" s="314"/>
      <c r="U192" s="314"/>
      <c r="V192" s="314"/>
      <c r="W192" s="314"/>
      <c r="X192" s="314"/>
      <c r="Y192" s="314"/>
      <c r="Z192" s="314"/>
      <c r="AA192" s="314"/>
      <c r="AB192" s="314"/>
      <c r="AC192" s="314"/>
      <c r="AD192" s="314"/>
      <c r="AE192" s="314"/>
      <c r="AF192" s="314"/>
      <c r="AG192" s="314"/>
      <c r="AH192" s="314"/>
      <c r="AI192" s="314"/>
      <c r="AJ192" s="314"/>
      <c r="AK192" s="314"/>
      <c r="AL192" s="314"/>
      <c r="AM192" s="314"/>
      <c r="AN192" s="314"/>
      <c r="AO192" s="314"/>
      <c r="AP192" s="314"/>
      <c r="AQ192" s="314"/>
      <c r="AR192" s="314"/>
      <c r="AS192" s="314"/>
      <c r="AT192" s="314"/>
      <c r="AU192" s="314"/>
      <c r="AV192" s="314"/>
      <c r="AW192" s="314"/>
      <c r="AX192" s="314"/>
      <c r="AY192" s="314"/>
      <c r="AZ192" s="314"/>
      <c r="BA192" s="314"/>
      <c r="BB192" s="314"/>
      <c r="BC192" s="314"/>
      <c r="BD192" s="314"/>
      <c r="BE192" s="314"/>
      <c r="BF192" s="314"/>
      <c r="BG192" s="364"/>
      <c r="BH192" s="314"/>
      <c r="BI192" s="314"/>
      <c r="BJ192" s="314"/>
      <c r="BK192" s="314"/>
      <c r="BL192" s="314"/>
      <c r="BM192" s="314"/>
      <c r="BN192" s="314"/>
      <c r="BO192" s="314"/>
      <c r="BP192" s="314"/>
      <c r="BQ192" s="314"/>
      <c r="BR192" s="314"/>
      <c r="BS192" s="314"/>
      <c r="BT192" s="314"/>
      <c r="BU192" s="314"/>
      <c r="BV192" s="314"/>
      <c r="BW192" s="314"/>
      <c r="BX192" s="314"/>
      <c r="BY192" s="314"/>
      <c r="BZ192" s="314"/>
      <c r="CA192" s="314"/>
      <c r="CB192" s="314"/>
      <c r="CC192" s="314"/>
      <c r="CD192" s="314"/>
      <c r="CE192" s="314"/>
      <c r="CF192" s="314"/>
      <c r="CG192" s="314"/>
      <c r="CH192" s="314"/>
      <c r="CI192" s="314"/>
      <c r="CJ192" s="314"/>
      <c r="CK192" s="314"/>
      <c r="CL192" s="314"/>
      <c r="CM192" s="314"/>
      <c r="CN192" s="314"/>
      <c r="CO192" s="314"/>
      <c r="CP192" s="314"/>
      <c r="CQ192" s="314"/>
    </row>
    <row r="193" spans="1:95" ht="12.75" customHeight="1" thickBot="1" x14ac:dyDescent="0.3">
      <c r="A193" s="462"/>
      <c r="B193" s="76"/>
      <c r="C193" s="76"/>
      <c r="D193" s="1246" t="str">
        <f>Translations!$B$372</f>
        <v>Consumers' CRF category:</v>
      </c>
      <c r="E193" s="1246"/>
      <c r="F193" s="1247"/>
      <c r="G193" s="1248"/>
      <c r="H193" s="1249"/>
      <c r="I193" s="1248"/>
      <c r="J193" s="1249"/>
      <c r="K193" s="1248"/>
      <c r="L193" s="1249"/>
      <c r="M193" s="463" t="str">
        <f>IF(AND(E172&lt;&gt;"",COUNTA(G193:L193)=0,AX193=FALSE),EUconst_ERR_Incomplete,"")</f>
        <v/>
      </c>
      <c r="N193" s="76"/>
      <c r="O193" s="160"/>
      <c r="P193" s="109"/>
      <c r="Q193" s="312"/>
      <c r="R193" s="312"/>
      <c r="S193" s="314"/>
      <c r="T193" s="314"/>
      <c r="U193" s="314"/>
      <c r="V193" s="314"/>
      <c r="W193" s="314"/>
      <c r="X193" s="314"/>
      <c r="Y193" s="314"/>
      <c r="Z193" s="314"/>
      <c r="AA193" s="314"/>
      <c r="AB193" s="314"/>
      <c r="AC193" s="314"/>
      <c r="AD193" s="314"/>
      <c r="AE193" s="314"/>
      <c r="AF193" s="314"/>
      <c r="AG193" s="314"/>
      <c r="AH193" s="314"/>
      <c r="AI193" s="314"/>
      <c r="AJ193" s="314"/>
      <c r="AK193" s="314"/>
      <c r="AL193" s="314"/>
      <c r="AM193" s="314"/>
      <c r="AN193" s="314"/>
      <c r="AO193" s="314"/>
      <c r="AP193" s="314"/>
      <c r="AQ193" s="314"/>
      <c r="AR193" s="314"/>
      <c r="AS193" s="314"/>
      <c r="AT193" s="314"/>
      <c r="AU193" s="314"/>
      <c r="AV193" s="314"/>
      <c r="AW193" s="314"/>
      <c r="AX193" s="464" t="b">
        <f>AND(AV189&lt;&gt;"",SUM(AV189=1))</f>
        <v>0</v>
      </c>
      <c r="AY193" s="314"/>
      <c r="AZ193" s="314"/>
      <c r="BA193" s="314"/>
      <c r="BB193" s="314"/>
      <c r="BC193" s="314"/>
      <c r="BD193" s="314"/>
      <c r="BE193" s="314"/>
      <c r="BF193" s="361" t="s">
        <v>169</v>
      </c>
      <c r="BG193" s="362" t="str">
        <f>IF(AN178=EUconst_TJ,AV178*AV186,IF(AN180=EUconst_GJ,AV178*AV180/1000*AV186,""))</f>
        <v/>
      </c>
      <c r="BH193" s="314"/>
      <c r="BI193" s="314"/>
      <c r="BJ193" s="314"/>
      <c r="BK193" s="314"/>
      <c r="BL193" s="314"/>
      <c r="BM193" s="314"/>
      <c r="BN193" s="314"/>
      <c r="BO193" s="314"/>
      <c r="BP193" s="314"/>
      <c r="BQ193" s="314"/>
      <c r="BR193" s="314"/>
      <c r="BS193" s="314"/>
      <c r="BT193" s="314"/>
      <c r="BU193" s="314"/>
      <c r="BV193" s="314"/>
      <c r="BW193" s="314"/>
      <c r="BX193" s="314"/>
      <c r="BY193" s="314"/>
      <c r="BZ193" s="314"/>
      <c r="CA193" s="314"/>
      <c r="CB193" s="314"/>
      <c r="CC193" s="314"/>
      <c r="CD193" s="314"/>
      <c r="CE193" s="314"/>
      <c r="CF193" s="314"/>
      <c r="CG193" s="314"/>
      <c r="CH193" s="314"/>
      <c r="CI193" s="314"/>
      <c r="CJ193" s="314"/>
      <c r="CK193" s="314"/>
      <c r="CL193" s="314"/>
      <c r="CM193" s="314"/>
      <c r="CN193" s="314"/>
      <c r="CO193" s="314"/>
      <c r="CP193" s="314"/>
      <c r="CQ193" s="314"/>
    </row>
    <row r="194" spans="1:95" ht="5.15" customHeight="1" x14ac:dyDescent="0.25">
      <c r="A194" s="307"/>
      <c r="B194" s="68"/>
      <c r="C194" s="68"/>
      <c r="D194" s="68"/>
      <c r="E194" s="68"/>
      <c r="F194" s="68"/>
      <c r="G194" s="76"/>
      <c r="H194" s="76"/>
      <c r="I194" s="76"/>
      <c r="J194" s="76"/>
      <c r="K194" s="76"/>
      <c r="L194" s="76"/>
      <c r="M194" s="76"/>
      <c r="N194" s="76"/>
      <c r="O194" s="160"/>
      <c r="P194" s="109"/>
      <c r="Q194" s="312"/>
      <c r="R194" s="312"/>
      <c r="S194" s="314"/>
      <c r="T194" s="314"/>
      <c r="U194" s="314"/>
      <c r="V194" s="314"/>
      <c r="W194" s="314"/>
      <c r="X194" s="314"/>
      <c r="Y194" s="314"/>
      <c r="Z194" s="314"/>
      <c r="AA194" s="314"/>
      <c r="AB194" s="314"/>
      <c r="AC194" s="314"/>
      <c r="AD194" s="314"/>
      <c r="AE194" s="314"/>
      <c r="AF194" s="314"/>
      <c r="AG194" s="314"/>
      <c r="AH194" s="314"/>
      <c r="AI194" s="314"/>
      <c r="AJ194" s="314"/>
      <c r="AK194" s="314"/>
      <c r="AL194" s="314"/>
      <c r="AM194" s="314"/>
      <c r="AN194" s="314"/>
      <c r="AO194" s="314"/>
      <c r="AP194" s="314"/>
      <c r="AQ194" s="314"/>
      <c r="AR194" s="314"/>
      <c r="AS194" s="314"/>
      <c r="AT194" s="314"/>
      <c r="AU194" s="314"/>
      <c r="AV194" s="314"/>
      <c r="AW194" s="314"/>
      <c r="AX194" s="314"/>
      <c r="AY194" s="314"/>
      <c r="AZ194" s="314"/>
      <c r="BA194" s="314"/>
      <c r="BB194" s="314"/>
      <c r="BC194" s="314"/>
      <c r="BD194" s="314"/>
      <c r="BE194" s="314"/>
      <c r="BF194" s="314"/>
      <c r="BG194" s="314"/>
      <c r="BH194" s="314"/>
      <c r="BI194" s="314"/>
      <c r="BJ194" s="314"/>
      <c r="BK194" s="314"/>
      <c r="BL194" s="314"/>
      <c r="BM194" s="314"/>
      <c r="BN194" s="314"/>
      <c r="BO194" s="314"/>
      <c r="BP194" s="314"/>
      <c r="BQ194" s="314"/>
      <c r="BR194" s="314"/>
      <c r="BS194" s="314"/>
      <c r="BT194" s="314"/>
      <c r="BU194" s="314"/>
      <c r="BV194" s="314"/>
      <c r="BW194" s="314"/>
      <c r="BX194" s="314"/>
      <c r="BY194" s="314"/>
      <c r="BZ194" s="314"/>
      <c r="CA194" s="314"/>
      <c r="CB194" s="314"/>
      <c r="CC194" s="314"/>
      <c r="CD194" s="314"/>
      <c r="CE194" s="314"/>
      <c r="CF194" s="314"/>
      <c r="CG194" s="314"/>
      <c r="CH194" s="314"/>
      <c r="CI194" s="314"/>
      <c r="CJ194" s="314"/>
      <c r="CK194" s="314"/>
      <c r="CL194" s="314"/>
      <c r="CM194" s="314"/>
      <c r="CN194" s="314"/>
      <c r="CO194" s="314"/>
      <c r="CP194" s="314"/>
      <c r="CQ194" s="314"/>
    </row>
    <row r="195" spans="1:95" ht="12.75" customHeight="1" x14ac:dyDescent="0.25">
      <c r="A195" s="307"/>
      <c r="B195" s="68"/>
      <c r="C195" s="68"/>
      <c r="D195" s="1246" t="str">
        <f>Translations!$B$399</f>
        <v>Tiers valid from:</v>
      </c>
      <c r="E195" s="1246"/>
      <c r="F195" s="1247"/>
      <c r="G195" s="8"/>
      <c r="H195" s="199" t="str">
        <f>Translations!$B$400</f>
        <v>until:</v>
      </c>
      <c r="I195" s="8"/>
      <c r="J195" s="76"/>
      <c r="K195" s="76"/>
      <c r="L195" s="76"/>
      <c r="M195" s="199" t="str">
        <f>Translations!$B$401</f>
        <v>ID used in the monitoring plan for this fuel stream:</v>
      </c>
      <c r="N195" s="9"/>
      <c r="O195" s="160"/>
      <c r="P195" s="109"/>
      <c r="Q195" s="312"/>
      <c r="R195" s="312"/>
      <c r="S195" s="465"/>
      <c r="T195" s="314"/>
      <c r="U195" s="314"/>
      <c r="V195" s="314"/>
      <c r="W195" s="314"/>
      <c r="X195" s="314"/>
      <c r="Y195" s="314"/>
      <c r="Z195" s="314"/>
      <c r="AA195" s="314"/>
      <c r="AB195" s="314"/>
      <c r="AC195" s="314"/>
      <c r="AD195" s="314"/>
      <c r="AE195" s="314"/>
      <c r="AF195" s="314"/>
      <c r="AG195" s="314"/>
      <c r="AH195" s="314"/>
      <c r="AI195" s="314"/>
      <c r="AJ195" s="314"/>
      <c r="AK195" s="314"/>
      <c r="AL195" s="314"/>
      <c r="AM195" s="314"/>
      <c r="AN195" s="314"/>
      <c r="AO195" s="314"/>
      <c r="AP195" s="314"/>
      <c r="AQ195" s="314"/>
      <c r="AR195" s="314"/>
      <c r="AS195" s="314"/>
      <c r="AT195" s="314"/>
      <c r="AU195" s="314"/>
      <c r="AV195" s="314"/>
      <c r="AW195" s="314"/>
      <c r="AX195" s="314"/>
      <c r="AY195" s="314"/>
      <c r="AZ195" s="314"/>
      <c r="BA195" s="314"/>
      <c r="BB195" s="314"/>
      <c r="BC195" s="314"/>
      <c r="BD195" s="314"/>
      <c r="BE195" s="314"/>
      <c r="BF195" s="314"/>
      <c r="BG195" s="314"/>
      <c r="BH195" s="314"/>
      <c r="BI195" s="314"/>
      <c r="BJ195" s="314"/>
      <c r="BK195" s="314"/>
      <c r="BL195" s="314"/>
      <c r="BM195" s="314"/>
      <c r="BN195" s="314"/>
      <c r="BO195" s="314"/>
      <c r="BP195" s="314"/>
      <c r="BQ195" s="314"/>
      <c r="BR195" s="314"/>
      <c r="BS195" s="314"/>
      <c r="BT195" s="314"/>
      <c r="BU195" s="314"/>
      <c r="BV195" s="314"/>
      <c r="BW195" s="314"/>
      <c r="BX195" s="314"/>
      <c r="BY195" s="314"/>
      <c r="BZ195" s="314"/>
      <c r="CA195" s="314"/>
      <c r="CB195" s="314"/>
      <c r="CC195" s="314"/>
      <c r="CD195" s="314"/>
      <c r="CE195" s="314"/>
      <c r="CF195" s="314"/>
      <c r="CG195" s="314"/>
      <c r="CH195" s="314"/>
      <c r="CI195" s="314"/>
      <c r="CJ195" s="314"/>
      <c r="CK195" s="314"/>
      <c r="CL195" s="314"/>
      <c r="CM195" s="314"/>
      <c r="CN195" s="314"/>
      <c r="CO195" s="314"/>
      <c r="CP195" s="314"/>
      <c r="CQ195" s="464" t="b">
        <f>CQ178</f>
        <v>0</v>
      </c>
    </row>
    <row r="196" spans="1:95" ht="5.15" customHeight="1" x14ac:dyDescent="0.25">
      <c r="A196" s="462"/>
      <c r="B196" s="76"/>
      <c r="C196" s="76"/>
      <c r="D196" s="76"/>
      <c r="E196" s="76"/>
      <c r="F196" s="76"/>
      <c r="G196" s="76"/>
      <c r="H196" s="76"/>
      <c r="I196" s="76"/>
      <c r="J196" s="76"/>
      <c r="K196" s="76"/>
      <c r="L196" s="76"/>
      <c r="M196" s="76"/>
      <c r="N196" s="76"/>
      <c r="O196" s="160"/>
      <c r="P196" s="109"/>
      <c r="Q196" s="312"/>
      <c r="R196" s="312"/>
      <c r="S196" s="314"/>
      <c r="T196" s="314"/>
      <c r="U196" s="314"/>
      <c r="V196" s="314"/>
      <c r="W196" s="314"/>
      <c r="X196" s="314"/>
      <c r="Y196" s="314"/>
      <c r="Z196" s="314"/>
      <c r="AA196" s="314"/>
      <c r="AB196" s="314"/>
      <c r="AC196" s="314"/>
      <c r="AD196" s="314"/>
      <c r="AE196" s="314"/>
      <c r="AF196" s="314"/>
      <c r="AG196" s="314"/>
      <c r="AH196" s="314"/>
      <c r="AI196" s="314"/>
      <c r="AJ196" s="314"/>
      <c r="AK196" s="314"/>
      <c r="AL196" s="314"/>
      <c r="AM196" s="314"/>
      <c r="AN196" s="314"/>
      <c r="AO196" s="314"/>
      <c r="AP196" s="314"/>
      <c r="AQ196" s="314"/>
      <c r="AR196" s="314"/>
      <c r="AS196" s="314"/>
      <c r="AT196" s="314"/>
      <c r="AU196" s="314"/>
      <c r="AV196" s="314"/>
      <c r="AW196" s="314"/>
      <c r="AX196" s="314"/>
      <c r="AY196" s="314"/>
      <c r="AZ196" s="314"/>
      <c r="BA196" s="314"/>
      <c r="BB196" s="314"/>
      <c r="BC196" s="314"/>
      <c r="BD196" s="314"/>
      <c r="BE196" s="314"/>
      <c r="BF196" s="314"/>
      <c r="BG196" s="314"/>
      <c r="BH196" s="314"/>
      <c r="BI196" s="314"/>
      <c r="BJ196" s="314"/>
      <c r="BK196" s="314"/>
      <c r="BL196" s="314"/>
      <c r="BM196" s="314"/>
      <c r="BN196" s="314"/>
      <c r="BO196" s="314"/>
      <c r="BP196" s="314"/>
      <c r="BQ196" s="314"/>
      <c r="BR196" s="314"/>
      <c r="BS196" s="314"/>
      <c r="BT196" s="314"/>
      <c r="BU196" s="314"/>
      <c r="BV196" s="314"/>
      <c r="BW196" s="314"/>
      <c r="BX196" s="314"/>
      <c r="BY196" s="314"/>
      <c r="BZ196" s="314"/>
      <c r="CA196" s="314"/>
      <c r="CB196" s="314"/>
      <c r="CC196" s="314"/>
      <c r="CD196" s="314"/>
      <c r="CE196" s="314"/>
      <c r="CF196" s="314"/>
      <c r="CG196" s="314"/>
      <c r="CH196" s="314"/>
      <c r="CI196" s="314"/>
      <c r="CJ196" s="314"/>
      <c r="CK196" s="314"/>
      <c r="CL196" s="314"/>
      <c r="CM196" s="314"/>
      <c r="CN196" s="314"/>
      <c r="CO196" s="314"/>
      <c r="CP196" s="314"/>
      <c r="CQ196" s="314"/>
    </row>
    <row r="197" spans="1:95" ht="12.75" customHeight="1" x14ac:dyDescent="0.25">
      <c r="A197" s="462"/>
      <c r="B197" s="76"/>
      <c r="C197" s="76"/>
      <c r="D197" s="115"/>
      <c r="E197" s="85"/>
      <c r="F197" s="466" t="str">
        <f>Translations!$B$304</f>
        <v>Comments:</v>
      </c>
      <c r="G197" s="1250"/>
      <c r="H197" s="1251"/>
      <c r="I197" s="1251"/>
      <c r="J197" s="1251"/>
      <c r="K197" s="1251"/>
      <c r="L197" s="1251"/>
      <c r="M197" s="1251"/>
      <c r="N197" s="1252"/>
      <c r="O197" s="160"/>
      <c r="P197" s="109"/>
      <c r="Q197" s="312"/>
      <c r="R197" s="312"/>
      <c r="S197" s="314"/>
      <c r="T197" s="314"/>
      <c r="U197" s="314"/>
      <c r="V197" s="314"/>
      <c r="W197" s="314"/>
      <c r="X197" s="314"/>
      <c r="Y197" s="314"/>
      <c r="Z197" s="314"/>
      <c r="AA197" s="314"/>
      <c r="AB197" s="314"/>
      <c r="AC197" s="314"/>
      <c r="AD197" s="314"/>
      <c r="AE197" s="314"/>
      <c r="AF197" s="314"/>
      <c r="AG197" s="314"/>
      <c r="AH197" s="314"/>
      <c r="AI197" s="314"/>
      <c r="AJ197" s="314"/>
      <c r="AK197" s="314"/>
      <c r="AL197" s="314"/>
      <c r="AM197" s="314"/>
      <c r="AN197" s="314"/>
      <c r="AO197" s="314"/>
      <c r="AP197" s="314"/>
      <c r="AQ197" s="314"/>
      <c r="AR197" s="314"/>
      <c r="AS197" s="314"/>
      <c r="AT197" s="314"/>
      <c r="AU197" s="314"/>
      <c r="AV197" s="314"/>
      <c r="AW197" s="314"/>
      <c r="AX197" s="314"/>
      <c r="AY197" s="314"/>
      <c r="AZ197" s="314"/>
      <c r="BA197" s="314"/>
      <c r="BB197" s="314"/>
      <c r="BC197" s="314"/>
      <c r="BD197" s="314"/>
      <c r="BE197" s="314"/>
      <c r="BF197" s="314"/>
      <c r="BG197" s="314"/>
      <c r="BH197" s="314"/>
      <c r="BI197" s="314"/>
      <c r="BJ197" s="314"/>
      <c r="BK197" s="314"/>
      <c r="BL197" s="314"/>
      <c r="BM197" s="314"/>
      <c r="BN197" s="314"/>
      <c r="BO197" s="314"/>
      <c r="BP197" s="314"/>
      <c r="BQ197" s="314"/>
      <c r="BR197" s="314"/>
      <c r="BS197" s="314"/>
      <c r="BT197" s="314"/>
      <c r="BU197" s="314"/>
      <c r="BV197" s="314"/>
      <c r="BW197" s="314"/>
      <c r="BX197" s="314"/>
      <c r="BY197" s="314"/>
      <c r="BZ197" s="314"/>
      <c r="CA197" s="314"/>
      <c r="CB197" s="314"/>
      <c r="CC197" s="314"/>
      <c r="CD197" s="314"/>
      <c r="CE197" s="314"/>
      <c r="CF197" s="314"/>
      <c r="CG197" s="314"/>
      <c r="CH197" s="314"/>
      <c r="CI197" s="314"/>
      <c r="CJ197" s="314"/>
      <c r="CK197" s="314"/>
      <c r="CL197" s="314"/>
      <c r="CM197" s="314"/>
      <c r="CN197" s="314"/>
      <c r="CO197" s="314"/>
      <c r="CP197" s="314"/>
      <c r="CQ197" s="464" t="b">
        <f>CQ195</f>
        <v>0</v>
      </c>
    </row>
    <row r="198" spans="1:95" ht="12.75" customHeight="1" thickBot="1" x14ac:dyDescent="0.3">
      <c r="A198" s="307"/>
      <c r="B198" s="76"/>
      <c r="C198" s="308"/>
      <c r="D198" s="309"/>
      <c r="E198" s="310"/>
      <c r="F198" s="308"/>
      <c r="G198" s="311"/>
      <c r="H198" s="311"/>
      <c r="I198" s="311"/>
      <c r="J198" s="311"/>
      <c r="K198" s="311"/>
      <c r="L198" s="311"/>
      <c r="M198" s="311"/>
      <c r="N198" s="311"/>
      <c r="O198" s="160"/>
      <c r="P198" s="109"/>
      <c r="Q198" s="312"/>
      <c r="R198" s="312"/>
      <c r="S198" s="293"/>
      <c r="T198" s="293"/>
      <c r="U198" s="313"/>
      <c r="V198" s="293"/>
      <c r="W198" s="293"/>
      <c r="X198" s="313"/>
      <c r="Y198" s="293"/>
      <c r="Z198" s="293"/>
      <c r="AA198" s="293"/>
      <c r="AB198" s="293"/>
      <c r="AC198" s="293"/>
      <c r="AD198" s="293"/>
      <c r="AE198" s="293"/>
      <c r="AF198" s="293"/>
      <c r="AG198" s="293"/>
      <c r="AH198" s="293"/>
      <c r="AI198" s="293"/>
      <c r="AJ198" s="293"/>
      <c r="AK198" s="293"/>
      <c r="AL198" s="293"/>
      <c r="AM198" s="293"/>
      <c r="AN198" s="293"/>
      <c r="AO198" s="293"/>
      <c r="AP198" s="293"/>
      <c r="AQ198" s="293"/>
      <c r="AR198" s="293"/>
      <c r="AS198" s="293"/>
      <c r="AT198" s="293"/>
      <c r="AU198" s="293"/>
      <c r="AV198" s="293"/>
      <c r="AW198" s="293"/>
      <c r="AX198" s="293"/>
      <c r="AY198" s="293"/>
      <c r="AZ198" s="293"/>
      <c r="BA198" s="293"/>
      <c r="BB198" s="293"/>
      <c r="BC198" s="293"/>
      <c r="BD198" s="293"/>
      <c r="BE198" s="293"/>
      <c r="BF198" s="293"/>
      <c r="BG198" s="293"/>
      <c r="BH198" s="293"/>
      <c r="BI198" s="293"/>
      <c r="BJ198" s="293"/>
      <c r="BK198" s="293"/>
      <c r="BL198" s="293"/>
      <c r="BM198" s="314"/>
      <c r="BN198" s="314"/>
      <c r="BO198" s="314"/>
      <c r="BP198" s="314"/>
      <c r="BQ198" s="314"/>
      <c r="BR198" s="314"/>
      <c r="BS198" s="314"/>
      <c r="BT198" s="314"/>
      <c r="BU198" s="293"/>
      <c r="BV198" s="293"/>
      <c r="BW198" s="293"/>
      <c r="BX198" s="293"/>
      <c r="BY198" s="293"/>
      <c r="BZ198" s="293"/>
      <c r="CA198" s="293"/>
      <c r="CB198" s="293"/>
      <c r="CC198" s="293"/>
      <c r="CD198" s="293"/>
      <c r="CE198" s="293"/>
      <c r="CF198" s="293"/>
      <c r="CG198" s="293"/>
      <c r="CH198" s="293"/>
      <c r="CI198" s="293"/>
      <c r="CJ198" s="293"/>
      <c r="CK198" s="293"/>
      <c r="CL198" s="293"/>
      <c r="CM198" s="293"/>
      <c r="CN198" s="293"/>
      <c r="CO198" s="293"/>
      <c r="CP198" s="293"/>
      <c r="CQ198" s="293"/>
    </row>
    <row r="199" spans="1:95" ht="12.75" customHeight="1" thickBot="1" x14ac:dyDescent="0.3">
      <c r="A199" s="315"/>
      <c r="B199" s="76"/>
      <c r="C199" s="76"/>
      <c r="D199" s="205"/>
      <c r="E199" s="316"/>
      <c r="F199" s="76"/>
      <c r="G199" s="96"/>
      <c r="H199" s="96"/>
      <c r="I199" s="96"/>
      <c r="J199" s="96"/>
      <c r="K199" s="76"/>
      <c r="L199" s="96"/>
      <c r="M199" s="96"/>
      <c r="N199" s="96"/>
      <c r="O199" s="160"/>
      <c r="P199" s="109"/>
      <c r="Q199" s="312"/>
      <c r="R199" s="312"/>
      <c r="S199" s="287"/>
      <c r="T199" s="317" t="str">
        <f>IF(ISBLANK(E200),"",MATCH(E200,CNTR_SourceStreamNames,0))</f>
        <v/>
      </c>
      <c r="U199" s="318" t="str">
        <f>IF(ISBLANK(E200),"",INDEX(B_IdentifyFuelStreams!$D$67:$D$116,MATCH(E200,CNTR_SourceStreamNames,0)))</f>
        <v/>
      </c>
      <c r="V199" s="301"/>
      <c r="W199" s="138"/>
      <c r="X199" s="138"/>
      <c r="Y199" s="138"/>
      <c r="Z199" s="293"/>
      <c r="AA199" s="293"/>
      <c r="AB199" s="293"/>
      <c r="AC199" s="293"/>
      <c r="AD199" s="293"/>
      <c r="AE199" s="293"/>
      <c r="AF199" s="293"/>
      <c r="AG199" s="293"/>
      <c r="AH199" s="293"/>
      <c r="AI199" s="293"/>
      <c r="AJ199" s="293"/>
      <c r="AK199" s="312"/>
      <c r="AL199" s="293"/>
      <c r="AM199" s="293"/>
      <c r="AN199" s="293"/>
      <c r="AO199" s="293"/>
      <c r="AP199" s="293"/>
      <c r="AQ199" s="293"/>
      <c r="AR199" s="293"/>
      <c r="AS199" s="293"/>
      <c r="AT199" s="293"/>
      <c r="AU199" s="293"/>
      <c r="AV199" s="293"/>
      <c r="AW199" s="293"/>
      <c r="AX199" s="293"/>
      <c r="AY199" s="293"/>
      <c r="AZ199" s="293"/>
      <c r="BA199" s="293"/>
      <c r="BB199" s="293"/>
      <c r="BC199" s="293"/>
      <c r="BD199" s="293"/>
      <c r="BE199" s="293"/>
      <c r="BF199" s="293"/>
      <c r="BG199" s="293"/>
      <c r="BH199" s="293"/>
      <c r="BI199" s="293"/>
      <c r="BJ199" s="138"/>
      <c r="BK199" s="138"/>
      <c r="BL199" s="138"/>
      <c r="BM199" s="138"/>
      <c r="BN199" s="138"/>
      <c r="BO199" s="138"/>
      <c r="BP199" s="138"/>
      <c r="BQ199" s="138"/>
      <c r="BR199" s="138"/>
      <c r="BS199" s="138"/>
      <c r="BT199" s="138"/>
      <c r="BU199" s="138"/>
      <c r="BV199" s="138"/>
      <c r="BW199" s="138"/>
      <c r="BX199" s="138"/>
      <c r="BY199" s="138"/>
      <c r="BZ199" s="138"/>
      <c r="CA199" s="138"/>
      <c r="CB199" s="138"/>
      <c r="CC199" s="138"/>
      <c r="CD199" s="138"/>
      <c r="CE199" s="138"/>
      <c r="CF199" s="138"/>
      <c r="CG199" s="138"/>
      <c r="CH199" s="138"/>
      <c r="CI199" s="138"/>
      <c r="CJ199" s="138"/>
      <c r="CK199" s="138"/>
      <c r="CL199" s="138"/>
      <c r="CM199" s="138"/>
      <c r="CN199" s="138"/>
      <c r="CO199" s="138"/>
      <c r="CP199" s="138"/>
      <c r="CQ199" s="319" t="s">
        <v>107</v>
      </c>
    </row>
    <row r="200" spans="1:95" ht="15" customHeight="1" thickBot="1" x14ac:dyDescent="0.3">
      <c r="A200" s="320">
        <f>C200</f>
        <v>6</v>
      </c>
      <c r="B200" s="68"/>
      <c r="C200" s="321">
        <f>C172+1</f>
        <v>6</v>
      </c>
      <c r="D200" s="68"/>
      <c r="E200" s="1269"/>
      <c r="F200" s="1270"/>
      <c r="G200" s="1270"/>
      <c r="H200" s="1270"/>
      <c r="I200" s="1270"/>
      <c r="J200" s="1271"/>
      <c r="K200" s="1272" t="str">
        <f>IF(INDEX(B_IdentifyFuelStreams!$K$125:$K$174,MATCH(U199,B_IdentifyFuelStreams!$D$125:$D$174,0))&gt;0,INDEX(B_IdentifyFuelStreams!$K$125:$K$174,MATCH(U199,B_IdentifyFuelStreams!$D$125:$D$174,0)),"")</f>
        <v/>
      </c>
      <c r="L200" s="1273"/>
      <c r="M200" s="316" t="str">
        <f>Translations!$B$621</f>
        <v>Emissions:</v>
      </c>
      <c r="N200" s="322" t="str">
        <f>IF(E201="","",BG206)</f>
        <v/>
      </c>
      <c r="O200" s="323" t="str">
        <f>EUconst_tCO2</f>
        <v>tCO2</v>
      </c>
      <c r="P200" s="324" t="str">
        <f>IF(AND(E200&lt;&gt;"",COUNTIF(P201:$P$1649,"PRINT")=0),"PRINT","")</f>
        <v/>
      </c>
      <c r="Q200" s="325" t="str">
        <f>EUconst_SumCO2</f>
        <v>SUM_CO2</v>
      </c>
      <c r="R200" s="312"/>
      <c r="S200" s="287"/>
      <c r="T200" s="287"/>
      <c r="U200" s="287"/>
      <c r="V200" s="301"/>
      <c r="W200" s="138"/>
      <c r="X200" s="293"/>
      <c r="Y200" s="293"/>
      <c r="Z200" s="293"/>
      <c r="AA200" s="293"/>
      <c r="AB200" s="293"/>
      <c r="AC200" s="293"/>
      <c r="AD200" s="293"/>
      <c r="AE200" s="293"/>
      <c r="AF200" s="293"/>
      <c r="AG200" s="293"/>
      <c r="AH200" s="293"/>
      <c r="AI200" s="326"/>
      <c r="AJ200" s="326"/>
      <c r="AK200" s="326"/>
      <c r="AL200" s="326"/>
      <c r="AM200" s="326"/>
      <c r="AN200" s="326"/>
      <c r="AO200" s="326"/>
      <c r="AP200" s="326"/>
      <c r="AQ200" s="326"/>
      <c r="AR200" s="326"/>
      <c r="AS200" s="326"/>
      <c r="AT200" s="326"/>
      <c r="AU200" s="326"/>
      <c r="AV200" s="326"/>
      <c r="AW200" s="326"/>
      <c r="AX200" s="326"/>
      <c r="AY200" s="326"/>
      <c r="AZ200" s="326"/>
      <c r="BA200" s="326"/>
      <c r="BB200" s="326"/>
      <c r="BC200" s="326"/>
      <c r="BD200" s="326"/>
      <c r="BE200" s="326"/>
      <c r="BF200" s="326"/>
      <c r="BG200" s="326"/>
      <c r="BH200" s="326"/>
      <c r="BI200" s="327" t="str">
        <f>IF(E200="","",E200)</f>
        <v/>
      </c>
      <c r="BJ200" s="328" t="str">
        <f>IF(F206="","",F206)</f>
        <v/>
      </c>
      <c r="BK200" s="329">
        <f>AV206</f>
        <v>0</v>
      </c>
      <c r="BL200" s="329">
        <f>IF(BK200="","",BK200*(1-BP200))</f>
        <v>0</v>
      </c>
      <c r="BM200" s="328" t="str">
        <f>AJ206</f>
        <v/>
      </c>
      <c r="BN200" s="328" t="str">
        <f>IF(F217="","",F217)</f>
        <v/>
      </c>
      <c r="BO200" s="327" t="str">
        <f>IF(G217="","",G217)</f>
        <v/>
      </c>
      <c r="BP200" s="330">
        <f>AV217</f>
        <v>0</v>
      </c>
      <c r="BQ200" s="328" t="str">
        <f>IF(F209="","",F209)</f>
        <v/>
      </c>
      <c r="BR200" s="330">
        <f>AV209</f>
        <v>0</v>
      </c>
      <c r="BS200" s="330" t="str">
        <f>AJ209</f>
        <v/>
      </c>
      <c r="BT200" s="328" t="str">
        <f>IF(F208="","",F208)</f>
        <v/>
      </c>
      <c r="BU200" s="330">
        <f>IF(F208=EUconst_NA,"",AV208)</f>
        <v>0</v>
      </c>
      <c r="BV200" s="330" t="str">
        <f>AJ208</f>
        <v/>
      </c>
      <c r="BW200" s="328" t="str">
        <f>IF(F210="","",F210)</f>
        <v/>
      </c>
      <c r="BX200" s="330">
        <f>AV210</f>
        <v>0</v>
      </c>
      <c r="BY200" s="328" t="str">
        <f>IF(F211="","",F211)</f>
        <v/>
      </c>
      <c r="BZ200" s="330">
        <f>AV211</f>
        <v>0</v>
      </c>
      <c r="CA200" s="330">
        <f>AV212</f>
        <v>0</v>
      </c>
      <c r="CB200" s="330">
        <f>AV213</f>
        <v>0</v>
      </c>
      <c r="CC200" s="330">
        <f>AV214</f>
        <v>0</v>
      </c>
      <c r="CD200" s="330">
        <f>AV215</f>
        <v>0</v>
      </c>
      <c r="CE200" s="329" t="str">
        <f>BG206</f>
        <v/>
      </c>
      <c r="CF200" s="329" t="str">
        <f>BG208</f>
        <v/>
      </c>
      <c r="CG200" s="329" t="str">
        <f>BG209</f>
        <v/>
      </c>
      <c r="CH200" s="329" t="str">
        <f>BG210</f>
        <v/>
      </c>
      <c r="CI200" s="329" t="str">
        <f>BG211</f>
        <v/>
      </c>
      <c r="CJ200" s="329" t="str">
        <f>BG212</f>
        <v/>
      </c>
      <c r="CK200" s="329" t="str">
        <f>BG213</f>
        <v/>
      </c>
      <c r="CL200" s="329">
        <f>BG214</f>
        <v>0</v>
      </c>
      <c r="CM200" s="329" t="str">
        <f>BG215</f>
        <v/>
      </c>
      <c r="CN200" s="329" t="str">
        <f>BG217</f>
        <v/>
      </c>
      <c r="CO200" s="329" t="str">
        <f>BG221</f>
        <v/>
      </c>
      <c r="CP200" s="329" t="str">
        <f>IF(COUNTIF(AO209:AO210,TRUE)=0,"",BH206)</f>
        <v/>
      </c>
      <c r="CQ200" s="331" t="b">
        <v>0</v>
      </c>
    </row>
    <row r="201" spans="1:95" ht="15" customHeight="1" thickBot="1" x14ac:dyDescent="0.3">
      <c r="A201" s="307"/>
      <c r="B201" s="68"/>
      <c r="C201" s="68"/>
      <c r="D201" s="68"/>
      <c r="E201" s="1274" t="str">
        <f>IF(ISBLANK(E200),"",IF(INDEX(B_IdentifyFuelStreams!$E$67:$E$116,MATCH(U199,B_IdentifyFuelStreams!$D$67:$D$116,0))&gt;0,INDEX(B_IdentifyFuelStreams!$E$67:$E$116,MATCH(U199,B_IdentifyFuelStreams!$D$67:$D$116,0)),""))</f>
        <v/>
      </c>
      <c r="F201" s="1275"/>
      <c r="G201" s="1275"/>
      <c r="H201" s="1275"/>
      <c r="I201" s="1275"/>
      <c r="J201" s="1276"/>
      <c r="K201" s="1272" t="str">
        <f>IF(INDEX(B_IdentifyFuelStreams!$M$125:$M$174,MATCH(U199,B_IdentifyFuelStreams!$D$125:$D$174,0))&gt;0,INDEX(B_IdentifyFuelStreams!$M$125:$M$174,MATCH(U199,B_IdentifyFuelStreams!$D$125:$D$174,0)),"")</f>
        <v/>
      </c>
      <c r="L201" s="1273"/>
      <c r="M201" s="332" t="str">
        <f>Translations!$B$622</f>
        <v>zero-rated:</v>
      </c>
      <c r="N201" s="333" t="str">
        <f>IF(E201="","",SUM(BG208,BG210,BG212))</f>
        <v/>
      </c>
      <c r="O201" s="334" t="str">
        <f>EUconst_tCO2</f>
        <v>tCO2</v>
      </c>
      <c r="P201" s="109"/>
      <c r="Q201" s="325" t="str">
        <f>EUconst_SumBioCO2</f>
        <v>SUM_bioCO2</v>
      </c>
      <c r="R201" s="312"/>
      <c r="S201" s="287"/>
      <c r="T201" s="287"/>
      <c r="U201" s="287"/>
      <c r="V201" s="301"/>
      <c r="W201" s="138"/>
      <c r="X201" s="293"/>
      <c r="Y201" s="317" t="str">
        <f>Translations!$B$143</f>
        <v>Tiers</v>
      </c>
      <c r="Z201" s="314"/>
      <c r="AA201" s="314"/>
      <c r="AB201" s="314"/>
      <c r="AC201" s="314"/>
      <c r="AD201" s="314"/>
      <c r="AE201" s="317" t="s">
        <v>108</v>
      </c>
      <c r="AF201" s="293"/>
      <c r="AG201" s="335"/>
      <c r="AH201" s="314"/>
      <c r="AI201" s="314"/>
      <c r="AJ201" s="335"/>
      <c r="AK201" s="335"/>
      <c r="AL201" s="326"/>
      <c r="AM201" s="326"/>
      <c r="AN201" s="326"/>
      <c r="AO201" s="326"/>
      <c r="AP201" s="326"/>
      <c r="AQ201" s="317" t="s">
        <v>109</v>
      </c>
      <c r="AR201" s="336"/>
      <c r="AS201" s="336"/>
      <c r="AT201" s="314"/>
      <c r="AU201" s="314"/>
      <c r="AV201" s="314"/>
      <c r="AW201" s="314"/>
      <c r="AX201" s="314"/>
      <c r="AY201" s="314"/>
      <c r="AZ201" s="317" t="s">
        <v>110</v>
      </c>
      <c r="BA201" s="314"/>
      <c r="BB201" s="314"/>
      <c r="BC201" s="314"/>
      <c r="BD201" s="314"/>
      <c r="BE201" s="314"/>
      <c r="BF201" s="317" t="s">
        <v>111</v>
      </c>
      <c r="BG201" s="314"/>
      <c r="BH201" s="314"/>
      <c r="BI201" s="317" t="s">
        <v>112</v>
      </c>
      <c r="BJ201" s="328" t="str">
        <f>Translations!$B$376</f>
        <v>RFA Tier</v>
      </c>
      <c r="BK201" s="328" t="str">
        <f>Translations!$B$377</f>
        <v>RFA</v>
      </c>
      <c r="BL201" s="328" t="str">
        <f>Translations!$B$378</f>
        <v>RFA (in scope)</v>
      </c>
      <c r="BM201" s="328" t="str">
        <f>Translations!$B$379</f>
        <v>RFA Unit</v>
      </c>
      <c r="BN201" s="328" t="str">
        <f>Translations!$B$380</f>
        <v>SF Tier</v>
      </c>
      <c r="BO201" s="328" t="str">
        <f>Translations!$B$380</f>
        <v>SF Tier</v>
      </c>
      <c r="BP201" s="328" t="str">
        <f>Translations!$B$381</f>
        <v>SF</v>
      </c>
      <c r="BQ201" s="328" t="str">
        <f>Translations!$B$382</f>
        <v>EF Tier</v>
      </c>
      <c r="BR201" s="328" t="str">
        <f>Translations!$B$383</f>
        <v>EF</v>
      </c>
      <c r="BS201" s="328" t="str">
        <f>Translations!$B$384</f>
        <v>EF Unit</v>
      </c>
      <c r="BT201" s="328" t="str">
        <f>Translations!$B$385</f>
        <v>UCF Tier</v>
      </c>
      <c r="BU201" s="328" t="str">
        <f>Translations!$B$386</f>
        <v>UCF</v>
      </c>
      <c r="BV201" s="328" t="str">
        <f>Translations!$B$387</f>
        <v>UCF Unit</v>
      </c>
      <c r="BW201" s="328" t="str">
        <f>Translations!$B$388</f>
        <v>Bio Tier</v>
      </c>
      <c r="BX201" s="328" t="s">
        <v>113</v>
      </c>
      <c r="BY201" s="328" t="str">
        <f>Translations!$B$389</f>
        <v>NonSustBio Tier</v>
      </c>
      <c r="BZ201" s="328" t="s">
        <v>114</v>
      </c>
      <c r="CA201" s="328" t="s">
        <v>115</v>
      </c>
      <c r="CB201" s="328" t="s">
        <v>116</v>
      </c>
      <c r="CC201" s="328" t="s">
        <v>117</v>
      </c>
      <c r="CD201" s="328" t="s">
        <v>118</v>
      </c>
      <c r="CE201" s="328" t="s">
        <v>119</v>
      </c>
      <c r="CF201" s="328" t="s">
        <v>120</v>
      </c>
      <c r="CG201" s="328" t="str">
        <f>Translations!$B$392</f>
        <v>CO2 non-sust</v>
      </c>
      <c r="CH201" s="328" t="s">
        <v>121</v>
      </c>
      <c r="CI201" s="328" t="s">
        <v>122</v>
      </c>
      <c r="CJ201" s="328" t="s">
        <v>123</v>
      </c>
      <c r="CK201" s="328" t="s">
        <v>124</v>
      </c>
      <c r="CL201" s="328" t="s">
        <v>125</v>
      </c>
      <c r="CM201" s="328" t="str">
        <f>Translations!$B$551</f>
        <v>Energy content (bio), TJ</v>
      </c>
      <c r="CN201" s="328" t="s">
        <v>126</v>
      </c>
      <c r="CO201" s="328" t="s">
        <v>127</v>
      </c>
      <c r="CP201" s="328" t="s">
        <v>128</v>
      </c>
      <c r="CQ201" s="314"/>
    </row>
    <row r="202" spans="1:95" ht="5.15" customHeight="1" thickBot="1" x14ac:dyDescent="0.3">
      <c r="A202" s="307"/>
      <c r="B202" s="68"/>
      <c r="C202" s="68"/>
      <c r="D202" s="68"/>
      <c r="E202" s="68"/>
      <c r="F202" s="68"/>
      <c r="G202" s="68"/>
      <c r="H202" s="76"/>
      <c r="I202" s="76"/>
      <c r="J202" s="76"/>
      <c r="K202" s="76"/>
      <c r="L202" s="76"/>
      <c r="M202" s="76"/>
      <c r="N202" s="76"/>
      <c r="O202" s="160"/>
      <c r="P202" s="109"/>
      <c r="Q202" s="312"/>
      <c r="R202" s="312"/>
      <c r="S202" s="287"/>
      <c r="T202" s="287"/>
      <c r="U202" s="287"/>
      <c r="V202" s="301"/>
      <c r="W202" s="314"/>
      <c r="X202" s="314"/>
      <c r="Y202" s="312"/>
      <c r="Z202" s="314"/>
      <c r="AA202" s="314"/>
      <c r="AB202" s="314"/>
      <c r="AC202" s="314"/>
      <c r="AD202" s="314"/>
      <c r="AE202" s="314"/>
      <c r="AF202" s="293"/>
      <c r="AG202" s="314"/>
      <c r="AH202" s="314"/>
      <c r="AI202" s="314"/>
      <c r="AJ202" s="335"/>
      <c r="AK202" s="335"/>
      <c r="AL202" s="326"/>
      <c r="AM202" s="326"/>
      <c r="AN202" s="326"/>
      <c r="AO202" s="326"/>
      <c r="AP202" s="326"/>
      <c r="AQ202" s="314"/>
      <c r="AR202" s="314"/>
      <c r="AS202" s="314"/>
      <c r="AT202" s="314"/>
      <c r="AU202" s="314"/>
      <c r="AV202" s="314"/>
      <c r="AW202" s="314"/>
      <c r="AX202" s="314"/>
      <c r="AY202" s="314"/>
      <c r="AZ202" s="314"/>
      <c r="BA202" s="314"/>
      <c r="BB202" s="314"/>
      <c r="BC202" s="314"/>
      <c r="BD202" s="314"/>
      <c r="BE202" s="314"/>
      <c r="BF202" s="314"/>
      <c r="BG202" s="314"/>
      <c r="BH202" s="314"/>
      <c r="BI202" s="314"/>
      <c r="BJ202" s="314"/>
      <c r="BK202" s="314"/>
      <c r="BL202" s="314"/>
      <c r="BM202" s="314"/>
      <c r="BN202" s="314"/>
      <c r="BO202" s="314"/>
      <c r="BP202" s="314"/>
      <c r="BQ202" s="314"/>
      <c r="BR202" s="314"/>
      <c r="BS202" s="314"/>
      <c r="BT202" s="314"/>
      <c r="BU202" s="314"/>
      <c r="BV202" s="314"/>
      <c r="BW202" s="314"/>
      <c r="BX202" s="314"/>
      <c r="BY202" s="314"/>
      <c r="BZ202" s="314"/>
      <c r="CA202" s="314"/>
      <c r="CB202" s="314"/>
      <c r="CC202" s="314"/>
      <c r="CD202" s="314"/>
      <c r="CE202" s="314"/>
      <c r="CF202" s="314"/>
      <c r="CG202" s="314"/>
      <c r="CH202" s="314"/>
      <c r="CI202" s="314"/>
      <c r="CJ202" s="314"/>
      <c r="CK202" s="314"/>
      <c r="CL202" s="314"/>
      <c r="CM202" s="314"/>
      <c r="CN202" s="314"/>
      <c r="CO202" s="314"/>
      <c r="CP202" s="314"/>
      <c r="CQ202" s="314"/>
    </row>
    <row r="203" spans="1:95" ht="12.75" customHeight="1" thickBot="1" x14ac:dyDescent="0.3">
      <c r="A203" s="307"/>
      <c r="B203" s="68"/>
      <c r="C203" s="68"/>
      <c r="D203" s="68"/>
      <c r="E203" s="1253" t="str">
        <f>IF(E200="","",HYPERLINK("#JUMP_E_Top",EUconst_FurtherGuidancePoint1))</f>
        <v/>
      </c>
      <c r="F203" s="1253"/>
      <c r="G203" s="1253"/>
      <c r="H203" s="1253"/>
      <c r="I203" s="1253"/>
      <c r="J203" s="1253"/>
      <c r="K203" s="1253"/>
      <c r="L203" s="1253"/>
      <c r="M203" s="1253"/>
      <c r="N203" s="76"/>
      <c r="O203" s="160"/>
      <c r="P203" s="109"/>
      <c r="Q203" s="325" t="str">
        <f>EUconst_SumNonSustBioCO2</f>
        <v>SUM_bioNonSustCO2</v>
      </c>
      <c r="R203" s="337" t="str">
        <f>IF(E201="","",BG209)</f>
        <v/>
      </c>
      <c r="S203" s="287"/>
      <c r="T203" s="287"/>
      <c r="U203" s="287"/>
      <c r="V203" s="314"/>
      <c r="W203" s="314"/>
      <c r="X203" s="314"/>
      <c r="Y203" s="293"/>
      <c r="Z203" s="314"/>
      <c r="AA203" s="314"/>
      <c r="AB203" s="314"/>
      <c r="AC203" s="314"/>
      <c r="AD203" s="314"/>
      <c r="AE203" s="314"/>
      <c r="AF203" s="293"/>
      <c r="AG203" s="314"/>
      <c r="AH203" s="314"/>
      <c r="AI203" s="314"/>
      <c r="AJ203" s="335"/>
      <c r="AK203" s="335"/>
      <c r="AL203" s="326"/>
      <c r="AM203" s="326"/>
      <c r="AN203" s="326"/>
      <c r="AO203" s="326"/>
      <c r="AP203" s="326"/>
      <c r="AQ203" s="314"/>
      <c r="AR203" s="314"/>
      <c r="AS203" s="314"/>
      <c r="AT203" s="314"/>
      <c r="AU203" s="314"/>
      <c r="AV203" s="314"/>
      <c r="AW203" s="314"/>
      <c r="AX203" s="314"/>
      <c r="AY203" s="314"/>
      <c r="AZ203" s="314"/>
      <c r="BA203" s="314"/>
      <c r="BB203" s="314"/>
      <c r="BC203" s="314"/>
      <c r="BD203" s="314"/>
      <c r="BE203" s="314"/>
      <c r="BF203" s="314"/>
      <c r="BG203" s="314"/>
      <c r="BH203" s="314"/>
      <c r="BI203" s="317" t="s">
        <v>129</v>
      </c>
      <c r="BJ203" s="336"/>
      <c r="BK203" s="327" t="str">
        <f>IF(G221="","",G221)</f>
        <v/>
      </c>
      <c r="BL203" s="327" t="str">
        <f>IF(I221="","",I221)</f>
        <v/>
      </c>
      <c r="BM203" s="327" t="str">
        <f>IF(K221="","",K221)</f>
        <v/>
      </c>
      <c r="BN203" s="314"/>
      <c r="BO203" s="314"/>
      <c r="BP203" s="314"/>
      <c r="BQ203" s="314"/>
      <c r="BR203" s="314"/>
      <c r="BS203" s="314"/>
      <c r="BT203" s="319"/>
      <c r="BU203" s="314"/>
      <c r="BV203" s="314"/>
      <c r="BW203" s="314"/>
      <c r="BX203" s="314"/>
      <c r="BY203" s="314"/>
      <c r="BZ203" s="314"/>
      <c r="CA203" s="314"/>
      <c r="CB203" s="314"/>
      <c r="CC203" s="314"/>
      <c r="CD203" s="314"/>
      <c r="CE203" s="314"/>
      <c r="CF203" s="314"/>
      <c r="CG203" s="314"/>
      <c r="CH203" s="314"/>
      <c r="CI203" s="314"/>
      <c r="CJ203" s="314"/>
      <c r="CK203" s="314"/>
      <c r="CL203" s="314"/>
      <c r="CM203" s="314"/>
      <c r="CN203" s="314"/>
      <c r="CO203" s="314"/>
      <c r="CP203" s="314"/>
      <c r="CQ203" s="314"/>
    </row>
    <row r="204" spans="1:95" ht="5.15" customHeight="1" thickBot="1" x14ac:dyDescent="0.3">
      <c r="A204" s="307"/>
      <c r="B204" s="68"/>
      <c r="C204" s="68"/>
      <c r="D204" s="68"/>
      <c r="E204" s="68"/>
      <c r="F204" s="68"/>
      <c r="G204" s="68"/>
      <c r="H204" s="76"/>
      <c r="I204" s="76"/>
      <c r="J204" s="76"/>
      <c r="K204" s="76"/>
      <c r="L204" s="76"/>
      <c r="M204" s="76"/>
      <c r="N204" s="76"/>
      <c r="O204" s="160"/>
      <c r="P204" s="111"/>
      <c r="Q204" s="287"/>
      <c r="R204" s="111"/>
      <c r="S204" s="287"/>
      <c r="T204" s="287"/>
      <c r="U204" s="287"/>
      <c r="V204" s="314"/>
      <c r="W204" s="314"/>
      <c r="X204" s="314"/>
      <c r="Y204" s="312"/>
      <c r="Z204" s="314"/>
      <c r="AA204" s="314"/>
      <c r="AB204" s="314"/>
      <c r="AC204" s="314"/>
      <c r="AD204" s="314"/>
      <c r="AE204" s="314"/>
      <c r="AF204" s="293"/>
      <c r="AG204" s="314"/>
      <c r="AH204" s="314"/>
      <c r="AI204" s="314"/>
      <c r="AJ204" s="335"/>
      <c r="AK204" s="335"/>
      <c r="AL204" s="326"/>
      <c r="AM204" s="326"/>
      <c r="AN204" s="326"/>
      <c r="AO204" s="326"/>
      <c r="AP204" s="326"/>
      <c r="AQ204" s="314"/>
      <c r="AR204" s="314"/>
      <c r="AS204" s="314"/>
      <c r="AT204" s="314"/>
      <c r="AU204" s="314"/>
      <c r="AV204" s="314"/>
      <c r="AW204" s="314"/>
      <c r="AX204" s="314"/>
      <c r="AY204" s="314"/>
      <c r="AZ204" s="314"/>
      <c r="BA204" s="314"/>
      <c r="BB204" s="314"/>
      <c r="BC204" s="314"/>
      <c r="BD204" s="314"/>
      <c r="BE204" s="314"/>
      <c r="BF204" s="314"/>
      <c r="BG204" s="314"/>
      <c r="BH204" s="314"/>
      <c r="BI204" s="314"/>
      <c r="BJ204" s="314"/>
      <c r="BK204" s="314"/>
      <c r="BL204" s="314"/>
      <c r="BM204" s="314"/>
      <c r="BN204" s="314"/>
      <c r="BO204" s="314"/>
      <c r="BP204" s="314"/>
      <c r="BQ204" s="314"/>
      <c r="BR204" s="314"/>
      <c r="BS204" s="314"/>
      <c r="BT204" s="314"/>
      <c r="BU204" s="314"/>
      <c r="BV204" s="314"/>
      <c r="BW204" s="314"/>
      <c r="BX204" s="314"/>
      <c r="BY204" s="314"/>
      <c r="BZ204" s="314"/>
      <c r="CA204" s="314"/>
      <c r="CB204" s="314"/>
      <c r="CC204" s="314"/>
      <c r="CD204" s="314"/>
      <c r="CE204" s="314"/>
      <c r="CF204" s="314"/>
      <c r="CG204" s="314"/>
      <c r="CH204" s="314"/>
      <c r="CI204" s="314"/>
      <c r="CJ204" s="314"/>
      <c r="CK204" s="314"/>
      <c r="CL204" s="314"/>
      <c r="CM204" s="314"/>
      <c r="CN204" s="314"/>
      <c r="CO204" s="314"/>
      <c r="CP204" s="314"/>
      <c r="CQ204" s="314"/>
    </row>
    <row r="205" spans="1:95" ht="12.75" customHeight="1" thickBot="1" x14ac:dyDescent="0.3">
      <c r="A205" s="307"/>
      <c r="B205" s="68"/>
      <c r="C205" s="68"/>
      <c r="D205" s="68"/>
      <c r="E205" s="68"/>
      <c r="F205" s="338" t="str">
        <f>Translations!$B$127</f>
        <v>Tier</v>
      </c>
      <c r="G205" s="1254" t="str">
        <f>Translations!$B$393</f>
        <v>tier description</v>
      </c>
      <c r="H205" s="1254"/>
      <c r="I205" s="1255" t="str">
        <f>Translations!$B$394</f>
        <v>Unit</v>
      </c>
      <c r="J205" s="1255"/>
      <c r="K205" s="1255" t="str">
        <f>Translations!$B$395</f>
        <v>Value</v>
      </c>
      <c r="L205" s="1255"/>
      <c r="M205" s="205" t="str">
        <f>Translations!$B$396</f>
        <v>error</v>
      </c>
      <c r="N205" s="76"/>
      <c r="O205" s="160"/>
      <c r="P205" s="339"/>
      <c r="Q205" s="325" t="str">
        <f>EUconst_SumEnergyIN</f>
        <v>SUM_EnergyIN</v>
      </c>
      <c r="R205" s="340" t="str">
        <f>IF(E201="","",BG214)</f>
        <v/>
      </c>
      <c r="S205" s="314"/>
      <c r="T205" s="314"/>
      <c r="U205" s="314"/>
      <c r="V205" s="341" t="s">
        <v>130</v>
      </c>
      <c r="W205" s="314"/>
      <c r="X205" s="314"/>
      <c r="Y205" s="312" t="s">
        <v>131</v>
      </c>
      <c r="Z205" s="312" t="s">
        <v>132</v>
      </c>
      <c r="AA205" s="314"/>
      <c r="AB205" s="314"/>
      <c r="AC205" s="336" t="s">
        <v>133</v>
      </c>
      <c r="AD205" s="314"/>
      <c r="AE205" s="314"/>
      <c r="AF205" s="314" t="s">
        <v>134</v>
      </c>
      <c r="AG205" s="314" t="s">
        <v>135</v>
      </c>
      <c r="AH205" s="312" t="s">
        <v>136</v>
      </c>
      <c r="AI205" s="335" t="s">
        <v>137</v>
      </c>
      <c r="AJ205" s="335" t="s">
        <v>138</v>
      </c>
      <c r="AK205" s="342" t="s">
        <v>139</v>
      </c>
      <c r="AL205" s="326"/>
      <c r="AM205" s="326"/>
      <c r="AN205" s="326"/>
      <c r="AO205" s="326"/>
      <c r="AP205" s="326"/>
      <c r="AQ205" s="314"/>
      <c r="AR205" s="314" t="s">
        <v>134</v>
      </c>
      <c r="AS205" s="314" t="s">
        <v>135</v>
      </c>
      <c r="AT205" s="343" t="s">
        <v>140</v>
      </c>
      <c r="AU205" s="335" t="s">
        <v>141</v>
      </c>
      <c r="AV205" s="335" t="s">
        <v>142</v>
      </c>
      <c r="AW205" s="342" t="s">
        <v>139</v>
      </c>
      <c r="AX205" s="342" t="s">
        <v>139</v>
      </c>
      <c r="AY205" s="314"/>
      <c r="AZ205" s="314"/>
      <c r="BA205" s="314"/>
      <c r="BB205" s="314" t="s">
        <v>143</v>
      </c>
      <c r="BC205" s="314"/>
      <c r="BD205" s="314"/>
      <c r="BE205" s="314"/>
      <c r="BF205" s="314"/>
      <c r="BG205" s="319" t="s">
        <v>144</v>
      </c>
      <c r="BH205" s="314" t="s">
        <v>145</v>
      </c>
      <c r="BI205" s="314"/>
      <c r="BJ205" s="314"/>
      <c r="BK205" s="314"/>
      <c r="BL205" s="314"/>
      <c r="BM205" s="314"/>
      <c r="BN205" s="314"/>
      <c r="BO205" s="314"/>
      <c r="BP205" s="314"/>
      <c r="BQ205" s="314"/>
      <c r="BR205" s="314"/>
      <c r="BS205" s="314"/>
      <c r="BT205" s="314"/>
      <c r="BU205" s="314"/>
      <c r="BV205" s="314"/>
      <c r="BW205" s="314"/>
      <c r="BX205" s="314"/>
      <c r="BY205" s="314"/>
      <c r="BZ205" s="314"/>
      <c r="CA205" s="314"/>
      <c r="CB205" s="314"/>
      <c r="CC205" s="314"/>
      <c r="CD205" s="314"/>
      <c r="CE205" s="314"/>
      <c r="CF205" s="314"/>
      <c r="CG205" s="314"/>
      <c r="CH205" s="314"/>
      <c r="CI205" s="314"/>
      <c r="CJ205" s="314"/>
      <c r="CK205" s="314"/>
      <c r="CL205" s="314"/>
      <c r="CM205" s="314"/>
      <c r="CN205" s="314"/>
      <c r="CO205" s="314"/>
      <c r="CP205" s="314"/>
      <c r="CQ205" s="319" t="s">
        <v>107</v>
      </c>
    </row>
    <row r="206" spans="1:95" ht="12.75" customHeight="1" thickBot="1" x14ac:dyDescent="0.3">
      <c r="A206" s="307"/>
      <c r="B206" s="68"/>
      <c r="C206" s="199" t="s">
        <v>12</v>
      </c>
      <c r="D206" s="344" t="str">
        <f>Translations!$B$356</f>
        <v>RFA:</v>
      </c>
      <c r="E206" s="345"/>
      <c r="F206" s="6"/>
      <c r="G206" s="1256" t="str">
        <f>IF(OR(ISBLANK(F206),F206=EUconst_NoTier),"",IF(Z206=0,EUconst_NA,IF(ISERROR(Z206),"",Z206)))</f>
        <v/>
      </c>
      <c r="H206" s="1257"/>
      <c r="I206" s="346" t="str">
        <f>IF(J206&lt;&gt;"","",AI206)</f>
        <v/>
      </c>
      <c r="J206" s="7"/>
      <c r="K206" s="1258"/>
      <c r="L206" s="1259"/>
      <c r="M206" s="347" t="str">
        <f>IF(AND(E201&lt;&gt;"",OR(F206="",COUNT(K206)=0),Y206&lt;&gt;EUconst_NA),EUconst_ERR_Incomplete,"")</f>
        <v/>
      </c>
      <c r="N206" s="76"/>
      <c r="O206" s="160"/>
      <c r="P206" s="348"/>
      <c r="Q206" s="325" t="str">
        <f>EUconst_SumBioEnergyIN</f>
        <v>SUM_BioEnergyIN</v>
      </c>
      <c r="R206" s="340" t="str">
        <f>IF(E201="","",BG215)</f>
        <v/>
      </c>
      <c r="S206" s="314"/>
      <c r="T206" s="349" t="str">
        <f>EUconst_CNTR_ActivityData&amp;E201</f>
        <v>ActivityData_</v>
      </c>
      <c r="U206" s="312"/>
      <c r="V206" s="349" t="str">
        <f>IF(E200="","",INDEX(B_IdentifyFuelStreams!$I$67:$I$116,MATCH(U199,B_IdentifyFuelStreams!$D$67:$D$116,0)))</f>
        <v/>
      </c>
      <c r="W206" s="335" t="s">
        <v>146</v>
      </c>
      <c r="X206" s="312"/>
      <c r="Y206" s="350" t="str">
        <f>IF(E201="","",INDEX(EUwideConstants!$P$164:$P$200,MATCH(T206,EUwideConstants!$S$164:$S$200,0)))</f>
        <v/>
      </c>
      <c r="Z206" s="351" t="str">
        <f>IF(ISBLANK(F206),"",IF(F206=EUconst_NA,"",INDEX(EUwideConstants!$H:$O,MATCH(T206,EUwideConstants!$S:$S,0),MATCH(F206,CNTR_TierList,0))))</f>
        <v/>
      </c>
      <c r="AA206" s="352" t="s">
        <v>136</v>
      </c>
      <c r="AB206" s="335"/>
      <c r="AC206" s="331" t="b">
        <f>E200&lt;&gt;""</f>
        <v>0</v>
      </c>
      <c r="AD206" s="314"/>
      <c r="AE206" s="353" t="str">
        <f>EUconst_CNTR_ActivityData&amp;EUconst_Unit</f>
        <v>ActivityData_Unit</v>
      </c>
      <c r="AF206" s="354" t="str">
        <f>IF(AC206=TRUE, IF(COUNTIF(MSPara_SourceStreamCategory,V206)=0,"",INDEX(MSPara_CalcFactorsMatrix,MATCH(V206,MSPara_SourceStreamCategory,0),MATCH(AE206&amp;"_"&amp;2,MSPara_CalcFactors,0))),"")</f>
        <v/>
      </c>
      <c r="AG206" s="355" t="str">
        <f>IF(AC206=TRUE, IF(COUNTIF(MSPara_SourceStreamCategory,V206)=0,"",INDEX(MSPara_CalcFactorsMatrix,MATCH(V206,MSPara_SourceStreamCategory,0),MATCH(AE206&amp;"_"&amp;1,MSPara_CalcFactors,0))),"")</f>
        <v/>
      </c>
      <c r="AH206" s="331" t="str">
        <f>IF(OR(AF206="",AF206=EUconst_NA),IF(OR(AG206=EUconst_NA,AG206=""),"",AG206),AF206)</f>
        <v/>
      </c>
      <c r="AI206" s="350" t="str">
        <f>IF(AC206=TRUE,IF(AH206="",EUconst_t,AH206),"")</f>
        <v/>
      </c>
      <c r="AJ206" s="356" t="str">
        <f>IF(J206="",AI206,J206)</f>
        <v/>
      </c>
      <c r="AK206" s="357" t="b">
        <f>AND(E200&lt;&gt;"",J206&lt;&gt;"")</f>
        <v>0</v>
      </c>
      <c r="AL206" s="326"/>
      <c r="AM206" s="358" t="s">
        <v>147</v>
      </c>
      <c r="AN206" s="359" t="str">
        <f>AJ206</f>
        <v/>
      </c>
      <c r="AO206" s="326"/>
      <c r="AP206" s="326"/>
      <c r="AQ206" s="349" t="str">
        <f>EUconst_CNTR_ActivityData&amp;EUconst_Value</f>
        <v>ActivityData_Value</v>
      </c>
      <c r="AR206" s="336"/>
      <c r="AS206" s="336"/>
      <c r="AT206" s="331" t="b">
        <f>AND(AND(AH206&lt;&gt;"",AJ206&lt;&gt;""),AJ206=AH206)</f>
        <v>0</v>
      </c>
      <c r="AU206" s="314"/>
      <c r="AV206" s="331">
        <f>IF(Y206=EUconst_NA,0,IF(COUNT(K206:K206)=0,0,IF(K206="",#REF!,K206)))</f>
        <v>0</v>
      </c>
      <c r="AW206" s="360" t="b">
        <f>AND(AC206=TRUE,OR(K206&lt;&gt;"",AU206=""))</f>
        <v>0</v>
      </c>
      <c r="AX206" s="360" t="b">
        <f>AND(AC206=TRUE,NOT(AW206))</f>
        <v>0</v>
      </c>
      <c r="AY206" s="314"/>
      <c r="AZ206" s="314" t="s">
        <v>148</v>
      </c>
      <c r="BA206" s="314" t="s">
        <v>149</v>
      </c>
      <c r="BB206" s="360"/>
      <c r="BC206" s="314" t="s">
        <v>150</v>
      </c>
      <c r="BD206" s="314"/>
      <c r="BE206" s="314"/>
      <c r="BF206" s="361" t="s">
        <v>119</v>
      </c>
      <c r="BG206" s="362" t="str">
        <f>IF(COUNTIF(AO209:AO210,TRUE)=0,"",BH206*AV217)</f>
        <v/>
      </c>
      <c r="BH206" s="362" t="str">
        <f>IF(COUNTIF(AO209:AO210,TRUE)=0,"",AV206*IF(AO209,1,AV208*AN210)*AV209-BH208-BH210-BH212)</f>
        <v/>
      </c>
      <c r="BI206" s="314"/>
      <c r="BJ206" s="314"/>
      <c r="BK206" s="314"/>
      <c r="BL206" s="314"/>
      <c r="BM206" s="314"/>
      <c r="BN206" s="314"/>
      <c r="BO206" s="314"/>
      <c r="BP206" s="314"/>
      <c r="BQ206" s="314"/>
      <c r="BR206" s="314"/>
      <c r="BS206" s="314"/>
      <c r="BT206" s="314"/>
      <c r="BU206" s="314"/>
      <c r="BV206" s="314"/>
      <c r="BW206" s="314"/>
      <c r="BX206" s="314"/>
      <c r="BY206" s="314"/>
      <c r="BZ206" s="314"/>
      <c r="CA206" s="314"/>
      <c r="CB206" s="314"/>
      <c r="CC206" s="314"/>
      <c r="CD206" s="314"/>
      <c r="CE206" s="314"/>
      <c r="CF206" s="314"/>
      <c r="CG206" s="314"/>
      <c r="CH206" s="314"/>
      <c r="CI206" s="314"/>
      <c r="CJ206" s="314"/>
      <c r="CK206" s="314"/>
      <c r="CL206" s="314"/>
      <c r="CM206" s="314"/>
      <c r="CN206" s="314"/>
      <c r="CO206" s="314"/>
      <c r="CP206" s="314"/>
      <c r="CQ206" s="360" t="b">
        <v>0</v>
      </c>
    </row>
    <row r="207" spans="1:95" ht="5.15" customHeight="1" thickBot="1" x14ac:dyDescent="0.3">
      <c r="A207" s="307"/>
      <c r="B207" s="68"/>
      <c r="C207" s="199"/>
      <c r="D207" s="202"/>
      <c r="E207" s="76"/>
      <c r="F207" s="76"/>
      <c r="G207" s="76"/>
      <c r="H207" s="76" t="str">
        <f>Translations!$B$397</f>
        <v xml:space="preserve"> </v>
      </c>
      <c r="I207" s="162"/>
      <c r="J207" s="162"/>
      <c r="K207" s="76"/>
      <c r="L207" s="76"/>
      <c r="M207" s="363"/>
      <c r="N207" s="76"/>
      <c r="O207" s="160"/>
      <c r="P207" s="109"/>
      <c r="Q207" s="312"/>
      <c r="R207" s="312"/>
      <c r="S207" s="314"/>
      <c r="T207" s="62"/>
      <c r="U207" s="312"/>
      <c r="V207" s="314"/>
      <c r="W207" s="314"/>
      <c r="X207" s="312"/>
      <c r="Y207" s="319"/>
      <c r="Z207" s="314"/>
      <c r="AA207" s="314"/>
      <c r="AB207" s="314"/>
      <c r="AC207" s="314"/>
      <c r="AD207" s="314"/>
      <c r="AE207" s="314"/>
      <c r="AF207" s="314"/>
      <c r="AG207" s="314"/>
      <c r="AH207" s="314"/>
      <c r="AI207" s="314"/>
      <c r="AJ207" s="314"/>
      <c r="AK207" s="314"/>
      <c r="AL207" s="326"/>
      <c r="AM207" s="326"/>
      <c r="AN207" s="326"/>
      <c r="AO207" s="326"/>
      <c r="AP207" s="326"/>
      <c r="AQ207" s="314"/>
      <c r="AR207" s="314"/>
      <c r="AS207" s="314"/>
      <c r="AT207" s="314"/>
      <c r="AU207" s="314"/>
      <c r="AV207" s="314"/>
      <c r="AW207" s="314"/>
      <c r="AX207" s="314"/>
      <c r="AY207" s="314"/>
      <c r="AZ207" s="314"/>
      <c r="BA207" s="314"/>
      <c r="BB207" s="314"/>
      <c r="BC207" s="314"/>
      <c r="BD207" s="314"/>
      <c r="BE207" s="314"/>
      <c r="BF207" s="314"/>
      <c r="BG207" s="364"/>
      <c r="BH207" s="364"/>
      <c r="BI207" s="314"/>
      <c r="BJ207" s="314"/>
      <c r="BK207" s="314"/>
      <c r="BL207" s="314"/>
      <c r="BM207" s="314"/>
      <c r="BN207" s="314"/>
      <c r="BO207" s="314"/>
      <c r="BP207" s="314"/>
      <c r="BQ207" s="314"/>
      <c r="BR207" s="314"/>
      <c r="BS207" s="314"/>
      <c r="BT207" s="314"/>
      <c r="BU207" s="314"/>
      <c r="BV207" s="314"/>
      <c r="BW207" s="314"/>
      <c r="BX207" s="314"/>
      <c r="BY207" s="314"/>
      <c r="BZ207" s="314"/>
      <c r="CA207" s="314"/>
      <c r="CB207" s="314"/>
      <c r="CC207" s="314"/>
      <c r="CD207" s="314"/>
      <c r="CE207" s="314"/>
      <c r="CF207" s="314"/>
      <c r="CG207" s="314"/>
      <c r="CH207" s="314"/>
      <c r="CI207" s="314"/>
      <c r="CJ207" s="314"/>
      <c r="CK207" s="314"/>
      <c r="CL207" s="314"/>
      <c r="CM207" s="314"/>
      <c r="CN207" s="314"/>
      <c r="CO207" s="314"/>
      <c r="CP207" s="314"/>
      <c r="CQ207" s="319"/>
    </row>
    <row r="208" spans="1:95" ht="12.75" customHeight="1" x14ac:dyDescent="0.25">
      <c r="A208" s="307"/>
      <c r="B208" s="68"/>
      <c r="C208" s="199" t="s">
        <v>13</v>
      </c>
      <c r="D208" s="344" t="str">
        <f>Translations!$B$360</f>
        <v>UCF:</v>
      </c>
      <c r="E208" s="345"/>
      <c r="F208" s="10"/>
      <c r="G208" s="1256" t="str">
        <f>IF(OR(ISBLANK(F208),F208=EUconst_NoTier),"",IF(Z208=0,EUconst_NotApplicable,IF(ISERROR(Z208),"",Z208)))</f>
        <v/>
      </c>
      <c r="H208" s="1257"/>
      <c r="I208" s="365" t="str">
        <f>IF(J208&lt;&gt;"","",AI208)</f>
        <v/>
      </c>
      <c r="J208" s="11"/>
      <c r="K208" s="366" t="str">
        <f>IF(L208="",AU208,"")</f>
        <v/>
      </c>
      <c r="L208" s="23"/>
      <c r="M208" s="347" t="str">
        <f>IF(AND(E201&lt;&gt;"",OR(F208="",COUNT(K208:L208)=0),Y208&lt;&gt;EUconst_NA),EUconst_ERR_Incomplete,IF(COUNTIF(BB208:BD208,TRUE)&gt;0,EUconst_ERR_Inconsistent,""))</f>
        <v/>
      </c>
      <c r="N208" s="367"/>
      <c r="O208" s="160"/>
      <c r="P208" s="109"/>
      <c r="Q208" s="312"/>
      <c r="R208" s="312"/>
      <c r="S208" s="314"/>
      <c r="T208" s="368" t="str">
        <f>EUconst_CNTR_UCF&amp;E201</f>
        <v>UCF_</v>
      </c>
      <c r="U208" s="312"/>
      <c r="V208" s="369" t="str">
        <f>V209</f>
        <v/>
      </c>
      <c r="W208" s="314"/>
      <c r="X208" s="312"/>
      <c r="Y208" s="370" t="str">
        <f>IF(E201="","",IF(OR(F208=EUconst_NA,W208=TRUE),EUconst_NA,INDEX(EUwideConstants!$P$164:$P$200,MATCH(T208,EUwideConstants!$S$164:$S$200,0))))</f>
        <v/>
      </c>
      <c r="Z208" s="371" t="str">
        <f>IF(ISBLANK(F208),"",IF(F208=EUconst_NA,"",INDEX(EUwideConstants!$H:$O,MATCH(T208,EUwideConstants!$S:$S,0),MATCH(F208,CNTR_TierList,0))))</f>
        <v/>
      </c>
      <c r="AA208" s="372" t="str">
        <f>IF(COUNTIF(EUconst_DefaultValues,Z208)&gt;0,MATCH(Z208,EUconst_DefaultValues,0),"")</f>
        <v/>
      </c>
      <c r="AB208" s="314"/>
      <c r="AC208" s="373" t="b">
        <f>AND(AC206,Y208&lt;&gt;EUconst_NA)</f>
        <v>0</v>
      </c>
      <c r="AD208" s="314"/>
      <c r="AE208" s="353" t="str">
        <f>EUconst_CNTR_UCF&amp;EUconst_Unit</f>
        <v>UCF_Unit</v>
      </c>
      <c r="AF208" s="374" t="str">
        <f>IF(AC208=TRUE, IF(COUNTIF(MSPara_SourceStreamCategory,V208)=0,"",INDEX(MSPara_CalcFactorsMatrix,MATCH(V208,MSPara_SourceStreamCategory,0),MATCH(AE208&amp;"_"&amp;2,MSPara_CalcFactors,0))),"")</f>
        <v/>
      </c>
      <c r="AG208" s="375" t="str">
        <f>IF(AC208=TRUE, IF(COUNTIF(MSPara_SourceStreamCategory,V208)=0,"",INDEX(MSPara_CalcFactorsMatrix,MATCH(V208,MSPara_SourceStreamCategory,0),MATCH(AE208&amp;"_"&amp;1,MSPara_CalcFactors,0))),"")</f>
        <v/>
      </c>
      <c r="AH208" s="373" t="str">
        <f>IF(AA208="","",INDEX(AF208:AG208,3-AA208))</f>
        <v/>
      </c>
      <c r="AI208" s="373" t="str">
        <f>IF(AC208=TRUE,IF(OR(AH208="",AH208=EUconst_NA),EUconst_GJ&amp;"/"&amp;AJ206,AH208),"")</f>
        <v/>
      </c>
      <c r="AJ208" s="373" t="str">
        <f>IF(J208="",AI208,J208)</f>
        <v/>
      </c>
      <c r="AK208" s="369" t="b">
        <f>AND(E200&lt;&gt;"",J208&lt;&gt;"")</f>
        <v>0</v>
      </c>
      <c r="AL208" s="326"/>
      <c r="AM208" s="358" t="s">
        <v>151</v>
      </c>
      <c r="AN208" s="359" t="str">
        <f>IF(AJ208="",EUconst_NA,IF(AN206=EUconst_TJ,EUconst_TJ,INDEX(EUwideConstants!$C$135:$G$139,MATCH(AN206,RFAUnits,0),MATCH(AJ208,UCFUnits,0))))</f>
        <v>n.a.</v>
      </c>
      <c r="AO208" s="326"/>
      <c r="AP208" s="326"/>
      <c r="AQ208" s="376" t="str">
        <f>EUconst_CNTR_UCF&amp;EUconst_Value</f>
        <v>UCF_Value</v>
      </c>
      <c r="AR208" s="377" t="str">
        <f>IF(AC208=TRUE,IF(COUNTIF(MSPara_SourceStreamCategory,V208)=0,"",INDEX(MSPara_CalcFactorsMatrix,MATCH(V208,MSPara_SourceStreamCategory,0),MATCH(AQ208&amp;"_"&amp;2,MSPara_CalcFactors,0))),"")</f>
        <v/>
      </c>
      <c r="AS208" s="378" t="str">
        <f>IF(AC208=TRUE,IF(COUNTIF(MSPara_SourceStreamCategory,V208)=0,"",INDEX(MSPara_CalcFactorsMatrix,MATCH(V208,MSPara_SourceStreamCategory,0),MATCH(AQ208&amp;"_"&amp;1,MSPara_CalcFactors,0))),"")</f>
        <v/>
      </c>
      <c r="AT208" s="379" t="b">
        <f>AND(AND(AH208&lt;&gt;"",AJ208&lt;&gt;""),AJ208=AH208)</f>
        <v>0</v>
      </c>
      <c r="AU208" s="380" t="str">
        <f>IF(AND(AA208&lt;&gt;"",AT208=TRUE),IF(OR(INDEX(AR208:AS208,3-AA208)=EUconst_NA,INDEX(AR208:AS208,3-AA208)=0),"",INDEX(AR208:AS208,3-AA208)),"")</f>
        <v/>
      </c>
      <c r="AV208" s="373">
        <f>IF(AC208=TRUE,IF(COUNT(K208:L208)=0,0,IF(L208="",K208,L208)),0)</f>
        <v>0</v>
      </c>
      <c r="AW208" s="369" t="b">
        <f t="shared" ref="AW208:AW215" si="45">AND(AC208=TRUE,OR(AND(F208&lt;&gt;"",NOT(ISNUMBER(AA208))),L208&lt;&gt;"",F208="",AU208=""))</f>
        <v>0</v>
      </c>
      <c r="AX208" s="381" t="b">
        <f t="shared" ref="AX208:AX215" si="46">AND(AC208=TRUE,NOT(AW208))</f>
        <v>0</v>
      </c>
      <c r="AY208" s="314"/>
      <c r="AZ208" s="382" t="b">
        <f t="shared" ref="AZ208:AZ215" si="47">AND(ISNUMBER(AA208),AU208="")</f>
        <v>0</v>
      </c>
      <c r="BA208" s="383" t="b">
        <f t="shared" ref="BA208:BA215" si="48">AND(ISNUMBER(AA208),AU208&lt;&gt;AV208)</f>
        <v>0</v>
      </c>
      <c r="BB208" s="369" t="b">
        <f>AND(E201&lt;&gt;"",F208&lt;&gt;EUconst_NA,AN208=EUconst_NA)</f>
        <v>0</v>
      </c>
      <c r="BC208" s="369" t="b">
        <f t="shared" ref="BC208:BC215" si="49">AND(L208&lt;&gt;"",Y208=EUconst_NA)</f>
        <v>0</v>
      </c>
      <c r="BD208" s="314"/>
      <c r="BE208" s="314"/>
      <c r="BF208" s="382" t="s">
        <v>152</v>
      </c>
      <c r="BG208" s="384" t="str">
        <f>IF(COUNTIF(AO209:AO210,TRUE)=0,"",BH208*AV217)</f>
        <v/>
      </c>
      <c r="BH208" s="384" t="str">
        <f>IF(COUNTIF(AO209:AO210,TRUE)=0,"",AV206*IF(AO209,1,AV208*AN210)*AV209*AV210)</f>
        <v/>
      </c>
      <c r="BI208" s="314"/>
      <c r="BJ208" s="314"/>
      <c r="BK208" s="314"/>
      <c r="BL208" s="314"/>
      <c r="BM208" s="314"/>
      <c r="BN208" s="314"/>
      <c r="BO208" s="314"/>
      <c r="BP208" s="314"/>
      <c r="BQ208" s="314"/>
      <c r="BR208" s="314"/>
      <c r="BS208" s="314"/>
      <c r="BT208" s="314"/>
      <c r="BU208" s="314"/>
      <c r="BV208" s="314"/>
      <c r="BW208" s="314"/>
      <c r="BX208" s="314"/>
      <c r="BY208" s="314"/>
      <c r="BZ208" s="314"/>
      <c r="CA208" s="314"/>
      <c r="CB208" s="314"/>
      <c r="CC208" s="314"/>
      <c r="CD208" s="314"/>
      <c r="CE208" s="314"/>
      <c r="CF208" s="314"/>
      <c r="CG208" s="314"/>
      <c r="CH208" s="314"/>
      <c r="CI208" s="314"/>
      <c r="CJ208" s="314"/>
      <c r="CK208" s="314"/>
      <c r="CL208" s="314"/>
      <c r="CM208" s="314"/>
      <c r="CN208" s="314"/>
      <c r="CO208" s="314"/>
      <c r="CP208" s="314"/>
      <c r="CQ208" s="369" t="b">
        <f>OR(CQ206,Y208=EUconst_NA)</f>
        <v>0</v>
      </c>
    </row>
    <row r="209" spans="1:95" ht="12.75" customHeight="1" thickBot="1" x14ac:dyDescent="0.3">
      <c r="A209" s="307"/>
      <c r="B209" s="68"/>
      <c r="C209" s="199" t="s">
        <v>14</v>
      </c>
      <c r="D209" s="344" t="str">
        <f>Translations!$B$358</f>
        <v>(prelim) EF:</v>
      </c>
      <c r="E209" s="345"/>
      <c r="F209" s="59"/>
      <c r="G209" s="1256" t="str">
        <f>IF(OR(ISBLANK(F209),F209=EUconst_NoTier),"",IF(Z209=0,EUconst_NotApplicable,IF(ISERROR(Z209),"",Z209)))</f>
        <v/>
      </c>
      <c r="H209" s="1260"/>
      <c r="I209" s="385" t="str">
        <f>IF(J209&lt;&gt;"","",AI209)</f>
        <v/>
      </c>
      <c r="J209" s="22"/>
      <c r="K209" s="386" t="str">
        <f>IF(L209="",AU209,"")</f>
        <v/>
      </c>
      <c r="L209" s="58"/>
      <c r="M209" s="347" t="str">
        <f>IF(AND(E201&lt;&gt;"",OR(F209="",COUNT(K209:L209)=0),Y209&lt;&gt;EUconst_NA),EUconst_ERR_Incomplete,IF(COUNTIF(BB209:BD209,TRUE)&gt;0,EUconst_ERR_Inconsistent,""))</f>
        <v/>
      </c>
      <c r="N209" s="387"/>
      <c r="O209" s="160"/>
      <c r="P209" s="109"/>
      <c r="Q209" s="312"/>
      <c r="R209" s="312"/>
      <c r="S209" s="314"/>
      <c r="T209" s="388" t="str">
        <f>EUconst_CNTR_EF&amp;E201</f>
        <v>EF_</v>
      </c>
      <c r="U209" s="312"/>
      <c r="V209" s="389" t="str">
        <f>V206</f>
        <v/>
      </c>
      <c r="W209" s="314"/>
      <c r="X209" s="312"/>
      <c r="Y209" s="390" t="str">
        <f>IF(E201="","",IF(OR(F209=EUconst_NA,W209=TRUE),EUconst_NA,INDEX(EUwideConstants!$P$164:$P$200,MATCH(T209,EUwideConstants!$S$164:$S$200,0))))</f>
        <v/>
      </c>
      <c r="Z209" s="391" t="str">
        <f>IF(ISBLANK(F209),"",IF(F209=EUconst_NA,"",INDEX(EUwideConstants!$H:$O,MATCH(T209,EUwideConstants!$S:$S,0),MATCH(F209,CNTR_TierList,0))))</f>
        <v/>
      </c>
      <c r="AA209" s="392" t="str">
        <f>IF(COUNTIF(EUconst_DefaultValues,Z209)&gt;0,MATCH(Z209,EUconst_DefaultValues,0),"")</f>
        <v/>
      </c>
      <c r="AB209" s="314"/>
      <c r="AC209" s="393" t="b">
        <f>AND(AC206,Y209&lt;&gt;EUconst_NA)</f>
        <v>0</v>
      </c>
      <c r="AD209" s="314"/>
      <c r="AE209" s="394" t="str">
        <f>EUconst_CNTR_EF&amp;EUconst_Unit</f>
        <v>EF_Unit</v>
      </c>
      <c r="AF209" s="395" t="str">
        <f>IF(AC209=TRUE, IF(COUNTIF(MSPara_SourceStreamCategory,V209)=0,"",INDEX(MSPara_CalcFactorsMatrix,MATCH(V209,MSPara_SourceStreamCategory,0),MATCH(AE209&amp;"_"&amp;2,MSPara_CalcFactors,0))),"")</f>
        <v/>
      </c>
      <c r="AG209" s="396" t="str">
        <f>IF(AC209=TRUE, IF(COUNTIF(MSPara_SourceStreamCategory,V209)=0,"",INDEX(MSPara_CalcFactorsMatrix,MATCH(V209,MSPara_SourceStreamCategory,0),MATCH(AE209&amp;"_"&amp;1,MSPara_CalcFactors,0))),"")</f>
        <v/>
      </c>
      <c r="AH209" s="397" t="str">
        <f>IF(AA209="","",INDEX(AF209:AG209,3-AA209))</f>
        <v/>
      </c>
      <c r="AI209" s="397" t="str">
        <f>IF(AC209=TRUE,IF(OR(AH209="",AH209=EUconst_NA),EUconst_tCO2&amp;"/"&amp;IF(AN208=EUconst_NA,AN206,IF(AN208=EUconst_GJ,EUconst_TJ,AN208)),AH209),"")</f>
        <v/>
      </c>
      <c r="AJ209" s="397" t="str">
        <f>IF(J209="",AI209,J209)</f>
        <v/>
      </c>
      <c r="AK209" s="398" t="b">
        <f>AND(E201&lt;&gt;"",J209&lt;&gt;"")</f>
        <v>0</v>
      </c>
      <c r="AL209" s="326"/>
      <c r="AM209" s="358" t="s">
        <v>153</v>
      </c>
      <c r="AN209" s="359" t="str">
        <f>IF(COUNTIF(RFAUnits,AN206)=0,EUconst_NA,INDEX(EUwideConstants!$C$150:$H$154,MATCH(AJ209,EFUnits,0),MATCH(AN206,EUwideConstants!$C$149:$H$149,0)))</f>
        <v>n.a.</v>
      </c>
      <c r="AO209" s="359" t="b">
        <f>AN209&lt;&gt;EUconst_NA</f>
        <v>0</v>
      </c>
      <c r="AP209" s="326"/>
      <c r="AQ209" s="399" t="str">
        <f>EUconst_CNTR_EF&amp;EUconst_Value</f>
        <v>EF_Value</v>
      </c>
      <c r="AR209" s="400" t="str">
        <f>IF(AC209=TRUE,IF(COUNTIF(MSPara_SourceStreamCategory,V209)=0,"",INDEX(MSPara_CalcFactorsMatrix,MATCH(V209,MSPara_SourceStreamCategory,0),MATCH(AQ209&amp;"_"&amp;2,MSPara_CalcFactors,0))),"")</f>
        <v/>
      </c>
      <c r="AS209" s="401" t="str">
        <f>IF(AC209=TRUE,IF(COUNTIF(MSPara_SourceStreamCategory,V209)=0,"",INDEX(MSPara_CalcFactorsMatrix,MATCH(V209,MSPara_SourceStreamCategory,0),MATCH(AQ209&amp;"_"&amp;1,MSPara_CalcFactors,0))),"")</f>
        <v/>
      </c>
      <c r="AT209" s="402" t="b">
        <f>AND(AND(AH209&lt;&gt;"",AJ209&lt;&gt;""),AJ209=AH209)</f>
        <v>0</v>
      </c>
      <c r="AU209" s="403" t="str">
        <f>IF(AND(AA209&lt;&gt;"",AT209=TRUE),IF(OR(INDEX(AR209:AS209,3-AA209)=EUconst_NA,INDEX(AR209:AS209,3-AA209)=0),"",INDEX(AR209:AS209,3-AA209)),"")</f>
        <v/>
      </c>
      <c r="AV209" s="393">
        <f>IF(AC209=TRUE,IF(COUNT(K209:L209)=0,0,IF(L209="",K209,L209)),0)</f>
        <v>0</v>
      </c>
      <c r="AW209" s="389" t="b">
        <f t="shared" si="45"/>
        <v>0</v>
      </c>
      <c r="AX209" s="404" t="b">
        <f t="shared" si="46"/>
        <v>0</v>
      </c>
      <c r="AY209" s="314"/>
      <c r="AZ209" s="405" t="b">
        <f t="shared" si="47"/>
        <v>0</v>
      </c>
      <c r="BA209" s="406" t="b">
        <f t="shared" si="48"/>
        <v>0</v>
      </c>
      <c r="BB209" s="407" t="b">
        <f>AND(E201&lt;&gt;"",COUNTIF(AO209:AO210,TRUE)=0)</f>
        <v>0</v>
      </c>
      <c r="BC209" s="389" t="b">
        <f t="shared" si="49"/>
        <v>0</v>
      </c>
      <c r="BD209" s="314"/>
      <c r="BE209" s="314"/>
      <c r="BF209" s="408" t="s">
        <v>154</v>
      </c>
      <c r="BG209" s="409" t="str">
        <f>IF(COUNTIF(AO209:AO210,TRUE)=0,"",BH209*AV217)</f>
        <v/>
      </c>
      <c r="BH209" s="409" t="str">
        <f>IF(COUNTIF(AO209:AO210,TRUE)=0,"",AV206*IF(AO209,1,AV208*AN210)*AV209*AV211)</f>
        <v/>
      </c>
      <c r="BI209" s="314"/>
      <c r="BJ209" s="314"/>
      <c r="BK209" s="314"/>
      <c r="BL209" s="314"/>
      <c r="BM209" s="314"/>
      <c r="BN209" s="314"/>
      <c r="BO209" s="314"/>
      <c r="BP209" s="314"/>
      <c r="BQ209" s="314"/>
      <c r="BR209" s="314"/>
      <c r="BS209" s="314"/>
      <c r="BT209" s="314"/>
      <c r="BU209" s="314"/>
      <c r="BV209" s="314"/>
      <c r="BW209" s="314"/>
      <c r="BX209" s="314"/>
      <c r="BY209" s="314"/>
      <c r="BZ209" s="314"/>
      <c r="CA209" s="314"/>
      <c r="CB209" s="314"/>
      <c r="CC209" s="314"/>
      <c r="CD209" s="314"/>
      <c r="CE209" s="314"/>
      <c r="CF209" s="314"/>
      <c r="CG209" s="314"/>
      <c r="CH209" s="314"/>
      <c r="CI209" s="314"/>
      <c r="CJ209" s="314"/>
      <c r="CK209" s="314"/>
      <c r="CL209" s="314"/>
      <c r="CM209" s="314"/>
      <c r="CN209" s="314"/>
      <c r="CO209" s="314"/>
      <c r="CP209" s="314"/>
      <c r="CQ209" s="407" t="b">
        <f>OR(CQ206,Y209=EUconst_NA)</f>
        <v>0</v>
      </c>
    </row>
    <row r="210" spans="1:95" ht="12.75" customHeight="1" x14ac:dyDescent="0.25">
      <c r="A210" s="307"/>
      <c r="B210" s="68"/>
      <c r="C210" s="199" t="s">
        <v>15</v>
      </c>
      <c r="D210" s="344" t="str">
        <f>Translations!$B$362</f>
        <v>BioF:</v>
      </c>
      <c r="E210" s="345"/>
      <c r="F210" s="10"/>
      <c r="G210" s="1256" t="str">
        <f>IF(OR(ISBLANK(F210),F210=EUconst_NoTier),"",IF(Z210=0,EUconst_NotApplicable,IF(ISERROR(Z210),"",Z210)))</f>
        <v/>
      </c>
      <c r="H210" s="1257"/>
      <c r="I210" s="410" t="str">
        <f t="shared" ref="I210:I215" si="50">IF(OR(AC210=FALSE,Y210=EUconst_NA),"","-")</f>
        <v/>
      </c>
      <c r="J210" s="411"/>
      <c r="K210" s="412" t="str">
        <f>IF(L210="",AU210,"")</f>
        <v/>
      </c>
      <c r="L210" s="60"/>
      <c r="M210" s="347" t="str">
        <f>IF(AND(E201&lt;&gt;"",OR(F210="",COUNT(K210:L210)=0),Y210&lt;&gt;EUconst_NA),EUconst_ERR_Incomplete,IF(COUNTIF(BB210:BD210,TRUE)&gt;0,EUconst_ERR_Inconsistent,""))</f>
        <v/>
      </c>
      <c r="O210" s="160"/>
      <c r="P210" s="348"/>
      <c r="Q210" s="413"/>
      <c r="R210" s="413"/>
      <c r="S210" s="314"/>
      <c r="T210" s="388" t="str">
        <f>EUconst_CNTR_BiomassContent&amp;E201</f>
        <v>BioC_</v>
      </c>
      <c r="U210" s="312"/>
      <c r="V210" s="369" t="str">
        <f>V208</f>
        <v/>
      </c>
      <c r="W210" s="369" t="str">
        <f>IF(OR(V210="",COUNTIF(MSPara_SourceStreamCategory,V210)=0),"",INDEX(MSPara_IsFossil,MATCH(V210,MSPara_SourceStreamCategory,0)))</f>
        <v/>
      </c>
      <c r="X210" s="312"/>
      <c r="Y210" s="370" t="str">
        <f>IF(E201="","",IF(OR(F210=EUconst_NA,W210=TRUE),EUconst_NA,INDEX(EUwideConstants!$P$164:$P$200,MATCH(T210,EUwideConstants!$S$164:$S$200,0))))</f>
        <v/>
      </c>
      <c r="Z210" s="371" t="str">
        <f>IF(ISBLANK(F210),"",IF(F210=EUconst_NA,"",INDEX(EUwideConstants!$H:$O,MATCH(T210,EUwideConstants!$S:$S,0),MATCH(F210,CNTR_TierList,0))))</f>
        <v/>
      </c>
      <c r="AA210" s="414" t="str">
        <f>IF(F210=1,1,"")</f>
        <v/>
      </c>
      <c r="AB210" s="314"/>
      <c r="AC210" s="373" t="b">
        <f>AND(AC206,Y210&lt;&gt;EUconst_NA)</f>
        <v>0</v>
      </c>
      <c r="AD210" s="314"/>
      <c r="AE210" s="415"/>
      <c r="AF210" s="416"/>
      <c r="AG210" s="417"/>
      <c r="AH210" s="418"/>
      <c r="AI210" s="418"/>
      <c r="AJ210" s="418"/>
      <c r="AK210" s="419"/>
      <c r="AL210" s="326"/>
      <c r="AM210" s="358" t="s">
        <v>155</v>
      </c>
      <c r="AN210" s="359" t="str">
        <f>IF(AN208=EUconst_NA,EUconst_NA,INDEX(EUwideConstants!$C$150:$H$154,MATCH(AJ209,EFUnits,0),MATCH(AN208,EUwideConstants!$C$149:$H$149,0)))</f>
        <v>n.a.</v>
      </c>
      <c r="AO210" s="359" t="b">
        <f>AN210&lt;&gt;EUconst_NA</f>
        <v>0</v>
      </c>
      <c r="AP210" s="326"/>
      <c r="AQ210" s="376" t="str">
        <f>EUconst_CNTR_BiomassContent&amp;EUconst_Value</f>
        <v>BioC_Value</v>
      </c>
      <c r="AR210" s="420"/>
      <c r="AS210" s="378" t="str">
        <f t="shared" ref="AS210:AS215" si="51">IF(AC210=TRUE,IF(COUNTIF(MSPara_SourceStreamCategory,V210)=0,"",INDEX(MSPara_CalcFactorsMatrix,MATCH(V210,MSPara_SourceStreamCategory,0),MATCH(AQ210&amp;"_"&amp;2,MSPara_CalcFactors,0))),"")</f>
        <v/>
      </c>
      <c r="AT210" s="421"/>
      <c r="AU210" s="380" t="str">
        <f t="shared" ref="AU210:AU215" si="52">IF(OR(AA210="",AS210=EUconst_NA),"",AS210)</f>
        <v/>
      </c>
      <c r="AV210" s="373">
        <f>IF(AC210=TRUE,IF(COUNT(K210:L210)=0,0,IF(L210="",K210,L210)),0)</f>
        <v>0</v>
      </c>
      <c r="AW210" s="369" t="b">
        <f t="shared" si="45"/>
        <v>0</v>
      </c>
      <c r="AX210" s="381" t="b">
        <f t="shared" si="46"/>
        <v>0</v>
      </c>
      <c r="AY210" s="314"/>
      <c r="AZ210" s="382" t="b">
        <f t="shared" si="47"/>
        <v>0</v>
      </c>
      <c r="BA210" s="383" t="b">
        <f t="shared" si="48"/>
        <v>0</v>
      </c>
      <c r="BB210" s="314"/>
      <c r="BC210" s="369" t="b">
        <f t="shared" si="49"/>
        <v>0</v>
      </c>
      <c r="BD210" s="369" t="b">
        <f>OR(AV210&gt;100%,(AV210+AV211)&gt;100%)</f>
        <v>0</v>
      </c>
      <c r="BE210" s="314"/>
      <c r="BF210" s="382" t="s">
        <v>156</v>
      </c>
      <c r="BG210" s="384" t="str">
        <f>IF(COUNTIF(AO209:AO210,TRUE)=0,"",BH210*AV217)</f>
        <v/>
      </c>
      <c r="BH210" s="384" t="str">
        <f>IF(COUNTIF(AO209:AO210,TRUE)=0,"",AV206*IF(AO209,1,AV208*AN210)*AV209*AV212)</f>
        <v/>
      </c>
      <c r="BJ210" s="314"/>
      <c r="BK210" s="314"/>
      <c r="BL210" s="314"/>
      <c r="BM210" s="314"/>
      <c r="BN210" s="314"/>
      <c r="BO210" s="314"/>
      <c r="BP210" s="314"/>
      <c r="BQ210" s="314"/>
      <c r="BR210" s="314"/>
      <c r="BS210" s="314"/>
      <c r="BT210" s="314"/>
      <c r="BU210" s="314"/>
      <c r="BV210" s="314"/>
      <c r="BW210" s="314"/>
      <c r="BX210" s="314"/>
      <c r="BY210" s="314"/>
      <c r="BZ210" s="314"/>
      <c r="CA210" s="314"/>
      <c r="CB210" s="314"/>
      <c r="CC210" s="314"/>
      <c r="CD210" s="314"/>
      <c r="CE210" s="314"/>
      <c r="CF210" s="314"/>
      <c r="CG210" s="314"/>
      <c r="CH210" s="314"/>
      <c r="CI210" s="314"/>
      <c r="CJ210" s="314"/>
      <c r="CK210" s="314"/>
      <c r="CL210" s="314"/>
      <c r="CM210" s="314"/>
      <c r="CN210" s="314"/>
      <c r="CO210" s="314"/>
      <c r="CP210" s="314"/>
      <c r="CQ210" s="369" t="b">
        <f>OR(CQ206,Y210=EUconst_NA)</f>
        <v>0</v>
      </c>
    </row>
    <row r="211" spans="1:95" ht="12.75" customHeight="1" thickBot="1" x14ac:dyDescent="0.3">
      <c r="A211" s="307"/>
      <c r="B211" s="68"/>
      <c r="C211" s="199" t="s">
        <v>16</v>
      </c>
      <c r="D211" s="344" t="str">
        <f>Translations!$B$368</f>
        <v>non-sust. BioF:</v>
      </c>
      <c r="E211" s="345"/>
      <c r="F211" s="20"/>
      <c r="G211" s="1256" t="str">
        <f>IF(OR(ISBLANK(F211),F211=EUconst_NoTier),"",IF(Z211=0,EUconst_NotApplicable,IF(ISERROR(Z211),"",Z211)))</f>
        <v/>
      </c>
      <c r="H211" s="1257"/>
      <c r="I211" s="422" t="str">
        <f t="shared" si="50"/>
        <v/>
      </c>
      <c r="J211" s="423"/>
      <c r="K211" s="424" t="str">
        <f>IF(L211="",AU211,"")</f>
        <v/>
      </c>
      <c r="L211" s="21"/>
      <c r="M211" s="347" t="str">
        <f>IF(AND(E201&lt;&gt;"",OR(F211="",COUNT(K211:L211)=0),Y211&lt;&gt;EUconst_NA),EUconst_ERR_Incomplete,IF(COUNTIF(BB211:BD211,TRUE)&gt;0,EUconst_ERR_Inconsistent,""))</f>
        <v/>
      </c>
      <c r="N211" s="76"/>
      <c r="O211" s="160"/>
      <c r="P211" s="348"/>
      <c r="Q211" s="413"/>
      <c r="R211" s="413"/>
      <c r="S211" s="314"/>
      <c r="T211" s="425" t="str">
        <f>EUconst_CNTR_BiomassContent&amp;E201</f>
        <v>BioC_</v>
      </c>
      <c r="U211" s="312"/>
      <c r="V211" s="407" t="str">
        <f>V210</f>
        <v/>
      </c>
      <c r="W211" s="407" t="str">
        <f>IF(OR(V210="",COUNTIF(MSPara_SourceStreamCategory,V211)=0),"",INDEX(MSPara_IsFossil,MATCH(V211,MSPara_SourceStreamCategory,0)))</f>
        <v/>
      </c>
      <c r="X211" s="312"/>
      <c r="Y211" s="426" t="str">
        <f>IF(E201="","",IF(OR(F211=EUconst_NA,W211=TRUE),EUconst_NA,INDEX(EUwideConstants!$P$164:$P$200,MATCH(T211,EUwideConstants!$S$164:$S$200,0))))</f>
        <v/>
      </c>
      <c r="Z211" s="427" t="str">
        <f>IF(ISBLANK(F211),"",IF(F211=EUconst_NA,"",INDEX(EUwideConstants!$H:$O,MATCH(T211,EUwideConstants!$S:$S,0),MATCH(F211,CNTR_TierList,0))))</f>
        <v/>
      </c>
      <c r="AA211" s="428" t="str">
        <f>IF(F211=1,1,"")</f>
        <v/>
      </c>
      <c r="AB211" s="314"/>
      <c r="AC211" s="429" t="b">
        <f>AND(AC206,Y211&lt;&gt;EUconst_NA)</f>
        <v>0</v>
      </c>
      <c r="AD211" s="314"/>
      <c r="AE211" s="430"/>
      <c r="AF211" s="431"/>
      <c r="AG211" s="432"/>
      <c r="AH211" s="433"/>
      <c r="AI211" s="433"/>
      <c r="AJ211" s="433"/>
      <c r="AK211" s="434"/>
      <c r="AL211" s="326"/>
      <c r="AM211" s="326"/>
      <c r="AN211" s="326"/>
      <c r="AO211" s="326"/>
      <c r="AP211" s="326"/>
      <c r="AQ211" s="435" t="str">
        <f>EUconst_CNTR_BiomassContent&amp;EUconst_Value</f>
        <v>BioC_Value</v>
      </c>
      <c r="AR211" s="430"/>
      <c r="AS211" s="436" t="str">
        <f t="shared" si="51"/>
        <v/>
      </c>
      <c r="AT211" s="437"/>
      <c r="AU211" s="438" t="str">
        <f t="shared" si="52"/>
        <v/>
      </c>
      <c r="AV211" s="429">
        <f>IF(AC211=TRUE,IF(COUNT(K211:L211)=0,0,IF(L211="",K211,L211)),0)</f>
        <v>0</v>
      </c>
      <c r="AW211" s="407" t="b">
        <f t="shared" si="45"/>
        <v>0</v>
      </c>
      <c r="AX211" s="439" t="b">
        <f t="shared" si="46"/>
        <v>0</v>
      </c>
      <c r="AY211" s="314"/>
      <c r="AZ211" s="408" t="b">
        <f t="shared" si="47"/>
        <v>0</v>
      </c>
      <c r="BA211" s="440" t="b">
        <f t="shared" si="48"/>
        <v>0</v>
      </c>
      <c r="BB211" s="314"/>
      <c r="BC211" s="407" t="b">
        <f t="shared" si="49"/>
        <v>0</v>
      </c>
      <c r="BD211" s="407" t="b">
        <f>OR(AV210&gt;100%,(AV210+AV211)&gt;100%)</f>
        <v>0</v>
      </c>
      <c r="BE211" s="314"/>
      <c r="BF211" s="408" t="s">
        <v>157</v>
      </c>
      <c r="BG211" s="409" t="str">
        <f>IF(COUNTIF(AO209:AO210,TRUE)=0,"",BH211*AV217)</f>
        <v/>
      </c>
      <c r="BH211" s="409" t="str">
        <f>IF(COUNTIF(AO209:AO210,TRUE)=0,"",AV206*IF(AO209,1,AV208*AN210)*AV209*AV213)</f>
        <v/>
      </c>
      <c r="BJ211" s="314"/>
      <c r="BK211" s="314"/>
      <c r="BL211" s="314"/>
      <c r="BM211" s="314"/>
      <c r="BN211" s="314"/>
      <c r="BO211" s="314"/>
      <c r="BP211" s="314"/>
      <c r="BQ211" s="314"/>
      <c r="BR211" s="314"/>
      <c r="BS211" s="314"/>
      <c r="BT211" s="314"/>
      <c r="BU211" s="314"/>
      <c r="BV211" s="314"/>
      <c r="BW211" s="314"/>
      <c r="BX211" s="314"/>
      <c r="BY211" s="314"/>
      <c r="BZ211" s="314"/>
      <c r="CA211" s="314"/>
      <c r="CB211" s="314"/>
      <c r="CC211" s="314"/>
      <c r="CD211" s="314"/>
      <c r="CE211" s="314"/>
      <c r="CF211" s="314"/>
      <c r="CG211" s="314"/>
      <c r="CH211" s="314"/>
      <c r="CI211" s="314"/>
      <c r="CJ211" s="314"/>
      <c r="CK211" s="314"/>
      <c r="CL211" s="314"/>
      <c r="CM211" s="314"/>
      <c r="CN211" s="314"/>
      <c r="CO211" s="314"/>
      <c r="CP211" s="314"/>
      <c r="CQ211" s="407" t="b">
        <f>OR(CQ206,Y211=EUconst_NA)</f>
        <v>0</v>
      </c>
    </row>
    <row r="212" spans="1:95" ht="12.75" customHeight="1" thickBot="1" x14ac:dyDescent="0.3">
      <c r="A212" s="307"/>
      <c r="B212" s="68"/>
      <c r="C212" s="199" t="s">
        <v>17</v>
      </c>
      <c r="D212" s="344" t="str">
        <f>Translations!$B$610</f>
        <v>sust. RFNBO/RCF:</v>
      </c>
      <c r="E212" s="441"/>
      <c r="F212" s="19" t="s">
        <v>158</v>
      </c>
      <c r="G212" s="1261"/>
      <c r="H212" s="1262"/>
      <c r="I212" s="442" t="str">
        <f t="shared" si="50"/>
        <v/>
      </c>
      <c r="J212" s="411"/>
      <c r="K212" s="443"/>
      <c r="L212" s="55"/>
      <c r="M212" s="347" t="str">
        <f>IF(AND(E201&lt;&gt;"",OR(F212="",COUNT(L212)=0),Y212&lt;&gt;EUconst_NA),EUconst_ERR_Incomplete,"")</f>
        <v/>
      </c>
      <c r="N212" s="76"/>
      <c r="O212" s="160"/>
      <c r="P212" s="348"/>
      <c r="Q212" s="413"/>
      <c r="R212" s="413"/>
      <c r="S212" s="314"/>
      <c r="T212" s="388" t="str">
        <f>EUconst_CNTR_RFNBOetcContent&amp;E201</f>
        <v>RNFBOC_</v>
      </c>
      <c r="U212" s="312"/>
      <c r="V212" s="312"/>
      <c r="W212" s="312"/>
      <c r="X212" s="312"/>
      <c r="Y212" s="380" t="str">
        <f>IF(E201="","",IF(OR(F212=EUconst_NA,W212=TRUE),EUconst_NA,INDEX(EUwideConstants!$P$164:$P$200,MATCH(T212,EUwideConstants!$S$164:$S$200,0))))</f>
        <v/>
      </c>
      <c r="Z212" s="314"/>
      <c r="AA212" s="314"/>
      <c r="AB212" s="314"/>
      <c r="AC212" s="397" t="b">
        <f>AND(AC208,Y212&lt;&gt;EUconst_NA)</f>
        <v>0</v>
      </c>
      <c r="AD212" s="314"/>
      <c r="AE212" s="415"/>
      <c r="AF212" s="416"/>
      <c r="AG212" s="417"/>
      <c r="AH212" s="418"/>
      <c r="AI212" s="418"/>
      <c r="AJ212" s="418"/>
      <c r="AK212" s="419"/>
      <c r="AL212" s="326"/>
      <c r="AM212" s="326"/>
      <c r="AN212" s="326"/>
      <c r="AO212" s="326"/>
      <c r="AP212" s="326"/>
      <c r="AQ212" s="444" t="s">
        <v>159</v>
      </c>
      <c r="AR212" s="415"/>
      <c r="AS212" s="445" t="str">
        <f t="shared" si="51"/>
        <v/>
      </c>
      <c r="AT212" s="446"/>
      <c r="AU212" s="447" t="str">
        <f t="shared" si="52"/>
        <v/>
      </c>
      <c r="AV212" s="397">
        <f>IF(L212&lt;&gt;0,L212,L212)</f>
        <v>0</v>
      </c>
      <c r="AW212" s="398" t="b">
        <f t="shared" si="45"/>
        <v>0</v>
      </c>
      <c r="AX212" s="448" t="b">
        <f t="shared" si="46"/>
        <v>0</v>
      </c>
      <c r="AY212" s="314"/>
      <c r="AZ212" s="449" t="b">
        <f t="shared" si="47"/>
        <v>0</v>
      </c>
      <c r="BA212" s="450" t="b">
        <f t="shared" si="48"/>
        <v>0</v>
      </c>
      <c r="BB212" s="314"/>
      <c r="BC212" s="398" t="b">
        <f t="shared" si="49"/>
        <v>0</v>
      </c>
      <c r="BD212" s="369" t="b">
        <f>OR(AV212&gt;100%,(AV212+AV213)&gt;100%)</f>
        <v>0</v>
      </c>
      <c r="BE212" s="314"/>
      <c r="BF212" s="451" t="s">
        <v>160</v>
      </c>
      <c r="BG212" s="452" t="str">
        <f>IF(COUNTIF(AO209:AO210,TRUE)=0,"",BH212*AV217)</f>
        <v/>
      </c>
      <c r="BH212" s="452" t="str">
        <f>IF(COUNTIF(AO209:AO210,TRUE)=0,"",AV206*IF(AO209,1,AV208*AN210)*AV209*AV214)</f>
        <v/>
      </c>
      <c r="BJ212" s="314"/>
      <c r="BK212" s="314"/>
      <c r="BL212" s="314"/>
      <c r="BM212" s="314"/>
      <c r="BN212" s="314"/>
      <c r="BO212" s="314"/>
      <c r="BP212" s="314"/>
      <c r="BQ212" s="314"/>
      <c r="BR212" s="314"/>
      <c r="BS212" s="314"/>
      <c r="BT212" s="314"/>
      <c r="BU212" s="314"/>
      <c r="BV212" s="314"/>
      <c r="BW212" s="314"/>
      <c r="BX212" s="314"/>
      <c r="BY212" s="314"/>
      <c r="BZ212" s="314"/>
      <c r="CA212" s="314"/>
      <c r="CB212" s="314"/>
      <c r="CC212" s="314"/>
      <c r="CD212" s="314"/>
      <c r="CE212" s="314"/>
      <c r="CF212" s="314"/>
      <c r="CG212" s="314"/>
      <c r="CH212" s="314"/>
      <c r="CI212" s="314"/>
      <c r="CJ212" s="314"/>
      <c r="CK212" s="314"/>
      <c r="CL212" s="314"/>
      <c r="CM212" s="314"/>
      <c r="CN212" s="314"/>
      <c r="CO212" s="314"/>
      <c r="CP212" s="314"/>
      <c r="CQ212" s="407" t="b">
        <f>OR(CQ206,Y212=EUconst_NA)</f>
        <v>0</v>
      </c>
    </row>
    <row r="213" spans="1:95" ht="12.75" customHeight="1" thickBot="1" x14ac:dyDescent="0.3">
      <c r="A213" s="307"/>
      <c r="B213" s="68"/>
      <c r="C213" s="199" t="s">
        <v>161</v>
      </c>
      <c r="D213" s="344" t="str">
        <f>Translations!$B$613</f>
        <v>non-sust. RFNBO/RCF:</v>
      </c>
      <c r="E213" s="441"/>
      <c r="F213" s="20" t="s">
        <v>158</v>
      </c>
      <c r="G213" s="1261"/>
      <c r="H213" s="1262"/>
      <c r="I213" s="422" t="str">
        <f t="shared" si="50"/>
        <v/>
      </c>
      <c r="J213" s="423"/>
      <c r="K213" s="443"/>
      <c r="L213" s="56"/>
      <c r="M213" s="347" t="str">
        <f>IF(AND(E201&lt;&gt;"",OR(F213="",COUNT(L213)=0),Y213&lt;&gt;EUconst_NA),EUconst_ERR_Incomplete,"")</f>
        <v/>
      </c>
      <c r="N213" s="76"/>
      <c r="O213" s="160"/>
      <c r="P213" s="348"/>
      <c r="Q213" s="413"/>
      <c r="R213" s="413"/>
      <c r="S213" s="314"/>
      <c r="T213" s="425" t="str">
        <f>EUconst_CNTR_RFNBOetcContent&amp;E201</f>
        <v>RNFBOC_</v>
      </c>
      <c r="U213" s="312"/>
      <c r="V213" s="312"/>
      <c r="W213" s="312"/>
      <c r="X213" s="312"/>
      <c r="Y213" s="438" t="str">
        <f>IF(E201="","",IF(OR(F213=EUconst_NA,W213=TRUE),EUconst_NA,INDEX(EUwideConstants!$P$164:$P$200,MATCH(T213,EUwideConstants!$S$164:$S$200,0))))</f>
        <v/>
      </c>
      <c r="Z213" s="314"/>
      <c r="AA213" s="314"/>
      <c r="AB213" s="314"/>
      <c r="AC213" s="429" t="b">
        <f>AND(AC208,Y213&lt;&gt;EUconst_NA)</f>
        <v>0</v>
      </c>
      <c r="AD213" s="314"/>
      <c r="AE213" s="430"/>
      <c r="AF213" s="431"/>
      <c r="AG213" s="432"/>
      <c r="AH213" s="433"/>
      <c r="AI213" s="433"/>
      <c r="AJ213" s="433"/>
      <c r="AK213" s="434"/>
      <c r="AL213" s="326"/>
      <c r="AM213" s="326"/>
      <c r="AN213" s="326"/>
      <c r="AO213" s="326"/>
      <c r="AP213" s="326"/>
      <c r="AQ213" s="435" t="s">
        <v>159</v>
      </c>
      <c r="AR213" s="430"/>
      <c r="AS213" s="436" t="str">
        <f t="shared" si="51"/>
        <v/>
      </c>
      <c r="AT213" s="437"/>
      <c r="AU213" s="438" t="str">
        <f t="shared" si="52"/>
        <v/>
      </c>
      <c r="AV213" s="429">
        <f t="shared" ref="AV213:AV215" si="53">IF(L213&lt;&gt;0,L213,L213)</f>
        <v>0</v>
      </c>
      <c r="AW213" s="407" t="b">
        <f t="shared" si="45"/>
        <v>0</v>
      </c>
      <c r="AX213" s="439" t="b">
        <f t="shared" si="46"/>
        <v>0</v>
      </c>
      <c r="AY213" s="314"/>
      <c r="AZ213" s="408" t="b">
        <f t="shared" si="47"/>
        <v>0</v>
      </c>
      <c r="BA213" s="440" t="b">
        <f t="shared" si="48"/>
        <v>0</v>
      </c>
      <c r="BB213" s="314"/>
      <c r="BC213" s="407" t="b">
        <f t="shared" si="49"/>
        <v>0</v>
      </c>
      <c r="BD213" s="407" t="b">
        <f>OR(AV212&gt;100%,(AV212+AV213)&gt;100%)</f>
        <v>0</v>
      </c>
      <c r="BE213" s="314"/>
      <c r="BF213" s="408" t="s">
        <v>162</v>
      </c>
      <c r="BG213" s="409" t="str">
        <f>IF(COUNTIF(AO209:AO210,TRUE)=0,"",BH213*AV217)</f>
        <v/>
      </c>
      <c r="BH213" s="409" t="str">
        <f>IF(COUNTIF(AO209:AO210,TRUE)=0,"",AV206*IF(AO209,1,AV208*AN210)*AV209*AV215)</f>
        <v/>
      </c>
      <c r="BJ213" s="314"/>
      <c r="BK213" s="314"/>
      <c r="BL213" s="314"/>
      <c r="BM213" s="314"/>
      <c r="BN213" s="314"/>
      <c r="BO213" s="314"/>
      <c r="BP213" s="314"/>
      <c r="BQ213" s="314"/>
      <c r="BR213" s="314"/>
      <c r="BS213" s="314"/>
      <c r="BT213" s="314"/>
      <c r="BU213" s="314"/>
      <c r="BV213" s="314"/>
      <c r="BW213" s="314"/>
      <c r="BX213" s="314"/>
      <c r="BY213" s="314"/>
      <c r="BZ213" s="314"/>
      <c r="CA213" s="314"/>
      <c r="CB213" s="314"/>
      <c r="CC213" s="314"/>
      <c r="CD213" s="314"/>
      <c r="CE213" s="314"/>
      <c r="CF213" s="314"/>
      <c r="CG213" s="314"/>
      <c r="CH213" s="314"/>
      <c r="CI213" s="314"/>
      <c r="CJ213" s="314"/>
      <c r="CK213" s="314"/>
      <c r="CL213" s="314"/>
      <c r="CM213" s="314"/>
      <c r="CN213" s="314"/>
      <c r="CO213" s="314"/>
      <c r="CP213" s="314"/>
      <c r="CQ213" s="407" t="b">
        <f>OR(CQ206,Y213=EUconst_NA)</f>
        <v>0</v>
      </c>
    </row>
    <row r="214" spans="1:95" ht="12.75" customHeight="1" thickBot="1" x14ac:dyDescent="0.3">
      <c r="A214" s="307"/>
      <c r="B214" s="68"/>
      <c r="C214" s="199" t="s">
        <v>163</v>
      </c>
      <c r="D214" s="344" t="str">
        <f>Translations!$B$615</f>
        <v>sust. SLCF:</v>
      </c>
      <c r="E214" s="441"/>
      <c r="F214" s="19" t="s">
        <v>158</v>
      </c>
      <c r="G214" s="1261"/>
      <c r="H214" s="1262"/>
      <c r="I214" s="442" t="str">
        <f t="shared" si="50"/>
        <v/>
      </c>
      <c r="J214" s="411"/>
      <c r="K214" s="443"/>
      <c r="L214" s="57"/>
      <c r="M214" s="347" t="str">
        <f>IF(AND(E201&lt;&gt;"",OR(F214="",COUNT(L214)=0),Y214&lt;&gt;EUconst_NA),EUconst_ERR_Incomplete,"")</f>
        <v/>
      </c>
      <c r="N214" s="76"/>
      <c r="O214" s="160"/>
      <c r="P214" s="348"/>
      <c r="Q214" s="413"/>
      <c r="R214" s="413"/>
      <c r="S214" s="314"/>
      <c r="T214" s="388" t="str">
        <f>EUconst_CNTR_RFNBOetcContent&amp;E201</f>
        <v>RNFBOC_</v>
      </c>
      <c r="U214" s="312"/>
      <c r="V214" s="312"/>
      <c r="W214" s="312"/>
      <c r="X214" s="312"/>
      <c r="Y214" s="447" t="str">
        <f>IF(E201="","",IF(OR(F214=EUconst_NA,W214=TRUE),EUconst_NA,INDEX(EUwideConstants!$P$164:$P$200,MATCH(T214,EUwideConstants!$S$164:$S$200,0))))</f>
        <v/>
      </c>
      <c r="Z214" s="314"/>
      <c r="AA214" s="314"/>
      <c r="AB214" s="314"/>
      <c r="AC214" s="397" t="b">
        <f>AND(AC210,Y214&lt;&gt;EUconst_NA)</f>
        <v>0</v>
      </c>
      <c r="AD214" s="314"/>
      <c r="AE214" s="415"/>
      <c r="AF214" s="416"/>
      <c r="AG214" s="417"/>
      <c r="AH214" s="418"/>
      <c r="AI214" s="418"/>
      <c r="AJ214" s="418"/>
      <c r="AK214" s="419"/>
      <c r="AL214" s="326"/>
      <c r="AM214" s="326"/>
      <c r="AN214" s="326"/>
      <c r="AO214" s="326"/>
      <c r="AP214" s="326"/>
      <c r="AQ214" s="444" t="s">
        <v>159</v>
      </c>
      <c r="AR214" s="415"/>
      <c r="AS214" s="445" t="str">
        <f t="shared" si="51"/>
        <v/>
      </c>
      <c r="AT214" s="446"/>
      <c r="AU214" s="447" t="str">
        <f t="shared" si="52"/>
        <v/>
      </c>
      <c r="AV214" s="397">
        <f t="shared" si="53"/>
        <v>0</v>
      </c>
      <c r="AW214" s="398" t="b">
        <f t="shared" si="45"/>
        <v>0</v>
      </c>
      <c r="AX214" s="448" t="b">
        <f t="shared" si="46"/>
        <v>0</v>
      </c>
      <c r="AY214" s="314"/>
      <c r="AZ214" s="449" t="b">
        <f t="shared" si="47"/>
        <v>0</v>
      </c>
      <c r="BA214" s="450" t="b">
        <f t="shared" si="48"/>
        <v>0</v>
      </c>
      <c r="BB214" s="314"/>
      <c r="BC214" s="398" t="b">
        <f t="shared" si="49"/>
        <v>0</v>
      </c>
      <c r="BD214" s="369" t="b">
        <f>OR(AV214&gt;100%,(AV214+AV215)&gt;100%)</f>
        <v>0</v>
      </c>
      <c r="BE214" s="314"/>
      <c r="BF214" s="451" t="s">
        <v>164</v>
      </c>
      <c r="BG214" s="452">
        <f>IF(AN206=EUconst_TJ,AV206*(1-AV210),IF(AN208=EUconst_GJ,AV206*AV208/1000,0))-SUM(BG215:BG221)</f>
        <v>0</v>
      </c>
      <c r="BH214" s="314"/>
      <c r="BI214" s="314"/>
      <c r="BJ214" s="314"/>
      <c r="BK214" s="314"/>
      <c r="BL214" s="314"/>
      <c r="BM214" s="314"/>
      <c r="BN214" s="314"/>
      <c r="BO214" s="314"/>
      <c r="BP214" s="314"/>
      <c r="BQ214" s="314"/>
      <c r="BR214" s="314"/>
      <c r="BS214" s="314"/>
      <c r="BT214" s="314"/>
      <c r="BU214" s="314"/>
      <c r="BV214" s="314"/>
      <c r="BW214" s="314"/>
      <c r="BX214" s="314"/>
      <c r="BY214" s="314"/>
      <c r="BZ214" s="314"/>
      <c r="CA214" s="314"/>
      <c r="CB214" s="314"/>
      <c r="CC214" s="314"/>
      <c r="CD214" s="314"/>
      <c r="CE214" s="314"/>
      <c r="CF214" s="314"/>
      <c r="CG214" s="314"/>
      <c r="CH214" s="314"/>
      <c r="CI214" s="314"/>
      <c r="CJ214" s="314"/>
      <c r="CK214" s="314"/>
      <c r="CL214" s="314"/>
      <c r="CM214" s="314"/>
      <c r="CN214" s="314"/>
      <c r="CO214" s="314"/>
      <c r="CP214" s="314"/>
      <c r="CQ214" s="407" t="b">
        <f>OR(CQ206,Y214=EUconst_NA)</f>
        <v>0</v>
      </c>
    </row>
    <row r="215" spans="1:95" ht="12.75" customHeight="1" thickBot="1" x14ac:dyDescent="0.3">
      <c r="A215" s="307"/>
      <c r="B215" s="68"/>
      <c r="C215" s="199" t="s">
        <v>165</v>
      </c>
      <c r="D215" s="344" t="str">
        <f>Translations!$B$618</f>
        <v>non-sust. SLCF:</v>
      </c>
      <c r="E215" s="441"/>
      <c r="F215" s="20" t="s">
        <v>158</v>
      </c>
      <c r="G215" s="1261"/>
      <c r="H215" s="1262"/>
      <c r="I215" s="422" t="str">
        <f t="shared" si="50"/>
        <v/>
      </c>
      <c r="J215" s="423"/>
      <c r="K215" s="443"/>
      <c r="L215" s="56"/>
      <c r="M215" s="347" t="str">
        <f>IF(AND(E201&lt;&gt;"",OR(F215="",COUNT(L215)=0),Y215&lt;&gt;EUconst_NA),EUconst_ERR_Incomplete,"")</f>
        <v/>
      </c>
      <c r="N215" s="76"/>
      <c r="O215" s="160"/>
      <c r="P215" s="348"/>
      <c r="Q215" s="413"/>
      <c r="R215" s="413"/>
      <c r="S215" s="314"/>
      <c r="T215" s="425" t="str">
        <f>EUconst_CNTR_RFNBOetcContent&amp;E201</f>
        <v>RNFBOC_</v>
      </c>
      <c r="U215" s="312"/>
      <c r="V215" s="312"/>
      <c r="W215" s="312"/>
      <c r="X215" s="312"/>
      <c r="Y215" s="438" t="str">
        <f>IF(E201="","",IF(OR(F215=EUconst_NA,W215=TRUE),EUconst_NA,INDEX(EUwideConstants!$P$164:$P$200,MATCH(T215,EUwideConstants!$S$164:$S$200,0))))</f>
        <v/>
      </c>
      <c r="Z215" s="314"/>
      <c r="AA215" s="314"/>
      <c r="AB215" s="314"/>
      <c r="AC215" s="429" t="b">
        <f>AND(AC210,Y215&lt;&gt;EUconst_NA)</f>
        <v>0</v>
      </c>
      <c r="AD215" s="314"/>
      <c r="AE215" s="430"/>
      <c r="AF215" s="431"/>
      <c r="AG215" s="432"/>
      <c r="AH215" s="433"/>
      <c r="AI215" s="433"/>
      <c r="AJ215" s="433"/>
      <c r="AK215" s="434"/>
      <c r="AL215" s="326"/>
      <c r="AM215" s="326"/>
      <c r="AN215" s="326"/>
      <c r="AO215" s="326"/>
      <c r="AP215" s="326"/>
      <c r="AQ215" s="435" t="s">
        <v>159</v>
      </c>
      <c r="AR215" s="430"/>
      <c r="AS215" s="436" t="str">
        <f t="shared" si="51"/>
        <v/>
      </c>
      <c r="AT215" s="437"/>
      <c r="AU215" s="438" t="str">
        <f t="shared" si="52"/>
        <v/>
      </c>
      <c r="AV215" s="429">
        <f t="shared" si="53"/>
        <v>0</v>
      </c>
      <c r="AW215" s="407" t="b">
        <f t="shared" si="45"/>
        <v>0</v>
      </c>
      <c r="AX215" s="439" t="b">
        <f t="shared" si="46"/>
        <v>0</v>
      </c>
      <c r="AY215" s="314"/>
      <c r="AZ215" s="408" t="b">
        <f t="shared" si="47"/>
        <v>0</v>
      </c>
      <c r="BA215" s="440" t="b">
        <f t="shared" si="48"/>
        <v>0</v>
      </c>
      <c r="BB215" s="314"/>
      <c r="BC215" s="407" t="b">
        <f t="shared" si="49"/>
        <v>0</v>
      </c>
      <c r="BD215" s="407" t="b">
        <f>OR(AV214&gt;100%,(AV214+AV215)&gt;100%)</f>
        <v>0</v>
      </c>
      <c r="BE215" s="314"/>
      <c r="BF215" s="408" t="s">
        <v>166</v>
      </c>
      <c r="BG215" s="409" t="str">
        <f>IF(AN206=EUconst_TJ,AV206*AV210,IF(AN208=EUconst_GJ,AV206*AV208/1000*AV210,""))</f>
        <v/>
      </c>
      <c r="BH215" s="314"/>
      <c r="BI215" s="314"/>
      <c r="BJ215" s="314"/>
      <c r="BK215" s="314"/>
      <c r="BL215" s="314"/>
      <c r="BM215" s="314"/>
      <c r="BN215" s="314"/>
      <c r="BO215" s="314"/>
      <c r="BP215" s="314"/>
      <c r="BQ215" s="314"/>
      <c r="BR215" s="314"/>
      <c r="BS215" s="314"/>
      <c r="BT215" s="314"/>
      <c r="BU215" s="314"/>
      <c r="BV215" s="314"/>
      <c r="BW215" s="314"/>
      <c r="BX215" s="314"/>
      <c r="BY215" s="314"/>
      <c r="BZ215" s="314"/>
      <c r="CA215" s="314"/>
      <c r="CB215" s="314"/>
      <c r="CC215" s="314"/>
      <c r="CD215" s="314"/>
      <c r="CE215" s="314"/>
      <c r="CF215" s="314"/>
      <c r="CG215" s="314"/>
      <c r="CH215" s="314"/>
      <c r="CI215" s="314"/>
      <c r="CJ215" s="314"/>
      <c r="CK215" s="314"/>
      <c r="CL215" s="314"/>
      <c r="CM215" s="314"/>
      <c r="CN215" s="314"/>
      <c r="CO215" s="314"/>
      <c r="CP215" s="314"/>
      <c r="CQ215" s="407" t="b">
        <f>OR(CQ206,Y215=EUconst_NA)</f>
        <v>0</v>
      </c>
    </row>
    <row r="216" spans="1:95" ht="5.15" customHeight="1" thickBot="1" x14ac:dyDescent="0.3">
      <c r="A216" s="307"/>
      <c r="B216" s="68"/>
      <c r="C216" s="68"/>
      <c r="D216" s="205"/>
      <c r="E216" s="76"/>
      <c r="F216" s="76"/>
      <c r="G216" s="76"/>
      <c r="H216" s="76"/>
      <c r="I216" s="76"/>
      <c r="J216" s="76"/>
      <c r="K216" s="76"/>
      <c r="L216" s="76"/>
      <c r="M216" s="453"/>
      <c r="N216" s="76"/>
      <c r="O216" s="160"/>
      <c r="P216" s="109"/>
      <c r="Q216" s="312"/>
      <c r="R216" s="312"/>
      <c r="S216" s="314"/>
      <c r="T216" s="314"/>
      <c r="U216" s="314"/>
      <c r="V216" s="314"/>
      <c r="W216" s="314"/>
      <c r="X216" s="314"/>
      <c r="Y216" s="314"/>
      <c r="Z216" s="314"/>
      <c r="AA216" s="314"/>
      <c r="AB216" s="314"/>
      <c r="AC216" s="314"/>
      <c r="AD216" s="314"/>
      <c r="AE216" s="314"/>
      <c r="AF216" s="314"/>
      <c r="AG216" s="314"/>
      <c r="AH216" s="314"/>
      <c r="AI216" s="314"/>
      <c r="AJ216" s="314"/>
      <c r="AK216" s="314"/>
      <c r="AL216" s="314"/>
      <c r="AM216" s="314"/>
      <c r="AN216" s="314"/>
      <c r="AO216" s="314"/>
      <c r="AP216" s="314"/>
      <c r="AQ216" s="314"/>
      <c r="AR216" s="314"/>
      <c r="AS216" s="314"/>
      <c r="AT216" s="314"/>
      <c r="AU216" s="314"/>
      <c r="AV216" s="314"/>
      <c r="AW216" s="314"/>
      <c r="AX216" s="314"/>
      <c r="AY216" s="314"/>
      <c r="AZ216" s="314"/>
      <c r="BA216" s="314"/>
      <c r="BB216" s="314"/>
      <c r="BC216" s="314"/>
      <c r="BD216" s="314"/>
      <c r="BE216" s="314"/>
      <c r="BF216" s="314"/>
      <c r="BG216" s="364"/>
      <c r="BH216" s="314"/>
      <c r="BI216" s="314"/>
      <c r="BJ216" s="314"/>
      <c r="BK216" s="314"/>
      <c r="BL216" s="314"/>
      <c r="BM216" s="314"/>
      <c r="BN216" s="314"/>
      <c r="BO216" s="314"/>
      <c r="BP216" s="314"/>
      <c r="BQ216" s="314"/>
      <c r="BR216" s="314"/>
      <c r="BS216" s="314"/>
      <c r="BT216" s="314"/>
      <c r="BU216" s="314"/>
      <c r="BV216" s="314"/>
      <c r="BW216" s="314"/>
      <c r="BX216" s="314"/>
      <c r="BY216" s="314"/>
      <c r="BZ216" s="314"/>
      <c r="CA216" s="314"/>
      <c r="CB216" s="314"/>
      <c r="CC216" s="314"/>
      <c r="CD216" s="314"/>
      <c r="CE216" s="314"/>
      <c r="CF216" s="314"/>
      <c r="CG216" s="314"/>
      <c r="CH216" s="314"/>
      <c r="CI216" s="314"/>
      <c r="CJ216" s="314"/>
      <c r="CK216" s="314"/>
      <c r="CL216" s="314"/>
      <c r="CM216" s="314"/>
      <c r="CN216" s="314"/>
      <c r="CO216" s="314"/>
      <c r="CP216" s="314"/>
      <c r="CQ216" s="314"/>
    </row>
    <row r="217" spans="1:95" ht="12.75" customHeight="1" thickBot="1" x14ac:dyDescent="0.3">
      <c r="A217" s="307"/>
      <c r="B217" s="68"/>
      <c r="C217" s="199" t="s">
        <v>167</v>
      </c>
      <c r="D217" s="344" t="str">
        <f>Translations!$B$398</f>
        <v>Scope factor:</v>
      </c>
      <c r="E217" s="454"/>
      <c r="F217" s="992"/>
      <c r="G217" s="1263"/>
      <c r="H217" s="1264"/>
      <c r="I217" s="455" t="s">
        <v>46</v>
      </c>
      <c r="J217" s="456"/>
      <c r="K217" s="457" t="str">
        <f>IF(L217="",AU217,"")</f>
        <v/>
      </c>
      <c r="L217" s="16"/>
      <c r="M217" s="458" t="str">
        <f>IF(AND(E201&lt;&gt;"",OR(F217="",G217="",COUNT(K217:L217)=0)),EUconst_ERR_Incomplete,IF(COUNTIF(BB217:BD217,TRUE)&gt;0,EUconst_ERR_Inconsistent,""))</f>
        <v/>
      </c>
      <c r="N217" s="76"/>
      <c r="O217" s="160"/>
      <c r="P217" s="109"/>
      <c r="Q217" s="312"/>
      <c r="R217" s="314"/>
      <c r="S217" s="297"/>
      <c r="T217" s="459" t="str">
        <f>EUconst_CNTR_ScopeFactor&amp;E201</f>
        <v>ScopeFactor_</v>
      </c>
      <c r="U217" s="231" t="str">
        <f>IF(F217="","",INDEX(ScopeAddress,MATCH(F217,ScopeTiers,0)))</f>
        <v/>
      </c>
      <c r="V217" s="360" t="str">
        <f>V206</f>
        <v/>
      </c>
      <c r="W217" s="314"/>
      <c r="X217" s="314"/>
      <c r="Y217" s="460" t="str">
        <f>IF(E201="","",IF(F217=EUconst_NA,EUconst_NA,INDEX(EUwideConstants!$P$164:$P$200,MATCH(T217,EUwideConstants!$S$164:$S$200,0))))</f>
        <v/>
      </c>
      <c r="Z217" s="461" t="str">
        <f>IF(ISBLANK(F217),"",IF(F217=EUconst_NA,"",INDEX(EUwideConstants!$H:$O,MATCH(T217,EUwideConstants!$S:$S,0),MATCH(F217,CNTR_TierList,0))))</f>
        <v/>
      </c>
      <c r="AA217" s="331" t="str">
        <f>IF(G217=EUwideConstants!$A$89,1,"")</f>
        <v/>
      </c>
      <c r="AB217" s="314"/>
      <c r="AC217" s="331" t="b">
        <f>AND(AC206,Y217&lt;&gt;EUconst_NA)</f>
        <v>0</v>
      </c>
      <c r="AD217" s="314"/>
      <c r="AE217" s="314"/>
      <c r="AF217" s="314"/>
      <c r="AG217" s="319"/>
      <c r="AH217" s="314"/>
      <c r="AI217" s="314"/>
      <c r="AJ217" s="314"/>
      <c r="AK217" s="314"/>
      <c r="AL217" s="314"/>
      <c r="AM217" s="314"/>
      <c r="AN217" s="314"/>
      <c r="AO217" s="314"/>
      <c r="AP217" s="314"/>
      <c r="AQ217" s="314"/>
      <c r="AR217" s="314"/>
      <c r="AS217" s="328">
        <v>1</v>
      </c>
      <c r="AT217" s="314"/>
      <c r="AU217" s="319" t="str">
        <f>IF(G217=EUwideConstants!$A$89,AS217,"")</f>
        <v/>
      </c>
      <c r="AV217" s="331">
        <f>IF(AC217=TRUE,IF(COUNT(K217:L217)=0,0,IF(L217="",K217,L217)),0)</f>
        <v>0</v>
      </c>
      <c r="AW217" s="360" t="b">
        <f>AND(AC217=TRUE,OR(AND(F217&lt;&gt;"",NOT(ISNUMBER(AA217))),L217&lt;&gt;"",F217="",AU217=""))</f>
        <v>0</v>
      </c>
      <c r="AX217" s="357" t="b">
        <f>AND(AC217=TRUE,NOT(AW217))</f>
        <v>0</v>
      </c>
      <c r="AY217" s="314"/>
      <c r="AZ217" s="361" t="b">
        <f>AND(ISNUMBER(AA217),AU217="")</f>
        <v>0</v>
      </c>
      <c r="BA217" s="351" t="b">
        <f>AND(ISNUMBER(AA217),AU217&lt;&gt;AV217)</f>
        <v>0</v>
      </c>
      <c r="BB217" s="314"/>
      <c r="BC217" s="360" t="b">
        <f>AND(F217&lt;&gt;"",OR(COUNTIF(INDEX(ScopeMethods,F217,),G217)=0,AND(AA217&lt;&gt;"",AU217&lt;&gt;AV217)))</f>
        <v>0</v>
      </c>
      <c r="BD217" s="314"/>
      <c r="BE217" s="314"/>
      <c r="BF217" s="361" t="s">
        <v>168</v>
      </c>
      <c r="BG217" s="362" t="str">
        <f>IF(AN206=EUconst_TJ,AV206*AV212,IF(AN208=EUconst_GJ,AV206*AV208/1000*AV212,""))</f>
        <v/>
      </c>
      <c r="BH217" s="314"/>
      <c r="BI217" s="314"/>
      <c r="BJ217" s="314"/>
      <c r="BK217" s="314"/>
      <c r="BL217" s="314"/>
      <c r="BM217" s="314"/>
      <c r="BN217" s="314"/>
      <c r="BO217" s="314"/>
      <c r="BP217" s="314"/>
      <c r="BQ217" s="314"/>
      <c r="BR217" s="314"/>
      <c r="BS217" s="314"/>
      <c r="BT217" s="314"/>
      <c r="BU217" s="314"/>
      <c r="BV217" s="314"/>
      <c r="BW217" s="314"/>
      <c r="BX217" s="314"/>
      <c r="BY217" s="314"/>
      <c r="BZ217" s="314"/>
      <c r="CA217" s="314"/>
      <c r="CB217" s="314"/>
      <c r="CC217" s="314"/>
      <c r="CD217" s="314"/>
      <c r="CE217" s="314"/>
      <c r="CF217" s="314"/>
      <c r="CG217" s="314"/>
      <c r="CH217" s="314"/>
      <c r="CI217" s="314"/>
      <c r="CJ217" s="314"/>
      <c r="CK217" s="314"/>
      <c r="CL217" s="314"/>
      <c r="CM217" s="314"/>
      <c r="CN217" s="314"/>
      <c r="CO217" s="314"/>
      <c r="CP217" s="314"/>
      <c r="CQ217" s="314"/>
    </row>
    <row r="218" spans="1:95" ht="12.75" customHeight="1" x14ac:dyDescent="0.25">
      <c r="A218" s="307"/>
      <c r="B218" s="68"/>
      <c r="C218" s="68"/>
      <c r="D218" s="68"/>
      <c r="E218" s="68"/>
      <c r="F218" s="68"/>
      <c r="G218" s="1265" t="str">
        <f>IF(G217="","",INDEX(ScopeMethodsDetails,MATCH(G217,INDEX(ScopeMethodsDetails,,1),0),2))</f>
        <v/>
      </c>
      <c r="H218" s="1266"/>
      <c r="I218" s="1266"/>
      <c r="J218" s="1266"/>
      <c r="K218" s="1266"/>
      <c r="L218" s="1266"/>
      <c r="M218" s="1267"/>
      <c r="N218" s="76"/>
      <c r="O218" s="160"/>
      <c r="P218" s="109"/>
      <c r="Q218" s="312"/>
      <c r="R218" s="312"/>
      <c r="S218" s="314"/>
      <c r="T218" s="314"/>
      <c r="U218" s="314"/>
      <c r="V218" s="314"/>
      <c r="W218" s="314"/>
      <c r="X218" s="314"/>
      <c r="Y218" s="314"/>
      <c r="Z218" s="314"/>
      <c r="AA218" s="314"/>
      <c r="AB218" s="314"/>
      <c r="AC218" s="314"/>
      <c r="AD218" s="314"/>
      <c r="AE218" s="314"/>
      <c r="AF218" s="314"/>
      <c r="AG218" s="314"/>
      <c r="AH218" s="314"/>
      <c r="AI218" s="314"/>
      <c r="AJ218" s="314"/>
      <c r="AK218" s="314"/>
      <c r="AL218" s="314"/>
      <c r="AM218" s="314"/>
      <c r="AN218" s="314"/>
      <c r="AO218" s="314"/>
      <c r="AP218" s="314"/>
      <c r="AQ218" s="314"/>
      <c r="AR218" s="314"/>
      <c r="AS218" s="314"/>
      <c r="AT218" s="314"/>
      <c r="AU218" s="314"/>
      <c r="AV218" s="314"/>
      <c r="AW218" s="314"/>
      <c r="AX218" s="314"/>
      <c r="AY218" s="314"/>
      <c r="AZ218" s="314"/>
      <c r="BA218" s="314"/>
      <c r="BB218" s="314"/>
      <c r="BC218" s="314"/>
      <c r="BD218" s="314"/>
      <c r="BE218" s="314"/>
      <c r="BG218" s="364"/>
      <c r="BH218" s="314"/>
      <c r="BI218" s="314"/>
      <c r="BJ218" s="314"/>
      <c r="BK218" s="314"/>
      <c r="BL218" s="314"/>
      <c r="BM218" s="314"/>
      <c r="BN218" s="314"/>
      <c r="BO218" s="314"/>
      <c r="BP218" s="314"/>
      <c r="BQ218" s="314"/>
      <c r="BR218" s="314"/>
      <c r="BS218" s="314"/>
      <c r="BT218" s="314"/>
      <c r="BU218" s="314"/>
      <c r="BV218" s="314"/>
      <c r="BW218" s="314"/>
      <c r="BX218" s="314"/>
      <c r="BY218" s="314"/>
      <c r="BZ218" s="314"/>
      <c r="CA218" s="314"/>
      <c r="CB218" s="314"/>
      <c r="CC218" s="314"/>
      <c r="CD218" s="314"/>
      <c r="CE218" s="314"/>
      <c r="CF218" s="314"/>
      <c r="CG218" s="314"/>
      <c r="CH218" s="314"/>
      <c r="CI218" s="314"/>
      <c r="CJ218" s="314"/>
      <c r="CK218" s="314"/>
      <c r="CL218" s="314"/>
      <c r="CM218" s="314"/>
      <c r="CN218" s="314"/>
      <c r="CO218" s="314"/>
      <c r="CP218" s="314"/>
      <c r="CQ218" s="314"/>
    </row>
    <row r="219" spans="1:95" ht="5.15" customHeight="1" x14ac:dyDescent="0.25">
      <c r="A219" s="307"/>
      <c r="C219" s="76"/>
      <c r="D219" s="76"/>
      <c r="E219" s="76"/>
      <c r="F219" s="76"/>
      <c r="G219" s="76"/>
      <c r="H219" s="76"/>
      <c r="I219" s="76"/>
      <c r="J219" s="76"/>
      <c r="K219" s="76"/>
      <c r="L219" s="76"/>
      <c r="O219" s="160"/>
      <c r="P219" s="109"/>
      <c r="Q219" s="312"/>
      <c r="R219" s="312"/>
      <c r="S219" s="314"/>
      <c r="T219" s="314"/>
      <c r="U219" s="314"/>
      <c r="V219" s="314"/>
      <c r="W219" s="314"/>
      <c r="X219" s="314"/>
      <c r="Y219" s="314"/>
      <c r="Z219" s="314"/>
      <c r="AA219" s="314"/>
      <c r="AB219" s="314"/>
      <c r="AC219" s="314"/>
      <c r="AD219" s="314"/>
      <c r="AE219" s="314"/>
      <c r="AF219" s="314"/>
      <c r="AG219" s="314"/>
      <c r="AH219" s="314"/>
      <c r="AI219" s="314"/>
      <c r="AJ219" s="314"/>
      <c r="AK219" s="314"/>
      <c r="AL219" s="314"/>
      <c r="AM219" s="314"/>
      <c r="AN219" s="314"/>
      <c r="AO219" s="314"/>
      <c r="AP219" s="314"/>
      <c r="AQ219" s="314"/>
      <c r="AR219" s="314"/>
      <c r="AS219" s="314"/>
      <c r="AT219" s="314"/>
      <c r="AU219" s="314"/>
      <c r="AV219" s="314"/>
      <c r="AW219" s="314"/>
      <c r="AX219" s="314"/>
      <c r="AY219" s="314"/>
      <c r="AZ219" s="314"/>
      <c r="BA219" s="314"/>
      <c r="BB219" s="314"/>
      <c r="BC219" s="314"/>
      <c r="BD219" s="314"/>
      <c r="BE219" s="314"/>
      <c r="BG219" s="364"/>
      <c r="BH219" s="314"/>
      <c r="BI219" s="314"/>
      <c r="BJ219" s="314"/>
      <c r="BK219" s="314"/>
      <c r="BL219" s="314"/>
      <c r="BM219" s="314"/>
      <c r="BN219" s="314"/>
      <c r="BO219" s="314"/>
      <c r="BP219" s="314"/>
      <c r="BQ219" s="314"/>
      <c r="BR219" s="314"/>
      <c r="BS219" s="314"/>
      <c r="BT219" s="314"/>
      <c r="BU219" s="314"/>
      <c r="BV219" s="314"/>
      <c r="BW219" s="314"/>
      <c r="BX219" s="314"/>
      <c r="BY219" s="314"/>
      <c r="BZ219" s="314"/>
      <c r="CA219" s="314"/>
      <c r="CB219" s="314"/>
      <c r="CC219" s="314"/>
      <c r="CD219" s="314"/>
      <c r="CE219" s="314"/>
      <c r="CF219" s="314"/>
      <c r="CG219" s="314"/>
      <c r="CH219" s="314"/>
      <c r="CI219" s="314"/>
      <c r="CJ219" s="314"/>
      <c r="CK219" s="314"/>
      <c r="CL219" s="314"/>
      <c r="CM219" s="314"/>
      <c r="CN219" s="314"/>
      <c r="CO219" s="314"/>
      <c r="CP219" s="314"/>
      <c r="CQ219" s="314"/>
    </row>
    <row r="220" spans="1:95" ht="12.75" customHeight="1" thickBot="1" x14ac:dyDescent="0.3">
      <c r="A220" s="307"/>
      <c r="C220" s="76"/>
      <c r="D220" s="76"/>
      <c r="E220" s="76"/>
      <c r="F220" s="76"/>
      <c r="G220" s="1268">
        <v>1</v>
      </c>
      <c r="H220" s="1268"/>
      <c r="I220" s="1268">
        <v>2</v>
      </c>
      <c r="J220" s="1268"/>
      <c r="K220" s="1268">
        <v>3</v>
      </c>
      <c r="L220" s="1268"/>
      <c r="O220" s="160"/>
      <c r="P220" s="109"/>
      <c r="Q220" s="312"/>
      <c r="R220" s="312"/>
      <c r="S220" s="314"/>
      <c r="T220" s="314"/>
      <c r="U220" s="314"/>
      <c r="V220" s="314"/>
      <c r="W220" s="314"/>
      <c r="X220" s="314"/>
      <c r="Y220" s="314"/>
      <c r="Z220" s="314"/>
      <c r="AA220" s="314"/>
      <c r="AB220" s="314"/>
      <c r="AC220" s="314"/>
      <c r="AD220" s="314"/>
      <c r="AE220" s="314"/>
      <c r="AF220" s="314"/>
      <c r="AG220" s="314"/>
      <c r="AH220" s="314"/>
      <c r="AI220" s="314"/>
      <c r="AJ220" s="314"/>
      <c r="AK220" s="314"/>
      <c r="AL220" s="314"/>
      <c r="AM220" s="314"/>
      <c r="AN220" s="314"/>
      <c r="AO220" s="314"/>
      <c r="AP220" s="314"/>
      <c r="AQ220" s="314"/>
      <c r="AR220" s="314"/>
      <c r="AS220" s="314"/>
      <c r="AT220" s="314"/>
      <c r="AU220" s="314"/>
      <c r="AV220" s="314"/>
      <c r="AW220" s="314"/>
      <c r="AX220" s="314"/>
      <c r="AY220" s="314"/>
      <c r="AZ220" s="314"/>
      <c r="BA220" s="314"/>
      <c r="BB220" s="314"/>
      <c r="BC220" s="314"/>
      <c r="BD220" s="314"/>
      <c r="BE220" s="314"/>
      <c r="BF220" s="314"/>
      <c r="BG220" s="364"/>
      <c r="BH220" s="314"/>
      <c r="BI220" s="314"/>
      <c r="BJ220" s="314"/>
      <c r="BK220" s="314"/>
      <c r="BL220" s="314"/>
      <c r="BM220" s="314"/>
      <c r="BN220" s="314"/>
      <c r="BO220" s="314"/>
      <c r="BP220" s="314"/>
      <c r="BQ220" s="314"/>
      <c r="BR220" s="314"/>
      <c r="BS220" s="314"/>
      <c r="BT220" s="314"/>
      <c r="BU220" s="314"/>
      <c r="BV220" s="314"/>
      <c r="BW220" s="314"/>
      <c r="BX220" s="314"/>
      <c r="BY220" s="314"/>
      <c r="BZ220" s="314"/>
      <c r="CA220" s="314"/>
      <c r="CB220" s="314"/>
      <c r="CC220" s="314"/>
      <c r="CD220" s="314"/>
      <c r="CE220" s="314"/>
      <c r="CF220" s="314"/>
      <c r="CG220" s="314"/>
      <c r="CH220" s="314"/>
      <c r="CI220" s="314"/>
      <c r="CJ220" s="314"/>
      <c r="CK220" s="314"/>
      <c r="CL220" s="314"/>
      <c r="CM220" s="314"/>
      <c r="CN220" s="314"/>
      <c r="CO220" s="314"/>
      <c r="CP220" s="314"/>
      <c r="CQ220" s="314"/>
    </row>
    <row r="221" spans="1:95" ht="12.75" customHeight="1" thickBot="1" x14ac:dyDescent="0.3">
      <c r="A221" s="462"/>
      <c r="B221" s="76"/>
      <c r="C221" s="76"/>
      <c r="D221" s="1246" t="str">
        <f>Translations!$B$372</f>
        <v>Consumers' CRF category:</v>
      </c>
      <c r="E221" s="1246"/>
      <c r="F221" s="1247"/>
      <c r="G221" s="1248"/>
      <c r="H221" s="1249"/>
      <c r="I221" s="1248"/>
      <c r="J221" s="1249"/>
      <c r="K221" s="1248"/>
      <c r="L221" s="1249"/>
      <c r="M221" s="463" t="str">
        <f>IF(AND(E200&lt;&gt;"",COUNTA(G221:L221)=0,AX221=FALSE),EUconst_ERR_Incomplete,"")</f>
        <v/>
      </c>
      <c r="N221" s="76"/>
      <c r="O221" s="160"/>
      <c r="P221" s="109"/>
      <c r="Q221" s="312"/>
      <c r="R221" s="312"/>
      <c r="S221" s="314"/>
      <c r="T221" s="314"/>
      <c r="U221" s="314"/>
      <c r="V221" s="314"/>
      <c r="W221" s="314"/>
      <c r="X221" s="314"/>
      <c r="Y221" s="314"/>
      <c r="Z221" s="314"/>
      <c r="AA221" s="314"/>
      <c r="AB221" s="314"/>
      <c r="AC221" s="314"/>
      <c r="AD221" s="314"/>
      <c r="AE221" s="314"/>
      <c r="AF221" s="314"/>
      <c r="AG221" s="314"/>
      <c r="AH221" s="314"/>
      <c r="AI221" s="314"/>
      <c r="AJ221" s="314"/>
      <c r="AK221" s="314"/>
      <c r="AL221" s="314"/>
      <c r="AM221" s="314"/>
      <c r="AN221" s="314"/>
      <c r="AO221" s="314"/>
      <c r="AP221" s="314"/>
      <c r="AQ221" s="314"/>
      <c r="AR221" s="314"/>
      <c r="AS221" s="314"/>
      <c r="AT221" s="314"/>
      <c r="AU221" s="314"/>
      <c r="AV221" s="314"/>
      <c r="AW221" s="314"/>
      <c r="AX221" s="464" t="b">
        <f>AND(AV217&lt;&gt;"",SUM(AV217=1))</f>
        <v>0</v>
      </c>
      <c r="AY221" s="314"/>
      <c r="AZ221" s="314"/>
      <c r="BA221" s="314"/>
      <c r="BB221" s="314"/>
      <c r="BC221" s="314"/>
      <c r="BD221" s="314"/>
      <c r="BE221" s="314"/>
      <c r="BF221" s="361" t="s">
        <v>169</v>
      </c>
      <c r="BG221" s="362" t="str">
        <f>IF(AN206=EUconst_TJ,AV206*AV214,IF(AN208=EUconst_GJ,AV206*AV208/1000*AV214,""))</f>
        <v/>
      </c>
      <c r="BH221" s="314"/>
      <c r="BI221" s="314"/>
      <c r="BJ221" s="314"/>
      <c r="BK221" s="314"/>
      <c r="BL221" s="314"/>
      <c r="BM221" s="314"/>
      <c r="BN221" s="314"/>
      <c r="BO221" s="314"/>
      <c r="BP221" s="314"/>
      <c r="BQ221" s="314"/>
      <c r="BR221" s="314"/>
      <c r="BS221" s="314"/>
      <c r="BT221" s="314"/>
      <c r="BU221" s="314"/>
      <c r="BV221" s="314"/>
      <c r="BW221" s="314"/>
      <c r="BX221" s="314"/>
      <c r="BY221" s="314"/>
      <c r="BZ221" s="314"/>
      <c r="CA221" s="314"/>
      <c r="CB221" s="314"/>
      <c r="CC221" s="314"/>
      <c r="CD221" s="314"/>
      <c r="CE221" s="314"/>
      <c r="CF221" s="314"/>
      <c r="CG221" s="314"/>
      <c r="CH221" s="314"/>
      <c r="CI221" s="314"/>
      <c r="CJ221" s="314"/>
      <c r="CK221" s="314"/>
      <c r="CL221" s="314"/>
      <c r="CM221" s="314"/>
      <c r="CN221" s="314"/>
      <c r="CO221" s="314"/>
      <c r="CP221" s="314"/>
      <c r="CQ221" s="314"/>
    </row>
    <row r="222" spans="1:95" ht="5.15" customHeight="1" x14ac:dyDescent="0.25">
      <c r="A222" s="307"/>
      <c r="B222" s="68"/>
      <c r="C222" s="68"/>
      <c r="D222" s="68"/>
      <c r="E222" s="68"/>
      <c r="F222" s="68"/>
      <c r="G222" s="76"/>
      <c r="H222" s="76"/>
      <c r="I222" s="76"/>
      <c r="J222" s="76"/>
      <c r="K222" s="76"/>
      <c r="L222" s="76"/>
      <c r="M222" s="76"/>
      <c r="N222" s="76"/>
      <c r="O222" s="160"/>
      <c r="P222" s="109"/>
      <c r="Q222" s="312"/>
      <c r="R222" s="312"/>
      <c r="S222" s="314"/>
      <c r="T222" s="314"/>
      <c r="U222" s="314"/>
      <c r="V222" s="314"/>
      <c r="W222" s="314"/>
      <c r="X222" s="314"/>
      <c r="Y222" s="314"/>
      <c r="Z222" s="314"/>
      <c r="AA222" s="314"/>
      <c r="AB222" s="314"/>
      <c r="AC222" s="314"/>
      <c r="AD222" s="314"/>
      <c r="AE222" s="314"/>
      <c r="AF222" s="314"/>
      <c r="AG222" s="314"/>
      <c r="AH222" s="314"/>
      <c r="AI222" s="314"/>
      <c r="AJ222" s="314"/>
      <c r="AK222" s="314"/>
      <c r="AL222" s="314"/>
      <c r="AM222" s="314"/>
      <c r="AN222" s="314"/>
      <c r="AO222" s="314"/>
      <c r="AP222" s="314"/>
      <c r="AQ222" s="314"/>
      <c r="AR222" s="314"/>
      <c r="AS222" s="314"/>
      <c r="AT222" s="314"/>
      <c r="AU222" s="314"/>
      <c r="AV222" s="314"/>
      <c r="AW222" s="314"/>
      <c r="AX222" s="314"/>
      <c r="AY222" s="314"/>
      <c r="AZ222" s="314"/>
      <c r="BA222" s="314"/>
      <c r="BB222" s="314"/>
      <c r="BC222" s="314"/>
      <c r="BD222" s="314"/>
      <c r="BE222" s="314"/>
      <c r="BF222" s="314"/>
      <c r="BG222" s="314"/>
      <c r="BH222" s="314"/>
      <c r="BI222" s="314"/>
      <c r="BJ222" s="314"/>
      <c r="BK222" s="314"/>
      <c r="BL222" s="314"/>
      <c r="BM222" s="314"/>
      <c r="BN222" s="314"/>
      <c r="BO222" s="314"/>
      <c r="BP222" s="314"/>
      <c r="BQ222" s="314"/>
      <c r="BR222" s="314"/>
      <c r="BS222" s="314"/>
      <c r="BT222" s="314"/>
      <c r="BU222" s="314"/>
      <c r="BV222" s="314"/>
      <c r="BW222" s="314"/>
      <c r="BX222" s="314"/>
      <c r="BY222" s="314"/>
      <c r="BZ222" s="314"/>
      <c r="CA222" s="314"/>
      <c r="CB222" s="314"/>
      <c r="CC222" s="314"/>
      <c r="CD222" s="314"/>
      <c r="CE222" s="314"/>
      <c r="CF222" s="314"/>
      <c r="CG222" s="314"/>
      <c r="CH222" s="314"/>
      <c r="CI222" s="314"/>
      <c r="CJ222" s="314"/>
      <c r="CK222" s="314"/>
      <c r="CL222" s="314"/>
      <c r="CM222" s="314"/>
      <c r="CN222" s="314"/>
      <c r="CO222" s="314"/>
      <c r="CP222" s="314"/>
      <c r="CQ222" s="314"/>
    </row>
    <row r="223" spans="1:95" ht="12.75" customHeight="1" x14ac:dyDescent="0.25">
      <c r="A223" s="307"/>
      <c r="B223" s="68"/>
      <c r="C223" s="68"/>
      <c r="D223" s="1246" t="str">
        <f>Translations!$B$399</f>
        <v>Tiers valid from:</v>
      </c>
      <c r="E223" s="1246"/>
      <c r="F223" s="1247"/>
      <c r="G223" s="8"/>
      <c r="H223" s="199" t="str">
        <f>Translations!$B$400</f>
        <v>until:</v>
      </c>
      <c r="I223" s="8"/>
      <c r="J223" s="76"/>
      <c r="K223" s="76"/>
      <c r="L223" s="76"/>
      <c r="M223" s="199" t="str">
        <f>Translations!$B$401</f>
        <v>ID used in the monitoring plan for this fuel stream:</v>
      </c>
      <c r="N223" s="9"/>
      <c r="O223" s="160"/>
      <c r="P223" s="109"/>
      <c r="Q223" s="312"/>
      <c r="R223" s="312"/>
      <c r="S223" s="465"/>
      <c r="T223" s="314"/>
      <c r="U223" s="314"/>
      <c r="V223" s="314"/>
      <c r="W223" s="314"/>
      <c r="X223" s="314"/>
      <c r="Y223" s="314"/>
      <c r="Z223" s="314"/>
      <c r="AA223" s="314"/>
      <c r="AB223" s="314"/>
      <c r="AC223" s="314"/>
      <c r="AD223" s="314"/>
      <c r="AE223" s="314"/>
      <c r="AF223" s="314"/>
      <c r="AG223" s="314"/>
      <c r="AH223" s="314"/>
      <c r="AI223" s="314"/>
      <c r="AJ223" s="314"/>
      <c r="AK223" s="314"/>
      <c r="AL223" s="314"/>
      <c r="AM223" s="314"/>
      <c r="AN223" s="314"/>
      <c r="AO223" s="314"/>
      <c r="AP223" s="314"/>
      <c r="AQ223" s="314"/>
      <c r="AR223" s="314"/>
      <c r="AS223" s="314"/>
      <c r="AT223" s="314"/>
      <c r="AU223" s="314"/>
      <c r="AV223" s="314"/>
      <c r="AW223" s="314"/>
      <c r="AX223" s="314"/>
      <c r="AY223" s="314"/>
      <c r="AZ223" s="314"/>
      <c r="BA223" s="314"/>
      <c r="BB223" s="314"/>
      <c r="BC223" s="314"/>
      <c r="BD223" s="314"/>
      <c r="BE223" s="314"/>
      <c r="BF223" s="314"/>
      <c r="BG223" s="314"/>
      <c r="BH223" s="314"/>
      <c r="BI223" s="314"/>
      <c r="BJ223" s="314"/>
      <c r="BK223" s="314"/>
      <c r="BL223" s="314"/>
      <c r="BM223" s="314"/>
      <c r="BN223" s="314"/>
      <c r="BO223" s="314"/>
      <c r="BP223" s="314"/>
      <c r="BQ223" s="314"/>
      <c r="BR223" s="314"/>
      <c r="BS223" s="314"/>
      <c r="BT223" s="314"/>
      <c r="BU223" s="314"/>
      <c r="BV223" s="314"/>
      <c r="BW223" s="314"/>
      <c r="BX223" s="314"/>
      <c r="BY223" s="314"/>
      <c r="BZ223" s="314"/>
      <c r="CA223" s="314"/>
      <c r="CB223" s="314"/>
      <c r="CC223" s="314"/>
      <c r="CD223" s="314"/>
      <c r="CE223" s="314"/>
      <c r="CF223" s="314"/>
      <c r="CG223" s="314"/>
      <c r="CH223" s="314"/>
      <c r="CI223" s="314"/>
      <c r="CJ223" s="314"/>
      <c r="CK223" s="314"/>
      <c r="CL223" s="314"/>
      <c r="CM223" s="314"/>
      <c r="CN223" s="314"/>
      <c r="CO223" s="314"/>
      <c r="CP223" s="314"/>
      <c r="CQ223" s="464" t="b">
        <f>CQ206</f>
        <v>0</v>
      </c>
    </row>
    <row r="224" spans="1:95" ht="5.15" customHeight="1" x14ac:dyDescent="0.25">
      <c r="A224" s="462"/>
      <c r="B224" s="76"/>
      <c r="C224" s="76"/>
      <c r="D224" s="76"/>
      <c r="E224" s="76"/>
      <c r="F224" s="76"/>
      <c r="G224" s="76"/>
      <c r="H224" s="76"/>
      <c r="I224" s="76"/>
      <c r="J224" s="76"/>
      <c r="K224" s="76"/>
      <c r="L224" s="76"/>
      <c r="M224" s="76"/>
      <c r="N224" s="76"/>
      <c r="O224" s="160"/>
      <c r="P224" s="109"/>
      <c r="Q224" s="312"/>
      <c r="R224" s="312"/>
      <c r="S224" s="314"/>
      <c r="T224" s="314"/>
      <c r="U224" s="314"/>
      <c r="V224" s="314"/>
      <c r="W224" s="314"/>
      <c r="X224" s="314"/>
      <c r="Y224" s="314"/>
      <c r="Z224" s="314"/>
      <c r="AA224" s="314"/>
      <c r="AB224" s="314"/>
      <c r="AC224" s="314"/>
      <c r="AD224" s="314"/>
      <c r="AE224" s="314"/>
      <c r="AF224" s="314"/>
      <c r="AG224" s="314"/>
      <c r="AH224" s="314"/>
      <c r="AI224" s="314"/>
      <c r="AJ224" s="314"/>
      <c r="AK224" s="314"/>
      <c r="AL224" s="314"/>
      <c r="AM224" s="314"/>
      <c r="AN224" s="314"/>
      <c r="AO224" s="314"/>
      <c r="AP224" s="314"/>
      <c r="AQ224" s="314"/>
      <c r="AR224" s="314"/>
      <c r="AS224" s="314"/>
      <c r="AT224" s="314"/>
      <c r="AU224" s="314"/>
      <c r="AV224" s="314"/>
      <c r="AW224" s="314"/>
      <c r="AX224" s="314"/>
      <c r="AY224" s="314"/>
      <c r="AZ224" s="314"/>
      <c r="BA224" s="314"/>
      <c r="BB224" s="314"/>
      <c r="BC224" s="314"/>
      <c r="BD224" s="314"/>
      <c r="BE224" s="314"/>
      <c r="BF224" s="314"/>
      <c r="BG224" s="314"/>
      <c r="BH224" s="314"/>
      <c r="BI224" s="314"/>
      <c r="BJ224" s="314"/>
      <c r="BK224" s="314"/>
      <c r="BL224" s="314"/>
      <c r="BM224" s="314"/>
      <c r="BN224" s="314"/>
      <c r="BO224" s="314"/>
      <c r="BP224" s="314"/>
      <c r="BQ224" s="314"/>
      <c r="BR224" s="314"/>
      <c r="BS224" s="314"/>
      <c r="BT224" s="314"/>
      <c r="BU224" s="314"/>
      <c r="BV224" s="314"/>
      <c r="BW224" s="314"/>
      <c r="BX224" s="314"/>
      <c r="BY224" s="314"/>
      <c r="BZ224" s="314"/>
      <c r="CA224" s="314"/>
      <c r="CB224" s="314"/>
      <c r="CC224" s="314"/>
      <c r="CD224" s="314"/>
      <c r="CE224" s="314"/>
      <c r="CF224" s="314"/>
      <c r="CG224" s="314"/>
      <c r="CH224" s="314"/>
      <c r="CI224" s="314"/>
      <c r="CJ224" s="314"/>
      <c r="CK224" s="314"/>
      <c r="CL224" s="314"/>
      <c r="CM224" s="314"/>
      <c r="CN224" s="314"/>
      <c r="CO224" s="314"/>
      <c r="CP224" s="314"/>
      <c r="CQ224" s="314"/>
    </row>
    <row r="225" spans="1:95" ht="12.75" customHeight="1" x14ac:dyDescent="0.25">
      <c r="A225" s="462"/>
      <c r="B225" s="76"/>
      <c r="C225" s="76"/>
      <c r="D225" s="115"/>
      <c r="E225" s="85"/>
      <c r="F225" s="466" t="str">
        <f>Translations!$B$304</f>
        <v>Comments:</v>
      </c>
      <c r="G225" s="1250"/>
      <c r="H225" s="1251"/>
      <c r="I225" s="1251"/>
      <c r="J225" s="1251"/>
      <c r="K225" s="1251"/>
      <c r="L225" s="1251"/>
      <c r="M225" s="1251"/>
      <c r="N225" s="1252"/>
      <c r="O225" s="160"/>
      <c r="P225" s="109"/>
      <c r="Q225" s="312"/>
      <c r="R225" s="312"/>
      <c r="S225" s="314"/>
      <c r="T225" s="314"/>
      <c r="U225" s="314"/>
      <c r="V225" s="314"/>
      <c r="W225" s="314"/>
      <c r="X225" s="314"/>
      <c r="Y225" s="314"/>
      <c r="Z225" s="314"/>
      <c r="AA225" s="314"/>
      <c r="AB225" s="314"/>
      <c r="AC225" s="314"/>
      <c r="AD225" s="314"/>
      <c r="AE225" s="314"/>
      <c r="AF225" s="314"/>
      <c r="AG225" s="314"/>
      <c r="AH225" s="314"/>
      <c r="AI225" s="314"/>
      <c r="AJ225" s="314"/>
      <c r="AK225" s="314"/>
      <c r="AL225" s="314"/>
      <c r="AM225" s="314"/>
      <c r="AN225" s="314"/>
      <c r="AO225" s="314"/>
      <c r="AP225" s="314"/>
      <c r="AQ225" s="314"/>
      <c r="AR225" s="314"/>
      <c r="AS225" s="314"/>
      <c r="AT225" s="314"/>
      <c r="AU225" s="314"/>
      <c r="AV225" s="314"/>
      <c r="AW225" s="314"/>
      <c r="AX225" s="314"/>
      <c r="AY225" s="314"/>
      <c r="AZ225" s="314"/>
      <c r="BA225" s="314"/>
      <c r="BB225" s="314"/>
      <c r="BC225" s="314"/>
      <c r="BD225" s="314"/>
      <c r="BE225" s="314"/>
      <c r="BF225" s="314"/>
      <c r="BG225" s="314"/>
      <c r="BH225" s="314"/>
      <c r="BI225" s="314"/>
      <c r="BJ225" s="314"/>
      <c r="BK225" s="314"/>
      <c r="BL225" s="314"/>
      <c r="BM225" s="314"/>
      <c r="BN225" s="314"/>
      <c r="BO225" s="314"/>
      <c r="BP225" s="314"/>
      <c r="BQ225" s="314"/>
      <c r="BR225" s="314"/>
      <c r="BS225" s="314"/>
      <c r="BT225" s="314"/>
      <c r="BU225" s="314"/>
      <c r="BV225" s="314"/>
      <c r="BW225" s="314"/>
      <c r="BX225" s="314"/>
      <c r="BY225" s="314"/>
      <c r="BZ225" s="314"/>
      <c r="CA225" s="314"/>
      <c r="CB225" s="314"/>
      <c r="CC225" s="314"/>
      <c r="CD225" s="314"/>
      <c r="CE225" s="314"/>
      <c r="CF225" s="314"/>
      <c r="CG225" s="314"/>
      <c r="CH225" s="314"/>
      <c r="CI225" s="314"/>
      <c r="CJ225" s="314"/>
      <c r="CK225" s="314"/>
      <c r="CL225" s="314"/>
      <c r="CM225" s="314"/>
      <c r="CN225" s="314"/>
      <c r="CO225" s="314"/>
      <c r="CP225" s="314"/>
      <c r="CQ225" s="464" t="b">
        <f>CQ223</f>
        <v>0</v>
      </c>
    </row>
    <row r="226" spans="1:95" ht="12.75" customHeight="1" thickBot="1" x14ac:dyDescent="0.3">
      <c r="A226" s="307"/>
      <c r="B226" s="76"/>
      <c r="C226" s="308"/>
      <c r="D226" s="309"/>
      <c r="E226" s="310"/>
      <c r="F226" s="308"/>
      <c r="G226" s="311"/>
      <c r="H226" s="311"/>
      <c r="I226" s="311"/>
      <c r="J226" s="311"/>
      <c r="K226" s="311"/>
      <c r="L226" s="311"/>
      <c r="M226" s="311"/>
      <c r="N226" s="311"/>
      <c r="O226" s="160"/>
      <c r="P226" s="109"/>
      <c r="Q226" s="312"/>
      <c r="R226" s="312"/>
      <c r="S226" s="293"/>
      <c r="T226" s="293"/>
      <c r="U226" s="313"/>
      <c r="V226" s="293"/>
      <c r="W226" s="293"/>
      <c r="X226" s="313"/>
      <c r="Y226" s="293"/>
      <c r="Z226" s="293"/>
      <c r="AA226" s="293"/>
      <c r="AB226" s="293"/>
      <c r="AC226" s="293"/>
      <c r="AD226" s="293"/>
      <c r="AE226" s="293"/>
      <c r="AF226" s="293"/>
      <c r="AG226" s="293"/>
      <c r="AH226" s="293"/>
      <c r="AI226" s="293"/>
      <c r="AJ226" s="293"/>
      <c r="AK226" s="293"/>
      <c r="AL226" s="293"/>
      <c r="AM226" s="293"/>
      <c r="AN226" s="293"/>
      <c r="AO226" s="293"/>
      <c r="AP226" s="293"/>
      <c r="AQ226" s="293"/>
      <c r="AR226" s="293"/>
      <c r="AS226" s="293"/>
      <c r="AT226" s="293"/>
      <c r="AU226" s="293"/>
      <c r="AV226" s="293"/>
      <c r="AW226" s="293"/>
      <c r="AX226" s="293"/>
      <c r="AY226" s="293"/>
      <c r="AZ226" s="293"/>
      <c r="BA226" s="293"/>
      <c r="BB226" s="293"/>
      <c r="BC226" s="293"/>
      <c r="BD226" s="293"/>
      <c r="BE226" s="293"/>
      <c r="BF226" s="293"/>
      <c r="BG226" s="293"/>
      <c r="BH226" s="293"/>
      <c r="BI226" s="293"/>
      <c r="BJ226" s="293"/>
      <c r="BK226" s="293"/>
      <c r="BL226" s="293"/>
      <c r="BM226" s="314"/>
      <c r="BN226" s="314"/>
      <c r="BO226" s="314"/>
      <c r="BP226" s="314"/>
      <c r="BQ226" s="314"/>
      <c r="BR226" s="314"/>
      <c r="BS226" s="314"/>
      <c r="BT226" s="314"/>
      <c r="BU226" s="293"/>
      <c r="BV226" s="293"/>
      <c r="BW226" s="293"/>
      <c r="BX226" s="293"/>
      <c r="BY226" s="293"/>
      <c r="BZ226" s="293"/>
      <c r="CA226" s="293"/>
      <c r="CB226" s="293"/>
      <c r="CC226" s="293"/>
      <c r="CD226" s="293"/>
      <c r="CE226" s="293"/>
      <c r="CF226" s="293"/>
      <c r="CG226" s="293"/>
      <c r="CH226" s="293"/>
      <c r="CI226" s="293"/>
      <c r="CJ226" s="293"/>
      <c r="CK226" s="293"/>
      <c r="CL226" s="293"/>
      <c r="CM226" s="293"/>
      <c r="CN226" s="293"/>
      <c r="CO226" s="293"/>
      <c r="CP226" s="293"/>
      <c r="CQ226" s="293"/>
    </row>
    <row r="227" spans="1:95" ht="12.75" customHeight="1" thickBot="1" x14ac:dyDescent="0.3">
      <c r="A227" s="315"/>
      <c r="B227" s="76"/>
      <c r="C227" s="76"/>
      <c r="D227" s="205"/>
      <c r="E227" s="316"/>
      <c r="F227" s="76"/>
      <c r="G227" s="96"/>
      <c r="H227" s="96"/>
      <c r="I227" s="96"/>
      <c r="J227" s="96"/>
      <c r="K227" s="76"/>
      <c r="L227" s="96"/>
      <c r="M227" s="96"/>
      <c r="N227" s="96"/>
      <c r="O227" s="160"/>
      <c r="P227" s="109"/>
      <c r="Q227" s="312"/>
      <c r="R227" s="312"/>
      <c r="S227" s="287"/>
      <c r="T227" s="317" t="str">
        <f>IF(ISBLANK(E228),"",MATCH(E228,CNTR_SourceStreamNames,0))</f>
        <v/>
      </c>
      <c r="U227" s="318" t="str">
        <f>IF(ISBLANK(E228),"",INDEX(B_IdentifyFuelStreams!$D$67:$D$116,MATCH(E228,CNTR_SourceStreamNames,0)))</f>
        <v/>
      </c>
      <c r="V227" s="301"/>
      <c r="W227" s="138"/>
      <c r="X227" s="138"/>
      <c r="Y227" s="138"/>
      <c r="Z227" s="293"/>
      <c r="AA227" s="293"/>
      <c r="AB227" s="293"/>
      <c r="AC227" s="293"/>
      <c r="AD227" s="293"/>
      <c r="AE227" s="293"/>
      <c r="AF227" s="293"/>
      <c r="AG227" s="293"/>
      <c r="AH227" s="293"/>
      <c r="AI227" s="293"/>
      <c r="AJ227" s="293"/>
      <c r="AK227" s="312"/>
      <c r="AL227" s="293"/>
      <c r="AM227" s="293"/>
      <c r="AN227" s="293"/>
      <c r="AO227" s="293"/>
      <c r="AP227" s="293"/>
      <c r="AQ227" s="293"/>
      <c r="AR227" s="293"/>
      <c r="AS227" s="293"/>
      <c r="AT227" s="293"/>
      <c r="AU227" s="293"/>
      <c r="AV227" s="293"/>
      <c r="AW227" s="293"/>
      <c r="AX227" s="293"/>
      <c r="AY227" s="293"/>
      <c r="AZ227" s="293"/>
      <c r="BA227" s="293"/>
      <c r="BB227" s="293"/>
      <c r="BC227" s="293"/>
      <c r="BD227" s="293"/>
      <c r="BE227" s="293"/>
      <c r="BF227" s="293"/>
      <c r="BG227" s="293"/>
      <c r="BH227" s="293"/>
      <c r="BI227" s="293"/>
      <c r="BJ227" s="138"/>
      <c r="BK227" s="138"/>
      <c r="BL227" s="138"/>
      <c r="BM227" s="138"/>
      <c r="BN227" s="138"/>
      <c r="BO227" s="138"/>
      <c r="BP227" s="138"/>
      <c r="BQ227" s="138"/>
      <c r="BR227" s="138"/>
      <c r="BS227" s="138"/>
      <c r="BT227" s="138"/>
      <c r="BU227" s="138"/>
      <c r="BV227" s="138"/>
      <c r="BW227" s="138"/>
      <c r="BX227" s="138"/>
      <c r="BY227" s="138"/>
      <c r="BZ227" s="138"/>
      <c r="CA227" s="138"/>
      <c r="CB227" s="138"/>
      <c r="CC227" s="138"/>
      <c r="CD227" s="138"/>
      <c r="CE227" s="138"/>
      <c r="CF227" s="138"/>
      <c r="CG227" s="138"/>
      <c r="CH227" s="138"/>
      <c r="CI227" s="138"/>
      <c r="CJ227" s="138"/>
      <c r="CK227" s="138"/>
      <c r="CL227" s="138"/>
      <c r="CM227" s="138"/>
      <c r="CN227" s="138"/>
      <c r="CO227" s="138"/>
      <c r="CP227" s="138"/>
      <c r="CQ227" s="319" t="s">
        <v>107</v>
      </c>
    </row>
    <row r="228" spans="1:95" ht="15" customHeight="1" thickBot="1" x14ac:dyDescent="0.3">
      <c r="A228" s="320">
        <f>C228</f>
        <v>7</v>
      </c>
      <c r="B228" s="68"/>
      <c r="C228" s="321">
        <f>C200+1</f>
        <v>7</v>
      </c>
      <c r="D228" s="68"/>
      <c r="E228" s="1269"/>
      <c r="F228" s="1270"/>
      <c r="G228" s="1270"/>
      <c r="H228" s="1270"/>
      <c r="I228" s="1270"/>
      <c r="J228" s="1271"/>
      <c r="K228" s="1272" t="str">
        <f>IF(INDEX(B_IdentifyFuelStreams!$K$125:$K$174,MATCH(U227,B_IdentifyFuelStreams!$D$125:$D$174,0))&gt;0,INDEX(B_IdentifyFuelStreams!$K$125:$K$174,MATCH(U227,B_IdentifyFuelStreams!$D$125:$D$174,0)),"")</f>
        <v/>
      </c>
      <c r="L228" s="1273"/>
      <c r="M228" s="316" t="str">
        <f>Translations!$B$621</f>
        <v>Emissions:</v>
      </c>
      <c r="N228" s="322" t="str">
        <f>IF(E229="","",BG234)</f>
        <v/>
      </c>
      <c r="O228" s="323" t="str">
        <f>EUconst_tCO2</f>
        <v>tCO2</v>
      </c>
      <c r="P228" s="324" t="str">
        <f>IF(AND(E228&lt;&gt;"",COUNTIF(P229:$P$1649,"PRINT")=0),"PRINT","")</f>
        <v/>
      </c>
      <c r="Q228" s="325" t="str">
        <f>EUconst_SumCO2</f>
        <v>SUM_CO2</v>
      </c>
      <c r="R228" s="312"/>
      <c r="S228" s="287"/>
      <c r="T228" s="287"/>
      <c r="U228" s="287"/>
      <c r="V228" s="301"/>
      <c r="W228" s="138"/>
      <c r="X228" s="293"/>
      <c r="Y228" s="293"/>
      <c r="Z228" s="293"/>
      <c r="AA228" s="293"/>
      <c r="AB228" s="293"/>
      <c r="AC228" s="293"/>
      <c r="AD228" s="293"/>
      <c r="AE228" s="293"/>
      <c r="AF228" s="293"/>
      <c r="AG228" s="293"/>
      <c r="AH228" s="293"/>
      <c r="AI228" s="326"/>
      <c r="AJ228" s="326"/>
      <c r="AK228" s="326"/>
      <c r="AL228" s="326"/>
      <c r="AM228" s="326"/>
      <c r="AN228" s="326"/>
      <c r="AO228" s="326"/>
      <c r="AP228" s="326"/>
      <c r="AQ228" s="326"/>
      <c r="AR228" s="326"/>
      <c r="AS228" s="326"/>
      <c r="AT228" s="326"/>
      <c r="AU228" s="326"/>
      <c r="AV228" s="326"/>
      <c r="AW228" s="326"/>
      <c r="AX228" s="326"/>
      <c r="AY228" s="326"/>
      <c r="AZ228" s="326"/>
      <c r="BA228" s="326"/>
      <c r="BB228" s="326"/>
      <c r="BC228" s="326"/>
      <c r="BD228" s="326"/>
      <c r="BE228" s="326"/>
      <c r="BF228" s="326"/>
      <c r="BG228" s="326"/>
      <c r="BH228" s="326"/>
      <c r="BI228" s="327" t="str">
        <f>IF(E228="","",E228)</f>
        <v/>
      </c>
      <c r="BJ228" s="328" t="str">
        <f>IF(F234="","",F234)</f>
        <v/>
      </c>
      <c r="BK228" s="329">
        <f>AV234</f>
        <v>0</v>
      </c>
      <c r="BL228" s="329">
        <f>IF(BK228="","",BK228*(1-BP228))</f>
        <v>0</v>
      </c>
      <c r="BM228" s="328" t="str">
        <f>AJ234</f>
        <v/>
      </c>
      <c r="BN228" s="328" t="str">
        <f>IF(F245="","",F245)</f>
        <v/>
      </c>
      <c r="BO228" s="327" t="str">
        <f>IF(G245="","",G245)</f>
        <v/>
      </c>
      <c r="BP228" s="330">
        <f>AV245</f>
        <v>0</v>
      </c>
      <c r="BQ228" s="328" t="str">
        <f>IF(F237="","",F237)</f>
        <v/>
      </c>
      <c r="BR228" s="330">
        <f>AV237</f>
        <v>0</v>
      </c>
      <c r="BS228" s="330" t="str">
        <f>AJ237</f>
        <v/>
      </c>
      <c r="BT228" s="328" t="str">
        <f>IF(F236="","",F236)</f>
        <v/>
      </c>
      <c r="BU228" s="330">
        <f>IF(F236=EUconst_NA,"",AV236)</f>
        <v>0</v>
      </c>
      <c r="BV228" s="330" t="str">
        <f>AJ236</f>
        <v/>
      </c>
      <c r="BW228" s="328" t="str">
        <f>IF(F238="","",F238)</f>
        <v/>
      </c>
      <c r="BX228" s="330">
        <f>AV238</f>
        <v>0</v>
      </c>
      <c r="BY228" s="328" t="str">
        <f>IF(F239="","",F239)</f>
        <v/>
      </c>
      <c r="BZ228" s="330">
        <f>AV239</f>
        <v>0</v>
      </c>
      <c r="CA228" s="330">
        <f>AV240</f>
        <v>0</v>
      </c>
      <c r="CB228" s="330">
        <f>AV241</f>
        <v>0</v>
      </c>
      <c r="CC228" s="330">
        <f>AV242</f>
        <v>0</v>
      </c>
      <c r="CD228" s="330">
        <f>AV243</f>
        <v>0</v>
      </c>
      <c r="CE228" s="329" t="str">
        <f>BG234</f>
        <v/>
      </c>
      <c r="CF228" s="329" t="str">
        <f>BG236</f>
        <v/>
      </c>
      <c r="CG228" s="329" t="str">
        <f>BG237</f>
        <v/>
      </c>
      <c r="CH228" s="329" t="str">
        <f>BG238</f>
        <v/>
      </c>
      <c r="CI228" s="329" t="str">
        <f>BG239</f>
        <v/>
      </c>
      <c r="CJ228" s="329" t="str">
        <f>BG240</f>
        <v/>
      </c>
      <c r="CK228" s="329" t="str">
        <f>BG241</f>
        <v/>
      </c>
      <c r="CL228" s="329">
        <f>BG242</f>
        <v>0</v>
      </c>
      <c r="CM228" s="329" t="str">
        <f>BG243</f>
        <v/>
      </c>
      <c r="CN228" s="329" t="str">
        <f>BG245</f>
        <v/>
      </c>
      <c r="CO228" s="329" t="str">
        <f>BG249</f>
        <v/>
      </c>
      <c r="CP228" s="329" t="str">
        <f>IF(COUNTIF(AO237:AO238,TRUE)=0,"",BH234)</f>
        <v/>
      </c>
      <c r="CQ228" s="331" t="b">
        <v>0</v>
      </c>
    </row>
    <row r="229" spans="1:95" ht="15" customHeight="1" thickBot="1" x14ac:dyDescent="0.3">
      <c r="A229" s="307"/>
      <c r="B229" s="68"/>
      <c r="C229" s="68"/>
      <c r="D229" s="68"/>
      <c r="E229" s="1274" t="str">
        <f>IF(ISBLANK(E228),"",IF(INDEX(B_IdentifyFuelStreams!$E$67:$E$116,MATCH(U227,B_IdentifyFuelStreams!$D$67:$D$116,0))&gt;0,INDEX(B_IdentifyFuelStreams!$E$67:$E$116,MATCH(U227,B_IdentifyFuelStreams!$D$67:$D$116,0)),""))</f>
        <v/>
      </c>
      <c r="F229" s="1275"/>
      <c r="G229" s="1275"/>
      <c r="H229" s="1275"/>
      <c r="I229" s="1275"/>
      <c r="J229" s="1276"/>
      <c r="K229" s="1272" t="str">
        <f>IF(INDEX(B_IdentifyFuelStreams!$M$125:$M$174,MATCH(U227,B_IdentifyFuelStreams!$D$125:$D$174,0))&gt;0,INDEX(B_IdentifyFuelStreams!$M$125:$M$174,MATCH(U227,B_IdentifyFuelStreams!$D$125:$D$174,0)),"")</f>
        <v/>
      </c>
      <c r="L229" s="1273"/>
      <c r="M229" s="332" t="str">
        <f>Translations!$B$622</f>
        <v>zero-rated:</v>
      </c>
      <c r="N229" s="333" t="str">
        <f>IF(E229="","",SUM(BG236,BG238,BG240))</f>
        <v/>
      </c>
      <c r="O229" s="334" t="str">
        <f>EUconst_tCO2</f>
        <v>tCO2</v>
      </c>
      <c r="P229" s="109"/>
      <c r="Q229" s="325" t="str">
        <f>EUconst_SumBioCO2</f>
        <v>SUM_bioCO2</v>
      </c>
      <c r="R229" s="312"/>
      <c r="S229" s="287"/>
      <c r="T229" s="287"/>
      <c r="U229" s="287"/>
      <c r="V229" s="301"/>
      <c r="W229" s="138"/>
      <c r="X229" s="293"/>
      <c r="Y229" s="317" t="str">
        <f>Translations!$B$143</f>
        <v>Tiers</v>
      </c>
      <c r="Z229" s="314"/>
      <c r="AA229" s="314"/>
      <c r="AB229" s="314"/>
      <c r="AC229" s="314"/>
      <c r="AD229" s="314"/>
      <c r="AE229" s="317" t="s">
        <v>108</v>
      </c>
      <c r="AF229" s="293"/>
      <c r="AG229" s="335"/>
      <c r="AH229" s="314"/>
      <c r="AI229" s="314"/>
      <c r="AJ229" s="335"/>
      <c r="AK229" s="335"/>
      <c r="AL229" s="326"/>
      <c r="AM229" s="326"/>
      <c r="AN229" s="326"/>
      <c r="AO229" s="326"/>
      <c r="AP229" s="326"/>
      <c r="AQ229" s="317" t="s">
        <v>109</v>
      </c>
      <c r="AR229" s="336"/>
      <c r="AS229" s="336"/>
      <c r="AT229" s="314"/>
      <c r="AU229" s="314"/>
      <c r="AV229" s="314"/>
      <c r="AW229" s="314"/>
      <c r="AX229" s="314"/>
      <c r="AY229" s="314"/>
      <c r="AZ229" s="317" t="s">
        <v>110</v>
      </c>
      <c r="BA229" s="314"/>
      <c r="BB229" s="314"/>
      <c r="BC229" s="314"/>
      <c r="BD229" s="314"/>
      <c r="BE229" s="314"/>
      <c r="BF229" s="317" t="s">
        <v>111</v>
      </c>
      <c r="BG229" s="314"/>
      <c r="BH229" s="314"/>
      <c r="BI229" s="317" t="s">
        <v>112</v>
      </c>
      <c r="BJ229" s="328" t="str">
        <f>Translations!$B$376</f>
        <v>RFA Tier</v>
      </c>
      <c r="BK229" s="328" t="str">
        <f>Translations!$B$377</f>
        <v>RFA</v>
      </c>
      <c r="BL229" s="328" t="str">
        <f>Translations!$B$378</f>
        <v>RFA (in scope)</v>
      </c>
      <c r="BM229" s="328" t="str">
        <f>Translations!$B$379</f>
        <v>RFA Unit</v>
      </c>
      <c r="BN229" s="328" t="str">
        <f>Translations!$B$380</f>
        <v>SF Tier</v>
      </c>
      <c r="BO229" s="328" t="str">
        <f>Translations!$B$380</f>
        <v>SF Tier</v>
      </c>
      <c r="BP229" s="328" t="str">
        <f>Translations!$B$381</f>
        <v>SF</v>
      </c>
      <c r="BQ229" s="328" t="str">
        <f>Translations!$B$382</f>
        <v>EF Tier</v>
      </c>
      <c r="BR229" s="328" t="str">
        <f>Translations!$B$383</f>
        <v>EF</v>
      </c>
      <c r="BS229" s="328" t="str">
        <f>Translations!$B$384</f>
        <v>EF Unit</v>
      </c>
      <c r="BT229" s="328" t="str">
        <f>Translations!$B$385</f>
        <v>UCF Tier</v>
      </c>
      <c r="BU229" s="328" t="str">
        <f>Translations!$B$386</f>
        <v>UCF</v>
      </c>
      <c r="BV229" s="328" t="str">
        <f>Translations!$B$387</f>
        <v>UCF Unit</v>
      </c>
      <c r="BW229" s="328" t="str">
        <f>Translations!$B$388</f>
        <v>Bio Tier</v>
      </c>
      <c r="BX229" s="328" t="s">
        <v>113</v>
      </c>
      <c r="BY229" s="328" t="str">
        <f>Translations!$B$389</f>
        <v>NonSustBio Tier</v>
      </c>
      <c r="BZ229" s="328" t="s">
        <v>114</v>
      </c>
      <c r="CA229" s="328" t="s">
        <v>115</v>
      </c>
      <c r="CB229" s="328" t="s">
        <v>116</v>
      </c>
      <c r="CC229" s="328" t="s">
        <v>117</v>
      </c>
      <c r="CD229" s="328" t="s">
        <v>118</v>
      </c>
      <c r="CE229" s="328" t="s">
        <v>119</v>
      </c>
      <c r="CF229" s="328" t="s">
        <v>120</v>
      </c>
      <c r="CG229" s="328" t="str">
        <f>Translations!$B$392</f>
        <v>CO2 non-sust</v>
      </c>
      <c r="CH229" s="328" t="s">
        <v>121</v>
      </c>
      <c r="CI229" s="328" t="s">
        <v>122</v>
      </c>
      <c r="CJ229" s="328" t="s">
        <v>123</v>
      </c>
      <c r="CK229" s="328" t="s">
        <v>124</v>
      </c>
      <c r="CL229" s="328" t="s">
        <v>125</v>
      </c>
      <c r="CM229" s="328" t="str">
        <f>Translations!$B$551</f>
        <v>Energy content (bio), TJ</v>
      </c>
      <c r="CN229" s="328" t="s">
        <v>126</v>
      </c>
      <c r="CO229" s="328" t="s">
        <v>127</v>
      </c>
      <c r="CP229" s="328" t="s">
        <v>128</v>
      </c>
      <c r="CQ229" s="314"/>
    </row>
    <row r="230" spans="1:95" ht="5.15" customHeight="1" thickBot="1" x14ac:dyDescent="0.3">
      <c r="A230" s="307"/>
      <c r="B230" s="68"/>
      <c r="C230" s="68"/>
      <c r="D230" s="68"/>
      <c r="E230" s="68"/>
      <c r="F230" s="68"/>
      <c r="G230" s="68"/>
      <c r="H230" s="76"/>
      <c r="I230" s="76"/>
      <c r="J230" s="76"/>
      <c r="K230" s="76"/>
      <c r="L230" s="76"/>
      <c r="M230" s="76"/>
      <c r="N230" s="76"/>
      <c r="O230" s="160"/>
      <c r="P230" s="109"/>
      <c r="Q230" s="312"/>
      <c r="R230" s="312"/>
      <c r="S230" s="287"/>
      <c r="T230" s="287"/>
      <c r="U230" s="287"/>
      <c r="V230" s="301"/>
      <c r="W230" s="314"/>
      <c r="X230" s="314"/>
      <c r="Y230" s="312"/>
      <c r="Z230" s="314"/>
      <c r="AA230" s="314"/>
      <c r="AB230" s="314"/>
      <c r="AC230" s="314"/>
      <c r="AD230" s="314"/>
      <c r="AE230" s="314"/>
      <c r="AF230" s="293"/>
      <c r="AG230" s="314"/>
      <c r="AH230" s="314"/>
      <c r="AI230" s="314"/>
      <c r="AJ230" s="335"/>
      <c r="AK230" s="335"/>
      <c r="AL230" s="326"/>
      <c r="AM230" s="326"/>
      <c r="AN230" s="326"/>
      <c r="AO230" s="326"/>
      <c r="AP230" s="326"/>
      <c r="AQ230" s="314"/>
      <c r="AR230" s="314"/>
      <c r="AS230" s="314"/>
      <c r="AT230" s="314"/>
      <c r="AU230" s="314"/>
      <c r="AV230" s="314"/>
      <c r="AW230" s="314"/>
      <c r="AX230" s="314"/>
      <c r="AY230" s="314"/>
      <c r="AZ230" s="314"/>
      <c r="BA230" s="314"/>
      <c r="BB230" s="314"/>
      <c r="BC230" s="314"/>
      <c r="BD230" s="314"/>
      <c r="BE230" s="314"/>
      <c r="BF230" s="314"/>
      <c r="BG230" s="314"/>
      <c r="BH230" s="314"/>
      <c r="BI230" s="314"/>
      <c r="BJ230" s="314"/>
      <c r="BK230" s="314"/>
      <c r="BL230" s="314"/>
      <c r="BM230" s="314"/>
      <c r="BN230" s="314"/>
      <c r="BO230" s="314"/>
      <c r="BP230" s="314"/>
      <c r="BQ230" s="314"/>
      <c r="BR230" s="314"/>
      <c r="BS230" s="314"/>
      <c r="BT230" s="314"/>
      <c r="BU230" s="314"/>
      <c r="BV230" s="314"/>
      <c r="BW230" s="314"/>
      <c r="BX230" s="314"/>
      <c r="BY230" s="314"/>
      <c r="BZ230" s="314"/>
      <c r="CA230" s="314"/>
      <c r="CB230" s="314"/>
      <c r="CC230" s="314"/>
      <c r="CD230" s="314"/>
      <c r="CE230" s="314"/>
      <c r="CF230" s="314"/>
      <c r="CG230" s="314"/>
      <c r="CH230" s="314"/>
      <c r="CI230" s="314"/>
      <c r="CJ230" s="314"/>
      <c r="CK230" s="314"/>
      <c r="CL230" s="314"/>
      <c r="CM230" s="314"/>
      <c r="CN230" s="314"/>
      <c r="CO230" s="314"/>
      <c r="CP230" s="314"/>
      <c r="CQ230" s="314"/>
    </row>
    <row r="231" spans="1:95" ht="12.75" customHeight="1" thickBot="1" x14ac:dyDescent="0.3">
      <c r="A231" s="307"/>
      <c r="B231" s="68"/>
      <c r="C231" s="68"/>
      <c r="D231" s="68"/>
      <c r="E231" s="1253" t="str">
        <f>IF(E228="","",HYPERLINK("#JUMP_E_Top",EUconst_FurtherGuidancePoint1))</f>
        <v/>
      </c>
      <c r="F231" s="1253"/>
      <c r="G231" s="1253"/>
      <c r="H231" s="1253"/>
      <c r="I231" s="1253"/>
      <c r="J231" s="1253"/>
      <c r="K231" s="1253"/>
      <c r="L231" s="1253"/>
      <c r="M231" s="1253"/>
      <c r="N231" s="76"/>
      <c r="O231" s="160"/>
      <c r="P231" s="109"/>
      <c r="Q231" s="325" t="str">
        <f>EUconst_SumNonSustBioCO2</f>
        <v>SUM_bioNonSustCO2</v>
      </c>
      <c r="R231" s="337" t="str">
        <f>IF(E229="","",BG237)</f>
        <v/>
      </c>
      <c r="S231" s="287"/>
      <c r="T231" s="287"/>
      <c r="U231" s="287"/>
      <c r="V231" s="314"/>
      <c r="W231" s="314"/>
      <c r="X231" s="314"/>
      <c r="Y231" s="293"/>
      <c r="Z231" s="314"/>
      <c r="AA231" s="314"/>
      <c r="AB231" s="314"/>
      <c r="AC231" s="314"/>
      <c r="AD231" s="314"/>
      <c r="AE231" s="314"/>
      <c r="AF231" s="293"/>
      <c r="AG231" s="314"/>
      <c r="AH231" s="314"/>
      <c r="AI231" s="314"/>
      <c r="AJ231" s="335"/>
      <c r="AK231" s="335"/>
      <c r="AL231" s="326"/>
      <c r="AM231" s="326"/>
      <c r="AN231" s="326"/>
      <c r="AO231" s="326"/>
      <c r="AP231" s="326"/>
      <c r="AQ231" s="314"/>
      <c r="AR231" s="314"/>
      <c r="AS231" s="314"/>
      <c r="AT231" s="314"/>
      <c r="AU231" s="314"/>
      <c r="AV231" s="314"/>
      <c r="AW231" s="314"/>
      <c r="AX231" s="314"/>
      <c r="AY231" s="314"/>
      <c r="AZ231" s="314"/>
      <c r="BA231" s="314"/>
      <c r="BB231" s="314"/>
      <c r="BC231" s="314"/>
      <c r="BD231" s="314"/>
      <c r="BE231" s="314"/>
      <c r="BF231" s="314"/>
      <c r="BG231" s="314"/>
      <c r="BH231" s="314"/>
      <c r="BI231" s="317" t="s">
        <v>129</v>
      </c>
      <c r="BJ231" s="336"/>
      <c r="BK231" s="327" t="str">
        <f>IF(G249="","",G249)</f>
        <v/>
      </c>
      <c r="BL231" s="327" t="str">
        <f>IF(I249="","",I249)</f>
        <v/>
      </c>
      <c r="BM231" s="327" t="str">
        <f>IF(K249="","",K249)</f>
        <v/>
      </c>
      <c r="BN231" s="314"/>
      <c r="BO231" s="314"/>
      <c r="BP231" s="314"/>
      <c r="BQ231" s="314"/>
      <c r="BR231" s="314"/>
      <c r="BS231" s="314"/>
      <c r="BT231" s="319"/>
      <c r="BU231" s="314"/>
      <c r="BV231" s="314"/>
      <c r="BW231" s="314"/>
      <c r="BX231" s="314"/>
      <c r="BY231" s="314"/>
      <c r="BZ231" s="314"/>
      <c r="CA231" s="314"/>
      <c r="CB231" s="314"/>
      <c r="CC231" s="314"/>
      <c r="CD231" s="314"/>
      <c r="CE231" s="314"/>
      <c r="CF231" s="314"/>
      <c r="CG231" s="314"/>
      <c r="CH231" s="314"/>
      <c r="CI231" s="314"/>
      <c r="CJ231" s="314"/>
      <c r="CK231" s="314"/>
      <c r="CL231" s="314"/>
      <c r="CM231" s="314"/>
      <c r="CN231" s="314"/>
      <c r="CO231" s="314"/>
      <c r="CP231" s="314"/>
      <c r="CQ231" s="314"/>
    </row>
    <row r="232" spans="1:95" ht="5.15" customHeight="1" thickBot="1" x14ac:dyDescent="0.3">
      <c r="A232" s="307"/>
      <c r="B232" s="68"/>
      <c r="C232" s="68"/>
      <c r="D232" s="68"/>
      <c r="E232" s="68"/>
      <c r="F232" s="68"/>
      <c r="G232" s="68"/>
      <c r="H232" s="76"/>
      <c r="I232" s="76"/>
      <c r="J232" s="76"/>
      <c r="K232" s="76"/>
      <c r="L232" s="76"/>
      <c r="M232" s="76"/>
      <c r="N232" s="76"/>
      <c r="O232" s="160"/>
      <c r="P232" s="111"/>
      <c r="Q232" s="287"/>
      <c r="R232" s="111"/>
      <c r="S232" s="287"/>
      <c r="T232" s="287"/>
      <c r="U232" s="287"/>
      <c r="V232" s="314"/>
      <c r="W232" s="314"/>
      <c r="X232" s="314"/>
      <c r="Y232" s="312"/>
      <c r="Z232" s="314"/>
      <c r="AA232" s="314"/>
      <c r="AB232" s="314"/>
      <c r="AC232" s="314"/>
      <c r="AD232" s="314"/>
      <c r="AE232" s="314"/>
      <c r="AF232" s="293"/>
      <c r="AG232" s="314"/>
      <c r="AH232" s="314"/>
      <c r="AI232" s="314"/>
      <c r="AJ232" s="335"/>
      <c r="AK232" s="335"/>
      <c r="AL232" s="326"/>
      <c r="AM232" s="326"/>
      <c r="AN232" s="326"/>
      <c r="AO232" s="326"/>
      <c r="AP232" s="326"/>
      <c r="AQ232" s="314"/>
      <c r="AR232" s="314"/>
      <c r="AS232" s="314"/>
      <c r="AT232" s="314"/>
      <c r="AU232" s="314"/>
      <c r="AV232" s="314"/>
      <c r="AW232" s="314"/>
      <c r="AX232" s="314"/>
      <c r="AY232" s="314"/>
      <c r="AZ232" s="314"/>
      <c r="BA232" s="314"/>
      <c r="BB232" s="314"/>
      <c r="BC232" s="314"/>
      <c r="BD232" s="314"/>
      <c r="BE232" s="314"/>
      <c r="BF232" s="314"/>
      <c r="BG232" s="314"/>
      <c r="BH232" s="314"/>
      <c r="BI232" s="314"/>
      <c r="BJ232" s="314"/>
      <c r="BK232" s="314"/>
      <c r="BL232" s="314"/>
      <c r="BM232" s="314"/>
      <c r="BN232" s="314"/>
      <c r="BO232" s="314"/>
      <c r="BP232" s="314"/>
      <c r="BQ232" s="314"/>
      <c r="BR232" s="314"/>
      <c r="BS232" s="314"/>
      <c r="BT232" s="314"/>
      <c r="BU232" s="314"/>
      <c r="BV232" s="314"/>
      <c r="BW232" s="314"/>
      <c r="BX232" s="314"/>
      <c r="BY232" s="314"/>
      <c r="BZ232" s="314"/>
      <c r="CA232" s="314"/>
      <c r="CB232" s="314"/>
      <c r="CC232" s="314"/>
      <c r="CD232" s="314"/>
      <c r="CE232" s="314"/>
      <c r="CF232" s="314"/>
      <c r="CG232" s="314"/>
      <c r="CH232" s="314"/>
      <c r="CI232" s="314"/>
      <c r="CJ232" s="314"/>
      <c r="CK232" s="314"/>
      <c r="CL232" s="314"/>
      <c r="CM232" s="314"/>
      <c r="CN232" s="314"/>
      <c r="CO232" s="314"/>
      <c r="CP232" s="314"/>
      <c r="CQ232" s="314"/>
    </row>
    <row r="233" spans="1:95" ht="12.75" customHeight="1" thickBot="1" x14ac:dyDescent="0.3">
      <c r="A233" s="307"/>
      <c r="B233" s="68"/>
      <c r="C233" s="68"/>
      <c r="D233" s="68"/>
      <c r="E233" s="68"/>
      <c r="F233" s="338" t="str">
        <f>Translations!$B$127</f>
        <v>Tier</v>
      </c>
      <c r="G233" s="1254" t="str">
        <f>Translations!$B$393</f>
        <v>tier description</v>
      </c>
      <c r="H233" s="1254"/>
      <c r="I233" s="1255" t="str">
        <f>Translations!$B$394</f>
        <v>Unit</v>
      </c>
      <c r="J233" s="1255"/>
      <c r="K233" s="1255" t="str">
        <f>Translations!$B$395</f>
        <v>Value</v>
      </c>
      <c r="L233" s="1255"/>
      <c r="M233" s="205" t="str">
        <f>Translations!$B$396</f>
        <v>error</v>
      </c>
      <c r="N233" s="76"/>
      <c r="O233" s="160"/>
      <c r="P233" s="339"/>
      <c r="Q233" s="325" t="str">
        <f>EUconst_SumEnergyIN</f>
        <v>SUM_EnergyIN</v>
      </c>
      <c r="R233" s="340" t="str">
        <f>IF(E229="","",BG242)</f>
        <v/>
      </c>
      <c r="S233" s="314"/>
      <c r="T233" s="314"/>
      <c r="U233" s="314"/>
      <c r="V233" s="341" t="s">
        <v>130</v>
      </c>
      <c r="W233" s="314"/>
      <c r="X233" s="314"/>
      <c r="Y233" s="312" t="s">
        <v>131</v>
      </c>
      <c r="Z233" s="312" t="s">
        <v>132</v>
      </c>
      <c r="AA233" s="314"/>
      <c r="AB233" s="314"/>
      <c r="AC233" s="336" t="s">
        <v>133</v>
      </c>
      <c r="AD233" s="314"/>
      <c r="AE233" s="314"/>
      <c r="AF233" s="314" t="s">
        <v>134</v>
      </c>
      <c r="AG233" s="314" t="s">
        <v>135</v>
      </c>
      <c r="AH233" s="312" t="s">
        <v>136</v>
      </c>
      <c r="AI233" s="335" t="s">
        <v>137</v>
      </c>
      <c r="AJ233" s="335" t="s">
        <v>138</v>
      </c>
      <c r="AK233" s="342" t="s">
        <v>139</v>
      </c>
      <c r="AL233" s="326"/>
      <c r="AM233" s="326"/>
      <c r="AN233" s="326"/>
      <c r="AO233" s="326"/>
      <c r="AP233" s="326"/>
      <c r="AQ233" s="314"/>
      <c r="AR233" s="314" t="s">
        <v>134</v>
      </c>
      <c r="AS233" s="314" t="s">
        <v>135</v>
      </c>
      <c r="AT233" s="343" t="s">
        <v>140</v>
      </c>
      <c r="AU233" s="335" t="s">
        <v>141</v>
      </c>
      <c r="AV233" s="335" t="s">
        <v>142</v>
      </c>
      <c r="AW233" s="342" t="s">
        <v>139</v>
      </c>
      <c r="AX233" s="342" t="s">
        <v>139</v>
      </c>
      <c r="AY233" s="314"/>
      <c r="AZ233" s="314"/>
      <c r="BA233" s="314"/>
      <c r="BB233" s="314" t="s">
        <v>143</v>
      </c>
      <c r="BC233" s="314"/>
      <c r="BD233" s="314"/>
      <c r="BE233" s="314"/>
      <c r="BF233" s="314"/>
      <c r="BG233" s="319" t="s">
        <v>144</v>
      </c>
      <c r="BH233" s="314" t="s">
        <v>145</v>
      </c>
      <c r="BI233" s="314"/>
      <c r="BJ233" s="314"/>
      <c r="BK233" s="314"/>
      <c r="BL233" s="314"/>
      <c r="BM233" s="314"/>
      <c r="BN233" s="314"/>
      <c r="BO233" s="314"/>
      <c r="BP233" s="314"/>
      <c r="BQ233" s="314"/>
      <c r="BR233" s="314"/>
      <c r="BS233" s="314"/>
      <c r="BT233" s="314"/>
      <c r="BU233" s="314"/>
      <c r="BV233" s="314"/>
      <c r="BW233" s="314"/>
      <c r="BX233" s="314"/>
      <c r="BY233" s="314"/>
      <c r="BZ233" s="314"/>
      <c r="CA233" s="314"/>
      <c r="CB233" s="314"/>
      <c r="CC233" s="314"/>
      <c r="CD233" s="314"/>
      <c r="CE233" s="314"/>
      <c r="CF233" s="314"/>
      <c r="CG233" s="314"/>
      <c r="CH233" s="314"/>
      <c r="CI233" s="314"/>
      <c r="CJ233" s="314"/>
      <c r="CK233" s="314"/>
      <c r="CL233" s="314"/>
      <c r="CM233" s="314"/>
      <c r="CN233" s="314"/>
      <c r="CO233" s="314"/>
      <c r="CP233" s="314"/>
      <c r="CQ233" s="319" t="s">
        <v>107</v>
      </c>
    </row>
    <row r="234" spans="1:95" ht="12.75" customHeight="1" thickBot="1" x14ac:dyDescent="0.3">
      <c r="A234" s="307"/>
      <c r="B234" s="68"/>
      <c r="C234" s="199" t="s">
        <v>12</v>
      </c>
      <c r="D234" s="344" t="str">
        <f>Translations!$B$356</f>
        <v>RFA:</v>
      </c>
      <c r="E234" s="345"/>
      <c r="F234" s="6"/>
      <c r="G234" s="1256" t="str">
        <f>IF(OR(ISBLANK(F234),F234=EUconst_NoTier),"",IF(Z234=0,EUconst_NA,IF(ISERROR(Z234),"",Z234)))</f>
        <v/>
      </c>
      <c r="H234" s="1257"/>
      <c r="I234" s="346" t="str">
        <f>IF(J234&lt;&gt;"","",AI234)</f>
        <v/>
      </c>
      <c r="J234" s="7"/>
      <c r="K234" s="1258"/>
      <c r="L234" s="1259"/>
      <c r="M234" s="347" t="str">
        <f>IF(AND(E229&lt;&gt;"",OR(F234="",COUNT(K234)=0),Y234&lt;&gt;EUconst_NA),EUconst_ERR_Incomplete,"")</f>
        <v/>
      </c>
      <c r="N234" s="76"/>
      <c r="O234" s="160"/>
      <c r="P234" s="348"/>
      <c r="Q234" s="325" t="str">
        <f>EUconst_SumBioEnergyIN</f>
        <v>SUM_BioEnergyIN</v>
      </c>
      <c r="R234" s="340" t="str">
        <f>IF(E229="","",BG243)</f>
        <v/>
      </c>
      <c r="S234" s="314"/>
      <c r="T234" s="349" t="str">
        <f>EUconst_CNTR_ActivityData&amp;E229</f>
        <v>ActivityData_</v>
      </c>
      <c r="U234" s="312"/>
      <c r="V234" s="349" t="str">
        <f>IF(E228="","",INDEX(B_IdentifyFuelStreams!$I$67:$I$116,MATCH(U227,B_IdentifyFuelStreams!$D$67:$D$116,0)))</f>
        <v/>
      </c>
      <c r="W234" s="335" t="s">
        <v>146</v>
      </c>
      <c r="X234" s="312"/>
      <c r="Y234" s="350" t="str">
        <f>IF(E229="","",INDEX(EUwideConstants!$P$164:$P$200,MATCH(T234,EUwideConstants!$S$164:$S$200,0)))</f>
        <v/>
      </c>
      <c r="Z234" s="351" t="str">
        <f>IF(ISBLANK(F234),"",IF(F234=EUconst_NA,"",INDEX(EUwideConstants!$H:$O,MATCH(T234,EUwideConstants!$S:$S,0),MATCH(F234,CNTR_TierList,0))))</f>
        <v/>
      </c>
      <c r="AA234" s="352" t="s">
        <v>136</v>
      </c>
      <c r="AB234" s="335"/>
      <c r="AC234" s="331" t="b">
        <f>E228&lt;&gt;""</f>
        <v>0</v>
      </c>
      <c r="AD234" s="314"/>
      <c r="AE234" s="353" t="str">
        <f>EUconst_CNTR_ActivityData&amp;EUconst_Unit</f>
        <v>ActivityData_Unit</v>
      </c>
      <c r="AF234" s="354" t="str">
        <f>IF(AC234=TRUE, IF(COUNTIF(MSPara_SourceStreamCategory,V234)=0,"",INDEX(MSPara_CalcFactorsMatrix,MATCH(V234,MSPara_SourceStreamCategory,0),MATCH(AE234&amp;"_"&amp;2,MSPara_CalcFactors,0))),"")</f>
        <v/>
      </c>
      <c r="AG234" s="355" t="str">
        <f>IF(AC234=TRUE, IF(COUNTIF(MSPara_SourceStreamCategory,V234)=0,"",INDEX(MSPara_CalcFactorsMatrix,MATCH(V234,MSPara_SourceStreamCategory,0),MATCH(AE234&amp;"_"&amp;1,MSPara_CalcFactors,0))),"")</f>
        <v/>
      </c>
      <c r="AH234" s="331" t="str">
        <f>IF(OR(AF234="",AF234=EUconst_NA),IF(OR(AG234=EUconst_NA,AG234=""),"",AG234),AF234)</f>
        <v/>
      </c>
      <c r="AI234" s="350" t="str">
        <f>IF(AC234=TRUE,IF(AH234="",EUconst_t,AH234),"")</f>
        <v/>
      </c>
      <c r="AJ234" s="356" t="str">
        <f>IF(J234="",AI234,J234)</f>
        <v/>
      </c>
      <c r="AK234" s="357" t="b">
        <f>AND(E228&lt;&gt;"",J234&lt;&gt;"")</f>
        <v>0</v>
      </c>
      <c r="AL234" s="326"/>
      <c r="AM234" s="358" t="s">
        <v>147</v>
      </c>
      <c r="AN234" s="359" t="str">
        <f>AJ234</f>
        <v/>
      </c>
      <c r="AO234" s="326"/>
      <c r="AP234" s="326"/>
      <c r="AQ234" s="349" t="str">
        <f>EUconst_CNTR_ActivityData&amp;EUconst_Value</f>
        <v>ActivityData_Value</v>
      </c>
      <c r="AR234" s="336"/>
      <c r="AS234" s="336"/>
      <c r="AT234" s="331" t="b">
        <f>AND(AND(AH234&lt;&gt;"",AJ234&lt;&gt;""),AJ234=AH234)</f>
        <v>0</v>
      </c>
      <c r="AU234" s="314"/>
      <c r="AV234" s="331">
        <f>IF(Y234=EUconst_NA,0,IF(COUNT(K234:K234)=0,0,IF(K234="",#REF!,K234)))</f>
        <v>0</v>
      </c>
      <c r="AW234" s="360" t="b">
        <f>AND(AC234=TRUE,OR(K234&lt;&gt;"",AU234=""))</f>
        <v>0</v>
      </c>
      <c r="AX234" s="360" t="b">
        <f>AND(AC234=TRUE,NOT(AW234))</f>
        <v>0</v>
      </c>
      <c r="AY234" s="314"/>
      <c r="AZ234" s="314" t="s">
        <v>148</v>
      </c>
      <c r="BA234" s="314" t="s">
        <v>149</v>
      </c>
      <c r="BB234" s="360"/>
      <c r="BC234" s="314" t="s">
        <v>150</v>
      </c>
      <c r="BD234" s="314"/>
      <c r="BE234" s="314"/>
      <c r="BF234" s="361" t="s">
        <v>119</v>
      </c>
      <c r="BG234" s="362" t="str">
        <f>IF(COUNTIF(AO237:AO238,TRUE)=0,"",BH234*AV245)</f>
        <v/>
      </c>
      <c r="BH234" s="362" t="str">
        <f>IF(COUNTIF(AO237:AO238,TRUE)=0,"",AV234*IF(AO237,1,AV236*AN238)*AV237-BH236-BH238-BH240)</f>
        <v/>
      </c>
      <c r="BI234" s="314"/>
      <c r="BJ234" s="314"/>
      <c r="BK234" s="314"/>
      <c r="BL234" s="314"/>
      <c r="BM234" s="314"/>
      <c r="BN234" s="314"/>
      <c r="BO234" s="314"/>
      <c r="BP234" s="314"/>
      <c r="BQ234" s="314"/>
      <c r="BR234" s="314"/>
      <c r="BS234" s="314"/>
      <c r="BT234" s="314"/>
      <c r="BU234" s="314"/>
      <c r="BV234" s="314"/>
      <c r="BW234" s="314"/>
      <c r="BX234" s="314"/>
      <c r="BY234" s="314"/>
      <c r="BZ234" s="314"/>
      <c r="CA234" s="314"/>
      <c r="CB234" s="314"/>
      <c r="CC234" s="314"/>
      <c r="CD234" s="314"/>
      <c r="CE234" s="314"/>
      <c r="CF234" s="314"/>
      <c r="CG234" s="314"/>
      <c r="CH234" s="314"/>
      <c r="CI234" s="314"/>
      <c r="CJ234" s="314"/>
      <c r="CK234" s="314"/>
      <c r="CL234" s="314"/>
      <c r="CM234" s="314"/>
      <c r="CN234" s="314"/>
      <c r="CO234" s="314"/>
      <c r="CP234" s="314"/>
      <c r="CQ234" s="360" t="b">
        <v>0</v>
      </c>
    </row>
    <row r="235" spans="1:95" ht="5.15" customHeight="1" thickBot="1" x14ac:dyDescent="0.3">
      <c r="A235" s="307"/>
      <c r="B235" s="68"/>
      <c r="C235" s="199"/>
      <c r="D235" s="202"/>
      <c r="E235" s="76"/>
      <c r="F235" s="76"/>
      <c r="G235" s="76"/>
      <c r="H235" s="76" t="str">
        <f>Translations!$B$397</f>
        <v xml:space="preserve"> </v>
      </c>
      <c r="I235" s="162"/>
      <c r="J235" s="162"/>
      <c r="K235" s="76"/>
      <c r="L235" s="76"/>
      <c r="M235" s="363"/>
      <c r="N235" s="76"/>
      <c r="O235" s="160"/>
      <c r="P235" s="109"/>
      <c r="Q235" s="312"/>
      <c r="R235" s="312"/>
      <c r="S235" s="314"/>
      <c r="T235" s="62"/>
      <c r="U235" s="312"/>
      <c r="V235" s="314"/>
      <c r="W235" s="314"/>
      <c r="X235" s="312"/>
      <c r="Y235" s="319"/>
      <c r="Z235" s="314"/>
      <c r="AA235" s="314"/>
      <c r="AB235" s="314"/>
      <c r="AC235" s="314"/>
      <c r="AD235" s="314"/>
      <c r="AE235" s="314"/>
      <c r="AF235" s="314"/>
      <c r="AG235" s="314"/>
      <c r="AH235" s="314"/>
      <c r="AI235" s="314"/>
      <c r="AJ235" s="314"/>
      <c r="AK235" s="314"/>
      <c r="AL235" s="326"/>
      <c r="AM235" s="326"/>
      <c r="AN235" s="326"/>
      <c r="AO235" s="326"/>
      <c r="AP235" s="326"/>
      <c r="AQ235" s="314"/>
      <c r="AR235" s="314"/>
      <c r="AS235" s="314"/>
      <c r="AT235" s="314"/>
      <c r="AU235" s="314"/>
      <c r="AV235" s="314"/>
      <c r="AW235" s="314"/>
      <c r="AX235" s="314"/>
      <c r="AY235" s="314"/>
      <c r="AZ235" s="314"/>
      <c r="BA235" s="314"/>
      <c r="BB235" s="314"/>
      <c r="BC235" s="314"/>
      <c r="BD235" s="314"/>
      <c r="BE235" s="314"/>
      <c r="BF235" s="314"/>
      <c r="BG235" s="364"/>
      <c r="BH235" s="364"/>
      <c r="BI235" s="314"/>
      <c r="BJ235" s="314"/>
      <c r="BK235" s="314"/>
      <c r="BL235" s="314"/>
      <c r="BM235" s="314"/>
      <c r="BN235" s="314"/>
      <c r="BO235" s="314"/>
      <c r="BP235" s="314"/>
      <c r="BQ235" s="314"/>
      <c r="BR235" s="314"/>
      <c r="BS235" s="314"/>
      <c r="BT235" s="314"/>
      <c r="BU235" s="314"/>
      <c r="BV235" s="314"/>
      <c r="BW235" s="314"/>
      <c r="BX235" s="314"/>
      <c r="BY235" s="314"/>
      <c r="BZ235" s="314"/>
      <c r="CA235" s="314"/>
      <c r="CB235" s="314"/>
      <c r="CC235" s="314"/>
      <c r="CD235" s="314"/>
      <c r="CE235" s="314"/>
      <c r="CF235" s="314"/>
      <c r="CG235" s="314"/>
      <c r="CH235" s="314"/>
      <c r="CI235" s="314"/>
      <c r="CJ235" s="314"/>
      <c r="CK235" s="314"/>
      <c r="CL235" s="314"/>
      <c r="CM235" s="314"/>
      <c r="CN235" s="314"/>
      <c r="CO235" s="314"/>
      <c r="CP235" s="314"/>
      <c r="CQ235" s="319"/>
    </row>
    <row r="236" spans="1:95" ht="12.75" customHeight="1" x14ac:dyDescent="0.25">
      <c r="A236" s="307"/>
      <c r="B236" s="68"/>
      <c r="C236" s="199" t="s">
        <v>13</v>
      </c>
      <c r="D236" s="344" t="str">
        <f>Translations!$B$360</f>
        <v>UCF:</v>
      </c>
      <c r="E236" s="345"/>
      <c r="F236" s="10"/>
      <c r="G236" s="1256" t="str">
        <f>IF(OR(ISBLANK(F236),F236=EUconst_NoTier),"",IF(Z236=0,EUconst_NotApplicable,IF(ISERROR(Z236),"",Z236)))</f>
        <v/>
      </c>
      <c r="H236" s="1257"/>
      <c r="I236" s="365" t="str">
        <f>IF(J236&lt;&gt;"","",AI236)</f>
        <v/>
      </c>
      <c r="J236" s="11"/>
      <c r="K236" s="366" t="str">
        <f>IF(L236="",AU236,"")</f>
        <v/>
      </c>
      <c r="L236" s="23"/>
      <c r="M236" s="347" t="str">
        <f>IF(AND(E229&lt;&gt;"",OR(F236="",COUNT(K236:L236)=0),Y236&lt;&gt;EUconst_NA),EUconst_ERR_Incomplete,IF(COUNTIF(BB236:BD236,TRUE)&gt;0,EUconst_ERR_Inconsistent,""))</f>
        <v/>
      </c>
      <c r="N236" s="367"/>
      <c r="O236" s="160"/>
      <c r="P236" s="109"/>
      <c r="Q236" s="312"/>
      <c r="R236" s="312"/>
      <c r="S236" s="314"/>
      <c r="T236" s="368" t="str">
        <f>EUconst_CNTR_UCF&amp;E229</f>
        <v>UCF_</v>
      </c>
      <c r="U236" s="312"/>
      <c r="V236" s="369" t="str">
        <f>V237</f>
        <v/>
      </c>
      <c r="W236" s="314"/>
      <c r="X236" s="312"/>
      <c r="Y236" s="370" t="str">
        <f>IF(E229="","",IF(OR(F236=EUconst_NA,W236=TRUE),EUconst_NA,INDEX(EUwideConstants!$P$164:$P$200,MATCH(T236,EUwideConstants!$S$164:$S$200,0))))</f>
        <v/>
      </c>
      <c r="Z236" s="371" t="str">
        <f>IF(ISBLANK(F236),"",IF(F236=EUconst_NA,"",INDEX(EUwideConstants!$H:$O,MATCH(T236,EUwideConstants!$S:$S,0),MATCH(F236,CNTR_TierList,0))))</f>
        <v/>
      </c>
      <c r="AA236" s="372" t="str">
        <f>IF(COUNTIF(EUconst_DefaultValues,Z236)&gt;0,MATCH(Z236,EUconst_DefaultValues,0),"")</f>
        <v/>
      </c>
      <c r="AB236" s="314"/>
      <c r="AC236" s="373" t="b">
        <f>AND(AC234,Y236&lt;&gt;EUconst_NA)</f>
        <v>0</v>
      </c>
      <c r="AD236" s="314"/>
      <c r="AE236" s="353" t="str">
        <f>EUconst_CNTR_UCF&amp;EUconst_Unit</f>
        <v>UCF_Unit</v>
      </c>
      <c r="AF236" s="374" t="str">
        <f>IF(AC236=TRUE, IF(COUNTIF(MSPara_SourceStreamCategory,V236)=0,"",INDEX(MSPara_CalcFactorsMatrix,MATCH(V236,MSPara_SourceStreamCategory,0),MATCH(AE236&amp;"_"&amp;2,MSPara_CalcFactors,0))),"")</f>
        <v/>
      </c>
      <c r="AG236" s="375" t="str">
        <f>IF(AC236=TRUE, IF(COUNTIF(MSPara_SourceStreamCategory,V236)=0,"",INDEX(MSPara_CalcFactorsMatrix,MATCH(V236,MSPara_SourceStreamCategory,0),MATCH(AE236&amp;"_"&amp;1,MSPara_CalcFactors,0))),"")</f>
        <v/>
      </c>
      <c r="AH236" s="373" t="str">
        <f>IF(AA236="","",INDEX(AF236:AG236,3-AA236))</f>
        <v/>
      </c>
      <c r="AI236" s="373" t="str">
        <f>IF(AC236=TRUE,IF(OR(AH236="",AH236=EUconst_NA),EUconst_GJ&amp;"/"&amp;AJ234,AH236),"")</f>
        <v/>
      </c>
      <c r="AJ236" s="373" t="str">
        <f>IF(J236="",AI236,J236)</f>
        <v/>
      </c>
      <c r="AK236" s="369" t="b">
        <f>AND(E228&lt;&gt;"",J236&lt;&gt;"")</f>
        <v>0</v>
      </c>
      <c r="AL236" s="326"/>
      <c r="AM236" s="358" t="s">
        <v>151</v>
      </c>
      <c r="AN236" s="359" t="str">
        <f>IF(AJ236="",EUconst_NA,IF(AN234=EUconst_TJ,EUconst_TJ,INDEX(EUwideConstants!$C$135:$G$139,MATCH(AN234,RFAUnits,0),MATCH(AJ236,UCFUnits,0))))</f>
        <v>n.a.</v>
      </c>
      <c r="AO236" s="326"/>
      <c r="AP236" s="326"/>
      <c r="AQ236" s="376" t="str">
        <f>EUconst_CNTR_UCF&amp;EUconst_Value</f>
        <v>UCF_Value</v>
      </c>
      <c r="AR236" s="377" t="str">
        <f>IF(AC236=TRUE,IF(COUNTIF(MSPara_SourceStreamCategory,V236)=0,"",INDEX(MSPara_CalcFactorsMatrix,MATCH(V236,MSPara_SourceStreamCategory,0),MATCH(AQ236&amp;"_"&amp;2,MSPara_CalcFactors,0))),"")</f>
        <v/>
      </c>
      <c r="AS236" s="378" t="str">
        <f>IF(AC236=TRUE,IF(COUNTIF(MSPara_SourceStreamCategory,V236)=0,"",INDEX(MSPara_CalcFactorsMatrix,MATCH(V236,MSPara_SourceStreamCategory,0),MATCH(AQ236&amp;"_"&amp;1,MSPara_CalcFactors,0))),"")</f>
        <v/>
      </c>
      <c r="AT236" s="379" t="b">
        <f>AND(AND(AH236&lt;&gt;"",AJ236&lt;&gt;""),AJ236=AH236)</f>
        <v>0</v>
      </c>
      <c r="AU236" s="380" t="str">
        <f>IF(AND(AA236&lt;&gt;"",AT236=TRUE),IF(OR(INDEX(AR236:AS236,3-AA236)=EUconst_NA,INDEX(AR236:AS236,3-AA236)=0),"",INDEX(AR236:AS236,3-AA236)),"")</f>
        <v/>
      </c>
      <c r="AV236" s="373">
        <f>IF(AC236=TRUE,IF(COUNT(K236:L236)=0,0,IF(L236="",K236,L236)),0)</f>
        <v>0</v>
      </c>
      <c r="AW236" s="369" t="b">
        <f t="shared" ref="AW236:AW243" si="54">AND(AC236=TRUE,OR(AND(F236&lt;&gt;"",NOT(ISNUMBER(AA236))),L236&lt;&gt;"",F236="",AU236=""))</f>
        <v>0</v>
      </c>
      <c r="AX236" s="381" t="b">
        <f t="shared" ref="AX236:AX243" si="55">AND(AC236=TRUE,NOT(AW236))</f>
        <v>0</v>
      </c>
      <c r="AY236" s="314"/>
      <c r="AZ236" s="382" t="b">
        <f t="shared" ref="AZ236:AZ243" si="56">AND(ISNUMBER(AA236),AU236="")</f>
        <v>0</v>
      </c>
      <c r="BA236" s="383" t="b">
        <f t="shared" ref="BA236:BA243" si="57">AND(ISNUMBER(AA236),AU236&lt;&gt;AV236)</f>
        <v>0</v>
      </c>
      <c r="BB236" s="369" t="b">
        <f>AND(E229&lt;&gt;"",F236&lt;&gt;EUconst_NA,AN236=EUconst_NA)</f>
        <v>0</v>
      </c>
      <c r="BC236" s="369" t="b">
        <f t="shared" ref="BC236:BC243" si="58">AND(L236&lt;&gt;"",Y236=EUconst_NA)</f>
        <v>0</v>
      </c>
      <c r="BD236" s="314"/>
      <c r="BE236" s="314"/>
      <c r="BF236" s="382" t="s">
        <v>152</v>
      </c>
      <c r="BG236" s="384" t="str">
        <f>IF(COUNTIF(AO237:AO238,TRUE)=0,"",BH236*AV245)</f>
        <v/>
      </c>
      <c r="BH236" s="384" t="str">
        <f>IF(COUNTIF(AO237:AO238,TRUE)=0,"",AV234*IF(AO237,1,AV236*AN238)*AV237*AV238)</f>
        <v/>
      </c>
      <c r="BI236" s="314"/>
      <c r="BJ236" s="314"/>
      <c r="BK236" s="314"/>
      <c r="BL236" s="314"/>
      <c r="BM236" s="314"/>
      <c r="BN236" s="314"/>
      <c r="BO236" s="314"/>
      <c r="BP236" s="314"/>
      <c r="BQ236" s="314"/>
      <c r="BR236" s="314"/>
      <c r="BS236" s="314"/>
      <c r="BT236" s="314"/>
      <c r="BU236" s="314"/>
      <c r="BV236" s="314"/>
      <c r="BW236" s="314"/>
      <c r="BX236" s="314"/>
      <c r="BY236" s="314"/>
      <c r="BZ236" s="314"/>
      <c r="CA236" s="314"/>
      <c r="CB236" s="314"/>
      <c r="CC236" s="314"/>
      <c r="CD236" s="314"/>
      <c r="CE236" s="314"/>
      <c r="CF236" s="314"/>
      <c r="CG236" s="314"/>
      <c r="CH236" s="314"/>
      <c r="CI236" s="314"/>
      <c r="CJ236" s="314"/>
      <c r="CK236" s="314"/>
      <c r="CL236" s="314"/>
      <c r="CM236" s="314"/>
      <c r="CN236" s="314"/>
      <c r="CO236" s="314"/>
      <c r="CP236" s="314"/>
      <c r="CQ236" s="369" t="b">
        <f>OR(CQ234,Y236=EUconst_NA)</f>
        <v>0</v>
      </c>
    </row>
    <row r="237" spans="1:95" ht="12.75" customHeight="1" thickBot="1" x14ac:dyDescent="0.3">
      <c r="A237" s="307"/>
      <c r="B237" s="68"/>
      <c r="C237" s="199" t="s">
        <v>14</v>
      </c>
      <c r="D237" s="344" t="str">
        <f>Translations!$B$358</f>
        <v>(prelim) EF:</v>
      </c>
      <c r="E237" s="345"/>
      <c r="F237" s="59"/>
      <c r="G237" s="1256" t="str">
        <f>IF(OR(ISBLANK(F237),F237=EUconst_NoTier),"",IF(Z237=0,EUconst_NotApplicable,IF(ISERROR(Z237),"",Z237)))</f>
        <v/>
      </c>
      <c r="H237" s="1260"/>
      <c r="I237" s="385" t="str">
        <f>IF(J237&lt;&gt;"","",AI237)</f>
        <v/>
      </c>
      <c r="J237" s="22"/>
      <c r="K237" s="386" t="str">
        <f>IF(L237="",AU237,"")</f>
        <v/>
      </c>
      <c r="L237" s="58"/>
      <c r="M237" s="347" t="str">
        <f>IF(AND(E229&lt;&gt;"",OR(F237="",COUNT(K237:L237)=0),Y237&lt;&gt;EUconst_NA),EUconst_ERR_Incomplete,IF(COUNTIF(BB237:BD237,TRUE)&gt;0,EUconst_ERR_Inconsistent,""))</f>
        <v/>
      </c>
      <c r="N237" s="387"/>
      <c r="O237" s="160"/>
      <c r="P237" s="109"/>
      <c r="Q237" s="312"/>
      <c r="R237" s="312"/>
      <c r="S237" s="314"/>
      <c r="T237" s="388" t="str">
        <f>EUconst_CNTR_EF&amp;E229</f>
        <v>EF_</v>
      </c>
      <c r="U237" s="312"/>
      <c r="V237" s="389" t="str">
        <f>V234</f>
        <v/>
      </c>
      <c r="W237" s="314"/>
      <c r="X237" s="312"/>
      <c r="Y237" s="390" t="str">
        <f>IF(E229="","",IF(OR(F237=EUconst_NA,W237=TRUE),EUconst_NA,INDEX(EUwideConstants!$P$164:$P$200,MATCH(T237,EUwideConstants!$S$164:$S$200,0))))</f>
        <v/>
      </c>
      <c r="Z237" s="391" t="str">
        <f>IF(ISBLANK(F237),"",IF(F237=EUconst_NA,"",INDEX(EUwideConstants!$H:$O,MATCH(T237,EUwideConstants!$S:$S,0),MATCH(F237,CNTR_TierList,0))))</f>
        <v/>
      </c>
      <c r="AA237" s="392" t="str">
        <f>IF(COUNTIF(EUconst_DefaultValues,Z237)&gt;0,MATCH(Z237,EUconst_DefaultValues,0),"")</f>
        <v/>
      </c>
      <c r="AB237" s="314"/>
      <c r="AC237" s="393" t="b">
        <f>AND(AC234,Y237&lt;&gt;EUconst_NA)</f>
        <v>0</v>
      </c>
      <c r="AD237" s="314"/>
      <c r="AE237" s="394" t="str">
        <f>EUconst_CNTR_EF&amp;EUconst_Unit</f>
        <v>EF_Unit</v>
      </c>
      <c r="AF237" s="395" t="str">
        <f>IF(AC237=TRUE, IF(COUNTIF(MSPara_SourceStreamCategory,V237)=0,"",INDEX(MSPara_CalcFactorsMatrix,MATCH(V237,MSPara_SourceStreamCategory,0),MATCH(AE237&amp;"_"&amp;2,MSPara_CalcFactors,0))),"")</f>
        <v/>
      </c>
      <c r="AG237" s="396" t="str">
        <f>IF(AC237=TRUE, IF(COUNTIF(MSPara_SourceStreamCategory,V237)=0,"",INDEX(MSPara_CalcFactorsMatrix,MATCH(V237,MSPara_SourceStreamCategory,0),MATCH(AE237&amp;"_"&amp;1,MSPara_CalcFactors,0))),"")</f>
        <v/>
      </c>
      <c r="AH237" s="397" t="str">
        <f>IF(AA237="","",INDEX(AF237:AG237,3-AA237))</f>
        <v/>
      </c>
      <c r="AI237" s="397" t="str">
        <f>IF(AC237=TRUE,IF(OR(AH237="",AH237=EUconst_NA),EUconst_tCO2&amp;"/"&amp;IF(AN236=EUconst_NA,AN234,IF(AN236=EUconst_GJ,EUconst_TJ,AN236)),AH237),"")</f>
        <v/>
      </c>
      <c r="AJ237" s="397" t="str">
        <f>IF(J237="",AI237,J237)</f>
        <v/>
      </c>
      <c r="AK237" s="398" t="b">
        <f>AND(E229&lt;&gt;"",J237&lt;&gt;"")</f>
        <v>0</v>
      </c>
      <c r="AL237" s="326"/>
      <c r="AM237" s="358" t="s">
        <v>153</v>
      </c>
      <c r="AN237" s="359" t="str">
        <f>IF(COUNTIF(RFAUnits,AN234)=0,EUconst_NA,INDEX(EUwideConstants!$C$150:$H$154,MATCH(AJ237,EFUnits,0),MATCH(AN234,EUwideConstants!$C$149:$H$149,0)))</f>
        <v>n.a.</v>
      </c>
      <c r="AO237" s="359" t="b">
        <f>AN237&lt;&gt;EUconst_NA</f>
        <v>0</v>
      </c>
      <c r="AP237" s="326"/>
      <c r="AQ237" s="399" t="str">
        <f>EUconst_CNTR_EF&amp;EUconst_Value</f>
        <v>EF_Value</v>
      </c>
      <c r="AR237" s="400" t="str">
        <f>IF(AC237=TRUE,IF(COUNTIF(MSPara_SourceStreamCategory,V237)=0,"",INDEX(MSPara_CalcFactorsMatrix,MATCH(V237,MSPara_SourceStreamCategory,0),MATCH(AQ237&amp;"_"&amp;2,MSPara_CalcFactors,0))),"")</f>
        <v/>
      </c>
      <c r="AS237" s="401" t="str">
        <f>IF(AC237=TRUE,IF(COUNTIF(MSPara_SourceStreamCategory,V237)=0,"",INDEX(MSPara_CalcFactorsMatrix,MATCH(V237,MSPara_SourceStreamCategory,0),MATCH(AQ237&amp;"_"&amp;1,MSPara_CalcFactors,0))),"")</f>
        <v/>
      </c>
      <c r="AT237" s="402" t="b">
        <f>AND(AND(AH237&lt;&gt;"",AJ237&lt;&gt;""),AJ237=AH237)</f>
        <v>0</v>
      </c>
      <c r="AU237" s="403" t="str">
        <f>IF(AND(AA237&lt;&gt;"",AT237=TRUE),IF(OR(INDEX(AR237:AS237,3-AA237)=EUconst_NA,INDEX(AR237:AS237,3-AA237)=0),"",INDEX(AR237:AS237,3-AA237)),"")</f>
        <v/>
      </c>
      <c r="AV237" s="393">
        <f>IF(AC237=TRUE,IF(COUNT(K237:L237)=0,0,IF(L237="",K237,L237)),0)</f>
        <v>0</v>
      </c>
      <c r="AW237" s="389" t="b">
        <f t="shared" si="54"/>
        <v>0</v>
      </c>
      <c r="AX237" s="404" t="b">
        <f t="shared" si="55"/>
        <v>0</v>
      </c>
      <c r="AY237" s="314"/>
      <c r="AZ237" s="405" t="b">
        <f t="shared" si="56"/>
        <v>0</v>
      </c>
      <c r="BA237" s="406" t="b">
        <f t="shared" si="57"/>
        <v>0</v>
      </c>
      <c r="BB237" s="407" t="b">
        <f>AND(E229&lt;&gt;"",COUNTIF(AO237:AO238,TRUE)=0)</f>
        <v>0</v>
      </c>
      <c r="BC237" s="389" t="b">
        <f t="shared" si="58"/>
        <v>0</v>
      </c>
      <c r="BD237" s="314"/>
      <c r="BE237" s="314"/>
      <c r="BF237" s="408" t="s">
        <v>154</v>
      </c>
      <c r="BG237" s="409" t="str">
        <f>IF(COUNTIF(AO237:AO238,TRUE)=0,"",BH237*AV245)</f>
        <v/>
      </c>
      <c r="BH237" s="409" t="str">
        <f>IF(COUNTIF(AO237:AO238,TRUE)=0,"",AV234*IF(AO237,1,AV236*AN238)*AV237*AV239)</f>
        <v/>
      </c>
      <c r="BI237" s="314"/>
      <c r="BJ237" s="314"/>
      <c r="BK237" s="314"/>
      <c r="BL237" s="314"/>
      <c r="BM237" s="314"/>
      <c r="BN237" s="314"/>
      <c r="BO237" s="314"/>
      <c r="BP237" s="314"/>
      <c r="BQ237" s="314"/>
      <c r="BR237" s="314"/>
      <c r="BS237" s="314"/>
      <c r="BT237" s="314"/>
      <c r="BU237" s="314"/>
      <c r="BV237" s="314"/>
      <c r="BW237" s="314"/>
      <c r="BX237" s="314"/>
      <c r="BY237" s="314"/>
      <c r="BZ237" s="314"/>
      <c r="CA237" s="314"/>
      <c r="CB237" s="314"/>
      <c r="CC237" s="314"/>
      <c r="CD237" s="314"/>
      <c r="CE237" s="314"/>
      <c r="CF237" s="314"/>
      <c r="CG237" s="314"/>
      <c r="CH237" s="314"/>
      <c r="CI237" s="314"/>
      <c r="CJ237" s="314"/>
      <c r="CK237" s="314"/>
      <c r="CL237" s="314"/>
      <c r="CM237" s="314"/>
      <c r="CN237" s="314"/>
      <c r="CO237" s="314"/>
      <c r="CP237" s="314"/>
      <c r="CQ237" s="407" t="b">
        <f>OR(CQ234,Y237=EUconst_NA)</f>
        <v>0</v>
      </c>
    </row>
    <row r="238" spans="1:95" ht="12.75" customHeight="1" x14ac:dyDescent="0.25">
      <c r="A238" s="307"/>
      <c r="B238" s="68"/>
      <c r="C238" s="199" t="s">
        <v>15</v>
      </c>
      <c r="D238" s="344" t="str">
        <f>Translations!$B$362</f>
        <v>BioF:</v>
      </c>
      <c r="E238" s="345"/>
      <c r="F238" s="10"/>
      <c r="G238" s="1256" t="str">
        <f>IF(OR(ISBLANK(F238),F238=EUconst_NoTier),"",IF(Z238=0,EUconst_NotApplicable,IF(ISERROR(Z238),"",Z238)))</f>
        <v/>
      </c>
      <c r="H238" s="1257"/>
      <c r="I238" s="410" t="str">
        <f t="shared" ref="I238:I243" si="59">IF(OR(AC238=FALSE,Y238=EUconst_NA),"","-")</f>
        <v/>
      </c>
      <c r="J238" s="411"/>
      <c r="K238" s="412" t="str">
        <f>IF(L238="",AU238,"")</f>
        <v/>
      </c>
      <c r="L238" s="60"/>
      <c r="M238" s="347" t="str">
        <f>IF(AND(E229&lt;&gt;"",OR(F238="",COUNT(K238:L238)=0),Y238&lt;&gt;EUconst_NA),EUconst_ERR_Incomplete,IF(COUNTIF(BB238:BD238,TRUE)&gt;0,EUconst_ERR_Inconsistent,""))</f>
        <v/>
      </c>
      <c r="O238" s="160"/>
      <c r="P238" s="348"/>
      <c r="Q238" s="413"/>
      <c r="R238" s="413"/>
      <c r="S238" s="314"/>
      <c r="T238" s="388" t="str">
        <f>EUconst_CNTR_BiomassContent&amp;E229</f>
        <v>BioC_</v>
      </c>
      <c r="U238" s="312"/>
      <c r="V238" s="369" t="str">
        <f>V236</f>
        <v/>
      </c>
      <c r="W238" s="369" t="str">
        <f>IF(OR(V238="",COUNTIF(MSPara_SourceStreamCategory,V238)=0),"",INDEX(MSPara_IsFossil,MATCH(V238,MSPara_SourceStreamCategory,0)))</f>
        <v/>
      </c>
      <c r="X238" s="312"/>
      <c r="Y238" s="370" t="str">
        <f>IF(E229="","",IF(OR(F238=EUconst_NA,W238=TRUE),EUconst_NA,INDEX(EUwideConstants!$P$164:$P$200,MATCH(T238,EUwideConstants!$S$164:$S$200,0))))</f>
        <v/>
      </c>
      <c r="Z238" s="371" t="str">
        <f>IF(ISBLANK(F238),"",IF(F238=EUconst_NA,"",INDEX(EUwideConstants!$H:$O,MATCH(T238,EUwideConstants!$S:$S,0),MATCH(F238,CNTR_TierList,0))))</f>
        <v/>
      </c>
      <c r="AA238" s="414" t="str">
        <f>IF(F238=1,1,"")</f>
        <v/>
      </c>
      <c r="AB238" s="314"/>
      <c r="AC238" s="373" t="b">
        <f>AND(AC234,Y238&lt;&gt;EUconst_NA)</f>
        <v>0</v>
      </c>
      <c r="AD238" s="314"/>
      <c r="AE238" s="415"/>
      <c r="AF238" s="416"/>
      <c r="AG238" s="417"/>
      <c r="AH238" s="418"/>
      <c r="AI238" s="418"/>
      <c r="AJ238" s="418"/>
      <c r="AK238" s="419"/>
      <c r="AL238" s="326"/>
      <c r="AM238" s="358" t="s">
        <v>155</v>
      </c>
      <c r="AN238" s="359" t="str">
        <f>IF(AN236=EUconst_NA,EUconst_NA,INDEX(EUwideConstants!$C$150:$H$154,MATCH(AJ237,EFUnits,0),MATCH(AN236,EUwideConstants!$C$149:$H$149,0)))</f>
        <v>n.a.</v>
      </c>
      <c r="AO238" s="359" t="b">
        <f>AN238&lt;&gt;EUconst_NA</f>
        <v>0</v>
      </c>
      <c r="AP238" s="326"/>
      <c r="AQ238" s="376" t="str">
        <f>EUconst_CNTR_BiomassContent&amp;EUconst_Value</f>
        <v>BioC_Value</v>
      </c>
      <c r="AR238" s="420"/>
      <c r="AS238" s="378" t="str">
        <f t="shared" ref="AS238:AS243" si="60">IF(AC238=TRUE,IF(COUNTIF(MSPara_SourceStreamCategory,V238)=0,"",INDEX(MSPara_CalcFactorsMatrix,MATCH(V238,MSPara_SourceStreamCategory,0),MATCH(AQ238&amp;"_"&amp;2,MSPara_CalcFactors,0))),"")</f>
        <v/>
      </c>
      <c r="AT238" s="421"/>
      <c r="AU238" s="380" t="str">
        <f t="shared" ref="AU238:AU243" si="61">IF(OR(AA238="",AS238=EUconst_NA),"",AS238)</f>
        <v/>
      </c>
      <c r="AV238" s="373">
        <f>IF(AC238=TRUE,IF(COUNT(K238:L238)=0,0,IF(L238="",K238,L238)),0)</f>
        <v>0</v>
      </c>
      <c r="AW238" s="369" t="b">
        <f t="shared" si="54"/>
        <v>0</v>
      </c>
      <c r="AX238" s="381" t="b">
        <f t="shared" si="55"/>
        <v>0</v>
      </c>
      <c r="AY238" s="314"/>
      <c r="AZ238" s="382" t="b">
        <f t="shared" si="56"/>
        <v>0</v>
      </c>
      <c r="BA238" s="383" t="b">
        <f t="shared" si="57"/>
        <v>0</v>
      </c>
      <c r="BB238" s="314"/>
      <c r="BC238" s="369" t="b">
        <f t="shared" si="58"/>
        <v>0</v>
      </c>
      <c r="BD238" s="369" t="b">
        <f>OR(AV238&gt;100%,(AV238+AV239)&gt;100%)</f>
        <v>0</v>
      </c>
      <c r="BE238" s="314"/>
      <c r="BF238" s="382" t="s">
        <v>156</v>
      </c>
      <c r="BG238" s="384" t="str">
        <f>IF(COUNTIF(AO237:AO238,TRUE)=0,"",BH238*AV245)</f>
        <v/>
      </c>
      <c r="BH238" s="384" t="str">
        <f>IF(COUNTIF(AO237:AO238,TRUE)=0,"",AV234*IF(AO237,1,AV236*AN238)*AV237*AV240)</f>
        <v/>
      </c>
      <c r="BJ238" s="314"/>
      <c r="BK238" s="314"/>
      <c r="BL238" s="314"/>
      <c r="BM238" s="314"/>
      <c r="BN238" s="314"/>
      <c r="BO238" s="314"/>
      <c r="BP238" s="314"/>
      <c r="BQ238" s="314"/>
      <c r="BR238" s="314"/>
      <c r="BS238" s="314"/>
      <c r="BT238" s="314"/>
      <c r="BU238" s="314"/>
      <c r="BV238" s="314"/>
      <c r="BW238" s="314"/>
      <c r="BX238" s="314"/>
      <c r="BY238" s="314"/>
      <c r="BZ238" s="314"/>
      <c r="CA238" s="314"/>
      <c r="CB238" s="314"/>
      <c r="CC238" s="314"/>
      <c r="CD238" s="314"/>
      <c r="CE238" s="314"/>
      <c r="CF238" s="314"/>
      <c r="CG238" s="314"/>
      <c r="CH238" s="314"/>
      <c r="CI238" s="314"/>
      <c r="CJ238" s="314"/>
      <c r="CK238" s="314"/>
      <c r="CL238" s="314"/>
      <c r="CM238" s="314"/>
      <c r="CN238" s="314"/>
      <c r="CO238" s="314"/>
      <c r="CP238" s="314"/>
      <c r="CQ238" s="369" t="b">
        <f>OR(CQ234,Y238=EUconst_NA)</f>
        <v>0</v>
      </c>
    </row>
    <row r="239" spans="1:95" ht="12.75" customHeight="1" thickBot="1" x14ac:dyDescent="0.3">
      <c r="A239" s="307"/>
      <c r="B239" s="68"/>
      <c r="C239" s="199" t="s">
        <v>16</v>
      </c>
      <c r="D239" s="344" t="str">
        <f>Translations!$B$368</f>
        <v>non-sust. BioF:</v>
      </c>
      <c r="E239" s="345"/>
      <c r="F239" s="20"/>
      <c r="G239" s="1256" t="str">
        <f>IF(OR(ISBLANK(F239),F239=EUconst_NoTier),"",IF(Z239=0,EUconst_NotApplicable,IF(ISERROR(Z239),"",Z239)))</f>
        <v/>
      </c>
      <c r="H239" s="1257"/>
      <c r="I239" s="422" t="str">
        <f t="shared" si="59"/>
        <v/>
      </c>
      <c r="J239" s="423"/>
      <c r="K239" s="424" t="str">
        <f>IF(L239="",AU239,"")</f>
        <v/>
      </c>
      <c r="L239" s="21"/>
      <c r="M239" s="347" t="str">
        <f>IF(AND(E229&lt;&gt;"",OR(F239="",COUNT(K239:L239)=0),Y239&lt;&gt;EUconst_NA),EUconst_ERR_Incomplete,IF(COUNTIF(BB239:BD239,TRUE)&gt;0,EUconst_ERR_Inconsistent,""))</f>
        <v/>
      </c>
      <c r="N239" s="76"/>
      <c r="O239" s="160"/>
      <c r="P239" s="348"/>
      <c r="Q239" s="413"/>
      <c r="R239" s="413"/>
      <c r="S239" s="314"/>
      <c r="T239" s="425" t="str">
        <f>EUconst_CNTR_BiomassContent&amp;E229</f>
        <v>BioC_</v>
      </c>
      <c r="U239" s="312"/>
      <c r="V239" s="407" t="str">
        <f>V238</f>
        <v/>
      </c>
      <c r="W239" s="407" t="str">
        <f>IF(OR(V238="",COUNTIF(MSPara_SourceStreamCategory,V239)=0),"",INDEX(MSPara_IsFossil,MATCH(V239,MSPara_SourceStreamCategory,0)))</f>
        <v/>
      </c>
      <c r="X239" s="312"/>
      <c r="Y239" s="426" t="str">
        <f>IF(E229="","",IF(OR(F239=EUconst_NA,W239=TRUE),EUconst_NA,INDEX(EUwideConstants!$P$164:$P$200,MATCH(T239,EUwideConstants!$S$164:$S$200,0))))</f>
        <v/>
      </c>
      <c r="Z239" s="427" t="str">
        <f>IF(ISBLANK(F239),"",IF(F239=EUconst_NA,"",INDEX(EUwideConstants!$H:$O,MATCH(T239,EUwideConstants!$S:$S,0),MATCH(F239,CNTR_TierList,0))))</f>
        <v/>
      </c>
      <c r="AA239" s="428" t="str">
        <f>IF(F239=1,1,"")</f>
        <v/>
      </c>
      <c r="AB239" s="314"/>
      <c r="AC239" s="429" t="b">
        <f>AND(AC234,Y239&lt;&gt;EUconst_NA)</f>
        <v>0</v>
      </c>
      <c r="AD239" s="314"/>
      <c r="AE239" s="430"/>
      <c r="AF239" s="431"/>
      <c r="AG239" s="432"/>
      <c r="AH239" s="433"/>
      <c r="AI239" s="433"/>
      <c r="AJ239" s="433"/>
      <c r="AK239" s="434"/>
      <c r="AL239" s="326"/>
      <c r="AM239" s="326"/>
      <c r="AN239" s="326"/>
      <c r="AO239" s="326"/>
      <c r="AP239" s="326"/>
      <c r="AQ239" s="435" t="str">
        <f>EUconst_CNTR_BiomassContent&amp;EUconst_Value</f>
        <v>BioC_Value</v>
      </c>
      <c r="AR239" s="430"/>
      <c r="AS239" s="436" t="str">
        <f t="shared" si="60"/>
        <v/>
      </c>
      <c r="AT239" s="437"/>
      <c r="AU239" s="438" t="str">
        <f t="shared" si="61"/>
        <v/>
      </c>
      <c r="AV239" s="429">
        <f>IF(AC239=TRUE,IF(COUNT(K239:L239)=0,0,IF(L239="",K239,L239)),0)</f>
        <v>0</v>
      </c>
      <c r="AW239" s="407" t="b">
        <f t="shared" si="54"/>
        <v>0</v>
      </c>
      <c r="AX239" s="439" t="b">
        <f t="shared" si="55"/>
        <v>0</v>
      </c>
      <c r="AY239" s="314"/>
      <c r="AZ239" s="408" t="b">
        <f t="shared" si="56"/>
        <v>0</v>
      </c>
      <c r="BA239" s="440" t="b">
        <f t="shared" si="57"/>
        <v>0</v>
      </c>
      <c r="BB239" s="314"/>
      <c r="BC239" s="407" t="b">
        <f t="shared" si="58"/>
        <v>0</v>
      </c>
      <c r="BD239" s="407" t="b">
        <f>OR(AV238&gt;100%,(AV238+AV239)&gt;100%)</f>
        <v>0</v>
      </c>
      <c r="BE239" s="314"/>
      <c r="BF239" s="408" t="s">
        <v>157</v>
      </c>
      <c r="BG239" s="409" t="str">
        <f>IF(COUNTIF(AO237:AO238,TRUE)=0,"",BH239*AV245)</f>
        <v/>
      </c>
      <c r="BH239" s="409" t="str">
        <f>IF(COUNTIF(AO237:AO238,TRUE)=0,"",AV234*IF(AO237,1,AV236*AN238)*AV237*AV241)</f>
        <v/>
      </c>
      <c r="BJ239" s="314"/>
      <c r="BK239" s="314"/>
      <c r="BL239" s="314"/>
      <c r="BM239" s="314"/>
      <c r="BN239" s="314"/>
      <c r="BO239" s="314"/>
      <c r="BP239" s="314"/>
      <c r="BQ239" s="314"/>
      <c r="BR239" s="314"/>
      <c r="BS239" s="314"/>
      <c r="BT239" s="314"/>
      <c r="BU239" s="314"/>
      <c r="BV239" s="314"/>
      <c r="BW239" s="314"/>
      <c r="BX239" s="314"/>
      <c r="BY239" s="314"/>
      <c r="BZ239" s="314"/>
      <c r="CA239" s="314"/>
      <c r="CB239" s="314"/>
      <c r="CC239" s="314"/>
      <c r="CD239" s="314"/>
      <c r="CE239" s="314"/>
      <c r="CF239" s="314"/>
      <c r="CG239" s="314"/>
      <c r="CH239" s="314"/>
      <c r="CI239" s="314"/>
      <c r="CJ239" s="314"/>
      <c r="CK239" s="314"/>
      <c r="CL239" s="314"/>
      <c r="CM239" s="314"/>
      <c r="CN239" s="314"/>
      <c r="CO239" s="314"/>
      <c r="CP239" s="314"/>
      <c r="CQ239" s="407" t="b">
        <f>OR(CQ234,Y239=EUconst_NA)</f>
        <v>0</v>
      </c>
    </row>
    <row r="240" spans="1:95" ht="12.75" customHeight="1" thickBot="1" x14ac:dyDescent="0.3">
      <c r="A240" s="307"/>
      <c r="B240" s="68"/>
      <c r="C240" s="199" t="s">
        <v>17</v>
      </c>
      <c r="D240" s="344" t="str">
        <f>Translations!$B$610</f>
        <v>sust. RFNBO/RCF:</v>
      </c>
      <c r="E240" s="441"/>
      <c r="F240" s="19" t="s">
        <v>158</v>
      </c>
      <c r="G240" s="1261"/>
      <c r="H240" s="1262"/>
      <c r="I240" s="442" t="str">
        <f t="shared" si="59"/>
        <v/>
      </c>
      <c r="J240" s="411"/>
      <c r="K240" s="443"/>
      <c r="L240" s="55"/>
      <c r="M240" s="347" t="str">
        <f>IF(AND(E229&lt;&gt;"",OR(F240="",COUNT(L240)=0),Y240&lt;&gt;EUconst_NA),EUconst_ERR_Incomplete,"")</f>
        <v/>
      </c>
      <c r="N240" s="76"/>
      <c r="O240" s="160"/>
      <c r="P240" s="348"/>
      <c r="Q240" s="413"/>
      <c r="R240" s="413"/>
      <c r="S240" s="314"/>
      <c r="T240" s="388" t="str">
        <f>EUconst_CNTR_RFNBOetcContent&amp;E229</f>
        <v>RNFBOC_</v>
      </c>
      <c r="U240" s="312"/>
      <c r="V240" s="312"/>
      <c r="W240" s="312"/>
      <c r="X240" s="312"/>
      <c r="Y240" s="380" t="str">
        <f>IF(E229="","",IF(OR(F240=EUconst_NA,W240=TRUE),EUconst_NA,INDEX(EUwideConstants!$P$164:$P$200,MATCH(T240,EUwideConstants!$S$164:$S$200,0))))</f>
        <v/>
      </c>
      <c r="Z240" s="314"/>
      <c r="AA240" s="314"/>
      <c r="AB240" s="314"/>
      <c r="AC240" s="397" t="b">
        <f>AND(AC236,Y240&lt;&gt;EUconst_NA)</f>
        <v>0</v>
      </c>
      <c r="AD240" s="314"/>
      <c r="AE240" s="415"/>
      <c r="AF240" s="416"/>
      <c r="AG240" s="417"/>
      <c r="AH240" s="418"/>
      <c r="AI240" s="418"/>
      <c r="AJ240" s="418"/>
      <c r="AK240" s="419"/>
      <c r="AL240" s="326"/>
      <c r="AM240" s="326"/>
      <c r="AN240" s="326"/>
      <c r="AO240" s="326"/>
      <c r="AP240" s="326"/>
      <c r="AQ240" s="444" t="s">
        <v>159</v>
      </c>
      <c r="AR240" s="415"/>
      <c r="AS240" s="445" t="str">
        <f t="shared" si="60"/>
        <v/>
      </c>
      <c r="AT240" s="446"/>
      <c r="AU240" s="447" t="str">
        <f t="shared" si="61"/>
        <v/>
      </c>
      <c r="AV240" s="397">
        <f>IF(L240&lt;&gt;0,L240,L240)</f>
        <v>0</v>
      </c>
      <c r="AW240" s="398" t="b">
        <f t="shared" si="54"/>
        <v>0</v>
      </c>
      <c r="AX240" s="448" t="b">
        <f t="shared" si="55"/>
        <v>0</v>
      </c>
      <c r="AY240" s="314"/>
      <c r="AZ240" s="449" t="b">
        <f t="shared" si="56"/>
        <v>0</v>
      </c>
      <c r="BA240" s="450" t="b">
        <f t="shared" si="57"/>
        <v>0</v>
      </c>
      <c r="BB240" s="314"/>
      <c r="BC240" s="398" t="b">
        <f t="shared" si="58"/>
        <v>0</v>
      </c>
      <c r="BD240" s="369" t="b">
        <f>OR(AV240&gt;100%,(AV240+AV241)&gt;100%)</f>
        <v>0</v>
      </c>
      <c r="BE240" s="314"/>
      <c r="BF240" s="451" t="s">
        <v>160</v>
      </c>
      <c r="BG240" s="452" t="str">
        <f>IF(COUNTIF(AO237:AO238,TRUE)=0,"",BH240*AV245)</f>
        <v/>
      </c>
      <c r="BH240" s="452" t="str">
        <f>IF(COUNTIF(AO237:AO238,TRUE)=0,"",AV234*IF(AO237,1,AV236*AN238)*AV237*AV242)</f>
        <v/>
      </c>
      <c r="BJ240" s="314"/>
      <c r="BK240" s="314"/>
      <c r="BL240" s="314"/>
      <c r="BM240" s="314"/>
      <c r="BN240" s="314"/>
      <c r="BO240" s="314"/>
      <c r="BP240" s="314"/>
      <c r="BQ240" s="314"/>
      <c r="BR240" s="314"/>
      <c r="BS240" s="314"/>
      <c r="BT240" s="314"/>
      <c r="BU240" s="314"/>
      <c r="BV240" s="314"/>
      <c r="BW240" s="314"/>
      <c r="BX240" s="314"/>
      <c r="BY240" s="314"/>
      <c r="BZ240" s="314"/>
      <c r="CA240" s="314"/>
      <c r="CB240" s="314"/>
      <c r="CC240" s="314"/>
      <c r="CD240" s="314"/>
      <c r="CE240" s="314"/>
      <c r="CF240" s="314"/>
      <c r="CG240" s="314"/>
      <c r="CH240" s="314"/>
      <c r="CI240" s="314"/>
      <c r="CJ240" s="314"/>
      <c r="CK240" s="314"/>
      <c r="CL240" s="314"/>
      <c r="CM240" s="314"/>
      <c r="CN240" s="314"/>
      <c r="CO240" s="314"/>
      <c r="CP240" s="314"/>
      <c r="CQ240" s="407" t="b">
        <f>OR(CQ234,Y240=EUconst_NA)</f>
        <v>0</v>
      </c>
    </row>
    <row r="241" spans="1:95" ht="12.75" customHeight="1" thickBot="1" x14ac:dyDescent="0.3">
      <c r="A241" s="307"/>
      <c r="B241" s="68"/>
      <c r="C241" s="199" t="s">
        <v>161</v>
      </c>
      <c r="D241" s="344" t="str">
        <f>Translations!$B$613</f>
        <v>non-sust. RFNBO/RCF:</v>
      </c>
      <c r="E241" s="441"/>
      <c r="F241" s="20" t="s">
        <v>158</v>
      </c>
      <c r="G241" s="1261"/>
      <c r="H241" s="1262"/>
      <c r="I241" s="422" t="str">
        <f t="shared" si="59"/>
        <v/>
      </c>
      <c r="J241" s="423"/>
      <c r="K241" s="443"/>
      <c r="L241" s="56"/>
      <c r="M241" s="347" t="str">
        <f>IF(AND(E229&lt;&gt;"",OR(F241="",COUNT(L241)=0),Y241&lt;&gt;EUconst_NA),EUconst_ERR_Incomplete,"")</f>
        <v/>
      </c>
      <c r="N241" s="76"/>
      <c r="O241" s="160"/>
      <c r="P241" s="348"/>
      <c r="Q241" s="413"/>
      <c r="R241" s="413"/>
      <c r="S241" s="314"/>
      <c r="T241" s="425" t="str">
        <f>EUconst_CNTR_RFNBOetcContent&amp;E229</f>
        <v>RNFBOC_</v>
      </c>
      <c r="U241" s="312"/>
      <c r="V241" s="312"/>
      <c r="W241" s="312"/>
      <c r="X241" s="312"/>
      <c r="Y241" s="438" t="str">
        <f>IF(E229="","",IF(OR(F241=EUconst_NA,W241=TRUE),EUconst_NA,INDEX(EUwideConstants!$P$164:$P$200,MATCH(T241,EUwideConstants!$S$164:$S$200,0))))</f>
        <v/>
      </c>
      <c r="Z241" s="314"/>
      <c r="AA241" s="314"/>
      <c r="AB241" s="314"/>
      <c r="AC241" s="429" t="b">
        <f>AND(AC236,Y241&lt;&gt;EUconst_NA)</f>
        <v>0</v>
      </c>
      <c r="AD241" s="314"/>
      <c r="AE241" s="430"/>
      <c r="AF241" s="431"/>
      <c r="AG241" s="432"/>
      <c r="AH241" s="433"/>
      <c r="AI241" s="433"/>
      <c r="AJ241" s="433"/>
      <c r="AK241" s="434"/>
      <c r="AL241" s="326"/>
      <c r="AM241" s="326"/>
      <c r="AN241" s="326"/>
      <c r="AO241" s="326"/>
      <c r="AP241" s="326"/>
      <c r="AQ241" s="435" t="s">
        <v>159</v>
      </c>
      <c r="AR241" s="430"/>
      <c r="AS241" s="436" t="str">
        <f t="shared" si="60"/>
        <v/>
      </c>
      <c r="AT241" s="437"/>
      <c r="AU241" s="438" t="str">
        <f t="shared" si="61"/>
        <v/>
      </c>
      <c r="AV241" s="429">
        <f t="shared" ref="AV241:AV243" si="62">IF(L241&lt;&gt;0,L241,L241)</f>
        <v>0</v>
      </c>
      <c r="AW241" s="407" t="b">
        <f t="shared" si="54"/>
        <v>0</v>
      </c>
      <c r="AX241" s="439" t="b">
        <f t="shared" si="55"/>
        <v>0</v>
      </c>
      <c r="AY241" s="314"/>
      <c r="AZ241" s="408" t="b">
        <f t="shared" si="56"/>
        <v>0</v>
      </c>
      <c r="BA241" s="440" t="b">
        <f t="shared" si="57"/>
        <v>0</v>
      </c>
      <c r="BB241" s="314"/>
      <c r="BC241" s="407" t="b">
        <f t="shared" si="58"/>
        <v>0</v>
      </c>
      <c r="BD241" s="407" t="b">
        <f>OR(AV240&gt;100%,(AV240+AV241)&gt;100%)</f>
        <v>0</v>
      </c>
      <c r="BE241" s="314"/>
      <c r="BF241" s="408" t="s">
        <v>162</v>
      </c>
      <c r="BG241" s="409" t="str">
        <f>IF(COUNTIF(AO237:AO238,TRUE)=0,"",BH241*AV245)</f>
        <v/>
      </c>
      <c r="BH241" s="409" t="str">
        <f>IF(COUNTIF(AO237:AO238,TRUE)=0,"",AV234*IF(AO237,1,AV236*AN238)*AV237*AV243)</f>
        <v/>
      </c>
      <c r="BJ241" s="314"/>
      <c r="BK241" s="314"/>
      <c r="BL241" s="314"/>
      <c r="BM241" s="314"/>
      <c r="BN241" s="314"/>
      <c r="BO241" s="314"/>
      <c r="BP241" s="314"/>
      <c r="BQ241" s="314"/>
      <c r="BR241" s="314"/>
      <c r="BS241" s="314"/>
      <c r="BT241" s="314"/>
      <c r="BU241" s="314"/>
      <c r="BV241" s="314"/>
      <c r="BW241" s="314"/>
      <c r="BX241" s="314"/>
      <c r="BY241" s="314"/>
      <c r="BZ241" s="314"/>
      <c r="CA241" s="314"/>
      <c r="CB241" s="314"/>
      <c r="CC241" s="314"/>
      <c r="CD241" s="314"/>
      <c r="CE241" s="314"/>
      <c r="CF241" s="314"/>
      <c r="CG241" s="314"/>
      <c r="CH241" s="314"/>
      <c r="CI241" s="314"/>
      <c r="CJ241" s="314"/>
      <c r="CK241" s="314"/>
      <c r="CL241" s="314"/>
      <c r="CM241" s="314"/>
      <c r="CN241" s="314"/>
      <c r="CO241" s="314"/>
      <c r="CP241" s="314"/>
      <c r="CQ241" s="407" t="b">
        <f>OR(CQ234,Y241=EUconst_NA)</f>
        <v>0</v>
      </c>
    </row>
    <row r="242" spans="1:95" ht="12.75" customHeight="1" thickBot="1" x14ac:dyDescent="0.3">
      <c r="A242" s="307"/>
      <c r="B242" s="68"/>
      <c r="C242" s="199" t="s">
        <v>163</v>
      </c>
      <c r="D242" s="344" t="str">
        <f>Translations!$B$615</f>
        <v>sust. SLCF:</v>
      </c>
      <c r="E242" s="441"/>
      <c r="F242" s="19" t="s">
        <v>158</v>
      </c>
      <c r="G242" s="1261"/>
      <c r="H242" s="1262"/>
      <c r="I242" s="442" t="str">
        <f t="shared" si="59"/>
        <v/>
      </c>
      <c r="J242" s="411"/>
      <c r="K242" s="443"/>
      <c r="L242" s="57"/>
      <c r="M242" s="347" t="str">
        <f>IF(AND(E229&lt;&gt;"",OR(F242="",COUNT(L242)=0),Y242&lt;&gt;EUconst_NA),EUconst_ERR_Incomplete,"")</f>
        <v/>
      </c>
      <c r="N242" s="76"/>
      <c r="O242" s="160"/>
      <c r="P242" s="348"/>
      <c r="Q242" s="413"/>
      <c r="R242" s="413"/>
      <c r="S242" s="314"/>
      <c r="T242" s="388" t="str">
        <f>EUconst_CNTR_RFNBOetcContent&amp;E229</f>
        <v>RNFBOC_</v>
      </c>
      <c r="U242" s="312"/>
      <c r="V242" s="312"/>
      <c r="W242" s="312"/>
      <c r="X242" s="312"/>
      <c r="Y242" s="447" t="str">
        <f>IF(E229="","",IF(OR(F242=EUconst_NA,W242=TRUE),EUconst_NA,INDEX(EUwideConstants!$P$164:$P$200,MATCH(T242,EUwideConstants!$S$164:$S$200,0))))</f>
        <v/>
      </c>
      <c r="Z242" s="314"/>
      <c r="AA242" s="314"/>
      <c r="AB242" s="314"/>
      <c r="AC242" s="397" t="b">
        <f>AND(AC238,Y242&lt;&gt;EUconst_NA)</f>
        <v>0</v>
      </c>
      <c r="AD242" s="314"/>
      <c r="AE242" s="415"/>
      <c r="AF242" s="416"/>
      <c r="AG242" s="417"/>
      <c r="AH242" s="418"/>
      <c r="AI242" s="418"/>
      <c r="AJ242" s="418"/>
      <c r="AK242" s="419"/>
      <c r="AL242" s="326"/>
      <c r="AM242" s="326"/>
      <c r="AN242" s="326"/>
      <c r="AO242" s="326"/>
      <c r="AP242" s="326"/>
      <c r="AQ242" s="444" t="s">
        <v>159</v>
      </c>
      <c r="AR242" s="415"/>
      <c r="AS242" s="445" t="str">
        <f t="shared" si="60"/>
        <v/>
      </c>
      <c r="AT242" s="446"/>
      <c r="AU242" s="447" t="str">
        <f t="shared" si="61"/>
        <v/>
      </c>
      <c r="AV242" s="397">
        <f t="shared" si="62"/>
        <v>0</v>
      </c>
      <c r="AW242" s="398" t="b">
        <f t="shared" si="54"/>
        <v>0</v>
      </c>
      <c r="AX242" s="448" t="b">
        <f t="shared" si="55"/>
        <v>0</v>
      </c>
      <c r="AY242" s="314"/>
      <c r="AZ242" s="449" t="b">
        <f t="shared" si="56"/>
        <v>0</v>
      </c>
      <c r="BA242" s="450" t="b">
        <f t="shared" si="57"/>
        <v>0</v>
      </c>
      <c r="BB242" s="314"/>
      <c r="BC242" s="398" t="b">
        <f t="shared" si="58"/>
        <v>0</v>
      </c>
      <c r="BD242" s="369" t="b">
        <f>OR(AV242&gt;100%,(AV242+AV243)&gt;100%)</f>
        <v>0</v>
      </c>
      <c r="BE242" s="314"/>
      <c r="BF242" s="451" t="s">
        <v>164</v>
      </c>
      <c r="BG242" s="452">
        <f>IF(AN234=EUconst_TJ,AV234*(1-AV238),IF(AN236=EUconst_GJ,AV234*AV236/1000,0))-SUM(BG243:BG249)</f>
        <v>0</v>
      </c>
      <c r="BH242" s="314"/>
      <c r="BI242" s="314"/>
      <c r="BJ242" s="314"/>
      <c r="BK242" s="314"/>
      <c r="BL242" s="314"/>
      <c r="BM242" s="314"/>
      <c r="BN242" s="314"/>
      <c r="BO242" s="314"/>
      <c r="BP242" s="314"/>
      <c r="BQ242" s="314"/>
      <c r="BR242" s="314"/>
      <c r="BS242" s="314"/>
      <c r="BT242" s="314"/>
      <c r="BU242" s="314"/>
      <c r="BV242" s="314"/>
      <c r="BW242" s="314"/>
      <c r="BX242" s="314"/>
      <c r="BY242" s="314"/>
      <c r="BZ242" s="314"/>
      <c r="CA242" s="314"/>
      <c r="CB242" s="314"/>
      <c r="CC242" s="314"/>
      <c r="CD242" s="314"/>
      <c r="CE242" s="314"/>
      <c r="CF242" s="314"/>
      <c r="CG242" s="314"/>
      <c r="CH242" s="314"/>
      <c r="CI242" s="314"/>
      <c r="CJ242" s="314"/>
      <c r="CK242" s="314"/>
      <c r="CL242" s="314"/>
      <c r="CM242" s="314"/>
      <c r="CN242" s="314"/>
      <c r="CO242" s="314"/>
      <c r="CP242" s="314"/>
      <c r="CQ242" s="407" t="b">
        <f>OR(CQ234,Y242=EUconst_NA)</f>
        <v>0</v>
      </c>
    </row>
    <row r="243" spans="1:95" ht="12.75" customHeight="1" thickBot="1" x14ac:dyDescent="0.3">
      <c r="A243" s="307"/>
      <c r="B243" s="68"/>
      <c r="C243" s="199" t="s">
        <v>165</v>
      </c>
      <c r="D243" s="344" t="str">
        <f>Translations!$B$618</f>
        <v>non-sust. SLCF:</v>
      </c>
      <c r="E243" s="441"/>
      <c r="F243" s="20" t="s">
        <v>158</v>
      </c>
      <c r="G243" s="1261"/>
      <c r="H243" s="1262"/>
      <c r="I243" s="422" t="str">
        <f t="shared" si="59"/>
        <v/>
      </c>
      <c r="J243" s="423"/>
      <c r="K243" s="443"/>
      <c r="L243" s="56"/>
      <c r="M243" s="347" t="str">
        <f>IF(AND(E229&lt;&gt;"",OR(F243="",COUNT(L243)=0),Y243&lt;&gt;EUconst_NA),EUconst_ERR_Incomplete,"")</f>
        <v/>
      </c>
      <c r="N243" s="76"/>
      <c r="O243" s="160"/>
      <c r="P243" s="348"/>
      <c r="Q243" s="413"/>
      <c r="R243" s="413"/>
      <c r="S243" s="314"/>
      <c r="T243" s="425" t="str">
        <f>EUconst_CNTR_RFNBOetcContent&amp;E229</f>
        <v>RNFBOC_</v>
      </c>
      <c r="U243" s="312"/>
      <c r="V243" s="312"/>
      <c r="W243" s="312"/>
      <c r="X243" s="312"/>
      <c r="Y243" s="438" t="str">
        <f>IF(E229="","",IF(OR(F243=EUconst_NA,W243=TRUE),EUconst_NA,INDEX(EUwideConstants!$P$164:$P$200,MATCH(T243,EUwideConstants!$S$164:$S$200,0))))</f>
        <v/>
      </c>
      <c r="Z243" s="314"/>
      <c r="AA243" s="314"/>
      <c r="AB243" s="314"/>
      <c r="AC243" s="429" t="b">
        <f>AND(AC238,Y243&lt;&gt;EUconst_NA)</f>
        <v>0</v>
      </c>
      <c r="AD243" s="314"/>
      <c r="AE243" s="430"/>
      <c r="AF243" s="431"/>
      <c r="AG243" s="432"/>
      <c r="AH243" s="433"/>
      <c r="AI243" s="433"/>
      <c r="AJ243" s="433"/>
      <c r="AK243" s="434"/>
      <c r="AL243" s="326"/>
      <c r="AM243" s="326"/>
      <c r="AN243" s="326"/>
      <c r="AO243" s="326"/>
      <c r="AP243" s="326"/>
      <c r="AQ243" s="435" t="s">
        <v>159</v>
      </c>
      <c r="AR243" s="430"/>
      <c r="AS243" s="436" t="str">
        <f t="shared" si="60"/>
        <v/>
      </c>
      <c r="AT243" s="437"/>
      <c r="AU243" s="438" t="str">
        <f t="shared" si="61"/>
        <v/>
      </c>
      <c r="AV243" s="429">
        <f t="shared" si="62"/>
        <v>0</v>
      </c>
      <c r="AW243" s="407" t="b">
        <f t="shared" si="54"/>
        <v>0</v>
      </c>
      <c r="AX243" s="439" t="b">
        <f t="shared" si="55"/>
        <v>0</v>
      </c>
      <c r="AY243" s="314"/>
      <c r="AZ243" s="408" t="b">
        <f t="shared" si="56"/>
        <v>0</v>
      </c>
      <c r="BA243" s="440" t="b">
        <f t="shared" si="57"/>
        <v>0</v>
      </c>
      <c r="BB243" s="314"/>
      <c r="BC243" s="407" t="b">
        <f t="shared" si="58"/>
        <v>0</v>
      </c>
      <c r="BD243" s="407" t="b">
        <f>OR(AV242&gt;100%,(AV242+AV243)&gt;100%)</f>
        <v>0</v>
      </c>
      <c r="BE243" s="314"/>
      <c r="BF243" s="408" t="s">
        <v>166</v>
      </c>
      <c r="BG243" s="409" t="str">
        <f>IF(AN234=EUconst_TJ,AV234*AV238,IF(AN236=EUconst_GJ,AV234*AV236/1000*AV238,""))</f>
        <v/>
      </c>
      <c r="BH243" s="314"/>
      <c r="BI243" s="314"/>
      <c r="BJ243" s="314"/>
      <c r="BK243" s="314"/>
      <c r="BL243" s="314"/>
      <c r="BM243" s="314"/>
      <c r="BN243" s="314"/>
      <c r="BO243" s="314"/>
      <c r="BP243" s="314"/>
      <c r="BQ243" s="314"/>
      <c r="BR243" s="314"/>
      <c r="BS243" s="314"/>
      <c r="BT243" s="314"/>
      <c r="BU243" s="314"/>
      <c r="BV243" s="314"/>
      <c r="BW243" s="314"/>
      <c r="BX243" s="314"/>
      <c r="BY243" s="314"/>
      <c r="BZ243" s="314"/>
      <c r="CA243" s="314"/>
      <c r="CB243" s="314"/>
      <c r="CC243" s="314"/>
      <c r="CD243" s="314"/>
      <c r="CE243" s="314"/>
      <c r="CF243" s="314"/>
      <c r="CG243" s="314"/>
      <c r="CH243" s="314"/>
      <c r="CI243" s="314"/>
      <c r="CJ243" s="314"/>
      <c r="CK243" s="314"/>
      <c r="CL243" s="314"/>
      <c r="CM243" s="314"/>
      <c r="CN243" s="314"/>
      <c r="CO243" s="314"/>
      <c r="CP243" s="314"/>
      <c r="CQ243" s="407" t="b">
        <f>OR(CQ234,Y243=EUconst_NA)</f>
        <v>0</v>
      </c>
    </row>
    <row r="244" spans="1:95" ht="5.15" customHeight="1" thickBot="1" x14ac:dyDescent="0.3">
      <c r="A244" s="307"/>
      <c r="B244" s="68"/>
      <c r="C244" s="68"/>
      <c r="D244" s="205"/>
      <c r="E244" s="76"/>
      <c r="F244" s="76"/>
      <c r="G244" s="76"/>
      <c r="H244" s="76"/>
      <c r="I244" s="76"/>
      <c r="J244" s="76"/>
      <c r="K244" s="76"/>
      <c r="L244" s="76"/>
      <c r="M244" s="453"/>
      <c r="N244" s="76"/>
      <c r="O244" s="160"/>
      <c r="P244" s="109"/>
      <c r="Q244" s="312"/>
      <c r="R244" s="312"/>
      <c r="S244" s="314"/>
      <c r="T244" s="314"/>
      <c r="U244" s="314"/>
      <c r="V244" s="314"/>
      <c r="W244" s="314"/>
      <c r="X244" s="314"/>
      <c r="Y244" s="314"/>
      <c r="Z244" s="314"/>
      <c r="AA244" s="314"/>
      <c r="AB244" s="314"/>
      <c r="AC244" s="314"/>
      <c r="AD244" s="314"/>
      <c r="AE244" s="314"/>
      <c r="AF244" s="314"/>
      <c r="AG244" s="314"/>
      <c r="AH244" s="314"/>
      <c r="AI244" s="314"/>
      <c r="AJ244" s="314"/>
      <c r="AK244" s="314"/>
      <c r="AL244" s="314"/>
      <c r="AM244" s="314"/>
      <c r="AN244" s="314"/>
      <c r="AO244" s="314"/>
      <c r="AP244" s="314"/>
      <c r="AQ244" s="314"/>
      <c r="AR244" s="314"/>
      <c r="AS244" s="314"/>
      <c r="AT244" s="314"/>
      <c r="AU244" s="314"/>
      <c r="AV244" s="314"/>
      <c r="AW244" s="314"/>
      <c r="AX244" s="314"/>
      <c r="AY244" s="314"/>
      <c r="AZ244" s="314"/>
      <c r="BA244" s="314"/>
      <c r="BB244" s="314"/>
      <c r="BC244" s="314"/>
      <c r="BD244" s="314"/>
      <c r="BE244" s="314"/>
      <c r="BF244" s="314"/>
      <c r="BG244" s="364"/>
      <c r="BH244" s="314"/>
      <c r="BI244" s="314"/>
      <c r="BJ244" s="314"/>
      <c r="BK244" s="314"/>
      <c r="BL244" s="314"/>
      <c r="BM244" s="314"/>
      <c r="BN244" s="314"/>
      <c r="BO244" s="314"/>
      <c r="BP244" s="314"/>
      <c r="BQ244" s="314"/>
      <c r="BR244" s="314"/>
      <c r="BS244" s="314"/>
      <c r="BT244" s="314"/>
      <c r="BU244" s="314"/>
      <c r="BV244" s="314"/>
      <c r="BW244" s="314"/>
      <c r="BX244" s="314"/>
      <c r="BY244" s="314"/>
      <c r="BZ244" s="314"/>
      <c r="CA244" s="314"/>
      <c r="CB244" s="314"/>
      <c r="CC244" s="314"/>
      <c r="CD244" s="314"/>
      <c r="CE244" s="314"/>
      <c r="CF244" s="314"/>
      <c r="CG244" s="314"/>
      <c r="CH244" s="314"/>
      <c r="CI244" s="314"/>
      <c r="CJ244" s="314"/>
      <c r="CK244" s="314"/>
      <c r="CL244" s="314"/>
      <c r="CM244" s="314"/>
      <c r="CN244" s="314"/>
      <c r="CO244" s="314"/>
      <c r="CP244" s="314"/>
      <c r="CQ244" s="314"/>
    </row>
    <row r="245" spans="1:95" ht="12.75" customHeight="1" thickBot="1" x14ac:dyDescent="0.3">
      <c r="A245" s="307"/>
      <c r="B245" s="68"/>
      <c r="C245" s="199" t="s">
        <v>167</v>
      </c>
      <c r="D245" s="344" t="str">
        <f>Translations!$B$398</f>
        <v>Scope factor:</v>
      </c>
      <c r="E245" s="454"/>
      <c r="F245" s="992"/>
      <c r="G245" s="1263"/>
      <c r="H245" s="1264"/>
      <c r="I245" s="455" t="s">
        <v>46</v>
      </c>
      <c r="J245" s="456"/>
      <c r="K245" s="457" t="str">
        <f>IF(L245="",AU245,"")</f>
        <v/>
      </c>
      <c r="L245" s="16"/>
      <c r="M245" s="458" t="str">
        <f>IF(AND(E229&lt;&gt;"",OR(F245="",G245="",COUNT(K245:L245)=0)),EUconst_ERR_Incomplete,IF(COUNTIF(BB245:BD245,TRUE)&gt;0,EUconst_ERR_Inconsistent,""))</f>
        <v/>
      </c>
      <c r="N245" s="76"/>
      <c r="O245" s="160"/>
      <c r="P245" s="109"/>
      <c r="Q245" s="312"/>
      <c r="R245" s="314"/>
      <c r="S245" s="297"/>
      <c r="T245" s="459" t="str">
        <f>EUconst_CNTR_ScopeFactor&amp;E229</f>
        <v>ScopeFactor_</v>
      </c>
      <c r="U245" s="231" t="str">
        <f>IF(F245="","",INDEX(ScopeAddress,MATCH(F245,ScopeTiers,0)))</f>
        <v/>
      </c>
      <c r="V245" s="360" t="str">
        <f>V234</f>
        <v/>
      </c>
      <c r="W245" s="314"/>
      <c r="X245" s="314"/>
      <c r="Y245" s="460" t="str">
        <f>IF(E229="","",IF(F245=EUconst_NA,EUconst_NA,INDEX(EUwideConstants!$P$164:$P$200,MATCH(T245,EUwideConstants!$S$164:$S$200,0))))</f>
        <v/>
      </c>
      <c r="Z245" s="461" t="str">
        <f>IF(ISBLANK(F245),"",IF(F245=EUconst_NA,"",INDEX(EUwideConstants!$H:$O,MATCH(T245,EUwideConstants!$S:$S,0),MATCH(F245,CNTR_TierList,0))))</f>
        <v/>
      </c>
      <c r="AA245" s="331" t="str">
        <f>IF(G245=EUwideConstants!$A$89,1,"")</f>
        <v/>
      </c>
      <c r="AB245" s="314"/>
      <c r="AC245" s="331" t="b">
        <f>AND(AC234,Y245&lt;&gt;EUconst_NA)</f>
        <v>0</v>
      </c>
      <c r="AD245" s="314"/>
      <c r="AE245" s="314"/>
      <c r="AF245" s="314"/>
      <c r="AG245" s="319"/>
      <c r="AH245" s="314"/>
      <c r="AI245" s="314"/>
      <c r="AJ245" s="314"/>
      <c r="AK245" s="314"/>
      <c r="AL245" s="314"/>
      <c r="AM245" s="314"/>
      <c r="AN245" s="314"/>
      <c r="AO245" s="314"/>
      <c r="AP245" s="314"/>
      <c r="AQ245" s="314"/>
      <c r="AR245" s="314"/>
      <c r="AS245" s="328">
        <v>1</v>
      </c>
      <c r="AT245" s="314"/>
      <c r="AU245" s="319" t="str">
        <f>IF(G245=EUwideConstants!$A$89,AS245,"")</f>
        <v/>
      </c>
      <c r="AV245" s="331">
        <f>IF(AC245=TRUE,IF(COUNT(K245:L245)=0,0,IF(L245="",K245,L245)),0)</f>
        <v>0</v>
      </c>
      <c r="AW245" s="360" t="b">
        <f>AND(AC245=TRUE,OR(AND(F245&lt;&gt;"",NOT(ISNUMBER(AA245))),L245&lt;&gt;"",F245="",AU245=""))</f>
        <v>0</v>
      </c>
      <c r="AX245" s="357" t="b">
        <f>AND(AC245=TRUE,NOT(AW245))</f>
        <v>0</v>
      </c>
      <c r="AY245" s="314"/>
      <c r="AZ245" s="361" t="b">
        <f>AND(ISNUMBER(AA245),AU245="")</f>
        <v>0</v>
      </c>
      <c r="BA245" s="351" t="b">
        <f>AND(ISNUMBER(AA245),AU245&lt;&gt;AV245)</f>
        <v>0</v>
      </c>
      <c r="BB245" s="314"/>
      <c r="BC245" s="360" t="b">
        <f>AND(F245&lt;&gt;"",OR(COUNTIF(INDEX(ScopeMethods,F245,),G245)=0,AND(AA245&lt;&gt;"",AU245&lt;&gt;AV245)))</f>
        <v>0</v>
      </c>
      <c r="BD245" s="314"/>
      <c r="BE245" s="314"/>
      <c r="BF245" s="361" t="s">
        <v>168</v>
      </c>
      <c r="BG245" s="362" t="str">
        <f>IF(AN234=EUconst_TJ,AV234*AV240,IF(AN236=EUconst_GJ,AV234*AV236/1000*AV240,""))</f>
        <v/>
      </c>
      <c r="BH245" s="314"/>
      <c r="BI245" s="314"/>
      <c r="BJ245" s="314"/>
      <c r="BK245" s="314"/>
      <c r="BL245" s="314"/>
      <c r="BM245" s="314"/>
      <c r="BN245" s="314"/>
      <c r="BO245" s="314"/>
      <c r="BP245" s="314"/>
      <c r="BQ245" s="314"/>
      <c r="BR245" s="314"/>
      <c r="BS245" s="314"/>
      <c r="BT245" s="314"/>
      <c r="BU245" s="314"/>
      <c r="BV245" s="314"/>
      <c r="BW245" s="314"/>
      <c r="BX245" s="314"/>
      <c r="BY245" s="314"/>
      <c r="BZ245" s="314"/>
      <c r="CA245" s="314"/>
      <c r="CB245" s="314"/>
      <c r="CC245" s="314"/>
      <c r="CD245" s="314"/>
      <c r="CE245" s="314"/>
      <c r="CF245" s="314"/>
      <c r="CG245" s="314"/>
      <c r="CH245" s="314"/>
      <c r="CI245" s="314"/>
      <c r="CJ245" s="314"/>
      <c r="CK245" s="314"/>
      <c r="CL245" s="314"/>
      <c r="CM245" s="314"/>
      <c r="CN245" s="314"/>
      <c r="CO245" s="314"/>
      <c r="CP245" s="314"/>
      <c r="CQ245" s="314"/>
    </row>
    <row r="246" spans="1:95" ht="12.75" customHeight="1" x14ac:dyDescent="0.25">
      <c r="A246" s="307"/>
      <c r="B246" s="68"/>
      <c r="C246" s="68"/>
      <c r="D246" s="68"/>
      <c r="E246" s="68"/>
      <c r="F246" s="68"/>
      <c r="G246" s="1265" t="str">
        <f>IF(G245="","",INDEX(ScopeMethodsDetails,MATCH(G245,INDEX(ScopeMethodsDetails,,1),0),2))</f>
        <v/>
      </c>
      <c r="H246" s="1266"/>
      <c r="I246" s="1266"/>
      <c r="J246" s="1266"/>
      <c r="K246" s="1266"/>
      <c r="L246" s="1266"/>
      <c r="M246" s="1267"/>
      <c r="N246" s="76"/>
      <c r="O246" s="160"/>
      <c r="P246" s="109"/>
      <c r="Q246" s="312"/>
      <c r="R246" s="312"/>
      <c r="S246" s="314"/>
      <c r="T246" s="314"/>
      <c r="U246" s="314"/>
      <c r="V246" s="314"/>
      <c r="W246" s="314"/>
      <c r="X246" s="314"/>
      <c r="Y246" s="314"/>
      <c r="Z246" s="314"/>
      <c r="AA246" s="314"/>
      <c r="AB246" s="314"/>
      <c r="AC246" s="314"/>
      <c r="AD246" s="314"/>
      <c r="AE246" s="314"/>
      <c r="AF246" s="314"/>
      <c r="AG246" s="314"/>
      <c r="AH246" s="314"/>
      <c r="AI246" s="314"/>
      <c r="AJ246" s="314"/>
      <c r="AK246" s="314"/>
      <c r="AL246" s="314"/>
      <c r="AM246" s="314"/>
      <c r="AN246" s="314"/>
      <c r="AO246" s="314"/>
      <c r="AP246" s="314"/>
      <c r="AQ246" s="314"/>
      <c r="AR246" s="314"/>
      <c r="AS246" s="314"/>
      <c r="AT246" s="314"/>
      <c r="AU246" s="314"/>
      <c r="AV246" s="314"/>
      <c r="AW246" s="314"/>
      <c r="AX246" s="314"/>
      <c r="AY246" s="314"/>
      <c r="AZ246" s="314"/>
      <c r="BA246" s="314"/>
      <c r="BB246" s="314"/>
      <c r="BC246" s="314"/>
      <c r="BD246" s="314"/>
      <c r="BE246" s="314"/>
      <c r="BG246" s="364"/>
      <c r="BH246" s="314"/>
      <c r="BI246" s="314"/>
      <c r="BJ246" s="314"/>
      <c r="BK246" s="314"/>
      <c r="BL246" s="314"/>
      <c r="BM246" s="314"/>
      <c r="BN246" s="314"/>
      <c r="BO246" s="314"/>
      <c r="BP246" s="314"/>
      <c r="BQ246" s="314"/>
      <c r="BR246" s="314"/>
      <c r="BS246" s="314"/>
      <c r="BT246" s="314"/>
      <c r="BU246" s="314"/>
      <c r="BV246" s="314"/>
      <c r="BW246" s="314"/>
      <c r="BX246" s="314"/>
      <c r="BY246" s="314"/>
      <c r="BZ246" s="314"/>
      <c r="CA246" s="314"/>
      <c r="CB246" s="314"/>
      <c r="CC246" s="314"/>
      <c r="CD246" s="314"/>
      <c r="CE246" s="314"/>
      <c r="CF246" s="314"/>
      <c r="CG246" s="314"/>
      <c r="CH246" s="314"/>
      <c r="CI246" s="314"/>
      <c r="CJ246" s="314"/>
      <c r="CK246" s="314"/>
      <c r="CL246" s="314"/>
      <c r="CM246" s="314"/>
      <c r="CN246" s="314"/>
      <c r="CO246" s="314"/>
      <c r="CP246" s="314"/>
      <c r="CQ246" s="314"/>
    </row>
    <row r="247" spans="1:95" ht="5.15" customHeight="1" x14ac:dyDescent="0.25">
      <c r="A247" s="307"/>
      <c r="C247" s="76"/>
      <c r="D247" s="76"/>
      <c r="E247" s="76"/>
      <c r="F247" s="76"/>
      <c r="G247" s="76"/>
      <c r="H247" s="76"/>
      <c r="I247" s="76"/>
      <c r="J247" s="76"/>
      <c r="K247" s="76"/>
      <c r="L247" s="76"/>
      <c r="O247" s="160"/>
      <c r="P247" s="109"/>
      <c r="Q247" s="312"/>
      <c r="R247" s="312"/>
      <c r="S247" s="314"/>
      <c r="T247" s="314"/>
      <c r="U247" s="314"/>
      <c r="V247" s="314"/>
      <c r="W247" s="314"/>
      <c r="X247" s="314"/>
      <c r="Y247" s="314"/>
      <c r="Z247" s="314"/>
      <c r="AA247" s="314"/>
      <c r="AB247" s="314"/>
      <c r="AC247" s="314"/>
      <c r="AD247" s="314"/>
      <c r="AE247" s="314"/>
      <c r="AF247" s="314"/>
      <c r="AG247" s="314"/>
      <c r="AH247" s="314"/>
      <c r="AI247" s="314"/>
      <c r="AJ247" s="314"/>
      <c r="AK247" s="314"/>
      <c r="AL247" s="314"/>
      <c r="AM247" s="314"/>
      <c r="AN247" s="314"/>
      <c r="AO247" s="314"/>
      <c r="AP247" s="314"/>
      <c r="AQ247" s="314"/>
      <c r="AR247" s="314"/>
      <c r="AS247" s="314"/>
      <c r="AT247" s="314"/>
      <c r="AU247" s="314"/>
      <c r="AV247" s="314"/>
      <c r="AW247" s="314"/>
      <c r="AX247" s="314"/>
      <c r="AY247" s="314"/>
      <c r="AZ247" s="314"/>
      <c r="BA247" s="314"/>
      <c r="BB247" s="314"/>
      <c r="BC247" s="314"/>
      <c r="BD247" s="314"/>
      <c r="BE247" s="314"/>
      <c r="BG247" s="364"/>
      <c r="BH247" s="314"/>
      <c r="BI247" s="314"/>
      <c r="BJ247" s="314"/>
      <c r="BK247" s="314"/>
      <c r="BL247" s="314"/>
      <c r="BM247" s="314"/>
      <c r="BN247" s="314"/>
      <c r="BO247" s="314"/>
      <c r="BP247" s="314"/>
      <c r="BQ247" s="314"/>
      <c r="BR247" s="314"/>
      <c r="BS247" s="314"/>
      <c r="BT247" s="314"/>
      <c r="BU247" s="314"/>
      <c r="BV247" s="314"/>
      <c r="BW247" s="314"/>
      <c r="BX247" s="314"/>
      <c r="BY247" s="314"/>
      <c r="BZ247" s="314"/>
      <c r="CA247" s="314"/>
      <c r="CB247" s="314"/>
      <c r="CC247" s="314"/>
      <c r="CD247" s="314"/>
      <c r="CE247" s="314"/>
      <c r="CF247" s="314"/>
      <c r="CG247" s="314"/>
      <c r="CH247" s="314"/>
      <c r="CI247" s="314"/>
      <c r="CJ247" s="314"/>
      <c r="CK247" s="314"/>
      <c r="CL247" s="314"/>
      <c r="CM247" s="314"/>
      <c r="CN247" s="314"/>
      <c r="CO247" s="314"/>
      <c r="CP247" s="314"/>
      <c r="CQ247" s="314"/>
    </row>
    <row r="248" spans="1:95" ht="12.75" customHeight="1" thickBot="1" x14ac:dyDescent="0.3">
      <c r="A248" s="307"/>
      <c r="C248" s="76"/>
      <c r="D248" s="76"/>
      <c r="E248" s="76"/>
      <c r="F248" s="76"/>
      <c r="G248" s="1268">
        <v>1</v>
      </c>
      <c r="H248" s="1268"/>
      <c r="I248" s="1268">
        <v>2</v>
      </c>
      <c r="J248" s="1268"/>
      <c r="K248" s="1268">
        <v>3</v>
      </c>
      <c r="L248" s="1268"/>
      <c r="O248" s="160"/>
      <c r="P248" s="109"/>
      <c r="Q248" s="312"/>
      <c r="R248" s="312"/>
      <c r="S248" s="314"/>
      <c r="T248" s="314"/>
      <c r="U248" s="314"/>
      <c r="V248" s="314"/>
      <c r="W248" s="314"/>
      <c r="X248" s="314"/>
      <c r="Y248" s="314"/>
      <c r="Z248" s="314"/>
      <c r="AA248" s="314"/>
      <c r="AB248" s="314"/>
      <c r="AC248" s="314"/>
      <c r="AD248" s="314"/>
      <c r="AE248" s="314"/>
      <c r="AF248" s="314"/>
      <c r="AG248" s="314"/>
      <c r="AH248" s="314"/>
      <c r="AI248" s="314"/>
      <c r="AJ248" s="314"/>
      <c r="AK248" s="314"/>
      <c r="AL248" s="314"/>
      <c r="AM248" s="314"/>
      <c r="AN248" s="314"/>
      <c r="AO248" s="314"/>
      <c r="AP248" s="314"/>
      <c r="AQ248" s="314"/>
      <c r="AR248" s="314"/>
      <c r="AS248" s="314"/>
      <c r="AT248" s="314"/>
      <c r="AU248" s="314"/>
      <c r="AV248" s="314"/>
      <c r="AW248" s="314"/>
      <c r="AX248" s="314"/>
      <c r="AY248" s="314"/>
      <c r="AZ248" s="314"/>
      <c r="BA248" s="314"/>
      <c r="BB248" s="314"/>
      <c r="BC248" s="314"/>
      <c r="BD248" s="314"/>
      <c r="BE248" s="314"/>
      <c r="BF248" s="314"/>
      <c r="BG248" s="364"/>
      <c r="BH248" s="314"/>
      <c r="BI248" s="314"/>
      <c r="BJ248" s="314"/>
      <c r="BK248" s="314"/>
      <c r="BL248" s="314"/>
      <c r="BM248" s="314"/>
      <c r="BN248" s="314"/>
      <c r="BO248" s="314"/>
      <c r="BP248" s="314"/>
      <c r="BQ248" s="314"/>
      <c r="BR248" s="314"/>
      <c r="BS248" s="314"/>
      <c r="BT248" s="314"/>
      <c r="BU248" s="314"/>
      <c r="BV248" s="314"/>
      <c r="BW248" s="314"/>
      <c r="BX248" s="314"/>
      <c r="BY248" s="314"/>
      <c r="BZ248" s="314"/>
      <c r="CA248" s="314"/>
      <c r="CB248" s="314"/>
      <c r="CC248" s="314"/>
      <c r="CD248" s="314"/>
      <c r="CE248" s="314"/>
      <c r="CF248" s="314"/>
      <c r="CG248" s="314"/>
      <c r="CH248" s="314"/>
      <c r="CI248" s="314"/>
      <c r="CJ248" s="314"/>
      <c r="CK248" s="314"/>
      <c r="CL248" s="314"/>
      <c r="CM248" s="314"/>
      <c r="CN248" s="314"/>
      <c r="CO248" s="314"/>
      <c r="CP248" s="314"/>
      <c r="CQ248" s="314"/>
    </row>
    <row r="249" spans="1:95" ht="12.75" customHeight="1" thickBot="1" x14ac:dyDescent="0.3">
      <c r="A249" s="462"/>
      <c r="B249" s="76"/>
      <c r="C249" s="76"/>
      <c r="D249" s="1246" t="str">
        <f>Translations!$B$372</f>
        <v>Consumers' CRF category:</v>
      </c>
      <c r="E249" s="1246"/>
      <c r="F249" s="1247"/>
      <c r="G249" s="1248"/>
      <c r="H249" s="1249"/>
      <c r="I249" s="1248"/>
      <c r="J249" s="1249"/>
      <c r="K249" s="1248"/>
      <c r="L249" s="1249"/>
      <c r="M249" s="463" t="str">
        <f>IF(AND(E228&lt;&gt;"",COUNTA(G249:L249)=0,AX249=FALSE),EUconst_ERR_Incomplete,"")</f>
        <v/>
      </c>
      <c r="N249" s="76"/>
      <c r="O249" s="160"/>
      <c r="P249" s="109"/>
      <c r="Q249" s="312"/>
      <c r="R249" s="312"/>
      <c r="S249" s="314"/>
      <c r="T249" s="314"/>
      <c r="U249" s="314"/>
      <c r="V249" s="314"/>
      <c r="W249" s="314"/>
      <c r="X249" s="314"/>
      <c r="Y249" s="314"/>
      <c r="Z249" s="314"/>
      <c r="AA249" s="314"/>
      <c r="AB249" s="314"/>
      <c r="AC249" s="314"/>
      <c r="AD249" s="314"/>
      <c r="AE249" s="314"/>
      <c r="AF249" s="314"/>
      <c r="AG249" s="314"/>
      <c r="AH249" s="314"/>
      <c r="AI249" s="314"/>
      <c r="AJ249" s="314"/>
      <c r="AK249" s="314"/>
      <c r="AL249" s="314"/>
      <c r="AM249" s="314"/>
      <c r="AN249" s="314"/>
      <c r="AO249" s="314"/>
      <c r="AP249" s="314"/>
      <c r="AQ249" s="314"/>
      <c r="AR249" s="314"/>
      <c r="AS249" s="314"/>
      <c r="AT249" s="314"/>
      <c r="AU249" s="314"/>
      <c r="AV249" s="314"/>
      <c r="AW249" s="314"/>
      <c r="AX249" s="464" t="b">
        <f>AND(AV245&lt;&gt;"",SUM(AV245=1))</f>
        <v>0</v>
      </c>
      <c r="AY249" s="314"/>
      <c r="AZ249" s="314"/>
      <c r="BA249" s="314"/>
      <c r="BB249" s="314"/>
      <c r="BC249" s="314"/>
      <c r="BD249" s="314"/>
      <c r="BE249" s="314"/>
      <c r="BF249" s="361" t="s">
        <v>169</v>
      </c>
      <c r="BG249" s="362" t="str">
        <f>IF(AN234=EUconst_TJ,AV234*AV242,IF(AN236=EUconst_GJ,AV234*AV236/1000*AV242,""))</f>
        <v/>
      </c>
      <c r="BH249" s="314"/>
      <c r="BI249" s="314"/>
      <c r="BJ249" s="314"/>
      <c r="BK249" s="314"/>
      <c r="BL249" s="314"/>
      <c r="BM249" s="314"/>
      <c r="BN249" s="314"/>
      <c r="BO249" s="314"/>
      <c r="BP249" s="314"/>
      <c r="BQ249" s="314"/>
      <c r="BR249" s="314"/>
      <c r="BS249" s="314"/>
      <c r="BT249" s="314"/>
      <c r="BU249" s="314"/>
      <c r="BV249" s="314"/>
      <c r="BW249" s="314"/>
      <c r="BX249" s="314"/>
      <c r="BY249" s="314"/>
      <c r="BZ249" s="314"/>
      <c r="CA249" s="314"/>
      <c r="CB249" s="314"/>
      <c r="CC249" s="314"/>
      <c r="CD249" s="314"/>
      <c r="CE249" s="314"/>
      <c r="CF249" s="314"/>
      <c r="CG249" s="314"/>
      <c r="CH249" s="314"/>
      <c r="CI249" s="314"/>
      <c r="CJ249" s="314"/>
      <c r="CK249" s="314"/>
      <c r="CL249" s="314"/>
      <c r="CM249" s="314"/>
      <c r="CN249" s="314"/>
      <c r="CO249" s="314"/>
      <c r="CP249" s="314"/>
      <c r="CQ249" s="314"/>
    </row>
    <row r="250" spans="1:95" ht="5.15" customHeight="1" x14ac:dyDescent="0.25">
      <c r="A250" s="307"/>
      <c r="B250" s="68"/>
      <c r="C250" s="68"/>
      <c r="D250" s="68"/>
      <c r="E250" s="68"/>
      <c r="F250" s="68"/>
      <c r="G250" s="76"/>
      <c r="H250" s="76"/>
      <c r="I250" s="76"/>
      <c r="J250" s="76"/>
      <c r="K250" s="76"/>
      <c r="L250" s="76"/>
      <c r="M250" s="76"/>
      <c r="N250" s="76"/>
      <c r="O250" s="160"/>
      <c r="P250" s="109"/>
      <c r="Q250" s="312"/>
      <c r="R250" s="312"/>
      <c r="S250" s="314"/>
      <c r="T250" s="314"/>
      <c r="U250" s="314"/>
      <c r="V250" s="314"/>
      <c r="W250" s="314"/>
      <c r="X250" s="314"/>
      <c r="Y250" s="314"/>
      <c r="Z250" s="314"/>
      <c r="AA250" s="314"/>
      <c r="AB250" s="314"/>
      <c r="AC250" s="314"/>
      <c r="AD250" s="314"/>
      <c r="AE250" s="314"/>
      <c r="AF250" s="314"/>
      <c r="AG250" s="314"/>
      <c r="AH250" s="314"/>
      <c r="AI250" s="314"/>
      <c r="AJ250" s="314"/>
      <c r="AK250" s="314"/>
      <c r="AL250" s="314"/>
      <c r="AM250" s="314"/>
      <c r="AN250" s="314"/>
      <c r="AO250" s="314"/>
      <c r="AP250" s="314"/>
      <c r="AQ250" s="314"/>
      <c r="AR250" s="314"/>
      <c r="AS250" s="314"/>
      <c r="AT250" s="314"/>
      <c r="AU250" s="314"/>
      <c r="AV250" s="314"/>
      <c r="AW250" s="314"/>
      <c r="AX250" s="314"/>
      <c r="AY250" s="314"/>
      <c r="AZ250" s="314"/>
      <c r="BA250" s="314"/>
      <c r="BB250" s="314"/>
      <c r="BC250" s="314"/>
      <c r="BD250" s="314"/>
      <c r="BE250" s="314"/>
      <c r="BF250" s="314"/>
      <c r="BG250" s="314"/>
      <c r="BH250" s="314"/>
      <c r="BI250" s="314"/>
      <c r="BJ250" s="314"/>
      <c r="BK250" s="314"/>
      <c r="BL250" s="314"/>
      <c r="BM250" s="314"/>
      <c r="BN250" s="314"/>
      <c r="BO250" s="314"/>
      <c r="BP250" s="314"/>
      <c r="BQ250" s="314"/>
      <c r="BR250" s="314"/>
      <c r="BS250" s="314"/>
      <c r="BT250" s="314"/>
      <c r="BU250" s="314"/>
      <c r="BV250" s="314"/>
      <c r="BW250" s="314"/>
      <c r="BX250" s="314"/>
      <c r="BY250" s="314"/>
      <c r="BZ250" s="314"/>
      <c r="CA250" s="314"/>
      <c r="CB250" s="314"/>
      <c r="CC250" s="314"/>
      <c r="CD250" s="314"/>
      <c r="CE250" s="314"/>
      <c r="CF250" s="314"/>
      <c r="CG250" s="314"/>
      <c r="CH250" s="314"/>
      <c r="CI250" s="314"/>
      <c r="CJ250" s="314"/>
      <c r="CK250" s="314"/>
      <c r="CL250" s="314"/>
      <c r="CM250" s="314"/>
      <c r="CN250" s="314"/>
      <c r="CO250" s="314"/>
      <c r="CP250" s="314"/>
      <c r="CQ250" s="314"/>
    </row>
    <row r="251" spans="1:95" ht="12.75" customHeight="1" x14ac:dyDescent="0.25">
      <c r="A251" s="307"/>
      <c r="B251" s="68"/>
      <c r="C251" s="68"/>
      <c r="D251" s="1246" t="str">
        <f>Translations!$B$399</f>
        <v>Tiers valid from:</v>
      </c>
      <c r="E251" s="1246"/>
      <c r="F251" s="1247"/>
      <c r="G251" s="8"/>
      <c r="H251" s="199" t="str">
        <f>Translations!$B$400</f>
        <v>until:</v>
      </c>
      <c r="I251" s="8"/>
      <c r="J251" s="76"/>
      <c r="K251" s="76"/>
      <c r="L251" s="76"/>
      <c r="M251" s="199" t="str">
        <f>Translations!$B$401</f>
        <v>ID used in the monitoring plan for this fuel stream:</v>
      </c>
      <c r="N251" s="9"/>
      <c r="O251" s="160"/>
      <c r="P251" s="109"/>
      <c r="Q251" s="312"/>
      <c r="R251" s="312"/>
      <c r="S251" s="465"/>
      <c r="T251" s="314"/>
      <c r="U251" s="314"/>
      <c r="V251" s="314"/>
      <c r="W251" s="314"/>
      <c r="X251" s="314"/>
      <c r="Y251" s="314"/>
      <c r="Z251" s="314"/>
      <c r="AA251" s="314"/>
      <c r="AB251" s="314"/>
      <c r="AC251" s="314"/>
      <c r="AD251" s="314"/>
      <c r="AE251" s="314"/>
      <c r="AF251" s="314"/>
      <c r="AG251" s="314"/>
      <c r="AH251" s="314"/>
      <c r="AI251" s="314"/>
      <c r="AJ251" s="314"/>
      <c r="AK251" s="314"/>
      <c r="AL251" s="314"/>
      <c r="AM251" s="314"/>
      <c r="AN251" s="314"/>
      <c r="AO251" s="314"/>
      <c r="AP251" s="314"/>
      <c r="AQ251" s="314"/>
      <c r="AR251" s="314"/>
      <c r="AS251" s="314"/>
      <c r="AT251" s="314"/>
      <c r="AU251" s="314"/>
      <c r="AV251" s="314"/>
      <c r="AW251" s="314"/>
      <c r="AX251" s="314"/>
      <c r="AY251" s="314"/>
      <c r="AZ251" s="314"/>
      <c r="BA251" s="314"/>
      <c r="BB251" s="314"/>
      <c r="BC251" s="314"/>
      <c r="BD251" s="314"/>
      <c r="BE251" s="314"/>
      <c r="BF251" s="314"/>
      <c r="BG251" s="314"/>
      <c r="BH251" s="314"/>
      <c r="BI251" s="314"/>
      <c r="BJ251" s="314"/>
      <c r="BK251" s="314"/>
      <c r="BL251" s="314"/>
      <c r="BM251" s="314"/>
      <c r="BN251" s="314"/>
      <c r="BO251" s="314"/>
      <c r="BP251" s="314"/>
      <c r="BQ251" s="314"/>
      <c r="BR251" s="314"/>
      <c r="BS251" s="314"/>
      <c r="BT251" s="314"/>
      <c r="BU251" s="314"/>
      <c r="BV251" s="314"/>
      <c r="BW251" s="314"/>
      <c r="BX251" s="314"/>
      <c r="BY251" s="314"/>
      <c r="BZ251" s="314"/>
      <c r="CA251" s="314"/>
      <c r="CB251" s="314"/>
      <c r="CC251" s="314"/>
      <c r="CD251" s="314"/>
      <c r="CE251" s="314"/>
      <c r="CF251" s="314"/>
      <c r="CG251" s="314"/>
      <c r="CH251" s="314"/>
      <c r="CI251" s="314"/>
      <c r="CJ251" s="314"/>
      <c r="CK251" s="314"/>
      <c r="CL251" s="314"/>
      <c r="CM251" s="314"/>
      <c r="CN251" s="314"/>
      <c r="CO251" s="314"/>
      <c r="CP251" s="314"/>
      <c r="CQ251" s="464" t="b">
        <f>CQ234</f>
        <v>0</v>
      </c>
    </row>
    <row r="252" spans="1:95" ht="5.15" customHeight="1" x14ac:dyDescent="0.25">
      <c r="A252" s="462"/>
      <c r="B252" s="76"/>
      <c r="C252" s="76"/>
      <c r="D252" s="76"/>
      <c r="E252" s="76"/>
      <c r="F252" s="76"/>
      <c r="G252" s="76"/>
      <c r="H252" s="76"/>
      <c r="I252" s="76"/>
      <c r="J252" s="76"/>
      <c r="K252" s="76"/>
      <c r="L252" s="76"/>
      <c r="M252" s="76"/>
      <c r="N252" s="76"/>
      <c r="O252" s="160"/>
      <c r="P252" s="109"/>
      <c r="Q252" s="312"/>
      <c r="R252" s="312"/>
      <c r="S252" s="314"/>
      <c r="T252" s="314"/>
      <c r="U252" s="314"/>
      <c r="V252" s="314"/>
      <c r="W252" s="314"/>
      <c r="X252" s="314"/>
      <c r="Y252" s="314"/>
      <c r="Z252" s="314"/>
      <c r="AA252" s="314"/>
      <c r="AB252" s="314"/>
      <c r="AC252" s="314"/>
      <c r="AD252" s="314"/>
      <c r="AE252" s="314"/>
      <c r="AF252" s="314"/>
      <c r="AG252" s="314"/>
      <c r="AH252" s="314"/>
      <c r="AI252" s="314"/>
      <c r="AJ252" s="314"/>
      <c r="AK252" s="314"/>
      <c r="AL252" s="314"/>
      <c r="AM252" s="314"/>
      <c r="AN252" s="314"/>
      <c r="AO252" s="314"/>
      <c r="AP252" s="314"/>
      <c r="AQ252" s="314"/>
      <c r="AR252" s="314"/>
      <c r="AS252" s="314"/>
      <c r="AT252" s="314"/>
      <c r="AU252" s="314"/>
      <c r="AV252" s="314"/>
      <c r="AW252" s="314"/>
      <c r="AX252" s="314"/>
      <c r="AY252" s="314"/>
      <c r="AZ252" s="314"/>
      <c r="BA252" s="314"/>
      <c r="BB252" s="314"/>
      <c r="BC252" s="314"/>
      <c r="BD252" s="314"/>
      <c r="BE252" s="314"/>
      <c r="BF252" s="314"/>
      <c r="BG252" s="314"/>
      <c r="BH252" s="314"/>
      <c r="BI252" s="314"/>
      <c r="BJ252" s="314"/>
      <c r="BK252" s="314"/>
      <c r="BL252" s="314"/>
      <c r="BM252" s="314"/>
      <c r="BN252" s="314"/>
      <c r="BO252" s="314"/>
      <c r="BP252" s="314"/>
      <c r="BQ252" s="314"/>
      <c r="BR252" s="314"/>
      <c r="BS252" s="314"/>
      <c r="BT252" s="314"/>
      <c r="BU252" s="314"/>
      <c r="BV252" s="314"/>
      <c r="BW252" s="314"/>
      <c r="BX252" s="314"/>
      <c r="BY252" s="314"/>
      <c r="BZ252" s="314"/>
      <c r="CA252" s="314"/>
      <c r="CB252" s="314"/>
      <c r="CC252" s="314"/>
      <c r="CD252" s="314"/>
      <c r="CE252" s="314"/>
      <c r="CF252" s="314"/>
      <c r="CG252" s="314"/>
      <c r="CH252" s="314"/>
      <c r="CI252" s="314"/>
      <c r="CJ252" s="314"/>
      <c r="CK252" s="314"/>
      <c r="CL252" s="314"/>
      <c r="CM252" s="314"/>
      <c r="CN252" s="314"/>
      <c r="CO252" s="314"/>
      <c r="CP252" s="314"/>
      <c r="CQ252" s="314"/>
    </row>
    <row r="253" spans="1:95" ht="12.75" customHeight="1" x14ac:dyDescent="0.25">
      <c r="A253" s="462"/>
      <c r="B253" s="76"/>
      <c r="C253" s="76"/>
      <c r="D253" s="115"/>
      <c r="E253" s="85"/>
      <c r="F253" s="466" t="str">
        <f>Translations!$B$304</f>
        <v>Comments:</v>
      </c>
      <c r="G253" s="1250"/>
      <c r="H253" s="1251"/>
      <c r="I253" s="1251"/>
      <c r="J253" s="1251"/>
      <c r="K253" s="1251"/>
      <c r="L253" s="1251"/>
      <c r="M253" s="1251"/>
      <c r="N253" s="1252"/>
      <c r="O253" s="160"/>
      <c r="P253" s="109"/>
      <c r="Q253" s="312"/>
      <c r="R253" s="312"/>
      <c r="S253" s="314"/>
      <c r="T253" s="314"/>
      <c r="U253" s="314"/>
      <c r="V253" s="314"/>
      <c r="W253" s="314"/>
      <c r="X253" s="314"/>
      <c r="Y253" s="314"/>
      <c r="Z253" s="314"/>
      <c r="AA253" s="314"/>
      <c r="AB253" s="314"/>
      <c r="AC253" s="314"/>
      <c r="AD253" s="314"/>
      <c r="AE253" s="314"/>
      <c r="AF253" s="314"/>
      <c r="AG253" s="314"/>
      <c r="AH253" s="314"/>
      <c r="AI253" s="314"/>
      <c r="AJ253" s="314"/>
      <c r="AK253" s="314"/>
      <c r="AL253" s="314"/>
      <c r="AM253" s="314"/>
      <c r="AN253" s="314"/>
      <c r="AO253" s="314"/>
      <c r="AP253" s="314"/>
      <c r="AQ253" s="314"/>
      <c r="AR253" s="314"/>
      <c r="AS253" s="314"/>
      <c r="AT253" s="314"/>
      <c r="AU253" s="314"/>
      <c r="AV253" s="314"/>
      <c r="AW253" s="314"/>
      <c r="AX253" s="314"/>
      <c r="AY253" s="314"/>
      <c r="AZ253" s="314"/>
      <c r="BA253" s="314"/>
      <c r="BB253" s="314"/>
      <c r="BC253" s="314"/>
      <c r="BD253" s="314"/>
      <c r="BE253" s="314"/>
      <c r="BF253" s="314"/>
      <c r="BG253" s="314"/>
      <c r="BH253" s="314"/>
      <c r="BI253" s="314"/>
      <c r="BJ253" s="314"/>
      <c r="BK253" s="314"/>
      <c r="BL253" s="314"/>
      <c r="BM253" s="314"/>
      <c r="BN253" s="314"/>
      <c r="BO253" s="314"/>
      <c r="BP253" s="314"/>
      <c r="BQ253" s="314"/>
      <c r="BR253" s="314"/>
      <c r="BS253" s="314"/>
      <c r="BT253" s="314"/>
      <c r="BU253" s="314"/>
      <c r="BV253" s="314"/>
      <c r="BW253" s="314"/>
      <c r="BX253" s="314"/>
      <c r="BY253" s="314"/>
      <c r="BZ253" s="314"/>
      <c r="CA253" s="314"/>
      <c r="CB253" s="314"/>
      <c r="CC253" s="314"/>
      <c r="CD253" s="314"/>
      <c r="CE253" s="314"/>
      <c r="CF253" s="314"/>
      <c r="CG253" s="314"/>
      <c r="CH253" s="314"/>
      <c r="CI253" s="314"/>
      <c r="CJ253" s="314"/>
      <c r="CK253" s="314"/>
      <c r="CL253" s="314"/>
      <c r="CM253" s="314"/>
      <c r="CN253" s="314"/>
      <c r="CO253" s="314"/>
      <c r="CP253" s="314"/>
      <c r="CQ253" s="464" t="b">
        <f>CQ251</f>
        <v>0</v>
      </c>
    </row>
    <row r="254" spans="1:95" ht="12.75" customHeight="1" thickBot="1" x14ac:dyDescent="0.3">
      <c r="A254" s="307"/>
      <c r="B254" s="76"/>
      <c r="C254" s="308"/>
      <c r="D254" s="309"/>
      <c r="E254" s="310"/>
      <c r="F254" s="308"/>
      <c r="G254" s="311"/>
      <c r="H254" s="311"/>
      <c r="I254" s="311"/>
      <c r="J254" s="311"/>
      <c r="K254" s="311"/>
      <c r="L254" s="311"/>
      <c r="M254" s="311"/>
      <c r="N254" s="311"/>
      <c r="O254" s="160"/>
      <c r="P254" s="109"/>
      <c r="Q254" s="312"/>
      <c r="R254" s="312"/>
      <c r="S254" s="293"/>
      <c r="T254" s="293"/>
      <c r="U254" s="313"/>
      <c r="V254" s="293"/>
      <c r="W254" s="293"/>
      <c r="X254" s="313"/>
      <c r="Y254" s="293"/>
      <c r="Z254" s="293"/>
      <c r="AA254" s="293"/>
      <c r="AB254" s="293"/>
      <c r="AC254" s="293"/>
      <c r="AD254" s="293"/>
      <c r="AE254" s="293"/>
      <c r="AF254" s="293"/>
      <c r="AG254" s="293"/>
      <c r="AH254" s="293"/>
      <c r="AI254" s="293"/>
      <c r="AJ254" s="293"/>
      <c r="AK254" s="293"/>
      <c r="AL254" s="293"/>
      <c r="AM254" s="293"/>
      <c r="AN254" s="293"/>
      <c r="AO254" s="293"/>
      <c r="AP254" s="293"/>
      <c r="AQ254" s="293"/>
      <c r="AR254" s="293"/>
      <c r="AS254" s="293"/>
      <c r="AT254" s="293"/>
      <c r="AU254" s="293"/>
      <c r="AV254" s="293"/>
      <c r="AW254" s="293"/>
      <c r="AX254" s="293"/>
      <c r="AY254" s="293"/>
      <c r="AZ254" s="293"/>
      <c r="BA254" s="293"/>
      <c r="BB254" s="293"/>
      <c r="BC254" s="293"/>
      <c r="BD254" s="293"/>
      <c r="BE254" s="293"/>
      <c r="BF254" s="293"/>
      <c r="BG254" s="293"/>
      <c r="BH254" s="293"/>
      <c r="BI254" s="293"/>
      <c r="BJ254" s="293"/>
      <c r="BK254" s="293"/>
      <c r="BL254" s="293"/>
      <c r="BM254" s="314"/>
      <c r="BN254" s="314"/>
      <c r="BO254" s="314"/>
      <c r="BP254" s="314"/>
      <c r="BQ254" s="314"/>
      <c r="BR254" s="314"/>
      <c r="BS254" s="314"/>
      <c r="BT254" s="314"/>
      <c r="BU254" s="293"/>
      <c r="BV254" s="293"/>
      <c r="BW254" s="293"/>
      <c r="BX254" s="293"/>
      <c r="BY254" s="293"/>
      <c r="BZ254" s="293"/>
      <c r="CA254" s="293"/>
      <c r="CB254" s="293"/>
      <c r="CC254" s="293"/>
      <c r="CD254" s="293"/>
      <c r="CE254" s="293"/>
      <c r="CF254" s="293"/>
      <c r="CG254" s="293"/>
      <c r="CH254" s="293"/>
      <c r="CI254" s="293"/>
      <c r="CJ254" s="293"/>
      <c r="CK254" s="293"/>
      <c r="CL254" s="293"/>
      <c r="CM254" s="293"/>
      <c r="CN254" s="293"/>
      <c r="CO254" s="293"/>
      <c r="CP254" s="293"/>
      <c r="CQ254" s="293"/>
    </row>
    <row r="255" spans="1:95" ht="12.75" customHeight="1" thickBot="1" x14ac:dyDescent="0.3">
      <c r="A255" s="315"/>
      <c r="B255" s="76"/>
      <c r="C255" s="76"/>
      <c r="D255" s="205"/>
      <c r="E255" s="316"/>
      <c r="F255" s="76"/>
      <c r="G255" s="96"/>
      <c r="H255" s="96"/>
      <c r="I255" s="96"/>
      <c r="J255" s="96"/>
      <c r="K255" s="76"/>
      <c r="L255" s="96"/>
      <c r="M255" s="96"/>
      <c r="N255" s="96"/>
      <c r="O255" s="160"/>
      <c r="P255" s="109"/>
      <c r="Q255" s="312"/>
      <c r="R255" s="312"/>
      <c r="S255" s="287"/>
      <c r="T255" s="317" t="str">
        <f>IF(ISBLANK(E256),"",MATCH(E256,CNTR_SourceStreamNames,0))</f>
        <v/>
      </c>
      <c r="U255" s="318" t="str">
        <f>IF(ISBLANK(E256),"",INDEX(B_IdentifyFuelStreams!$D$67:$D$116,MATCH(E256,CNTR_SourceStreamNames,0)))</f>
        <v/>
      </c>
      <c r="V255" s="301"/>
      <c r="W255" s="138"/>
      <c r="X255" s="138"/>
      <c r="Y255" s="138"/>
      <c r="Z255" s="293"/>
      <c r="AA255" s="293"/>
      <c r="AB255" s="293"/>
      <c r="AC255" s="293"/>
      <c r="AD255" s="293"/>
      <c r="AE255" s="293"/>
      <c r="AF255" s="293"/>
      <c r="AG255" s="293"/>
      <c r="AH255" s="293"/>
      <c r="AI255" s="293"/>
      <c r="AJ255" s="293"/>
      <c r="AK255" s="312"/>
      <c r="AL255" s="293"/>
      <c r="AM255" s="293"/>
      <c r="AN255" s="293"/>
      <c r="AO255" s="293"/>
      <c r="AP255" s="293"/>
      <c r="AQ255" s="293"/>
      <c r="AR255" s="293"/>
      <c r="AS255" s="293"/>
      <c r="AT255" s="293"/>
      <c r="AU255" s="293"/>
      <c r="AV255" s="293"/>
      <c r="AW255" s="293"/>
      <c r="AX255" s="293"/>
      <c r="AY255" s="293"/>
      <c r="AZ255" s="293"/>
      <c r="BA255" s="293"/>
      <c r="BB255" s="293"/>
      <c r="BC255" s="293"/>
      <c r="BD255" s="293"/>
      <c r="BE255" s="293"/>
      <c r="BF255" s="293"/>
      <c r="BG255" s="293"/>
      <c r="BH255" s="293"/>
      <c r="BI255" s="293"/>
      <c r="BJ255" s="138"/>
      <c r="BK255" s="138"/>
      <c r="BL255" s="138"/>
      <c r="BM255" s="138"/>
      <c r="BN255" s="138"/>
      <c r="BO255" s="138"/>
      <c r="BP255" s="138"/>
      <c r="BQ255" s="138"/>
      <c r="BR255" s="138"/>
      <c r="BS255" s="138"/>
      <c r="BT255" s="138"/>
      <c r="BU255" s="138"/>
      <c r="BV255" s="138"/>
      <c r="BW255" s="138"/>
      <c r="BX255" s="138"/>
      <c r="BY255" s="138"/>
      <c r="BZ255" s="138"/>
      <c r="CA255" s="138"/>
      <c r="CB255" s="138"/>
      <c r="CC255" s="138"/>
      <c r="CD255" s="138"/>
      <c r="CE255" s="138"/>
      <c r="CF255" s="138"/>
      <c r="CG255" s="138"/>
      <c r="CH255" s="138"/>
      <c r="CI255" s="138"/>
      <c r="CJ255" s="138"/>
      <c r="CK255" s="138"/>
      <c r="CL255" s="138"/>
      <c r="CM255" s="138"/>
      <c r="CN255" s="138"/>
      <c r="CO255" s="138"/>
      <c r="CP255" s="138"/>
      <c r="CQ255" s="319" t="s">
        <v>107</v>
      </c>
    </row>
    <row r="256" spans="1:95" ht="15" customHeight="1" thickBot="1" x14ac:dyDescent="0.3">
      <c r="A256" s="320">
        <f>C256</f>
        <v>8</v>
      </c>
      <c r="B256" s="68"/>
      <c r="C256" s="321">
        <f>C228+1</f>
        <v>8</v>
      </c>
      <c r="D256" s="68"/>
      <c r="E256" s="1269"/>
      <c r="F256" s="1270"/>
      <c r="G256" s="1270"/>
      <c r="H256" s="1270"/>
      <c r="I256" s="1270"/>
      <c r="J256" s="1271"/>
      <c r="K256" s="1272" t="str">
        <f>IF(INDEX(B_IdentifyFuelStreams!$K$125:$K$174,MATCH(U255,B_IdentifyFuelStreams!$D$125:$D$174,0))&gt;0,INDEX(B_IdentifyFuelStreams!$K$125:$K$174,MATCH(U255,B_IdentifyFuelStreams!$D$125:$D$174,0)),"")</f>
        <v/>
      </c>
      <c r="L256" s="1273"/>
      <c r="M256" s="316" t="str">
        <f>Translations!$B$621</f>
        <v>Emissions:</v>
      </c>
      <c r="N256" s="322" t="str">
        <f>IF(E257="","",BG262)</f>
        <v/>
      </c>
      <c r="O256" s="323" t="str">
        <f>EUconst_tCO2</f>
        <v>tCO2</v>
      </c>
      <c r="P256" s="324" t="str">
        <f>IF(AND(E256&lt;&gt;"",COUNTIF(P257:$P$1649,"PRINT")=0),"PRINT","")</f>
        <v/>
      </c>
      <c r="Q256" s="325" t="str">
        <f>EUconst_SumCO2</f>
        <v>SUM_CO2</v>
      </c>
      <c r="R256" s="312"/>
      <c r="S256" s="287"/>
      <c r="T256" s="287"/>
      <c r="U256" s="287"/>
      <c r="V256" s="301"/>
      <c r="W256" s="138"/>
      <c r="X256" s="293"/>
      <c r="Y256" s="293"/>
      <c r="Z256" s="293"/>
      <c r="AA256" s="293"/>
      <c r="AB256" s="293"/>
      <c r="AC256" s="293"/>
      <c r="AD256" s="293"/>
      <c r="AE256" s="293"/>
      <c r="AF256" s="293"/>
      <c r="AG256" s="293"/>
      <c r="AH256" s="293"/>
      <c r="AI256" s="326"/>
      <c r="AJ256" s="326"/>
      <c r="AK256" s="326"/>
      <c r="AL256" s="326"/>
      <c r="AM256" s="326"/>
      <c r="AN256" s="326"/>
      <c r="AO256" s="326"/>
      <c r="AP256" s="326"/>
      <c r="AQ256" s="326"/>
      <c r="AR256" s="326"/>
      <c r="AS256" s="326"/>
      <c r="AT256" s="326"/>
      <c r="AU256" s="326"/>
      <c r="AV256" s="326"/>
      <c r="AW256" s="326"/>
      <c r="AX256" s="326"/>
      <c r="AY256" s="326"/>
      <c r="AZ256" s="326"/>
      <c r="BA256" s="326"/>
      <c r="BB256" s="326"/>
      <c r="BC256" s="326"/>
      <c r="BD256" s="326"/>
      <c r="BE256" s="326"/>
      <c r="BF256" s="326"/>
      <c r="BG256" s="326"/>
      <c r="BH256" s="326"/>
      <c r="BI256" s="327" t="str">
        <f>IF(E256="","",E256)</f>
        <v/>
      </c>
      <c r="BJ256" s="328" t="str">
        <f>IF(F262="","",F262)</f>
        <v/>
      </c>
      <c r="BK256" s="329">
        <f>AV262</f>
        <v>0</v>
      </c>
      <c r="BL256" s="329">
        <f>IF(BK256="","",BK256*(1-BP256))</f>
        <v>0</v>
      </c>
      <c r="BM256" s="328" t="str">
        <f>AJ262</f>
        <v/>
      </c>
      <c r="BN256" s="328" t="str">
        <f>IF(F273="","",F273)</f>
        <v/>
      </c>
      <c r="BO256" s="327" t="str">
        <f>IF(G273="","",G273)</f>
        <v/>
      </c>
      <c r="BP256" s="330">
        <f>AV273</f>
        <v>0</v>
      </c>
      <c r="BQ256" s="328" t="str">
        <f>IF(F265="","",F265)</f>
        <v/>
      </c>
      <c r="BR256" s="330">
        <f>AV265</f>
        <v>0</v>
      </c>
      <c r="BS256" s="330" t="str">
        <f>AJ265</f>
        <v/>
      </c>
      <c r="BT256" s="328" t="str">
        <f>IF(F264="","",F264)</f>
        <v/>
      </c>
      <c r="BU256" s="330">
        <f>IF(F264=EUconst_NA,"",AV264)</f>
        <v>0</v>
      </c>
      <c r="BV256" s="330" t="str">
        <f>AJ264</f>
        <v/>
      </c>
      <c r="BW256" s="328" t="str">
        <f>IF(F266="","",F266)</f>
        <v/>
      </c>
      <c r="BX256" s="330">
        <f>AV266</f>
        <v>0</v>
      </c>
      <c r="BY256" s="328" t="str">
        <f>IF(F267="","",F267)</f>
        <v/>
      </c>
      <c r="BZ256" s="330">
        <f>AV267</f>
        <v>0</v>
      </c>
      <c r="CA256" s="330">
        <f>AV268</f>
        <v>0</v>
      </c>
      <c r="CB256" s="330">
        <f>AV269</f>
        <v>0</v>
      </c>
      <c r="CC256" s="330">
        <f>AV270</f>
        <v>0</v>
      </c>
      <c r="CD256" s="330">
        <f>AV271</f>
        <v>0</v>
      </c>
      <c r="CE256" s="329" t="str">
        <f>BG262</f>
        <v/>
      </c>
      <c r="CF256" s="329" t="str">
        <f>BG264</f>
        <v/>
      </c>
      <c r="CG256" s="329" t="str">
        <f>BG265</f>
        <v/>
      </c>
      <c r="CH256" s="329" t="str">
        <f>BG266</f>
        <v/>
      </c>
      <c r="CI256" s="329" t="str">
        <f>BG267</f>
        <v/>
      </c>
      <c r="CJ256" s="329" t="str">
        <f>BG268</f>
        <v/>
      </c>
      <c r="CK256" s="329" t="str">
        <f>BG269</f>
        <v/>
      </c>
      <c r="CL256" s="329">
        <f>BG270</f>
        <v>0</v>
      </c>
      <c r="CM256" s="329" t="str">
        <f>BG271</f>
        <v/>
      </c>
      <c r="CN256" s="329" t="str">
        <f>BG273</f>
        <v/>
      </c>
      <c r="CO256" s="329" t="str">
        <f>BG277</f>
        <v/>
      </c>
      <c r="CP256" s="329" t="str">
        <f>IF(COUNTIF(AO265:AO266,TRUE)=0,"",BH262)</f>
        <v/>
      </c>
      <c r="CQ256" s="331" t="b">
        <v>0</v>
      </c>
    </row>
    <row r="257" spans="1:95" ht="15" customHeight="1" thickBot="1" x14ac:dyDescent="0.3">
      <c r="A257" s="307"/>
      <c r="B257" s="68"/>
      <c r="C257" s="68"/>
      <c r="D257" s="68"/>
      <c r="E257" s="1274" t="str">
        <f>IF(ISBLANK(E256),"",IF(INDEX(B_IdentifyFuelStreams!$E$67:$E$116,MATCH(U255,B_IdentifyFuelStreams!$D$67:$D$116,0))&gt;0,INDEX(B_IdentifyFuelStreams!$E$67:$E$116,MATCH(U255,B_IdentifyFuelStreams!$D$67:$D$116,0)),""))</f>
        <v/>
      </c>
      <c r="F257" s="1275"/>
      <c r="G257" s="1275"/>
      <c r="H257" s="1275"/>
      <c r="I257" s="1275"/>
      <c r="J257" s="1276"/>
      <c r="K257" s="1272" t="str">
        <f>IF(INDEX(B_IdentifyFuelStreams!$M$125:$M$174,MATCH(U255,B_IdentifyFuelStreams!$D$125:$D$174,0))&gt;0,INDEX(B_IdentifyFuelStreams!$M$125:$M$174,MATCH(U255,B_IdentifyFuelStreams!$D$125:$D$174,0)),"")</f>
        <v/>
      </c>
      <c r="L257" s="1273"/>
      <c r="M257" s="332" t="str">
        <f>Translations!$B$622</f>
        <v>zero-rated:</v>
      </c>
      <c r="N257" s="333" t="str">
        <f>IF(E257="","",SUM(BG264,BG266,BG268))</f>
        <v/>
      </c>
      <c r="O257" s="334" t="str">
        <f>EUconst_tCO2</f>
        <v>tCO2</v>
      </c>
      <c r="P257" s="109"/>
      <c r="Q257" s="325" t="str">
        <f>EUconst_SumBioCO2</f>
        <v>SUM_bioCO2</v>
      </c>
      <c r="R257" s="312"/>
      <c r="S257" s="287"/>
      <c r="T257" s="287"/>
      <c r="U257" s="287"/>
      <c r="V257" s="301"/>
      <c r="W257" s="138"/>
      <c r="X257" s="293"/>
      <c r="Y257" s="317" t="str">
        <f>Translations!$B$143</f>
        <v>Tiers</v>
      </c>
      <c r="Z257" s="314"/>
      <c r="AA257" s="314"/>
      <c r="AB257" s="314"/>
      <c r="AC257" s="314"/>
      <c r="AD257" s="314"/>
      <c r="AE257" s="317" t="s">
        <v>108</v>
      </c>
      <c r="AF257" s="293"/>
      <c r="AG257" s="335"/>
      <c r="AH257" s="314"/>
      <c r="AI257" s="314"/>
      <c r="AJ257" s="335"/>
      <c r="AK257" s="335"/>
      <c r="AL257" s="326"/>
      <c r="AM257" s="326"/>
      <c r="AN257" s="326"/>
      <c r="AO257" s="326"/>
      <c r="AP257" s="326"/>
      <c r="AQ257" s="317" t="s">
        <v>109</v>
      </c>
      <c r="AR257" s="336"/>
      <c r="AS257" s="336"/>
      <c r="AT257" s="314"/>
      <c r="AU257" s="314"/>
      <c r="AV257" s="314"/>
      <c r="AW257" s="314"/>
      <c r="AX257" s="314"/>
      <c r="AY257" s="314"/>
      <c r="AZ257" s="317" t="s">
        <v>110</v>
      </c>
      <c r="BA257" s="314"/>
      <c r="BB257" s="314"/>
      <c r="BC257" s="314"/>
      <c r="BD257" s="314"/>
      <c r="BE257" s="314"/>
      <c r="BF257" s="317" t="s">
        <v>111</v>
      </c>
      <c r="BG257" s="314"/>
      <c r="BH257" s="314"/>
      <c r="BI257" s="317" t="s">
        <v>112</v>
      </c>
      <c r="BJ257" s="328" t="str">
        <f>Translations!$B$376</f>
        <v>RFA Tier</v>
      </c>
      <c r="BK257" s="328" t="str">
        <f>Translations!$B$377</f>
        <v>RFA</v>
      </c>
      <c r="BL257" s="328" t="str">
        <f>Translations!$B$378</f>
        <v>RFA (in scope)</v>
      </c>
      <c r="BM257" s="328" t="str">
        <f>Translations!$B$379</f>
        <v>RFA Unit</v>
      </c>
      <c r="BN257" s="328" t="str">
        <f>Translations!$B$380</f>
        <v>SF Tier</v>
      </c>
      <c r="BO257" s="328" t="str">
        <f>Translations!$B$380</f>
        <v>SF Tier</v>
      </c>
      <c r="BP257" s="328" t="str">
        <f>Translations!$B$381</f>
        <v>SF</v>
      </c>
      <c r="BQ257" s="328" t="str">
        <f>Translations!$B$382</f>
        <v>EF Tier</v>
      </c>
      <c r="BR257" s="328" t="str">
        <f>Translations!$B$383</f>
        <v>EF</v>
      </c>
      <c r="BS257" s="328" t="str">
        <f>Translations!$B$384</f>
        <v>EF Unit</v>
      </c>
      <c r="BT257" s="328" t="str">
        <f>Translations!$B$385</f>
        <v>UCF Tier</v>
      </c>
      <c r="BU257" s="328" t="str">
        <f>Translations!$B$386</f>
        <v>UCF</v>
      </c>
      <c r="BV257" s="328" t="str">
        <f>Translations!$B$387</f>
        <v>UCF Unit</v>
      </c>
      <c r="BW257" s="328" t="str">
        <f>Translations!$B$388</f>
        <v>Bio Tier</v>
      </c>
      <c r="BX257" s="328" t="s">
        <v>113</v>
      </c>
      <c r="BY257" s="328" t="str">
        <f>Translations!$B$389</f>
        <v>NonSustBio Tier</v>
      </c>
      <c r="BZ257" s="328" t="s">
        <v>114</v>
      </c>
      <c r="CA257" s="328" t="s">
        <v>115</v>
      </c>
      <c r="CB257" s="328" t="s">
        <v>116</v>
      </c>
      <c r="CC257" s="328" t="s">
        <v>117</v>
      </c>
      <c r="CD257" s="328" t="s">
        <v>118</v>
      </c>
      <c r="CE257" s="328" t="s">
        <v>119</v>
      </c>
      <c r="CF257" s="328" t="s">
        <v>120</v>
      </c>
      <c r="CG257" s="328" t="str">
        <f>Translations!$B$392</f>
        <v>CO2 non-sust</v>
      </c>
      <c r="CH257" s="328" t="s">
        <v>121</v>
      </c>
      <c r="CI257" s="328" t="s">
        <v>122</v>
      </c>
      <c r="CJ257" s="328" t="s">
        <v>123</v>
      </c>
      <c r="CK257" s="328" t="s">
        <v>124</v>
      </c>
      <c r="CL257" s="328" t="s">
        <v>125</v>
      </c>
      <c r="CM257" s="328" t="str">
        <f>Translations!$B$551</f>
        <v>Energy content (bio), TJ</v>
      </c>
      <c r="CN257" s="328" t="s">
        <v>126</v>
      </c>
      <c r="CO257" s="328" t="s">
        <v>127</v>
      </c>
      <c r="CP257" s="328" t="s">
        <v>128</v>
      </c>
      <c r="CQ257" s="314"/>
    </row>
    <row r="258" spans="1:95" ht="5.15" customHeight="1" thickBot="1" x14ac:dyDescent="0.3">
      <c r="A258" s="307"/>
      <c r="B258" s="68"/>
      <c r="C258" s="68"/>
      <c r="D258" s="68"/>
      <c r="E258" s="68"/>
      <c r="F258" s="68"/>
      <c r="G258" s="68"/>
      <c r="H258" s="76"/>
      <c r="I258" s="76"/>
      <c r="J258" s="76"/>
      <c r="K258" s="76"/>
      <c r="L258" s="76"/>
      <c r="M258" s="76"/>
      <c r="N258" s="76"/>
      <c r="O258" s="160"/>
      <c r="P258" s="109"/>
      <c r="Q258" s="312"/>
      <c r="R258" s="312"/>
      <c r="S258" s="287"/>
      <c r="T258" s="287"/>
      <c r="U258" s="287"/>
      <c r="V258" s="301"/>
      <c r="W258" s="314"/>
      <c r="X258" s="314"/>
      <c r="Y258" s="312"/>
      <c r="Z258" s="314"/>
      <c r="AA258" s="314"/>
      <c r="AB258" s="314"/>
      <c r="AC258" s="314"/>
      <c r="AD258" s="314"/>
      <c r="AE258" s="314"/>
      <c r="AF258" s="293"/>
      <c r="AG258" s="314"/>
      <c r="AH258" s="314"/>
      <c r="AI258" s="314"/>
      <c r="AJ258" s="335"/>
      <c r="AK258" s="335"/>
      <c r="AL258" s="326"/>
      <c r="AM258" s="326"/>
      <c r="AN258" s="326"/>
      <c r="AO258" s="326"/>
      <c r="AP258" s="326"/>
      <c r="AQ258" s="314"/>
      <c r="AR258" s="314"/>
      <c r="AS258" s="314"/>
      <c r="AT258" s="314"/>
      <c r="AU258" s="314"/>
      <c r="AV258" s="314"/>
      <c r="AW258" s="314"/>
      <c r="AX258" s="314"/>
      <c r="AY258" s="314"/>
      <c r="AZ258" s="314"/>
      <c r="BA258" s="314"/>
      <c r="BB258" s="314"/>
      <c r="BC258" s="314"/>
      <c r="BD258" s="314"/>
      <c r="BE258" s="314"/>
      <c r="BF258" s="314"/>
      <c r="BG258" s="314"/>
      <c r="BH258" s="314"/>
      <c r="BI258" s="314"/>
      <c r="BJ258" s="314"/>
      <c r="BK258" s="314"/>
      <c r="BL258" s="314"/>
      <c r="BM258" s="314"/>
      <c r="BN258" s="314"/>
      <c r="BO258" s="314"/>
      <c r="BP258" s="314"/>
      <c r="BQ258" s="314"/>
      <c r="BR258" s="314"/>
      <c r="BS258" s="314"/>
      <c r="BT258" s="314"/>
      <c r="BU258" s="314"/>
      <c r="BV258" s="314"/>
      <c r="BW258" s="314"/>
      <c r="BX258" s="314"/>
      <c r="BY258" s="314"/>
      <c r="BZ258" s="314"/>
      <c r="CA258" s="314"/>
      <c r="CB258" s="314"/>
      <c r="CC258" s="314"/>
      <c r="CD258" s="314"/>
      <c r="CE258" s="314"/>
      <c r="CF258" s="314"/>
      <c r="CG258" s="314"/>
      <c r="CH258" s="314"/>
      <c r="CI258" s="314"/>
      <c r="CJ258" s="314"/>
      <c r="CK258" s="314"/>
      <c r="CL258" s="314"/>
      <c r="CM258" s="314"/>
      <c r="CN258" s="314"/>
      <c r="CO258" s="314"/>
      <c r="CP258" s="314"/>
      <c r="CQ258" s="314"/>
    </row>
    <row r="259" spans="1:95" ht="12.75" customHeight="1" thickBot="1" x14ac:dyDescent="0.3">
      <c r="A259" s="307"/>
      <c r="B259" s="68"/>
      <c r="C259" s="68"/>
      <c r="D259" s="68"/>
      <c r="E259" s="1253" t="str">
        <f>IF(E256="","",HYPERLINK("#JUMP_E_Top",EUconst_FurtherGuidancePoint1))</f>
        <v/>
      </c>
      <c r="F259" s="1253"/>
      <c r="G259" s="1253"/>
      <c r="H259" s="1253"/>
      <c r="I259" s="1253"/>
      <c r="J259" s="1253"/>
      <c r="K259" s="1253"/>
      <c r="L259" s="1253"/>
      <c r="M259" s="1253"/>
      <c r="N259" s="76"/>
      <c r="O259" s="160"/>
      <c r="P259" s="109"/>
      <c r="Q259" s="325" t="str">
        <f>EUconst_SumNonSustBioCO2</f>
        <v>SUM_bioNonSustCO2</v>
      </c>
      <c r="R259" s="337" t="str">
        <f>IF(E257="","",BG265)</f>
        <v/>
      </c>
      <c r="S259" s="287"/>
      <c r="T259" s="287"/>
      <c r="U259" s="287"/>
      <c r="V259" s="314"/>
      <c r="W259" s="314"/>
      <c r="X259" s="314"/>
      <c r="Y259" s="293"/>
      <c r="Z259" s="314"/>
      <c r="AA259" s="314"/>
      <c r="AB259" s="314"/>
      <c r="AC259" s="314"/>
      <c r="AD259" s="314"/>
      <c r="AE259" s="314"/>
      <c r="AF259" s="293"/>
      <c r="AG259" s="314"/>
      <c r="AH259" s="314"/>
      <c r="AI259" s="314"/>
      <c r="AJ259" s="335"/>
      <c r="AK259" s="335"/>
      <c r="AL259" s="326"/>
      <c r="AM259" s="326"/>
      <c r="AN259" s="326"/>
      <c r="AO259" s="326"/>
      <c r="AP259" s="326"/>
      <c r="AQ259" s="314"/>
      <c r="AR259" s="314"/>
      <c r="AS259" s="314"/>
      <c r="AT259" s="314"/>
      <c r="AU259" s="314"/>
      <c r="AV259" s="314"/>
      <c r="AW259" s="314"/>
      <c r="AX259" s="314"/>
      <c r="AY259" s="314"/>
      <c r="AZ259" s="314"/>
      <c r="BA259" s="314"/>
      <c r="BB259" s="314"/>
      <c r="BC259" s="314"/>
      <c r="BD259" s="314"/>
      <c r="BE259" s="314"/>
      <c r="BF259" s="314"/>
      <c r="BG259" s="314"/>
      <c r="BH259" s="314"/>
      <c r="BI259" s="317" t="s">
        <v>129</v>
      </c>
      <c r="BJ259" s="336"/>
      <c r="BK259" s="327" t="str">
        <f>IF(G277="","",G277)</f>
        <v/>
      </c>
      <c r="BL259" s="327" t="str">
        <f>IF(I277="","",I277)</f>
        <v/>
      </c>
      <c r="BM259" s="327" t="str">
        <f>IF(K277="","",K277)</f>
        <v/>
      </c>
      <c r="BN259" s="314"/>
      <c r="BO259" s="314"/>
      <c r="BP259" s="314"/>
      <c r="BQ259" s="314"/>
      <c r="BR259" s="314"/>
      <c r="BS259" s="314"/>
      <c r="BT259" s="319"/>
      <c r="BU259" s="314"/>
      <c r="BV259" s="314"/>
      <c r="BW259" s="314"/>
      <c r="BX259" s="314"/>
      <c r="BY259" s="314"/>
      <c r="BZ259" s="314"/>
      <c r="CA259" s="314"/>
      <c r="CB259" s="314"/>
      <c r="CC259" s="314"/>
      <c r="CD259" s="314"/>
      <c r="CE259" s="314"/>
      <c r="CF259" s="314"/>
      <c r="CG259" s="314"/>
      <c r="CH259" s="314"/>
      <c r="CI259" s="314"/>
      <c r="CJ259" s="314"/>
      <c r="CK259" s="314"/>
      <c r="CL259" s="314"/>
      <c r="CM259" s="314"/>
      <c r="CN259" s="314"/>
      <c r="CO259" s="314"/>
      <c r="CP259" s="314"/>
      <c r="CQ259" s="314"/>
    </row>
    <row r="260" spans="1:95" ht="5.15" customHeight="1" thickBot="1" x14ac:dyDescent="0.3">
      <c r="A260" s="307"/>
      <c r="B260" s="68"/>
      <c r="C260" s="68"/>
      <c r="D260" s="68"/>
      <c r="E260" s="68"/>
      <c r="F260" s="68"/>
      <c r="G260" s="68"/>
      <c r="H260" s="76"/>
      <c r="I260" s="76"/>
      <c r="J260" s="76"/>
      <c r="K260" s="76"/>
      <c r="L260" s="76"/>
      <c r="M260" s="76"/>
      <c r="N260" s="76"/>
      <c r="O260" s="160"/>
      <c r="P260" s="111"/>
      <c r="Q260" s="287"/>
      <c r="R260" s="111"/>
      <c r="S260" s="287"/>
      <c r="T260" s="287"/>
      <c r="U260" s="287"/>
      <c r="V260" s="314"/>
      <c r="W260" s="314"/>
      <c r="X260" s="314"/>
      <c r="Y260" s="312"/>
      <c r="Z260" s="314"/>
      <c r="AA260" s="314"/>
      <c r="AB260" s="314"/>
      <c r="AC260" s="314"/>
      <c r="AD260" s="314"/>
      <c r="AE260" s="314"/>
      <c r="AF260" s="293"/>
      <c r="AG260" s="314"/>
      <c r="AH260" s="314"/>
      <c r="AI260" s="314"/>
      <c r="AJ260" s="335"/>
      <c r="AK260" s="335"/>
      <c r="AL260" s="326"/>
      <c r="AM260" s="326"/>
      <c r="AN260" s="326"/>
      <c r="AO260" s="326"/>
      <c r="AP260" s="326"/>
      <c r="AQ260" s="314"/>
      <c r="AR260" s="314"/>
      <c r="AS260" s="314"/>
      <c r="AT260" s="314"/>
      <c r="AU260" s="314"/>
      <c r="AV260" s="314"/>
      <c r="AW260" s="314"/>
      <c r="AX260" s="314"/>
      <c r="AY260" s="314"/>
      <c r="AZ260" s="314"/>
      <c r="BA260" s="314"/>
      <c r="BB260" s="314"/>
      <c r="BC260" s="314"/>
      <c r="BD260" s="314"/>
      <c r="BE260" s="314"/>
      <c r="BF260" s="314"/>
      <c r="BG260" s="314"/>
      <c r="BH260" s="314"/>
      <c r="BI260" s="314"/>
      <c r="BJ260" s="314"/>
      <c r="BK260" s="314"/>
      <c r="BL260" s="314"/>
      <c r="BM260" s="314"/>
      <c r="BN260" s="314"/>
      <c r="BO260" s="314"/>
      <c r="BP260" s="314"/>
      <c r="BQ260" s="314"/>
      <c r="BR260" s="314"/>
      <c r="BS260" s="314"/>
      <c r="BT260" s="314"/>
      <c r="BU260" s="314"/>
      <c r="BV260" s="314"/>
      <c r="BW260" s="314"/>
      <c r="BX260" s="314"/>
      <c r="BY260" s="314"/>
      <c r="BZ260" s="314"/>
      <c r="CA260" s="314"/>
      <c r="CB260" s="314"/>
      <c r="CC260" s="314"/>
      <c r="CD260" s="314"/>
      <c r="CE260" s="314"/>
      <c r="CF260" s="314"/>
      <c r="CG260" s="314"/>
      <c r="CH260" s="314"/>
      <c r="CI260" s="314"/>
      <c r="CJ260" s="314"/>
      <c r="CK260" s="314"/>
      <c r="CL260" s="314"/>
      <c r="CM260" s="314"/>
      <c r="CN260" s="314"/>
      <c r="CO260" s="314"/>
      <c r="CP260" s="314"/>
      <c r="CQ260" s="314"/>
    </row>
    <row r="261" spans="1:95" ht="12.75" customHeight="1" thickBot="1" x14ac:dyDescent="0.3">
      <c r="A261" s="307"/>
      <c r="B261" s="68"/>
      <c r="C261" s="68"/>
      <c r="D261" s="68"/>
      <c r="E261" s="68"/>
      <c r="F261" s="338" t="str">
        <f>Translations!$B$127</f>
        <v>Tier</v>
      </c>
      <c r="G261" s="1254" t="str">
        <f>Translations!$B$393</f>
        <v>tier description</v>
      </c>
      <c r="H261" s="1254"/>
      <c r="I261" s="1255" t="str">
        <f>Translations!$B$394</f>
        <v>Unit</v>
      </c>
      <c r="J261" s="1255"/>
      <c r="K261" s="1255" t="str">
        <f>Translations!$B$395</f>
        <v>Value</v>
      </c>
      <c r="L261" s="1255"/>
      <c r="M261" s="205" t="str">
        <f>Translations!$B$396</f>
        <v>error</v>
      </c>
      <c r="N261" s="76"/>
      <c r="O261" s="160"/>
      <c r="P261" s="339"/>
      <c r="Q261" s="325" t="str">
        <f>EUconst_SumEnergyIN</f>
        <v>SUM_EnergyIN</v>
      </c>
      <c r="R261" s="340" t="str">
        <f>IF(E257="","",BG270)</f>
        <v/>
      </c>
      <c r="S261" s="314"/>
      <c r="T261" s="314"/>
      <c r="U261" s="314"/>
      <c r="V261" s="341" t="s">
        <v>130</v>
      </c>
      <c r="W261" s="314"/>
      <c r="X261" s="314"/>
      <c r="Y261" s="312" t="s">
        <v>131</v>
      </c>
      <c r="Z261" s="312" t="s">
        <v>132</v>
      </c>
      <c r="AA261" s="314"/>
      <c r="AB261" s="314"/>
      <c r="AC261" s="336" t="s">
        <v>133</v>
      </c>
      <c r="AD261" s="314"/>
      <c r="AE261" s="314"/>
      <c r="AF261" s="314" t="s">
        <v>134</v>
      </c>
      <c r="AG261" s="314" t="s">
        <v>135</v>
      </c>
      <c r="AH261" s="312" t="s">
        <v>136</v>
      </c>
      <c r="AI261" s="335" t="s">
        <v>137</v>
      </c>
      <c r="AJ261" s="335" t="s">
        <v>138</v>
      </c>
      <c r="AK261" s="342" t="s">
        <v>139</v>
      </c>
      <c r="AL261" s="326"/>
      <c r="AM261" s="326"/>
      <c r="AN261" s="326"/>
      <c r="AO261" s="326"/>
      <c r="AP261" s="326"/>
      <c r="AQ261" s="314"/>
      <c r="AR261" s="314" t="s">
        <v>134</v>
      </c>
      <c r="AS261" s="314" t="s">
        <v>135</v>
      </c>
      <c r="AT261" s="343" t="s">
        <v>140</v>
      </c>
      <c r="AU261" s="335" t="s">
        <v>141</v>
      </c>
      <c r="AV261" s="335" t="s">
        <v>142</v>
      </c>
      <c r="AW261" s="342" t="s">
        <v>139</v>
      </c>
      <c r="AX261" s="342" t="s">
        <v>139</v>
      </c>
      <c r="AY261" s="314"/>
      <c r="AZ261" s="314"/>
      <c r="BA261" s="314"/>
      <c r="BB261" s="314" t="s">
        <v>143</v>
      </c>
      <c r="BC261" s="314"/>
      <c r="BD261" s="314"/>
      <c r="BE261" s="314"/>
      <c r="BF261" s="314"/>
      <c r="BG261" s="319" t="s">
        <v>144</v>
      </c>
      <c r="BH261" s="314" t="s">
        <v>145</v>
      </c>
      <c r="BI261" s="314"/>
      <c r="BJ261" s="314"/>
      <c r="BK261" s="314"/>
      <c r="BL261" s="314"/>
      <c r="BM261" s="314"/>
      <c r="BN261" s="314"/>
      <c r="BO261" s="314"/>
      <c r="BP261" s="314"/>
      <c r="BQ261" s="314"/>
      <c r="BR261" s="314"/>
      <c r="BS261" s="314"/>
      <c r="BT261" s="314"/>
      <c r="BU261" s="314"/>
      <c r="BV261" s="314"/>
      <c r="BW261" s="314"/>
      <c r="BX261" s="314"/>
      <c r="BY261" s="314"/>
      <c r="BZ261" s="314"/>
      <c r="CA261" s="314"/>
      <c r="CB261" s="314"/>
      <c r="CC261" s="314"/>
      <c r="CD261" s="314"/>
      <c r="CE261" s="314"/>
      <c r="CF261" s="314"/>
      <c r="CG261" s="314"/>
      <c r="CH261" s="314"/>
      <c r="CI261" s="314"/>
      <c r="CJ261" s="314"/>
      <c r="CK261" s="314"/>
      <c r="CL261" s="314"/>
      <c r="CM261" s="314"/>
      <c r="CN261" s="314"/>
      <c r="CO261" s="314"/>
      <c r="CP261" s="314"/>
      <c r="CQ261" s="319" t="s">
        <v>107</v>
      </c>
    </row>
    <row r="262" spans="1:95" ht="12.75" customHeight="1" thickBot="1" x14ac:dyDescent="0.3">
      <c r="A262" s="307"/>
      <c r="B262" s="68"/>
      <c r="C262" s="199" t="s">
        <v>12</v>
      </c>
      <c r="D262" s="344" t="str">
        <f>Translations!$B$356</f>
        <v>RFA:</v>
      </c>
      <c r="E262" s="345"/>
      <c r="F262" s="6"/>
      <c r="G262" s="1256" t="str">
        <f>IF(OR(ISBLANK(F262),F262=EUconst_NoTier),"",IF(Z262=0,EUconst_NA,IF(ISERROR(Z262),"",Z262)))</f>
        <v/>
      </c>
      <c r="H262" s="1257"/>
      <c r="I262" s="346" t="str">
        <f>IF(J262&lt;&gt;"","",AI262)</f>
        <v/>
      </c>
      <c r="J262" s="7"/>
      <c r="K262" s="1258"/>
      <c r="L262" s="1259"/>
      <c r="M262" s="347" t="str">
        <f>IF(AND(E257&lt;&gt;"",OR(F262="",COUNT(K262)=0),Y262&lt;&gt;EUconst_NA),EUconst_ERR_Incomplete,"")</f>
        <v/>
      </c>
      <c r="N262" s="76"/>
      <c r="O262" s="160"/>
      <c r="P262" s="348"/>
      <c r="Q262" s="325" t="str">
        <f>EUconst_SumBioEnergyIN</f>
        <v>SUM_BioEnergyIN</v>
      </c>
      <c r="R262" s="340" t="str">
        <f>IF(E257="","",BG271)</f>
        <v/>
      </c>
      <c r="S262" s="314"/>
      <c r="T262" s="349" t="str">
        <f>EUconst_CNTR_ActivityData&amp;E257</f>
        <v>ActivityData_</v>
      </c>
      <c r="U262" s="312"/>
      <c r="V262" s="349" t="str">
        <f>IF(E256="","",INDEX(B_IdentifyFuelStreams!$I$67:$I$116,MATCH(U255,B_IdentifyFuelStreams!$D$67:$D$116,0)))</f>
        <v/>
      </c>
      <c r="W262" s="335" t="s">
        <v>146</v>
      </c>
      <c r="X262" s="312"/>
      <c r="Y262" s="350" t="str">
        <f>IF(E257="","",INDEX(EUwideConstants!$P$164:$P$200,MATCH(T262,EUwideConstants!$S$164:$S$200,0)))</f>
        <v/>
      </c>
      <c r="Z262" s="351" t="str">
        <f>IF(ISBLANK(F262),"",IF(F262=EUconst_NA,"",INDEX(EUwideConstants!$H:$O,MATCH(T262,EUwideConstants!$S:$S,0),MATCH(F262,CNTR_TierList,0))))</f>
        <v/>
      </c>
      <c r="AA262" s="352" t="s">
        <v>136</v>
      </c>
      <c r="AB262" s="335"/>
      <c r="AC262" s="331" t="b">
        <f>E256&lt;&gt;""</f>
        <v>0</v>
      </c>
      <c r="AD262" s="314"/>
      <c r="AE262" s="353" t="str">
        <f>EUconst_CNTR_ActivityData&amp;EUconst_Unit</f>
        <v>ActivityData_Unit</v>
      </c>
      <c r="AF262" s="354" t="str">
        <f>IF(AC262=TRUE, IF(COUNTIF(MSPara_SourceStreamCategory,V262)=0,"",INDEX(MSPara_CalcFactorsMatrix,MATCH(V262,MSPara_SourceStreamCategory,0),MATCH(AE262&amp;"_"&amp;2,MSPara_CalcFactors,0))),"")</f>
        <v/>
      </c>
      <c r="AG262" s="355" t="str">
        <f>IF(AC262=TRUE, IF(COUNTIF(MSPara_SourceStreamCategory,V262)=0,"",INDEX(MSPara_CalcFactorsMatrix,MATCH(V262,MSPara_SourceStreamCategory,0),MATCH(AE262&amp;"_"&amp;1,MSPara_CalcFactors,0))),"")</f>
        <v/>
      </c>
      <c r="AH262" s="331" t="str">
        <f>IF(OR(AF262="",AF262=EUconst_NA),IF(OR(AG262=EUconst_NA,AG262=""),"",AG262),AF262)</f>
        <v/>
      </c>
      <c r="AI262" s="350" t="str">
        <f>IF(AC262=TRUE,IF(AH262="",EUconst_t,AH262),"")</f>
        <v/>
      </c>
      <c r="AJ262" s="356" t="str">
        <f>IF(J262="",AI262,J262)</f>
        <v/>
      </c>
      <c r="AK262" s="357" t="b">
        <f>AND(E256&lt;&gt;"",J262&lt;&gt;"")</f>
        <v>0</v>
      </c>
      <c r="AL262" s="326"/>
      <c r="AM262" s="358" t="s">
        <v>147</v>
      </c>
      <c r="AN262" s="359" t="str">
        <f>AJ262</f>
        <v/>
      </c>
      <c r="AO262" s="326"/>
      <c r="AP262" s="326"/>
      <c r="AQ262" s="349" t="str">
        <f>EUconst_CNTR_ActivityData&amp;EUconst_Value</f>
        <v>ActivityData_Value</v>
      </c>
      <c r="AR262" s="336"/>
      <c r="AS262" s="336"/>
      <c r="AT262" s="331" t="b">
        <f>AND(AND(AH262&lt;&gt;"",AJ262&lt;&gt;""),AJ262=AH262)</f>
        <v>0</v>
      </c>
      <c r="AU262" s="314"/>
      <c r="AV262" s="331">
        <f>IF(Y262=EUconst_NA,0,IF(COUNT(K262:K262)=0,0,IF(K262="",#REF!,K262)))</f>
        <v>0</v>
      </c>
      <c r="AW262" s="360" t="b">
        <f>AND(AC262=TRUE,OR(K262&lt;&gt;"",AU262=""))</f>
        <v>0</v>
      </c>
      <c r="AX262" s="360" t="b">
        <f>AND(AC262=TRUE,NOT(AW262))</f>
        <v>0</v>
      </c>
      <c r="AY262" s="314"/>
      <c r="AZ262" s="314" t="s">
        <v>148</v>
      </c>
      <c r="BA262" s="314" t="s">
        <v>149</v>
      </c>
      <c r="BB262" s="360"/>
      <c r="BC262" s="314" t="s">
        <v>150</v>
      </c>
      <c r="BD262" s="314"/>
      <c r="BE262" s="314"/>
      <c r="BF262" s="361" t="s">
        <v>119</v>
      </c>
      <c r="BG262" s="362" t="str">
        <f>IF(COUNTIF(AO265:AO266,TRUE)=0,"",BH262*AV273)</f>
        <v/>
      </c>
      <c r="BH262" s="362" t="str">
        <f>IF(COUNTIF(AO265:AO266,TRUE)=0,"",AV262*IF(AO265,1,AV264*AN266)*AV265-BH264-BH266-BH268)</f>
        <v/>
      </c>
      <c r="BI262" s="314"/>
      <c r="BJ262" s="314"/>
      <c r="BK262" s="314"/>
      <c r="BL262" s="314"/>
      <c r="BM262" s="314"/>
      <c r="BN262" s="314"/>
      <c r="BO262" s="314"/>
      <c r="BP262" s="314"/>
      <c r="BQ262" s="314"/>
      <c r="BR262" s="314"/>
      <c r="BS262" s="314"/>
      <c r="BT262" s="314"/>
      <c r="BU262" s="314"/>
      <c r="BV262" s="314"/>
      <c r="BW262" s="314"/>
      <c r="BX262" s="314"/>
      <c r="BY262" s="314"/>
      <c r="BZ262" s="314"/>
      <c r="CA262" s="314"/>
      <c r="CB262" s="314"/>
      <c r="CC262" s="314"/>
      <c r="CD262" s="314"/>
      <c r="CE262" s="314"/>
      <c r="CF262" s="314"/>
      <c r="CG262" s="314"/>
      <c r="CH262" s="314"/>
      <c r="CI262" s="314"/>
      <c r="CJ262" s="314"/>
      <c r="CK262" s="314"/>
      <c r="CL262" s="314"/>
      <c r="CM262" s="314"/>
      <c r="CN262" s="314"/>
      <c r="CO262" s="314"/>
      <c r="CP262" s="314"/>
      <c r="CQ262" s="360" t="b">
        <v>0</v>
      </c>
    </row>
    <row r="263" spans="1:95" ht="5.15" customHeight="1" thickBot="1" x14ac:dyDescent="0.3">
      <c r="A263" s="307"/>
      <c r="B263" s="68"/>
      <c r="C263" s="199"/>
      <c r="D263" s="202"/>
      <c r="E263" s="76"/>
      <c r="F263" s="76"/>
      <c r="G263" s="76"/>
      <c r="H263" s="76" t="str">
        <f>Translations!$B$397</f>
        <v xml:space="preserve"> </v>
      </c>
      <c r="I263" s="162"/>
      <c r="J263" s="162"/>
      <c r="K263" s="76"/>
      <c r="L263" s="76"/>
      <c r="M263" s="363"/>
      <c r="N263" s="76"/>
      <c r="O263" s="160"/>
      <c r="P263" s="109"/>
      <c r="Q263" s="312"/>
      <c r="R263" s="312"/>
      <c r="S263" s="314"/>
      <c r="T263" s="62"/>
      <c r="U263" s="312"/>
      <c r="V263" s="314"/>
      <c r="W263" s="314"/>
      <c r="X263" s="312"/>
      <c r="Y263" s="319"/>
      <c r="Z263" s="314"/>
      <c r="AA263" s="314"/>
      <c r="AB263" s="314"/>
      <c r="AC263" s="314"/>
      <c r="AD263" s="314"/>
      <c r="AE263" s="314"/>
      <c r="AF263" s="314"/>
      <c r="AG263" s="314"/>
      <c r="AH263" s="314"/>
      <c r="AI263" s="314"/>
      <c r="AJ263" s="314"/>
      <c r="AK263" s="314"/>
      <c r="AL263" s="326"/>
      <c r="AM263" s="326"/>
      <c r="AN263" s="326"/>
      <c r="AO263" s="326"/>
      <c r="AP263" s="326"/>
      <c r="AQ263" s="314"/>
      <c r="AR263" s="314"/>
      <c r="AS263" s="314"/>
      <c r="AT263" s="314"/>
      <c r="AU263" s="314"/>
      <c r="AV263" s="314"/>
      <c r="AW263" s="314"/>
      <c r="AX263" s="314"/>
      <c r="AY263" s="314"/>
      <c r="AZ263" s="314"/>
      <c r="BA263" s="314"/>
      <c r="BB263" s="314"/>
      <c r="BC263" s="314"/>
      <c r="BD263" s="314"/>
      <c r="BE263" s="314"/>
      <c r="BF263" s="314"/>
      <c r="BG263" s="364"/>
      <c r="BH263" s="364"/>
      <c r="BI263" s="314"/>
      <c r="BJ263" s="314"/>
      <c r="BK263" s="314"/>
      <c r="BL263" s="314"/>
      <c r="BM263" s="314"/>
      <c r="BN263" s="314"/>
      <c r="BO263" s="314"/>
      <c r="BP263" s="314"/>
      <c r="BQ263" s="314"/>
      <c r="BR263" s="314"/>
      <c r="BS263" s="314"/>
      <c r="BT263" s="314"/>
      <c r="BU263" s="314"/>
      <c r="BV263" s="314"/>
      <c r="BW263" s="314"/>
      <c r="BX263" s="314"/>
      <c r="BY263" s="314"/>
      <c r="BZ263" s="314"/>
      <c r="CA263" s="314"/>
      <c r="CB263" s="314"/>
      <c r="CC263" s="314"/>
      <c r="CD263" s="314"/>
      <c r="CE263" s="314"/>
      <c r="CF263" s="314"/>
      <c r="CG263" s="314"/>
      <c r="CH263" s="314"/>
      <c r="CI263" s="314"/>
      <c r="CJ263" s="314"/>
      <c r="CK263" s="314"/>
      <c r="CL263" s="314"/>
      <c r="CM263" s="314"/>
      <c r="CN263" s="314"/>
      <c r="CO263" s="314"/>
      <c r="CP263" s="314"/>
      <c r="CQ263" s="319"/>
    </row>
    <row r="264" spans="1:95" ht="12.75" customHeight="1" x14ac:dyDescent="0.25">
      <c r="A264" s="307"/>
      <c r="B264" s="68"/>
      <c r="C264" s="199" t="s">
        <v>13</v>
      </c>
      <c r="D264" s="344" t="str">
        <f>Translations!$B$360</f>
        <v>UCF:</v>
      </c>
      <c r="E264" s="345"/>
      <c r="F264" s="10"/>
      <c r="G264" s="1256" t="str">
        <f>IF(OR(ISBLANK(F264),F264=EUconst_NoTier),"",IF(Z264=0,EUconst_NotApplicable,IF(ISERROR(Z264),"",Z264)))</f>
        <v/>
      </c>
      <c r="H264" s="1257"/>
      <c r="I264" s="365" t="str">
        <f>IF(J264&lt;&gt;"","",AI264)</f>
        <v/>
      </c>
      <c r="J264" s="11"/>
      <c r="K264" s="366" t="str">
        <f>IF(L264="",AU264,"")</f>
        <v/>
      </c>
      <c r="L264" s="23"/>
      <c r="M264" s="347" t="str">
        <f>IF(AND(E257&lt;&gt;"",OR(F264="",COUNT(K264:L264)=0),Y264&lt;&gt;EUconst_NA),EUconst_ERR_Incomplete,IF(COUNTIF(BB264:BD264,TRUE)&gt;0,EUconst_ERR_Inconsistent,""))</f>
        <v/>
      </c>
      <c r="N264" s="367"/>
      <c r="O264" s="160"/>
      <c r="P264" s="109"/>
      <c r="Q264" s="312"/>
      <c r="R264" s="312"/>
      <c r="S264" s="314"/>
      <c r="T264" s="368" t="str">
        <f>EUconst_CNTR_UCF&amp;E257</f>
        <v>UCF_</v>
      </c>
      <c r="U264" s="312"/>
      <c r="V264" s="369" t="str">
        <f>V265</f>
        <v/>
      </c>
      <c r="W264" s="314"/>
      <c r="X264" s="312"/>
      <c r="Y264" s="370" t="str">
        <f>IF(E257="","",IF(OR(F264=EUconst_NA,W264=TRUE),EUconst_NA,INDEX(EUwideConstants!$P$164:$P$200,MATCH(T264,EUwideConstants!$S$164:$S$200,0))))</f>
        <v/>
      </c>
      <c r="Z264" s="371" t="str">
        <f>IF(ISBLANK(F264),"",IF(F264=EUconst_NA,"",INDEX(EUwideConstants!$H:$O,MATCH(T264,EUwideConstants!$S:$S,0),MATCH(F264,CNTR_TierList,0))))</f>
        <v/>
      </c>
      <c r="AA264" s="372" t="str">
        <f>IF(COUNTIF(EUconst_DefaultValues,Z264)&gt;0,MATCH(Z264,EUconst_DefaultValues,0),"")</f>
        <v/>
      </c>
      <c r="AB264" s="314"/>
      <c r="AC264" s="373" t="b">
        <f>AND(AC262,Y264&lt;&gt;EUconst_NA)</f>
        <v>0</v>
      </c>
      <c r="AD264" s="314"/>
      <c r="AE264" s="353" t="str">
        <f>EUconst_CNTR_UCF&amp;EUconst_Unit</f>
        <v>UCF_Unit</v>
      </c>
      <c r="AF264" s="374" t="str">
        <f>IF(AC264=TRUE, IF(COUNTIF(MSPara_SourceStreamCategory,V264)=0,"",INDEX(MSPara_CalcFactorsMatrix,MATCH(V264,MSPara_SourceStreamCategory,0),MATCH(AE264&amp;"_"&amp;2,MSPara_CalcFactors,0))),"")</f>
        <v/>
      </c>
      <c r="AG264" s="375" t="str">
        <f>IF(AC264=TRUE, IF(COUNTIF(MSPara_SourceStreamCategory,V264)=0,"",INDEX(MSPara_CalcFactorsMatrix,MATCH(V264,MSPara_SourceStreamCategory,0),MATCH(AE264&amp;"_"&amp;1,MSPara_CalcFactors,0))),"")</f>
        <v/>
      </c>
      <c r="AH264" s="373" t="str">
        <f>IF(AA264="","",INDEX(AF264:AG264,3-AA264))</f>
        <v/>
      </c>
      <c r="AI264" s="373" t="str">
        <f>IF(AC264=TRUE,IF(OR(AH264="",AH264=EUconst_NA),EUconst_GJ&amp;"/"&amp;AJ262,AH264),"")</f>
        <v/>
      </c>
      <c r="AJ264" s="373" t="str">
        <f>IF(J264="",AI264,J264)</f>
        <v/>
      </c>
      <c r="AK264" s="369" t="b">
        <f>AND(E256&lt;&gt;"",J264&lt;&gt;"")</f>
        <v>0</v>
      </c>
      <c r="AL264" s="326"/>
      <c r="AM264" s="358" t="s">
        <v>151</v>
      </c>
      <c r="AN264" s="359" t="str">
        <f>IF(AJ264="",EUconst_NA,IF(AN262=EUconst_TJ,EUconst_TJ,INDEX(EUwideConstants!$C$135:$G$139,MATCH(AN262,RFAUnits,0),MATCH(AJ264,UCFUnits,0))))</f>
        <v>n.a.</v>
      </c>
      <c r="AO264" s="326"/>
      <c r="AP264" s="326"/>
      <c r="AQ264" s="376" t="str">
        <f>EUconst_CNTR_UCF&amp;EUconst_Value</f>
        <v>UCF_Value</v>
      </c>
      <c r="AR264" s="377" t="str">
        <f>IF(AC264=TRUE,IF(COUNTIF(MSPara_SourceStreamCategory,V264)=0,"",INDEX(MSPara_CalcFactorsMatrix,MATCH(V264,MSPara_SourceStreamCategory,0),MATCH(AQ264&amp;"_"&amp;2,MSPara_CalcFactors,0))),"")</f>
        <v/>
      </c>
      <c r="AS264" s="378" t="str">
        <f>IF(AC264=TRUE,IF(COUNTIF(MSPara_SourceStreamCategory,V264)=0,"",INDEX(MSPara_CalcFactorsMatrix,MATCH(V264,MSPara_SourceStreamCategory,0),MATCH(AQ264&amp;"_"&amp;1,MSPara_CalcFactors,0))),"")</f>
        <v/>
      </c>
      <c r="AT264" s="379" t="b">
        <f>AND(AND(AH264&lt;&gt;"",AJ264&lt;&gt;""),AJ264=AH264)</f>
        <v>0</v>
      </c>
      <c r="AU264" s="380" t="str">
        <f>IF(AND(AA264&lt;&gt;"",AT264=TRUE),IF(OR(INDEX(AR264:AS264,3-AA264)=EUconst_NA,INDEX(AR264:AS264,3-AA264)=0),"",INDEX(AR264:AS264,3-AA264)),"")</f>
        <v/>
      </c>
      <c r="AV264" s="373">
        <f>IF(AC264=TRUE,IF(COUNT(K264:L264)=0,0,IF(L264="",K264,L264)),0)</f>
        <v>0</v>
      </c>
      <c r="AW264" s="369" t="b">
        <f t="shared" ref="AW264:AW271" si="63">AND(AC264=TRUE,OR(AND(F264&lt;&gt;"",NOT(ISNUMBER(AA264))),L264&lt;&gt;"",F264="",AU264=""))</f>
        <v>0</v>
      </c>
      <c r="AX264" s="381" t="b">
        <f t="shared" ref="AX264:AX271" si="64">AND(AC264=TRUE,NOT(AW264))</f>
        <v>0</v>
      </c>
      <c r="AY264" s="314"/>
      <c r="AZ264" s="382" t="b">
        <f t="shared" ref="AZ264:AZ271" si="65">AND(ISNUMBER(AA264),AU264="")</f>
        <v>0</v>
      </c>
      <c r="BA264" s="383" t="b">
        <f t="shared" ref="BA264:BA271" si="66">AND(ISNUMBER(AA264),AU264&lt;&gt;AV264)</f>
        <v>0</v>
      </c>
      <c r="BB264" s="369" t="b">
        <f>AND(E257&lt;&gt;"",F264&lt;&gt;EUconst_NA,AN264=EUconst_NA)</f>
        <v>0</v>
      </c>
      <c r="BC264" s="369" t="b">
        <f t="shared" ref="BC264:BC271" si="67">AND(L264&lt;&gt;"",Y264=EUconst_NA)</f>
        <v>0</v>
      </c>
      <c r="BD264" s="314"/>
      <c r="BE264" s="314"/>
      <c r="BF264" s="382" t="s">
        <v>152</v>
      </c>
      <c r="BG264" s="384" t="str">
        <f>IF(COUNTIF(AO265:AO266,TRUE)=0,"",BH264*AV273)</f>
        <v/>
      </c>
      <c r="BH264" s="384" t="str">
        <f>IF(COUNTIF(AO265:AO266,TRUE)=0,"",AV262*IF(AO265,1,AV264*AN266)*AV265*AV266)</f>
        <v/>
      </c>
      <c r="BI264" s="314"/>
      <c r="BJ264" s="314"/>
      <c r="BK264" s="314"/>
      <c r="BL264" s="314"/>
      <c r="BM264" s="314"/>
      <c r="BN264" s="314"/>
      <c r="BO264" s="314"/>
      <c r="BP264" s="314"/>
      <c r="BQ264" s="314"/>
      <c r="BR264" s="314"/>
      <c r="BS264" s="314"/>
      <c r="BT264" s="314"/>
      <c r="BU264" s="314"/>
      <c r="BV264" s="314"/>
      <c r="BW264" s="314"/>
      <c r="BX264" s="314"/>
      <c r="BY264" s="314"/>
      <c r="BZ264" s="314"/>
      <c r="CA264" s="314"/>
      <c r="CB264" s="314"/>
      <c r="CC264" s="314"/>
      <c r="CD264" s="314"/>
      <c r="CE264" s="314"/>
      <c r="CF264" s="314"/>
      <c r="CG264" s="314"/>
      <c r="CH264" s="314"/>
      <c r="CI264" s="314"/>
      <c r="CJ264" s="314"/>
      <c r="CK264" s="314"/>
      <c r="CL264" s="314"/>
      <c r="CM264" s="314"/>
      <c r="CN264" s="314"/>
      <c r="CO264" s="314"/>
      <c r="CP264" s="314"/>
      <c r="CQ264" s="369" t="b">
        <f>OR(CQ262,Y264=EUconst_NA)</f>
        <v>0</v>
      </c>
    </row>
    <row r="265" spans="1:95" ht="12.75" customHeight="1" thickBot="1" x14ac:dyDescent="0.3">
      <c r="A265" s="307"/>
      <c r="B265" s="68"/>
      <c r="C265" s="199" t="s">
        <v>14</v>
      </c>
      <c r="D265" s="344" t="str">
        <f>Translations!$B$358</f>
        <v>(prelim) EF:</v>
      </c>
      <c r="E265" s="345"/>
      <c r="F265" s="59"/>
      <c r="G265" s="1256" t="str">
        <f>IF(OR(ISBLANK(F265),F265=EUconst_NoTier),"",IF(Z265=0,EUconst_NotApplicable,IF(ISERROR(Z265),"",Z265)))</f>
        <v/>
      </c>
      <c r="H265" s="1260"/>
      <c r="I265" s="385" t="str">
        <f>IF(J265&lt;&gt;"","",AI265)</f>
        <v/>
      </c>
      <c r="J265" s="22"/>
      <c r="K265" s="386" t="str">
        <f>IF(L265="",AU265,"")</f>
        <v/>
      </c>
      <c r="L265" s="58"/>
      <c r="M265" s="347" t="str">
        <f>IF(AND(E257&lt;&gt;"",OR(F265="",COUNT(K265:L265)=0),Y265&lt;&gt;EUconst_NA),EUconst_ERR_Incomplete,IF(COUNTIF(BB265:BD265,TRUE)&gt;0,EUconst_ERR_Inconsistent,""))</f>
        <v/>
      </c>
      <c r="N265" s="387"/>
      <c r="O265" s="160"/>
      <c r="P265" s="109"/>
      <c r="Q265" s="312"/>
      <c r="R265" s="312"/>
      <c r="S265" s="314"/>
      <c r="T265" s="388" t="str">
        <f>EUconst_CNTR_EF&amp;E257</f>
        <v>EF_</v>
      </c>
      <c r="U265" s="312"/>
      <c r="V265" s="389" t="str">
        <f>V262</f>
        <v/>
      </c>
      <c r="W265" s="314"/>
      <c r="X265" s="312"/>
      <c r="Y265" s="390" t="str">
        <f>IF(E257="","",IF(OR(F265=EUconst_NA,W265=TRUE),EUconst_NA,INDEX(EUwideConstants!$P$164:$P$200,MATCH(T265,EUwideConstants!$S$164:$S$200,0))))</f>
        <v/>
      </c>
      <c r="Z265" s="391" t="str">
        <f>IF(ISBLANK(F265),"",IF(F265=EUconst_NA,"",INDEX(EUwideConstants!$H:$O,MATCH(T265,EUwideConstants!$S:$S,0),MATCH(F265,CNTR_TierList,0))))</f>
        <v/>
      </c>
      <c r="AA265" s="392" t="str">
        <f>IF(COUNTIF(EUconst_DefaultValues,Z265)&gt;0,MATCH(Z265,EUconst_DefaultValues,0),"")</f>
        <v/>
      </c>
      <c r="AB265" s="314"/>
      <c r="AC265" s="393" t="b">
        <f>AND(AC262,Y265&lt;&gt;EUconst_NA)</f>
        <v>0</v>
      </c>
      <c r="AD265" s="314"/>
      <c r="AE265" s="394" t="str">
        <f>EUconst_CNTR_EF&amp;EUconst_Unit</f>
        <v>EF_Unit</v>
      </c>
      <c r="AF265" s="395" t="str">
        <f>IF(AC265=TRUE, IF(COUNTIF(MSPara_SourceStreamCategory,V265)=0,"",INDEX(MSPara_CalcFactorsMatrix,MATCH(V265,MSPara_SourceStreamCategory,0),MATCH(AE265&amp;"_"&amp;2,MSPara_CalcFactors,0))),"")</f>
        <v/>
      </c>
      <c r="AG265" s="396" t="str">
        <f>IF(AC265=TRUE, IF(COUNTIF(MSPara_SourceStreamCategory,V265)=0,"",INDEX(MSPara_CalcFactorsMatrix,MATCH(V265,MSPara_SourceStreamCategory,0),MATCH(AE265&amp;"_"&amp;1,MSPara_CalcFactors,0))),"")</f>
        <v/>
      </c>
      <c r="AH265" s="397" t="str">
        <f>IF(AA265="","",INDEX(AF265:AG265,3-AA265))</f>
        <v/>
      </c>
      <c r="AI265" s="397" t="str">
        <f>IF(AC265=TRUE,IF(OR(AH265="",AH265=EUconst_NA),EUconst_tCO2&amp;"/"&amp;IF(AN264=EUconst_NA,AN262,IF(AN264=EUconst_GJ,EUconst_TJ,AN264)),AH265),"")</f>
        <v/>
      </c>
      <c r="AJ265" s="397" t="str">
        <f>IF(J265="",AI265,J265)</f>
        <v/>
      </c>
      <c r="AK265" s="398" t="b">
        <f>AND(E257&lt;&gt;"",J265&lt;&gt;"")</f>
        <v>0</v>
      </c>
      <c r="AL265" s="326"/>
      <c r="AM265" s="358" t="s">
        <v>153</v>
      </c>
      <c r="AN265" s="359" t="str">
        <f>IF(COUNTIF(RFAUnits,AN262)=0,EUconst_NA,INDEX(EUwideConstants!$C$150:$H$154,MATCH(AJ265,EFUnits,0),MATCH(AN262,EUwideConstants!$C$149:$H$149,0)))</f>
        <v>n.a.</v>
      </c>
      <c r="AO265" s="359" t="b">
        <f>AN265&lt;&gt;EUconst_NA</f>
        <v>0</v>
      </c>
      <c r="AP265" s="326"/>
      <c r="AQ265" s="399" t="str">
        <f>EUconst_CNTR_EF&amp;EUconst_Value</f>
        <v>EF_Value</v>
      </c>
      <c r="AR265" s="400" t="str">
        <f>IF(AC265=TRUE,IF(COUNTIF(MSPara_SourceStreamCategory,V265)=0,"",INDEX(MSPara_CalcFactorsMatrix,MATCH(V265,MSPara_SourceStreamCategory,0),MATCH(AQ265&amp;"_"&amp;2,MSPara_CalcFactors,0))),"")</f>
        <v/>
      </c>
      <c r="AS265" s="401" t="str">
        <f>IF(AC265=TRUE,IF(COUNTIF(MSPara_SourceStreamCategory,V265)=0,"",INDEX(MSPara_CalcFactorsMatrix,MATCH(V265,MSPara_SourceStreamCategory,0),MATCH(AQ265&amp;"_"&amp;1,MSPara_CalcFactors,0))),"")</f>
        <v/>
      </c>
      <c r="AT265" s="402" t="b">
        <f>AND(AND(AH265&lt;&gt;"",AJ265&lt;&gt;""),AJ265=AH265)</f>
        <v>0</v>
      </c>
      <c r="AU265" s="403" t="str">
        <f>IF(AND(AA265&lt;&gt;"",AT265=TRUE),IF(OR(INDEX(AR265:AS265,3-AA265)=EUconst_NA,INDEX(AR265:AS265,3-AA265)=0),"",INDEX(AR265:AS265,3-AA265)),"")</f>
        <v/>
      </c>
      <c r="AV265" s="393">
        <f>IF(AC265=TRUE,IF(COUNT(K265:L265)=0,0,IF(L265="",K265,L265)),0)</f>
        <v>0</v>
      </c>
      <c r="AW265" s="389" t="b">
        <f t="shared" si="63"/>
        <v>0</v>
      </c>
      <c r="AX265" s="404" t="b">
        <f t="shared" si="64"/>
        <v>0</v>
      </c>
      <c r="AY265" s="314"/>
      <c r="AZ265" s="405" t="b">
        <f t="shared" si="65"/>
        <v>0</v>
      </c>
      <c r="BA265" s="406" t="b">
        <f t="shared" si="66"/>
        <v>0</v>
      </c>
      <c r="BB265" s="407" t="b">
        <f>AND(E257&lt;&gt;"",COUNTIF(AO265:AO266,TRUE)=0)</f>
        <v>0</v>
      </c>
      <c r="BC265" s="389" t="b">
        <f t="shared" si="67"/>
        <v>0</v>
      </c>
      <c r="BD265" s="314"/>
      <c r="BE265" s="314"/>
      <c r="BF265" s="408" t="s">
        <v>154</v>
      </c>
      <c r="BG265" s="409" t="str">
        <f>IF(COUNTIF(AO265:AO266,TRUE)=0,"",BH265*AV273)</f>
        <v/>
      </c>
      <c r="BH265" s="409" t="str">
        <f>IF(COUNTIF(AO265:AO266,TRUE)=0,"",AV262*IF(AO265,1,AV264*AN266)*AV265*AV267)</f>
        <v/>
      </c>
      <c r="BI265" s="314"/>
      <c r="BJ265" s="314"/>
      <c r="BK265" s="314"/>
      <c r="BL265" s="314"/>
      <c r="BM265" s="314"/>
      <c r="BN265" s="314"/>
      <c r="BO265" s="314"/>
      <c r="BP265" s="314"/>
      <c r="BQ265" s="314"/>
      <c r="BR265" s="314"/>
      <c r="BS265" s="314"/>
      <c r="BT265" s="314"/>
      <c r="BU265" s="314"/>
      <c r="BV265" s="314"/>
      <c r="BW265" s="314"/>
      <c r="BX265" s="314"/>
      <c r="BY265" s="314"/>
      <c r="BZ265" s="314"/>
      <c r="CA265" s="314"/>
      <c r="CB265" s="314"/>
      <c r="CC265" s="314"/>
      <c r="CD265" s="314"/>
      <c r="CE265" s="314"/>
      <c r="CF265" s="314"/>
      <c r="CG265" s="314"/>
      <c r="CH265" s="314"/>
      <c r="CI265" s="314"/>
      <c r="CJ265" s="314"/>
      <c r="CK265" s="314"/>
      <c r="CL265" s="314"/>
      <c r="CM265" s="314"/>
      <c r="CN265" s="314"/>
      <c r="CO265" s="314"/>
      <c r="CP265" s="314"/>
      <c r="CQ265" s="407" t="b">
        <f>OR(CQ262,Y265=EUconst_NA)</f>
        <v>0</v>
      </c>
    </row>
    <row r="266" spans="1:95" ht="12.75" customHeight="1" x14ac:dyDescent="0.25">
      <c r="A266" s="307"/>
      <c r="B266" s="68"/>
      <c r="C266" s="199" t="s">
        <v>15</v>
      </c>
      <c r="D266" s="344" t="str">
        <f>Translations!$B$362</f>
        <v>BioF:</v>
      </c>
      <c r="E266" s="345"/>
      <c r="F266" s="10"/>
      <c r="G266" s="1256" t="str">
        <f>IF(OR(ISBLANK(F266),F266=EUconst_NoTier),"",IF(Z266=0,EUconst_NotApplicable,IF(ISERROR(Z266),"",Z266)))</f>
        <v/>
      </c>
      <c r="H266" s="1257"/>
      <c r="I266" s="410" t="str">
        <f t="shared" ref="I266:I271" si="68">IF(OR(AC266=FALSE,Y266=EUconst_NA),"","-")</f>
        <v/>
      </c>
      <c r="J266" s="411"/>
      <c r="K266" s="412" t="str">
        <f>IF(L266="",AU266,"")</f>
        <v/>
      </c>
      <c r="L266" s="60"/>
      <c r="M266" s="347" t="str">
        <f>IF(AND(E257&lt;&gt;"",OR(F266="",COUNT(K266:L266)=0),Y266&lt;&gt;EUconst_NA),EUconst_ERR_Incomplete,IF(COUNTIF(BB266:BD266,TRUE)&gt;0,EUconst_ERR_Inconsistent,""))</f>
        <v/>
      </c>
      <c r="O266" s="160"/>
      <c r="P266" s="348"/>
      <c r="Q266" s="413"/>
      <c r="R266" s="413"/>
      <c r="S266" s="314"/>
      <c r="T266" s="388" t="str">
        <f>EUconst_CNTR_BiomassContent&amp;E257</f>
        <v>BioC_</v>
      </c>
      <c r="U266" s="312"/>
      <c r="V266" s="369" t="str">
        <f>V264</f>
        <v/>
      </c>
      <c r="W266" s="369" t="str">
        <f>IF(OR(V266="",COUNTIF(MSPara_SourceStreamCategory,V266)=0),"",INDEX(MSPara_IsFossil,MATCH(V266,MSPara_SourceStreamCategory,0)))</f>
        <v/>
      </c>
      <c r="X266" s="312"/>
      <c r="Y266" s="370" t="str">
        <f>IF(E257="","",IF(OR(F266=EUconst_NA,W266=TRUE),EUconst_NA,INDEX(EUwideConstants!$P$164:$P$200,MATCH(T266,EUwideConstants!$S$164:$S$200,0))))</f>
        <v/>
      </c>
      <c r="Z266" s="371" t="str">
        <f>IF(ISBLANK(F266),"",IF(F266=EUconst_NA,"",INDEX(EUwideConstants!$H:$O,MATCH(T266,EUwideConstants!$S:$S,0),MATCH(F266,CNTR_TierList,0))))</f>
        <v/>
      </c>
      <c r="AA266" s="414" t="str">
        <f>IF(F266=1,1,"")</f>
        <v/>
      </c>
      <c r="AB266" s="314"/>
      <c r="AC266" s="373" t="b">
        <f>AND(AC262,Y266&lt;&gt;EUconst_NA)</f>
        <v>0</v>
      </c>
      <c r="AD266" s="314"/>
      <c r="AE266" s="415"/>
      <c r="AF266" s="416"/>
      <c r="AG266" s="417"/>
      <c r="AH266" s="418"/>
      <c r="AI266" s="418"/>
      <c r="AJ266" s="418"/>
      <c r="AK266" s="419"/>
      <c r="AL266" s="326"/>
      <c r="AM266" s="358" t="s">
        <v>155</v>
      </c>
      <c r="AN266" s="359" t="str">
        <f>IF(AN264=EUconst_NA,EUconst_NA,INDEX(EUwideConstants!$C$150:$H$154,MATCH(AJ265,EFUnits,0),MATCH(AN264,EUwideConstants!$C$149:$H$149,0)))</f>
        <v>n.a.</v>
      </c>
      <c r="AO266" s="359" t="b">
        <f>AN266&lt;&gt;EUconst_NA</f>
        <v>0</v>
      </c>
      <c r="AP266" s="326"/>
      <c r="AQ266" s="376" t="str">
        <f>EUconst_CNTR_BiomassContent&amp;EUconst_Value</f>
        <v>BioC_Value</v>
      </c>
      <c r="AR266" s="420"/>
      <c r="AS266" s="378" t="str">
        <f t="shared" ref="AS266:AS271" si="69">IF(AC266=TRUE,IF(COUNTIF(MSPara_SourceStreamCategory,V266)=0,"",INDEX(MSPara_CalcFactorsMatrix,MATCH(V266,MSPara_SourceStreamCategory,0),MATCH(AQ266&amp;"_"&amp;2,MSPara_CalcFactors,0))),"")</f>
        <v/>
      </c>
      <c r="AT266" s="421"/>
      <c r="AU266" s="380" t="str">
        <f t="shared" ref="AU266:AU271" si="70">IF(OR(AA266="",AS266=EUconst_NA),"",AS266)</f>
        <v/>
      </c>
      <c r="AV266" s="373">
        <f>IF(AC266=TRUE,IF(COUNT(K266:L266)=0,0,IF(L266="",K266,L266)),0)</f>
        <v>0</v>
      </c>
      <c r="AW266" s="369" t="b">
        <f t="shared" si="63"/>
        <v>0</v>
      </c>
      <c r="AX266" s="381" t="b">
        <f t="shared" si="64"/>
        <v>0</v>
      </c>
      <c r="AY266" s="314"/>
      <c r="AZ266" s="382" t="b">
        <f t="shared" si="65"/>
        <v>0</v>
      </c>
      <c r="BA266" s="383" t="b">
        <f t="shared" si="66"/>
        <v>0</v>
      </c>
      <c r="BB266" s="314"/>
      <c r="BC266" s="369" t="b">
        <f t="shared" si="67"/>
        <v>0</v>
      </c>
      <c r="BD266" s="369" t="b">
        <f>OR(AV266&gt;100%,(AV266+AV267)&gt;100%)</f>
        <v>0</v>
      </c>
      <c r="BE266" s="314"/>
      <c r="BF266" s="382" t="s">
        <v>156</v>
      </c>
      <c r="BG266" s="384" t="str">
        <f>IF(COUNTIF(AO265:AO266,TRUE)=0,"",BH266*AV273)</f>
        <v/>
      </c>
      <c r="BH266" s="384" t="str">
        <f>IF(COUNTIF(AO265:AO266,TRUE)=0,"",AV262*IF(AO265,1,AV264*AN266)*AV265*AV268)</f>
        <v/>
      </c>
      <c r="BJ266" s="314"/>
      <c r="BK266" s="314"/>
      <c r="BL266" s="314"/>
      <c r="BM266" s="314"/>
      <c r="BN266" s="314"/>
      <c r="BO266" s="314"/>
      <c r="BP266" s="314"/>
      <c r="BQ266" s="314"/>
      <c r="BR266" s="314"/>
      <c r="BS266" s="314"/>
      <c r="BT266" s="314"/>
      <c r="BU266" s="314"/>
      <c r="BV266" s="314"/>
      <c r="BW266" s="314"/>
      <c r="BX266" s="314"/>
      <c r="BY266" s="314"/>
      <c r="BZ266" s="314"/>
      <c r="CA266" s="314"/>
      <c r="CB266" s="314"/>
      <c r="CC266" s="314"/>
      <c r="CD266" s="314"/>
      <c r="CE266" s="314"/>
      <c r="CF266" s="314"/>
      <c r="CG266" s="314"/>
      <c r="CH266" s="314"/>
      <c r="CI266" s="314"/>
      <c r="CJ266" s="314"/>
      <c r="CK266" s="314"/>
      <c r="CL266" s="314"/>
      <c r="CM266" s="314"/>
      <c r="CN266" s="314"/>
      <c r="CO266" s="314"/>
      <c r="CP266" s="314"/>
      <c r="CQ266" s="369" t="b">
        <f>OR(CQ262,Y266=EUconst_NA)</f>
        <v>0</v>
      </c>
    </row>
    <row r="267" spans="1:95" ht="12.75" customHeight="1" thickBot="1" x14ac:dyDescent="0.3">
      <c r="A267" s="307"/>
      <c r="B267" s="68"/>
      <c r="C267" s="199" t="s">
        <v>16</v>
      </c>
      <c r="D267" s="344" t="str">
        <f>Translations!$B$368</f>
        <v>non-sust. BioF:</v>
      </c>
      <c r="E267" s="345"/>
      <c r="F267" s="20"/>
      <c r="G267" s="1256" t="str">
        <f>IF(OR(ISBLANK(F267),F267=EUconst_NoTier),"",IF(Z267=0,EUconst_NotApplicable,IF(ISERROR(Z267),"",Z267)))</f>
        <v/>
      </c>
      <c r="H267" s="1257"/>
      <c r="I267" s="422" t="str">
        <f t="shared" si="68"/>
        <v/>
      </c>
      <c r="J267" s="423"/>
      <c r="K267" s="424" t="str">
        <f>IF(L267="",AU267,"")</f>
        <v/>
      </c>
      <c r="L267" s="21"/>
      <c r="M267" s="347" t="str">
        <f>IF(AND(E257&lt;&gt;"",OR(F267="",COUNT(K267:L267)=0),Y267&lt;&gt;EUconst_NA),EUconst_ERR_Incomplete,IF(COUNTIF(BB267:BD267,TRUE)&gt;0,EUconst_ERR_Inconsistent,""))</f>
        <v/>
      </c>
      <c r="N267" s="76"/>
      <c r="O267" s="160"/>
      <c r="P267" s="348"/>
      <c r="Q267" s="413"/>
      <c r="R267" s="413"/>
      <c r="S267" s="314"/>
      <c r="T267" s="425" t="str">
        <f>EUconst_CNTR_BiomassContent&amp;E257</f>
        <v>BioC_</v>
      </c>
      <c r="U267" s="312"/>
      <c r="V267" s="407" t="str">
        <f>V266</f>
        <v/>
      </c>
      <c r="W267" s="407" t="str">
        <f>IF(OR(V266="",COUNTIF(MSPara_SourceStreamCategory,V267)=0),"",INDEX(MSPara_IsFossil,MATCH(V267,MSPara_SourceStreamCategory,0)))</f>
        <v/>
      </c>
      <c r="X267" s="312"/>
      <c r="Y267" s="426" t="str">
        <f>IF(E257="","",IF(OR(F267=EUconst_NA,W267=TRUE),EUconst_NA,INDEX(EUwideConstants!$P$164:$P$200,MATCH(T267,EUwideConstants!$S$164:$S$200,0))))</f>
        <v/>
      </c>
      <c r="Z267" s="427" t="str">
        <f>IF(ISBLANK(F267),"",IF(F267=EUconst_NA,"",INDEX(EUwideConstants!$H:$O,MATCH(T267,EUwideConstants!$S:$S,0),MATCH(F267,CNTR_TierList,0))))</f>
        <v/>
      </c>
      <c r="AA267" s="428" t="str">
        <f>IF(F267=1,1,"")</f>
        <v/>
      </c>
      <c r="AB267" s="314"/>
      <c r="AC267" s="429" t="b">
        <f>AND(AC262,Y267&lt;&gt;EUconst_NA)</f>
        <v>0</v>
      </c>
      <c r="AD267" s="314"/>
      <c r="AE267" s="430"/>
      <c r="AF267" s="431"/>
      <c r="AG267" s="432"/>
      <c r="AH267" s="433"/>
      <c r="AI267" s="433"/>
      <c r="AJ267" s="433"/>
      <c r="AK267" s="434"/>
      <c r="AL267" s="326"/>
      <c r="AM267" s="326"/>
      <c r="AN267" s="326"/>
      <c r="AO267" s="326"/>
      <c r="AP267" s="326"/>
      <c r="AQ267" s="435" t="str">
        <f>EUconst_CNTR_BiomassContent&amp;EUconst_Value</f>
        <v>BioC_Value</v>
      </c>
      <c r="AR267" s="430"/>
      <c r="AS267" s="436" t="str">
        <f t="shared" si="69"/>
        <v/>
      </c>
      <c r="AT267" s="437"/>
      <c r="AU267" s="438" t="str">
        <f t="shared" si="70"/>
        <v/>
      </c>
      <c r="AV267" s="429">
        <f>IF(AC267=TRUE,IF(COUNT(K267:L267)=0,0,IF(L267="",K267,L267)),0)</f>
        <v>0</v>
      </c>
      <c r="AW267" s="407" t="b">
        <f t="shared" si="63"/>
        <v>0</v>
      </c>
      <c r="AX267" s="439" t="b">
        <f t="shared" si="64"/>
        <v>0</v>
      </c>
      <c r="AY267" s="314"/>
      <c r="AZ267" s="408" t="b">
        <f t="shared" si="65"/>
        <v>0</v>
      </c>
      <c r="BA267" s="440" t="b">
        <f t="shared" si="66"/>
        <v>0</v>
      </c>
      <c r="BB267" s="314"/>
      <c r="BC267" s="407" t="b">
        <f t="shared" si="67"/>
        <v>0</v>
      </c>
      <c r="BD267" s="407" t="b">
        <f>OR(AV266&gt;100%,(AV266+AV267)&gt;100%)</f>
        <v>0</v>
      </c>
      <c r="BE267" s="314"/>
      <c r="BF267" s="408" t="s">
        <v>157</v>
      </c>
      <c r="BG267" s="409" t="str">
        <f>IF(COUNTIF(AO265:AO266,TRUE)=0,"",BH267*AV273)</f>
        <v/>
      </c>
      <c r="BH267" s="409" t="str">
        <f>IF(COUNTIF(AO265:AO266,TRUE)=0,"",AV262*IF(AO265,1,AV264*AN266)*AV265*AV269)</f>
        <v/>
      </c>
      <c r="BJ267" s="314"/>
      <c r="BK267" s="314"/>
      <c r="BL267" s="314"/>
      <c r="BM267" s="314"/>
      <c r="BN267" s="314"/>
      <c r="BO267" s="314"/>
      <c r="BP267" s="314"/>
      <c r="BQ267" s="314"/>
      <c r="BR267" s="314"/>
      <c r="BS267" s="314"/>
      <c r="BT267" s="314"/>
      <c r="BU267" s="314"/>
      <c r="BV267" s="314"/>
      <c r="BW267" s="314"/>
      <c r="BX267" s="314"/>
      <c r="BY267" s="314"/>
      <c r="BZ267" s="314"/>
      <c r="CA267" s="314"/>
      <c r="CB267" s="314"/>
      <c r="CC267" s="314"/>
      <c r="CD267" s="314"/>
      <c r="CE267" s="314"/>
      <c r="CF267" s="314"/>
      <c r="CG267" s="314"/>
      <c r="CH267" s="314"/>
      <c r="CI267" s="314"/>
      <c r="CJ267" s="314"/>
      <c r="CK267" s="314"/>
      <c r="CL267" s="314"/>
      <c r="CM267" s="314"/>
      <c r="CN267" s="314"/>
      <c r="CO267" s="314"/>
      <c r="CP267" s="314"/>
      <c r="CQ267" s="407" t="b">
        <f>OR(CQ262,Y267=EUconst_NA)</f>
        <v>0</v>
      </c>
    </row>
    <row r="268" spans="1:95" ht="12.75" customHeight="1" thickBot="1" x14ac:dyDescent="0.3">
      <c r="A268" s="307"/>
      <c r="B268" s="68"/>
      <c r="C268" s="199" t="s">
        <v>17</v>
      </c>
      <c r="D268" s="344" t="str">
        <f>Translations!$B$610</f>
        <v>sust. RFNBO/RCF:</v>
      </c>
      <c r="E268" s="441"/>
      <c r="F268" s="19" t="s">
        <v>158</v>
      </c>
      <c r="G268" s="1261"/>
      <c r="H268" s="1262"/>
      <c r="I268" s="442" t="str">
        <f t="shared" si="68"/>
        <v/>
      </c>
      <c r="J268" s="411"/>
      <c r="K268" s="443"/>
      <c r="L268" s="55"/>
      <c r="M268" s="347" t="str">
        <f>IF(AND(E257&lt;&gt;"",OR(F268="",COUNT(L268)=0),Y268&lt;&gt;EUconst_NA),EUconst_ERR_Incomplete,"")</f>
        <v/>
      </c>
      <c r="N268" s="76"/>
      <c r="O268" s="160"/>
      <c r="P268" s="348"/>
      <c r="Q268" s="413"/>
      <c r="R268" s="413"/>
      <c r="S268" s="314"/>
      <c r="T268" s="388" t="str">
        <f>EUconst_CNTR_RFNBOetcContent&amp;E257</f>
        <v>RNFBOC_</v>
      </c>
      <c r="U268" s="312"/>
      <c r="V268" s="312"/>
      <c r="W268" s="312"/>
      <c r="X268" s="312"/>
      <c r="Y268" s="380" t="str">
        <f>IF(E257="","",IF(OR(F268=EUconst_NA,W268=TRUE),EUconst_NA,INDEX(EUwideConstants!$P$164:$P$200,MATCH(T268,EUwideConstants!$S$164:$S$200,0))))</f>
        <v/>
      </c>
      <c r="Z268" s="314"/>
      <c r="AA268" s="314"/>
      <c r="AB268" s="314"/>
      <c r="AC268" s="397" t="b">
        <f>AND(AC264,Y268&lt;&gt;EUconst_NA)</f>
        <v>0</v>
      </c>
      <c r="AD268" s="314"/>
      <c r="AE268" s="415"/>
      <c r="AF268" s="416"/>
      <c r="AG268" s="417"/>
      <c r="AH268" s="418"/>
      <c r="AI268" s="418"/>
      <c r="AJ268" s="418"/>
      <c r="AK268" s="419"/>
      <c r="AL268" s="326"/>
      <c r="AM268" s="326"/>
      <c r="AN268" s="326"/>
      <c r="AO268" s="326"/>
      <c r="AP268" s="326"/>
      <c r="AQ268" s="444" t="s">
        <v>159</v>
      </c>
      <c r="AR268" s="415"/>
      <c r="AS268" s="445" t="str">
        <f t="shared" si="69"/>
        <v/>
      </c>
      <c r="AT268" s="446"/>
      <c r="AU268" s="447" t="str">
        <f t="shared" si="70"/>
        <v/>
      </c>
      <c r="AV268" s="397">
        <f>IF(L268&lt;&gt;0,L268,L268)</f>
        <v>0</v>
      </c>
      <c r="AW268" s="398" t="b">
        <f t="shared" si="63"/>
        <v>0</v>
      </c>
      <c r="AX268" s="448" t="b">
        <f t="shared" si="64"/>
        <v>0</v>
      </c>
      <c r="AY268" s="314"/>
      <c r="AZ268" s="449" t="b">
        <f t="shared" si="65"/>
        <v>0</v>
      </c>
      <c r="BA268" s="450" t="b">
        <f t="shared" si="66"/>
        <v>0</v>
      </c>
      <c r="BB268" s="314"/>
      <c r="BC268" s="398" t="b">
        <f t="shared" si="67"/>
        <v>0</v>
      </c>
      <c r="BD268" s="369" t="b">
        <f>OR(AV268&gt;100%,(AV268+AV269)&gt;100%)</f>
        <v>0</v>
      </c>
      <c r="BE268" s="314"/>
      <c r="BF268" s="451" t="s">
        <v>160</v>
      </c>
      <c r="BG268" s="452" t="str">
        <f>IF(COUNTIF(AO265:AO266,TRUE)=0,"",BH268*AV273)</f>
        <v/>
      </c>
      <c r="BH268" s="452" t="str">
        <f>IF(COUNTIF(AO265:AO266,TRUE)=0,"",AV262*IF(AO265,1,AV264*AN266)*AV265*AV270)</f>
        <v/>
      </c>
      <c r="BJ268" s="314"/>
      <c r="BK268" s="314"/>
      <c r="BL268" s="314"/>
      <c r="BM268" s="314"/>
      <c r="BN268" s="314"/>
      <c r="BO268" s="314"/>
      <c r="BP268" s="314"/>
      <c r="BQ268" s="314"/>
      <c r="BR268" s="314"/>
      <c r="BS268" s="314"/>
      <c r="BT268" s="314"/>
      <c r="BU268" s="314"/>
      <c r="BV268" s="314"/>
      <c r="BW268" s="314"/>
      <c r="BX268" s="314"/>
      <c r="BY268" s="314"/>
      <c r="BZ268" s="314"/>
      <c r="CA268" s="314"/>
      <c r="CB268" s="314"/>
      <c r="CC268" s="314"/>
      <c r="CD268" s="314"/>
      <c r="CE268" s="314"/>
      <c r="CF268" s="314"/>
      <c r="CG268" s="314"/>
      <c r="CH268" s="314"/>
      <c r="CI268" s="314"/>
      <c r="CJ268" s="314"/>
      <c r="CK268" s="314"/>
      <c r="CL268" s="314"/>
      <c r="CM268" s="314"/>
      <c r="CN268" s="314"/>
      <c r="CO268" s="314"/>
      <c r="CP268" s="314"/>
      <c r="CQ268" s="407" t="b">
        <f>OR(CQ262,Y268=EUconst_NA)</f>
        <v>0</v>
      </c>
    </row>
    <row r="269" spans="1:95" ht="12.75" customHeight="1" thickBot="1" x14ac:dyDescent="0.3">
      <c r="A269" s="307"/>
      <c r="B269" s="68"/>
      <c r="C269" s="199" t="s">
        <v>161</v>
      </c>
      <c r="D269" s="344" t="str">
        <f>Translations!$B$613</f>
        <v>non-sust. RFNBO/RCF:</v>
      </c>
      <c r="E269" s="441"/>
      <c r="F269" s="20" t="s">
        <v>158</v>
      </c>
      <c r="G269" s="1261"/>
      <c r="H269" s="1262"/>
      <c r="I269" s="422" t="str">
        <f t="shared" si="68"/>
        <v/>
      </c>
      <c r="J269" s="423"/>
      <c r="K269" s="443"/>
      <c r="L269" s="56"/>
      <c r="M269" s="347" t="str">
        <f>IF(AND(E257&lt;&gt;"",OR(F269="",COUNT(L269)=0),Y269&lt;&gt;EUconst_NA),EUconst_ERR_Incomplete,"")</f>
        <v/>
      </c>
      <c r="N269" s="76"/>
      <c r="O269" s="160"/>
      <c r="P269" s="348"/>
      <c r="Q269" s="413"/>
      <c r="R269" s="413"/>
      <c r="S269" s="314"/>
      <c r="T269" s="425" t="str">
        <f>EUconst_CNTR_RFNBOetcContent&amp;E257</f>
        <v>RNFBOC_</v>
      </c>
      <c r="U269" s="312"/>
      <c r="V269" s="312"/>
      <c r="W269" s="312"/>
      <c r="X269" s="312"/>
      <c r="Y269" s="438" t="str">
        <f>IF(E257="","",IF(OR(F269=EUconst_NA,W269=TRUE),EUconst_NA,INDEX(EUwideConstants!$P$164:$P$200,MATCH(T269,EUwideConstants!$S$164:$S$200,0))))</f>
        <v/>
      </c>
      <c r="Z269" s="314"/>
      <c r="AA269" s="314"/>
      <c r="AB269" s="314"/>
      <c r="AC269" s="429" t="b">
        <f>AND(AC264,Y269&lt;&gt;EUconst_NA)</f>
        <v>0</v>
      </c>
      <c r="AD269" s="314"/>
      <c r="AE269" s="430"/>
      <c r="AF269" s="431"/>
      <c r="AG269" s="432"/>
      <c r="AH269" s="433"/>
      <c r="AI269" s="433"/>
      <c r="AJ269" s="433"/>
      <c r="AK269" s="434"/>
      <c r="AL269" s="326"/>
      <c r="AM269" s="326"/>
      <c r="AN269" s="326"/>
      <c r="AO269" s="326"/>
      <c r="AP269" s="326"/>
      <c r="AQ269" s="435" t="s">
        <v>159</v>
      </c>
      <c r="AR269" s="430"/>
      <c r="AS269" s="436" t="str">
        <f t="shared" si="69"/>
        <v/>
      </c>
      <c r="AT269" s="437"/>
      <c r="AU269" s="438" t="str">
        <f t="shared" si="70"/>
        <v/>
      </c>
      <c r="AV269" s="429">
        <f t="shared" ref="AV269:AV271" si="71">IF(L269&lt;&gt;0,L269,L269)</f>
        <v>0</v>
      </c>
      <c r="AW269" s="407" t="b">
        <f t="shared" si="63"/>
        <v>0</v>
      </c>
      <c r="AX269" s="439" t="b">
        <f t="shared" si="64"/>
        <v>0</v>
      </c>
      <c r="AY269" s="314"/>
      <c r="AZ269" s="408" t="b">
        <f t="shared" si="65"/>
        <v>0</v>
      </c>
      <c r="BA269" s="440" t="b">
        <f t="shared" si="66"/>
        <v>0</v>
      </c>
      <c r="BB269" s="314"/>
      <c r="BC269" s="407" t="b">
        <f t="shared" si="67"/>
        <v>0</v>
      </c>
      <c r="BD269" s="407" t="b">
        <f>OR(AV268&gt;100%,(AV268+AV269)&gt;100%)</f>
        <v>0</v>
      </c>
      <c r="BE269" s="314"/>
      <c r="BF269" s="408" t="s">
        <v>162</v>
      </c>
      <c r="BG269" s="409" t="str">
        <f>IF(COUNTIF(AO265:AO266,TRUE)=0,"",BH269*AV273)</f>
        <v/>
      </c>
      <c r="BH269" s="409" t="str">
        <f>IF(COUNTIF(AO265:AO266,TRUE)=0,"",AV262*IF(AO265,1,AV264*AN266)*AV265*AV271)</f>
        <v/>
      </c>
      <c r="BJ269" s="314"/>
      <c r="BK269" s="314"/>
      <c r="BL269" s="314"/>
      <c r="BM269" s="314"/>
      <c r="BN269" s="314"/>
      <c r="BO269" s="314"/>
      <c r="BP269" s="314"/>
      <c r="BQ269" s="314"/>
      <c r="BR269" s="314"/>
      <c r="BS269" s="314"/>
      <c r="BT269" s="314"/>
      <c r="BU269" s="314"/>
      <c r="BV269" s="314"/>
      <c r="BW269" s="314"/>
      <c r="BX269" s="314"/>
      <c r="BY269" s="314"/>
      <c r="BZ269" s="314"/>
      <c r="CA269" s="314"/>
      <c r="CB269" s="314"/>
      <c r="CC269" s="314"/>
      <c r="CD269" s="314"/>
      <c r="CE269" s="314"/>
      <c r="CF269" s="314"/>
      <c r="CG269" s="314"/>
      <c r="CH269" s="314"/>
      <c r="CI269" s="314"/>
      <c r="CJ269" s="314"/>
      <c r="CK269" s="314"/>
      <c r="CL269" s="314"/>
      <c r="CM269" s="314"/>
      <c r="CN269" s="314"/>
      <c r="CO269" s="314"/>
      <c r="CP269" s="314"/>
      <c r="CQ269" s="407" t="b">
        <f>OR(CQ262,Y269=EUconst_NA)</f>
        <v>0</v>
      </c>
    </row>
    <row r="270" spans="1:95" ht="12.75" customHeight="1" thickBot="1" x14ac:dyDescent="0.3">
      <c r="A270" s="307"/>
      <c r="B270" s="68"/>
      <c r="C270" s="199" t="s">
        <v>163</v>
      </c>
      <c r="D270" s="344" t="str">
        <f>Translations!$B$615</f>
        <v>sust. SLCF:</v>
      </c>
      <c r="E270" s="441"/>
      <c r="F270" s="19" t="s">
        <v>158</v>
      </c>
      <c r="G270" s="1261"/>
      <c r="H270" s="1262"/>
      <c r="I270" s="442" t="str">
        <f t="shared" si="68"/>
        <v/>
      </c>
      <c r="J270" s="411"/>
      <c r="K270" s="443"/>
      <c r="L270" s="57"/>
      <c r="M270" s="347" t="str">
        <f>IF(AND(E257&lt;&gt;"",OR(F270="",COUNT(L270)=0),Y270&lt;&gt;EUconst_NA),EUconst_ERR_Incomplete,"")</f>
        <v/>
      </c>
      <c r="N270" s="76"/>
      <c r="O270" s="160"/>
      <c r="P270" s="348"/>
      <c r="Q270" s="413"/>
      <c r="R270" s="413"/>
      <c r="S270" s="314"/>
      <c r="T270" s="388" t="str">
        <f>EUconst_CNTR_RFNBOetcContent&amp;E257</f>
        <v>RNFBOC_</v>
      </c>
      <c r="U270" s="312"/>
      <c r="V270" s="312"/>
      <c r="W270" s="312"/>
      <c r="X270" s="312"/>
      <c r="Y270" s="447" t="str">
        <f>IF(E257="","",IF(OR(F270=EUconst_NA,W270=TRUE),EUconst_NA,INDEX(EUwideConstants!$P$164:$P$200,MATCH(T270,EUwideConstants!$S$164:$S$200,0))))</f>
        <v/>
      </c>
      <c r="Z270" s="314"/>
      <c r="AA270" s="314"/>
      <c r="AB270" s="314"/>
      <c r="AC270" s="397" t="b">
        <f>AND(AC266,Y270&lt;&gt;EUconst_NA)</f>
        <v>0</v>
      </c>
      <c r="AD270" s="314"/>
      <c r="AE270" s="415"/>
      <c r="AF270" s="416"/>
      <c r="AG270" s="417"/>
      <c r="AH270" s="418"/>
      <c r="AI270" s="418"/>
      <c r="AJ270" s="418"/>
      <c r="AK270" s="419"/>
      <c r="AL270" s="326"/>
      <c r="AM270" s="326"/>
      <c r="AN270" s="326"/>
      <c r="AO270" s="326"/>
      <c r="AP270" s="326"/>
      <c r="AQ270" s="444" t="s">
        <v>159</v>
      </c>
      <c r="AR270" s="415"/>
      <c r="AS270" s="445" t="str">
        <f t="shared" si="69"/>
        <v/>
      </c>
      <c r="AT270" s="446"/>
      <c r="AU270" s="447" t="str">
        <f t="shared" si="70"/>
        <v/>
      </c>
      <c r="AV270" s="397">
        <f t="shared" si="71"/>
        <v>0</v>
      </c>
      <c r="AW270" s="398" t="b">
        <f t="shared" si="63"/>
        <v>0</v>
      </c>
      <c r="AX270" s="448" t="b">
        <f t="shared" si="64"/>
        <v>0</v>
      </c>
      <c r="AY270" s="314"/>
      <c r="AZ270" s="449" t="b">
        <f t="shared" si="65"/>
        <v>0</v>
      </c>
      <c r="BA270" s="450" t="b">
        <f t="shared" si="66"/>
        <v>0</v>
      </c>
      <c r="BB270" s="314"/>
      <c r="BC270" s="398" t="b">
        <f t="shared" si="67"/>
        <v>0</v>
      </c>
      <c r="BD270" s="369" t="b">
        <f>OR(AV270&gt;100%,(AV270+AV271)&gt;100%)</f>
        <v>0</v>
      </c>
      <c r="BE270" s="314"/>
      <c r="BF270" s="451" t="s">
        <v>164</v>
      </c>
      <c r="BG270" s="452">
        <f>IF(AN262=EUconst_TJ,AV262*(1-AV266),IF(AN264=EUconst_GJ,AV262*AV264/1000,0))-SUM(BG271:BG277)</f>
        <v>0</v>
      </c>
      <c r="BH270" s="314"/>
      <c r="BI270" s="314"/>
      <c r="BJ270" s="314"/>
      <c r="BK270" s="314"/>
      <c r="BL270" s="314"/>
      <c r="BM270" s="314"/>
      <c r="BN270" s="314"/>
      <c r="BO270" s="314"/>
      <c r="BP270" s="314"/>
      <c r="BQ270" s="314"/>
      <c r="BR270" s="314"/>
      <c r="BS270" s="314"/>
      <c r="BT270" s="314"/>
      <c r="BU270" s="314"/>
      <c r="BV270" s="314"/>
      <c r="BW270" s="314"/>
      <c r="BX270" s="314"/>
      <c r="BY270" s="314"/>
      <c r="BZ270" s="314"/>
      <c r="CA270" s="314"/>
      <c r="CB270" s="314"/>
      <c r="CC270" s="314"/>
      <c r="CD270" s="314"/>
      <c r="CE270" s="314"/>
      <c r="CF270" s="314"/>
      <c r="CG270" s="314"/>
      <c r="CH270" s="314"/>
      <c r="CI270" s="314"/>
      <c r="CJ270" s="314"/>
      <c r="CK270" s="314"/>
      <c r="CL270" s="314"/>
      <c r="CM270" s="314"/>
      <c r="CN270" s="314"/>
      <c r="CO270" s="314"/>
      <c r="CP270" s="314"/>
      <c r="CQ270" s="407" t="b">
        <f>OR(CQ262,Y270=EUconst_NA)</f>
        <v>0</v>
      </c>
    </row>
    <row r="271" spans="1:95" ht="12.75" customHeight="1" thickBot="1" x14ac:dyDescent="0.3">
      <c r="A271" s="307"/>
      <c r="B271" s="68"/>
      <c r="C271" s="199" t="s">
        <v>165</v>
      </c>
      <c r="D271" s="344" t="str">
        <f>Translations!$B$618</f>
        <v>non-sust. SLCF:</v>
      </c>
      <c r="E271" s="441"/>
      <c r="F271" s="20" t="s">
        <v>158</v>
      </c>
      <c r="G271" s="1261"/>
      <c r="H271" s="1262"/>
      <c r="I271" s="422" t="str">
        <f t="shared" si="68"/>
        <v/>
      </c>
      <c r="J271" s="423"/>
      <c r="K271" s="443"/>
      <c r="L271" s="56"/>
      <c r="M271" s="347" t="str">
        <f>IF(AND(E257&lt;&gt;"",OR(F271="",COUNT(L271)=0),Y271&lt;&gt;EUconst_NA),EUconst_ERR_Incomplete,"")</f>
        <v/>
      </c>
      <c r="N271" s="76"/>
      <c r="O271" s="160"/>
      <c r="P271" s="348"/>
      <c r="Q271" s="413"/>
      <c r="R271" s="413"/>
      <c r="S271" s="314"/>
      <c r="T271" s="425" t="str">
        <f>EUconst_CNTR_RFNBOetcContent&amp;E257</f>
        <v>RNFBOC_</v>
      </c>
      <c r="U271" s="312"/>
      <c r="V271" s="312"/>
      <c r="W271" s="312"/>
      <c r="X271" s="312"/>
      <c r="Y271" s="438" t="str">
        <f>IF(E257="","",IF(OR(F271=EUconst_NA,W271=TRUE),EUconst_NA,INDEX(EUwideConstants!$P$164:$P$200,MATCH(T271,EUwideConstants!$S$164:$S$200,0))))</f>
        <v/>
      </c>
      <c r="Z271" s="314"/>
      <c r="AA271" s="314"/>
      <c r="AB271" s="314"/>
      <c r="AC271" s="429" t="b">
        <f>AND(AC266,Y271&lt;&gt;EUconst_NA)</f>
        <v>0</v>
      </c>
      <c r="AD271" s="314"/>
      <c r="AE271" s="430"/>
      <c r="AF271" s="431"/>
      <c r="AG271" s="432"/>
      <c r="AH271" s="433"/>
      <c r="AI271" s="433"/>
      <c r="AJ271" s="433"/>
      <c r="AK271" s="434"/>
      <c r="AL271" s="326"/>
      <c r="AM271" s="326"/>
      <c r="AN271" s="326"/>
      <c r="AO271" s="326"/>
      <c r="AP271" s="326"/>
      <c r="AQ271" s="435" t="s">
        <v>159</v>
      </c>
      <c r="AR271" s="430"/>
      <c r="AS271" s="436" t="str">
        <f t="shared" si="69"/>
        <v/>
      </c>
      <c r="AT271" s="437"/>
      <c r="AU271" s="438" t="str">
        <f t="shared" si="70"/>
        <v/>
      </c>
      <c r="AV271" s="429">
        <f t="shared" si="71"/>
        <v>0</v>
      </c>
      <c r="AW271" s="407" t="b">
        <f t="shared" si="63"/>
        <v>0</v>
      </c>
      <c r="AX271" s="439" t="b">
        <f t="shared" si="64"/>
        <v>0</v>
      </c>
      <c r="AY271" s="314"/>
      <c r="AZ271" s="408" t="b">
        <f t="shared" si="65"/>
        <v>0</v>
      </c>
      <c r="BA271" s="440" t="b">
        <f t="shared" si="66"/>
        <v>0</v>
      </c>
      <c r="BB271" s="314"/>
      <c r="BC271" s="407" t="b">
        <f t="shared" si="67"/>
        <v>0</v>
      </c>
      <c r="BD271" s="407" t="b">
        <f>OR(AV270&gt;100%,(AV270+AV271)&gt;100%)</f>
        <v>0</v>
      </c>
      <c r="BE271" s="314"/>
      <c r="BF271" s="408" t="s">
        <v>166</v>
      </c>
      <c r="BG271" s="409" t="str">
        <f>IF(AN262=EUconst_TJ,AV262*AV266,IF(AN264=EUconst_GJ,AV262*AV264/1000*AV266,""))</f>
        <v/>
      </c>
      <c r="BH271" s="314"/>
      <c r="BI271" s="314"/>
      <c r="BJ271" s="314"/>
      <c r="BK271" s="314"/>
      <c r="BL271" s="314"/>
      <c r="BM271" s="314"/>
      <c r="BN271" s="314"/>
      <c r="BO271" s="314"/>
      <c r="BP271" s="314"/>
      <c r="BQ271" s="314"/>
      <c r="BR271" s="314"/>
      <c r="BS271" s="314"/>
      <c r="BT271" s="314"/>
      <c r="BU271" s="314"/>
      <c r="BV271" s="314"/>
      <c r="BW271" s="314"/>
      <c r="BX271" s="314"/>
      <c r="BY271" s="314"/>
      <c r="BZ271" s="314"/>
      <c r="CA271" s="314"/>
      <c r="CB271" s="314"/>
      <c r="CC271" s="314"/>
      <c r="CD271" s="314"/>
      <c r="CE271" s="314"/>
      <c r="CF271" s="314"/>
      <c r="CG271" s="314"/>
      <c r="CH271" s="314"/>
      <c r="CI271" s="314"/>
      <c r="CJ271" s="314"/>
      <c r="CK271" s="314"/>
      <c r="CL271" s="314"/>
      <c r="CM271" s="314"/>
      <c r="CN271" s="314"/>
      <c r="CO271" s="314"/>
      <c r="CP271" s="314"/>
      <c r="CQ271" s="407" t="b">
        <f>OR(CQ262,Y271=EUconst_NA)</f>
        <v>0</v>
      </c>
    </row>
    <row r="272" spans="1:95" ht="5.15" customHeight="1" thickBot="1" x14ac:dyDescent="0.3">
      <c r="A272" s="307"/>
      <c r="B272" s="68"/>
      <c r="C272" s="68"/>
      <c r="D272" s="205"/>
      <c r="E272" s="76"/>
      <c r="F272" s="76"/>
      <c r="G272" s="76"/>
      <c r="H272" s="76"/>
      <c r="I272" s="76"/>
      <c r="J272" s="76"/>
      <c r="K272" s="76"/>
      <c r="L272" s="76"/>
      <c r="M272" s="453"/>
      <c r="N272" s="76"/>
      <c r="O272" s="160"/>
      <c r="P272" s="109"/>
      <c r="Q272" s="312"/>
      <c r="R272" s="312"/>
      <c r="S272" s="314"/>
      <c r="T272" s="314"/>
      <c r="U272" s="314"/>
      <c r="V272" s="314"/>
      <c r="W272" s="314"/>
      <c r="X272" s="314"/>
      <c r="Y272" s="314"/>
      <c r="Z272" s="314"/>
      <c r="AA272" s="314"/>
      <c r="AB272" s="314"/>
      <c r="AC272" s="314"/>
      <c r="AD272" s="314"/>
      <c r="AE272" s="314"/>
      <c r="AF272" s="314"/>
      <c r="AG272" s="314"/>
      <c r="AH272" s="314"/>
      <c r="AI272" s="314"/>
      <c r="AJ272" s="314"/>
      <c r="AK272" s="314"/>
      <c r="AL272" s="314"/>
      <c r="AM272" s="314"/>
      <c r="AN272" s="314"/>
      <c r="AO272" s="314"/>
      <c r="AP272" s="314"/>
      <c r="AQ272" s="314"/>
      <c r="AR272" s="314"/>
      <c r="AS272" s="314"/>
      <c r="AT272" s="314"/>
      <c r="AU272" s="314"/>
      <c r="AV272" s="314"/>
      <c r="AW272" s="314"/>
      <c r="AX272" s="314"/>
      <c r="AY272" s="314"/>
      <c r="AZ272" s="314"/>
      <c r="BA272" s="314"/>
      <c r="BB272" s="314"/>
      <c r="BC272" s="314"/>
      <c r="BD272" s="314"/>
      <c r="BE272" s="314"/>
      <c r="BF272" s="314"/>
      <c r="BG272" s="364"/>
      <c r="BH272" s="314"/>
      <c r="BI272" s="314"/>
      <c r="BJ272" s="314"/>
      <c r="BK272" s="314"/>
      <c r="BL272" s="314"/>
      <c r="BM272" s="314"/>
      <c r="BN272" s="314"/>
      <c r="BO272" s="314"/>
      <c r="BP272" s="314"/>
      <c r="BQ272" s="314"/>
      <c r="BR272" s="314"/>
      <c r="BS272" s="314"/>
      <c r="BT272" s="314"/>
      <c r="BU272" s="314"/>
      <c r="BV272" s="314"/>
      <c r="BW272" s="314"/>
      <c r="BX272" s="314"/>
      <c r="BY272" s="314"/>
      <c r="BZ272" s="314"/>
      <c r="CA272" s="314"/>
      <c r="CB272" s="314"/>
      <c r="CC272" s="314"/>
      <c r="CD272" s="314"/>
      <c r="CE272" s="314"/>
      <c r="CF272" s="314"/>
      <c r="CG272" s="314"/>
      <c r="CH272" s="314"/>
      <c r="CI272" s="314"/>
      <c r="CJ272" s="314"/>
      <c r="CK272" s="314"/>
      <c r="CL272" s="314"/>
      <c r="CM272" s="314"/>
      <c r="CN272" s="314"/>
      <c r="CO272" s="314"/>
      <c r="CP272" s="314"/>
      <c r="CQ272" s="314"/>
    </row>
    <row r="273" spans="1:95" ht="12.75" customHeight="1" thickBot="1" x14ac:dyDescent="0.3">
      <c r="A273" s="307"/>
      <c r="B273" s="68"/>
      <c r="C273" s="199" t="s">
        <v>167</v>
      </c>
      <c r="D273" s="344" t="str">
        <f>Translations!$B$398</f>
        <v>Scope factor:</v>
      </c>
      <c r="E273" s="454"/>
      <c r="F273" s="992"/>
      <c r="G273" s="1263"/>
      <c r="H273" s="1264"/>
      <c r="I273" s="455" t="s">
        <v>46</v>
      </c>
      <c r="J273" s="456"/>
      <c r="K273" s="457" t="str">
        <f>IF(L273="",AU273,"")</f>
        <v/>
      </c>
      <c r="L273" s="16"/>
      <c r="M273" s="458" t="str">
        <f>IF(AND(E257&lt;&gt;"",OR(F273="",G273="",COUNT(K273:L273)=0)),EUconst_ERR_Incomplete,IF(COUNTIF(BB273:BD273,TRUE)&gt;0,EUconst_ERR_Inconsistent,""))</f>
        <v/>
      </c>
      <c r="N273" s="76"/>
      <c r="O273" s="160"/>
      <c r="P273" s="109"/>
      <c r="Q273" s="312"/>
      <c r="R273" s="314"/>
      <c r="S273" s="297"/>
      <c r="T273" s="459" t="str">
        <f>EUconst_CNTR_ScopeFactor&amp;E257</f>
        <v>ScopeFactor_</v>
      </c>
      <c r="U273" s="231" t="str">
        <f>IF(F273="","",INDEX(ScopeAddress,MATCH(F273,ScopeTiers,0)))</f>
        <v/>
      </c>
      <c r="V273" s="360" t="str">
        <f>V262</f>
        <v/>
      </c>
      <c r="W273" s="314"/>
      <c r="X273" s="314"/>
      <c r="Y273" s="460" t="str">
        <f>IF(E257="","",IF(F273=EUconst_NA,EUconst_NA,INDEX(EUwideConstants!$P$164:$P$200,MATCH(T273,EUwideConstants!$S$164:$S$200,0))))</f>
        <v/>
      </c>
      <c r="Z273" s="461" t="str">
        <f>IF(ISBLANK(F273),"",IF(F273=EUconst_NA,"",INDEX(EUwideConstants!$H:$O,MATCH(T273,EUwideConstants!$S:$S,0),MATCH(F273,CNTR_TierList,0))))</f>
        <v/>
      </c>
      <c r="AA273" s="331" t="str">
        <f>IF(G273=EUwideConstants!$A$89,1,"")</f>
        <v/>
      </c>
      <c r="AB273" s="314"/>
      <c r="AC273" s="331" t="b">
        <f>AND(AC262,Y273&lt;&gt;EUconst_NA)</f>
        <v>0</v>
      </c>
      <c r="AD273" s="314"/>
      <c r="AE273" s="314"/>
      <c r="AF273" s="314"/>
      <c r="AG273" s="319"/>
      <c r="AH273" s="314"/>
      <c r="AI273" s="314"/>
      <c r="AJ273" s="314"/>
      <c r="AK273" s="314"/>
      <c r="AL273" s="314"/>
      <c r="AM273" s="314"/>
      <c r="AN273" s="314"/>
      <c r="AO273" s="314"/>
      <c r="AP273" s="314"/>
      <c r="AQ273" s="314"/>
      <c r="AR273" s="314"/>
      <c r="AS273" s="328">
        <v>1</v>
      </c>
      <c r="AT273" s="314"/>
      <c r="AU273" s="319" t="str">
        <f>IF(G273=EUwideConstants!$A$89,AS273,"")</f>
        <v/>
      </c>
      <c r="AV273" s="331">
        <f>IF(AC273=TRUE,IF(COUNT(K273:L273)=0,0,IF(L273="",K273,L273)),0)</f>
        <v>0</v>
      </c>
      <c r="AW273" s="360" t="b">
        <f>AND(AC273=TRUE,OR(AND(F273&lt;&gt;"",NOT(ISNUMBER(AA273))),L273&lt;&gt;"",F273="",AU273=""))</f>
        <v>0</v>
      </c>
      <c r="AX273" s="357" t="b">
        <f>AND(AC273=TRUE,NOT(AW273))</f>
        <v>0</v>
      </c>
      <c r="AY273" s="314"/>
      <c r="AZ273" s="361" t="b">
        <f>AND(ISNUMBER(AA273),AU273="")</f>
        <v>0</v>
      </c>
      <c r="BA273" s="351" t="b">
        <f>AND(ISNUMBER(AA273),AU273&lt;&gt;AV273)</f>
        <v>0</v>
      </c>
      <c r="BB273" s="314"/>
      <c r="BC273" s="360" t="b">
        <f>AND(F273&lt;&gt;"",OR(COUNTIF(INDEX(ScopeMethods,F273,),G273)=0,AND(AA273&lt;&gt;"",AU273&lt;&gt;AV273)))</f>
        <v>0</v>
      </c>
      <c r="BD273" s="314"/>
      <c r="BE273" s="314"/>
      <c r="BF273" s="361" t="s">
        <v>168</v>
      </c>
      <c r="BG273" s="362" t="str">
        <f>IF(AN262=EUconst_TJ,AV262*AV268,IF(AN264=EUconst_GJ,AV262*AV264/1000*AV268,""))</f>
        <v/>
      </c>
      <c r="BH273" s="314"/>
      <c r="BI273" s="314"/>
      <c r="BJ273" s="314"/>
      <c r="BK273" s="314"/>
      <c r="BL273" s="314"/>
      <c r="BM273" s="314"/>
      <c r="BN273" s="314"/>
      <c r="BO273" s="314"/>
      <c r="BP273" s="314"/>
      <c r="BQ273" s="314"/>
      <c r="BR273" s="314"/>
      <c r="BS273" s="314"/>
      <c r="BT273" s="314"/>
      <c r="BU273" s="314"/>
      <c r="BV273" s="314"/>
      <c r="BW273" s="314"/>
      <c r="BX273" s="314"/>
      <c r="BY273" s="314"/>
      <c r="BZ273" s="314"/>
      <c r="CA273" s="314"/>
      <c r="CB273" s="314"/>
      <c r="CC273" s="314"/>
      <c r="CD273" s="314"/>
      <c r="CE273" s="314"/>
      <c r="CF273" s="314"/>
      <c r="CG273" s="314"/>
      <c r="CH273" s="314"/>
      <c r="CI273" s="314"/>
      <c r="CJ273" s="314"/>
      <c r="CK273" s="314"/>
      <c r="CL273" s="314"/>
      <c r="CM273" s="314"/>
      <c r="CN273" s="314"/>
      <c r="CO273" s="314"/>
      <c r="CP273" s="314"/>
      <c r="CQ273" s="314"/>
    </row>
    <row r="274" spans="1:95" ht="12.75" customHeight="1" x14ac:dyDescent="0.25">
      <c r="A274" s="307"/>
      <c r="B274" s="68"/>
      <c r="C274" s="68"/>
      <c r="D274" s="68"/>
      <c r="E274" s="68"/>
      <c r="F274" s="68"/>
      <c r="G274" s="1265" t="str">
        <f>IF(G273="","",INDEX(ScopeMethodsDetails,MATCH(G273,INDEX(ScopeMethodsDetails,,1),0),2))</f>
        <v/>
      </c>
      <c r="H274" s="1266"/>
      <c r="I274" s="1266"/>
      <c r="J274" s="1266"/>
      <c r="K274" s="1266"/>
      <c r="L274" s="1266"/>
      <c r="M274" s="1267"/>
      <c r="N274" s="76"/>
      <c r="O274" s="160"/>
      <c r="P274" s="109"/>
      <c r="Q274" s="312"/>
      <c r="R274" s="312"/>
      <c r="S274" s="314"/>
      <c r="T274" s="314"/>
      <c r="U274" s="314"/>
      <c r="V274" s="314"/>
      <c r="W274" s="314"/>
      <c r="X274" s="314"/>
      <c r="Y274" s="314"/>
      <c r="Z274" s="314"/>
      <c r="AA274" s="314"/>
      <c r="AB274" s="314"/>
      <c r="AC274" s="314"/>
      <c r="AD274" s="314"/>
      <c r="AE274" s="314"/>
      <c r="AF274" s="314"/>
      <c r="AG274" s="314"/>
      <c r="AH274" s="314"/>
      <c r="AI274" s="314"/>
      <c r="AJ274" s="314"/>
      <c r="AK274" s="314"/>
      <c r="AL274" s="314"/>
      <c r="AM274" s="314"/>
      <c r="AN274" s="314"/>
      <c r="AO274" s="314"/>
      <c r="AP274" s="314"/>
      <c r="AQ274" s="314"/>
      <c r="AR274" s="314"/>
      <c r="AS274" s="314"/>
      <c r="AT274" s="314"/>
      <c r="AU274" s="314"/>
      <c r="AV274" s="314"/>
      <c r="AW274" s="314"/>
      <c r="AX274" s="314"/>
      <c r="AY274" s="314"/>
      <c r="AZ274" s="314"/>
      <c r="BA274" s="314"/>
      <c r="BB274" s="314"/>
      <c r="BC274" s="314"/>
      <c r="BD274" s="314"/>
      <c r="BE274" s="314"/>
      <c r="BG274" s="364"/>
      <c r="BH274" s="314"/>
      <c r="BI274" s="314"/>
      <c r="BJ274" s="314"/>
      <c r="BK274" s="314"/>
      <c r="BL274" s="314"/>
      <c r="BM274" s="314"/>
      <c r="BN274" s="314"/>
      <c r="BO274" s="314"/>
      <c r="BP274" s="314"/>
      <c r="BQ274" s="314"/>
      <c r="BR274" s="314"/>
      <c r="BS274" s="314"/>
      <c r="BT274" s="314"/>
      <c r="BU274" s="314"/>
      <c r="BV274" s="314"/>
      <c r="BW274" s="314"/>
      <c r="BX274" s="314"/>
      <c r="BY274" s="314"/>
      <c r="BZ274" s="314"/>
      <c r="CA274" s="314"/>
      <c r="CB274" s="314"/>
      <c r="CC274" s="314"/>
      <c r="CD274" s="314"/>
      <c r="CE274" s="314"/>
      <c r="CF274" s="314"/>
      <c r="CG274" s="314"/>
      <c r="CH274" s="314"/>
      <c r="CI274" s="314"/>
      <c r="CJ274" s="314"/>
      <c r="CK274" s="314"/>
      <c r="CL274" s="314"/>
      <c r="CM274" s="314"/>
      <c r="CN274" s="314"/>
      <c r="CO274" s="314"/>
      <c r="CP274" s="314"/>
      <c r="CQ274" s="314"/>
    </row>
    <row r="275" spans="1:95" ht="5.15" customHeight="1" x14ac:dyDescent="0.25">
      <c r="A275" s="307"/>
      <c r="C275" s="76"/>
      <c r="D275" s="76"/>
      <c r="E275" s="76"/>
      <c r="F275" s="76"/>
      <c r="G275" s="76"/>
      <c r="H275" s="76"/>
      <c r="I275" s="76"/>
      <c r="J275" s="76"/>
      <c r="K275" s="76"/>
      <c r="L275" s="76"/>
      <c r="O275" s="160"/>
      <c r="P275" s="109"/>
      <c r="Q275" s="312"/>
      <c r="R275" s="312"/>
      <c r="S275" s="314"/>
      <c r="T275" s="314"/>
      <c r="U275" s="314"/>
      <c r="V275" s="314"/>
      <c r="W275" s="314"/>
      <c r="X275" s="314"/>
      <c r="Y275" s="314"/>
      <c r="Z275" s="314"/>
      <c r="AA275" s="314"/>
      <c r="AB275" s="314"/>
      <c r="AC275" s="314"/>
      <c r="AD275" s="314"/>
      <c r="AE275" s="314"/>
      <c r="AF275" s="314"/>
      <c r="AG275" s="314"/>
      <c r="AH275" s="314"/>
      <c r="AI275" s="314"/>
      <c r="AJ275" s="314"/>
      <c r="AK275" s="314"/>
      <c r="AL275" s="314"/>
      <c r="AM275" s="314"/>
      <c r="AN275" s="314"/>
      <c r="AO275" s="314"/>
      <c r="AP275" s="314"/>
      <c r="AQ275" s="314"/>
      <c r="AR275" s="314"/>
      <c r="AS275" s="314"/>
      <c r="AT275" s="314"/>
      <c r="AU275" s="314"/>
      <c r="AV275" s="314"/>
      <c r="AW275" s="314"/>
      <c r="AX275" s="314"/>
      <c r="AY275" s="314"/>
      <c r="AZ275" s="314"/>
      <c r="BA275" s="314"/>
      <c r="BB275" s="314"/>
      <c r="BC275" s="314"/>
      <c r="BD275" s="314"/>
      <c r="BE275" s="314"/>
      <c r="BG275" s="364"/>
      <c r="BH275" s="314"/>
      <c r="BI275" s="314"/>
      <c r="BJ275" s="314"/>
      <c r="BK275" s="314"/>
      <c r="BL275" s="314"/>
      <c r="BM275" s="314"/>
      <c r="BN275" s="314"/>
      <c r="BO275" s="314"/>
      <c r="BP275" s="314"/>
      <c r="BQ275" s="314"/>
      <c r="BR275" s="314"/>
      <c r="BS275" s="314"/>
      <c r="BT275" s="314"/>
      <c r="BU275" s="314"/>
      <c r="BV275" s="314"/>
      <c r="BW275" s="314"/>
      <c r="BX275" s="314"/>
      <c r="BY275" s="314"/>
      <c r="BZ275" s="314"/>
      <c r="CA275" s="314"/>
      <c r="CB275" s="314"/>
      <c r="CC275" s="314"/>
      <c r="CD275" s="314"/>
      <c r="CE275" s="314"/>
      <c r="CF275" s="314"/>
      <c r="CG275" s="314"/>
      <c r="CH275" s="314"/>
      <c r="CI275" s="314"/>
      <c r="CJ275" s="314"/>
      <c r="CK275" s="314"/>
      <c r="CL275" s="314"/>
      <c r="CM275" s="314"/>
      <c r="CN275" s="314"/>
      <c r="CO275" s="314"/>
      <c r="CP275" s="314"/>
      <c r="CQ275" s="314"/>
    </row>
    <row r="276" spans="1:95" ht="12.75" customHeight="1" thickBot="1" x14ac:dyDescent="0.3">
      <c r="A276" s="307"/>
      <c r="C276" s="76"/>
      <c r="D276" s="76"/>
      <c r="E276" s="76"/>
      <c r="F276" s="76"/>
      <c r="G276" s="1268">
        <v>1</v>
      </c>
      <c r="H276" s="1268"/>
      <c r="I276" s="1268">
        <v>2</v>
      </c>
      <c r="J276" s="1268"/>
      <c r="K276" s="1268">
        <v>3</v>
      </c>
      <c r="L276" s="1268"/>
      <c r="O276" s="160"/>
      <c r="P276" s="109"/>
      <c r="Q276" s="312"/>
      <c r="R276" s="312"/>
      <c r="S276" s="314"/>
      <c r="T276" s="314"/>
      <c r="U276" s="314"/>
      <c r="V276" s="314"/>
      <c r="W276" s="314"/>
      <c r="X276" s="314"/>
      <c r="Y276" s="314"/>
      <c r="Z276" s="314"/>
      <c r="AA276" s="314"/>
      <c r="AB276" s="314"/>
      <c r="AC276" s="314"/>
      <c r="AD276" s="314"/>
      <c r="AE276" s="314"/>
      <c r="AF276" s="314"/>
      <c r="AG276" s="314"/>
      <c r="AH276" s="314"/>
      <c r="AI276" s="314"/>
      <c r="AJ276" s="314"/>
      <c r="AK276" s="314"/>
      <c r="AL276" s="314"/>
      <c r="AM276" s="314"/>
      <c r="AN276" s="314"/>
      <c r="AO276" s="314"/>
      <c r="AP276" s="314"/>
      <c r="AQ276" s="314"/>
      <c r="AR276" s="314"/>
      <c r="AS276" s="314"/>
      <c r="AT276" s="314"/>
      <c r="AU276" s="314"/>
      <c r="AV276" s="314"/>
      <c r="AW276" s="314"/>
      <c r="AX276" s="314"/>
      <c r="AY276" s="314"/>
      <c r="AZ276" s="314"/>
      <c r="BA276" s="314"/>
      <c r="BB276" s="314"/>
      <c r="BC276" s="314"/>
      <c r="BD276" s="314"/>
      <c r="BE276" s="314"/>
      <c r="BF276" s="314"/>
      <c r="BG276" s="364"/>
      <c r="BH276" s="314"/>
      <c r="BI276" s="314"/>
      <c r="BJ276" s="314"/>
      <c r="BK276" s="314"/>
      <c r="BL276" s="314"/>
      <c r="BM276" s="314"/>
      <c r="BN276" s="314"/>
      <c r="BO276" s="314"/>
      <c r="BP276" s="314"/>
      <c r="BQ276" s="314"/>
      <c r="BR276" s="314"/>
      <c r="BS276" s="314"/>
      <c r="BT276" s="314"/>
      <c r="BU276" s="314"/>
      <c r="BV276" s="314"/>
      <c r="BW276" s="314"/>
      <c r="BX276" s="314"/>
      <c r="BY276" s="314"/>
      <c r="BZ276" s="314"/>
      <c r="CA276" s="314"/>
      <c r="CB276" s="314"/>
      <c r="CC276" s="314"/>
      <c r="CD276" s="314"/>
      <c r="CE276" s="314"/>
      <c r="CF276" s="314"/>
      <c r="CG276" s="314"/>
      <c r="CH276" s="314"/>
      <c r="CI276" s="314"/>
      <c r="CJ276" s="314"/>
      <c r="CK276" s="314"/>
      <c r="CL276" s="314"/>
      <c r="CM276" s="314"/>
      <c r="CN276" s="314"/>
      <c r="CO276" s="314"/>
      <c r="CP276" s="314"/>
      <c r="CQ276" s="314"/>
    </row>
    <row r="277" spans="1:95" ht="12.75" customHeight="1" thickBot="1" x14ac:dyDescent="0.3">
      <c r="A277" s="462"/>
      <c r="B277" s="76"/>
      <c r="C277" s="76"/>
      <c r="D277" s="1246" t="str">
        <f>Translations!$B$372</f>
        <v>Consumers' CRF category:</v>
      </c>
      <c r="E277" s="1246"/>
      <c r="F277" s="1247"/>
      <c r="G277" s="1248"/>
      <c r="H277" s="1249"/>
      <c r="I277" s="1248"/>
      <c r="J277" s="1249"/>
      <c r="K277" s="1248"/>
      <c r="L277" s="1249"/>
      <c r="M277" s="463" t="str">
        <f>IF(AND(E256&lt;&gt;"",COUNTA(G277:L277)=0,AX277=FALSE),EUconst_ERR_Incomplete,"")</f>
        <v/>
      </c>
      <c r="N277" s="76"/>
      <c r="O277" s="160"/>
      <c r="P277" s="109"/>
      <c r="Q277" s="312"/>
      <c r="R277" s="312"/>
      <c r="S277" s="314"/>
      <c r="T277" s="314"/>
      <c r="U277" s="314"/>
      <c r="V277" s="314"/>
      <c r="W277" s="314"/>
      <c r="X277" s="314"/>
      <c r="Y277" s="314"/>
      <c r="Z277" s="314"/>
      <c r="AA277" s="314"/>
      <c r="AB277" s="314"/>
      <c r="AC277" s="314"/>
      <c r="AD277" s="314"/>
      <c r="AE277" s="314"/>
      <c r="AF277" s="314"/>
      <c r="AG277" s="314"/>
      <c r="AH277" s="314"/>
      <c r="AI277" s="314"/>
      <c r="AJ277" s="314"/>
      <c r="AK277" s="314"/>
      <c r="AL277" s="314"/>
      <c r="AM277" s="314"/>
      <c r="AN277" s="314"/>
      <c r="AO277" s="314"/>
      <c r="AP277" s="314"/>
      <c r="AQ277" s="314"/>
      <c r="AR277" s="314"/>
      <c r="AS277" s="314"/>
      <c r="AT277" s="314"/>
      <c r="AU277" s="314"/>
      <c r="AV277" s="314"/>
      <c r="AW277" s="314"/>
      <c r="AX277" s="464" t="b">
        <f>AND(AV273&lt;&gt;"",SUM(AV273=1))</f>
        <v>0</v>
      </c>
      <c r="AY277" s="314"/>
      <c r="AZ277" s="314"/>
      <c r="BA277" s="314"/>
      <c r="BB277" s="314"/>
      <c r="BC277" s="314"/>
      <c r="BD277" s="314"/>
      <c r="BE277" s="314"/>
      <c r="BF277" s="361" t="s">
        <v>169</v>
      </c>
      <c r="BG277" s="362" t="str">
        <f>IF(AN262=EUconst_TJ,AV262*AV270,IF(AN264=EUconst_GJ,AV262*AV264/1000*AV270,""))</f>
        <v/>
      </c>
      <c r="BH277" s="314"/>
      <c r="BI277" s="314"/>
      <c r="BJ277" s="314"/>
      <c r="BK277" s="314"/>
      <c r="BL277" s="314"/>
      <c r="BM277" s="314"/>
      <c r="BN277" s="314"/>
      <c r="BO277" s="314"/>
      <c r="BP277" s="314"/>
      <c r="BQ277" s="314"/>
      <c r="BR277" s="314"/>
      <c r="BS277" s="314"/>
      <c r="BT277" s="314"/>
      <c r="BU277" s="314"/>
      <c r="BV277" s="314"/>
      <c r="BW277" s="314"/>
      <c r="BX277" s="314"/>
      <c r="BY277" s="314"/>
      <c r="BZ277" s="314"/>
      <c r="CA277" s="314"/>
      <c r="CB277" s="314"/>
      <c r="CC277" s="314"/>
      <c r="CD277" s="314"/>
      <c r="CE277" s="314"/>
      <c r="CF277" s="314"/>
      <c r="CG277" s="314"/>
      <c r="CH277" s="314"/>
      <c r="CI277" s="314"/>
      <c r="CJ277" s="314"/>
      <c r="CK277" s="314"/>
      <c r="CL277" s="314"/>
      <c r="CM277" s="314"/>
      <c r="CN277" s="314"/>
      <c r="CO277" s="314"/>
      <c r="CP277" s="314"/>
      <c r="CQ277" s="314"/>
    </row>
    <row r="278" spans="1:95" ht="5.15" customHeight="1" x14ac:dyDescent="0.25">
      <c r="A278" s="307"/>
      <c r="B278" s="68"/>
      <c r="C278" s="68"/>
      <c r="D278" s="68"/>
      <c r="E278" s="68"/>
      <c r="F278" s="68"/>
      <c r="G278" s="76"/>
      <c r="H278" s="76"/>
      <c r="I278" s="76"/>
      <c r="J278" s="76"/>
      <c r="K278" s="76"/>
      <c r="L278" s="76"/>
      <c r="M278" s="76"/>
      <c r="N278" s="76"/>
      <c r="O278" s="160"/>
      <c r="P278" s="109"/>
      <c r="Q278" s="312"/>
      <c r="R278" s="312"/>
      <c r="S278" s="314"/>
      <c r="T278" s="314"/>
      <c r="U278" s="314"/>
      <c r="V278" s="314"/>
      <c r="W278" s="314"/>
      <c r="X278" s="314"/>
      <c r="Y278" s="314"/>
      <c r="Z278" s="314"/>
      <c r="AA278" s="314"/>
      <c r="AB278" s="314"/>
      <c r="AC278" s="314"/>
      <c r="AD278" s="314"/>
      <c r="AE278" s="314"/>
      <c r="AF278" s="314"/>
      <c r="AG278" s="314"/>
      <c r="AH278" s="314"/>
      <c r="AI278" s="314"/>
      <c r="AJ278" s="314"/>
      <c r="AK278" s="314"/>
      <c r="AL278" s="314"/>
      <c r="AM278" s="314"/>
      <c r="AN278" s="314"/>
      <c r="AO278" s="314"/>
      <c r="AP278" s="314"/>
      <c r="AQ278" s="314"/>
      <c r="AR278" s="314"/>
      <c r="AS278" s="314"/>
      <c r="AT278" s="314"/>
      <c r="AU278" s="314"/>
      <c r="AV278" s="314"/>
      <c r="AW278" s="314"/>
      <c r="AX278" s="314"/>
      <c r="AY278" s="314"/>
      <c r="AZ278" s="314"/>
      <c r="BA278" s="314"/>
      <c r="BB278" s="314"/>
      <c r="BC278" s="314"/>
      <c r="BD278" s="314"/>
      <c r="BE278" s="314"/>
      <c r="BF278" s="314"/>
      <c r="BG278" s="314"/>
      <c r="BH278" s="314"/>
      <c r="BI278" s="314"/>
      <c r="BJ278" s="314"/>
      <c r="BK278" s="314"/>
      <c r="BL278" s="314"/>
      <c r="BM278" s="314"/>
      <c r="BN278" s="314"/>
      <c r="BO278" s="314"/>
      <c r="BP278" s="314"/>
      <c r="BQ278" s="314"/>
      <c r="BR278" s="314"/>
      <c r="BS278" s="314"/>
      <c r="BT278" s="314"/>
      <c r="BU278" s="314"/>
      <c r="BV278" s="314"/>
      <c r="BW278" s="314"/>
      <c r="BX278" s="314"/>
      <c r="BY278" s="314"/>
      <c r="BZ278" s="314"/>
      <c r="CA278" s="314"/>
      <c r="CB278" s="314"/>
      <c r="CC278" s="314"/>
      <c r="CD278" s="314"/>
      <c r="CE278" s="314"/>
      <c r="CF278" s="314"/>
      <c r="CG278" s="314"/>
      <c r="CH278" s="314"/>
      <c r="CI278" s="314"/>
      <c r="CJ278" s="314"/>
      <c r="CK278" s="314"/>
      <c r="CL278" s="314"/>
      <c r="CM278" s="314"/>
      <c r="CN278" s="314"/>
      <c r="CO278" s="314"/>
      <c r="CP278" s="314"/>
      <c r="CQ278" s="314"/>
    </row>
    <row r="279" spans="1:95" ht="12.75" customHeight="1" x14ac:dyDescent="0.25">
      <c r="A279" s="307"/>
      <c r="B279" s="68"/>
      <c r="C279" s="68"/>
      <c r="D279" s="1246" t="str">
        <f>Translations!$B$399</f>
        <v>Tiers valid from:</v>
      </c>
      <c r="E279" s="1246"/>
      <c r="F279" s="1247"/>
      <c r="G279" s="8"/>
      <c r="H279" s="199" t="str">
        <f>Translations!$B$400</f>
        <v>until:</v>
      </c>
      <c r="I279" s="8"/>
      <c r="J279" s="76"/>
      <c r="K279" s="76"/>
      <c r="L279" s="76"/>
      <c r="M279" s="199" t="str">
        <f>Translations!$B$401</f>
        <v>ID used in the monitoring plan for this fuel stream:</v>
      </c>
      <c r="N279" s="9"/>
      <c r="O279" s="160"/>
      <c r="P279" s="109"/>
      <c r="Q279" s="312"/>
      <c r="R279" s="312"/>
      <c r="S279" s="465"/>
      <c r="T279" s="314"/>
      <c r="U279" s="314"/>
      <c r="V279" s="314"/>
      <c r="W279" s="314"/>
      <c r="X279" s="314"/>
      <c r="Y279" s="314"/>
      <c r="Z279" s="314"/>
      <c r="AA279" s="314"/>
      <c r="AB279" s="314"/>
      <c r="AC279" s="314"/>
      <c r="AD279" s="314"/>
      <c r="AE279" s="314"/>
      <c r="AF279" s="314"/>
      <c r="AG279" s="314"/>
      <c r="AH279" s="314"/>
      <c r="AI279" s="314"/>
      <c r="AJ279" s="314"/>
      <c r="AK279" s="314"/>
      <c r="AL279" s="314"/>
      <c r="AM279" s="314"/>
      <c r="AN279" s="314"/>
      <c r="AO279" s="314"/>
      <c r="AP279" s="314"/>
      <c r="AQ279" s="314"/>
      <c r="AR279" s="314"/>
      <c r="AS279" s="314"/>
      <c r="AT279" s="314"/>
      <c r="AU279" s="314"/>
      <c r="AV279" s="314"/>
      <c r="AW279" s="314"/>
      <c r="AX279" s="314"/>
      <c r="AY279" s="314"/>
      <c r="AZ279" s="314"/>
      <c r="BA279" s="314"/>
      <c r="BB279" s="314"/>
      <c r="BC279" s="314"/>
      <c r="BD279" s="314"/>
      <c r="BE279" s="314"/>
      <c r="BF279" s="314"/>
      <c r="BG279" s="314"/>
      <c r="BH279" s="314"/>
      <c r="BI279" s="314"/>
      <c r="BJ279" s="314"/>
      <c r="BK279" s="314"/>
      <c r="BL279" s="314"/>
      <c r="BM279" s="314"/>
      <c r="BN279" s="314"/>
      <c r="BO279" s="314"/>
      <c r="BP279" s="314"/>
      <c r="BQ279" s="314"/>
      <c r="BR279" s="314"/>
      <c r="BS279" s="314"/>
      <c r="BT279" s="314"/>
      <c r="BU279" s="314"/>
      <c r="BV279" s="314"/>
      <c r="BW279" s="314"/>
      <c r="BX279" s="314"/>
      <c r="BY279" s="314"/>
      <c r="BZ279" s="314"/>
      <c r="CA279" s="314"/>
      <c r="CB279" s="314"/>
      <c r="CC279" s="314"/>
      <c r="CD279" s="314"/>
      <c r="CE279" s="314"/>
      <c r="CF279" s="314"/>
      <c r="CG279" s="314"/>
      <c r="CH279" s="314"/>
      <c r="CI279" s="314"/>
      <c r="CJ279" s="314"/>
      <c r="CK279" s="314"/>
      <c r="CL279" s="314"/>
      <c r="CM279" s="314"/>
      <c r="CN279" s="314"/>
      <c r="CO279" s="314"/>
      <c r="CP279" s="314"/>
      <c r="CQ279" s="464" t="b">
        <f>CQ262</f>
        <v>0</v>
      </c>
    </row>
    <row r="280" spans="1:95" ht="5.15" customHeight="1" x14ac:dyDescent="0.25">
      <c r="A280" s="462"/>
      <c r="B280" s="76"/>
      <c r="C280" s="76"/>
      <c r="D280" s="76"/>
      <c r="E280" s="76"/>
      <c r="F280" s="76"/>
      <c r="G280" s="76"/>
      <c r="H280" s="76"/>
      <c r="I280" s="76"/>
      <c r="J280" s="76"/>
      <c r="K280" s="76"/>
      <c r="L280" s="76"/>
      <c r="M280" s="76"/>
      <c r="N280" s="76"/>
      <c r="O280" s="160"/>
      <c r="P280" s="109"/>
      <c r="Q280" s="312"/>
      <c r="R280" s="312"/>
      <c r="S280" s="314"/>
      <c r="T280" s="314"/>
      <c r="U280" s="314"/>
      <c r="V280" s="314"/>
      <c r="W280" s="314"/>
      <c r="X280" s="314"/>
      <c r="Y280" s="314"/>
      <c r="Z280" s="314"/>
      <c r="AA280" s="314"/>
      <c r="AB280" s="314"/>
      <c r="AC280" s="314"/>
      <c r="AD280" s="314"/>
      <c r="AE280" s="314"/>
      <c r="AF280" s="314"/>
      <c r="AG280" s="314"/>
      <c r="AH280" s="314"/>
      <c r="AI280" s="314"/>
      <c r="AJ280" s="314"/>
      <c r="AK280" s="314"/>
      <c r="AL280" s="314"/>
      <c r="AM280" s="314"/>
      <c r="AN280" s="314"/>
      <c r="AO280" s="314"/>
      <c r="AP280" s="314"/>
      <c r="AQ280" s="314"/>
      <c r="AR280" s="314"/>
      <c r="AS280" s="314"/>
      <c r="AT280" s="314"/>
      <c r="AU280" s="314"/>
      <c r="AV280" s="314"/>
      <c r="AW280" s="314"/>
      <c r="AX280" s="314"/>
      <c r="AY280" s="314"/>
      <c r="AZ280" s="314"/>
      <c r="BA280" s="314"/>
      <c r="BB280" s="314"/>
      <c r="BC280" s="314"/>
      <c r="BD280" s="314"/>
      <c r="BE280" s="314"/>
      <c r="BF280" s="314"/>
      <c r="BG280" s="314"/>
      <c r="BH280" s="314"/>
      <c r="BI280" s="314"/>
      <c r="BJ280" s="314"/>
      <c r="BK280" s="314"/>
      <c r="BL280" s="314"/>
      <c r="BM280" s="314"/>
      <c r="BN280" s="314"/>
      <c r="BO280" s="314"/>
      <c r="BP280" s="314"/>
      <c r="BQ280" s="314"/>
      <c r="BR280" s="314"/>
      <c r="BS280" s="314"/>
      <c r="BT280" s="314"/>
      <c r="BU280" s="314"/>
      <c r="BV280" s="314"/>
      <c r="BW280" s="314"/>
      <c r="BX280" s="314"/>
      <c r="BY280" s="314"/>
      <c r="BZ280" s="314"/>
      <c r="CA280" s="314"/>
      <c r="CB280" s="314"/>
      <c r="CC280" s="314"/>
      <c r="CD280" s="314"/>
      <c r="CE280" s="314"/>
      <c r="CF280" s="314"/>
      <c r="CG280" s="314"/>
      <c r="CH280" s="314"/>
      <c r="CI280" s="314"/>
      <c r="CJ280" s="314"/>
      <c r="CK280" s="314"/>
      <c r="CL280" s="314"/>
      <c r="CM280" s="314"/>
      <c r="CN280" s="314"/>
      <c r="CO280" s="314"/>
      <c r="CP280" s="314"/>
      <c r="CQ280" s="314"/>
    </row>
    <row r="281" spans="1:95" ht="12.75" customHeight="1" x14ac:dyDescent="0.25">
      <c r="A281" s="462"/>
      <c r="B281" s="76"/>
      <c r="C281" s="76"/>
      <c r="D281" s="115"/>
      <c r="E281" s="85"/>
      <c r="F281" s="466" t="str">
        <f>Translations!$B$304</f>
        <v>Comments:</v>
      </c>
      <c r="G281" s="1250"/>
      <c r="H281" s="1251"/>
      <c r="I281" s="1251"/>
      <c r="J281" s="1251"/>
      <c r="K281" s="1251"/>
      <c r="L281" s="1251"/>
      <c r="M281" s="1251"/>
      <c r="N281" s="1252"/>
      <c r="O281" s="160"/>
      <c r="P281" s="109"/>
      <c r="Q281" s="312"/>
      <c r="R281" s="312"/>
      <c r="S281" s="314"/>
      <c r="T281" s="314"/>
      <c r="U281" s="314"/>
      <c r="V281" s="314"/>
      <c r="W281" s="314"/>
      <c r="X281" s="314"/>
      <c r="Y281" s="314"/>
      <c r="Z281" s="314"/>
      <c r="AA281" s="314"/>
      <c r="AB281" s="314"/>
      <c r="AC281" s="314"/>
      <c r="AD281" s="314"/>
      <c r="AE281" s="314"/>
      <c r="AF281" s="314"/>
      <c r="AG281" s="314"/>
      <c r="AH281" s="314"/>
      <c r="AI281" s="314"/>
      <c r="AJ281" s="314"/>
      <c r="AK281" s="314"/>
      <c r="AL281" s="314"/>
      <c r="AM281" s="314"/>
      <c r="AN281" s="314"/>
      <c r="AO281" s="314"/>
      <c r="AP281" s="314"/>
      <c r="AQ281" s="314"/>
      <c r="AR281" s="314"/>
      <c r="AS281" s="314"/>
      <c r="AT281" s="314"/>
      <c r="AU281" s="314"/>
      <c r="AV281" s="314"/>
      <c r="AW281" s="314"/>
      <c r="AX281" s="314"/>
      <c r="AY281" s="314"/>
      <c r="AZ281" s="314"/>
      <c r="BA281" s="314"/>
      <c r="BB281" s="314"/>
      <c r="BC281" s="314"/>
      <c r="BD281" s="314"/>
      <c r="BE281" s="314"/>
      <c r="BF281" s="314"/>
      <c r="BG281" s="314"/>
      <c r="BH281" s="314"/>
      <c r="BI281" s="314"/>
      <c r="BJ281" s="314"/>
      <c r="BK281" s="314"/>
      <c r="BL281" s="314"/>
      <c r="BM281" s="314"/>
      <c r="BN281" s="314"/>
      <c r="BO281" s="314"/>
      <c r="BP281" s="314"/>
      <c r="BQ281" s="314"/>
      <c r="BR281" s="314"/>
      <c r="BS281" s="314"/>
      <c r="BT281" s="314"/>
      <c r="BU281" s="314"/>
      <c r="BV281" s="314"/>
      <c r="BW281" s="314"/>
      <c r="BX281" s="314"/>
      <c r="BY281" s="314"/>
      <c r="BZ281" s="314"/>
      <c r="CA281" s="314"/>
      <c r="CB281" s="314"/>
      <c r="CC281" s="314"/>
      <c r="CD281" s="314"/>
      <c r="CE281" s="314"/>
      <c r="CF281" s="314"/>
      <c r="CG281" s="314"/>
      <c r="CH281" s="314"/>
      <c r="CI281" s="314"/>
      <c r="CJ281" s="314"/>
      <c r="CK281" s="314"/>
      <c r="CL281" s="314"/>
      <c r="CM281" s="314"/>
      <c r="CN281" s="314"/>
      <c r="CO281" s="314"/>
      <c r="CP281" s="314"/>
      <c r="CQ281" s="464" t="b">
        <f>CQ279</f>
        <v>0</v>
      </c>
    </row>
    <row r="282" spans="1:95" ht="12.75" customHeight="1" thickBot="1" x14ac:dyDescent="0.3">
      <c r="A282" s="307"/>
      <c r="B282" s="76"/>
      <c r="C282" s="308"/>
      <c r="D282" s="309"/>
      <c r="E282" s="310"/>
      <c r="F282" s="308"/>
      <c r="G282" s="311"/>
      <c r="H282" s="311"/>
      <c r="I282" s="311"/>
      <c r="J282" s="311"/>
      <c r="K282" s="311"/>
      <c r="L282" s="311"/>
      <c r="M282" s="311"/>
      <c r="N282" s="311"/>
      <c r="O282" s="160"/>
      <c r="P282" s="109"/>
      <c r="Q282" s="312"/>
      <c r="R282" s="312"/>
      <c r="S282" s="293"/>
      <c r="T282" s="293"/>
      <c r="U282" s="313"/>
      <c r="V282" s="293"/>
      <c r="W282" s="293"/>
      <c r="X282" s="313"/>
      <c r="Y282" s="293"/>
      <c r="Z282" s="293"/>
      <c r="AA282" s="293"/>
      <c r="AB282" s="293"/>
      <c r="AC282" s="293"/>
      <c r="AD282" s="293"/>
      <c r="AE282" s="293"/>
      <c r="AF282" s="293"/>
      <c r="AG282" s="293"/>
      <c r="AH282" s="293"/>
      <c r="AI282" s="293"/>
      <c r="AJ282" s="293"/>
      <c r="AK282" s="293"/>
      <c r="AL282" s="293"/>
      <c r="AM282" s="293"/>
      <c r="AN282" s="293"/>
      <c r="AO282" s="293"/>
      <c r="AP282" s="293"/>
      <c r="AQ282" s="293"/>
      <c r="AR282" s="293"/>
      <c r="AS282" s="293"/>
      <c r="AT282" s="293"/>
      <c r="AU282" s="293"/>
      <c r="AV282" s="293"/>
      <c r="AW282" s="293"/>
      <c r="AX282" s="293"/>
      <c r="AY282" s="293"/>
      <c r="AZ282" s="293"/>
      <c r="BA282" s="293"/>
      <c r="BB282" s="293"/>
      <c r="BC282" s="293"/>
      <c r="BD282" s="293"/>
      <c r="BE282" s="293"/>
      <c r="BF282" s="293"/>
      <c r="BG282" s="293"/>
      <c r="BH282" s="293"/>
      <c r="BI282" s="293"/>
      <c r="BJ282" s="293"/>
      <c r="BK282" s="293"/>
      <c r="BL282" s="293"/>
      <c r="BM282" s="314"/>
      <c r="BN282" s="314"/>
      <c r="BO282" s="314"/>
      <c r="BP282" s="314"/>
      <c r="BQ282" s="314"/>
      <c r="BR282" s="314"/>
      <c r="BS282" s="314"/>
      <c r="BT282" s="314"/>
      <c r="BU282" s="293"/>
      <c r="BV282" s="293"/>
      <c r="BW282" s="293"/>
      <c r="BX282" s="293"/>
      <c r="BY282" s="293"/>
      <c r="BZ282" s="293"/>
      <c r="CA282" s="293"/>
      <c r="CB282" s="293"/>
      <c r="CC282" s="293"/>
      <c r="CD282" s="293"/>
      <c r="CE282" s="293"/>
      <c r="CF282" s="293"/>
      <c r="CG282" s="293"/>
      <c r="CH282" s="293"/>
      <c r="CI282" s="293"/>
      <c r="CJ282" s="293"/>
      <c r="CK282" s="293"/>
      <c r="CL282" s="293"/>
      <c r="CM282" s="293"/>
      <c r="CN282" s="293"/>
      <c r="CO282" s="293"/>
      <c r="CP282" s="293"/>
      <c r="CQ282" s="293"/>
    </row>
    <row r="283" spans="1:95" ht="12.75" customHeight="1" thickBot="1" x14ac:dyDescent="0.3">
      <c r="A283" s="315"/>
      <c r="B283" s="76"/>
      <c r="C283" s="76"/>
      <c r="D283" s="205"/>
      <c r="E283" s="316"/>
      <c r="F283" s="76"/>
      <c r="G283" s="96"/>
      <c r="H283" s="96"/>
      <c r="I283" s="96"/>
      <c r="J283" s="96"/>
      <c r="K283" s="76"/>
      <c r="L283" s="96"/>
      <c r="M283" s="96"/>
      <c r="N283" s="96"/>
      <c r="O283" s="160"/>
      <c r="P283" s="109"/>
      <c r="Q283" s="312"/>
      <c r="R283" s="312"/>
      <c r="S283" s="287"/>
      <c r="T283" s="317" t="str">
        <f>IF(ISBLANK(E284),"",MATCH(E284,CNTR_SourceStreamNames,0))</f>
        <v/>
      </c>
      <c r="U283" s="318" t="str">
        <f>IF(ISBLANK(E284),"",INDEX(B_IdentifyFuelStreams!$D$67:$D$116,MATCH(E284,CNTR_SourceStreamNames,0)))</f>
        <v/>
      </c>
      <c r="V283" s="301"/>
      <c r="W283" s="138"/>
      <c r="X283" s="138"/>
      <c r="Y283" s="138"/>
      <c r="Z283" s="293"/>
      <c r="AA283" s="293"/>
      <c r="AB283" s="293"/>
      <c r="AC283" s="293"/>
      <c r="AD283" s="293"/>
      <c r="AE283" s="293"/>
      <c r="AF283" s="293"/>
      <c r="AG283" s="293"/>
      <c r="AH283" s="293"/>
      <c r="AI283" s="293"/>
      <c r="AJ283" s="293"/>
      <c r="AK283" s="312"/>
      <c r="AL283" s="293"/>
      <c r="AM283" s="293"/>
      <c r="AN283" s="293"/>
      <c r="AO283" s="293"/>
      <c r="AP283" s="293"/>
      <c r="AQ283" s="293"/>
      <c r="AR283" s="293"/>
      <c r="AS283" s="293"/>
      <c r="AT283" s="293"/>
      <c r="AU283" s="293"/>
      <c r="AV283" s="293"/>
      <c r="AW283" s="293"/>
      <c r="AX283" s="293"/>
      <c r="AY283" s="293"/>
      <c r="AZ283" s="293"/>
      <c r="BA283" s="293"/>
      <c r="BB283" s="293"/>
      <c r="BC283" s="293"/>
      <c r="BD283" s="293"/>
      <c r="BE283" s="293"/>
      <c r="BF283" s="293"/>
      <c r="BG283" s="293"/>
      <c r="BH283" s="293"/>
      <c r="BI283" s="293"/>
      <c r="BJ283" s="138"/>
      <c r="BK283" s="138"/>
      <c r="BL283" s="138"/>
      <c r="BM283" s="138"/>
      <c r="BN283" s="138"/>
      <c r="BO283" s="138"/>
      <c r="BP283" s="138"/>
      <c r="BQ283" s="138"/>
      <c r="BR283" s="138"/>
      <c r="BS283" s="138"/>
      <c r="BT283" s="138"/>
      <c r="BU283" s="138"/>
      <c r="BV283" s="138"/>
      <c r="BW283" s="138"/>
      <c r="BX283" s="138"/>
      <c r="BY283" s="138"/>
      <c r="BZ283" s="138"/>
      <c r="CA283" s="138"/>
      <c r="CB283" s="138"/>
      <c r="CC283" s="138"/>
      <c r="CD283" s="138"/>
      <c r="CE283" s="138"/>
      <c r="CF283" s="138"/>
      <c r="CG283" s="138"/>
      <c r="CH283" s="138"/>
      <c r="CI283" s="138"/>
      <c r="CJ283" s="138"/>
      <c r="CK283" s="138"/>
      <c r="CL283" s="138"/>
      <c r="CM283" s="138"/>
      <c r="CN283" s="138"/>
      <c r="CO283" s="138"/>
      <c r="CP283" s="138"/>
      <c r="CQ283" s="319" t="s">
        <v>107</v>
      </c>
    </row>
    <row r="284" spans="1:95" ht="15" customHeight="1" thickBot="1" x14ac:dyDescent="0.3">
      <c r="A284" s="320">
        <f>C284</f>
        <v>9</v>
      </c>
      <c r="B284" s="68"/>
      <c r="C284" s="321">
        <f>C256+1</f>
        <v>9</v>
      </c>
      <c r="D284" s="68"/>
      <c r="E284" s="1269"/>
      <c r="F284" s="1270"/>
      <c r="G284" s="1270"/>
      <c r="H284" s="1270"/>
      <c r="I284" s="1270"/>
      <c r="J284" s="1271"/>
      <c r="K284" s="1272" t="str">
        <f>IF(INDEX(B_IdentifyFuelStreams!$K$125:$K$174,MATCH(U283,B_IdentifyFuelStreams!$D$125:$D$174,0))&gt;0,INDEX(B_IdentifyFuelStreams!$K$125:$K$174,MATCH(U283,B_IdentifyFuelStreams!$D$125:$D$174,0)),"")</f>
        <v/>
      </c>
      <c r="L284" s="1273"/>
      <c r="M284" s="316" t="str">
        <f>Translations!$B$621</f>
        <v>Emissions:</v>
      </c>
      <c r="N284" s="322" t="str">
        <f>IF(E285="","",BG290)</f>
        <v/>
      </c>
      <c r="O284" s="323" t="str">
        <f>EUconst_tCO2</f>
        <v>tCO2</v>
      </c>
      <c r="P284" s="324" t="str">
        <f>IF(AND(E284&lt;&gt;"",COUNTIF(P285:$P$1649,"PRINT")=0),"PRINT","")</f>
        <v/>
      </c>
      <c r="Q284" s="325" t="str">
        <f>EUconst_SumCO2</f>
        <v>SUM_CO2</v>
      </c>
      <c r="R284" s="312"/>
      <c r="S284" s="287"/>
      <c r="T284" s="287"/>
      <c r="U284" s="287"/>
      <c r="V284" s="301"/>
      <c r="W284" s="138"/>
      <c r="X284" s="293"/>
      <c r="Y284" s="293"/>
      <c r="Z284" s="293"/>
      <c r="AA284" s="293"/>
      <c r="AB284" s="293"/>
      <c r="AC284" s="293"/>
      <c r="AD284" s="293"/>
      <c r="AE284" s="293"/>
      <c r="AF284" s="293"/>
      <c r="AG284" s="293"/>
      <c r="AH284" s="293"/>
      <c r="AI284" s="326"/>
      <c r="AJ284" s="326"/>
      <c r="AK284" s="326"/>
      <c r="AL284" s="326"/>
      <c r="AM284" s="326"/>
      <c r="AN284" s="326"/>
      <c r="AO284" s="326"/>
      <c r="AP284" s="326"/>
      <c r="AQ284" s="326"/>
      <c r="AR284" s="326"/>
      <c r="AS284" s="326"/>
      <c r="AT284" s="326"/>
      <c r="AU284" s="326"/>
      <c r="AV284" s="326"/>
      <c r="AW284" s="326"/>
      <c r="AX284" s="326"/>
      <c r="AY284" s="326"/>
      <c r="AZ284" s="326"/>
      <c r="BA284" s="326"/>
      <c r="BB284" s="326"/>
      <c r="BC284" s="326"/>
      <c r="BD284" s="326"/>
      <c r="BE284" s="326"/>
      <c r="BF284" s="326"/>
      <c r="BG284" s="326"/>
      <c r="BH284" s="326"/>
      <c r="BI284" s="327" t="str">
        <f>IF(E284="","",E284)</f>
        <v/>
      </c>
      <c r="BJ284" s="328" t="str">
        <f>IF(F290="","",F290)</f>
        <v/>
      </c>
      <c r="BK284" s="329">
        <f>AV290</f>
        <v>0</v>
      </c>
      <c r="BL284" s="329">
        <f>IF(BK284="","",BK284*(1-BP284))</f>
        <v>0</v>
      </c>
      <c r="BM284" s="328" t="str">
        <f>AJ290</f>
        <v/>
      </c>
      <c r="BN284" s="328" t="str">
        <f>IF(F301="","",F301)</f>
        <v/>
      </c>
      <c r="BO284" s="327" t="str">
        <f>IF(G301="","",G301)</f>
        <v/>
      </c>
      <c r="BP284" s="330">
        <f>AV301</f>
        <v>0</v>
      </c>
      <c r="BQ284" s="328" t="str">
        <f>IF(F293="","",F293)</f>
        <v/>
      </c>
      <c r="BR284" s="330">
        <f>AV293</f>
        <v>0</v>
      </c>
      <c r="BS284" s="330" t="str">
        <f>AJ293</f>
        <v/>
      </c>
      <c r="BT284" s="328" t="str">
        <f>IF(F292="","",F292)</f>
        <v/>
      </c>
      <c r="BU284" s="330">
        <f>IF(F292=EUconst_NA,"",AV292)</f>
        <v>0</v>
      </c>
      <c r="BV284" s="330" t="str">
        <f>AJ292</f>
        <v/>
      </c>
      <c r="BW284" s="328" t="str">
        <f>IF(F294="","",F294)</f>
        <v/>
      </c>
      <c r="BX284" s="330">
        <f>AV294</f>
        <v>0</v>
      </c>
      <c r="BY284" s="328" t="str">
        <f>IF(F295="","",F295)</f>
        <v/>
      </c>
      <c r="BZ284" s="330">
        <f>AV295</f>
        <v>0</v>
      </c>
      <c r="CA284" s="330">
        <f>AV296</f>
        <v>0</v>
      </c>
      <c r="CB284" s="330">
        <f>AV297</f>
        <v>0</v>
      </c>
      <c r="CC284" s="330">
        <f>AV298</f>
        <v>0</v>
      </c>
      <c r="CD284" s="330">
        <f>AV299</f>
        <v>0</v>
      </c>
      <c r="CE284" s="329" t="str">
        <f>BG290</f>
        <v/>
      </c>
      <c r="CF284" s="329" t="str">
        <f>BG292</f>
        <v/>
      </c>
      <c r="CG284" s="329" t="str">
        <f>BG293</f>
        <v/>
      </c>
      <c r="CH284" s="329" t="str">
        <f>BG294</f>
        <v/>
      </c>
      <c r="CI284" s="329" t="str">
        <f>BG295</f>
        <v/>
      </c>
      <c r="CJ284" s="329" t="str">
        <f>BG296</f>
        <v/>
      </c>
      <c r="CK284" s="329" t="str">
        <f>BG297</f>
        <v/>
      </c>
      <c r="CL284" s="329">
        <f>BG298</f>
        <v>0</v>
      </c>
      <c r="CM284" s="329" t="str">
        <f>BG299</f>
        <v/>
      </c>
      <c r="CN284" s="329" t="str">
        <f>BG301</f>
        <v/>
      </c>
      <c r="CO284" s="329" t="str">
        <f>BG305</f>
        <v/>
      </c>
      <c r="CP284" s="329" t="str">
        <f>IF(COUNTIF(AO293:AO294,TRUE)=0,"",BH290)</f>
        <v/>
      </c>
      <c r="CQ284" s="331" t="b">
        <v>0</v>
      </c>
    </row>
    <row r="285" spans="1:95" ht="15" customHeight="1" thickBot="1" x14ac:dyDescent="0.3">
      <c r="A285" s="307"/>
      <c r="B285" s="68"/>
      <c r="C285" s="68"/>
      <c r="D285" s="68"/>
      <c r="E285" s="1274" t="str">
        <f>IF(ISBLANK(E284),"",IF(INDEX(B_IdentifyFuelStreams!$E$67:$E$116,MATCH(U283,B_IdentifyFuelStreams!$D$67:$D$116,0))&gt;0,INDEX(B_IdentifyFuelStreams!$E$67:$E$116,MATCH(U283,B_IdentifyFuelStreams!$D$67:$D$116,0)),""))</f>
        <v/>
      </c>
      <c r="F285" s="1275"/>
      <c r="G285" s="1275"/>
      <c r="H285" s="1275"/>
      <c r="I285" s="1275"/>
      <c r="J285" s="1276"/>
      <c r="K285" s="1272" t="str">
        <f>IF(INDEX(B_IdentifyFuelStreams!$M$125:$M$174,MATCH(U283,B_IdentifyFuelStreams!$D$125:$D$174,0))&gt;0,INDEX(B_IdentifyFuelStreams!$M$125:$M$174,MATCH(U283,B_IdentifyFuelStreams!$D$125:$D$174,0)),"")</f>
        <v/>
      </c>
      <c r="L285" s="1273"/>
      <c r="M285" s="332" t="str">
        <f>Translations!$B$622</f>
        <v>zero-rated:</v>
      </c>
      <c r="N285" s="333" t="str">
        <f>IF(E285="","",SUM(BG292,BG294,BG296))</f>
        <v/>
      </c>
      <c r="O285" s="334" t="str">
        <f>EUconst_tCO2</f>
        <v>tCO2</v>
      </c>
      <c r="P285" s="109"/>
      <c r="Q285" s="325" t="str">
        <f>EUconst_SumBioCO2</f>
        <v>SUM_bioCO2</v>
      </c>
      <c r="R285" s="312"/>
      <c r="S285" s="287"/>
      <c r="T285" s="287"/>
      <c r="U285" s="287"/>
      <c r="V285" s="301"/>
      <c r="W285" s="138"/>
      <c r="X285" s="293"/>
      <c r="Y285" s="317" t="str">
        <f>Translations!$B$143</f>
        <v>Tiers</v>
      </c>
      <c r="Z285" s="314"/>
      <c r="AA285" s="314"/>
      <c r="AB285" s="314"/>
      <c r="AC285" s="314"/>
      <c r="AD285" s="314"/>
      <c r="AE285" s="317" t="s">
        <v>108</v>
      </c>
      <c r="AF285" s="293"/>
      <c r="AG285" s="335"/>
      <c r="AH285" s="314"/>
      <c r="AI285" s="314"/>
      <c r="AJ285" s="335"/>
      <c r="AK285" s="335"/>
      <c r="AL285" s="326"/>
      <c r="AM285" s="326"/>
      <c r="AN285" s="326"/>
      <c r="AO285" s="326"/>
      <c r="AP285" s="326"/>
      <c r="AQ285" s="317" t="s">
        <v>109</v>
      </c>
      <c r="AR285" s="336"/>
      <c r="AS285" s="336"/>
      <c r="AT285" s="314"/>
      <c r="AU285" s="314"/>
      <c r="AV285" s="314"/>
      <c r="AW285" s="314"/>
      <c r="AX285" s="314"/>
      <c r="AY285" s="314"/>
      <c r="AZ285" s="317" t="s">
        <v>110</v>
      </c>
      <c r="BA285" s="314"/>
      <c r="BB285" s="314"/>
      <c r="BC285" s="314"/>
      <c r="BD285" s="314"/>
      <c r="BE285" s="314"/>
      <c r="BF285" s="317" t="s">
        <v>111</v>
      </c>
      <c r="BG285" s="314"/>
      <c r="BH285" s="314"/>
      <c r="BI285" s="317" t="s">
        <v>112</v>
      </c>
      <c r="BJ285" s="328" t="str">
        <f>Translations!$B$376</f>
        <v>RFA Tier</v>
      </c>
      <c r="BK285" s="328" t="str">
        <f>Translations!$B$377</f>
        <v>RFA</v>
      </c>
      <c r="BL285" s="328" t="str">
        <f>Translations!$B$378</f>
        <v>RFA (in scope)</v>
      </c>
      <c r="BM285" s="328" t="str">
        <f>Translations!$B$379</f>
        <v>RFA Unit</v>
      </c>
      <c r="BN285" s="328" t="str">
        <f>Translations!$B$380</f>
        <v>SF Tier</v>
      </c>
      <c r="BO285" s="328" t="str">
        <f>Translations!$B$380</f>
        <v>SF Tier</v>
      </c>
      <c r="BP285" s="328" t="str">
        <f>Translations!$B$381</f>
        <v>SF</v>
      </c>
      <c r="BQ285" s="328" t="str">
        <f>Translations!$B$382</f>
        <v>EF Tier</v>
      </c>
      <c r="BR285" s="328" t="str">
        <f>Translations!$B$383</f>
        <v>EF</v>
      </c>
      <c r="BS285" s="328" t="str">
        <f>Translations!$B$384</f>
        <v>EF Unit</v>
      </c>
      <c r="BT285" s="328" t="str">
        <f>Translations!$B$385</f>
        <v>UCF Tier</v>
      </c>
      <c r="BU285" s="328" t="str">
        <f>Translations!$B$386</f>
        <v>UCF</v>
      </c>
      <c r="BV285" s="328" t="str">
        <f>Translations!$B$387</f>
        <v>UCF Unit</v>
      </c>
      <c r="BW285" s="328" t="str">
        <f>Translations!$B$388</f>
        <v>Bio Tier</v>
      </c>
      <c r="BX285" s="328" t="s">
        <v>113</v>
      </c>
      <c r="BY285" s="328" t="str">
        <f>Translations!$B$389</f>
        <v>NonSustBio Tier</v>
      </c>
      <c r="BZ285" s="328" t="s">
        <v>114</v>
      </c>
      <c r="CA285" s="328" t="s">
        <v>115</v>
      </c>
      <c r="CB285" s="328" t="s">
        <v>116</v>
      </c>
      <c r="CC285" s="328" t="s">
        <v>117</v>
      </c>
      <c r="CD285" s="328" t="s">
        <v>118</v>
      </c>
      <c r="CE285" s="328" t="s">
        <v>119</v>
      </c>
      <c r="CF285" s="328" t="s">
        <v>120</v>
      </c>
      <c r="CG285" s="328" t="str">
        <f>Translations!$B$392</f>
        <v>CO2 non-sust</v>
      </c>
      <c r="CH285" s="328" t="s">
        <v>121</v>
      </c>
      <c r="CI285" s="328" t="s">
        <v>122</v>
      </c>
      <c r="CJ285" s="328" t="s">
        <v>123</v>
      </c>
      <c r="CK285" s="328" t="s">
        <v>124</v>
      </c>
      <c r="CL285" s="328" t="s">
        <v>125</v>
      </c>
      <c r="CM285" s="328" t="str">
        <f>Translations!$B$551</f>
        <v>Energy content (bio), TJ</v>
      </c>
      <c r="CN285" s="328" t="s">
        <v>126</v>
      </c>
      <c r="CO285" s="328" t="s">
        <v>127</v>
      </c>
      <c r="CP285" s="328" t="s">
        <v>128</v>
      </c>
      <c r="CQ285" s="314"/>
    </row>
    <row r="286" spans="1:95" ht="5.15" customHeight="1" thickBot="1" x14ac:dyDescent="0.3">
      <c r="A286" s="307"/>
      <c r="B286" s="68"/>
      <c r="C286" s="68"/>
      <c r="D286" s="68"/>
      <c r="E286" s="68"/>
      <c r="F286" s="68"/>
      <c r="G286" s="68"/>
      <c r="H286" s="76"/>
      <c r="I286" s="76"/>
      <c r="J286" s="76"/>
      <c r="K286" s="76"/>
      <c r="L286" s="76"/>
      <c r="M286" s="76"/>
      <c r="N286" s="76"/>
      <c r="O286" s="160"/>
      <c r="P286" s="109"/>
      <c r="Q286" s="312"/>
      <c r="R286" s="312"/>
      <c r="S286" s="287"/>
      <c r="T286" s="287"/>
      <c r="U286" s="287"/>
      <c r="V286" s="301"/>
      <c r="W286" s="314"/>
      <c r="X286" s="314"/>
      <c r="Y286" s="312"/>
      <c r="Z286" s="314"/>
      <c r="AA286" s="314"/>
      <c r="AB286" s="314"/>
      <c r="AC286" s="314"/>
      <c r="AD286" s="314"/>
      <c r="AE286" s="314"/>
      <c r="AF286" s="293"/>
      <c r="AG286" s="314"/>
      <c r="AH286" s="314"/>
      <c r="AI286" s="314"/>
      <c r="AJ286" s="335"/>
      <c r="AK286" s="335"/>
      <c r="AL286" s="326"/>
      <c r="AM286" s="326"/>
      <c r="AN286" s="326"/>
      <c r="AO286" s="326"/>
      <c r="AP286" s="326"/>
      <c r="AQ286" s="314"/>
      <c r="AR286" s="314"/>
      <c r="AS286" s="314"/>
      <c r="AT286" s="314"/>
      <c r="AU286" s="314"/>
      <c r="AV286" s="314"/>
      <c r="AW286" s="314"/>
      <c r="AX286" s="314"/>
      <c r="AY286" s="314"/>
      <c r="AZ286" s="314"/>
      <c r="BA286" s="314"/>
      <c r="BB286" s="314"/>
      <c r="BC286" s="314"/>
      <c r="BD286" s="314"/>
      <c r="BE286" s="314"/>
      <c r="BF286" s="314"/>
      <c r="BG286" s="314"/>
      <c r="BH286" s="314"/>
      <c r="BI286" s="314"/>
      <c r="BJ286" s="314"/>
      <c r="BK286" s="314"/>
      <c r="BL286" s="314"/>
      <c r="BM286" s="314"/>
      <c r="BN286" s="314"/>
      <c r="BO286" s="314"/>
      <c r="BP286" s="314"/>
      <c r="BQ286" s="314"/>
      <c r="BR286" s="314"/>
      <c r="BS286" s="314"/>
      <c r="BT286" s="314"/>
      <c r="BU286" s="314"/>
      <c r="BV286" s="314"/>
      <c r="BW286" s="314"/>
      <c r="BX286" s="314"/>
      <c r="BY286" s="314"/>
      <c r="BZ286" s="314"/>
      <c r="CA286" s="314"/>
      <c r="CB286" s="314"/>
      <c r="CC286" s="314"/>
      <c r="CD286" s="314"/>
      <c r="CE286" s="314"/>
      <c r="CF286" s="314"/>
      <c r="CG286" s="314"/>
      <c r="CH286" s="314"/>
      <c r="CI286" s="314"/>
      <c r="CJ286" s="314"/>
      <c r="CK286" s="314"/>
      <c r="CL286" s="314"/>
      <c r="CM286" s="314"/>
      <c r="CN286" s="314"/>
      <c r="CO286" s="314"/>
      <c r="CP286" s="314"/>
      <c r="CQ286" s="314"/>
    </row>
    <row r="287" spans="1:95" ht="12.75" customHeight="1" thickBot="1" x14ac:dyDescent="0.3">
      <c r="A287" s="307"/>
      <c r="B287" s="68"/>
      <c r="C287" s="68"/>
      <c r="D287" s="68"/>
      <c r="E287" s="1253" t="str">
        <f>IF(E284="","",HYPERLINK("#JUMP_E_Top",EUconst_FurtherGuidancePoint1))</f>
        <v/>
      </c>
      <c r="F287" s="1253"/>
      <c r="G287" s="1253"/>
      <c r="H287" s="1253"/>
      <c r="I287" s="1253"/>
      <c r="J287" s="1253"/>
      <c r="K287" s="1253"/>
      <c r="L287" s="1253"/>
      <c r="M287" s="1253"/>
      <c r="N287" s="76"/>
      <c r="O287" s="160"/>
      <c r="P287" s="109"/>
      <c r="Q287" s="325" t="str">
        <f>EUconst_SumNonSustBioCO2</f>
        <v>SUM_bioNonSustCO2</v>
      </c>
      <c r="R287" s="337" t="str">
        <f>IF(E285="","",BG293)</f>
        <v/>
      </c>
      <c r="S287" s="287"/>
      <c r="T287" s="287"/>
      <c r="U287" s="287"/>
      <c r="V287" s="314"/>
      <c r="W287" s="314"/>
      <c r="X287" s="314"/>
      <c r="Y287" s="293"/>
      <c r="Z287" s="314"/>
      <c r="AA287" s="314"/>
      <c r="AB287" s="314"/>
      <c r="AC287" s="314"/>
      <c r="AD287" s="314"/>
      <c r="AE287" s="314"/>
      <c r="AF287" s="293"/>
      <c r="AG287" s="314"/>
      <c r="AH287" s="314"/>
      <c r="AI287" s="314"/>
      <c r="AJ287" s="335"/>
      <c r="AK287" s="335"/>
      <c r="AL287" s="326"/>
      <c r="AM287" s="326"/>
      <c r="AN287" s="326"/>
      <c r="AO287" s="326"/>
      <c r="AP287" s="326"/>
      <c r="AQ287" s="314"/>
      <c r="AR287" s="314"/>
      <c r="AS287" s="314"/>
      <c r="AT287" s="314"/>
      <c r="AU287" s="314"/>
      <c r="AV287" s="314"/>
      <c r="AW287" s="314"/>
      <c r="AX287" s="314"/>
      <c r="AY287" s="314"/>
      <c r="AZ287" s="314"/>
      <c r="BA287" s="314"/>
      <c r="BB287" s="314"/>
      <c r="BC287" s="314"/>
      <c r="BD287" s="314"/>
      <c r="BE287" s="314"/>
      <c r="BF287" s="314"/>
      <c r="BG287" s="314"/>
      <c r="BH287" s="314"/>
      <c r="BI287" s="317" t="s">
        <v>129</v>
      </c>
      <c r="BJ287" s="336"/>
      <c r="BK287" s="327" t="str">
        <f>IF(G305="","",G305)</f>
        <v/>
      </c>
      <c r="BL287" s="327" t="str">
        <f>IF(I305="","",I305)</f>
        <v/>
      </c>
      <c r="BM287" s="327" t="str">
        <f>IF(K305="","",K305)</f>
        <v/>
      </c>
      <c r="BN287" s="314"/>
      <c r="BO287" s="314"/>
      <c r="BP287" s="314"/>
      <c r="BQ287" s="314"/>
      <c r="BR287" s="314"/>
      <c r="BS287" s="314"/>
      <c r="BT287" s="319"/>
      <c r="BU287" s="314"/>
      <c r="BV287" s="314"/>
      <c r="BW287" s="314"/>
      <c r="BX287" s="314"/>
      <c r="BY287" s="314"/>
      <c r="BZ287" s="314"/>
      <c r="CA287" s="314"/>
      <c r="CB287" s="314"/>
      <c r="CC287" s="314"/>
      <c r="CD287" s="314"/>
      <c r="CE287" s="314"/>
      <c r="CF287" s="314"/>
      <c r="CG287" s="314"/>
      <c r="CH287" s="314"/>
      <c r="CI287" s="314"/>
      <c r="CJ287" s="314"/>
      <c r="CK287" s="314"/>
      <c r="CL287" s="314"/>
      <c r="CM287" s="314"/>
      <c r="CN287" s="314"/>
      <c r="CO287" s="314"/>
      <c r="CP287" s="314"/>
      <c r="CQ287" s="314"/>
    </row>
    <row r="288" spans="1:95" ht="5.15" customHeight="1" thickBot="1" x14ac:dyDescent="0.3">
      <c r="A288" s="307"/>
      <c r="B288" s="68"/>
      <c r="C288" s="68"/>
      <c r="D288" s="68"/>
      <c r="E288" s="68"/>
      <c r="F288" s="68"/>
      <c r="G288" s="68"/>
      <c r="H288" s="76"/>
      <c r="I288" s="76"/>
      <c r="J288" s="76"/>
      <c r="K288" s="76"/>
      <c r="L288" s="76"/>
      <c r="M288" s="76"/>
      <c r="N288" s="76"/>
      <c r="O288" s="160"/>
      <c r="P288" s="111"/>
      <c r="Q288" s="287"/>
      <c r="R288" s="111"/>
      <c r="S288" s="287"/>
      <c r="T288" s="287"/>
      <c r="U288" s="287"/>
      <c r="V288" s="314"/>
      <c r="W288" s="314"/>
      <c r="X288" s="314"/>
      <c r="Y288" s="312"/>
      <c r="Z288" s="314"/>
      <c r="AA288" s="314"/>
      <c r="AB288" s="314"/>
      <c r="AC288" s="314"/>
      <c r="AD288" s="314"/>
      <c r="AE288" s="314"/>
      <c r="AF288" s="293"/>
      <c r="AG288" s="314"/>
      <c r="AH288" s="314"/>
      <c r="AI288" s="314"/>
      <c r="AJ288" s="335"/>
      <c r="AK288" s="335"/>
      <c r="AL288" s="326"/>
      <c r="AM288" s="326"/>
      <c r="AN288" s="326"/>
      <c r="AO288" s="326"/>
      <c r="AP288" s="326"/>
      <c r="AQ288" s="314"/>
      <c r="AR288" s="314"/>
      <c r="AS288" s="314"/>
      <c r="AT288" s="314"/>
      <c r="AU288" s="314"/>
      <c r="AV288" s="314"/>
      <c r="AW288" s="314"/>
      <c r="AX288" s="314"/>
      <c r="AY288" s="314"/>
      <c r="AZ288" s="314"/>
      <c r="BA288" s="314"/>
      <c r="BB288" s="314"/>
      <c r="BC288" s="314"/>
      <c r="BD288" s="314"/>
      <c r="BE288" s="314"/>
      <c r="BF288" s="314"/>
      <c r="BG288" s="314"/>
      <c r="BH288" s="314"/>
      <c r="BI288" s="314"/>
      <c r="BJ288" s="314"/>
      <c r="BK288" s="314"/>
      <c r="BL288" s="314"/>
      <c r="BM288" s="314"/>
      <c r="BN288" s="314"/>
      <c r="BO288" s="314"/>
      <c r="BP288" s="314"/>
      <c r="BQ288" s="314"/>
      <c r="BR288" s="314"/>
      <c r="BS288" s="314"/>
      <c r="BT288" s="314"/>
      <c r="BU288" s="314"/>
      <c r="BV288" s="314"/>
      <c r="BW288" s="314"/>
      <c r="BX288" s="314"/>
      <c r="BY288" s="314"/>
      <c r="BZ288" s="314"/>
      <c r="CA288" s="314"/>
      <c r="CB288" s="314"/>
      <c r="CC288" s="314"/>
      <c r="CD288" s="314"/>
      <c r="CE288" s="314"/>
      <c r="CF288" s="314"/>
      <c r="CG288" s="314"/>
      <c r="CH288" s="314"/>
      <c r="CI288" s="314"/>
      <c r="CJ288" s="314"/>
      <c r="CK288" s="314"/>
      <c r="CL288" s="314"/>
      <c r="CM288" s="314"/>
      <c r="CN288" s="314"/>
      <c r="CO288" s="314"/>
      <c r="CP288" s="314"/>
      <c r="CQ288" s="314"/>
    </row>
    <row r="289" spans="1:95" ht="12.75" customHeight="1" thickBot="1" x14ac:dyDescent="0.3">
      <c r="A289" s="307"/>
      <c r="B289" s="68"/>
      <c r="C289" s="68"/>
      <c r="D289" s="68"/>
      <c r="E289" s="68"/>
      <c r="F289" s="338" t="str">
        <f>Translations!$B$127</f>
        <v>Tier</v>
      </c>
      <c r="G289" s="1254" t="str">
        <f>Translations!$B$393</f>
        <v>tier description</v>
      </c>
      <c r="H289" s="1254"/>
      <c r="I289" s="1255" t="str">
        <f>Translations!$B$394</f>
        <v>Unit</v>
      </c>
      <c r="J289" s="1255"/>
      <c r="K289" s="1255" t="str">
        <f>Translations!$B$395</f>
        <v>Value</v>
      </c>
      <c r="L289" s="1255"/>
      <c r="M289" s="205" t="str">
        <f>Translations!$B$396</f>
        <v>error</v>
      </c>
      <c r="N289" s="76"/>
      <c r="O289" s="160"/>
      <c r="P289" s="339"/>
      <c r="Q289" s="325" t="str">
        <f>EUconst_SumEnergyIN</f>
        <v>SUM_EnergyIN</v>
      </c>
      <c r="R289" s="340" t="str">
        <f>IF(E285="","",BG298)</f>
        <v/>
      </c>
      <c r="S289" s="314"/>
      <c r="T289" s="314"/>
      <c r="U289" s="314"/>
      <c r="V289" s="341" t="s">
        <v>130</v>
      </c>
      <c r="W289" s="314"/>
      <c r="X289" s="314"/>
      <c r="Y289" s="312" t="s">
        <v>131</v>
      </c>
      <c r="Z289" s="312" t="s">
        <v>132</v>
      </c>
      <c r="AA289" s="314"/>
      <c r="AB289" s="314"/>
      <c r="AC289" s="336" t="s">
        <v>133</v>
      </c>
      <c r="AD289" s="314"/>
      <c r="AE289" s="314"/>
      <c r="AF289" s="314" t="s">
        <v>134</v>
      </c>
      <c r="AG289" s="314" t="s">
        <v>135</v>
      </c>
      <c r="AH289" s="312" t="s">
        <v>136</v>
      </c>
      <c r="AI289" s="335" t="s">
        <v>137</v>
      </c>
      <c r="AJ289" s="335" t="s">
        <v>138</v>
      </c>
      <c r="AK289" s="342" t="s">
        <v>139</v>
      </c>
      <c r="AL289" s="326"/>
      <c r="AM289" s="326"/>
      <c r="AN289" s="326"/>
      <c r="AO289" s="326"/>
      <c r="AP289" s="326"/>
      <c r="AQ289" s="314"/>
      <c r="AR289" s="314" t="s">
        <v>134</v>
      </c>
      <c r="AS289" s="314" t="s">
        <v>135</v>
      </c>
      <c r="AT289" s="343" t="s">
        <v>140</v>
      </c>
      <c r="AU289" s="335" t="s">
        <v>141</v>
      </c>
      <c r="AV289" s="335" t="s">
        <v>142</v>
      </c>
      <c r="AW289" s="342" t="s">
        <v>139</v>
      </c>
      <c r="AX289" s="342" t="s">
        <v>139</v>
      </c>
      <c r="AY289" s="314"/>
      <c r="AZ289" s="314"/>
      <c r="BA289" s="314"/>
      <c r="BB289" s="314" t="s">
        <v>143</v>
      </c>
      <c r="BC289" s="314"/>
      <c r="BD289" s="314"/>
      <c r="BE289" s="314"/>
      <c r="BF289" s="314"/>
      <c r="BG289" s="319" t="s">
        <v>144</v>
      </c>
      <c r="BH289" s="314" t="s">
        <v>145</v>
      </c>
      <c r="BI289" s="314"/>
      <c r="BJ289" s="314"/>
      <c r="BK289" s="314"/>
      <c r="BL289" s="314"/>
      <c r="BM289" s="314"/>
      <c r="BN289" s="314"/>
      <c r="BO289" s="314"/>
      <c r="BP289" s="314"/>
      <c r="BQ289" s="314"/>
      <c r="BR289" s="314"/>
      <c r="BS289" s="314"/>
      <c r="BT289" s="314"/>
      <c r="BU289" s="314"/>
      <c r="BV289" s="314"/>
      <c r="BW289" s="314"/>
      <c r="BX289" s="314"/>
      <c r="BY289" s="314"/>
      <c r="BZ289" s="314"/>
      <c r="CA289" s="314"/>
      <c r="CB289" s="314"/>
      <c r="CC289" s="314"/>
      <c r="CD289" s="314"/>
      <c r="CE289" s="314"/>
      <c r="CF289" s="314"/>
      <c r="CG289" s="314"/>
      <c r="CH289" s="314"/>
      <c r="CI289" s="314"/>
      <c r="CJ289" s="314"/>
      <c r="CK289" s="314"/>
      <c r="CL289" s="314"/>
      <c r="CM289" s="314"/>
      <c r="CN289" s="314"/>
      <c r="CO289" s="314"/>
      <c r="CP289" s="314"/>
      <c r="CQ289" s="319" t="s">
        <v>107</v>
      </c>
    </row>
    <row r="290" spans="1:95" ht="12.75" customHeight="1" thickBot="1" x14ac:dyDescent="0.3">
      <c r="A290" s="307"/>
      <c r="B290" s="68"/>
      <c r="C290" s="199" t="s">
        <v>12</v>
      </c>
      <c r="D290" s="344" t="str">
        <f>Translations!$B$356</f>
        <v>RFA:</v>
      </c>
      <c r="E290" s="345"/>
      <c r="F290" s="6"/>
      <c r="G290" s="1256" t="str">
        <f>IF(OR(ISBLANK(F290),F290=EUconst_NoTier),"",IF(Z290=0,EUconst_NA,IF(ISERROR(Z290),"",Z290)))</f>
        <v/>
      </c>
      <c r="H290" s="1257"/>
      <c r="I290" s="346" t="str">
        <f>IF(J290&lt;&gt;"","",AI290)</f>
        <v/>
      </c>
      <c r="J290" s="7"/>
      <c r="K290" s="1258"/>
      <c r="L290" s="1259"/>
      <c r="M290" s="347" t="str">
        <f>IF(AND(E285&lt;&gt;"",OR(F290="",COUNT(K290)=0),Y290&lt;&gt;EUconst_NA),EUconst_ERR_Incomplete,"")</f>
        <v/>
      </c>
      <c r="N290" s="76"/>
      <c r="O290" s="160"/>
      <c r="P290" s="348"/>
      <c r="Q290" s="325" t="str">
        <f>EUconst_SumBioEnergyIN</f>
        <v>SUM_BioEnergyIN</v>
      </c>
      <c r="R290" s="340" t="str">
        <f>IF(E285="","",BG299)</f>
        <v/>
      </c>
      <c r="S290" s="314"/>
      <c r="T290" s="349" t="str">
        <f>EUconst_CNTR_ActivityData&amp;E285</f>
        <v>ActivityData_</v>
      </c>
      <c r="U290" s="312"/>
      <c r="V290" s="349" t="str">
        <f>IF(E284="","",INDEX(B_IdentifyFuelStreams!$I$67:$I$116,MATCH(U283,B_IdentifyFuelStreams!$D$67:$D$116,0)))</f>
        <v/>
      </c>
      <c r="W290" s="335" t="s">
        <v>146</v>
      </c>
      <c r="X290" s="312"/>
      <c r="Y290" s="350" t="str">
        <f>IF(E285="","",INDEX(EUwideConstants!$P$164:$P$200,MATCH(T290,EUwideConstants!$S$164:$S$200,0)))</f>
        <v/>
      </c>
      <c r="Z290" s="351" t="str">
        <f>IF(ISBLANK(F290),"",IF(F290=EUconst_NA,"",INDEX(EUwideConstants!$H:$O,MATCH(T290,EUwideConstants!$S:$S,0),MATCH(F290,CNTR_TierList,0))))</f>
        <v/>
      </c>
      <c r="AA290" s="352" t="s">
        <v>136</v>
      </c>
      <c r="AB290" s="335"/>
      <c r="AC290" s="331" t="b">
        <f>E284&lt;&gt;""</f>
        <v>0</v>
      </c>
      <c r="AD290" s="314"/>
      <c r="AE290" s="353" t="str">
        <f>EUconst_CNTR_ActivityData&amp;EUconst_Unit</f>
        <v>ActivityData_Unit</v>
      </c>
      <c r="AF290" s="354" t="str">
        <f>IF(AC290=TRUE, IF(COUNTIF(MSPara_SourceStreamCategory,V290)=0,"",INDEX(MSPara_CalcFactorsMatrix,MATCH(V290,MSPara_SourceStreamCategory,0),MATCH(AE290&amp;"_"&amp;2,MSPara_CalcFactors,0))),"")</f>
        <v/>
      </c>
      <c r="AG290" s="355" t="str">
        <f>IF(AC290=TRUE, IF(COUNTIF(MSPara_SourceStreamCategory,V290)=0,"",INDEX(MSPara_CalcFactorsMatrix,MATCH(V290,MSPara_SourceStreamCategory,0),MATCH(AE290&amp;"_"&amp;1,MSPara_CalcFactors,0))),"")</f>
        <v/>
      </c>
      <c r="AH290" s="331" t="str">
        <f>IF(OR(AF290="",AF290=EUconst_NA),IF(OR(AG290=EUconst_NA,AG290=""),"",AG290),AF290)</f>
        <v/>
      </c>
      <c r="AI290" s="350" t="str">
        <f>IF(AC290=TRUE,IF(AH290="",EUconst_t,AH290),"")</f>
        <v/>
      </c>
      <c r="AJ290" s="356" t="str">
        <f>IF(J290="",AI290,J290)</f>
        <v/>
      </c>
      <c r="AK290" s="357" t="b">
        <f>AND(E284&lt;&gt;"",J290&lt;&gt;"")</f>
        <v>0</v>
      </c>
      <c r="AL290" s="326"/>
      <c r="AM290" s="358" t="s">
        <v>147</v>
      </c>
      <c r="AN290" s="359" t="str">
        <f>AJ290</f>
        <v/>
      </c>
      <c r="AO290" s="326"/>
      <c r="AP290" s="326"/>
      <c r="AQ290" s="349" t="str">
        <f>EUconst_CNTR_ActivityData&amp;EUconst_Value</f>
        <v>ActivityData_Value</v>
      </c>
      <c r="AR290" s="336"/>
      <c r="AS290" s="336"/>
      <c r="AT290" s="331" t="b">
        <f>AND(AND(AH290&lt;&gt;"",AJ290&lt;&gt;""),AJ290=AH290)</f>
        <v>0</v>
      </c>
      <c r="AU290" s="314"/>
      <c r="AV290" s="331">
        <f>IF(Y290=EUconst_NA,0,IF(COUNT(K290:K290)=0,0,IF(K290="",#REF!,K290)))</f>
        <v>0</v>
      </c>
      <c r="AW290" s="360" t="b">
        <f>AND(AC290=TRUE,OR(K290&lt;&gt;"",AU290=""))</f>
        <v>0</v>
      </c>
      <c r="AX290" s="360" t="b">
        <f>AND(AC290=TRUE,NOT(AW290))</f>
        <v>0</v>
      </c>
      <c r="AY290" s="314"/>
      <c r="AZ290" s="314" t="s">
        <v>148</v>
      </c>
      <c r="BA290" s="314" t="s">
        <v>149</v>
      </c>
      <c r="BB290" s="360"/>
      <c r="BC290" s="314" t="s">
        <v>150</v>
      </c>
      <c r="BD290" s="314"/>
      <c r="BE290" s="314"/>
      <c r="BF290" s="361" t="s">
        <v>119</v>
      </c>
      <c r="BG290" s="362" t="str">
        <f>IF(COUNTIF(AO293:AO294,TRUE)=0,"",BH290*AV301)</f>
        <v/>
      </c>
      <c r="BH290" s="362" t="str">
        <f>IF(COUNTIF(AO293:AO294,TRUE)=0,"",AV290*IF(AO293,1,AV292*AN294)*AV293-BH292-BH294-BH296)</f>
        <v/>
      </c>
      <c r="BI290" s="314"/>
      <c r="BJ290" s="314"/>
      <c r="BK290" s="314"/>
      <c r="BL290" s="314"/>
      <c r="BM290" s="314"/>
      <c r="BN290" s="314"/>
      <c r="BO290" s="314"/>
      <c r="BP290" s="314"/>
      <c r="BQ290" s="314"/>
      <c r="BR290" s="314"/>
      <c r="BS290" s="314"/>
      <c r="BT290" s="314"/>
      <c r="BU290" s="314"/>
      <c r="BV290" s="314"/>
      <c r="BW290" s="314"/>
      <c r="BX290" s="314"/>
      <c r="BY290" s="314"/>
      <c r="BZ290" s="314"/>
      <c r="CA290" s="314"/>
      <c r="CB290" s="314"/>
      <c r="CC290" s="314"/>
      <c r="CD290" s="314"/>
      <c r="CE290" s="314"/>
      <c r="CF290" s="314"/>
      <c r="CG290" s="314"/>
      <c r="CH290" s="314"/>
      <c r="CI290" s="314"/>
      <c r="CJ290" s="314"/>
      <c r="CK290" s="314"/>
      <c r="CL290" s="314"/>
      <c r="CM290" s="314"/>
      <c r="CN290" s="314"/>
      <c r="CO290" s="314"/>
      <c r="CP290" s="314"/>
      <c r="CQ290" s="360" t="b">
        <v>0</v>
      </c>
    </row>
    <row r="291" spans="1:95" ht="5.15" customHeight="1" thickBot="1" x14ac:dyDescent="0.3">
      <c r="A291" s="307"/>
      <c r="B291" s="68"/>
      <c r="C291" s="199"/>
      <c r="D291" s="202"/>
      <c r="E291" s="76"/>
      <c r="F291" s="76"/>
      <c r="G291" s="76"/>
      <c r="H291" s="76" t="str">
        <f>Translations!$B$397</f>
        <v xml:space="preserve"> </v>
      </c>
      <c r="I291" s="162"/>
      <c r="J291" s="162"/>
      <c r="K291" s="76"/>
      <c r="L291" s="76"/>
      <c r="M291" s="363"/>
      <c r="N291" s="76"/>
      <c r="O291" s="160"/>
      <c r="P291" s="109"/>
      <c r="Q291" s="312"/>
      <c r="R291" s="312"/>
      <c r="S291" s="314"/>
      <c r="T291" s="62"/>
      <c r="U291" s="312"/>
      <c r="V291" s="314"/>
      <c r="W291" s="314"/>
      <c r="X291" s="312"/>
      <c r="Y291" s="319"/>
      <c r="Z291" s="314"/>
      <c r="AA291" s="314"/>
      <c r="AB291" s="314"/>
      <c r="AC291" s="314"/>
      <c r="AD291" s="314"/>
      <c r="AE291" s="314"/>
      <c r="AF291" s="314"/>
      <c r="AG291" s="314"/>
      <c r="AH291" s="314"/>
      <c r="AI291" s="314"/>
      <c r="AJ291" s="314"/>
      <c r="AK291" s="314"/>
      <c r="AL291" s="326"/>
      <c r="AM291" s="326"/>
      <c r="AN291" s="326"/>
      <c r="AO291" s="326"/>
      <c r="AP291" s="326"/>
      <c r="AQ291" s="314"/>
      <c r="AR291" s="314"/>
      <c r="AS291" s="314"/>
      <c r="AT291" s="314"/>
      <c r="AU291" s="314"/>
      <c r="AV291" s="314"/>
      <c r="AW291" s="314"/>
      <c r="AX291" s="314"/>
      <c r="AY291" s="314"/>
      <c r="AZ291" s="314"/>
      <c r="BA291" s="314"/>
      <c r="BB291" s="314"/>
      <c r="BC291" s="314"/>
      <c r="BD291" s="314"/>
      <c r="BE291" s="314"/>
      <c r="BF291" s="314"/>
      <c r="BG291" s="364"/>
      <c r="BH291" s="364"/>
      <c r="BI291" s="314"/>
      <c r="BJ291" s="314"/>
      <c r="BK291" s="314"/>
      <c r="BL291" s="314"/>
      <c r="BM291" s="314"/>
      <c r="BN291" s="314"/>
      <c r="BO291" s="314"/>
      <c r="BP291" s="314"/>
      <c r="BQ291" s="314"/>
      <c r="BR291" s="314"/>
      <c r="BS291" s="314"/>
      <c r="BT291" s="314"/>
      <c r="BU291" s="314"/>
      <c r="BV291" s="314"/>
      <c r="BW291" s="314"/>
      <c r="BX291" s="314"/>
      <c r="BY291" s="314"/>
      <c r="BZ291" s="314"/>
      <c r="CA291" s="314"/>
      <c r="CB291" s="314"/>
      <c r="CC291" s="314"/>
      <c r="CD291" s="314"/>
      <c r="CE291" s="314"/>
      <c r="CF291" s="314"/>
      <c r="CG291" s="314"/>
      <c r="CH291" s="314"/>
      <c r="CI291" s="314"/>
      <c r="CJ291" s="314"/>
      <c r="CK291" s="314"/>
      <c r="CL291" s="314"/>
      <c r="CM291" s="314"/>
      <c r="CN291" s="314"/>
      <c r="CO291" s="314"/>
      <c r="CP291" s="314"/>
      <c r="CQ291" s="319"/>
    </row>
    <row r="292" spans="1:95" ht="12.75" customHeight="1" x14ac:dyDescent="0.25">
      <c r="A292" s="307"/>
      <c r="B292" s="68"/>
      <c r="C292" s="199" t="s">
        <v>13</v>
      </c>
      <c r="D292" s="344" t="str">
        <f>Translations!$B$360</f>
        <v>UCF:</v>
      </c>
      <c r="E292" s="345"/>
      <c r="F292" s="10"/>
      <c r="G292" s="1256" t="str">
        <f>IF(OR(ISBLANK(F292),F292=EUconst_NoTier),"",IF(Z292=0,EUconst_NotApplicable,IF(ISERROR(Z292),"",Z292)))</f>
        <v/>
      </c>
      <c r="H292" s="1257"/>
      <c r="I292" s="365" t="str">
        <f>IF(J292&lt;&gt;"","",AI292)</f>
        <v/>
      </c>
      <c r="J292" s="11"/>
      <c r="K292" s="366" t="str">
        <f>IF(L292="",AU292,"")</f>
        <v/>
      </c>
      <c r="L292" s="23"/>
      <c r="M292" s="347" t="str">
        <f>IF(AND(E285&lt;&gt;"",OR(F292="",COUNT(K292:L292)=0),Y292&lt;&gt;EUconst_NA),EUconst_ERR_Incomplete,IF(COUNTIF(BB292:BD292,TRUE)&gt;0,EUconst_ERR_Inconsistent,""))</f>
        <v/>
      </c>
      <c r="N292" s="367"/>
      <c r="O292" s="160"/>
      <c r="P292" s="109"/>
      <c r="Q292" s="312"/>
      <c r="R292" s="312"/>
      <c r="S292" s="314"/>
      <c r="T292" s="368" t="str">
        <f>EUconst_CNTR_UCF&amp;E285</f>
        <v>UCF_</v>
      </c>
      <c r="U292" s="312"/>
      <c r="V292" s="369" t="str">
        <f>V293</f>
        <v/>
      </c>
      <c r="W292" s="314"/>
      <c r="X292" s="312"/>
      <c r="Y292" s="370" t="str">
        <f>IF(E285="","",IF(OR(F292=EUconst_NA,W292=TRUE),EUconst_NA,INDEX(EUwideConstants!$P$164:$P$200,MATCH(T292,EUwideConstants!$S$164:$S$200,0))))</f>
        <v/>
      </c>
      <c r="Z292" s="371" t="str">
        <f>IF(ISBLANK(F292),"",IF(F292=EUconst_NA,"",INDEX(EUwideConstants!$H:$O,MATCH(T292,EUwideConstants!$S:$S,0),MATCH(F292,CNTR_TierList,0))))</f>
        <v/>
      </c>
      <c r="AA292" s="372" t="str">
        <f>IF(COUNTIF(EUconst_DefaultValues,Z292)&gt;0,MATCH(Z292,EUconst_DefaultValues,0),"")</f>
        <v/>
      </c>
      <c r="AB292" s="314"/>
      <c r="AC292" s="373" t="b">
        <f>AND(AC290,Y292&lt;&gt;EUconst_NA)</f>
        <v>0</v>
      </c>
      <c r="AD292" s="314"/>
      <c r="AE292" s="353" t="str">
        <f>EUconst_CNTR_UCF&amp;EUconst_Unit</f>
        <v>UCF_Unit</v>
      </c>
      <c r="AF292" s="374" t="str">
        <f>IF(AC292=TRUE, IF(COUNTIF(MSPara_SourceStreamCategory,V292)=0,"",INDEX(MSPara_CalcFactorsMatrix,MATCH(V292,MSPara_SourceStreamCategory,0),MATCH(AE292&amp;"_"&amp;2,MSPara_CalcFactors,0))),"")</f>
        <v/>
      </c>
      <c r="AG292" s="375" t="str">
        <f>IF(AC292=TRUE, IF(COUNTIF(MSPara_SourceStreamCategory,V292)=0,"",INDEX(MSPara_CalcFactorsMatrix,MATCH(V292,MSPara_SourceStreamCategory,0),MATCH(AE292&amp;"_"&amp;1,MSPara_CalcFactors,0))),"")</f>
        <v/>
      </c>
      <c r="AH292" s="373" t="str">
        <f>IF(AA292="","",INDEX(AF292:AG292,3-AA292))</f>
        <v/>
      </c>
      <c r="AI292" s="373" t="str">
        <f>IF(AC292=TRUE,IF(OR(AH292="",AH292=EUconst_NA),EUconst_GJ&amp;"/"&amp;AJ290,AH292),"")</f>
        <v/>
      </c>
      <c r="AJ292" s="373" t="str">
        <f>IF(J292="",AI292,J292)</f>
        <v/>
      </c>
      <c r="AK292" s="369" t="b">
        <f>AND(E284&lt;&gt;"",J292&lt;&gt;"")</f>
        <v>0</v>
      </c>
      <c r="AL292" s="326"/>
      <c r="AM292" s="358" t="s">
        <v>151</v>
      </c>
      <c r="AN292" s="359" t="str">
        <f>IF(AJ292="",EUconst_NA,IF(AN290=EUconst_TJ,EUconst_TJ,INDEX(EUwideConstants!$C$135:$G$139,MATCH(AN290,RFAUnits,0),MATCH(AJ292,UCFUnits,0))))</f>
        <v>n.a.</v>
      </c>
      <c r="AO292" s="326"/>
      <c r="AP292" s="326"/>
      <c r="AQ292" s="376" t="str">
        <f>EUconst_CNTR_UCF&amp;EUconst_Value</f>
        <v>UCF_Value</v>
      </c>
      <c r="AR292" s="377" t="str">
        <f>IF(AC292=TRUE,IF(COUNTIF(MSPara_SourceStreamCategory,V292)=0,"",INDEX(MSPara_CalcFactorsMatrix,MATCH(V292,MSPara_SourceStreamCategory,0),MATCH(AQ292&amp;"_"&amp;2,MSPara_CalcFactors,0))),"")</f>
        <v/>
      </c>
      <c r="AS292" s="378" t="str">
        <f>IF(AC292=TRUE,IF(COUNTIF(MSPara_SourceStreamCategory,V292)=0,"",INDEX(MSPara_CalcFactorsMatrix,MATCH(V292,MSPara_SourceStreamCategory,0),MATCH(AQ292&amp;"_"&amp;1,MSPara_CalcFactors,0))),"")</f>
        <v/>
      </c>
      <c r="AT292" s="379" t="b">
        <f>AND(AND(AH292&lt;&gt;"",AJ292&lt;&gt;""),AJ292=AH292)</f>
        <v>0</v>
      </c>
      <c r="AU292" s="380" t="str">
        <f>IF(AND(AA292&lt;&gt;"",AT292=TRUE),IF(OR(INDEX(AR292:AS292,3-AA292)=EUconst_NA,INDEX(AR292:AS292,3-AA292)=0),"",INDEX(AR292:AS292,3-AA292)),"")</f>
        <v/>
      </c>
      <c r="AV292" s="373">
        <f>IF(AC292=TRUE,IF(COUNT(K292:L292)=0,0,IF(L292="",K292,L292)),0)</f>
        <v>0</v>
      </c>
      <c r="AW292" s="369" t="b">
        <f t="shared" ref="AW292:AW299" si="72">AND(AC292=TRUE,OR(AND(F292&lt;&gt;"",NOT(ISNUMBER(AA292))),L292&lt;&gt;"",F292="",AU292=""))</f>
        <v>0</v>
      </c>
      <c r="AX292" s="381" t="b">
        <f t="shared" ref="AX292:AX299" si="73">AND(AC292=TRUE,NOT(AW292))</f>
        <v>0</v>
      </c>
      <c r="AY292" s="314"/>
      <c r="AZ292" s="382" t="b">
        <f t="shared" ref="AZ292:AZ299" si="74">AND(ISNUMBER(AA292),AU292="")</f>
        <v>0</v>
      </c>
      <c r="BA292" s="383" t="b">
        <f t="shared" ref="BA292:BA299" si="75">AND(ISNUMBER(AA292),AU292&lt;&gt;AV292)</f>
        <v>0</v>
      </c>
      <c r="BB292" s="369" t="b">
        <f>AND(E285&lt;&gt;"",F292&lt;&gt;EUconst_NA,AN292=EUconst_NA)</f>
        <v>0</v>
      </c>
      <c r="BC292" s="369" t="b">
        <f t="shared" ref="BC292:BC299" si="76">AND(L292&lt;&gt;"",Y292=EUconst_NA)</f>
        <v>0</v>
      </c>
      <c r="BD292" s="314"/>
      <c r="BE292" s="314"/>
      <c r="BF292" s="382" t="s">
        <v>152</v>
      </c>
      <c r="BG292" s="384" t="str">
        <f>IF(COUNTIF(AO293:AO294,TRUE)=0,"",BH292*AV301)</f>
        <v/>
      </c>
      <c r="BH292" s="384" t="str">
        <f>IF(COUNTIF(AO293:AO294,TRUE)=0,"",AV290*IF(AO293,1,AV292*AN294)*AV293*AV294)</f>
        <v/>
      </c>
      <c r="BI292" s="314"/>
      <c r="BJ292" s="314"/>
      <c r="BK292" s="314"/>
      <c r="BL292" s="314"/>
      <c r="BM292" s="314"/>
      <c r="BN292" s="314"/>
      <c r="BO292" s="314"/>
      <c r="BP292" s="314"/>
      <c r="BQ292" s="314"/>
      <c r="BR292" s="314"/>
      <c r="BS292" s="314"/>
      <c r="BT292" s="314"/>
      <c r="BU292" s="314"/>
      <c r="BV292" s="314"/>
      <c r="BW292" s="314"/>
      <c r="BX292" s="314"/>
      <c r="BY292" s="314"/>
      <c r="BZ292" s="314"/>
      <c r="CA292" s="314"/>
      <c r="CB292" s="314"/>
      <c r="CC292" s="314"/>
      <c r="CD292" s="314"/>
      <c r="CE292" s="314"/>
      <c r="CF292" s="314"/>
      <c r="CG292" s="314"/>
      <c r="CH292" s="314"/>
      <c r="CI292" s="314"/>
      <c r="CJ292" s="314"/>
      <c r="CK292" s="314"/>
      <c r="CL292" s="314"/>
      <c r="CM292" s="314"/>
      <c r="CN292" s="314"/>
      <c r="CO292" s="314"/>
      <c r="CP292" s="314"/>
      <c r="CQ292" s="369" t="b">
        <f>OR(CQ290,Y292=EUconst_NA)</f>
        <v>0</v>
      </c>
    </row>
    <row r="293" spans="1:95" ht="12.75" customHeight="1" thickBot="1" x14ac:dyDescent="0.3">
      <c r="A293" s="307"/>
      <c r="B293" s="68"/>
      <c r="C293" s="199" t="s">
        <v>14</v>
      </c>
      <c r="D293" s="344" t="str">
        <f>Translations!$B$358</f>
        <v>(prelim) EF:</v>
      </c>
      <c r="E293" s="345"/>
      <c r="F293" s="59"/>
      <c r="G293" s="1256" t="str">
        <f>IF(OR(ISBLANK(F293),F293=EUconst_NoTier),"",IF(Z293=0,EUconst_NotApplicable,IF(ISERROR(Z293),"",Z293)))</f>
        <v/>
      </c>
      <c r="H293" s="1260"/>
      <c r="I293" s="385" t="str">
        <f>IF(J293&lt;&gt;"","",AI293)</f>
        <v/>
      </c>
      <c r="J293" s="22"/>
      <c r="K293" s="386" t="str">
        <f>IF(L293="",AU293,"")</f>
        <v/>
      </c>
      <c r="L293" s="58"/>
      <c r="M293" s="347" t="str">
        <f>IF(AND(E285&lt;&gt;"",OR(F293="",COUNT(K293:L293)=0),Y293&lt;&gt;EUconst_NA),EUconst_ERR_Incomplete,IF(COUNTIF(BB293:BD293,TRUE)&gt;0,EUconst_ERR_Inconsistent,""))</f>
        <v/>
      </c>
      <c r="N293" s="387"/>
      <c r="O293" s="160"/>
      <c r="P293" s="109"/>
      <c r="Q293" s="312"/>
      <c r="R293" s="312"/>
      <c r="S293" s="314"/>
      <c r="T293" s="388" t="str">
        <f>EUconst_CNTR_EF&amp;E285</f>
        <v>EF_</v>
      </c>
      <c r="U293" s="312"/>
      <c r="V293" s="389" t="str">
        <f>V290</f>
        <v/>
      </c>
      <c r="W293" s="314"/>
      <c r="X293" s="312"/>
      <c r="Y293" s="390" t="str">
        <f>IF(E285="","",IF(OR(F293=EUconst_NA,W293=TRUE),EUconst_NA,INDEX(EUwideConstants!$P$164:$P$200,MATCH(T293,EUwideConstants!$S$164:$S$200,0))))</f>
        <v/>
      </c>
      <c r="Z293" s="391" t="str">
        <f>IF(ISBLANK(F293),"",IF(F293=EUconst_NA,"",INDEX(EUwideConstants!$H:$O,MATCH(T293,EUwideConstants!$S:$S,0),MATCH(F293,CNTR_TierList,0))))</f>
        <v/>
      </c>
      <c r="AA293" s="392" t="str">
        <f>IF(COUNTIF(EUconst_DefaultValues,Z293)&gt;0,MATCH(Z293,EUconst_DefaultValues,0),"")</f>
        <v/>
      </c>
      <c r="AB293" s="314"/>
      <c r="AC293" s="393" t="b">
        <f>AND(AC290,Y293&lt;&gt;EUconst_NA)</f>
        <v>0</v>
      </c>
      <c r="AD293" s="314"/>
      <c r="AE293" s="394" t="str">
        <f>EUconst_CNTR_EF&amp;EUconst_Unit</f>
        <v>EF_Unit</v>
      </c>
      <c r="AF293" s="395" t="str">
        <f>IF(AC293=TRUE, IF(COUNTIF(MSPara_SourceStreamCategory,V293)=0,"",INDEX(MSPara_CalcFactorsMatrix,MATCH(V293,MSPara_SourceStreamCategory,0),MATCH(AE293&amp;"_"&amp;2,MSPara_CalcFactors,0))),"")</f>
        <v/>
      </c>
      <c r="AG293" s="396" t="str">
        <f>IF(AC293=TRUE, IF(COUNTIF(MSPara_SourceStreamCategory,V293)=0,"",INDEX(MSPara_CalcFactorsMatrix,MATCH(V293,MSPara_SourceStreamCategory,0),MATCH(AE293&amp;"_"&amp;1,MSPara_CalcFactors,0))),"")</f>
        <v/>
      </c>
      <c r="AH293" s="397" t="str">
        <f>IF(AA293="","",INDEX(AF293:AG293,3-AA293))</f>
        <v/>
      </c>
      <c r="AI293" s="397" t="str">
        <f>IF(AC293=TRUE,IF(OR(AH293="",AH293=EUconst_NA),EUconst_tCO2&amp;"/"&amp;IF(AN292=EUconst_NA,AN290,IF(AN292=EUconst_GJ,EUconst_TJ,AN292)),AH293),"")</f>
        <v/>
      </c>
      <c r="AJ293" s="397" t="str">
        <f>IF(J293="",AI293,J293)</f>
        <v/>
      </c>
      <c r="AK293" s="398" t="b">
        <f>AND(E285&lt;&gt;"",J293&lt;&gt;"")</f>
        <v>0</v>
      </c>
      <c r="AL293" s="326"/>
      <c r="AM293" s="358" t="s">
        <v>153</v>
      </c>
      <c r="AN293" s="359" t="str">
        <f>IF(COUNTIF(RFAUnits,AN290)=0,EUconst_NA,INDEX(EUwideConstants!$C$150:$H$154,MATCH(AJ293,EFUnits,0),MATCH(AN290,EUwideConstants!$C$149:$H$149,0)))</f>
        <v>n.a.</v>
      </c>
      <c r="AO293" s="359" t="b">
        <f>AN293&lt;&gt;EUconst_NA</f>
        <v>0</v>
      </c>
      <c r="AP293" s="326"/>
      <c r="AQ293" s="399" t="str">
        <f>EUconst_CNTR_EF&amp;EUconst_Value</f>
        <v>EF_Value</v>
      </c>
      <c r="AR293" s="400" t="str">
        <f>IF(AC293=TRUE,IF(COUNTIF(MSPara_SourceStreamCategory,V293)=0,"",INDEX(MSPara_CalcFactorsMatrix,MATCH(V293,MSPara_SourceStreamCategory,0),MATCH(AQ293&amp;"_"&amp;2,MSPara_CalcFactors,0))),"")</f>
        <v/>
      </c>
      <c r="AS293" s="401" t="str">
        <f>IF(AC293=TRUE,IF(COUNTIF(MSPara_SourceStreamCategory,V293)=0,"",INDEX(MSPara_CalcFactorsMatrix,MATCH(V293,MSPara_SourceStreamCategory,0),MATCH(AQ293&amp;"_"&amp;1,MSPara_CalcFactors,0))),"")</f>
        <v/>
      </c>
      <c r="AT293" s="402" t="b">
        <f>AND(AND(AH293&lt;&gt;"",AJ293&lt;&gt;""),AJ293=AH293)</f>
        <v>0</v>
      </c>
      <c r="AU293" s="403" t="str">
        <f>IF(AND(AA293&lt;&gt;"",AT293=TRUE),IF(OR(INDEX(AR293:AS293,3-AA293)=EUconst_NA,INDEX(AR293:AS293,3-AA293)=0),"",INDEX(AR293:AS293,3-AA293)),"")</f>
        <v/>
      </c>
      <c r="AV293" s="393">
        <f>IF(AC293=TRUE,IF(COUNT(K293:L293)=0,0,IF(L293="",K293,L293)),0)</f>
        <v>0</v>
      </c>
      <c r="AW293" s="389" t="b">
        <f t="shared" si="72"/>
        <v>0</v>
      </c>
      <c r="AX293" s="404" t="b">
        <f t="shared" si="73"/>
        <v>0</v>
      </c>
      <c r="AY293" s="314"/>
      <c r="AZ293" s="405" t="b">
        <f t="shared" si="74"/>
        <v>0</v>
      </c>
      <c r="BA293" s="406" t="b">
        <f t="shared" si="75"/>
        <v>0</v>
      </c>
      <c r="BB293" s="407" t="b">
        <f>AND(E285&lt;&gt;"",COUNTIF(AO293:AO294,TRUE)=0)</f>
        <v>0</v>
      </c>
      <c r="BC293" s="389" t="b">
        <f t="shared" si="76"/>
        <v>0</v>
      </c>
      <c r="BD293" s="314"/>
      <c r="BE293" s="314"/>
      <c r="BF293" s="408" t="s">
        <v>154</v>
      </c>
      <c r="BG293" s="409" t="str">
        <f>IF(COUNTIF(AO293:AO294,TRUE)=0,"",BH293*AV301)</f>
        <v/>
      </c>
      <c r="BH293" s="409" t="str">
        <f>IF(COUNTIF(AO293:AO294,TRUE)=0,"",AV290*IF(AO293,1,AV292*AN294)*AV293*AV295)</f>
        <v/>
      </c>
      <c r="BI293" s="314"/>
      <c r="BJ293" s="314"/>
      <c r="BK293" s="314"/>
      <c r="BL293" s="314"/>
      <c r="BM293" s="314"/>
      <c r="BN293" s="314"/>
      <c r="BO293" s="314"/>
      <c r="BP293" s="314"/>
      <c r="BQ293" s="314"/>
      <c r="BR293" s="314"/>
      <c r="BS293" s="314"/>
      <c r="BT293" s="314"/>
      <c r="BU293" s="314"/>
      <c r="BV293" s="314"/>
      <c r="BW293" s="314"/>
      <c r="BX293" s="314"/>
      <c r="BY293" s="314"/>
      <c r="BZ293" s="314"/>
      <c r="CA293" s="314"/>
      <c r="CB293" s="314"/>
      <c r="CC293" s="314"/>
      <c r="CD293" s="314"/>
      <c r="CE293" s="314"/>
      <c r="CF293" s="314"/>
      <c r="CG293" s="314"/>
      <c r="CH293" s="314"/>
      <c r="CI293" s="314"/>
      <c r="CJ293" s="314"/>
      <c r="CK293" s="314"/>
      <c r="CL293" s="314"/>
      <c r="CM293" s="314"/>
      <c r="CN293" s="314"/>
      <c r="CO293" s="314"/>
      <c r="CP293" s="314"/>
      <c r="CQ293" s="407" t="b">
        <f>OR(CQ290,Y293=EUconst_NA)</f>
        <v>0</v>
      </c>
    </row>
    <row r="294" spans="1:95" ht="12.75" customHeight="1" x14ac:dyDescent="0.25">
      <c r="A294" s="307"/>
      <c r="B294" s="68"/>
      <c r="C294" s="199" t="s">
        <v>15</v>
      </c>
      <c r="D294" s="344" t="str">
        <f>Translations!$B$362</f>
        <v>BioF:</v>
      </c>
      <c r="E294" s="345"/>
      <c r="F294" s="10"/>
      <c r="G294" s="1256" t="str">
        <f>IF(OR(ISBLANK(F294),F294=EUconst_NoTier),"",IF(Z294=0,EUconst_NotApplicable,IF(ISERROR(Z294),"",Z294)))</f>
        <v/>
      </c>
      <c r="H294" s="1257"/>
      <c r="I294" s="410" t="str">
        <f t="shared" ref="I294:I299" si="77">IF(OR(AC294=FALSE,Y294=EUconst_NA),"","-")</f>
        <v/>
      </c>
      <c r="J294" s="411"/>
      <c r="K294" s="412" t="str">
        <f>IF(L294="",AU294,"")</f>
        <v/>
      </c>
      <c r="L294" s="60"/>
      <c r="M294" s="347" t="str">
        <f>IF(AND(E285&lt;&gt;"",OR(F294="",COUNT(K294:L294)=0),Y294&lt;&gt;EUconst_NA),EUconst_ERR_Incomplete,IF(COUNTIF(BB294:BD294,TRUE)&gt;0,EUconst_ERR_Inconsistent,""))</f>
        <v/>
      </c>
      <c r="O294" s="160"/>
      <c r="P294" s="348"/>
      <c r="Q294" s="413"/>
      <c r="R294" s="413"/>
      <c r="S294" s="314"/>
      <c r="T294" s="388" t="str">
        <f>EUconst_CNTR_BiomassContent&amp;E285</f>
        <v>BioC_</v>
      </c>
      <c r="U294" s="312"/>
      <c r="V294" s="369" t="str">
        <f>V292</f>
        <v/>
      </c>
      <c r="W294" s="369" t="str">
        <f>IF(OR(V294="",COUNTIF(MSPara_SourceStreamCategory,V294)=0),"",INDEX(MSPara_IsFossil,MATCH(V294,MSPara_SourceStreamCategory,0)))</f>
        <v/>
      </c>
      <c r="X294" s="312"/>
      <c r="Y294" s="370" t="str">
        <f>IF(E285="","",IF(OR(F294=EUconst_NA,W294=TRUE),EUconst_NA,INDEX(EUwideConstants!$P$164:$P$200,MATCH(T294,EUwideConstants!$S$164:$S$200,0))))</f>
        <v/>
      </c>
      <c r="Z294" s="371" t="str">
        <f>IF(ISBLANK(F294),"",IF(F294=EUconst_NA,"",INDEX(EUwideConstants!$H:$O,MATCH(T294,EUwideConstants!$S:$S,0),MATCH(F294,CNTR_TierList,0))))</f>
        <v/>
      </c>
      <c r="AA294" s="414" t="str">
        <f>IF(F294=1,1,"")</f>
        <v/>
      </c>
      <c r="AB294" s="314"/>
      <c r="AC294" s="373" t="b">
        <f>AND(AC290,Y294&lt;&gt;EUconst_NA)</f>
        <v>0</v>
      </c>
      <c r="AD294" s="314"/>
      <c r="AE294" s="415"/>
      <c r="AF294" s="416"/>
      <c r="AG294" s="417"/>
      <c r="AH294" s="418"/>
      <c r="AI294" s="418"/>
      <c r="AJ294" s="418"/>
      <c r="AK294" s="419"/>
      <c r="AL294" s="326"/>
      <c r="AM294" s="358" t="s">
        <v>155</v>
      </c>
      <c r="AN294" s="359" t="str">
        <f>IF(AN292=EUconst_NA,EUconst_NA,INDEX(EUwideConstants!$C$150:$H$154,MATCH(AJ293,EFUnits,0),MATCH(AN292,EUwideConstants!$C$149:$H$149,0)))</f>
        <v>n.a.</v>
      </c>
      <c r="AO294" s="359" t="b">
        <f>AN294&lt;&gt;EUconst_NA</f>
        <v>0</v>
      </c>
      <c r="AP294" s="326"/>
      <c r="AQ294" s="376" t="str">
        <f>EUconst_CNTR_BiomassContent&amp;EUconst_Value</f>
        <v>BioC_Value</v>
      </c>
      <c r="AR294" s="420"/>
      <c r="AS294" s="378" t="str">
        <f t="shared" ref="AS294:AS299" si="78">IF(AC294=TRUE,IF(COUNTIF(MSPara_SourceStreamCategory,V294)=0,"",INDEX(MSPara_CalcFactorsMatrix,MATCH(V294,MSPara_SourceStreamCategory,0),MATCH(AQ294&amp;"_"&amp;2,MSPara_CalcFactors,0))),"")</f>
        <v/>
      </c>
      <c r="AT294" s="421"/>
      <c r="AU294" s="380" t="str">
        <f t="shared" ref="AU294:AU299" si="79">IF(OR(AA294="",AS294=EUconst_NA),"",AS294)</f>
        <v/>
      </c>
      <c r="AV294" s="373">
        <f>IF(AC294=TRUE,IF(COUNT(K294:L294)=0,0,IF(L294="",K294,L294)),0)</f>
        <v>0</v>
      </c>
      <c r="AW294" s="369" t="b">
        <f t="shared" si="72"/>
        <v>0</v>
      </c>
      <c r="AX294" s="381" t="b">
        <f t="shared" si="73"/>
        <v>0</v>
      </c>
      <c r="AY294" s="314"/>
      <c r="AZ294" s="382" t="b">
        <f t="shared" si="74"/>
        <v>0</v>
      </c>
      <c r="BA294" s="383" t="b">
        <f t="shared" si="75"/>
        <v>0</v>
      </c>
      <c r="BB294" s="314"/>
      <c r="BC294" s="369" t="b">
        <f t="shared" si="76"/>
        <v>0</v>
      </c>
      <c r="BD294" s="369" t="b">
        <f>OR(AV294&gt;100%,(AV294+AV295)&gt;100%)</f>
        <v>0</v>
      </c>
      <c r="BE294" s="314"/>
      <c r="BF294" s="382" t="s">
        <v>156</v>
      </c>
      <c r="BG294" s="384" t="str">
        <f>IF(COUNTIF(AO293:AO294,TRUE)=0,"",BH294*AV301)</f>
        <v/>
      </c>
      <c r="BH294" s="384" t="str">
        <f>IF(COUNTIF(AO293:AO294,TRUE)=0,"",AV290*IF(AO293,1,AV292*AN294)*AV293*AV296)</f>
        <v/>
      </c>
      <c r="BJ294" s="314"/>
      <c r="BK294" s="314"/>
      <c r="BL294" s="314"/>
      <c r="BM294" s="314"/>
      <c r="BN294" s="314"/>
      <c r="BO294" s="314"/>
      <c r="BP294" s="314"/>
      <c r="BQ294" s="314"/>
      <c r="BR294" s="314"/>
      <c r="BS294" s="314"/>
      <c r="BT294" s="314"/>
      <c r="BU294" s="314"/>
      <c r="BV294" s="314"/>
      <c r="BW294" s="314"/>
      <c r="BX294" s="314"/>
      <c r="BY294" s="314"/>
      <c r="BZ294" s="314"/>
      <c r="CA294" s="314"/>
      <c r="CB294" s="314"/>
      <c r="CC294" s="314"/>
      <c r="CD294" s="314"/>
      <c r="CE294" s="314"/>
      <c r="CF294" s="314"/>
      <c r="CG294" s="314"/>
      <c r="CH294" s="314"/>
      <c r="CI294" s="314"/>
      <c r="CJ294" s="314"/>
      <c r="CK294" s="314"/>
      <c r="CL294" s="314"/>
      <c r="CM294" s="314"/>
      <c r="CN294" s="314"/>
      <c r="CO294" s="314"/>
      <c r="CP294" s="314"/>
      <c r="CQ294" s="369" t="b">
        <f>OR(CQ290,Y294=EUconst_NA)</f>
        <v>0</v>
      </c>
    </row>
    <row r="295" spans="1:95" ht="12.75" customHeight="1" thickBot="1" x14ac:dyDescent="0.3">
      <c r="A295" s="307"/>
      <c r="B295" s="68"/>
      <c r="C295" s="199" t="s">
        <v>16</v>
      </c>
      <c r="D295" s="344" t="str">
        <f>Translations!$B$368</f>
        <v>non-sust. BioF:</v>
      </c>
      <c r="E295" s="345"/>
      <c r="F295" s="20"/>
      <c r="G295" s="1256" t="str">
        <f>IF(OR(ISBLANK(F295),F295=EUconst_NoTier),"",IF(Z295=0,EUconst_NotApplicable,IF(ISERROR(Z295),"",Z295)))</f>
        <v/>
      </c>
      <c r="H295" s="1257"/>
      <c r="I295" s="422" t="str">
        <f t="shared" si="77"/>
        <v/>
      </c>
      <c r="J295" s="423"/>
      <c r="K295" s="424" t="str">
        <f>IF(L295="",AU295,"")</f>
        <v/>
      </c>
      <c r="L295" s="21"/>
      <c r="M295" s="347" t="str">
        <f>IF(AND(E285&lt;&gt;"",OR(F295="",COUNT(K295:L295)=0),Y295&lt;&gt;EUconst_NA),EUconst_ERR_Incomplete,IF(COUNTIF(BB295:BD295,TRUE)&gt;0,EUconst_ERR_Inconsistent,""))</f>
        <v/>
      </c>
      <c r="N295" s="76"/>
      <c r="O295" s="160"/>
      <c r="P295" s="348"/>
      <c r="Q295" s="413"/>
      <c r="R295" s="413"/>
      <c r="S295" s="314"/>
      <c r="T295" s="425" t="str">
        <f>EUconst_CNTR_BiomassContent&amp;E285</f>
        <v>BioC_</v>
      </c>
      <c r="U295" s="312"/>
      <c r="V295" s="407" t="str">
        <f>V294</f>
        <v/>
      </c>
      <c r="W295" s="407" t="str">
        <f>IF(OR(V294="",COUNTIF(MSPara_SourceStreamCategory,V295)=0),"",INDEX(MSPara_IsFossil,MATCH(V295,MSPara_SourceStreamCategory,0)))</f>
        <v/>
      </c>
      <c r="X295" s="312"/>
      <c r="Y295" s="426" t="str">
        <f>IF(E285="","",IF(OR(F295=EUconst_NA,W295=TRUE),EUconst_NA,INDEX(EUwideConstants!$P$164:$P$200,MATCH(T295,EUwideConstants!$S$164:$S$200,0))))</f>
        <v/>
      </c>
      <c r="Z295" s="427" t="str">
        <f>IF(ISBLANK(F295),"",IF(F295=EUconst_NA,"",INDEX(EUwideConstants!$H:$O,MATCH(T295,EUwideConstants!$S:$S,0),MATCH(F295,CNTR_TierList,0))))</f>
        <v/>
      </c>
      <c r="AA295" s="428" t="str">
        <f>IF(F295=1,1,"")</f>
        <v/>
      </c>
      <c r="AB295" s="314"/>
      <c r="AC295" s="429" t="b">
        <f>AND(AC290,Y295&lt;&gt;EUconst_NA)</f>
        <v>0</v>
      </c>
      <c r="AD295" s="314"/>
      <c r="AE295" s="430"/>
      <c r="AF295" s="431"/>
      <c r="AG295" s="432"/>
      <c r="AH295" s="433"/>
      <c r="AI295" s="433"/>
      <c r="AJ295" s="433"/>
      <c r="AK295" s="434"/>
      <c r="AL295" s="326"/>
      <c r="AM295" s="326"/>
      <c r="AN295" s="326"/>
      <c r="AO295" s="326"/>
      <c r="AP295" s="326"/>
      <c r="AQ295" s="435" t="str">
        <f>EUconst_CNTR_BiomassContent&amp;EUconst_Value</f>
        <v>BioC_Value</v>
      </c>
      <c r="AR295" s="430"/>
      <c r="AS295" s="436" t="str">
        <f t="shared" si="78"/>
        <v/>
      </c>
      <c r="AT295" s="437"/>
      <c r="AU295" s="438" t="str">
        <f t="shared" si="79"/>
        <v/>
      </c>
      <c r="AV295" s="429">
        <f>IF(AC295=TRUE,IF(COUNT(K295:L295)=0,0,IF(L295="",K295,L295)),0)</f>
        <v>0</v>
      </c>
      <c r="AW295" s="407" t="b">
        <f t="shared" si="72"/>
        <v>0</v>
      </c>
      <c r="AX295" s="439" t="b">
        <f t="shared" si="73"/>
        <v>0</v>
      </c>
      <c r="AY295" s="314"/>
      <c r="AZ295" s="408" t="b">
        <f t="shared" si="74"/>
        <v>0</v>
      </c>
      <c r="BA295" s="440" t="b">
        <f t="shared" si="75"/>
        <v>0</v>
      </c>
      <c r="BB295" s="314"/>
      <c r="BC295" s="407" t="b">
        <f t="shared" si="76"/>
        <v>0</v>
      </c>
      <c r="BD295" s="407" t="b">
        <f>OR(AV294&gt;100%,(AV294+AV295)&gt;100%)</f>
        <v>0</v>
      </c>
      <c r="BE295" s="314"/>
      <c r="BF295" s="408" t="s">
        <v>157</v>
      </c>
      <c r="BG295" s="409" t="str">
        <f>IF(COUNTIF(AO293:AO294,TRUE)=0,"",BH295*AV301)</f>
        <v/>
      </c>
      <c r="BH295" s="409" t="str">
        <f>IF(COUNTIF(AO293:AO294,TRUE)=0,"",AV290*IF(AO293,1,AV292*AN294)*AV293*AV297)</f>
        <v/>
      </c>
      <c r="BJ295" s="314"/>
      <c r="BK295" s="314"/>
      <c r="BL295" s="314"/>
      <c r="BM295" s="314"/>
      <c r="BN295" s="314"/>
      <c r="BO295" s="314"/>
      <c r="BP295" s="314"/>
      <c r="BQ295" s="314"/>
      <c r="BR295" s="314"/>
      <c r="BS295" s="314"/>
      <c r="BT295" s="314"/>
      <c r="BU295" s="314"/>
      <c r="BV295" s="314"/>
      <c r="BW295" s="314"/>
      <c r="BX295" s="314"/>
      <c r="BY295" s="314"/>
      <c r="BZ295" s="314"/>
      <c r="CA295" s="314"/>
      <c r="CB295" s="314"/>
      <c r="CC295" s="314"/>
      <c r="CD295" s="314"/>
      <c r="CE295" s="314"/>
      <c r="CF295" s="314"/>
      <c r="CG295" s="314"/>
      <c r="CH295" s="314"/>
      <c r="CI295" s="314"/>
      <c r="CJ295" s="314"/>
      <c r="CK295" s="314"/>
      <c r="CL295" s="314"/>
      <c r="CM295" s="314"/>
      <c r="CN295" s="314"/>
      <c r="CO295" s="314"/>
      <c r="CP295" s="314"/>
      <c r="CQ295" s="407" t="b">
        <f>OR(CQ290,Y295=EUconst_NA)</f>
        <v>0</v>
      </c>
    </row>
    <row r="296" spans="1:95" ht="12.75" customHeight="1" thickBot="1" x14ac:dyDescent="0.3">
      <c r="A296" s="307"/>
      <c r="B296" s="68"/>
      <c r="C296" s="199" t="s">
        <v>17</v>
      </c>
      <c r="D296" s="344" t="s">
        <v>174</v>
      </c>
      <c r="E296" s="441"/>
      <c r="F296" s="19" t="s">
        <v>158</v>
      </c>
      <c r="G296" s="1261"/>
      <c r="H296" s="1262"/>
      <c r="I296" s="442" t="str">
        <f t="shared" si="77"/>
        <v/>
      </c>
      <c r="J296" s="411"/>
      <c r="K296" s="443"/>
      <c r="L296" s="55"/>
      <c r="M296" s="347" t="str">
        <f>IF(AND(E285&lt;&gt;"",OR(F296="",COUNT(L296)=0),Y296&lt;&gt;EUconst_NA),EUconst_ERR_Incomplete,"")</f>
        <v/>
      </c>
      <c r="N296" s="76"/>
      <c r="O296" s="160"/>
      <c r="P296" s="348"/>
      <c r="Q296" s="413"/>
      <c r="R296" s="413"/>
      <c r="S296" s="314"/>
      <c r="T296" s="388" t="str">
        <f>EUconst_CNTR_RFNBOetcContent&amp;E285</f>
        <v>RNFBOC_</v>
      </c>
      <c r="U296" s="312"/>
      <c r="V296" s="312"/>
      <c r="W296" s="312"/>
      <c r="X296" s="312"/>
      <c r="Y296" s="380" t="str">
        <f>IF(E285="","",IF(OR(F296=EUconst_NA,W296=TRUE),EUconst_NA,INDEX(EUwideConstants!$P$164:$P$200,MATCH(T296,EUwideConstants!$S$164:$S$200,0))))</f>
        <v/>
      </c>
      <c r="Z296" s="314"/>
      <c r="AA296" s="314"/>
      <c r="AB296" s="314"/>
      <c r="AC296" s="397" t="b">
        <f>AND(AC292,Y296&lt;&gt;EUconst_NA)</f>
        <v>0</v>
      </c>
      <c r="AD296" s="314"/>
      <c r="AE296" s="415"/>
      <c r="AF296" s="416"/>
      <c r="AG296" s="417"/>
      <c r="AH296" s="418"/>
      <c r="AI296" s="418"/>
      <c r="AJ296" s="418"/>
      <c r="AK296" s="419"/>
      <c r="AL296" s="326"/>
      <c r="AM296" s="326"/>
      <c r="AN296" s="326"/>
      <c r="AO296" s="326"/>
      <c r="AP296" s="326"/>
      <c r="AQ296" s="444" t="s">
        <v>159</v>
      </c>
      <c r="AR296" s="415"/>
      <c r="AS296" s="445" t="str">
        <f t="shared" si="78"/>
        <v/>
      </c>
      <c r="AT296" s="446"/>
      <c r="AU296" s="447" t="str">
        <f t="shared" si="79"/>
        <v/>
      </c>
      <c r="AV296" s="397">
        <f>IF(L296&lt;&gt;0,L296,L296)</f>
        <v>0</v>
      </c>
      <c r="AW296" s="398" t="b">
        <f t="shared" si="72"/>
        <v>0</v>
      </c>
      <c r="AX296" s="448" t="b">
        <f t="shared" si="73"/>
        <v>0</v>
      </c>
      <c r="AY296" s="314"/>
      <c r="AZ296" s="449" t="b">
        <f t="shared" si="74"/>
        <v>0</v>
      </c>
      <c r="BA296" s="450" t="b">
        <f t="shared" si="75"/>
        <v>0</v>
      </c>
      <c r="BB296" s="314"/>
      <c r="BC296" s="398" t="b">
        <f t="shared" si="76"/>
        <v>0</v>
      </c>
      <c r="BD296" s="369" t="b">
        <f>OR(AV296&gt;100%,(AV296+AV297)&gt;100%)</f>
        <v>0</v>
      </c>
      <c r="BE296" s="314"/>
      <c r="BF296" s="451" t="s">
        <v>160</v>
      </c>
      <c r="BG296" s="452" t="str">
        <f>IF(COUNTIF(AO293:AO294,TRUE)=0,"",BH296*AV301)</f>
        <v/>
      </c>
      <c r="BH296" s="452" t="str">
        <f>IF(COUNTIF(AO293:AO294,TRUE)=0,"",AV290*IF(AO293,1,AV292*AN294)*AV293*AV298)</f>
        <v/>
      </c>
      <c r="BJ296" s="314"/>
      <c r="BK296" s="314"/>
      <c r="BL296" s="314"/>
      <c r="BM296" s="314"/>
      <c r="BN296" s="314"/>
      <c r="BO296" s="314"/>
      <c r="BP296" s="314"/>
      <c r="BQ296" s="314"/>
      <c r="BR296" s="314"/>
      <c r="BS296" s="314"/>
      <c r="BT296" s="314"/>
      <c r="BU296" s="314"/>
      <c r="BV296" s="314"/>
      <c r="BW296" s="314"/>
      <c r="BX296" s="314"/>
      <c r="BY296" s="314"/>
      <c r="BZ296" s="314"/>
      <c r="CA296" s="314"/>
      <c r="CB296" s="314"/>
      <c r="CC296" s="314"/>
      <c r="CD296" s="314"/>
      <c r="CE296" s="314"/>
      <c r="CF296" s="314"/>
      <c r="CG296" s="314"/>
      <c r="CH296" s="314"/>
      <c r="CI296" s="314"/>
      <c r="CJ296" s="314"/>
      <c r="CK296" s="314"/>
      <c r="CL296" s="314"/>
      <c r="CM296" s="314"/>
      <c r="CN296" s="314"/>
      <c r="CO296" s="314"/>
      <c r="CP296" s="314"/>
      <c r="CQ296" s="407" t="b">
        <f>OR(CQ290,Y296=EUconst_NA)</f>
        <v>0</v>
      </c>
    </row>
    <row r="297" spans="1:95" ht="12.75" customHeight="1" thickBot="1" x14ac:dyDescent="0.3">
      <c r="A297" s="307"/>
      <c r="B297" s="68"/>
      <c r="C297" s="199" t="s">
        <v>161</v>
      </c>
      <c r="D297" s="344" t="str">
        <f>Translations!$B$613</f>
        <v>non-sust. RFNBO/RCF:</v>
      </c>
      <c r="E297" s="441"/>
      <c r="F297" s="20" t="s">
        <v>158</v>
      </c>
      <c r="G297" s="1261"/>
      <c r="H297" s="1262"/>
      <c r="I297" s="422" t="str">
        <f t="shared" si="77"/>
        <v/>
      </c>
      <c r="J297" s="423"/>
      <c r="K297" s="443"/>
      <c r="L297" s="56"/>
      <c r="M297" s="347" t="str">
        <f>IF(AND(E285&lt;&gt;"",OR(F297="",COUNT(L297)=0),Y297&lt;&gt;EUconst_NA),EUconst_ERR_Incomplete,"")</f>
        <v/>
      </c>
      <c r="N297" s="76"/>
      <c r="O297" s="160"/>
      <c r="P297" s="348"/>
      <c r="Q297" s="413"/>
      <c r="R297" s="413"/>
      <c r="S297" s="314"/>
      <c r="T297" s="425" t="str">
        <f>EUconst_CNTR_RFNBOetcContent&amp;E285</f>
        <v>RNFBOC_</v>
      </c>
      <c r="U297" s="312"/>
      <c r="V297" s="312"/>
      <c r="W297" s="312"/>
      <c r="X297" s="312"/>
      <c r="Y297" s="438" t="str">
        <f>IF(E285="","",IF(OR(F297=EUconst_NA,W297=TRUE),EUconst_NA,INDEX(EUwideConstants!$P$164:$P$200,MATCH(T297,EUwideConstants!$S$164:$S$200,0))))</f>
        <v/>
      </c>
      <c r="Z297" s="314"/>
      <c r="AA297" s="314"/>
      <c r="AB297" s="314"/>
      <c r="AC297" s="429" t="b">
        <f>AND(AC292,Y297&lt;&gt;EUconst_NA)</f>
        <v>0</v>
      </c>
      <c r="AD297" s="314"/>
      <c r="AE297" s="430"/>
      <c r="AF297" s="431"/>
      <c r="AG297" s="432"/>
      <c r="AH297" s="433"/>
      <c r="AI297" s="433"/>
      <c r="AJ297" s="433"/>
      <c r="AK297" s="434"/>
      <c r="AL297" s="326"/>
      <c r="AM297" s="326"/>
      <c r="AN297" s="326"/>
      <c r="AO297" s="326"/>
      <c r="AP297" s="326"/>
      <c r="AQ297" s="435" t="s">
        <v>159</v>
      </c>
      <c r="AR297" s="430"/>
      <c r="AS297" s="436" t="str">
        <f t="shared" si="78"/>
        <v/>
      </c>
      <c r="AT297" s="437"/>
      <c r="AU297" s="438" t="str">
        <f t="shared" si="79"/>
        <v/>
      </c>
      <c r="AV297" s="429">
        <f t="shared" ref="AV297:AV299" si="80">IF(L297&lt;&gt;0,L297,L297)</f>
        <v>0</v>
      </c>
      <c r="AW297" s="407" t="b">
        <f t="shared" si="72"/>
        <v>0</v>
      </c>
      <c r="AX297" s="439" t="b">
        <f t="shared" si="73"/>
        <v>0</v>
      </c>
      <c r="AY297" s="314"/>
      <c r="AZ297" s="408" t="b">
        <f t="shared" si="74"/>
        <v>0</v>
      </c>
      <c r="BA297" s="440" t="b">
        <f t="shared" si="75"/>
        <v>0</v>
      </c>
      <c r="BB297" s="314"/>
      <c r="BC297" s="407" t="b">
        <f t="shared" si="76"/>
        <v>0</v>
      </c>
      <c r="BD297" s="407" t="b">
        <f>OR(AV296&gt;100%,(AV296+AV297)&gt;100%)</f>
        <v>0</v>
      </c>
      <c r="BE297" s="314"/>
      <c r="BF297" s="408" t="s">
        <v>162</v>
      </c>
      <c r="BG297" s="409" t="str">
        <f>IF(COUNTIF(AO293:AO294,TRUE)=0,"",BH297*AV301)</f>
        <v/>
      </c>
      <c r="BH297" s="409" t="str">
        <f>IF(COUNTIF(AO293:AO294,TRUE)=0,"",AV290*IF(AO293,1,AV292*AN294)*AV293*AV299)</f>
        <v/>
      </c>
      <c r="BJ297" s="314"/>
      <c r="BK297" s="314"/>
      <c r="BL297" s="314"/>
      <c r="BM297" s="314"/>
      <c r="BN297" s="314"/>
      <c r="BO297" s="314"/>
      <c r="BP297" s="314"/>
      <c r="BQ297" s="314"/>
      <c r="BR297" s="314"/>
      <c r="BS297" s="314"/>
      <c r="BT297" s="314"/>
      <c r="BU297" s="314"/>
      <c r="BV297" s="314"/>
      <c r="BW297" s="314"/>
      <c r="BX297" s="314"/>
      <c r="BY297" s="314"/>
      <c r="BZ297" s="314"/>
      <c r="CA297" s="314"/>
      <c r="CB297" s="314"/>
      <c r="CC297" s="314"/>
      <c r="CD297" s="314"/>
      <c r="CE297" s="314"/>
      <c r="CF297" s="314"/>
      <c r="CG297" s="314"/>
      <c r="CH297" s="314"/>
      <c r="CI297" s="314"/>
      <c r="CJ297" s="314"/>
      <c r="CK297" s="314"/>
      <c r="CL297" s="314"/>
      <c r="CM297" s="314"/>
      <c r="CN297" s="314"/>
      <c r="CO297" s="314"/>
      <c r="CP297" s="314"/>
      <c r="CQ297" s="407" t="b">
        <f>OR(CQ290,Y297=EUconst_NA)</f>
        <v>0</v>
      </c>
    </row>
    <row r="298" spans="1:95" ht="12.75" customHeight="1" thickBot="1" x14ac:dyDescent="0.3">
      <c r="A298" s="307"/>
      <c r="B298" s="68"/>
      <c r="C298" s="199" t="s">
        <v>163</v>
      </c>
      <c r="D298" s="344" t="str">
        <f>Translations!$B$615</f>
        <v>sust. SLCF:</v>
      </c>
      <c r="E298" s="441"/>
      <c r="F298" s="19" t="s">
        <v>158</v>
      </c>
      <c r="G298" s="1261"/>
      <c r="H298" s="1262"/>
      <c r="I298" s="442" t="str">
        <f t="shared" si="77"/>
        <v/>
      </c>
      <c r="J298" s="411"/>
      <c r="K298" s="443"/>
      <c r="L298" s="57"/>
      <c r="M298" s="347" t="str">
        <f>IF(AND(E285&lt;&gt;"",OR(F298="",COUNT(L298)=0),Y298&lt;&gt;EUconst_NA),EUconst_ERR_Incomplete,"")</f>
        <v/>
      </c>
      <c r="N298" s="76"/>
      <c r="O298" s="160"/>
      <c r="P298" s="348"/>
      <c r="Q298" s="413"/>
      <c r="R298" s="413"/>
      <c r="S298" s="314"/>
      <c r="T298" s="388" t="str">
        <f>EUconst_CNTR_RFNBOetcContent&amp;E285</f>
        <v>RNFBOC_</v>
      </c>
      <c r="U298" s="312"/>
      <c r="V298" s="312"/>
      <c r="W298" s="312"/>
      <c r="X298" s="312"/>
      <c r="Y298" s="447" t="str">
        <f>IF(E285="","",IF(OR(F298=EUconst_NA,W298=TRUE),EUconst_NA,INDEX(EUwideConstants!$P$164:$P$200,MATCH(T298,EUwideConstants!$S$164:$S$200,0))))</f>
        <v/>
      </c>
      <c r="Z298" s="314"/>
      <c r="AA298" s="314"/>
      <c r="AB298" s="314"/>
      <c r="AC298" s="397" t="b">
        <f>AND(AC294,Y298&lt;&gt;EUconst_NA)</f>
        <v>0</v>
      </c>
      <c r="AD298" s="314"/>
      <c r="AE298" s="415"/>
      <c r="AF298" s="416"/>
      <c r="AG298" s="417"/>
      <c r="AH298" s="418"/>
      <c r="AI298" s="418"/>
      <c r="AJ298" s="418"/>
      <c r="AK298" s="419"/>
      <c r="AL298" s="326"/>
      <c r="AM298" s="326"/>
      <c r="AN298" s="326"/>
      <c r="AO298" s="326"/>
      <c r="AP298" s="326"/>
      <c r="AQ298" s="444" t="s">
        <v>159</v>
      </c>
      <c r="AR298" s="415"/>
      <c r="AS298" s="445" t="str">
        <f t="shared" si="78"/>
        <v/>
      </c>
      <c r="AT298" s="446"/>
      <c r="AU298" s="447" t="str">
        <f t="shared" si="79"/>
        <v/>
      </c>
      <c r="AV298" s="397">
        <f t="shared" si="80"/>
        <v>0</v>
      </c>
      <c r="AW298" s="398" t="b">
        <f t="shared" si="72"/>
        <v>0</v>
      </c>
      <c r="AX298" s="448" t="b">
        <f t="shared" si="73"/>
        <v>0</v>
      </c>
      <c r="AY298" s="314"/>
      <c r="AZ298" s="449" t="b">
        <f t="shared" si="74"/>
        <v>0</v>
      </c>
      <c r="BA298" s="450" t="b">
        <f t="shared" si="75"/>
        <v>0</v>
      </c>
      <c r="BB298" s="314"/>
      <c r="BC298" s="398" t="b">
        <f t="shared" si="76"/>
        <v>0</v>
      </c>
      <c r="BD298" s="369" t="b">
        <f>OR(AV298&gt;100%,(AV298+AV299)&gt;100%)</f>
        <v>0</v>
      </c>
      <c r="BE298" s="314"/>
      <c r="BF298" s="451" t="s">
        <v>164</v>
      </c>
      <c r="BG298" s="452">
        <f>IF(AN290=EUconst_TJ,AV290*(1-AV294),IF(AN292=EUconst_GJ,AV290*AV292/1000,0))-SUM(BG299:BG305)</f>
        <v>0</v>
      </c>
      <c r="BH298" s="314"/>
      <c r="BI298" s="314"/>
      <c r="BJ298" s="314"/>
      <c r="BK298" s="314"/>
      <c r="BL298" s="314"/>
      <c r="BM298" s="314"/>
      <c r="BN298" s="314"/>
      <c r="BO298" s="314"/>
      <c r="BP298" s="314"/>
      <c r="BQ298" s="314"/>
      <c r="BR298" s="314"/>
      <c r="BS298" s="314"/>
      <c r="BT298" s="314"/>
      <c r="BU298" s="314"/>
      <c r="BV298" s="314"/>
      <c r="BW298" s="314"/>
      <c r="BX298" s="314"/>
      <c r="BY298" s="314"/>
      <c r="BZ298" s="314"/>
      <c r="CA298" s="314"/>
      <c r="CB298" s="314"/>
      <c r="CC298" s="314"/>
      <c r="CD298" s="314"/>
      <c r="CE298" s="314"/>
      <c r="CF298" s="314"/>
      <c r="CG298" s="314"/>
      <c r="CH298" s="314"/>
      <c r="CI298" s="314"/>
      <c r="CJ298" s="314"/>
      <c r="CK298" s="314"/>
      <c r="CL298" s="314"/>
      <c r="CM298" s="314"/>
      <c r="CN298" s="314"/>
      <c r="CO298" s="314"/>
      <c r="CP298" s="314"/>
      <c r="CQ298" s="407" t="b">
        <f>OR(CQ290,Y298=EUconst_NA)</f>
        <v>0</v>
      </c>
    </row>
    <row r="299" spans="1:95" ht="12.75" customHeight="1" thickBot="1" x14ac:dyDescent="0.3">
      <c r="A299" s="307"/>
      <c r="B299" s="68"/>
      <c r="C299" s="199" t="s">
        <v>165</v>
      </c>
      <c r="D299" s="344" t="s">
        <v>175</v>
      </c>
      <c r="E299" s="441"/>
      <c r="F299" s="20" t="s">
        <v>158</v>
      </c>
      <c r="G299" s="1261"/>
      <c r="H299" s="1262"/>
      <c r="I299" s="422" t="str">
        <f t="shared" si="77"/>
        <v/>
      </c>
      <c r="J299" s="423"/>
      <c r="K299" s="443"/>
      <c r="L299" s="56"/>
      <c r="M299" s="347" t="str">
        <f>IF(AND(E285&lt;&gt;"",OR(F299="",COUNT(L299)=0),Y299&lt;&gt;EUconst_NA),EUconst_ERR_Incomplete,"")</f>
        <v/>
      </c>
      <c r="N299" s="76"/>
      <c r="O299" s="160"/>
      <c r="P299" s="348"/>
      <c r="Q299" s="413"/>
      <c r="R299" s="413"/>
      <c r="S299" s="314"/>
      <c r="T299" s="425" t="str">
        <f>EUconst_CNTR_RFNBOetcContent&amp;E285</f>
        <v>RNFBOC_</v>
      </c>
      <c r="U299" s="312"/>
      <c r="V299" s="312"/>
      <c r="W299" s="312"/>
      <c r="X299" s="312"/>
      <c r="Y299" s="438" t="str">
        <f>IF(E285="","",IF(OR(F299=EUconst_NA,W299=TRUE),EUconst_NA,INDEX(EUwideConstants!$P$164:$P$200,MATCH(T299,EUwideConstants!$S$164:$S$200,0))))</f>
        <v/>
      </c>
      <c r="Z299" s="314"/>
      <c r="AA299" s="314"/>
      <c r="AB299" s="314"/>
      <c r="AC299" s="429" t="b">
        <f>AND(AC294,Y299&lt;&gt;EUconst_NA)</f>
        <v>0</v>
      </c>
      <c r="AD299" s="314"/>
      <c r="AE299" s="430"/>
      <c r="AF299" s="431"/>
      <c r="AG299" s="432"/>
      <c r="AH299" s="433"/>
      <c r="AI299" s="433"/>
      <c r="AJ299" s="433"/>
      <c r="AK299" s="434"/>
      <c r="AL299" s="326"/>
      <c r="AM299" s="326"/>
      <c r="AN299" s="326"/>
      <c r="AO299" s="326"/>
      <c r="AP299" s="326"/>
      <c r="AQ299" s="435" t="s">
        <v>159</v>
      </c>
      <c r="AR299" s="430"/>
      <c r="AS299" s="436" t="str">
        <f t="shared" si="78"/>
        <v/>
      </c>
      <c r="AT299" s="437"/>
      <c r="AU299" s="438" t="str">
        <f t="shared" si="79"/>
        <v/>
      </c>
      <c r="AV299" s="429">
        <f t="shared" si="80"/>
        <v>0</v>
      </c>
      <c r="AW299" s="407" t="b">
        <f t="shared" si="72"/>
        <v>0</v>
      </c>
      <c r="AX299" s="439" t="b">
        <f t="shared" si="73"/>
        <v>0</v>
      </c>
      <c r="AY299" s="314"/>
      <c r="AZ299" s="408" t="b">
        <f t="shared" si="74"/>
        <v>0</v>
      </c>
      <c r="BA299" s="440" t="b">
        <f t="shared" si="75"/>
        <v>0</v>
      </c>
      <c r="BB299" s="314"/>
      <c r="BC299" s="407" t="b">
        <f t="shared" si="76"/>
        <v>0</v>
      </c>
      <c r="BD299" s="407" t="b">
        <f>OR(AV298&gt;100%,(AV298+AV299)&gt;100%)</f>
        <v>0</v>
      </c>
      <c r="BE299" s="314"/>
      <c r="BF299" s="408" t="s">
        <v>166</v>
      </c>
      <c r="BG299" s="409" t="str">
        <f>IF(AN290=EUconst_TJ,AV290*AV294,IF(AN292=EUconst_GJ,AV290*AV292/1000*AV294,""))</f>
        <v/>
      </c>
      <c r="BH299" s="314"/>
      <c r="BI299" s="314"/>
      <c r="BJ299" s="314"/>
      <c r="BK299" s="314"/>
      <c r="BL299" s="314"/>
      <c r="BM299" s="314"/>
      <c r="BN299" s="314"/>
      <c r="BO299" s="314"/>
      <c r="BP299" s="314"/>
      <c r="BQ299" s="314"/>
      <c r="BR299" s="314"/>
      <c r="BS299" s="314"/>
      <c r="BT299" s="314"/>
      <c r="BU299" s="314"/>
      <c r="BV299" s="314"/>
      <c r="BW299" s="314"/>
      <c r="BX299" s="314"/>
      <c r="BY299" s="314"/>
      <c r="BZ299" s="314"/>
      <c r="CA299" s="314"/>
      <c r="CB299" s="314"/>
      <c r="CC299" s="314"/>
      <c r="CD299" s="314"/>
      <c r="CE299" s="314"/>
      <c r="CF299" s="314"/>
      <c r="CG299" s="314"/>
      <c r="CH299" s="314"/>
      <c r="CI299" s="314"/>
      <c r="CJ299" s="314"/>
      <c r="CK299" s="314"/>
      <c r="CL299" s="314"/>
      <c r="CM299" s="314"/>
      <c r="CN299" s="314"/>
      <c r="CO299" s="314"/>
      <c r="CP299" s="314"/>
      <c r="CQ299" s="407" t="b">
        <f>OR(CQ290,Y299=EUconst_NA)</f>
        <v>0</v>
      </c>
    </row>
    <row r="300" spans="1:95" ht="5.15" customHeight="1" thickBot="1" x14ac:dyDescent="0.3">
      <c r="A300" s="307"/>
      <c r="B300" s="68"/>
      <c r="C300" s="68"/>
      <c r="D300" s="205"/>
      <c r="E300" s="76"/>
      <c r="F300" s="76"/>
      <c r="G300" s="76"/>
      <c r="H300" s="76"/>
      <c r="I300" s="76"/>
      <c r="J300" s="76"/>
      <c r="K300" s="76"/>
      <c r="L300" s="76"/>
      <c r="M300" s="453"/>
      <c r="N300" s="76"/>
      <c r="O300" s="160"/>
      <c r="P300" s="109"/>
      <c r="Q300" s="312"/>
      <c r="R300" s="312"/>
      <c r="S300" s="314"/>
      <c r="T300" s="314"/>
      <c r="U300" s="314"/>
      <c r="V300" s="314"/>
      <c r="W300" s="314"/>
      <c r="X300" s="314"/>
      <c r="Y300" s="314"/>
      <c r="Z300" s="314"/>
      <c r="AA300" s="314"/>
      <c r="AB300" s="314"/>
      <c r="AC300" s="314"/>
      <c r="AD300" s="314"/>
      <c r="AE300" s="314"/>
      <c r="AF300" s="314"/>
      <c r="AG300" s="314"/>
      <c r="AH300" s="314"/>
      <c r="AI300" s="314"/>
      <c r="AJ300" s="314"/>
      <c r="AK300" s="314"/>
      <c r="AL300" s="314"/>
      <c r="AM300" s="314"/>
      <c r="AN300" s="314"/>
      <c r="AO300" s="314"/>
      <c r="AP300" s="314"/>
      <c r="AQ300" s="314"/>
      <c r="AR300" s="314"/>
      <c r="AS300" s="314"/>
      <c r="AT300" s="314"/>
      <c r="AU300" s="314"/>
      <c r="AV300" s="314"/>
      <c r="AW300" s="314"/>
      <c r="AX300" s="314"/>
      <c r="AY300" s="314"/>
      <c r="AZ300" s="314"/>
      <c r="BA300" s="314"/>
      <c r="BB300" s="314"/>
      <c r="BC300" s="314"/>
      <c r="BD300" s="314"/>
      <c r="BE300" s="314"/>
      <c r="BF300" s="314"/>
      <c r="BG300" s="364"/>
      <c r="BH300" s="314"/>
      <c r="BI300" s="314"/>
      <c r="BJ300" s="314"/>
      <c r="BK300" s="314"/>
      <c r="BL300" s="314"/>
      <c r="BM300" s="314"/>
      <c r="BN300" s="314"/>
      <c r="BO300" s="314"/>
      <c r="BP300" s="314"/>
      <c r="BQ300" s="314"/>
      <c r="BR300" s="314"/>
      <c r="BS300" s="314"/>
      <c r="BT300" s="314"/>
      <c r="BU300" s="314"/>
      <c r="BV300" s="314"/>
      <c r="BW300" s="314"/>
      <c r="BX300" s="314"/>
      <c r="BY300" s="314"/>
      <c r="BZ300" s="314"/>
      <c r="CA300" s="314"/>
      <c r="CB300" s="314"/>
      <c r="CC300" s="314"/>
      <c r="CD300" s="314"/>
      <c r="CE300" s="314"/>
      <c r="CF300" s="314"/>
      <c r="CG300" s="314"/>
      <c r="CH300" s="314"/>
      <c r="CI300" s="314"/>
      <c r="CJ300" s="314"/>
      <c r="CK300" s="314"/>
      <c r="CL300" s="314"/>
      <c r="CM300" s="314"/>
      <c r="CN300" s="314"/>
      <c r="CO300" s="314"/>
      <c r="CP300" s="314"/>
      <c r="CQ300" s="314"/>
    </row>
    <row r="301" spans="1:95" ht="12.75" customHeight="1" thickBot="1" x14ac:dyDescent="0.3">
      <c r="A301" s="307"/>
      <c r="B301" s="68"/>
      <c r="C301" s="199" t="s">
        <v>167</v>
      </c>
      <c r="D301" s="344" t="str">
        <f>Translations!$B$398</f>
        <v>Scope factor:</v>
      </c>
      <c r="E301" s="454"/>
      <c r="F301" s="992"/>
      <c r="G301" s="1263"/>
      <c r="H301" s="1264"/>
      <c r="I301" s="455" t="s">
        <v>46</v>
      </c>
      <c r="J301" s="456"/>
      <c r="K301" s="457" t="str">
        <f>IF(L301="",AU301,"")</f>
        <v/>
      </c>
      <c r="L301" s="16"/>
      <c r="M301" s="458" t="str">
        <f>IF(AND(E285&lt;&gt;"",OR(F301="",G301="",COUNT(K301:L301)=0)),EUconst_ERR_Incomplete,IF(COUNTIF(BB301:BD301,TRUE)&gt;0,EUconst_ERR_Inconsistent,""))</f>
        <v/>
      </c>
      <c r="N301" s="76"/>
      <c r="O301" s="160"/>
      <c r="P301" s="109"/>
      <c r="Q301" s="312"/>
      <c r="R301" s="314"/>
      <c r="S301" s="297"/>
      <c r="T301" s="459" t="str">
        <f>EUconst_CNTR_ScopeFactor&amp;E285</f>
        <v>ScopeFactor_</v>
      </c>
      <c r="U301" s="231" t="str">
        <f>IF(F301="","",INDEX(ScopeAddress,MATCH(F301,ScopeTiers,0)))</f>
        <v/>
      </c>
      <c r="V301" s="360" t="str">
        <f>V290</f>
        <v/>
      </c>
      <c r="W301" s="314"/>
      <c r="X301" s="314"/>
      <c r="Y301" s="460" t="str">
        <f>IF(E285="","",IF(F301=EUconst_NA,EUconst_NA,INDEX(EUwideConstants!$P$164:$P$200,MATCH(T301,EUwideConstants!$S$164:$S$200,0))))</f>
        <v/>
      </c>
      <c r="Z301" s="461" t="str">
        <f>IF(ISBLANK(F301),"",IF(F301=EUconst_NA,"",INDEX(EUwideConstants!$H:$O,MATCH(T301,EUwideConstants!$S:$S,0),MATCH(F301,CNTR_TierList,0))))</f>
        <v/>
      </c>
      <c r="AA301" s="331" t="str">
        <f>IF(G301=EUwideConstants!$A$89,1,"")</f>
        <v/>
      </c>
      <c r="AB301" s="314"/>
      <c r="AC301" s="331" t="b">
        <f>AND(AC290,Y301&lt;&gt;EUconst_NA)</f>
        <v>0</v>
      </c>
      <c r="AD301" s="314"/>
      <c r="AE301" s="314"/>
      <c r="AF301" s="314"/>
      <c r="AG301" s="319"/>
      <c r="AH301" s="314"/>
      <c r="AI301" s="314"/>
      <c r="AJ301" s="314"/>
      <c r="AK301" s="314"/>
      <c r="AL301" s="314"/>
      <c r="AM301" s="314"/>
      <c r="AN301" s="314"/>
      <c r="AO301" s="314"/>
      <c r="AP301" s="314"/>
      <c r="AQ301" s="314"/>
      <c r="AR301" s="314"/>
      <c r="AS301" s="328">
        <v>1</v>
      </c>
      <c r="AT301" s="314"/>
      <c r="AU301" s="319" t="str">
        <f>IF(G301=EUwideConstants!$A$89,AS301,"")</f>
        <v/>
      </c>
      <c r="AV301" s="331">
        <f>IF(AC301=TRUE,IF(COUNT(K301:L301)=0,0,IF(L301="",K301,L301)),0)</f>
        <v>0</v>
      </c>
      <c r="AW301" s="360" t="b">
        <f>AND(AC301=TRUE,OR(AND(F301&lt;&gt;"",NOT(ISNUMBER(AA301))),L301&lt;&gt;"",F301="",AU301=""))</f>
        <v>0</v>
      </c>
      <c r="AX301" s="357" t="b">
        <f>AND(AC301=TRUE,NOT(AW301))</f>
        <v>0</v>
      </c>
      <c r="AY301" s="314"/>
      <c r="AZ301" s="361" t="b">
        <f>AND(ISNUMBER(AA301),AU301="")</f>
        <v>0</v>
      </c>
      <c r="BA301" s="351" t="b">
        <f>AND(ISNUMBER(AA301),AU301&lt;&gt;AV301)</f>
        <v>0</v>
      </c>
      <c r="BB301" s="314"/>
      <c r="BC301" s="360" t="b">
        <f>AND(F301&lt;&gt;"",OR(COUNTIF(INDEX(ScopeMethods,F301,),G301)=0,AND(AA301&lt;&gt;"",AU301&lt;&gt;AV301)))</f>
        <v>0</v>
      </c>
      <c r="BD301" s="314"/>
      <c r="BE301" s="314"/>
      <c r="BF301" s="361" t="s">
        <v>168</v>
      </c>
      <c r="BG301" s="362" t="str">
        <f>IF(AN290=EUconst_TJ,AV290*AV296,IF(AN292=EUconst_GJ,AV290*AV292/1000*AV296,""))</f>
        <v/>
      </c>
      <c r="BH301" s="314"/>
      <c r="BI301" s="314"/>
      <c r="BJ301" s="314"/>
      <c r="BK301" s="314"/>
      <c r="BL301" s="314"/>
      <c r="BM301" s="314"/>
      <c r="BN301" s="314"/>
      <c r="BO301" s="314"/>
      <c r="BP301" s="314"/>
      <c r="BQ301" s="314"/>
      <c r="BR301" s="314"/>
      <c r="BS301" s="314"/>
      <c r="BT301" s="314"/>
      <c r="BU301" s="314"/>
      <c r="BV301" s="314"/>
      <c r="BW301" s="314"/>
      <c r="BX301" s="314"/>
      <c r="BY301" s="314"/>
      <c r="BZ301" s="314"/>
      <c r="CA301" s="314"/>
      <c r="CB301" s="314"/>
      <c r="CC301" s="314"/>
      <c r="CD301" s="314"/>
      <c r="CE301" s="314"/>
      <c r="CF301" s="314"/>
      <c r="CG301" s="314"/>
      <c r="CH301" s="314"/>
      <c r="CI301" s="314"/>
      <c r="CJ301" s="314"/>
      <c r="CK301" s="314"/>
      <c r="CL301" s="314"/>
      <c r="CM301" s="314"/>
      <c r="CN301" s="314"/>
      <c r="CO301" s="314"/>
      <c r="CP301" s="314"/>
      <c r="CQ301" s="314"/>
    </row>
    <row r="302" spans="1:95" ht="12.75" customHeight="1" x14ac:dyDescent="0.25">
      <c r="A302" s="307"/>
      <c r="B302" s="68"/>
      <c r="C302" s="68"/>
      <c r="D302" s="68"/>
      <c r="E302" s="68"/>
      <c r="F302" s="68"/>
      <c r="G302" s="1265" t="str">
        <f>IF(G301="","",INDEX(ScopeMethodsDetails,MATCH(G301,INDEX(ScopeMethodsDetails,,1),0),2))</f>
        <v/>
      </c>
      <c r="H302" s="1266"/>
      <c r="I302" s="1266"/>
      <c r="J302" s="1266"/>
      <c r="K302" s="1266"/>
      <c r="L302" s="1266"/>
      <c r="M302" s="1267"/>
      <c r="N302" s="76"/>
      <c r="O302" s="160"/>
      <c r="P302" s="109"/>
      <c r="Q302" s="312"/>
      <c r="R302" s="312"/>
      <c r="S302" s="314"/>
      <c r="T302" s="314"/>
      <c r="U302" s="314"/>
      <c r="V302" s="314"/>
      <c r="W302" s="314"/>
      <c r="X302" s="314"/>
      <c r="Y302" s="314"/>
      <c r="Z302" s="314"/>
      <c r="AA302" s="314"/>
      <c r="AB302" s="314"/>
      <c r="AC302" s="314"/>
      <c r="AD302" s="314"/>
      <c r="AE302" s="314"/>
      <c r="AF302" s="314"/>
      <c r="AG302" s="314"/>
      <c r="AH302" s="314"/>
      <c r="AI302" s="314"/>
      <c r="AJ302" s="314"/>
      <c r="AK302" s="314"/>
      <c r="AL302" s="314"/>
      <c r="AM302" s="314"/>
      <c r="AN302" s="314"/>
      <c r="AO302" s="314"/>
      <c r="AP302" s="314"/>
      <c r="AQ302" s="314"/>
      <c r="AR302" s="314"/>
      <c r="AS302" s="314"/>
      <c r="AT302" s="314"/>
      <c r="AU302" s="314"/>
      <c r="AV302" s="314"/>
      <c r="AW302" s="314"/>
      <c r="AX302" s="314"/>
      <c r="AY302" s="314"/>
      <c r="AZ302" s="314"/>
      <c r="BA302" s="314"/>
      <c r="BB302" s="314"/>
      <c r="BC302" s="314"/>
      <c r="BD302" s="314"/>
      <c r="BE302" s="314"/>
      <c r="BG302" s="364"/>
      <c r="BH302" s="314"/>
      <c r="BI302" s="314"/>
      <c r="BJ302" s="314"/>
      <c r="BK302" s="314"/>
      <c r="BL302" s="314"/>
      <c r="BM302" s="314"/>
      <c r="BN302" s="314"/>
      <c r="BO302" s="314"/>
      <c r="BP302" s="314"/>
      <c r="BQ302" s="314"/>
      <c r="BR302" s="314"/>
      <c r="BS302" s="314"/>
      <c r="BT302" s="314"/>
      <c r="BU302" s="314"/>
      <c r="BV302" s="314"/>
      <c r="BW302" s="314"/>
      <c r="BX302" s="314"/>
      <c r="BY302" s="314"/>
      <c r="BZ302" s="314"/>
      <c r="CA302" s="314"/>
      <c r="CB302" s="314"/>
      <c r="CC302" s="314"/>
      <c r="CD302" s="314"/>
      <c r="CE302" s="314"/>
      <c r="CF302" s="314"/>
      <c r="CG302" s="314"/>
      <c r="CH302" s="314"/>
      <c r="CI302" s="314"/>
      <c r="CJ302" s="314"/>
      <c r="CK302" s="314"/>
      <c r="CL302" s="314"/>
      <c r="CM302" s="314"/>
      <c r="CN302" s="314"/>
      <c r="CO302" s="314"/>
      <c r="CP302" s="314"/>
      <c r="CQ302" s="314"/>
    </row>
    <row r="303" spans="1:95" ht="5.15" customHeight="1" x14ac:dyDescent="0.25">
      <c r="A303" s="307"/>
      <c r="C303" s="76"/>
      <c r="D303" s="76"/>
      <c r="E303" s="76"/>
      <c r="F303" s="76"/>
      <c r="G303" s="76"/>
      <c r="H303" s="76"/>
      <c r="I303" s="76"/>
      <c r="J303" s="76"/>
      <c r="K303" s="76"/>
      <c r="L303" s="76"/>
      <c r="O303" s="160"/>
      <c r="P303" s="109"/>
      <c r="Q303" s="312"/>
      <c r="R303" s="312"/>
      <c r="S303" s="314"/>
      <c r="T303" s="314"/>
      <c r="U303" s="314"/>
      <c r="V303" s="314"/>
      <c r="W303" s="314"/>
      <c r="X303" s="314"/>
      <c r="Y303" s="314"/>
      <c r="Z303" s="314"/>
      <c r="AA303" s="314"/>
      <c r="AB303" s="314"/>
      <c r="AC303" s="314"/>
      <c r="AD303" s="314"/>
      <c r="AE303" s="314"/>
      <c r="AF303" s="314"/>
      <c r="AG303" s="314"/>
      <c r="AH303" s="314"/>
      <c r="AI303" s="314"/>
      <c r="AJ303" s="314"/>
      <c r="AK303" s="314"/>
      <c r="AL303" s="314"/>
      <c r="AM303" s="314"/>
      <c r="AN303" s="314"/>
      <c r="AO303" s="314"/>
      <c r="AP303" s="314"/>
      <c r="AQ303" s="314"/>
      <c r="AR303" s="314"/>
      <c r="AS303" s="314"/>
      <c r="AT303" s="314"/>
      <c r="AU303" s="314"/>
      <c r="AV303" s="314"/>
      <c r="AW303" s="314"/>
      <c r="AX303" s="314"/>
      <c r="AY303" s="314"/>
      <c r="AZ303" s="314"/>
      <c r="BA303" s="314"/>
      <c r="BB303" s="314"/>
      <c r="BC303" s="314"/>
      <c r="BD303" s="314"/>
      <c r="BE303" s="314"/>
      <c r="BG303" s="364"/>
      <c r="BH303" s="314"/>
      <c r="BI303" s="314"/>
      <c r="BJ303" s="314"/>
      <c r="BK303" s="314"/>
      <c r="BL303" s="314"/>
      <c r="BM303" s="314"/>
      <c r="BN303" s="314"/>
      <c r="BO303" s="314"/>
      <c r="BP303" s="314"/>
      <c r="BQ303" s="314"/>
      <c r="BR303" s="314"/>
      <c r="BS303" s="314"/>
      <c r="BT303" s="314"/>
      <c r="BU303" s="314"/>
      <c r="BV303" s="314"/>
      <c r="BW303" s="314"/>
      <c r="BX303" s="314"/>
      <c r="BY303" s="314"/>
      <c r="BZ303" s="314"/>
      <c r="CA303" s="314"/>
      <c r="CB303" s="314"/>
      <c r="CC303" s="314"/>
      <c r="CD303" s="314"/>
      <c r="CE303" s="314"/>
      <c r="CF303" s="314"/>
      <c r="CG303" s="314"/>
      <c r="CH303" s="314"/>
      <c r="CI303" s="314"/>
      <c r="CJ303" s="314"/>
      <c r="CK303" s="314"/>
      <c r="CL303" s="314"/>
      <c r="CM303" s="314"/>
      <c r="CN303" s="314"/>
      <c r="CO303" s="314"/>
      <c r="CP303" s="314"/>
      <c r="CQ303" s="314"/>
    </row>
    <row r="304" spans="1:95" ht="12.75" customHeight="1" thickBot="1" x14ac:dyDescent="0.3">
      <c r="A304" s="307"/>
      <c r="C304" s="76"/>
      <c r="D304" s="76"/>
      <c r="E304" s="76"/>
      <c r="F304" s="76"/>
      <c r="G304" s="1268">
        <v>1</v>
      </c>
      <c r="H304" s="1268"/>
      <c r="I304" s="1268">
        <v>2</v>
      </c>
      <c r="J304" s="1268"/>
      <c r="K304" s="1268">
        <v>3</v>
      </c>
      <c r="L304" s="1268"/>
      <c r="O304" s="160"/>
      <c r="P304" s="109"/>
      <c r="Q304" s="312"/>
      <c r="R304" s="312"/>
      <c r="S304" s="314"/>
      <c r="T304" s="314"/>
      <c r="U304" s="314"/>
      <c r="V304" s="314"/>
      <c r="W304" s="314"/>
      <c r="X304" s="314"/>
      <c r="Y304" s="314"/>
      <c r="Z304" s="314"/>
      <c r="AA304" s="314"/>
      <c r="AB304" s="314"/>
      <c r="AC304" s="314"/>
      <c r="AD304" s="314"/>
      <c r="AE304" s="314"/>
      <c r="AF304" s="314"/>
      <c r="AG304" s="314"/>
      <c r="AH304" s="314"/>
      <c r="AI304" s="314"/>
      <c r="AJ304" s="314"/>
      <c r="AK304" s="314"/>
      <c r="AL304" s="314"/>
      <c r="AM304" s="314"/>
      <c r="AN304" s="314"/>
      <c r="AO304" s="314"/>
      <c r="AP304" s="314"/>
      <c r="AQ304" s="314"/>
      <c r="AR304" s="314"/>
      <c r="AS304" s="314"/>
      <c r="AT304" s="314"/>
      <c r="AU304" s="314"/>
      <c r="AV304" s="314"/>
      <c r="AW304" s="314"/>
      <c r="AX304" s="314"/>
      <c r="AY304" s="314"/>
      <c r="AZ304" s="314"/>
      <c r="BA304" s="314"/>
      <c r="BB304" s="314"/>
      <c r="BC304" s="314"/>
      <c r="BD304" s="314"/>
      <c r="BE304" s="314"/>
      <c r="BF304" s="314"/>
      <c r="BG304" s="364"/>
      <c r="BH304" s="314"/>
      <c r="BI304" s="314"/>
      <c r="BJ304" s="314"/>
      <c r="BK304" s="314"/>
      <c r="BL304" s="314"/>
      <c r="BM304" s="314"/>
      <c r="BN304" s="314"/>
      <c r="BO304" s="314"/>
      <c r="BP304" s="314"/>
      <c r="BQ304" s="314"/>
      <c r="BR304" s="314"/>
      <c r="BS304" s="314"/>
      <c r="BT304" s="314"/>
      <c r="BU304" s="314"/>
      <c r="BV304" s="314"/>
      <c r="BW304" s="314"/>
      <c r="BX304" s="314"/>
      <c r="BY304" s="314"/>
      <c r="BZ304" s="314"/>
      <c r="CA304" s="314"/>
      <c r="CB304" s="314"/>
      <c r="CC304" s="314"/>
      <c r="CD304" s="314"/>
      <c r="CE304" s="314"/>
      <c r="CF304" s="314"/>
      <c r="CG304" s="314"/>
      <c r="CH304" s="314"/>
      <c r="CI304" s="314"/>
      <c r="CJ304" s="314"/>
      <c r="CK304" s="314"/>
      <c r="CL304" s="314"/>
      <c r="CM304" s="314"/>
      <c r="CN304" s="314"/>
      <c r="CO304" s="314"/>
      <c r="CP304" s="314"/>
      <c r="CQ304" s="314"/>
    </row>
    <row r="305" spans="1:95" ht="12.75" customHeight="1" thickBot="1" x14ac:dyDescent="0.3">
      <c r="A305" s="462"/>
      <c r="B305" s="76"/>
      <c r="C305" s="76"/>
      <c r="D305" s="1246" t="str">
        <f>Translations!$B$372</f>
        <v>Consumers' CRF category:</v>
      </c>
      <c r="E305" s="1246"/>
      <c r="F305" s="1247"/>
      <c r="G305" s="1248"/>
      <c r="H305" s="1249"/>
      <c r="I305" s="1248"/>
      <c r="J305" s="1249"/>
      <c r="K305" s="1248"/>
      <c r="L305" s="1249"/>
      <c r="M305" s="463" t="str">
        <f>IF(AND(E284&lt;&gt;"",COUNTA(G305:L305)=0,AX305=FALSE),EUconst_ERR_Incomplete,"")</f>
        <v/>
      </c>
      <c r="N305" s="76"/>
      <c r="O305" s="160"/>
      <c r="P305" s="109"/>
      <c r="Q305" s="312"/>
      <c r="R305" s="312"/>
      <c r="S305" s="314"/>
      <c r="T305" s="314"/>
      <c r="U305" s="314"/>
      <c r="V305" s="314"/>
      <c r="W305" s="314"/>
      <c r="X305" s="314"/>
      <c r="Y305" s="314"/>
      <c r="Z305" s="314"/>
      <c r="AA305" s="314"/>
      <c r="AB305" s="314"/>
      <c r="AC305" s="314"/>
      <c r="AD305" s="314"/>
      <c r="AE305" s="314"/>
      <c r="AF305" s="314"/>
      <c r="AG305" s="314"/>
      <c r="AH305" s="314"/>
      <c r="AI305" s="314"/>
      <c r="AJ305" s="314"/>
      <c r="AK305" s="314"/>
      <c r="AL305" s="314"/>
      <c r="AM305" s="314"/>
      <c r="AN305" s="314"/>
      <c r="AO305" s="314"/>
      <c r="AP305" s="314"/>
      <c r="AQ305" s="314"/>
      <c r="AR305" s="314"/>
      <c r="AS305" s="314"/>
      <c r="AT305" s="314"/>
      <c r="AU305" s="314"/>
      <c r="AV305" s="314"/>
      <c r="AW305" s="314"/>
      <c r="AX305" s="464" t="b">
        <f>AND(AV301&lt;&gt;"",SUM(AV301=1))</f>
        <v>0</v>
      </c>
      <c r="AY305" s="314"/>
      <c r="AZ305" s="314"/>
      <c r="BA305" s="314"/>
      <c r="BB305" s="314"/>
      <c r="BC305" s="314"/>
      <c r="BD305" s="314"/>
      <c r="BE305" s="314"/>
      <c r="BF305" s="361" t="s">
        <v>169</v>
      </c>
      <c r="BG305" s="362" t="str">
        <f>IF(AN290=EUconst_TJ,AV290*AV298,IF(AN292=EUconst_GJ,AV290*AV292/1000*AV298,""))</f>
        <v/>
      </c>
      <c r="BH305" s="314"/>
      <c r="BI305" s="314"/>
      <c r="BJ305" s="314"/>
      <c r="BK305" s="314"/>
      <c r="BL305" s="314"/>
      <c r="BM305" s="314"/>
      <c r="BN305" s="314"/>
      <c r="BO305" s="314"/>
      <c r="BP305" s="314"/>
      <c r="BQ305" s="314"/>
      <c r="BR305" s="314"/>
      <c r="BS305" s="314"/>
      <c r="BT305" s="314"/>
      <c r="BU305" s="314"/>
      <c r="BV305" s="314"/>
      <c r="BW305" s="314"/>
      <c r="BX305" s="314"/>
      <c r="BY305" s="314"/>
      <c r="BZ305" s="314"/>
      <c r="CA305" s="314"/>
      <c r="CB305" s="314"/>
      <c r="CC305" s="314"/>
      <c r="CD305" s="314"/>
      <c r="CE305" s="314"/>
      <c r="CF305" s="314"/>
      <c r="CG305" s="314"/>
      <c r="CH305" s="314"/>
      <c r="CI305" s="314"/>
      <c r="CJ305" s="314"/>
      <c r="CK305" s="314"/>
      <c r="CL305" s="314"/>
      <c r="CM305" s="314"/>
      <c r="CN305" s="314"/>
      <c r="CO305" s="314"/>
      <c r="CP305" s="314"/>
      <c r="CQ305" s="314"/>
    </row>
    <row r="306" spans="1:95" ht="5.15" customHeight="1" x14ac:dyDescent="0.25">
      <c r="A306" s="307"/>
      <c r="B306" s="68"/>
      <c r="C306" s="68"/>
      <c r="D306" s="68"/>
      <c r="E306" s="68"/>
      <c r="F306" s="68"/>
      <c r="G306" s="76"/>
      <c r="H306" s="76"/>
      <c r="I306" s="76"/>
      <c r="J306" s="76"/>
      <c r="K306" s="76"/>
      <c r="L306" s="76"/>
      <c r="M306" s="76"/>
      <c r="N306" s="76"/>
      <c r="O306" s="160"/>
      <c r="P306" s="109"/>
      <c r="Q306" s="312"/>
      <c r="R306" s="312"/>
      <c r="S306" s="314"/>
      <c r="T306" s="314"/>
      <c r="U306" s="314"/>
      <c r="V306" s="314"/>
      <c r="W306" s="314"/>
      <c r="X306" s="314"/>
      <c r="Y306" s="314"/>
      <c r="Z306" s="314"/>
      <c r="AA306" s="314"/>
      <c r="AB306" s="314"/>
      <c r="AC306" s="314"/>
      <c r="AD306" s="314"/>
      <c r="AE306" s="314"/>
      <c r="AF306" s="314"/>
      <c r="AG306" s="314"/>
      <c r="AH306" s="314"/>
      <c r="AI306" s="314"/>
      <c r="AJ306" s="314"/>
      <c r="AK306" s="314"/>
      <c r="AL306" s="314"/>
      <c r="AM306" s="314"/>
      <c r="AN306" s="314"/>
      <c r="AO306" s="314"/>
      <c r="AP306" s="314"/>
      <c r="AQ306" s="314"/>
      <c r="AR306" s="314"/>
      <c r="AS306" s="314"/>
      <c r="AT306" s="314"/>
      <c r="AU306" s="314"/>
      <c r="AV306" s="314"/>
      <c r="AW306" s="314"/>
      <c r="AX306" s="314"/>
      <c r="AY306" s="314"/>
      <c r="AZ306" s="314"/>
      <c r="BA306" s="314"/>
      <c r="BB306" s="314"/>
      <c r="BC306" s="314"/>
      <c r="BD306" s="314"/>
      <c r="BE306" s="314"/>
      <c r="BF306" s="314"/>
      <c r="BG306" s="314"/>
      <c r="BH306" s="314"/>
      <c r="BI306" s="314"/>
      <c r="BJ306" s="314"/>
      <c r="BK306" s="314"/>
      <c r="BL306" s="314"/>
      <c r="BM306" s="314"/>
      <c r="BN306" s="314"/>
      <c r="BO306" s="314"/>
      <c r="BP306" s="314"/>
      <c r="BQ306" s="314"/>
      <c r="BR306" s="314"/>
      <c r="BS306" s="314"/>
      <c r="BT306" s="314"/>
      <c r="BU306" s="314"/>
      <c r="BV306" s="314"/>
      <c r="BW306" s="314"/>
      <c r="BX306" s="314"/>
      <c r="BY306" s="314"/>
      <c r="BZ306" s="314"/>
      <c r="CA306" s="314"/>
      <c r="CB306" s="314"/>
      <c r="CC306" s="314"/>
      <c r="CD306" s="314"/>
      <c r="CE306" s="314"/>
      <c r="CF306" s="314"/>
      <c r="CG306" s="314"/>
      <c r="CH306" s="314"/>
      <c r="CI306" s="314"/>
      <c r="CJ306" s="314"/>
      <c r="CK306" s="314"/>
      <c r="CL306" s="314"/>
      <c r="CM306" s="314"/>
      <c r="CN306" s="314"/>
      <c r="CO306" s="314"/>
      <c r="CP306" s="314"/>
      <c r="CQ306" s="314"/>
    </row>
    <row r="307" spans="1:95" ht="12.75" customHeight="1" x14ac:dyDescent="0.25">
      <c r="A307" s="307"/>
      <c r="B307" s="68"/>
      <c r="C307" s="68"/>
      <c r="D307" s="1246" t="str">
        <f>Translations!$B$399</f>
        <v>Tiers valid from:</v>
      </c>
      <c r="E307" s="1246"/>
      <c r="F307" s="1247"/>
      <c r="G307" s="8"/>
      <c r="H307" s="199" t="str">
        <f>Translations!$B$400</f>
        <v>until:</v>
      </c>
      <c r="I307" s="8"/>
      <c r="J307" s="76"/>
      <c r="K307" s="76"/>
      <c r="L307" s="76"/>
      <c r="M307" s="199" t="str">
        <f>Translations!$B$401</f>
        <v>ID used in the monitoring plan for this fuel stream:</v>
      </c>
      <c r="N307" s="9"/>
      <c r="O307" s="160"/>
      <c r="P307" s="109"/>
      <c r="Q307" s="312"/>
      <c r="R307" s="312"/>
      <c r="S307" s="465"/>
      <c r="T307" s="314"/>
      <c r="U307" s="314"/>
      <c r="V307" s="314"/>
      <c r="W307" s="314"/>
      <c r="X307" s="314"/>
      <c r="Y307" s="314"/>
      <c r="Z307" s="314"/>
      <c r="AA307" s="314"/>
      <c r="AB307" s="314"/>
      <c r="AC307" s="314"/>
      <c r="AD307" s="314"/>
      <c r="AE307" s="314"/>
      <c r="AF307" s="314"/>
      <c r="AG307" s="314"/>
      <c r="AH307" s="314"/>
      <c r="AI307" s="314"/>
      <c r="AJ307" s="314"/>
      <c r="AK307" s="314"/>
      <c r="AL307" s="314"/>
      <c r="AM307" s="314"/>
      <c r="AN307" s="314"/>
      <c r="AO307" s="314"/>
      <c r="AP307" s="314"/>
      <c r="AQ307" s="314"/>
      <c r="AR307" s="314"/>
      <c r="AS307" s="314"/>
      <c r="AT307" s="314"/>
      <c r="AU307" s="314"/>
      <c r="AV307" s="314"/>
      <c r="AW307" s="314"/>
      <c r="AX307" s="314"/>
      <c r="AY307" s="314"/>
      <c r="AZ307" s="314"/>
      <c r="BA307" s="314"/>
      <c r="BB307" s="314"/>
      <c r="BC307" s="314"/>
      <c r="BD307" s="314"/>
      <c r="BE307" s="314"/>
      <c r="BF307" s="314"/>
      <c r="BG307" s="314"/>
      <c r="BH307" s="314"/>
      <c r="BI307" s="314"/>
      <c r="BJ307" s="314"/>
      <c r="BK307" s="314"/>
      <c r="BL307" s="314"/>
      <c r="BM307" s="314"/>
      <c r="BN307" s="314"/>
      <c r="BO307" s="314"/>
      <c r="BP307" s="314"/>
      <c r="BQ307" s="314"/>
      <c r="BR307" s="314"/>
      <c r="BS307" s="314"/>
      <c r="BT307" s="314"/>
      <c r="BU307" s="314"/>
      <c r="BV307" s="314"/>
      <c r="BW307" s="314"/>
      <c r="BX307" s="314"/>
      <c r="BY307" s="314"/>
      <c r="BZ307" s="314"/>
      <c r="CA307" s="314"/>
      <c r="CB307" s="314"/>
      <c r="CC307" s="314"/>
      <c r="CD307" s="314"/>
      <c r="CE307" s="314"/>
      <c r="CF307" s="314"/>
      <c r="CG307" s="314"/>
      <c r="CH307" s="314"/>
      <c r="CI307" s="314"/>
      <c r="CJ307" s="314"/>
      <c r="CK307" s="314"/>
      <c r="CL307" s="314"/>
      <c r="CM307" s="314"/>
      <c r="CN307" s="314"/>
      <c r="CO307" s="314"/>
      <c r="CP307" s="314"/>
      <c r="CQ307" s="464" t="b">
        <f>CQ290</f>
        <v>0</v>
      </c>
    </row>
    <row r="308" spans="1:95" ht="5.15" customHeight="1" x14ac:dyDescent="0.25">
      <c r="A308" s="462"/>
      <c r="B308" s="76"/>
      <c r="C308" s="76"/>
      <c r="D308" s="76"/>
      <c r="E308" s="76"/>
      <c r="F308" s="76"/>
      <c r="G308" s="76"/>
      <c r="H308" s="76"/>
      <c r="I308" s="76"/>
      <c r="J308" s="76"/>
      <c r="K308" s="76"/>
      <c r="L308" s="76"/>
      <c r="M308" s="76"/>
      <c r="N308" s="76"/>
      <c r="O308" s="160"/>
      <c r="P308" s="109"/>
      <c r="Q308" s="312"/>
      <c r="R308" s="312"/>
      <c r="S308" s="314"/>
      <c r="T308" s="314"/>
      <c r="U308" s="314"/>
      <c r="V308" s="314"/>
      <c r="W308" s="314"/>
      <c r="X308" s="314"/>
      <c r="Y308" s="314"/>
      <c r="Z308" s="314"/>
      <c r="AA308" s="314"/>
      <c r="AB308" s="314"/>
      <c r="AC308" s="314"/>
      <c r="AD308" s="314"/>
      <c r="AE308" s="314"/>
      <c r="AF308" s="314"/>
      <c r="AG308" s="314"/>
      <c r="AH308" s="314"/>
      <c r="AI308" s="314"/>
      <c r="AJ308" s="314"/>
      <c r="AK308" s="314"/>
      <c r="AL308" s="314"/>
      <c r="AM308" s="314"/>
      <c r="AN308" s="314"/>
      <c r="AO308" s="314"/>
      <c r="AP308" s="314"/>
      <c r="AQ308" s="314"/>
      <c r="AR308" s="314"/>
      <c r="AS308" s="314"/>
      <c r="AT308" s="314"/>
      <c r="AU308" s="314"/>
      <c r="AV308" s="314"/>
      <c r="AW308" s="314"/>
      <c r="AX308" s="314"/>
      <c r="AY308" s="314"/>
      <c r="AZ308" s="314"/>
      <c r="BA308" s="314"/>
      <c r="BB308" s="314"/>
      <c r="BC308" s="314"/>
      <c r="BD308" s="314"/>
      <c r="BE308" s="314"/>
      <c r="BF308" s="314"/>
      <c r="BG308" s="314"/>
      <c r="BH308" s="314"/>
      <c r="BI308" s="314"/>
      <c r="BJ308" s="314"/>
      <c r="BK308" s="314"/>
      <c r="BL308" s="314"/>
      <c r="BM308" s="314"/>
      <c r="BN308" s="314"/>
      <c r="BO308" s="314"/>
      <c r="BP308" s="314"/>
      <c r="BQ308" s="314"/>
      <c r="BR308" s="314"/>
      <c r="BS308" s="314"/>
      <c r="BT308" s="314"/>
      <c r="BU308" s="314"/>
      <c r="BV308" s="314"/>
      <c r="BW308" s="314"/>
      <c r="BX308" s="314"/>
      <c r="BY308" s="314"/>
      <c r="BZ308" s="314"/>
      <c r="CA308" s="314"/>
      <c r="CB308" s="314"/>
      <c r="CC308" s="314"/>
      <c r="CD308" s="314"/>
      <c r="CE308" s="314"/>
      <c r="CF308" s="314"/>
      <c r="CG308" s="314"/>
      <c r="CH308" s="314"/>
      <c r="CI308" s="314"/>
      <c r="CJ308" s="314"/>
      <c r="CK308" s="314"/>
      <c r="CL308" s="314"/>
      <c r="CM308" s="314"/>
      <c r="CN308" s="314"/>
      <c r="CO308" s="314"/>
      <c r="CP308" s="314"/>
      <c r="CQ308" s="314"/>
    </row>
    <row r="309" spans="1:95" ht="12.75" customHeight="1" x14ac:dyDescent="0.25">
      <c r="A309" s="462"/>
      <c r="B309" s="76"/>
      <c r="C309" s="76"/>
      <c r="D309" s="115"/>
      <c r="E309" s="85"/>
      <c r="F309" s="466" t="str">
        <f>Translations!$B$304</f>
        <v>Comments:</v>
      </c>
      <c r="G309" s="1250"/>
      <c r="H309" s="1251"/>
      <c r="I309" s="1251"/>
      <c r="J309" s="1251"/>
      <c r="K309" s="1251"/>
      <c r="L309" s="1251"/>
      <c r="M309" s="1251"/>
      <c r="N309" s="1252"/>
      <c r="O309" s="160"/>
      <c r="P309" s="109"/>
      <c r="Q309" s="312"/>
      <c r="R309" s="312"/>
      <c r="S309" s="314"/>
      <c r="T309" s="314"/>
      <c r="U309" s="314"/>
      <c r="V309" s="314"/>
      <c r="W309" s="314"/>
      <c r="X309" s="314"/>
      <c r="Y309" s="314"/>
      <c r="Z309" s="314"/>
      <c r="AA309" s="314"/>
      <c r="AB309" s="314"/>
      <c r="AC309" s="314"/>
      <c r="AD309" s="314"/>
      <c r="AE309" s="314"/>
      <c r="AF309" s="314"/>
      <c r="AG309" s="314"/>
      <c r="AH309" s="314"/>
      <c r="AI309" s="314"/>
      <c r="AJ309" s="314"/>
      <c r="AK309" s="314"/>
      <c r="AL309" s="314"/>
      <c r="AM309" s="314"/>
      <c r="AN309" s="314"/>
      <c r="AO309" s="314"/>
      <c r="AP309" s="314"/>
      <c r="AQ309" s="314"/>
      <c r="AR309" s="314"/>
      <c r="AS309" s="314"/>
      <c r="AT309" s="314"/>
      <c r="AU309" s="314"/>
      <c r="AV309" s="314"/>
      <c r="AW309" s="314"/>
      <c r="AX309" s="314"/>
      <c r="AY309" s="314"/>
      <c r="AZ309" s="314"/>
      <c r="BA309" s="314"/>
      <c r="BB309" s="314"/>
      <c r="BC309" s="314"/>
      <c r="BD309" s="314"/>
      <c r="BE309" s="314"/>
      <c r="BF309" s="314"/>
      <c r="BG309" s="314"/>
      <c r="BH309" s="314"/>
      <c r="BI309" s="314"/>
      <c r="BJ309" s="314"/>
      <c r="BK309" s="314"/>
      <c r="BL309" s="314"/>
      <c r="BM309" s="314"/>
      <c r="BN309" s="314"/>
      <c r="BO309" s="314"/>
      <c r="BP309" s="314"/>
      <c r="BQ309" s="314"/>
      <c r="BR309" s="314"/>
      <c r="BS309" s="314"/>
      <c r="BT309" s="314"/>
      <c r="BU309" s="314"/>
      <c r="BV309" s="314"/>
      <c r="BW309" s="314"/>
      <c r="BX309" s="314"/>
      <c r="BY309" s="314"/>
      <c r="BZ309" s="314"/>
      <c r="CA309" s="314"/>
      <c r="CB309" s="314"/>
      <c r="CC309" s="314"/>
      <c r="CD309" s="314"/>
      <c r="CE309" s="314"/>
      <c r="CF309" s="314"/>
      <c r="CG309" s="314"/>
      <c r="CH309" s="314"/>
      <c r="CI309" s="314"/>
      <c r="CJ309" s="314"/>
      <c r="CK309" s="314"/>
      <c r="CL309" s="314"/>
      <c r="CM309" s="314"/>
      <c r="CN309" s="314"/>
      <c r="CO309" s="314"/>
      <c r="CP309" s="314"/>
      <c r="CQ309" s="464" t="b">
        <f>CQ307</f>
        <v>0</v>
      </c>
    </row>
    <row r="310" spans="1:95" ht="12.75" customHeight="1" thickBot="1" x14ac:dyDescent="0.3">
      <c r="A310" s="307"/>
      <c r="B310" s="76"/>
      <c r="C310" s="308"/>
      <c r="D310" s="309"/>
      <c r="E310" s="310"/>
      <c r="F310" s="308"/>
      <c r="G310" s="311"/>
      <c r="H310" s="311"/>
      <c r="I310" s="311"/>
      <c r="J310" s="311"/>
      <c r="K310" s="311"/>
      <c r="L310" s="311"/>
      <c r="M310" s="311"/>
      <c r="N310" s="311"/>
      <c r="O310" s="160"/>
      <c r="P310" s="109"/>
      <c r="Q310" s="312"/>
      <c r="R310" s="312"/>
      <c r="S310" s="293"/>
      <c r="T310" s="293"/>
      <c r="U310" s="313"/>
      <c r="V310" s="293"/>
      <c r="W310" s="293"/>
      <c r="X310" s="313"/>
      <c r="Y310" s="293"/>
      <c r="Z310" s="293"/>
      <c r="AA310" s="293"/>
      <c r="AB310" s="293"/>
      <c r="AC310" s="293"/>
      <c r="AD310" s="293"/>
      <c r="AE310" s="293"/>
      <c r="AF310" s="293"/>
      <c r="AG310" s="293"/>
      <c r="AH310" s="293"/>
      <c r="AI310" s="293"/>
      <c r="AJ310" s="293"/>
      <c r="AK310" s="293"/>
      <c r="AL310" s="293"/>
      <c r="AM310" s="293"/>
      <c r="AN310" s="293"/>
      <c r="AO310" s="293"/>
      <c r="AP310" s="293"/>
      <c r="AQ310" s="293"/>
      <c r="AR310" s="293"/>
      <c r="AS310" s="293"/>
      <c r="AT310" s="293"/>
      <c r="AU310" s="293"/>
      <c r="AV310" s="293"/>
      <c r="AW310" s="293"/>
      <c r="AX310" s="293"/>
      <c r="AY310" s="293"/>
      <c r="AZ310" s="293"/>
      <c r="BA310" s="293"/>
      <c r="BB310" s="293"/>
      <c r="BC310" s="293"/>
      <c r="BD310" s="293"/>
      <c r="BE310" s="293"/>
      <c r="BF310" s="293"/>
      <c r="BG310" s="293"/>
      <c r="BH310" s="293"/>
      <c r="BI310" s="293"/>
      <c r="BJ310" s="293"/>
      <c r="BK310" s="293"/>
      <c r="BL310" s="293"/>
      <c r="BM310" s="314"/>
      <c r="BN310" s="314"/>
      <c r="BO310" s="314"/>
      <c r="BP310" s="314"/>
      <c r="BQ310" s="314"/>
      <c r="BR310" s="314"/>
      <c r="BS310" s="314"/>
      <c r="BT310" s="314"/>
      <c r="BU310" s="293"/>
      <c r="BV310" s="293"/>
      <c r="BW310" s="293"/>
      <c r="BX310" s="293"/>
      <c r="BY310" s="293"/>
      <c r="BZ310" s="293"/>
      <c r="CA310" s="293"/>
      <c r="CB310" s="293"/>
      <c r="CC310" s="293"/>
      <c r="CD310" s="293"/>
      <c r="CE310" s="293"/>
      <c r="CF310" s="293"/>
      <c r="CG310" s="293"/>
      <c r="CH310" s="293"/>
      <c r="CI310" s="293"/>
      <c r="CJ310" s="293"/>
      <c r="CK310" s="293"/>
      <c r="CL310" s="293"/>
      <c r="CM310" s="293"/>
      <c r="CN310" s="293"/>
      <c r="CO310" s="293"/>
      <c r="CP310" s="293"/>
      <c r="CQ310" s="293"/>
    </row>
    <row r="311" spans="1:95" ht="12.75" customHeight="1" thickBot="1" x14ac:dyDescent="0.3">
      <c r="A311" s="315"/>
      <c r="B311" s="76"/>
      <c r="C311" s="76"/>
      <c r="D311" s="205"/>
      <c r="E311" s="316"/>
      <c r="F311" s="76"/>
      <c r="G311" s="96"/>
      <c r="H311" s="96"/>
      <c r="I311" s="96"/>
      <c r="J311" s="96"/>
      <c r="K311" s="76"/>
      <c r="L311" s="96"/>
      <c r="M311" s="96"/>
      <c r="N311" s="96"/>
      <c r="O311" s="160"/>
      <c r="P311" s="109"/>
      <c r="Q311" s="312"/>
      <c r="R311" s="312"/>
      <c r="S311" s="287"/>
      <c r="T311" s="317" t="str">
        <f>IF(ISBLANK(E312),"",MATCH(E312,CNTR_SourceStreamNames,0))</f>
        <v/>
      </c>
      <c r="U311" s="318" t="str">
        <f>IF(ISBLANK(E312),"",INDEX(B_IdentifyFuelStreams!$D$67:$D$116,MATCH(E312,CNTR_SourceStreamNames,0)))</f>
        <v/>
      </c>
      <c r="V311" s="301"/>
      <c r="W311" s="138"/>
      <c r="X311" s="138"/>
      <c r="Y311" s="138"/>
      <c r="Z311" s="293"/>
      <c r="AA311" s="293"/>
      <c r="AB311" s="293"/>
      <c r="AC311" s="293"/>
      <c r="AD311" s="293"/>
      <c r="AE311" s="293"/>
      <c r="AF311" s="293"/>
      <c r="AG311" s="293"/>
      <c r="AH311" s="293"/>
      <c r="AI311" s="293"/>
      <c r="AJ311" s="293"/>
      <c r="AK311" s="312"/>
      <c r="AL311" s="293"/>
      <c r="AM311" s="293"/>
      <c r="AN311" s="293"/>
      <c r="AO311" s="293"/>
      <c r="AP311" s="293"/>
      <c r="AQ311" s="293"/>
      <c r="AR311" s="293"/>
      <c r="AS311" s="293"/>
      <c r="AT311" s="293"/>
      <c r="AU311" s="293"/>
      <c r="AV311" s="293"/>
      <c r="AW311" s="293"/>
      <c r="AX311" s="293"/>
      <c r="AY311" s="293"/>
      <c r="AZ311" s="293"/>
      <c r="BA311" s="293"/>
      <c r="BB311" s="293"/>
      <c r="BC311" s="293"/>
      <c r="BD311" s="293"/>
      <c r="BE311" s="293"/>
      <c r="BF311" s="293"/>
      <c r="BG311" s="293"/>
      <c r="BH311" s="293"/>
      <c r="BI311" s="293"/>
      <c r="BJ311" s="138"/>
      <c r="BK311" s="138"/>
      <c r="BL311" s="138"/>
      <c r="BM311" s="138"/>
      <c r="BN311" s="138"/>
      <c r="BO311" s="138"/>
      <c r="BP311" s="138"/>
      <c r="BQ311" s="138"/>
      <c r="BR311" s="138"/>
      <c r="BS311" s="138"/>
      <c r="BT311" s="138"/>
      <c r="BU311" s="138"/>
      <c r="BV311" s="138"/>
      <c r="BW311" s="138"/>
      <c r="BX311" s="138"/>
      <c r="BY311" s="138"/>
      <c r="BZ311" s="138"/>
      <c r="CA311" s="138"/>
      <c r="CB311" s="138"/>
      <c r="CC311" s="138"/>
      <c r="CD311" s="138"/>
      <c r="CE311" s="138"/>
      <c r="CF311" s="138"/>
      <c r="CG311" s="138"/>
      <c r="CH311" s="138"/>
      <c r="CI311" s="138"/>
      <c r="CJ311" s="138"/>
      <c r="CK311" s="138"/>
      <c r="CL311" s="138"/>
      <c r="CM311" s="138"/>
      <c r="CN311" s="138"/>
      <c r="CO311" s="138"/>
      <c r="CP311" s="138"/>
      <c r="CQ311" s="319" t="s">
        <v>107</v>
      </c>
    </row>
    <row r="312" spans="1:95" ht="15" customHeight="1" thickBot="1" x14ac:dyDescent="0.3">
      <c r="A312" s="320">
        <f>C312</f>
        <v>10</v>
      </c>
      <c r="B312" s="68"/>
      <c r="C312" s="321">
        <f>C284+1</f>
        <v>10</v>
      </c>
      <c r="D312" s="68"/>
      <c r="E312" s="1269"/>
      <c r="F312" s="1270"/>
      <c r="G312" s="1270"/>
      <c r="H312" s="1270"/>
      <c r="I312" s="1270"/>
      <c r="J312" s="1271"/>
      <c r="K312" s="1272" t="str">
        <f>IF(INDEX(B_IdentifyFuelStreams!$K$125:$K$174,MATCH(U311,B_IdentifyFuelStreams!$D$125:$D$174,0))&gt;0,INDEX(B_IdentifyFuelStreams!$K$125:$K$174,MATCH(U311,B_IdentifyFuelStreams!$D$125:$D$174,0)),"")</f>
        <v/>
      </c>
      <c r="L312" s="1273"/>
      <c r="M312" s="316" t="s">
        <v>176</v>
      </c>
      <c r="N312" s="322" t="str">
        <f>IF(E313="","",BG318)</f>
        <v/>
      </c>
      <c r="O312" s="323" t="str">
        <f>EUconst_tCO2</f>
        <v>tCO2</v>
      </c>
      <c r="P312" s="324" t="str">
        <f>IF(AND(E312&lt;&gt;"",COUNTIF(P313:$P$1649,"PRINT")=0),"PRINT","")</f>
        <v/>
      </c>
      <c r="Q312" s="325" t="str">
        <f>EUconst_SumCO2</f>
        <v>SUM_CO2</v>
      </c>
      <c r="R312" s="312"/>
      <c r="S312" s="287"/>
      <c r="T312" s="287"/>
      <c r="U312" s="287"/>
      <c r="V312" s="301"/>
      <c r="W312" s="138"/>
      <c r="X312" s="293"/>
      <c r="Y312" s="293"/>
      <c r="Z312" s="293"/>
      <c r="AA312" s="293"/>
      <c r="AB312" s="293"/>
      <c r="AC312" s="293"/>
      <c r="AD312" s="293"/>
      <c r="AE312" s="293"/>
      <c r="AF312" s="293"/>
      <c r="AG312" s="293"/>
      <c r="AH312" s="293"/>
      <c r="AI312" s="326"/>
      <c r="AJ312" s="326"/>
      <c r="AK312" s="326"/>
      <c r="AL312" s="326"/>
      <c r="AM312" s="326"/>
      <c r="AN312" s="326"/>
      <c r="AO312" s="326"/>
      <c r="AP312" s="326"/>
      <c r="AQ312" s="326"/>
      <c r="AR312" s="326"/>
      <c r="AS312" s="326"/>
      <c r="AT312" s="326"/>
      <c r="AU312" s="326"/>
      <c r="AV312" s="326"/>
      <c r="AW312" s="326"/>
      <c r="AX312" s="326"/>
      <c r="AY312" s="326"/>
      <c r="AZ312" s="326"/>
      <c r="BA312" s="326"/>
      <c r="BB312" s="326"/>
      <c r="BC312" s="326"/>
      <c r="BD312" s="326"/>
      <c r="BE312" s="326"/>
      <c r="BF312" s="326"/>
      <c r="BG312" s="326"/>
      <c r="BH312" s="326"/>
      <c r="BI312" s="327" t="str">
        <f>IF(E312="","",E312)</f>
        <v/>
      </c>
      <c r="BJ312" s="328" t="str">
        <f>IF(F318="","",F318)</f>
        <v/>
      </c>
      <c r="BK312" s="329">
        <f>AV318</f>
        <v>0</v>
      </c>
      <c r="BL312" s="329">
        <f>IF(BK312="","",BK312*(1-BP312))</f>
        <v>0</v>
      </c>
      <c r="BM312" s="328" t="str">
        <f>AJ318</f>
        <v/>
      </c>
      <c r="BN312" s="328" t="str">
        <f>IF(F329="","",F329)</f>
        <v/>
      </c>
      <c r="BO312" s="327" t="str">
        <f>IF(G329="","",G329)</f>
        <v/>
      </c>
      <c r="BP312" s="330">
        <f>AV329</f>
        <v>0</v>
      </c>
      <c r="BQ312" s="328" t="str">
        <f>IF(F321="","",F321)</f>
        <v/>
      </c>
      <c r="BR312" s="330">
        <f>AV321</f>
        <v>0</v>
      </c>
      <c r="BS312" s="330" t="str">
        <f>AJ321</f>
        <v/>
      </c>
      <c r="BT312" s="328" t="str">
        <f>IF(F320="","",F320)</f>
        <v/>
      </c>
      <c r="BU312" s="330">
        <f>IF(F320=EUconst_NA,"",AV320)</f>
        <v>0</v>
      </c>
      <c r="BV312" s="330" t="str">
        <f>AJ320</f>
        <v/>
      </c>
      <c r="BW312" s="328" t="str">
        <f>IF(F322="","",F322)</f>
        <v/>
      </c>
      <c r="BX312" s="330">
        <f>AV322</f>
        <v>0</v>
      </c>
      <c r="BY312" s="328" t="str">
        <f>IF(F323="","",F323)</f>
        <v/>
      </c>
      <c r="BZ312" s="330">
        <f>AV323</f>
        <v>0</v>
      </c>
      <c r="CA312" s="330">
        <f>AV324</f>
        <v>0</v>
      </c>
      <c r="CB312" s="330">
        <f>AV325</f>
        <v>0</v>
      </c>
      <c r="CC312" s="330">
        <f>AV326</f>
        <v>0</v>
      </c>
      <c r="CD312" s="330">
        <f>AV327</f>
        <v>0</v>
      </c>
      <c r="CE312" s="329" t="str">
        <f>BG318</f>
        <v/>
      </c>
      <c r="CF312" s="329" t="str">
        <f>BG320</f>
        <v/>
      </c>
      <c r="CG312" s="329" t="str">
        <f>BG321</f>
        <v/>
      </c>
      <c r="CH312" s="329" t="str">
        <f>BG322</f>
        <v/>
      </c>
      <c r="CI312" s="329" t="str">
        <f>BG323</f>
        <v/>
      </c>
      <c r="CJ312" s="329" t="str">
        <f>BG324</f>
        <v/>
      </c>
      <c r="CK312" s="329" t="str">
        <f>BG325</f>
        <v/>
      </c>
      <c r="CL312" s="329">
        <f>BG326</f>
        <v>0</v>
      </c>
      <c r="CM312" s="329" t="str">
        <f>BG327</f>
        <v/>
      </c>
      <c r="CN312" s="329" t="str">
        <f>BG329</f>
        <v/>
      </c>
      <c r="CO312" s="329" t="str">
        <f>BG333</f>
        <v/>
      </c>
      <c r="CP312" s="329" t="str">
        <f>IF(COUNTIF(AO321:AO322,TRUE)=0,"",BH318)</f>
        <v/>
      </c>
      <c r="CQ312" s="331" t="b">
        <v>0</v>
      </c>
    </row>
    <row r="313" spans="1:95" ht="15" customHeight="1" thickBot="1" x14ac:dyDescent="0.3">
      <c r="A313" s="307"/>
      <c r="B313" s="68"/>
      <c r="C313" s="68"/>
      <c r="D313" s="68"/>
      <c r="E313" s="1274" t="str">
        <f>IF(ISBLANK(E312),"",IF(INDEX(B_IdentifyFuelStreams!$E$67:$E$116,MATCH(U311,B_IdentifyFuelStreams!$D$67:$D$116,0))&gt;0,INDEX(B_IdentifyFuelStreams!$E$67:$E$116,MATCH(U311,B_IdentifyFuelStreams!$D$67:$D$116,0)),""))</f>
        <v/>
      </c>
      <c r="F313" s="1275"/>
      <c r="G313" s="1275"/>
      <c r="H313" s="1275"/>
      <c r="I313" s="1275"/>
      <c r="J313" s="1276"/>
      <c r="K313" s="1272" t="str">
        <f>IF(INDEX(B_IdentifyFuelStreams!$M$125:$M$174,MATCH(U311,B_IdentifyFuelStreams!$D$125:$D$174,0))&gt;0,INDEX(B_IdentifyFuelStreams!$M$125:$M$174,MATCH(U311,B_IdentifyFuelStreams!$D$125:$D$174,0)),"")</f>
        <v/>
      </c>
      <c r="L313" s="1273"/>
      <c r="M313" s="332" t="str">
        <f>Translations!$B$622</f>
        <v>zero-rated:</v>
      </c>
      <c r="N313" s="333" t="str">
        <f>IF(E313="","",SUM(BG320,BG322,BG324))</f>
        <v/>
      </c>
      <c r="O313" s="334" t="str">
        <f>EUconst_tCO2</f>
        <v>tCO2</v>
      </c>
      <c r="P313" s="109"/>
      <c r="Q313" s="325" t="str">
        <f>EUconst_SumBioCO2</f>
        <v>SUM_bioCO2</v>
      </c>
      <c r="R313" s="312"/>
      <c r="S313" s="287"/>
      <c r="T313" s="287"/>
      <c r="U313" s="287"/>
      <c r="V313" s="301"/>
      <c r="W313" s="138"/>
      <c r="X313" s="293"/>
      <c r="Y313" s="317" t="str">
        <f>Translations!$B$143</f>
        <v>Tiers</v>
      </c>
      <c r="Z313" s="314"/>
      <c r="AA313" s="314"/>
      <c r="AB313" s="314"/>
      <c r="AC313" s="314"/>
      <c r="AD313" s="314"/>
      <c r="AE313" s="317" t="s">
        <v>108</v>
      </c>
      <c r="AF313" s="293"/>
      <c r="AG313" s="335"/>
      <c r="AH313" s="314"/>
      <c r="AI313" s="314"/>
      <c r="AJ313" s="335"/>
      <c r="AK313" s="335"/>
      <c r="AL313" s="326"/>
      <c r="AM313" s="326"/>
      <c r="AN313" s="326"/>
      <c r="AO313" s="326"/>
      <c r="AP313" s="326"/>
      <c r="AQ313" s="317" t="s">
        <v>109</v>
      </c>
      <c r="AR313" s="336"/>
      <c r="AS313" s="336"/>
      <c r="AT313" s="314"/>
      <c r="AU313" s="314"/>
      <c r="AV313" s="314"/>
      <c r="AW313" s="314"/>
      <c r="AX313" s="314"/>
      <c r="AY313" s="314"/>
      <c r="AZ313" s="317" t="s">
        <v>110</v>
      </c>
      <c r="BA313" s="314"/>
      <c r="BB313" s="314"/>
      <c r="BC313" s="314"/>
      <c r="BD313" s="314"/>
      <c r="BE313" s="314"/>
      <c r="BF313" s="317" t="s">
        <v>111</v>
      </c>
      <c r="BG313" s="314"/>
      <c r="BH313" s="314"/>
      <c r="BI313" s="317" t="s">
        <v>112</v>
      </c>
      <c r="BJ313" s="328" t="str">
        <f>Translations!$B$376</f>
        <v>RFA Tier</v>
      </c>
      <c r="BK313" s="328" t="str">
        <f>Translations!$B$377</f>
        <v>RFA</v>
      </c>
      <c r="BL313" s="328" t="str">
        <f>Translations!$B$378</f>
        <v>RFA (in scope)</v>
      </c>
      <c r="BM313" s="328" t="str">
        <f>Translations!$B$379</f>
        <v>RFA Unit</v>
      </c>
      <c r="BN313" s="328" t="str">
        <f>Translations!$B$380</f>
        <v>SF Tier</v>
      </c>
      <c r="BO313" s="328" t="str">
        <f>Translations!$B$380</f>
        <v>SF Tier</v>
      </c>
      <c r="BP313" s="328" t="str">
        <f>Translations!$B$381</f>
        <v>SF</v>
      </c>
      <c r="BQ313" s="328" t="str">
        <f>Translations!$B$382</f>
        <v>EF Tier</v>
      </c>
      <c r="BR313" s="328" t="str">
        <f>Translations!$B$383</f>
        <v>EF</v>
      </c>
      <c r="BS313" s="328" t="str">
        <f>Translations!$B$384</f>
        <v>EF Unit</v>
      </c>
      <c r="BT313" s="328" t="str">
        <f>Translations!$B$385</f>
        <v>UCF Tier</v>
      </c>
      <c r="BU313" s="328" t="str">
        <f>Translations!$B$386</f>
        <v>UCF</v>
      </c>
      <c r="BV313" s="328" t="str">
        <f>Translations!$B$387</f>
        <v>UCF Unit</v>
      </c>
      <c r="BW313" s="328" t="str">
        <f>Translations!$B$388</f>
        <v>Bio Tier</v>
      </c>
      <c r="BX313" s="328" t="s">
        <v>113</v>
      </c>
      <c r="BY313" s="328" t="str">
        <f>Translations!$B$389</f>
        <v>NonSustBio Tier</v>
      </c>
      <c r="BZ313" s="328" t="s">
        <v>114</v>
      </c>
      <c r="CA313" s="328" t="s">
        <v>115</v>
      </c>
      <c r="CB313" s="328" t="s">
        <v>116</v>
      </c>
      <c r="CC313" s="328" t="s">
        <v>117</v>
      </c>
      <c r="CD313" s="328" t="s">
        <v>118</v>
      </c>
      <c r="CE313" s="328" t="s">
        <v>119</v>
      </c>
      <c r="CF313" s="328" t="s">
        <v>120</v>
      </c>
      <c r="CG313" s="328" t="str">
        <f>Translations!$B$392</f>
        <v>CO2 non-sust</v>
      </c>
      <c r="CH313" s="328" t="s">
        <v>121</v>
      </c>
      <c r="CI313" s="328" t="s">
        <v>122</v>
      </c>
      <c r="CJ313" s="328" t="s">
        <v>123</v>
      </c>
      <c r="CK313" s="328" t="s">
        <v>124</v>
      </c>
      <c r="CL313" s="328" t="s">
        <v>125</v>
      </c>
      <c r="CM313" s="328" t="str">
        <f>Translations!$B$551</f>
        <v>Energy content (bio), TJ</v>
      </c>
      <c r="CN313" s="328" t="s">
        <v>126</v>
      </c>
      <c r="CO313" s="328" t="s">
        <v>127</v>
      </c>
      <c r="CP313" s="328" t="s">
        <v>128</v>
      </c>
      <c r="CQ313" s="314"/>
    </row>
    <row r="314" spans="1:95" ht="5.15" customHeight="1" thickBot="1" x14ac:dyDescent="0.3">
      <c r="A314" s="307"/>
      <c r="B314" s="68"/>
      <c r="C314" s="68"/>
      <c r="D314" s="68"/>
      <c r="E314" s="68"/>
      <c r="F314" s="68"/>
      <c r="G314" s="68"/>
      <c r="H314" s="76"/>
      <c r="I314" s="76"/>
      <c r="J314" s="76"/>
      <c r="K314" s="76"/>
      <c r="L314" s="76"/>
      <c r="M314" s="76"/>
      <c r="N314" s="76"/>
      <c r="O314" s="160"/>
      <c r="P314" s="109"/>
      <c r="Q314" s="312"/>
      <c r="R314" s="312"/>
      <c r="S314" s="287"/>
      <c r="T314" s="287"/>
      <c r="U314" s="287"/>
      <c r="V314" s="301"/>
      <c r="W314" s="314"/>
      <c r="X314" s="314"/>
      <c r="Y314" s="312"/>
      <c r="Z314" s="314"/>
      <c r="AA314" s="314"/>
      <c r="AB314" s="314"/>
      <c r="AC314" s="314"/>
      <c r="AD314" s="314"/>
      <c r="AE314" s="314"/>
      <c r="AF314" s="293"/>
      <c r="AG314" s="314"/>
      <c r="AH314" s="314"/>
      <c r="AI314" s="314"/>
      <c r="AJ314" s="335"/>
      <c r="AK314" s="335"/>
      <c r="AL314" s="326"/>
      <c r="AM314" s="326"/>
      <c r="AN314" s="326"/>
      <c r="AO314" s="326"/>
      <c r="AP314" s="326"/>
      <c r="AQ314" s="314"/>
      <c r="AR314" s="314"/>
      <c r="AS314" s="314"/>
      <c r="AT314" s="314"/>
      <c r="AU314" s="314"/>
      <c r="AV314" s="314"/>
      <c r="AW314" s="314"/>
      <c r="AX314" s="314"/>
      <c r="AY314" s="314"/>
      <c r="AZ314" s="314"/>
      <c r="BA314" s="314"/>
      <c r="BB314" s="314"/>
      <c r="BC314" s="314"/>
      <c r="BD314" s="314"/>
      <c r="BE314" s="314"/>
      <c r="BF314" s="314"/>
      <c r="BG314" s="314"/>
      <c r="BH314" s="314"/>
      <c r="BI314" s="314"/>
      <c r="BJ314" s="314"/>
      <c r="BK314" s="314"/>
      <c r="BL314" s="314"/>
      <c r="BM314" s="314"/>
      <c r="BN314" s="314"/>
      <c r="BO314" s="314"/>
      <c r="BP314" s="314"/>
      <c r="BQ314" s="314"/>
      <c r="BR314" s="314"/>
      <c r="BS314" s="314"/>
      <c r="BT314" s="314"/>
      <c r="BU314" s="314"/>
      <c r="BV314" s="314"/>
      <c r="BW314" s="314"/>
      <c r="BX314" s="314"/>
      <c r="BY314" s="314"/>
      <c r="BZ314" s="314"/>
      <c r="CA314" s="314"/>
      <c r="CB314" s="314"/>
      <c r="CC314" s="314"/>
      <c r="CD314" s="314"/>
      <c r="CE314" s="314"/>
      <c r="CF314" s="314"/>
      <c r="CG314" s="314"/>
      <c r="CH314" s="314"/>
      <c r="CI314" s="314"/>
      <c r="CJ314" s="314"/>
      <c r="CK314" s="314"/>
      <c r="CL314" s="314"/>
      <c r="CM314" s="314"/>
      <c r="CN314" s="314"/>
      <c r="CO314" s="314"/>
      <c r="CP314" s="314"/>
      <c r="CQ314" s="314"/>
    </row>
    <row r="315" spans="1:95" ht="12.75" customHeight="1" thickBot="1" x14ac:dyDescent="0.3">
      <c r="A315" s="307"/>
      <c r="B315" s="68"/>
      <c r="C315" s="68"/>
      <c r="D315" s="68"/>
      <c r="E315" s="1253" t="str">
        <f>IF(E312="","",HYPERLINK("#JUMP_E_Top",EUconst_FurtherGuidancePoint1))</f>
        <v/>
      </c>
      <c r="F315" s="1253"/>
      <c r="G315" s="1253"/>
      <c r="H315" s="1253"/>
      <c r="I315" s="1253"/>
      <c r="J315" s="1253"/>
      <c r="K315" s="1253"/>
      <c r="L315" s="1253"/>
      <c r="M315" s="1253"/>
      <c r="N315" s="76"/>
      <c r="O315" s="160"/>
      <c r="P315" s="109"/>
      <c r="Q315" s="325" t="str">
        <f>EUconst_SumNonSustBioCO2</f>
        <v>SUM_bioNonSustCO2</v>
      </c>
      <c r="R315" s="337" t="str">
        <f>IF(E313="","",BG321)</f>
        <v/>
      </c>
      <c r="S315" s="287"/>
      <c r="T315" s="287"/>
      <c r="U315" s="287"/>
      <c r="V315" s="314"/>
      <c r="W315" s="314"/>
      <c r="X315" s="314"/>
      <c r="Y315" s="293"/>
      <c r="Z315" s="314"/>
      <c r="AA315" s="314"/>
      <c r="AB315" s="314"/>
      <c r="AC315" s="314"/>
      <c r="AD315" s="314"/>
      <c r="AE315" s="314"/>
      <c r="AF315" s="293"/>
      <c r="AG315" s="314"/>
      <c r="AH315" s="314"/>
      <c r="AI315" s="314"/>
      <c r="AJ315" s="335"/>
      <c r="AK315" s="335"/>
      <c r="AL315" s="326"/>
      <c r="AM315" s="326"/>
      <c r="AN315" s="326"/>
      <c r="AO315" s="326"/>
      <c r="AP315" s="326"/>
      <c r="AQ315" s="314"/>
      <c r="AR315" s="314"/>
      <c r="AS315" s="314"/>
      <c r="AT315" s="314"/>
      <c r="AU315" s="314"/>
      <c r="AV315" s="314"/>
      <c r="AW315" s="314"/>
      <c r="AX315" s="314"/>
      <c r="AY315" s="314"/>
      <c r="AZ315" s="314"/>
      <c r="BA315" s="314"/>
      <c r="BB315" s="314"/>
      <c r="BC315" s="314"/>
      <c r="BD315" s="314"/>
      <c r="BE315" s="314"/>
      <c r="BF315" s="314"/>
      <c r="BG315" s="314"/>
      <c r="BH315" s="314"/>
      <c r="BI315" s="317" t="s">
        <v>129</v>
      </c>
      <c r="BJ315" s="336"/>
      <c r="BK315" s="327" t="str">
        <f>IF(G333="","",G333)</f>
        <v/>
      </c>
      <c r="BL315" s="327" t="str">
        <f>IF(I333="","",I333)</f>
        <v/>
      </c>
      <c r="BM315" s="327" t="str">
        <f>IF(K333="","",K333)</f>
        <v/>
      </c>
      <c r="BN315" s="314"/>
      <c r="BO315" s="314"/>
      <c r="BP315" s="314"/>
      <c r="BQ315" s="314"/>
      <c r="BR315" s="314"/>
      <c r="BS315" s="314"/>
      <c r="BT315" s="319"/>
      <c r="BU315" s="314"/>
      <c r="BV315" s="314"/>
      <c r="BW315" s="314"/>
      <c r="BX315" s="314"/>
      <c r="BY315" s="314"/>
      <c r="BZ315" s="314"/>
      <c r="CA315" s="314"/>
      <c r="CB315" s="314"/>
      <c r="CC315" s="314"/>
      <c r="CD315" s="314"/>
      <c r="CE315" s="314"/>
      <c r="CF315" s="314"/>
      <c r="CG315" s="314"/>
      <c r="CH315" s="314"/>
      <c r="CI315" s="314"/>
      <c r="CJ315" s="314"/>
      <c r="CK315" s="314"/>
      <c r="CL315" s="314"/>
      <c r="CM315" s="314"/>
      <c r="CN315" s="314"/>
      <c r="CO315" s="314"/>
      <c r="CP315" s="314"/>
      <c r="CQ315" s="314"/>
    </row>
    <row r="316" spans="1:95" ht="5.15" customHeight="1" thickBot="1" x14ac:dyDescent="0.3">
      <c r="A316" s="307"/>
      <c r="B316" s="68"/>
      <c r="C316" s="68"/>
      <c r="D316" s="68"/>
      <c r="E316" s="68"/>
      <c r="F316" s="68"/>
      <c r="G316" s="68"/>
      <c r="H316" s="76"/>
      <c r="I316" s="76"/>
      <c r="J316" s="76"/>
      <c r="K316" s="76"/>
      <c r="L316" s="76"/>
      <c r="M316" s="76"/>
      <c r="N316" s="76"/>
      <c r="O316" s="160"/>
      <c r="P316" s="111"/>
      <c r="Q316" s="287"/>
      <c r="R316" s="111"/>
      <c r="S316" s="287"/>
      <c r="T316" s="287"/>
      <c r="U316" s="287"/>
      <c r="V316" s="314"/>
      <c r="W316" s="314"/>
      <c r="X316" s="314"/>
      <c r="Y316" s="312"/>
      <c r="Z316" s="314"/>
      <c r="AA316" s="314"/>
      <c r="AB316" s="314"/>
      <c r="AC316" s="314"/>
      <c r="AD316" s="314"/>
      <c r="AE316" s="314"/>
      <c r="AF316" s="293"/>
      <c r="AG316" s="314"/>
      <c r="AH316" s="314"/>
      <c r="AI316" s="314"/>
      <c r="AJ316" s="335"/>
      <c r="AK316" s="335"/>
      <c r="AL316" s="326"/>
      <c r="AM316" s="326"/>
      <c r="AN316" s="326"/>
      <c r="AO316" s="326"/>
      <c r="AP316" s="326"/>
      <c r="AQ316" s="314"/>
      <c r="AR316" s="314"/>
      <c r="AS316" s="314"/>
      <c r="AT316" s="314"/>
      <c r="AU316" s="314"/>
      <c r="AV316" s="314"/>
      <c r="AW316" s="314"/>
      <c r="AX316" s="314"/>
      <c r="AY316" s="314"/>
      <c r="AZ316" s="314"/>
      <c r="BA316" s="314"/>
      <c r="BB316" s="314"/>
      <c r="BC316" s="314"/>
      <c r="BD316" s="314"/>
      <c r="BE316" s="314"/>
      <c r="BF316" s="314"/>
      <c r="BG316" s="314"/>
      <c r="BH316" s="314"/>
      <c r="BI316" s="314"/>
      <c r="BJ316" s="314"/>
      <c r="BK316" s="314"/>
      <c r="BL316" s="314"/>
      <c r="BM316" s="314"/>
      <c r="BN316" s="314"/>
      <c r="BO316" s="314"/>
      <c r="BP316" s="314"/>
      <c r="BQ316" s="314"/>
      <c r="BR316" s="314"/>
      <c r="BS316" s="314"/>
      <c r="BT316" s="314"/>
      <c r="BU316" s="314"/>
      <c r="BV316" s="314"/>
      <c r="BW316" s="314"/>
      <c r="BX316" s="314"/>
      <c r="BY316" s="314"/>
      <c r="BZ316" s="314"/>
      <c r="CA316" s="314"/>
      <c r="CB316" s="314"/>
      <c r="CC316" s="314"/>
      <c r="CD316" s="314"/>
      <c r="CE316" s="314"/>
      <c r="CF316" s="314"/>
      <c r="CG316" s="314"/>
      <c r="CH316" s="314"/>
      <c r="CI316" s="314"/>
      <c r="CJ316" s="314"/>
      <c r="CK316" s="314"/>
      <c r="CL316" s="314"/>
      <c r="CM316" s="314"/>
      <c r="CN316" s="314"/>
      <c r="CO316" s="314"/>
      <c r="CP316" s="314"/>
      <c r="CQ316" s="314"/>
    </row>
    <row r="317" spans="1:95" ht="12.75" customHeight="1" thickBot="1" x14ac:dyDescent="0.3">
      <c r="A317" s="307"/>
      <c r="B317" s="68"/>
      <c r="C317" s="68"/>
      <c r="D317" s="68"/>
      <c r="E317" s="68"/>
      <c r="F317" s="338" t="str">
        <f>Translations!$B$127</f>
        <v>Tier</v>
      </c>
      <c r="G317" s="1254" t="str">
        <f>Translations!$B$393</f>
        <v>tier description</v>
      </c>
      <c r="H317" s="1254"/>
      <c r="I317" s="1255" t="str">
        <f>Translations!$B$394</f>
        <v>Unit</v>
      </c>
      <c r="J317" s="1255"/>
      <c r="K317" s="1255" t="str">
        <f>Translations!$B$395</f>
        <v>Value</v>
      </c>
      <c r="L317" s="1255"/>
      <c r="M317" s="205" t="str">
        <f>Translations!$B$396</f>
        <v>error</v>
      </c>
      <c r="N317" s="76"/>
      <c r="O317" s="160"/>
      <c r="P317" s="339"/>
      <c r="Q317" s="325" t="str">
        <f>EUconst_SumEnergyIN</f>
        <v>SUM_EnergyIN</v>
      </c>
      <c r="R317" s="340" t="str">
        <f>IF(E313="","",BG326)</f>
        <v/>
      </c>
      <c r="S317" s="314"/>
      <c r="T317" s="314"/>
      <c r="U317" s="314"/>
      <c r="V317" s="341" t="s">
        <v>130</v>
      </c>
      <c r="W317" s="314"/>
      <c r="X317" s="314"/>
      <c r="Y317" s="312" t="s">
        <v>131</v>
      </c>
      <c r="Z317" s="312" t="s">
        <v>132</v>
      </c>
      <c r="AA317" s="314"/>
      <c r="AB317" s="314"/>
      <c r="AC317" s="336" t="s">
        <v>133</v>
      </c>
      <c r="AD317" s="314"/>
      <c r="AE317" s="314"/>
      <c r="AF317" s="314" t="s">
        <v>134</v>
      </c>
      <c r="AG317" s="314" t="s">
        <v>135</v>
      </c>
      <c r="AH317" s="312" t="s">
        <v>136</v>
      </c>
      <c r="AI317" s="335" t="s">
        <v>137</v>
      </c>
      <c r="AJ317" s="335" t="s">
        <v>138</v>
      </c>
      <c r="AK317" s="342" t="s">
        <v>139</v>
      </c>
      <c r="AL317" s="326"/>
      <c r="AM317" s="326"/>
      <c r="AN317" s="326"/>
      <c r="AO317" s="326"/>
      <c r="AP317" s="326"/>
      <c r="AQ317" s="314"/>
      <c r="AR317" s="314" t="s">
        <v>134</v>
      </c>
      <c r="AS317" s="314" t="s">
        <v>135</v>
      </c>
      <c r="AT317" s="343" t="s">
        <v>140</v>
      </c>
      <c r="AU317" s="335" t="s">
        <v>141</v>
      </c>
      <c r="AV317" s="335" t="s">
        <v>142</v>
      </c>
      <c r="AW317" s="342" t="s">
        <v>139</v>
      </c>
      <c r="AX317" s="342" t="s">
        <v>139</v>
      </c>
      <c r="AY317" s="314"/>
      <c r="AZ317" s="314"/>
      <c r="BA317" s="314"/>
      <c r="BB317" s="314" t="s">
        <v>143</v>
      </c>
      <c r="BC317" s="314"/>
      <c r="BD317" s="314"/>
      <c r="BE317" s="314"/>
      <c r="BF317" s="314"/>
      <c r="BG317" s="319" t="s">
        <v>144</v>
      </c>
      <c r="BH317" s="314" t="s">
        <v>145</v>
      </c>
      <c r="BI317" s="314"/>
      <c r="BJ317" s="314"/>
      <c r="BK317" s="314"/>
      <c r="BL317" s="314"/>
      <c r="BM317" s="314"/>
      <c r="BN317" s="314"/>
      <c r="BO317" s="314"/>
      <c r="BP317" s="314"/>
      <c r="BQ317" s="314"/>
      <c r="BR317" s="314"/>
      <c r="BS317" s="314"/>
      <c r="BT317" s="314"/>
      <c r="BU317" s="314"/>
      <c r="BV317" s="314"/>
      <c r="BW317" s="314"/>
      <c r="BX317" s="314"/>
      <c r="BY317" s="314"/>
      <c r="BZ317" s="314"/>
      <c r="CA317" s="314"/>
      <c r="CB317" s="314"/>
      <c r="CC317" s="314"/>
      <c r="CD317" s="314"/>
      <c r="CE317" s="314"/>
      <c r="CF317" s="314"/>
      <c r="CG317" s="314"/>
      <c r="CH317" s="314"/>
      <c r="CI317" s="314"/>
      <c r="CJ317" s="314"/>
      <c r="CK317" s="314"/>
      <c r="CL317" s="314"/>
      <c r="CM317" s="314"/>
      <c r="CN317" s="314"/>
      <c r="CO317" s="314"/>
      <c r="CP317" s="314"/>
      <c r="CQ317" s="319" t="s">
        <v>107</v>
      </c>
    </row>
    <row r="318" spans="1:95" ht="12.75" customHeight="1" thickBot="1" x14ac:dyDescent="0.3">
      <c r="A318" s="307"/>
      <c r="B318" s="68"/>
      <c r="C318" s="199" t="s">
        <v>12</v>
      </c>
      <c r="D318" s="344" t="str">
        <f>Translations!$B$356</f>
        <v>RFA:</v>
      </c>
      <c r="E318" s="345"/>
      <c r="F318" s="6"/>
      <c r="G318" s="1256" t="str">
        <f>IF(OR(ISBLANK(F318),F318=EUconst_NoTier),"",IF(Z318=0,EUconst_NA,IF(ISERROR(Z318),"",Z318)))</f>
        <v/>
      </c>
      <c r="H318" s="1257"/>
      <c r="I318" s="346" t="str">
        <f>IF(J318&lt;&gt;"","",AI318)</f>
        <v/>
      </c>
      <c r="J318" s="7"/>
      <c r="K318" s="1258"/>
      <c r="L318" s="1259"/>
      <c r="M318" s="347" t="str">
        <f>IF(AND(E313&lt;&gt;"",OR(F318="",COUNT(K318)=0),Y318&lt;&gt;EUconst_NA),EUconst_ERR_Incomplete,"")</f>
        <v/>
      </c>
      <c r="N318" s="76"/>
      <c r="O318" s="160"/>
      <c r="P318" s="348"/>
      <c r="Q318" s="325" t="str">
        <f>EUconst_SumBioEnergyIN</f>
        <v>SUM_BioEnergyIN</v>
      </c>
      <c r="R318" s="340" t="str">
        <f>IF(E313="","",BG327)</f>
        <v/>
      </c>
      <c r="S318" s="314"/>
      <c r="T318" s="349" t="str">
        <f>EUconst_CNTR_ActivityData&amp;E313</f>
        <v>ActivityData_</v>
      </c>
      <c r="U318" s="312"/>
      <c r="V318" s="349" t="str">
        <f>IF(E312="","",INDEX(B_IdentifyFuelStreams!$I$67:$I$116,MATCH(U311,B_IdentifyFuelStreams!$D$67:$D$116,0)))</f>
        <v/>
      </c>
      <c r="W318" s="335" t="s">
        <v>146</v>
      </c>
      <c r="X318" s="312"/>
      <c r="Y318" s="350" t="str">
        <f>IF(E313="","",INDEX(EUwideConstants!$P$164:$P$200,MATCH(T318,EUwideConstants!$S$164:$S$200,0)))</f>
        <v/>
      </c>
      <c r="Z318" s="351" t="str">
        <f>IF(ISBLANK(F318),"",IF(F318=EUconst_NA,"",INDEX(EUwideConstants!$H:$O,MATCH(T318,EUwideConstants!$S:$S,0),MATCH(F318,CNTR_TierList,0))))</f>
        <v/>
      </c>
      <c r="AA318" s="352" t="s">
        <v>136</v>
      </c>
      <c r="AB318" s="335"/>
      <c r="AC318" s="331" t="b">
        <f>E312&lt;&gt;""</f>
        <v>0</v>
      </c>
      <c r="AD318" s="314"/>
      <c r="AE318" s="353" t="str">
        <f>EUconst_CNTR_ActivityData&amp;EUconst_Unit</f>
        <v>ActivityData_Unit</v>
      </c>
      <c r="AF318" s="354" t="str">
        <f>IF(AC318=TRUE, IF(COUNTIF(MSPara_SourceStreamCategory,V318)=0,"",INDEX(MSPara_CalcFactorsMatrix,MATCH(V318,MSPara_SourceStreamCategory,0),MATCH(AE318&amp;"_"&amp;2,MSPara_CalcFactors,0))),"")</f>
        <v/>
      </c>
      <c r="AG318" s="355" t="str">
        <f>IF(AC318=TRUE, IF(COUNTIF(MSPara_SourceStreamCategory,V318)=0,"",INDEX(MSPara_CalcFactorsMatrix,MATCH(V318,MSPara_SourceStreamCategory,0),MATCH(AE318&amp;"_"&amp;1,MSPara_CalcFactors,0))),"")</f>
        <v/>
      </c>
      <c r="AH318" s="331" t="str">
        <f>IF(OR(AF318="",AF318=EUconst_NA),IF(OR(AG318=EUconst_NA,AG318=""),"",AG318),AF318)</f>
        <v/>
      </c>
      <c r="AI318" s="350" t="str">
        <f>IF(AC318=TRUE,IF(AH318="",EUconst_t,AH318),"")</f>
        <v/>
      </c>
      <c r="AJ318" s="356" t="str">
        <f>IF(J318="",AI318,J318)</f>
        <v/>
      </c>
      <c r="AK318" s="357" t="b">
        <f>AND(E312&lt;&gt;"",J318&lt;&gt;"")</f>
        <v>0</v>
      </c>
      <c r="AL318" s="326"/>
      <c r="AM318" s="358" t="s">
        <v>147</v>
      </c>
      <c r="AN318" s="359" t="str">
        <f>AJ318</f>
        <v/>
      </c>
      <c r="AO318" s="326"/>
      <c r="AP318" s="326"/>
      <c r="AQ318" s="349" t="str">
        <f>EUconst_CNTR_ActivityData&amp;EUconst_Value</f>
        <v>ActivityData_Value</v>
      </c>
      <c r="AR318" s="336"/>
      <c r="AS318" s="336"/>
      <c r="AT318" s="331" t="b">
        <f>AND(AND(AH318&lt;&gt;"",AJ318&lt;&gt;""),AJ318=AH318)</f>
        <v>0</v>
      </c>
      <c r="AU318" s="314"/>
      <c r="AV318" s="331">
        <f>IF(Y318=EUconst_NA,0,IF(COUNT(K318:K318)=0,0,IF(K318="",#REF!,K318)))</f>
        <v>0</v>
      </c>
      <c r="AW318" s="360" t="b">
        <f>AND(AC318=TRUE,OR(K318&lt;&gt;"",AU318=""))</f>
        <v>0</v>
      </c>
      <c r="AX318" s="360" t="b">
        <f>AND(AC318=TRUE,NOT(AW318))</f>
        <v>0</v>
      </c>
      <c r="AY318" s="314"/>
      <c r="AZ318" s="314" t="s">
        <v>148</v>
      </c>
      <c r="BA318" s="314" t="s">
        <v>149</v>
      </c>
      <c r="BB318" s="360"/>
      <c r="BC318" s="314" t="s">
        <v>150</v>
      </c>
      <c r="BD318" s="314"/>
      <c r="BE318" s="314"/>
      <c r="BF318" s="361" t="s">
        <v>119</v>
      </c>
      <c r="BG318" s="362" t="str">
        <f>IF(COUNTIF(AO321:AO322,TRUE)=0,"",BH318*AV329)</f>
        <v/>
      </c>
      <c r="BH318" s="362" t="str">
        <f>IF(COUNTIF(AO321:AO322,TRUE)=0,"",AV318*IF(AO321,1,AV320*AN322)*AV321-BH320-BH322-BH324)</f>
        <v/>
      </c>
      <c r="BI318" s="314"/>
      <c r="BJ318" s="314"/>
      <c r="BK318" s="314"/>
      <c r="BL318" s="314"/>
      <c r="BM318" s="314"/>
      <c r="BN318" s="314"/>
      <c r="BO318" s="314"/>
      <c r="BP318" s="314"/>
      <c r="BQ318" s="314"/>
      <c r="BR318" s="314"/>
      <c r="BS318" s="314"/>
      <c r="BT318" s="314"/>
      <c r="BU318" s="314"/>
      <c r="BV318" s="314"/>
      <c r="BW318" s="314"/>
      <c r="BX318" s="314"/>
      <c r="BY318" s="314"/>
      <c r="BZ318" s="314"/>
      <c r="CA318" s="314"/>
      <c r="CB318" s="314"/>
      <c r="CC318" s="314"/>
      <c r="CD318" s="314"/>
      <c r="CE318" s="314"/>
      <c r="CF318" s="314"/>
      <c r="CG318" s="314"/>
      <c r="CH318" s="314"/>
      <c r="CI318" s="314"/>
      <c r="CJ318" s="314"/>
      <c r="CK318" s="314"/>
      <c r="CL318" s="314"/>
      <c r="CM318" s="314"/>
      <c r="CN318" s="314"/>
      <c r="CO318" s="314"/>
      <c r="CP318" s="314"/>
      <c r="CQ318" s="360" t="b">
        <v>0</v>
      </c>
    </row>
    <row r="319" spans="1:95" ht="5.15" customHeight="1" thickBot="1" x14ac:dyDescent="0.3">
      <c r="A319" s="307"/>
      <c r="B319" s="68"/>
      <c r="C319" s="199"/>
      <c r="D319" s="202"/>
      <c r="E319" s="76"/>
      <c r="F319" s="76"/>
      <c r="G319" s="76"/>
      <c r="H319" s="76" t="str">
        <f>Translations!$B$397</f>
        <v xml:space="preserve"> </v>
      </c>
      <c r="I319" s="162"/>
      <c r="J319" s="162"/>
      <c r="K319" s="76"/>
      <c r="L319" s="76"/>
      <c r="M319" s="363"/>
      <c r="N319" s="76"/>
      <c r="O319" s="160"/>
      <c r="P319" s="109"/>
      <c r="Q319" s="312"/>
      <c r="R319" s="312"/>
      <c r="S319" s="314"/>
      <c r="T319" s="62"/>
      <c r="U319" s="312"/>
      <c r="V319" s="314"/>
      <c r="W319" s="314"/>
      <c r="X319" s="312"/>
      <c r="Y319" s="319"/>
      <c r="Z319" s="314"/>
      <c r="AA319" s="314"/>
      <c r="AB319" s="314"/>
      <c r="AC319" s="314"/>
      <c r="AD319" s="314"/>
      <c r="AE319" s="314"/>
      <c r="AF319" s="314"/>
      <c r="AG319" s="314"/>
      <c r="AH319" s="314"/>
      <c r="AI319" s="314"/>
      <c r="AJ319" s="314"/>
      <c r="AK319" s="314"/>
      <c r="AL319" s="326"/>
      <c r="AM319" s="326"/>
      <c r="AN319" s="326"/>
      <c r="AO319" s="326"/>
      <c r="AP319" s="326"/>
      <c r="AQ319" s="314"/>
      <c r="AR319" s="314"/>
      <c r="AS319" s="314"/>
      <c r="AT319" s="314"/>
      <c r="AU319" s="314"/>
      <c r="AV319" s="314"/>
      <c r="AW319" s="314"/>
      <c r="AX319" s="314"/>
      <c r="AY319" s="314"/>
      <c r="AZ319" s="314"/>
      <c r="BA319" s="314"/>
      <c r="BB319" s="314"/>
      <c r="BC319" s="314"/>
      <c r="BD319" s="314"/>
      <c r="BE319" s="314"/>
      <c r="BF319" s="314"/>
      <c r="BG319" s="364"/>
      <c r="BH319" s="364"/>
      <c r="BI319" s="314"/>
      <c r="BJ319" s="314"/>
      <c r="BK319" s="314"/>
      <c r="BL319" s="314"/>
      <c r="BM319" s="314"/>
      <c r="BN319" s="314"/>
      <c r="BO319" s="314"/>
      <c r="BP319" s="314"/>
      <c r="BQ319" s="314"/>
      <c r="BR319" s="314"/>
      <c r="BS319" s="314"/>
      <c r="BT319" s="314"/>
      <c r="BU319" s="314"/>
      <c r="BV319" s="314"/>
      <c r="BW319" s="314"/>
      <c r="BX319" s="314"/>
      <c r="BY319" s="314"/>
      <c r="BZ319" s="314"/>
      <c r="CA319" s="314"/>
      <c r="CB319" s="314"/>
      <c r="CC319" s="314"/>
      <c r="CD319" s="314"/>
      <c r="CE319" s="314"/>
      <c r="CF319" s="314"/>
      <c r="CG319" s="314"/>
      <c r="CH319" s="314"/>
      <c r="CI319" s="314"/>
      <c r="CJ319" s="314"/>
      <c r="CK319" s="314"/>
      <c r="CL319" s="314"/>
      <c r="CM319" s="314"/>
      <c r="CN319" s="314"/>
      <c r="CO319" s="314"/>
      <c r="CP319" s="314"/>
      <c r="CQ319" s="319"/>
    </row>
    <row r="320" spans="1:95" ht="12.75" customHeight="1" x14ac:dyDescent="0.25">
      <c r="A320" s="307"/>
      <c r="B320" s="68"/>
      <c r="C320" s="199" t="s">
        <v>13</v>
      </c>
      <c r="D320" s="344" t="str">
        <f>Translations!$B$360</f>
        <v>UCF:</v>
      </c>
      <c r="E320" s="345"/>
      <c r="F320" s="10"/>
      <c r="G320" s="1256" t="str">
        <f>IF(OR(ISBLANK(F320),F320=EUconst_NoTier),"",IF(Z320=0,EUconst_NotApplicable,IF(ISERROR(Z320),"",Z320)))</f>
        <v/>
      </c>
      <c r="H320" s="1257"/>
      <c r="I320" s="365" t="str">
        <f>IF(J320&lt;&gt;"","",AI320)</f>
        <v/>
      </c>
      <c r="J320" s="11"/>
      <c r="K320" s="366" t="str">
        <f>IF(L320="",AU320,"")</f>
        <v/>
      </c>
      <c r="L320" s="23"/>
      <c r="M320" s="347" t="str">
        <f>IF(AND(E313&lt;&gt;"",OR(F320="",COUNT(K320:L320)=0),Y320&lt;&gt;EUconst_NA),EUconst_ERR_Incomplete,IF(COUNTIF(BB320:BD320,TRUE)&gt;0,EUconst_ERR_Inconsistent,""))</f>
        <v/>
      </c>
      <c r="N320" s="367"/>
      <c r="O320" s="160"/>
      <c r="P320" s="109"/>
      <c r="Q320" s="312"/>
      <c r="R320" s="312"/>
      <c r="S320" s="314"/>
      <c r="T320" s="368" t="str">
        <f>EUconst_CNTR_UCF&amp;E313</f>
        <v>UCF_</v>
      </c>
      <c r="U320" s="312"/>
      <c r="V320" s="369" t="str">
        <f>V321</f>
        <v/>
      </c>
      <c r="W320" s="314"/>
      <c r="X320" s="312"/>
      <c r="Y320" s="370" t="str">
        <f>IF(E313="","",IF(OR(F320=EUconst_NA,W320=TRUE),EUconst_NA,INDEX(EUwideConstants!$P$164:$P$200,MATCH(T320,EUwideConstants!$S$164:$S$200,0))))</f>
        <v/>
      </c>
      <c r="Z320" s="371" t="str">
        <f>IF(ISBLANK(F320),"",IF(F320=EUconst_NA,"",INDEX(EUwideConstants!$H:$O,MATCH(T320,EUwideConstants!$S:$S,0),MATCH(F320,CNTR_TierList,0))))</f>
        <v/>
      </c>
      <c r="AA320" s="372" t="str">
        <f>IF(COUNTIF(EUconst_DefaultValues,Z320)&gt;0,MATCH(Z320,EUconst_DefaultValues,0),"")</f>
        <v/>
      </c>
      <c r="AB320" s="314"/>
      <c r="AC320" s="373" t="b">
        <f>AND(AC318,Y320&lt;&gt;EUconst_NA)</f>
        <v>0</v>
      </c>
      <c r="AD320" s="314"/>
      <c r="AE320" s="353" t="str">
        <f>EUconst_CNTR_UCF&amp;EUconst_Unit</f>
        <v>UCF_Unit</v>
      </c>
      <c r="AF320" s="374" t="str">
        <f>IF(AC320=TRUE, IF(COUNTIF(MSPara_SourceStreamCategory,V320)=0,"",INDEX(MSPara_CalcFactorsMatrix,MATCH(V320,MSPara_SourceStreamCategory,0),MATCH(AE320&amp;"_"&amp;2,MSPara_CalcFactors,0))),"")</f>
        <v/>
      </c>
      <c r="AG320" s="375" t="str">
        <f>IF(AC320=TRUE, IF(COUNTIF(MSPara_SourceStreamCategory,V320)=0,"",INDEX(MSPara_CalcFactorsMatrix,MATCH(V320,MSPara_SourceStreamCategory,0),MATCH(AE320&amp;"_"&amp;1,MSPara_CalcFactors,0))),"")</f>
        <v/>
      </c>
      <c r="AH320" s="373" t="str">
        <f>IF(AA320="","",INDEX(AF320:AG320,3-AA320))</f>
        <v/>
      </c>
      <c r="AI320" s="373" t="str">
        <f>IF(AC320=TRUE,IF(OR(AH320="",AH320=EUconst_NA),EUconst_GJ&amp;"/"&amp;AJ318,AH320),"")</f>
        <v/>
      </c>
      <c r="AJ320" s="373" t="str">
        <f>IF(J320="",AI320,J320)</f>
        <v/>
      </c>
      <c r="AK320" s="369" t="b">
        <f>AND(E312&lt;&gt;"",J320&lt;&gt;"")</f>
        <v>0</v>
      </c>
      <c r="AL320" s="326"/>
      <c r="AM320" s="358" t="s">
        <v>151</v>
      </c>
      <c r="AN320" s="359" t="str">
        <f>IF(AJ320="",EUconst_NA,IF(AN318=EUconst_TJ,EUconst_TJ,INDEX(EUwideConstants!$C$135:$G$139,MATCH(AN318,RFAUnits,0),MATCH(AJ320,UCFUnits,0))))</f>
        <v>n.a.</v>
      </c>
      <c r="AO320" s="326"/>
      <c r="AP320" s="326"/>
      <c r="AQ320" s="376" t="str">
        <f>EUconst_CNTR_UCF&amp;EUconst_Value</f>
        <v>UCF_Value</v>
      </c>
      <c r="AR320" s="377" t="str">
        <f>IF(AC320=TRUE,IF(COUNTIF(MSPara_SourceStreamCategory,V320)=0,"",INDEX(MSPara_CalcFactorsMatrix,MATCH(V320,MSPara_SourceStreamCategory,0),MATCH(AQ320&amp;"_"&amp;2,MSPara_CalcFactors,0))),"")</f>
        <v/>
      </c>
      <c r="AS320" s="378" t="str">
        <f>IF(AC320=TRUE,IF(COUNTIF(MSPara_SourceStreamCategory,V320)=0,"",INDEX(MSPara_CalcFactorsMatrix,MATCH(V320,MSPara_SourceStreamCategory,0),MATCH(AQ320&amp;"_"&amp;1,MSPara_CalcFactors,0))),"")</f>
        <v/>
      </c>
      <c r="AT320" s="379" t="b">
        <f>AND(AND(AH320&lt;&gt;"",AJ320&lt;&gt;""),AJ320=AH320)</f>
        <v>0</v>
      </c>
      <c r="AU320" s="380" t="str">
        <f>IF(AND(AA320&lt;&gt;"",AT320=TRUE),IF(OR(INDEX(AR320:AS320,3-AA320)=EUconst_NA,INDEX(AR320:AS320,3-AA320)=0),"",INDEX(AR320:AS320,3-AA320)),"")</f>
        <v/>
      </c>
      <c r="AV320" s="373">
        <f>IF(AC320=TRUE,IF(COUNT(K320:L320)=0,0,IF(L320="",K320,L320)),0)</f>
        <v>0</v>
      </c>
      <c r="AW320" s="369" t="b">
        <f t="shared" ref="AW320:AW327" si="81">AND(AC320=TRUE,OR(AND(F320&lt;&gt;"",NOT(ISNUMBER(AA320))),L320&lt;&gt;"",F320="",AU320=""))</f>
        <v>0</v>
      </c>
      <c r="AX320" s="381" t="b">
        <f t="shared" ref="AX320:AX327" si="82">AND(AC320=TRUE,NOT(AW320))</f>
        <v>0</v>
      </c>
      <c r="AY320" s="314"/>
      <c r="AZ320" s="382" t="b">
        <f t="shared" ref="AZ320:AZ327" si="83">AND(ISNUMBER(AA320),AU320="")</f>
        <v>0</v>
      </c>
      <c r="BA320" s="383" t="b">
        <f t="shared" ref="BA320:BA327" si="84">AND(ISNUMBER(AA320),AU320&lt;&gt;AV320)</f>
        <v>0</v>
      </c>
      <c r="BB320" s="369" t="b">
        <f>AND(E313&lt;&gt;"",F320&lt;&gt;EUconst_NA,AN320=EUconst_NA)</f>
        <v>0</v>
      </c>
      <c r="BC320" s="369" t="b">
        <f t="shared" ref="BC320:BC327" si="85">AND(L320&lt;&gt;"",Y320=EUconst_NA)</f>
        <v>0</v>
      </c>
      <c r="BD320" s="314"/>
      <c r="BE320" s="314"/>
      <c r="BF320" s="382" t="s">
        <v>152</v>
      </c>
      <c r="BG320" s="384" t="str">
        <f>IF(COUNTIF(AO321:AO322,TRUE)=0,"",BH320*AV329)</f>
        <v/>
      </c>
      <c r="BH320" s="384" t="str">
        <f>IF(COUNTIF(AO321:AO322,TRUE)=0,"",AV318*IF(AO321,1,AV320*AN322)*AV321*AV322)</f>
        <v/>
      </c>
      <c r="BI320" s="314"/>
      <c r="BJ320" s="314"/>
      <c r="BK320" s="314"/>
      <c r="BL320" s="314"/>
      <c r="BM320" s="314"/>
      <c r="BN320" s="314"/>
      <c r="BO320" s="314"/>
      <c r="BP320" s="314"/>
      <c r="BQ320" s="314"/>
      <c r="BR320" s="314"/>
      <c r="BS320" s="314"/>
      <c r="BT320" s="314"/>
      <c r="BU320" s="314"/>
      <c r="BV320" s="314"/>
      <c r="BW320" s="314"/>
      <c r="BX320" s="314"/>
      <c r="BY320" s="314"/>
      <c r="BZ320" s="314"/>
      <c r="CA320" s="314"/>
      <c r="CB320" s="314"/>
      <c r="CC320" s="314"/>
      <c r="CD320" s="314"/>
      <c r="CE320" s="314"/>
      <c r="CF320" s="314"/>
      <c r="CG320" s="314"/>
      <c r="CH320" s="314"/>
      <c r="CI320" s="314"/>
      <c r="CJ320" s="314"/>
      <c r="CK320" s="314"/>
      <c r="CL320" s="314"/>
      <c r="CM320" s="314"/>
      <c r="CN320" s="314"/>
      <c r="CO320" s="314"/>
      <c r="CP320" s="314"/>
      <c r="CQ320" s="369" t="b">
        <f>OR(CQ318,Y320=EUconst_NA)</f>
        <v>0</v>
      </c>
    </row>
    <row r="321" spans="1:95" ht="12.75" customHeight="1" thickBot="1" x14ac:dyDescent="0.3">
      <c r="A321" s="307"/>
      <c r="B321" s="68"/>
      <c r="C321" s="199" t="s">
        <v>14</v>
      </c>
      <c r="D321" s="344" t="str">
        <f>Translations!$B$358</f>
        <v>(prelim) EF:</v>
      </c>
      <c r="E321" s="345"/>
      <c r="F321" s="59"/>
      <c r="G321" s="1256" t="str">
        <f>IF(OR(ISBLANK(F321),F321=EUconst_NoTier),"",IF(Z321=0,EUconst_NotApplicable,IF(ISERROR(Z321),"",Z321)))</f>
        <v/>
      </c>
      <c r="H321" s="1260"/>
      <c r="I321" s="385" t="str">
        <f>IF(J321&lt;&gt;"","",AI321)</f>
        <v/>
      </c>
      <c r="J321" s="22"/>
      <c r="K321" s="386" t="str">
        <f>IF(L321="",AU321,"")</f>
        <v/>
      </c>
      <c r="L321" s="58"/>
      <c r="M321" s="347" t="str">
        <f>IF(AND(E313&lt;&gt;"",OR(F321="",COUNT(K321:L321)=0),Y321&lt;&gt;EUconst_NA),EUconst_ERR_Incomplete,IF(COUNTIF(BB321:BD321,TRUE)&gt;0,EUconst_ERR_Inconsistent,""))</f>
        <v/>
      </c>
      <c r="N321" s="387"/>
      <c r="O321" s="160"/>
      <c r="P321" s="109"/>
      <c r="Q321" s="312"/>
      <c r="R321" s="312"/>
      <c r="S321" s="314"/>
      <c r="T321" s="388" t="str">
        <f>EUconst_CNTR_EF&amp;E313</f>
        <v>EF_</v>
      </c>
      <c r="U321" s="312"/>
      <c r="V321" s="389" t="str">
        <f>V318</f>
        <v/>
      </c>
      <c r="W321" s="314"/>
      <c r="X321" s="312"/>
      <c r="Y321" s="390" t="str">
        <f>IF(E313="","",IF(OR(F321=EUconst_NA,W321=TRUE),EUconst_NA,INDEX(EUwideConstants!$P$164:$P$200,MATCH(T321,EUwideConstants!$S$164:$S$200,0))))</f>
        <v/>
      </c>
      <c r="Z321" s="391" t="str">
        <f>IF(ISBLANK(F321),"",IF(F321=EUconst_NA,"",INDEX(EUwideConstants!$H:$O,MATCH(T321,EUwideConstants!$S:$S,0),MATCH(F321,CNTR_TierList,0))))</f>
        <v/>
      </c>
      <c r="AA321" s="392" t="str">
        <f>IF(COUNTIF(EUconst_DefaultValues,Z321)&gt;0,MATCH(Z321,EUconst_DefaultValues,0),"")</f>
        <v/>
      </c>
      <c r="AB321" s="314"/>
      <c r="AC321" s="393" t="b">
        <f>AND(AC318,Y321&lt;&gt;EUconst_NA)</f>
        <v>0</v>
      </c>
      <c r="AD321" s="314"/>
      <c r="AE321" s="394" t="str">
        <f>EUconst_CNTR_EF&amp;EUconst_Unit</f>
        <v>EF_Unit</v>
      </c>
      <c r="AF321" s="395" t="str">
        <f>IF(AC321=TRUE, IF(COUNTIF(MSPara_SourceStreamCategory,V321)=0,"",INDEX(MSPara_CalcFactorsMatrix,MATCH(V321,MSPara_SourceStreamCategory,0),MATCH(AE321&amp;"_"&amp;2,MSPara_CalcFactors,0))),"")</f>
        <v/>
      </c>
      <c r="AG321" s="396" t="str">
        <f>IF(AC321=TRUE, IF(COUNTIF(MSPara_SourceStreamCategory,V321)=0,"",INDEX(MSPara_CalcFactorsMatrix,MATCH(V321,MSPara_SourceStreamCategory,0),MATCH(AE321&amp;"_"&amp;1,MSPara_CalcFactors,0))),"")</f>
        <v/>
      </c>
      <c r="AH321" s="397" t="str">
        <f>IF(AA321="","",INDEX(AF321:AG321,3-AA321))</f>
        <v/>
      </c>
      <c r="AI321" s="397" t="str">
        <f>IF(AC321=TRUE,IF(OR(AH321="",AH321=EUconst_NA),EUconst_tCO2&amp;"/"&amp;IF(AN320=EUconst_NA,AN318,IF(AN320=EUconst_GJ,EUconst_TJ,AN320)),AH321),"")</f>
        <v/>
      </c>
      <c r="AJ321" s="397" t="str">
        <f>IF(J321="",AI321,J321)</f>
        <v/>
      </c>
      <c r="AK321" s="398" t="b">
        <f>AND(E313&lt;&gt;"",J321&lt;&gt;"")</f>
        <v>0</v>
      </c>
      <c r="AL321" s="326"/>
      <c r="AM321" s="358" t="s">
        <v>153</v>
      </c>
      <c r="AN321" s="359" t="str">
        <f>IF(COUNTIF(RFAUnits,AN318)=0,EUconst_NA,INDEX(EUwideConstants!$C$150:$H$154,MATCH(AJ321,EFUnits,0),MATCH(AN318,EUwideConstants!$C$149:$H$149,0)))</f>
        <v>n.a.</v>
      </c>
      <c r="AO321" s="359" t="b">
        <f>AN321&lt;&gt;EUconst_NA</f>
        <v>0</v>
      </c>
      <c r="AP321" s="326"/>
      <c r="AQ321" s="399" t="str">
        <f>EUconst_CNTR_EF&amp;EUconst_Value</f>
        <v>EF_Value</v>
      </c>
      <c r="AR321" s="400" t="str">
        <f>IF(AC321=TRUE,IF(COUNTIF(MSPara_SourceStreamCategory,V321)=0,"",INDEX(MSPara_CalcFactorsMatrix,MATCH(V321,MSPara_SourceStreamCategory,0),MATCH(AQ321&amp;"_"&amp;2,MSPara_CalcFactors,0))),"")</f>
        <v/>
      </c>
      <c r="AS321" s="401" t="str">
        <f>IF(AC321=TRUE,IF(COUNTIF(MSPara_SourceStreamCategory,V321)=0,"",INDEX(MSPara_CalcFactorsMatrix,MATCH(V321,MSPara_SourceStreamCategory,0),MATCH(AQ321&amp;"_"&amp;1,MSPara_CalcFactors,0))),"")</f>
        <v/>
      </c>
      <c r="AT321" s="402" t="b">
        <f>AND(AND(AH321&lt;&gt;"",AJ321&lt;&gt;""),AJ321=AH321)</f>
        <v>0</v>
      </c>
      <c r="AU321" s="403" t="str">
        <f>IF(AND(AA321&lt;&gt;"",AT321=TRUE),IF(OR(INDEX(AR321:AS321,3-AA321)=EUconst_NA,INDEX(AR321:AS321,3-AA321)=0),"",INDEX(AR321:AS321,3-AA321)),"")</f>
        <v/>
      </c>
      <c r="AV321" s="393">
        <f>IF(AC321=TRUE,IF(COUNT(K321:L321)=0,0,IF(L321="",K321,L321)),0)</f>
        <v>0</v>
      </c>
      <c r="AW321" s="389" t="b">
        <f t="shared" si="81"/>
        <v>0</v>
      </c>
      <c r="AX321" s="404" t="b">
        <f t="shared" si="82"/>
        <v>0</v>
      </c>
      <c r="AY321" s="314"/>
      <c r="AZ321" s="405" t="b">
        <f t="shared" si="83"/>
        <v>0</v>
      </c>
      <c r="BA321" s="406" t="b">
        <f t="shared" si="84"/>
        <v>0</v>
      </c>
      <c r="BB321" s="407" t="b">
        <f>AND(E313&lt;&gt;"",COUNTIF(AO321:AO322,TRUE)=0)</f>
        <v>0</v>
      </c>
      <c r="BC321" s="389" t="b">
        <f t="shared" si="85"/>
        <v>0</v>
      </c>
      <c r="BD321" s="314"/>
      <c r="BE321" s="314"/>
      <c r="BF321" s="408" t="s">
        <v>154</v>
      </c>
      <c r="BG321" s="409" t="str">
        <f>IF(COUNTIF(AO321:AO322,TRUE)=0,"",BH321*AV329)</f>
        <v/>
      </c>
      <c r="BH321" s="409" t="str">
        <f>IF(COUNTIF(AO321:AO322,TRUE)=0,"",AV318*IF(AO321,1,AV320*AN322)*AV321*AV323)</f>
        <v/>
      </c>
      <c r="BI321" s="314"/>
      <c r="BJ321" s="314"/>
      <c r="BK321" s="314"/>
      <c r="BL321" s="314"/>
      <c r="BM321" s="314"/>
      <c r="BN321" s="314"/>
      <c r="BO321" s="314"/>
      <c r="BP321" s="314"/>
      <c r="BQ321" s="314"/>
      <c r="BR321" s="314"/>
      <c r="BS321" s="314"/>
      <c r="BT321" s="314"/>
      <c r="BU321" s="314"/>
      <c r="BV321" s="314"/>
      <c r="BW321" s="314"/>
      <c r="BX321" s="314"/>
      <c r="BY321" s="314"/>
      <c r="BZ321" s="314"/>
      <c r="CA321" s="314"/>
      <c r="CB321" s="314"/>
      <c r="CC321" s="314"/>
      <c r="CD321" s="314"/>
      <c r="CE321" s="314"/>
      <c r="CF321" s="314"/>
      <c r="CG321" s="314"/>
      <c r="CH321" s="314"/>
      <c r="CI321" s="314"/>
      <c r="CJ321" s="314"/>
      <c r="CK321" s="314"/>
      <c r="CL321" s="314"/>
      <c r="CM321" s="314"/>
      <c r="CN321" s="314"/>
      <c r="CO321" s="314"/>
      <c r="CP321" s="314"/>
      <c r="CQ321" s="407" t="b">
        <f>OR(CQ318,Y321=EUconst_NA)</f>
        <v>0</v>
      </c>
    </row>
    <row r="322" spans="1:95" ht="12.75" customHeight="1" x14ac:dyDescent="0.25">
      <c r="A322" s="307"/>
      <c r="B322" s="68"/>
      <c r="C322" s="199" t="s">
        <v>15</v>
      </c>
      <c r="D322" s="344" t="str">
        <f>Translations!$B$362</f>
        <v>BioF:</v>
      </c>
      <c r="E322" s="345"/>
      <c r="F322" s="10"/>
      <c r="G322" s="1256" t="str">
        <f>IF(OR(ISBLANK(F322),F322=EUconst_NoTier),"",IF(Z322=0,EUconst_NotApplicable,IF(ISERROR(Z322),"",Z322)))</f>
        <v/>
      </c>
      <c r="H322" s="1257"/>
      <c r="I322" s="410" t="str">
        <f t="shared" ref="I322:I327" si="86">IF(OR(AC322=FALSE,Y322=EUconst_NA),"","-")</f>
        <v/>
      </c>
      <c r="J322" s="411"/>
      <c r="K322" s="412" t="str">
        <f>IF(L322="",AU322,"")</f>
        <v/>
      </c>
      <c r="L322" s="60"/>
      <c r="M322" s="347" t="str">
        <f>IF(AND(E313&lt;&gt;"",OR(F322="",COUNT(K322:L322)=0),Y322&lt;&gt;EUconst_NA),EUconst_ERR_Incomplete,IF(COUNTIF(BB322:BD322,TRUE)&gt;0,EUconst_ERR_Inconsistent,""))</f>
        <v/>
      </c>
      <c r="O322" s="160"/>
      <c r="P322" s="348"/>
      <c r="Q322" s="413"/>
      <c r="R322" s="413"/>
      <c r="S322" s="314"/>
      <c r="T322" s="388" t="str">
        <f>EUconst_CNTR_BiomassContent&amp;E313</f>
        <v>BioC_</v>
      </c>
      <c r="U322" s="312"/>
      <c r="V322" s="369" t="str">
        <f>V320</f>
        <v/>
      </c>
      <c r="W322" s="369" t="str">
        <f>IF(OR(V322="",COUNTIF(MSPara_SourceStreamCategory,V322)=0),"",INDEX(MSPara_IsFossil,MATCH(V322,MSPara_SourceStreamCategory,0)))</f>
        <v/>
      </c>
      <c r="X322" s="312"/>
      <c r="Y322" s="370" t="str">
        <f>IF(E313="","",IF(OR(F322=EUconst_NA,W322=TRUE),EUconst_NA,INDEX(EUwideConstants!$P$164:$P$200,MATCH(T322,EUwideConstants!$S$164:$S$200,0))))</f>
        <v/>
      </c>
      <c r="Z322" s="371" t="str">
        <f>IF(ISBLANK(F322),"",IF(F322=EUconst_NA,"",INDEX(EUwideConstants!$H:$O,MATCH(T322,EUwideConstants!$S:$S,0),MATCH(F322,CNTR_TierList,0))))</f>
        <v/>
      </c>
      <c r="AA322" s="414" t="str">
        <f>IF(F322=1,1,"")</f>
        <v/>
      </c>
      <c r="AB322" s="314"/>
      <c r="AC322" s="373" t="b">
        <f>AND(AC318,Y322&lt;&gt;EUconst_NA)</f>
        <v>0</v>
      </c>
      <c r="AD322" s="314"/>
      <c r="AE322" s="415"/>
      <c r="AF322" s="416"/>
      <c r="AG322" s="417"/>
      <c r="AH322" s="418"/>
      <c r="AI322" s="418"/>
      <c r="AJ322" s="418"/>
      <c r="AK322" s="419"/>
      <c r="AL322" s="326"/>
      <c r="AM322" s="358" t="s">
        <v>155</v>
      </c>
      <c r="AN322" s="359" t="str">
        <f>IF(AN320=EUconst_NA,EUconst_NA,INDEX(EUwideConstants!$C$150:$H$154,MATCH(AJ321,EFUnits,0),MATCH(AN320,EUwideConstants!$C$149:$H$149,0)))</f>
        <v>n.a.</v>
      </c>
      <c r="AO322" s="359" t="b">
        <f>AN322&lt;&gt;EUconst_NA</f>
        <v>0</v>
      </c>
      <c r="AP322" s="326"/>
      <c r="AQ322" s="376" t="str">
        <f>EUconst_CNTR_BiomassContent&amp;EUconst_Value</f>
        <v>BioC_Value</v>
      </c>
      <c r="AR322" s="420"/>
      <c r="AS322" s="378" t="str">
        <f t="shared" ref="AS322:AS327" si="87">IF(AC322=TRUE,IF(COUNTIF(MSPara_SourceStreamCategory,V322)=0,"",INDEX(MSPara_CalcFactorsMatrix,MATCH(V322,MSPara_SourceStreamCategory,0),MATCH(AQ322&amp;"_"&amp;2,MSPara_CalcFactors,0))),"")</f>
        <v/>
      </c>
      <c r="AT322" s="421"/>
      <c r="AU322" s="380" t="str">
        <f t="shared" ref="AU322:AU327" si="88">IF(OR(AA322="",AS322=EUconst_NA),"",AS322)</f>
        <v/>
      </c>
      <c r="AV322" s="373">
        <f>IF(AC322=TRUE,IF(COUNT(K322:L322)=0,0,IF(L322="",K322,L322)),0)</f>
        <v>0</v>
      </c>
      <c r="AW322" s="369" t="b">
        <f t="shared" si="81"/>
        <v>0</v>
      </c>
      <c r="AX322" s="381" t="b">
        <f t="shared" si="82"/>
        <v>0</v>
      </c>
      <c r="AY322" s="314"/>
      <c r="AZ322" s="382" t="b">
        <f t="shared" si="83"/>
        <v>0</v>
      </c>
      <c r="BA322" s="383" t="b">
        <f t="shared" si="84"/>
        <v>0</v>
      </c>
      <c r="BB322" s="314"/>
      <c r="BC322" s="369" t="b">
        <f t="shared" si="85"/>
        <v>0</v>
      </c>
      <c r="BD322" s="369" t="b">
        <f>OR(AV322&gt;100%,(AV322+AV323)&gt;100%)</f>
        <v>0</v>
      </c>
      <c r="BE322" s="314"/>
      <c r="BF322" s="382" t="s">
        <v>156</v>
      </c>
      <c r="BG322" s="384" t="str">
        <f>IF(COUNTIF(AO321:AO322,TRUE)=0,"",BH322*AV329)</f>
        <v/>
      </c>
      <c r="BH322" s="384" t="str">
        <f>IF(COUNTIF(AO321:AO322,TRUE)=0,"",AV318*IF(AO321,1,AV320*AN322)*AV321*AV324)</f>
        <v/>
      </c>
      <c r="BJ322" s="314"/>
      <c r="BK322" s="314"/>
      <c r="BL322" s="314"/>
      <c r="BM322" s="314"/>
      <c r="BN322" s="314"/>
      <c r="BO322" s="314"/>
      <c r="BP322" s="314"/>
      <c r="BQ322" s="314"/>
      <c r="BR322" s="314"/>
      <c r="BS322" s="314"/>
      <c r="BT322" s="314"/>
      <c r="BU322" s="314"/>
      <c r="BV322" s="314"/>
      <c r="BW322" s="314"/>
      <c r="BX322" s="314"/>
      <c r="BY322" s="314"/>
      <c r="BZ322" s="314"/>
      <c r="CA322" s="314"/>
      <c r="CB322" s="314"/>
      <c r="CC322" s="314"/>
      <c r="CD322" s="314"/>
      <c r="CE322" s="314"/>
      <c r="CF322" s="314"/>
      <c r="CG322" s="314"/>
      <c r="CH322" s="314"/>
      <c r="CI322" s="314"/>
      <c r="CJ322" s="314"/>
      <c r="CK322" s="314"/>
      <c r="CL322" s="314"/>
      <c r="CM322" s="314"/>
      <c r="CN322" s="314"/>
      <c r="CO322" s="314"/>
      <c r="CP322" s="314"/>
      <c r="CQ322" s="369" t="b">
        <f>OR(CQ318,Y322=EUconst_NA)</f>
        <v>0</v>
      </c>
    </row>
    <row r="323" spans="1:95" ht="12.75" customHeight="1" thickBot="1" x14ac:dyDescent="0.3">
      <c r="A323" s="307"/>
      <c r="B323" s="68"/>
      <c r="C323" s="199" t="s">
        <v>16</v>
      </c>
      <c r="D323" s="344" t="str">
        <f>Translations!$B$368</f>
        <v>non-sust. BioF:</v>
      </c>
      <c r="E323" s="345"/>
      <c r="F323" s="20"/>
      <c r="G323" s="1256" t="str">
        <f>IF(OR(ISBLANK(F323),F323=EUconst_NoTier),"",IF(Z323=0,EUconst_NotApplicable,IF(ISERROR(Z323),"",Z323)))</f>
        <v/>
      </c>
      <c r="H323" s="1257"/>
      <c r="I323" s="422" t="str">
        <f t="shared" si="86"/>
        <v/>
      </c>
      <c r="J323" s="423"/>
      <c r="K323" s="424" t="str">
        <f>IF(L323="",AU323,"")</f>
        <v/>
      </c>
      <c r="L323" s="21"/>
      <c r="M323" s="347" t="str">
        <f>IF(AND(E313&lt;&gt;"",OR(F323="",COUNT(K323:L323)=0),Y323&lt;&gt;EUconst_NA),EUconst_ERR_Incomplete,IF(COUNTIF(BB323:BD323,TRUE)&gt;0,EUconst_ERR_Inconsistent,""))</f>
        <v/>
      </c>
      <c r="N323" s="76"/>
      <c r="O323" s="160"/>
      <c r="P323" s="348"/>
      <c r="Q323" s="413"/>
      <c r="R323" s="413"/>
      <c r="S323" s="314"/>
      <c r="T323" s="425" t="str">
        <f>EUconst_CNTR_BiomassContent&amp;E313</f>
        <v>BioC_</v>
      </c>
      <c r="U323" s="312"/>
      <c r="V323" s="407" t="str">
        <f>V322</f>
        <v/>
      </c>
      <c r="W323" s="407" t="str">
        <f>IF(OR(V322="",COUNTIF(MSPara_SourceStreamCategory,V323)=0),"",INDEX(MSPara_IsFossil,MATCH(V323,MSPara_SourceStreamCategory,0)))</f>
        <v/>
      </c>
      <c r="X323" s="312"/>
      <c r="Y323" s="426" t="str">
        <f>IF(E313="","",IF(OR(F323=EUconst_NA,W323=TRUE),EUconst_NA,INDEX(EUwideConstants!$P$164:$P$200,MATCH(T323,EUwideConstants!$S$164:$S$200,0))))</f>
        <v/>
      </c>
      <c r="Z323" s="427" t="str">
        <f>IF(ISBLANK(F323),"",IF(F323=EUconst_NA,"",INDEX(EUwideConstants!$H:$O,MATCH(T323,EUwideConstants!$S:$S,0),MATCH(F323,CNTR_TierList,0))))</f>
        <v/>
      </c>
      <c r="AA323" s="428" t="str">
        <f>IF(F323=1,1,"")</f>
        <v/>
      </c>
      <c r="AB323" s="314"/>
      <c r="AC323" s="429" t="b">
        <f>AND(AC318,Y323&lt;&gt;EUconst_NA)</f>
        <v>0</v>
      </c>
      <c r="AD323" s="314"/>
      <c r="AE323" s="430"/>
      <c r="AF323" s="431"/>
      <c r="AG323" s="432"/>
      <c r="AH323" s="433"/>
      <c r="AI323" s="433"/>
      <c r="AJ323" s="433"/>
      <c r="AK323" s="434"/>
      <c r="AL323" s="326"/>
      <c r="AM323" s="326"/>
      <c r="AN323" s="326"/>
      <c r="AO323" s="326"/>
      <c r="AP323" s="326"/>
      <c r="AQ323" s="435" t="str">
        <f>EUconst_CNTR_BiomassContent&amp;EUconst_Value</f>
        <v>BioC_Value</v>
      </c>
      <c r="AR323" s="430"/>
      <c r="AS323" s="436" t="str">
        <f t="shared" si="87"/>
        <v/>
      </c>
      <c r="AT323" s="437"/>
      <c r="AU323" s="438" t="str">
        <f t="shared" si="88"/>
        <v/>
      </c>
      <c r="AV323" s="429">
        <f>IF(AC323=TRUE,IF(COUNT(K323:L323)=0,0,IF(L323="",K323,L323)),0)</f>
        <v>0</v>
      </c>
      <c r="AW323" s="407" t="b">
        <f t="shared" si="81"/>
        <v>0</v>
      </c>
      <c r="AX323" s="439" t="b">
        <f t="shared" si="82"/>
        <v>0</v>
      </c>
      <c r="AY323" s="314"/>
      <c r="AZ323" s="408" t="b">
        <f t="shared" si="83"/>
        <v>0</v>
      </c>
      <c r="BA323" s="440" t="b">
        <f t="shared" si="84"/>
        <v>0</v>
      </c>
      <c r="BB323" s="314"/>
      <c r="BC323" s="407" t="b">
        <f t="shared" si="85"/>
        <v>0</v>
      </c>
      <c r="BD323" s="407" t="b">
        <f>OR(AV322&gt;100%,(AV322+AV323)&gt;100%)</f>
        <v>0</v>
      </c>
      <c r="BE323" s="314"/>
      <c r="BF323" s="408" t="s">
        <v>157</v>
      </c>
      <c r="BG323" s="409" t="str">
        <f>IF(COUNTIF(AO321:AO322,TRUE)=0,"",BH323*AV329)</f>
        <v/>
      </c>
      <c r="BH323" s="409" t="str">
        <f>IF(COUNTIF(AO321:AO322,TRUE)=0,"",AV318*IF(AO321,1,AV320*AN322)*AV321*AV325)</f>
        <v/>
      </c>
      <c r="BJ323" s="314"/>
      <c r="BK323" s="314"/>
      <c r="BL323" s="314"/>
      <c r="BM323" s="314"/>
      <c r="BN323" s="314"/>
      <c r="BO323" s="314"/>
      <c r="BP323" s="314"/>
      <c r="BQ323" s="314"/>
      <c r="BR323" s="314"/>
      <c r="BS323" s="314"/>
      <c r="BT323" s="314"/>
      <c r="BU323" s="314"/>
      <c r="BV323" s="314"/>
      <c r="BW323" s="314"/>
      <c r="BX323" s="314"/>
      <c r="BY323" s="314"/>
      <c r="BZ323" s="314"/>
      <c r="CA323" s="314"/>
      <c r="CB323" s="314"/>
      <c r="CC323" s="314"/>
      <c r="CD323" s="314"/>
      <c r="CE323" s="314"/>
      <c r="CF323" s="314"/>
      <c r="CG323" s="314"/>
      <c r="CH323" s="314"/>
      <c r="CI323" s="314"/>
      <c r="CJ323" s="314"/>
      <c r="CK323" s="314"/>
      <c r="CL323" s="314"/>
      <c r="CM323" s="314"/>
      <c r="CN323" s="314"/>
      <c r="CO323" s="314"/>
      <c r="CP323" s="314"/>
      <c r="CQ323" s="407" t="b">
        <f>OR(CQ318,Y323=EUconst_NA)</f>
        <v>0</v>
      </c>
    </row>
    <row r="324" spans="1:95" ht="12.75" customHeight="1" thickBot="1" x14ac:dyDescent="0.3">
      <c r="A324" s="307"/>
      <c r="B324" s="68"/>
      <c r="C324" s="199" t="s">
        <v>17</v>
      </c>
      <c r="D324" s="344" t="str">
        <f>Translations!$B$610</f>
        <v>sust. RFNBO/RCF:</v>
      </c>
      <c r="E324" s="441"/>
      <c r="F324" s="19" t="s">
        <v>158</v>
      </c>
      <c r="G324" s="1261"/>
      <c r="H324" s="1262"/>
      <c r="I324" s="442" t="str">
        <f t="shared" si="86"/>
        <v/>
      </c>
      <c r="J324" s="411"/>
      <c r="K324" s="443"/>
      <c r="L324" s="55"/>
      <c r="M324" s="347" t="str">
        <f>IF(AND(E313&lt;&gt;"",OR(F324="",COUNT(L324)=0),Y324&lt;&gt;EUconst_NA),EUconst_ERR_Incomplete,"")</f>
        <v/>
      </c>
      <c r="N324" s="76"/>
      <c r="O324" s="160"/>
      <c r="P324" s="348"/>
      <c r="Q324" s="413"/>
      <c r="R324" s="413"/>
      <c r="S324" s="314"/>
      <c r="T324" s="388" t="str">
        <f>EUconst_CNTR_RFNBOetcContent&amp;E313</f>
        <v>RNFBOC_</v>
      </c>
      <c r="U324" s="312"/>
      <c r="V324" s="312"/>
      <c r="W324" s="312"/>
      <c r="X324" s="312"/>
      <c r="Y324" s="380" t="str">
        <f>IF(E313="","",IF(OR(F324=EUconst_NA,W324=TRUE),EUconst_NA,INDEX(EUwideConstants!$P$164:$P$200,MATCH(T324,EUwideConstants!$S$164:$S$200,0))))</f>
        <v/>
      </c>
      <c r="Z324" s="314"/>
      <c r="AA324" s="314"/>
      <c r="AB324" s="314"/>
      <c r="AC324" s="397" t="b">
        <f>AND(AC320,Y324&lt;&gt;EUconst_NA)</f>
        <v>0</v>
      </c>
      <c r="AD324" s="314"/>
      <c r="AE324" s="415"/>
      <c r="AF324" s="416"/>
      <c r="AG324" s="417"/>
      <c r="AH324" s="418"/>
      <c r="AI324" s="418"/>
      <c r="AJ324" s="418"/>
      <c r="AK324" s="419"/>
      <c r="AL324" s="326"/>
      <c r="AM324" s="326"/>
      <c r="AN324" s="326"/>
      <c r="AO324" s="326"/>
      <c r="AP324" s="326"/>
      <c r="AQ324" s="444" t="s">
        <v>159</v>
      </c>
      <c r="AR324" s="415"/>
      <c r="AS324" s="445" t="str">
        <f t="shared" si="87"/>
        <v/>
      </c>
      <c r="AT324" s="446"/>
      <c r="AU324" s="447" t="str">
        <f t="shared" si="88"/>
        <v/>
      </c>
      <c r="AV324" s="397">
        <f>IF(L324&lt;&gt;0,L324,L324)</f>
        <v>0</v>
      </c>
      <c r="AW324" s="398" t="b">
        <f t="shared" si="81"/>
        <v>0</v>
      </c>
      <c r="AX324" s="448" t="b">
        <f t="shared" si="82"/>
        <v>0</v>
      </c>
      <c r="AY324" s="314"/>
      <c r="AZ324" s="449" t="b">
        <f t="shared" si="83"/>
        <v>0</v>
      </c>
      <c r="BA324" s="450" t="b">
        <f t="shared" si="84"/>
        <v>0</v>
      </c>
      <c r="BB324" s="314"/>
      <c r="BC324" s="398" t="b">
        <f t="shared" si="85"/>
        <v>0</v>
      </c>
      <c r="BD324" s="369" t="b">
        <f>OR(AV324&gt;100%,(AV324+AV325)&gt;100%)</f>
        <v>0</v>
      </c>
      <c r="BE324" s="314"/>
      <c r="BF324" s="451" t="s">
        <v>160</v>
      </c>
      <c r="BG324" s="452" t="str">
        <f>IF(COUNTIF(AO321:AO322,TRUE)=0,"",BH324*AV329)</f>
        <v/>
      </c>
      <c r="BH324" s="452" t="str">
        <f>IF(COUNTIF(AO321:AO322,TRUE)=0,"",AV318*IF(AO321,1,AV320*AN322)*AV321*AV326)</f>
        <v/>
      </c>
      <c r="BJ324" s="314"/>
      <c r="BK324" s="314"/>
      <c r="BL324" s="314"/>
      <c r="BM324" s="314"/>
      <c r="BN324" s="314"/>
      <c r="BO324" s="314"/>
      <c r="BP324" s="314"/>
      <c r="BQ324" s="314"/>
      <c r="BR324" s="314"/>
      <c r="BS324" s="314"/>
      <c r="BT324" s="314"/>
      <c r="BU324" s="314"/>
      <c r="BV324" s="314"/>
      <c r="BW324" s="314"/>
      <c r="BX324" s="314"/>
      <c r="BY324" s="314"/>
      <c r="BZ324" s="314"/>
      <c r="CA324" s="314"/>
      <c r="CB324" s="314"/>
      <c r="CC324" s="314"/>
      <c r="CD324" s="314"/>
      <c r="CE324" s="314"/>
      <c r="CF324" s="314"/>
      <c r="CG324" s="314"/>
      <c r="CH324" s="314"/>
      <c r="CI324" s="314"/>
      <c r="CJ324" s="314"/>
      <c r="CK324" s="314"/>
      <c r="CL324" s="314"/>
      <c r="CM324" s="314"/>
      <c r="CN324" s="314"/>
      <c r="CO324" s="314"/>
      <c r="CP324" s="314"/>
      <c r="CQ324" s="407" t="b">
        <f>OR(CQ318,Y324=EUconst_NA)</f>
        <v>0</v>
      </c>
    </row>
    <row r="325" spans="1:95" ht="12.75" customHeight="1" thickBot="1" x14ac:dyDescent="0.3">
      <c r="A325" s="307"/>
      <c r="B325" s="68"/>
      <c r="C325" s="199" t="s">
        <v>161</v>
      </c>
      <c r="D325" s="344" t="str">
        <f>Translations!$B$613</f>
        <v>non-sust. RFNBO/RCF:</v>
      </c>
      <c r="E325" s="441"/>
      <c r="F325" s="20" t="s">
        <v>158</v>
      </c>
      <c r="G325" s="1261"/>
      <c r="H325" s="1262"/>
      <c r="I325" s="422" t="str">
        <f t="shared" si="86"/>
        <v/>
      </c>
      <c r="J325" s="423"/>
      <c r="K325" s="443"/>
      <c r="L325" s="56"/>
      <c r="M325" s="347" t="str">
        <f>IF(AND(E313&lt;&gt;"",OR(F325="",COUNT(L325)=0),Y325&lt;&gt;EUconst_NA),EUconst_ERR_Incomplete,"")</f>
        <v/>
      </c>
      <c r="N325" s="76"/>
      <c r="O325" s="160"/>
      <c r="P325" s="348"/>
      <c r="Q325" s="413"/>
      <c r="R325" s="413"/>
      <c r="S325" s="314"/>
      <c r="T325" s="425" t="str">
        <f>EUconst_CNTR_RFNBOetcContent&amp;E313</f>
        <v>RNFBOC_</v>
      </c>
      <c r="U325" s="312"/>
      <c r="V325" s="312"/>
      <c r="W325" s="312"/>
      <c r="X325" s="312"/>
      <c r="Y325" s="438" t="str">
        <f>IF(E313="","",IF(OR(F325=EUconst_NA,W325=TRUE),EUconst_NA,INDEX(EUwideConstants!$P$164:$P$200,MATCH(T325,EUwideConstants!$S$164:$S$200,0))))</f>
        <v/>
      </c>
      <c r="Z325" s="314"/>
      <c r="AA325" s="314"/>
      <c r="AB325" s="314"/>
      <c r="AC325" s="429" t="b">
        <f>AND(AC320,Y325&lt;&gt;EUconst_NA)</f>
        <v>0</v>
      </c>
      <c r="AD325" s="314"/>
      <c r="AE325" s="430"/>
      <c r="AF325" s="431"/>
      <c r="AG325" s="432"/>
      <c r="AH325" s="433"/>
      <c r="AI325" s="433"/>
      <c r="AJ325" s="433"/>
      <c r="AK325" s="434"/>
      <c r="AL325" s="326"/>
      <c r="AM325" s="326"/>
      <c r="AN325" s="326"/>
      <c r="AO325" s="326"/>
      <c r="AP325" s="326"/>
      <c r="AQ325" s="435" t="s">
        <v>159</v>
      </c>
      <c r="AR325" s="430"/>
      <c r="AS325" s="436" t="str">
        <f t="shared" si="87"/>
        <v/>
      </c>
      <c r="AT325" s="437"/>
      <c r="AU325" s="438" t="str">
        <f t="shared" si="88"/>
        <v/>
      </c>
      <c r="AV325" s="429">
        <f t="shared" ref="AV325:AV327" si="89">IF(L325&lt;&gt;0,L325,L325)</f>
        <v>0</v>
      </c>
      <c r="AW325" s="407" t="b">
        <f t="shared" si="81"/>
        <v>0</v>
      </c>
      <c r="AX325" s="439" t="b">
        <f t="shared" si="82"/>
        <v>0</v>
      </c>
      <c r="AY325" s="314"/>
      <c r="AZ325" s="408" t="b">
        <f t="shared" si="83"/>
        <v>0</v>
      </c>
      <c r="BA325" s="440" t="b">
        <f t="shared" si="84"/>
        <v>0</v>
      </c>
      <c r="BB325" s="314"/>
      <c r="BC325" s="407" t="b">
        <f t="shared" si="85"/>
        <v>0</v>
      </c>
      <c r="BD325" s="407" t="b">
        <f>OR(AV324&gt;100%,(AV324+AV325)&gt;100%)</f>
        <v>0</v>
      </c>
      <c r="BE325" s="314"/>
      <c r="BF325" s="408" t="s">
        <v>162</v>
      </c>
      <c r="BG325" s="409" t="str">
        <f>IF(COUNTIF(AO321:AO322,TRUE)=0,"",BH325*AV329)</f>
        <v/>
      </c>
      <c r="BH325" s="409" t="str">
        <f>IF(COUNTIF(AO321:AO322,TRUE)=0,"",AV318*IF(AO321,1,AV320*AN322)*AV321*AV327)</f>
        <v/>
      </c>
      <c r="BJ325" s="314"/>
      <c r="BK325" s="314"/>
      <c r="BL325" s="314"/>
      <c r="BM325" s="314"/>
      <c r="BN325" s="314"/>
      <c r="BO325" s="314"/>
      <c r="BP325" s="314"/>
      <c r="BQ325" s="314"/>
      <c r="BR325" s="314"/>
      <c r="BS325" s="314"/>
      <c r="BT325" s="314"/>
      <c r="BU325" s="314"/>
      <c r="BV325" s="314"/>
      <c r="BW325" s="314"/>
      <c r="BX325" s="314"/>
      <c r="BY325" s="314"/>
      <c r="BZ325" s="314"/>
      <c r="CA325" s="314"/>
      <c r="CB325" s="314"/>
      <c r="CC325" s="314"/>
      <c r="CD325" s="314"/>
      <c r="CE325" s="314"/>
      <c r="CF325" s="314"/>
      <c r="CG325" s="314"/>
      <c r="CH325" s="314"/>
      <c r="CI325" s="314"/>
      <c r="CJ325" s="314"/>
      <c r="CK325" s="314"/>
      <c r="CL325" s="314"/>
      <c r="CM325" s="314"/>
      <c r="CN325" s="314"/>
      <c r="CO325" s="314"/>
      <c r="CP325" s="314"/>
      <c r="CQ325" s="407" t="b">
        <f>OR(CQ318,Y325=EUconst_NA)</f>
        <v>0</v>
      </c>
    </row>
    <row r="326" spans="1:95" ht="12.75" customHeight="1" thickBot="1" x14ac:dyDescent="0.3">
      <c r="A326" s="307"/>
      <c r="B326" s="68"/>
      <c r="C326" s="199" t="s">
        <v>163</v>
      </c>
      <c r="D326" s="344" t="str">
        <f>Translations!$B$615</f>
        <v>sust. SLCF:</v>
      </c>
      <c r="E326" s="441"/>
      <c r="F326" s="19" t="s">
        <v>158</v>
      </c>
      <c r="G326" s="1261"/>
      <c r="H326" s="1262"/>
      <c r="I326" s="442" t="str">
        <f t="shared" si="86"/>
        <v/>
      </c>
      <c r="J326" s="411"/>
      <c r="K326" s="443"/>
      <c r="L326" s="57"/>
      <c r="M326" s="347" t="str">
        <f>IF(AND(E313&lt;&gt;"",OR(F326="",COUNT(L326)=0),Y326&lt;&gt;EUconst_NA),EUconst_ERR_Incomplete,"")</f>
        <v/>
      </c>
      <c r="N326" s="76"/>
      <c r="O326" s="160"/>
      <c r="P326" s="348"/>
      <c r="Q326" s="413"/>
      <c r="R326" s="413"/>
      <c r="S326" s="314"/>
      <c r="T326" s="388" t="str">
        <f>EUconst_CNTR_RFNBOetcContent&amp;E313</f>
        <v>RNFBOC_</v>
      </c>
      <c r="U326" s="312"/>
      <c r="V326" s="312"/>
      <c r="W326" s="312"/>
      <c r="X326" s="312"/>
      <c r="Y326" s="447" t="str">
        <f>IF(E313="","",IF(OR(F326=EUconst_NA,W326=TRUE),EUconst_NA,INDEX(EUwideConstants!$P$164:$P$200,MATCH(T326,EUwideConstants!$S$164:$S$200,0))))</f>
        <v/>
      </c>
      <c r="Z326" s="314"/>
      <c r="AA326" s="314"/>
      <c r="AB326" s="314"/>
      <c r="AC326" s="397" t="b">
        <f>AND(AC322,Y326&lt;&gt;EUconst_NA)</f>
        <v>0</v>
      </c>
      <c r="AD326" s="314"/>
      <c r="AE326" s="415"/>
      <c r="AF326" s="416"/>
      <c r="AG326" s="417"/>
      <c r="AH326" s="418"/>
      <c r="AI326" s="418"/>
      <c r="AJ326" s="418"/>
      <c r="AK326" s="419"/>
      <c r="AL326" s="326"/>
      <c r="AM326" s="326"/>
      <c r="AN326" s="326"/>
      <c r="AO326" s="326"/>
      <c r="AP326" s="326"/>
      <c r="AQ326" s="444" t="s">
        <v>159</v>
      </c>
      <c r="AR326" s="415"/>
      <c r="AS326" s="445" t="str">
        <f t="shared" si="87"/>
        <v/>
      </c>
      <c r="AT326" s="446"/>
      <c r="AU326" s="447" t="str">
        <f t="shared" si="88"/>
        <v/>
      </c>
      <c r="AV326" s="397">
        <f t="shared" si="89"/>
        <v>0</v>
      </c>
      <c r="AW326" s="398" t="b">
        <f t="shared" si="81"/>
        <v>0</v>
      </c>
      <c r="AX326" s="448" t="b">
        <f t="shared" si="82"/>
        <v>0</v>
      </c>
      <c r="AY326" s="314"/>
      <c r="AZ326" s="449" t="b">
        <f t="shared" si="83"/>
        <v>0</v>
      </c>
      <c r="BA326" s="450" t="b">
        <f t="shared" si="84"/>
        <v>0</v>
      </c>
      <c r="BB326" s="314"/>
      <c r="BC326" s="398" t="b">
        <f t="shared" si="85"/>
        <v>0</v>
      </c>
      <c r="BD326" s="369" t="b">
        <f>OR(AV326&gt;100%,(AV326+AV327)&gt;100%)</f>
        <v>0</v>
      </c>
      <c r="BE326" s="314"/>
      <c r="BF326" s="451" t="s">
        <v>164</v>
      </c>
      <c r="BG326" s="452">
        <f>IF(AN318=EUconst_TJ,AV318*(1-AV322),IF(AN320=EUconst_GJ,AV318*AV320/1000,0))-SUM(BG327:BG333)</f>
        <v>0</v>
      </c>
      <c r="BH326" s="314"/>
      <c r="BI326" s="314"/>
      <c r="BJ326" s="314"/>
      <c r="BK326" s="314"/>
      <c r="BL326" s="314"/>
      <c r="BM326" s="314"/>
      <c r="BN326" s="314"/>
      <c r="BO326" s="314"/>
      <c r="BP326" s="314"/>
      <c r="BQ326" s="314"/>
      <c r="BR326" s="314"/>
      <c r="BS326" s="314"/>
      <c r="BT326" s="314"/>
      <c r="BU326" s="314"/>
      <c r="BV326" s="314"/>
      <c r="BW326" s="314"/>
      <c r="BX326" s="314"/>
      <c r="BY326" s="314"/>
      <c r="BZ326" s="314"/>
      <c r="CA326" s="314"/>
      <c r="CB326" s="314"/>
      <c r="CC326" s="314"/>
      <c r="CD326" s="314"/>
      <c r="CE326" s="314"/>
      <c r="CF326" s="314"/>
      <c r="CG326" s="314"/>
      <c r="CH326" s="314"/>
      <c r="CI326" s="314"/>
      <c r="CJ326" s="314"/>
      <c r="CK326" s="314"/>
      <c r="CL326" s="314"/>
      <c r="CM326" s="314"/>
      <c r="CN326" s="314"/>
      <c r="CO326" s="314"/>
      <c r="CP326" s="314"/>
      <c r="CQ326" s="407" t="b">
        <f>OR(CQ318,Y326=EUconst_NA)</f>
        <v>0</v>
      </c>
    </row>
    <row r="327" spans="1:95" ht="12.75" customHeight="1" thickBot="1" x14ac:dyDescent="0.3">
      <c r="A327" s="307"/>
      <c r="B327" s="68"/>
      <c r="C327" s="199" t="s">
        <v>165</v>
      </c>
      <c r="D327" s="344" t="str">
        <f>Translations!$B$618</f>
        <v>non-sust. SLCF:</v>
      </c>
      <c r="E327" s="441"/>
      <c r="F327" s="20" t="s">
        <v>158</v>
      </c>
      <c r="G327" s="1261"/>
      <c r="H327" s="1262"/>
      <c r="I327" s="422" t="str">
        <f t="shared" si="86"/>
        <v/>
      </c>
      <c r="J327" s="423"/>
      <c r="K327" s="443"/>
      <c r="L327" s="56"/>
      <c r="M327" s="347" t="str">
        <f>IF(AND(E313&lt;&gt;"",OR(F327="",COUNT(L327)=0),Y327&lt;&gt;EUconst_NA),EUconst_ERR_Incomplete,"")</f>
        <v/>
      </c>
      <c r="N327" s="76"/>
      <c r="O327" s="160"/>
      <c r="P327" s="348"/>
      <c r="Q327" s="413"/>
      <c r="R327" s="413"/>
      <c r="S327" s="314"/>
      <c r="T327" s="425" t="str">
        <f>EUconst_CNTR_RFNBOetcContent&amp;E313</f>
        <v>RNFBOC_</v>
      </c>
      <c r="U327" s="312"/>
      <c r="V327" s="312"/>
      <c r="W327" s="312"/>
      <c r="X327" s="312"/>
      <c r="Y327" s="438" t="str">
        <f>IF(E313="","",IF(OR(F327=EUconst_NA,W327=TRUE),EUconst_NA,INDEX(EUwideConstants!$P$164:$P$200,MATCH(T327,EUwideConstants!$S$164:$S$200,0))))</f>
        <v/>
      </c>
      <c r="Z327" s="314"/>
      <c r="AA327" s="314"/>
      <c r="AB327" s="314"/>
      <c r="AC327" s="429" t="b">
        <f>AND(AC322,Y327&lt;&gt;EUconst_NA)</f>
        <v>0</v>
      </c>
      <c r="AD327" s="314"/>
      <c r="AE327" s="430"/>
      <c r="AF327" s="431"/>
      <c r="AG327" s="432"/>
      <c r="AH327" s="433"/>
      <c r="AI327" s="433"/>
      <c r="AJ327" s="433"/>
      <c r="AK327" s="434"/>
      <c r="AL327" s="326"/>
      <c r="AM327" s="326"/>
      <c r="AN327" s="326"/>
      <c r="AO327" s="326"/>
      <c r="AP327" s="326"/>
      <c r="AQ327" s="435" t="s">
        <v>159</v>
      </c>
      <c r="AR327" s="430"/>
      <c r="AS327" s="436" t="str">
        <f t="shared" si="87"/>
        <v/>
      </c>
      <c r="AT327" s="437"/>
      <c r="AU327" s="438" t="str">
        <f t="shared" si="88"/>
        <v/>
      </c>
      <c r="AV327" s="429">
        <f t="shared" si="89"/>
        <v>0</v>
      </c>
      <c r="AW327" s="407" t="b">
        <f t="shared" si="81"/>
        <v>0</v>
      </c>
      <c r="AX327" s="439" t="b">
        <f t="shared" si="82"/>
        <v>0</v>
      </c>
      <c r="AY327" s="314"/>
      <c r="AZ327" s="408" t="b">
        <f t="shared" si="83"/>
        <v>0</v>
      </c>
      <c r="BA327" s="440" t="b">
        <f t="shared" si="84"/>
        <v>0</v>
      </c>
      <c r="BB327" s="314"/>
      <c r="BC327" s="407" t="b">
        <f t="shared" si="85"/>
        <v>0</v>
      </c>
      <c r="BD327" s="407" t="b">
        <f>OR(AV326&gt;100%,(AV326+AV327)&gt;100%)</f>
        <v>0</v>
      </c>
      <c r="BE327" s="314"/>
      <c r="BF327" s="408" t="s">
        <v>166</v>
      </c>
      <c r="BG327" s="409" t="str">
        <f>IF(AN318=EUconst_TJ,AV318*AV322,IF(AN320=EUconst_GJ,AV318*AV320/1000*AV322,""))</f>
        <v/>
      </c>
      <c r="BH327" s="314"/>
      <c r="BI327" s="314"/>
      <c r="BJ327" s="314"/>
      <c r="BK327" s="314"/>
      <c r="BL327" s="314"/>
      <c r="BM327" s="314"/>
      <c r="BN327" s="314"/>
      <c r="BO327" s="314"/>
      <c r="BP327" s="314"/>
      <c r="BQ327" s="314"/>
      <c r="BR327" s="314"/>
      <c r="BS327" s="314"/>
      <c r="BT327" s="314"/>
      <c r="BU327" s="314"/>
      <c r="BV327" s="314"/>
      <c r="BW327" s="314"/>
      <c r="BX327" s="314"/>
      <c r="BY327" s="314"/>
      <c r="BZ327" s="314"/>
      <c r="CA327" s="314"/>
      <c r="CB327" s="314"/>
      <c r="CC327" s="314"/>
      <c r="CD327" s="314"/>
      <c r="CE327" s="314"/>
      <c r="CF327" s="314"/>
      <c r="CG327" s="314"/>
      <c r="CH327" s="314"/>
      <c r="CI327" s="314"/>
      <c r="CJ327" s="314"/>
      <c r="CK327" s="314"/>
      <c r="CL327" s="314"/>
      <c r="CM327" s="314"/>
      <c r="CN327" s="314"/>
      <c r="CO327" s="314"/>
      <c r="CP327" s="314"/>
      <c r="CQ327" s="407" t="b">
        <f>OR(CQ318,Y327=EUconst_NA)</f>
        <v>0</v>
      </c>
    </row>
    <row r="328" spans="1:95" ht="5.15" customHeight="1" thickBot="1" x14ac:dyDescent="0.3">
      <c r="A328" s="307"/>
      <c r="B328" s="68"/>
      <c r="C328" s="68"/>
      <c r="D328" s="205"/>
      <c r="E328" s="76"/>
      <c r="F328" s="76"/>
      <c r="G328" s="76"/>
      <c r="H328" s="76"/>
      <c r="I328" s="76"/>
      <c r="J328" s="76"/>
      <c r="K328" s="76"/>
      <c r="L328" s="76"/>
      <c r="M328" s="453"/>
      <c r="N328" s="76"/>
      <c r="O328" s="160"/>
      <c r="P328" s="109"/>
      <c r="Q328" s="312"/>
      <c r="R328" s="312"/>
      <c r="S328" s="314"/>
      <c r="T328" s="314"/>
      <c r="U328" s="314"/>
      <c r="V328" s="314"/>
      <c r="W328" s="314"/>
      <c r="X328" s="314"/>
      <c r="Y328" s="314"/>
      <c r="Z328" s="314"/>
      <c r="AA328" s="314"/>
      <c r="AB328" s="314"/>
      <c r="AC328" s="314"/>
      <c r="AD328" s="314"/>
      <c r="AE328" s="314"/>
      <c r="AF328" s="314"/>
      <c r="AG328" s="314"/>
      <c r="AH328" s="314"/>
      <c r="AI328" s="314"/>
      <c r="AJ328" s="314"/>
      <c r="AK328" s="314"/>
      <c r="AL328" s="314"/>
      <c r="AM328" s="314"/>
      <c r="AN328" s="314"/>
      <c r="AO328" s="314"/>
      <c r="AP328" s="314"/>
      <c r="AQ328" s="314"/>
      <c r="AR328" s="314"/>
      <c r="AS328" s="314"/>
      <c r="AT328" s="314"/>
      <c r="AU328" s="314"/>
      <c r="AV328" s="314"/>
      <c r="AW328" s="314"/>
      <c r="AX328" s="314"/>
      <c r="AY328" s="314"/>
      <c r="AZ328" s="314"/>
      <c r="BA328" s="314"/>
      <c r="BB328" s="314"/>
      <c r="BC328" s="314"/>
      <c r="BD328" s="314"/>
      <c r="BE328" s="314"/>
      <c r="BF328" s="314"/>
      <c r="BG328" s="364"/>
      <c r="BH328" s="314"/>
      <c r="BI328" s="314"/>
      <c r="BJ328" s="314"/>
      <c r="BK328" s="314"/>
      <c r="BL328" s="314"/>
      <c r="BM328" s="314"/>
      <c r="BN328" s="314"/>
      <c r="BO328" s="314"/>
      <c r="BP328" s="314"/>
      <c r="BQ328" s="314"/>
      <c r="BR328" s="314"/>
      <c r="BS328" s="314"/>
      <c r="BT328" s="314"/>
      <c r="BU328" s="314"/>
      <c r="BV328" s="314"/>
      <c r="BW328" s="314"/>
      <c r="BX328" s="314"/>
      <c r="BY328" s="314"/>
      <c r="BZ328" s="314"/>
      <c r="CA328" s="314"/>
      <c r="CB328" s="314"/>
      <c r="CC328" s="314"/>
      <c r="CD328" s="314"/>
      <c r="CE328" s="314"/>
      <c r="CF328" s="314"/>
      <c r="CG328" s="314"/>
      <c r="CH328" s="314"/>
      <c r="CI328" s="314"/>
      <c r="CJ328" s="314"/>
      <c r="CK328" s="314"/>
      <c r="CL328" s="314"/>
      <c r="CM328" s="314"/>
      <c r="CN328" s="314"/>
      <c r="CO328" s="314"/>
      <c r="CP328" s="314"/>
      <c r="CQ328" s="314"/>
    </row>
    <row r="329" spans="1:95" ht="12.75" customHeight="1" thickBot="1" x14ac:dyDescent="0.3">
      <c r="A329" s="307"/>
      <c r="B329" s="68"/>
      <c r="C329" s="199" t="s">
        <v>167</v>
      </c>
      <c r="D329" s="344" t="str">
        <f>Translations!$B$398</f>
        <v>Scope factor:</v>
      </c>
      <c r="E329" s="454"/>
      <c r="F329" s="992"/>
      <c r="G329" s="1263"/>
      <c r="H329" s="1264"/>
      <c r="I329" s="455" t="s">
        <v>46</v>
      </c>
      <c r="J329" s="456"/>
      <c r="K329" s="457" t="str">
        <f>IF(L329="",AU329,"")</f>
        <v/>
      </c>
      <c r="L329" s="16"/>
      <c r="M329" s="458" t="str">
        <f>IF(AND(E313&lt;&gt;"",OR(F329="",G329="",COUNT(K329:L329)=0)),EUconst_ERR_Incomplete,IF(COUNTIF(BB329:BD329,TRUE)&gt;0,EUconst_ERR_Inconsistent,""))</f>
        <v/>
      </c>
      <c r="N329" s="76"/>
      <c r="O329" s="160"/>
      <c r="P329" s="109"/>
      <c r="Q329" s="312"/>
      <c r="R329" s="314"/>
      <c r="S329" s="297"/>
      <c r="T329" s="459" t="str">
        <f>EUconst_CNTR_ScopeFactor&amp;E313</f>
        <v>ScopeFactor_</v>
      </c>
      <c r="U329" s="231" t="str">
        <f>IF(F329="","",INDEX(ScopeAddress,MATCH(F329,ScopeTiers,0)))</f>
        <v/>
      </c>
      <c r="V329" s="360" t="str">
        <f>V318</f>
        <v/>
      </c>
      <c r="W329" s="314"/>
      <c r="X329" s="314"/>
      <c r="Y329" s="460" t="str">
        <f>IF(E313="","",IF(F329=EUconst_NA,EUconst_NA,INDEX(EUwideConstants!$P$164:$P$200,MATCH(T329,EUwideConstants!$S$164:$S$200,0))))</f>
        <v/>
      </c>
      <c r="Z329" s="461" t="str">
        <f>IF(ISBLANK(F329),"",IF(F329=EUconst_NA,"",INDEX(EUwideConstants!$H:$O,MATCH(T329,EUwideConstants!$S:$S,0),MATCH(F329,CNTR_TierList,0))))</f>
        <v/>
      </c>
      <c r="AA329" s="331" t="str">
        <f>IF(G329=EUwideConstants!$A$89,1,"")</f>
        <v/>
      </c>
      <c r="AB329" s="314"/>
      <c r="AC329" s="331" t="b">
        <f>AND(AC318,Y329&lt;&gt;EUconst_NA)</f>
        <v>0</v>
      </c>
      <c r="AD329" s="314"/>
      <c r="AE329" s="314"/>
      <c r="AF329" s="314"/>
      <c r="AG329" s="319"/>
      <c r="AH329" s="314"/>
      <c r="AI329" s="314"/>
      <c r="AJ329" s="314"/>
      <c r="AK329" s="314"/>
      <c r="AL329" s="314"/>
      <c r="AM329" s="314"/>
      <c r="AN329" s="314"/>
      <c r="AO329" s="314"/>
      <c r="AP329" s="314"/>
      <c r="AQ329" s="314"/>
      <c r="AR329" s="314"/>
      <c r="AS329" s="328">
        <v>1</v>
      </c>
      <c r="AT329" s="314"/>
      <c r="AU329" s="319" t="str">
        <f>IF(G329=EUwideConstants!$A$89,AS329,"")</f>
        <v/>
      </c>
      <c r="AV329" s="331">
        <f>IF(AC329=TRUE,IF(COUNT(K329:L329)=0,0,IF(L329="",K329,L329)),0)</f>
        <v>0</v>
      </c>
      <c r="AW329" s="360" t="b">
        <f>AND(AC329=TRUE,OR(AND(F329&lt;&gt;"",NOT(ISNUMBER(AA329))),L329&lt;&gt;"",F329="",AU329=""))</f>
        <v>0</v>
      </c>
      <c r="AX329" s="357" t="b">
        <f>AND(AC329=TRUE,NOT(AW329))</f>
        <v>0</v>
      </c>
      <c r="AY329" s="314"/>
      <c r="AZ329" s="361" t="b">
        <f>AND(ISNUMBER(AA329),AU329="")</f>
        <v>0</v>
      </c>
      <c r="BA329" s="351" t="b">
        <f>AND(ISNUMBER(AA329),AU329&lt;&gt;AV329)</f>
        <v>0</v>
      </c>
      <c r="BB329" s="314"/>
      <c r="BC329" s="360" t="b">
        <f>AND(F329&lt;&gt;"",OR(COUNTIF(INDEX(ScopeMethods,F329,),G329)=0,AND(AA329&lt;&gt;"",AU329&lt;&gt;AV329)))</f>
        <v>0</v>
      </c>
      <c r="BD329" s="314"/>
      <c r="BE329" s="314"/>
      <c r="BF329" s="361" t="s">
        <v>168</v>
      </c>
      <c r="BG329" s="362" t="str">
        <f>IF(AN318=EUconst_TJ,AV318*AV324,IF(AN320=EUconst_GJ,AV318*AV320/1000*AV324,""))</f>
        <v/>
      </c>
      <c r="BH329" s="314"/>
      <c r="BI329" s="314"/>
      <c r="BJ329" s="314"/>
      <c r="BK329" s="314"/>
      <c r="BL329" s="314"/>
      <c r="BM329" s="314"/>
      <c r="BN329" s="314"/>
      <c r="BO329" s="314"/>
      <c r="BP329" s="314"/>
      <c r="BQ329" s="314"/>
      <c r="BR329" s="314"/>
      <c r="BS329" s="314"/>
      <c r="BT329" s="314"/>
      <c r="BU329" s="314"/>
      <c r="BV329" s="314"/>
      <c r="BW329" s="314"/>
      <c r="BX329" s="314"/>
      <c r="BY329" s="314"/>
      <c r="BZ329" s="314"/>
      <c r="CA329" s="314"/>
      <c r="CB329" s="314"/>
      <c r="CC329" s="314"/>
      <c r="CD329" s="314"/>
      <c r="CE329" s="314"/>
      <c r="CF329" s="314"/>
      <c r="CG329" s="314"/>
      <c r="CH329" s="314"/>
      <c r="CI329" s="314"/>
      <c r="CJ329" s="314"/>
      <c r="CK329" s="314"/>
      <c r="CL329" s="314"/>
      <c r="CM329" s="314"/>
      <c r="CN329" s="314"/>
      <c r="CO329" s="314"/>
      <c r="CP329" s="314"/>
      <c r="CQ329" s="314"/>
    </row>
    <row r="330" spans="1:95" ht="12.75" customHeight="1" x14ac:dyDescent="0.25">
      <c r="A330" s="307"/>
      <c r="B330" s="68"/>
      <c r="C330" s="68"/>
      <c r="D330" s="68"/>
      <c r="E330" s="68"/>
      <c r="F330" s="68"/>
      <c r="G330" s="1265" t="str">
        <f>IF(G329="","",INDEX(ScopeMethodsDetails,MATCH(G329,INDEX(ScopeMethodsDetails,,1),0),2))</f>
        <v/>
      </c>
      <c r="H330" s="1266"/>
      <c r="I330" s="1266"/>
      <c r="J330" s="1266"/>
      <c r="K330" s="1266"/>
      <c r="L330" s="1266"/>
      <c r="M330" s="1267"/>
      <c r="N330" s="76"/>
      <c r="O330" s="160"/>
      <c r="P330" s="109"/>
      <c r="Q330" s="312"/>
      <c r="R330" s="312"/>
      <c r="S330" s="314"/>
      <c r="T330" s="314"/>
      <c r="U330" s="314"/>
      <c r="V330" s="314"/>
      <c r="W330" s="314"/>
      <c r="X330" s="314"/>
      <c r="Y330" s="314"/>
      <c r="Z330" s="314"/>
      <c r="AA330" s="314"/>
      <c r="AB330" s="314"/>
      <c r="AC330" s="314"/>
      <c r="AD330" s="314"/>
      <c r="AE330" s="314"/>
      <c r="AF330" s="314"/>
      <c r="AG330" s="314"/>
      <c r="AH330" s="314"/>
      <c r="AI330" s="314"/>
      <c r="AJ330" s="314"/>
      <c r="AK330" s="314"/>
      <c r="AL330" s="314"/>
      <c r="AM330" s="314"/>
      <c r="AN330" s="314"/>
      <c r="AO330" s="314"/>
      <c r="AP330" s="314"/>
      <c r="AQ330" s="314"/>
      <c r="AR330" s="314"/>
      <c r="AS330" s="314"/>
      <c r="AT330" s="314"/>
      <c r="AU330" s="314"/>
      <c r="AV330" s="314"/>
      <c r="AW330" s="314"/>
      <c r="AX330" s="314"/>
      <c r="AY330" s="314"/>
      <c r="AZ330" s="314"/>
      <c r="BA330" s="314"/>
      <c r="BB330" s="314"/>
      <c r="BC330" s="314"/>
      <c r="BD330" s="314"/>
      <c r="BE330" s="314"/>
      <c r="BG330" s="364"/>
      <c r="BH330" s="314"/>
      <c r="BI330" s="314"/>
      <c r="BJ330" s="314"/>
      <c r="BK330" s="314"/>
      <c r="BL330" s="314"/>
      <c r="BM330" s="314"/>
      <c r="BN330" s="314"/>
      <c r="BO330" s="314"/>
      <c r="BP330" s="314"/>
      <c r="BQ330" s="314"/>
      <c r="BR330" s="314"/>
      <c r="BS330" s="314"/>
      <c r="BT330" s="314"/>
      <c r="BU330" s="314"/>
      <c r="BV330" s="314"/>
      <c r="BW330" s="314"/>
      <c r="BX330" s="314"/>
      <c r="BY330" s="314"/>
      <c r="BZ330" s="314"/>
      <c r="CA330" s="314"/>
      <c r="CB330" s="314"/>
      <c r="CC330" s="314"/>
      <c r="CD330" s="314"/>
      <c r="CE330" s="314"/>
      <c r="CF330" s="314"/>
      <c r="CG330" s="314"/>
      <c r="CH330" s="314"/>
      <c r="CI330" s="314"/>
      <c r="CJ330" s="314"/>
      <c r="CK330" s="314"/>
      <c r="CL330" s="314"/>
      <c r="CM330" s="314"/>
      <c r="CN330" s="314"/>
      <c r="CO330" s="314"/>
      <c r="CP330" s="314"/>
      <c r="CQ330" s="314"/>
    </row>
    <row r="331" spans="1:95" ht="5.15" customHeight="1" x14ac:dyDescent="0.25">
      <c r="A331" s="307"/>
      <c r="C331" s="76"/>
      <c r="D331" s="76"/>
      <c r="E331" s="76"/>
      <c r="F331" s="76"/>
      <c r="G331" s="76"/>
      <c r="H331" s="76"/>
      <c r="I331" s="76"/>
      <c r="J331" s="76"/>
      <c r="K331" s="76"/>
      <c r="L331" s="76"/>
      <c r="O331" s="160"/>
      <c r="P331" s="109"/>
      <c r="Q331" s="312"/>
      <c r="R331" s="312"/>
      <c r="S331" s="314"/>
      <c r="T331" s="314"/>
      <c r="U331" s="314"/>
      <c r="V331" s="314"/>
      <c r="W331" s="314"/>
      <c r="X331" s="314"/>
      <c r="Y331" s="314"/>
      <c r="Z331" s="314"/>
      <c r="AA331" s="314"/>
      <c r="AB331" s="314"/>
      <c r="AC331" s="314"/>
      <c r="AD331" s="314"/>
      <c r="AE331" s="314"/>
      <c r="AF331" s="314"/>
      <c r="AG331" s="314"/>
      <c r="AH331" s="314"/>
      <c r="AI331" s="314"/>
      <c r="AJ331" s="314"/>
      <c r="AK331" s="314"/>
      <c r="AL331" s="314"/>
      <c r="AM331" s="314"/>
      <c r="AN331" s="314"/>
      <c r="AO331" s="314"/>
      <c r="AP331" s="314"/>
      <c r="AQ331" s="314"/>
      <c r="AR331" s="314"/>
      <c r="AS331" s="314"/>
      <c r="AT331" s="314"/>
      <c r="AU331" s="314"/>
      <c r="AV331" s="314"/>
      <c r="AW331" s="314"/>
      <c r="AX331" s="314"/>
      <c r="AY331" s="314"/>
      <c r="AZ331" s="314"/>
      <c r="BA331" s="314"/>
      <c r="BB331" s="314"/>
      <c r="BC331" s="314"/>
      <c r="BD331" s="314"/>
      <c r="BE331" s="314"/>
      <c r="BG331" s="364"/>
      <c r="BH331" s="314"/>
      <c r="BI331" s="314"/>
      <c r="BJ331" s="314"/>
      <c r="BK331" s="314"/>
      <c r="BL331" s="314"/>
      <c r="BM331" s="314"/>
      <c r="BN331" s="314"/>
      <c r="BO331" s="314"/>
      <c r="BP331" s="314"/>
      <c r="BQ331" s="314"/>
      <c r="BR331" s="314"/>
      <c r="BS331" s="314"/>
      <c r="BT331" s="314"/>
      <c r="BU331" s="314"/>
      <c r="BV331" s="314"/>
      <c r="BW331" s="314"/>
      <c r="BX331" s="314"/>
      <c r="BY331" s="314"/>
      <c r="BZ331" s="314"/>
      <c r="CA331" s="314"/>
      <c r="CB331" s="314"/>
      <c r="CC331" s="314"/>
      <c r="CD331" s="314"/>
      <c r="CE331" s="314"/>
      <c r="CF331" s="314"/>
      <c r="CG331" s="314"/>
      <c r="CH331" s="314"/>
      <c r="CI331" s="314"/>
      <c r="CJ331" s="314"/>
      <c r="CK331" s="314"/>
      <c r="CL331" s="314"/>
      <c r="CM331" s="314"/>
      <c r="CN331" s="314"/>
      <c r="CO331" s="314"/>
      <c r="CP331" s="314"/>
      <c r="CQ331" s="314"/>
    </row>
    <row r="332" spans="1:95" ht="12.75" customHeight="1" thickBot="1" x14ac:dyDescent="0.3">
      <c r="A332" s="307"/>
      <c r="C332" s="76"/>
      <c r="D332" s="76"/>
      <c r="E332" s="76"/>
      <c r="F332" s="76"/>
      <c r="G332" s="1268">
        <v>1</v>
      </c>
      <c r="H332" s="1268"/>
      <c r="I332" s="1268">
        <v>2</v>
      </c>
      <c r="J332" s="1268"/>
      <c r="K332" s="1268">
        <v>3</v>
      </c>
      <c r="L332" s="1268"/>
      <c r="O332" s="160"/>
      <c r="P332" s="109"/>
      <c r="Q332" s="312"/>
      <c r="R332" s="312"/>
      <c r="S332" s="314"/>
      <c r="T332" s="314"/>
      <c r="U332" s="314"/>
      <c r="V332" s="314"/>
      <c r="W332" s="314"/>
      <c r="X332" s="314"/>
      <c r="Y332" s="314"/>
      <c r="Z332" s="314"/>
      <c r="AA332" s="314"/>
      <c r="AB332" s="314"/>
      <c r="AC332" s="314"/>
      <c r="AD332" s="314"/>
      <c r="AE332" s="314"/>
      <c r="AF332" s="314"/>
      <c r="AG332" s="314"/>
      <c r="AH332" s="314"/>
      <c r="AI332" s="314"/>
      <c r="AJ332" s="314"/>
      <c r="AK332" s="314"/>
      <c r="AL332" s="314"/>
      <c r="AM332" s="314"/>
      <c r="AN332" s="314"/>
      <c r="AO332" s="314"/>
      <c r="AP332" s="314"/>
      <c r="AQ332" s="314"/>
      <c r="AR332" s="314"/>
      <c r="AS332" s="314"/>
      <c r="AT332" s="314"/>
      <c r="AU332" s="314"/>
      <c r="AV332" s="314"/>
      <c r="AW332" s="314"/>
      <c r="AX332" s="314"/>
      <c r="AY332" s="314"/>
      <c r="AZ332" s="314"/>
      <c r="BA332" s="314"/>
      <c r="BB332" s="314"/>
      <c r="BC332" s="314"/>
      <c r="BD332" s="314"/>
      <c r="BE332" s="314"/>
      <c r="BF332" s="314"/>
      <c r="BG332" s="364"/>
      <c r="BH332" s="314"/>
      <c r="BI332" s="314"/>
      <c r="BJ332" s="314"/>
      <c r="BK332" s="314"/>
      <c r="BL332" s="314"/>
      <c r="BM332" s="314"/>
      <c r="BN332" s="314"/>
      <c r="BO332" s="314"/>
      <c r="BP332" s="314"/>
      <c r="BQ332" s="314"/>
      <c r="BR332" s="314"/>
      <c r="BS332" s="314"/>
      <c r="BT332" s="314"/>
      <c r="BU332" s="314"/>
      <c r="BV332" s="314"/>
      <c r="BW332" s="314"/>
      <c r="BX332" s="314"/>
      <c r="BY332" s="314"/>
      <c r="BZ332" s="314"/>
      <c r="CA332" s="314"/>
      <c r="CB332" s="314"/>
      <c r="CC332" s="314"/>
      <c r="CD332" s="314"/>
      <c r="CE332" s="314"/>
      <c r="CF332" s="314"/>
      <c r="CG332" s="314"/>
      <c r="CH332" s="314"/>
      <c r="CI332" s="314"/>
      <c r="CJ332" s="314"/>
      <c r="CK332" s="314"/>
      <c r="CL332" s="314"/>
      <c r="CM332" s="314"/>
      <c r="CN332" s="314"/>
      <c r="CO332" s="314"/>
      <c r="CP332" s="314"/>
      <c r="CQ332" s="314"/>
    </row>
    <row r="333" spans="1:95" ht="12.75" customHeight="1" thickBot="1" x14ac:dyDescent="0.3">
      <c r="A333" s="462"/>
      <c r="B333" s="76"/>
      <c r="C333" s="76"/>
      <c r="D333" s="1246" t="str">
        <f>Translations!$B$372</f>
        <v>Consumers' CRF category:</v>
      </c>
      <c r="E333" s="1246"/>
      <c r="F333" s="1247"/>
      <c r="G333" s="1248"/>
      <c r="H333" s="1249"/>
      <c r="I333" s="1248"/>
      <c r="J333" s="1249"/>
      <c r="K333" s="1248"/>
      <c r="L333" s="1249"/>
      <c r="M333" s="463" t="str">
        <f>IF(AND(E312&lt;&gt;"",COUNTA(G333:L333)=0,AX333=FALSE),EUconst_ERR_Incomplete,"")</f>
        <v/>
      </c>
      <c r="N333" s="76"/>
      <c r="O333" s="160"/>
      <c r="P333" s="109"/>
      <c r="Q333" s="312"/>
      <c r="R333" s="312"/>
      <c r="S333" s="314"/>
      <c r="T333" s="314"/>
      <c r="U333" s="314"/>
      <c r="V333" s="314"/>
      <c r="W333" s="314"/>
      <c r="X333" s="314"/>
      <c r="Y333" s="314"/>
      <c r="Z333" s="314"/>
      <c r="AA333" s="314"/>
      <c r="AB333" s="314"/>
      <c r="AC333" s="314"/>
      <c r="AD333" s="314"/>
      <c r="AE333" s="314"/>
      <c r="AF333" s="314"/>
      <c r="AG333" s="314"/>
      <c r="AH333" s="314"/>
      <c r="AI333" s="314"/>
      <c r="AJ333" s="314"/>
      <c r="AK333" s="314"/>
      <c r="AL333" s="314"/>
      <c r="AM333" s="314"/>
      <c r="AN333" s="314"/>
      <c r="AO333" s="314"/>
      <c r="AP333" s="314"/>
      <c r="AQ333" s="314"/>
      <c r="AR333" s="314"/>
      <c r="AS333" s="314"/>
      <c r="AT333" s="314"/>
      <c r="AU333" s="314"/>
      <c r="AV333" s="314"/>
      <c r="AW333" s="314"/>
      <c r="AX333" s="464" t="b">
        <f>AND(AV329&lt;&gt;"",SUM(AV329=1))</f>
        <v>0</v>
      </c>
      <c r="AY333" s="314"/>
      <c r="AZ333" s="314"/>
      <c r="BA333" s="314"/>
      <c r="BB333" s="314"/>
      <c r="BC333" s="314"/>
      <c r="BD333" s="314"/>
      <c r="BE333" s="314"/>
      <c r="BF333" s="361" t="s">
        <v>169</v>
      </c>
      <c r="BG333" s="362" t="str">
        <f>IF(AN318=EUconst_TJ,AV318*AV326,IF(AN320=EUconst_GJ,AV318*AV320/1000*AV326,""))</f>
        <v/>
      </c>
      <c r="BH333" s="314"/>
      <c r="BI333" s="314"/>
      <c r="BJ333" s="314"/>
      <c r="BK333" s="314"/>
      <c r="BL333" s="314"/>
      <c r="BM333" s="314"/>
      <c r="BN333" s="314"/>
      <c r="BO333" s="314"/>
      <c r="BP333" s="314"/>
      <c r="BQ333" s="314"/>
      <c r="BR333" s="314"/>
      <c r="BS333" s="314"/>
      <c r="BT333" s="314"/>
      <c r="BU333" s="314"/>
      <c r="BV333" s="314"/>
      <c r="BW333" s="314"/>
      <c r="BX333" s="314"/>
      <c r="BY333" s="314"/>
      <c r="BZ333" s="314"/>
      <c r="CA333" s="314"/>
      <c r="CB333" s="314"/>
      <c r="CC333" s="314"/>
      <c r="CD333" s="314"/>
      <c r="CE333" s="314"/>
      <c r="CF333" s="314"/>
      <c r="CG333" s="314"/>
      <c r="CH333" s="314"/>
      <c r="CI333" s="314"/>
      <c r="CJ333" s="314"/>
      <c r="CK333" s="314"/>
      <c r="CL333" s="314"/>
      <c r="CM333" s="314"/>
      <c r="CN333" s="314"/>
      <c r="CO333" s="314"/>
      <c r="CP333" s="314"/>
      <c r="CQ333" s="314"/>
    </row>
    <row r="334" spans="1:95" ht="5.15" customHeight="1" x14ac:dyDescent="0.25">
      <c r="A334" s="307"/>
      <c r="B334" s="68"/>
      <c r="C334" s="68"/>
      <c r="D334" s="68"/>
      <c r="E334" s="68"/>
      <c r="F334" s="68"/>
      <c r="G334" s="76"/>
      <c r="H334" s="76"/>
      <c r="I334" s="76"/>
      <c r="J334" s="76"/>
      <c r="K334" s="76"/>
      <c r="L334" s="76"/>
      <c r="M334" s="76"/>
      <c r="N334" s="76"/>
      <c r="O334" s="160"/>
      <c r="P334" s="109"/>
      <c r="Q334" s="312"/>
      <c r="R334" s="312"/>
      <c r="S334" s="314"/>
      <c r="T334" s="314"/>
      <c r="U334" s="314"/>
      <c r="V334" s="314"/>
      <c r="W334" s="314"/>
      <c r="X334" s="314"/>
      <c r="Y334" s="314"/>
      <c r="Z334" s="314"/>
      <c r="AA334" s="314"/>
      <c r="AB334" s="314"/>
      <c r="AC334" s="314"/>
      <c r="AD334" s="314"/>
      <c r="AE334" s="314"/>
      <c r="AF334" s="314"/>
      <c r="AG334" s="314"/>
      <c r="AH334" s="314"/>
      <c r="AI334" s="314"/>
      <c r="AJ334" s="314"/>
      <c r="AK334" s="314"/>
      <c r="AL334" s="314"/>
      <c r="AM334" s="314"/>
      <c r="AN334" s="314"/>
      <c r="AO334" s="314"/>
      <c r="AP334" s="314"/>
      <c r="AQ334" s="314"/>
      <c r="AR334" s="314"/>
      <c r="AS334" s="314"/>
      <c r="AT334" s="314"/>
      <c r="AU334" s="314"/>
      <c r="AV334" s="314"/>
      <c r="AW334" s="314"/>
      <c r="AX334" s="314"/>
      <c r="AY334" s="314"/>
      <c r="AZ334" s="314"/>
      <c r="BA334" s="314"/>
      <c r="BB334" s="314"/>
      <c r="BC334" s="314"/>
      <c r="BD334" s="314"/>
      <c r="BE334" s="314"/>
      <c r="BF334" s="314"/>
      <c r="BG334" s="314"/>
      <c r="BH334" s="314"/>
      <c r="BI334" s="314"/>
      <c r="BJ334" s="314"/>
      <c r="BK334" s="314"/>
      <c r="BL334" s="314"/>
      <c r="BM334" s="314"/>
      <c r="BN334" s="314"/>
      <c r="BO334" s="314"/>
      <c r="BP334" s="314"/>
      <c r="BQ334" s="314"/>
      <c r="BR334" s="314"/>
      <c r="BS334" s="314"/>
      <c r="BT334" s="314"/>
      <c r="BU334" s="314"/>
      <c r="BV334" s="314"/>
      <c r="BW334" s="314"/>
      <c r="BX334" s="314"/>
      <c r="BY334" s="314"/>
      <c r="BZ334" s="314"/>
      <c r="CA334" s="314"/>
      <c r="CB334" s="314"/>
      <c r="CC334" s="314"/>
      <c r="CD334" s="314"/>
      <c r="CE334" s="314"/>
      <c r="CF334" s="314"/>
      <c r="CG334" s="314"/>
      <c r="CH334" s="314"/>
      <c r="CI334" s="314"/>
      <c r="CJ334" s="314"/>
      <c r="CK334" s="314"/>
      <c r="CL334" s="314"/>
      <c r="CM334" s="314"/>
      <c r="CN334" s="314"/>
      <c r="CO334" s="314"/>
      <c r="CP334" s="314"/>
      <c r="CQ334" s="314"/>
    </row>
    <row r="335" spans="1:95" ht="12.75" customHeight="1" x14ac:dyDescent="0.25">
      <c r="A335" s="307"/>
      <c r="B335" s="68"/>
      <c r="C335" s="68"/>
      <c r="D335" s="1246" t="str">
        <f>Translations!$B$399</f>
        <v>Tiers valid from:</v>
      </c>
      <c r="E335" s="1246"/>
      <c r="F335" s="1247"/>
      <c r="G335" s="8"/>
      <c r="H335" s="199" t="str">
        <f>Translations!$B$400</f>
        <v>until:</v>
      </c>
      <c r="I335" s="8"/>
      <c r="J335" s="76"/>
      <c r="K335" s="76"/>
      <c r="L335" s="76"/>
      <c r="M335" s="199" t="str">
        <f>Translations!$B$401</f>
        <v>ID used in the monitoring plan for this fuel stream:</v>
      </c>
      <c r="N335" s="9"/>
      <c r="O335" s="160"/>
      <c r="P335" s="109"/>
      <c r="Q335" s="312"/>
      <c r="R335" s="312"/>
      <c r="S335" s="465"/>
      <c r="T335" s="314"/>
      <c r="U335" s="314"/>
      <c r="V335" s="314"/>
      <c r="W335" s="314"/>
      <c r="X335" s="314"/>
      <c r="Y335" s="314"/>
      <c r="Z335" s="314"/>
      <c r="AA335" s="314"/>
      <c r="AB335" s="314"/>
      <c r="AC335" s="314"/>
      <c r="AD335" s="314"/>
      <c r="AE335" s="314"/>
      <c r="AF335" s="314"/>
      <c r="AG335" s="314"/>
      <c r="AH335" s="314"/>
      <c r="AI335" s="314"/>
      <c r="AJ335" s="314"/>
      <c r="AK335" s="314"/>
      <c r="AL335" s="314"/>
      <c r="AM335" s="314"/>
      <c r="AN335" s="314"/>
      <c r="AO335" s="314"/>
      <c r="AP335" s="314"/>
      <c r="AQ335" s="314"/>
      <c r="AR335" s="314"/>
      <c r="AS335" s="314"/>
      <c r="AT335" s="314"/>
      <c r="AU335" s="314"/>
      <c r="AV335" s="314"/>
      <c r="AW335" s="314"/>
      <c r="AX335" s="314"/>
      <c r="AY335" s="314"/>
      <c r="AZ335" s="314"/>
      <c r="BA335" s="314"/>
      <c r="BB335" s="314"/>
      <c r="BC335" s="314"/>
      <c r="BD335" s="314"/>
      <c r="BE335" s="314"/>
      <c r="BF335" s="314"/>
      <c r="BG335" s="314"/>
      <c r="BH335" s="314"/>
      <c r="BI335" s="314"/>
      <c r="BJ335" s="314"/>
      <c r="BK335" s="314"/>
      <c r="BL335" s="314"/>
      <c r="BM335" s="314"/>
      <c r="BN335" s="314"/>
      <c r="BO335" s="314"/>
      <c r="BP335" s="314"/>
      <c r="BQ335" s="314"/>
      <c r="BR335" s="314"/>
      <c r="BS335" s="314"/>
      <c r="BT335" s="314"/>
      <c r="BU335" s="314"/>
      <c r="BV335" s="314"/>
      <c r="BW335" s="314"/>
      <c r="BX335" s="314"/>
      <c r="BY335" s="314"/>
      <c r="BZ335" s="314"/>
      <c r="CA335" s="314"/>
      <c r="CB335" s="314"/>
      <c r="CC335" s="314"/>
      <c r="CD335" s="314"/>
      <c r="CE335" s="314"/>
      <c r="CF335" s="314"/>
      <c r="CG335" s="314"/>
      <c r="CH335" s="314"/>
      <c r="CI335" s="314"/>
      <c r="CJ335" s="314"/>
      <c r="CK335" s="314"/>
      <c r="CL335" s="314"/>
      <c r="CM335" s="314"/>
      <c r="CN335" s="314"/>
      <c r="CO335" s="314"/>
      <c r="CP335" s="314"/>
      <c r="CQ335" s="464" t="b">
        <f>CQ318</f>
        <v>0</v>
      </c>
    </row>
    <row r="336" spans="1:95" ht="5.15" customHeight="1" x14ac:dyDescent="0.25">
      <c r="A336" s="462"/>
      <c r="B336" s="76"/>
      <c r="C336" s="76"/>
      <c r="D336" s="76"/>
      <c r="E336" s="76"/>
      <c r="F336" s="76"/>
      <c r="G336" s="76"/>
      <c r="H336" s="76"/>
      <c r="I336" s="76"/>
      <c r="J336" s="76"/>
      <c r="K336" s="76"/>
      <c r="L336" s="76"/>
      <c r="M336" s="76"/>
      <c r="N336" s="76"/>
      <c r="O336" s="160"/>
      <c r="P336" s="109"/>
      <c r="Q336" s="312"/>
      <c r="R336" s="312"/>
      <c r="S336" s="314"/>
      <c r="T336" s="314"/>
      <c r="U336" s="314"/>
      <c r="V336" s="314"/>
      <c r="W336" s="314"/>
      <c r="X336" s="314"/>
      <c r="Y336" s="314"/>
      <c r="Z336" s="314"/>
      <c r="AA336" s="314"/>
      <c r="AB336" s="314"/>
      <c r="AC336" s="314"/>
      <c r="AD336" s="314"/>
      <c r="AE336" s="314"/>
      <c r="AF336" s="314"/>
      <c r="AG336" s="314"/>
      <c r="AH336" s="314"/>
      <c r="AI336" s="314"/>
      <c r="AJ336" s="314"/>
      <c r="AK336" s="314"/>
      <c r="AL336" s="314"/>
      <c r="AM336" s="314"/>
      <c r="AN336" s="314"/>
      <c r="AO336" s="314"/>
      <c r="AP336" s="314"/>
      <c r="AQ336" s="314"/>
      <c r="AR336" s="314"/>
      <c r="AS336" s="314"/>
      <c r="AT336" s="314"/>
      <c r="AU336" s="314"/>
      <c r="AV336" s="314"/>
      <c r="AW336" s="314"/>
      <c r="AX336" s="314"/>
      <c r="AY336" s="314"/>
      <c r="AZ336" s="314"/>
      <c r="BA336" s="314"/>
      <c r="BB336" s="314"/>
      <c r="BC336" s="314"/>
      <c r="BD336" s="314"/>
      <c r="BE336" s="314"/>
      <c r="BF336" s="314"/>
      <c r="BG336" s="314"/>
      <c r="BH336" s="314"/>
      <c r="BI336" s="314"/>
      <c r="BJ336" s="314"/>
      <c r="BK336" s="314"/>
      <c r="BL336" s="314"/>
      <c r="BM336" s="314"/>
      <c r="BN336" s="314"/>
      <c r="BO336" s="314"/>
      <c r="BP336" s="314"/>
      <c r="BQ336" s="314"/>
      <c r="BR336" s="314"/>
      <c r="BS336" s="314"/>
      <c r="BT336" s="314"/>
      <c r="BU336" s="314"/>
      <c r="BV336" s="314"/>
      <c r="BW336" s="314"/>
      <c r="BX336" s="314"/>
      <c r="BY336" s="314"/>
      <c r="BZ336" s="314"/>
      <c r="CA336" s="314"/>
      <c r="CB336" s="314"/>
      <c r="CC336" s="314"/>
      <c r="CD336" s="314"/>
      <c r="CE336" s="314"/>
      <c r="CF336" s="314"/>
      <c r="CG336" s="314"/>
      <c r="CH336" s="314"/>
      <c r="CI336" s="314"/>
      <c r="CJ336" s="314"/>
      <c r="CK336" s="314"/>
      <c r="CL336" s="314"/>
      <c r="CM336" s="314"/>
      <c r="CN336" s="314"/>
      <c r="CO336" s="314"/>
      <c r="CP336" s="314"/>
      <c r="CQ336" s="314"/>
    </row>
    <row r="337" spans="1:95" ht="12.75" customHeight="1" x14ac:dyDescent="0.25">
      <c r="A337" s="462"/>
      <c r="B337" s="76"/>
      <c r="C337" s="76"/>
      <c r="D337" s="115"/>
      <c r="E337" s="85"/>
      <c r="F337" s="466" t="str">
        <f>Translations!$B$304</f>
        <v>Comments:</v>
      </c>
      <c r="G337" s="1250"/>
      <c r="H337" s="1251"/>
      <c r="I337" s="1251"/>
      <c r="J337" s="1251"/>
      <c r="K337" s="1251"/>
      <c r="L337" s="1251"/>
      <c r="M337" s="1251"/>
      <c r="N337" s="1252"/>
      <c r="O337" s="160"/>
      <c r="P337" s="109"/>
      <c r="Q337" s="312"/>
      <c r="R337" s="312"/>
      <c r="S337" s="314"/>
      <c r="T337" s="314"/>
      <c r="U337" s="314"/>
      <c r="V337" s="314"/>
      <c r="W337" s="314"/>
      <c r="X337" s="314"/>
      <c r="Y337" s="314"/>
      <c r="Z337" s="314"/>
      <c r="AA337" s="314"/>
      <c r="AB337" s="314"/>
      <c r="AC337" s="314"/>
      <c r="AD337" s="314"/>
      <c r="AE337" s="314"/>
      <c r="AF337" s="314"/>
      <c r="AG337" s="314"/>
      <c r="AH337" s="314"/>
      <c r="AI337" s="314"/>
      <c r="AJ337" s="314"/>
      <c r="AK337" s="314"/>
      <c r="AL337" s="314"/>
      <c r="AM337" s="314"/>
      <c r="AN337" s="314"/>
      <c r="AO337" s="314"/>
      <c r="AP337" s="314"/>
      <c r="AQ337" s="314"/>
      <c r="AR337" s="314"/>
      <c r="AS337" s="314"/>
      <c r="AT337" s="314"/>
      <c r="AU337" s="314"/>
      <c r="AV337" s="314"/>
      <c r="AW337" s="314"/>
      <c r="AX337" s="314"/>
      <c r="AY337" s="314"/>
      <c r="AZ337" s="314"/>
      <c r="BA337" s="314"/>
      <c r="BB337" s="314"/>
      <c r="BC337" s="314"/>
      <c r="BD337" s="314"/>
      <c r="BE337" s="314"/>
      <c r="BF337" s="314"/>
      <c r="BG337" s="314"/>
      <c r="BH337" s="314"/>
      <c r="BI337" s="314"/>
      <c r="BJ337" s="314"/>
      <c r="BK337" s="314"/>
      <c r="BL337" s="314"/>
      <c r="BM337" s="314"/>
      <c r="BN337" s="314"/>
      <c r="BO337" s="314"/>
      <c r="BP337" s="314"/>
      <c r="BQ337" s="314"/>
      <c r="BR337" s="314"/>
      <c r="BS337" s="314"/>
      <c r="BT337" s="314"/>
      <c r="BU337" s="314"/>
      <c r="BV337" s="314"/>
      <c r="BW337" s="314"/>
      <c r="BX337" s="314"/>
      <c r="BY337" s="314"/>
      <c r="BZ337" s="314"/>
      <c r="CA337" s="314"/>
      <c r="CB337" s="314"/>
      <c r="CC337" s="314"/>
      <c r="CD337" s="314"/>
      <c r="CE337" s="314"/>
      <c r="CF337" s="314"/>
      <c r="CG337" s="314"/>
      <c r="CH337" s="314"/>
      <c r="CI337" s="314"/>
      <c r="CJ337" s="314"/>
      <c r="CK337" s="314"/>
      <c r="CL337" s="314"/>
      <c r="CM337" s="314"/>
      <c r="CN337" s="314"/>
      <c r="CO337" s="314"/>
      <c r="CP337" s="314"/>
      <c r="CQ337" s="464" t="b">
        <f>CQ335</f>
        <v>0</v>
      </c>
    </row>
    <row r="338" spans="1:95" ht="12.75" customHeight="1" thickBot="1" x14ac:dyDescent="0.3">
      <c r="A338" s="307"/>
      <c r="B338" s="76"/>
      <c r="C338" s="308"/>
      <c r="D338" s="309"/>
      <c r="E338" s="310"/>
      <c r="F338" s="308"/>
      <c r="G338" s="311"/>
      <c r="H338" s="311"/>
      <c r="I338" s="311"/>
      <c r="J338" s="311"/>
      <c r="K338" s="311"/>
      <c r="L338" s="311"/>
      <c r="M338" s="311"/>
      <c r="N338" s="311"/>
      <c r="O338" s="160"/>
      <c r="P338" s="109"/>
      <c r="Q338" s="312"/>
      <c r="R338" s="312"/>
      <c r="S338" s="293"/>
      <c r="T338" s="293"/>
      <c r="U338" s="313"/>
      <c r="V338" s="293"/>
      <c r="W338" s="293"/>
      <c r="X338" s="313"/>
      <c r="Y338" s="293"/>
      <c r="Z338" s="293"/>
      <c r="AA338" s="293"/>
      <c r="AB338" s="293"/>
      <c r="AC338" s="293"/>
      <c r="AD338" s="293"/>
      <c r="AE338" s="293"/>
      <c r="AF338" s="293"/>
      <c r="AG338" s="293"/>
      <c r="AH338" s="293"/>
      <c r="AI338" s="293"/>
      <c r="AJ338" s="293"/>
      <c r="AK338" s="293"/>
      <c r="AL338" s="293"/>
      <c r="AM338" s="293"/>
      <c r="AN338" s="293"/>
      <c r="AO338" s="293"/>
      <c r="AP338" s="293"/>
      <c r="AQ338" s="293"/>
      <c r="AR338" s="293"/>
      <c r="AS338" s="293"/>
      <c r="AT338" s="293"/>
      <c r="AU338" s="293"/>
      <c r="AV338" s="293"/>
      <c r="AW338" s="293"/>
      <c r="AX338" s="293"/>
      <c r="AY338" s="293"/>
      <c r="AZ338" s="293"/>
      <c r="BA338" s="293"/>
      <c r="BB338" s="293"/>
      <c r="BC338" s="293"/>
      <c r="BD338" s="293"/>
      <c r="BE338" s="293"/>
      <c r="BF338" s="293"/>
      <c r="BG338" s="293"/>
      <c r="BH338" s="293"/>
      <c r="BI338" s="293"/>
      <c r="BJ338" s="293"/>
      <c r="BK338" s="293"/>
      <c r="BL338" s="293"/>
      <c r="BM338" s="314"/>
      <c r="BN338" s="314"/>
      <c r="BO338" s="314"/>
      <c r="BP338" s="314"/>
      <c r="BQ338" s="314"/>
      <c r="BR338" s="314"/>
      <c r="BS338" s="314"/>
      <c r="BT338" s="314"/>
      <c r="BU338" s="293"/>
      <c r="BV338" s="293"/>
      <c r="BW338" s="293"/>
      <c r="BX338" s="293"/>
      <c r="BY338" s="293"/>
      <c r="BZ338" s="293"/>
      <c r="CA338" s="293"/>
      <c r="CB338" s="293"/>
      <c r="CC338" s="293"/>
      <c r="CD338" s="293"/>
      <c r="CE338" s="293"/>
      <c r="CF338" s="293"/>
      <c r="CG338" s="293"/>
      <c r="CH338" s="293"/>
      <c r="CI338" s="293"/>
      <c r="CJ338" s="293"/>
      <c r="CK338" s="293"/>
      <c r="CL338" s="293"/>
      <c r="CM338" s="293"/>
      <c r="CN338" s="293"/>
      <c r="CO338" s="293"/>
      <c r="CP338" s="293"/>
      <c r="CQ338" s="293"/>
    </row>
    <row r="339" spans="1:95" ht="12.75" customHeight="1" thickBot="1" x14ac:dyDescent="0.3">
      <c r="A339" s="315"/>
      <c r="B339" s="76"/>
      <c r="C339" s="76"/>
      <c r="D339" s="205"/>
      <c r="E339" s="316"/>
      <c r="F339" s="76"/>
      <c r="G339" s="96"/>
      <c r="H339" s="96"/>
      <c r="I339" s="96"/>
      <c r="J339" s="96"/>
      <c r="K339" s="76"/>
      <c r="L339" s="96"/>
      <c r="M339" s="96"/>
      <c r="N339" s="96"/>
      <c r="O339" s="160"/>
      <c r="P339" s="109"/>
      <c r="Q339" s="312"/>
      <c r="R339" s="312"/>
      <c r="S339" s="287"/>
      <c r="T339" s="317" t="str">
        <f>IF(ISBLANK(E340),"",MATCH(E340,CNTR_SourceStreamNames,0))</f>
        <v/>
      </c>
      <c r="U339" s="318" t="str">
        <f>IF(ISBLANK(E340),"",INDEX(B_IdentifyFuelStreams!$D$67:$D$116,MATCH(E340,CNTR_SourceStreamNames,0)))</f>
        <v/>
      </c>
      <c r="V339" s="301"/>
      <c r="W339" s="138"/>
      <c r="X339" s="138"/>
      <c r="Y339" s="138"/>
      <c r="Z339" s="293"/>
      <c r="AA339" s="293"/>
      <c r="AB339" s="293"/>
      <c r="AC339" s="293"/>
      <c r="AD339" s="293"/>
      <c r="AE339" s="293"/>
      <c r="AF339" s="293"/>
      <c r="AG339" s="293"/>
      <c r="AH339" s="293"/>
      <c r="AI339" s="293"/>
      <c r="AJ339" s="293"/>
      <c r="AK339" s="312"/>
      <c r="AL339" s="293"/>
      <c r="AM339" s="293"/>
      <c r="AN339" s="293"/>
      <c r="AO339" s="293"/>
      <c r="AP339" s="293"/>
      <c r="AQ339" s="293"/>
      <c r="AR339" s="293"/>
      <c r="AS339" s="293"/>
      <c r="AT339" s="293"/>
      <c r="AU339" s="293"/>
      <c r="AV339" s="293"/>
      <c r="AW339" s="293"/>
      <c r="AX339" s="293"/>
      <c r="AY339" s="293"/>
      <c r="AZ339" s="293"/>
      <c r="BA339" s="293"/>
      <c r="BB339" s="293"/>
      <c r="BC339" s="293"/>
      <c r="BD339" s="293"/>
      <c r="BE339" s="293"/>
      <c r="BF339" s="293"/>
      <c r="BG339" s="293"/>
      <c r="BH339" s="293"/>
      <c r="BI339" s="293"/>
      <c r="BJ339" s="138"/>
      <c r="BK339" s="138"/>
      <c r="BL339" s="138"/>
      <c r="BM339" s="138"/>
      <c r="BN339" s="138"/>
      <c r="BO339" s="138"/>
      <c r="BP339" s="138"/>
      <c r="BQ339" s="138"/>
      <c r="BR339" s="138"/>
      <c r="BS339" s="138"/>
      <c r="BT339" s="138"/>
      <c r="BU339" s="138"/>
      <c r="BV339" s="138"/>
      <c r="BW339" s="138"/>
      <c r="BX339" s="138"/>
      <c r="BY339" s="138"/>
      <c r="BZ339" s="138"/>
      <c r="CA339" s="138"/>
      <c r="CB339" s="138"/>
      <c r="CC339" s="138"/>
      <c r="CD339" s="138"/>
      <c r="CE339" s="138"/>
      <c r="CF339" s="138"/>
      <c r="CG339" s="138"/>
      <c r="CH339" s="138"/>
      <c r="CI339" s="138"/>
      <c r="CJ339" s="138"/>
      <c r="CK339" s="138"/>
      <c r="CL339" s="138"/>
      <c r="CM339" s="138"/>
      <c r="CN339" s="138"/>
      <c r="CO339" s="138"/>
      <c r="CP339" s="138"/>
      <c r="CQ339" s="319" t="s">
        <v>107</v>
      </c>
    </row>
    <row r="340" spans="1:95" ht="15" customHeight="1" thickBot="1" x14ac:dyDescent="0.3">
      <c r="A340" s="320">
        <f>C340</f>
        <v>11</v>
      </c>
      <c r="B340" s="68"/>
      <c r="C340" s="321">
        <f>C312+1</f>
        <v>11</v>
      </c>
      <c r="D340" s="68"/>
      <c r="E340" s="1269"/>
      <c r="F340" s="1270"/>
      <c r="G340" s="1270"/>
      <c r="H340" s="1270"/>
      <c r="I340" s="1270"/>
      <c r="J340" s="1271"/>
      <c r="K340" s="1272" t="str">
        <f>IF(INDEX(B_IdentifyFuelStreams!$K$125:$K$174,MATCH(U339,B_IdentifyFuelStreams!$D$125:$D$174,0))&gt;0,INDEX(B_IdentifyFuelStreams!$K$125:$K$174,MATCH(U339,B_IdentifyFuelStreams!$D$125:$D$174,0)),"")</f>
        <v/>
      </c>
      <c r="L340" s="1273"/>
      <c r="M340" s="316" t="str">
        <f>Translations!$B$621</f>
        <v>Emissions:</v>
      </c>
      <c r="N340" s="322" t="str">
        <f>IF(E341="","",BG346)</f>
        <v/>
      </c>
      <c r="O340" s="323" t="str">
        <f>EUconst_tCO2</f>
        <v>tCO2</v>
      </c>
      <c r="P340" s="324" t="str">
        <f>IF(AND(E340&lt;&gt;"",COUNTIF(P341:$P$1649,"PRINT")=0),"PRINT","")</f>
        <v/>
      </c>
      <c r="Q340" s="325" t="str">
        <f>EUconst_SumCO2</f>
        <v>SUM_CO2</v>
      </c>
      <c r="R340" s="312"/>
      <c r="S340" s="287"/>
      <c r="T340" s="287"/>
      <c r="U340" s="287"/>
      <c r="V340" s="301"/>
      <c r="W340" s="138"/>
      <c r="X340" s="293"/>
      <c r="Y340" s="293"/>
      <c r="Z340" s="293"/>
      <c r="AA340" s="293"/>
      <c r="AB340" s="293"/>
      <c r="AC340" s="293"/>
      <c r="AD340" s="293"/>
      <c r="AE340" s="293"/>
      <c r="AF340" s="293"/>
      <c r="AG340" s="293"/>
      <c r="AH340" s="293"/>
      <c r="AI340" s="326"/>
      <c r="AJ340" s="326"/>
      <c r="AK340" s="326"/>
      <c r="AL340" s="326"/>
      <c r="AM340" s="326"/>
      <c r="AN340" s="326"/>
      <c r="AO340" s="326"/>
      <c r="AP340" s="326"/>
      <c r="AQ340" s="326"/>
      <c r="AR340" s="326"/>
      <c r="AS340" s="326"/>
      <c r="AT340" s="326"/>
      <c r="AU340" s="326"/>
      <c r="AV340" s="326"/>
      <c r="AW340" s="326"/>
      <c r="AX340" s="326"/>
      <c r="AY340" s="326"/>
      <c r="AZ340" s="326"/>
      <c r="BA340" s="326"/>
      <c r="BB340" s="326"/>
      <c r="BC340" s="326"/>
      <c r="BD340" s="326"/>
      <c r="BE340" s="326"/>
      <c r="BF340" s="326"/>
      <c r="BG340" s="326"/>
      <c r="BH340" s="326"/>
      <c r="BI340" s="327" t="str">
        <f>IF(E340="","",E340)</f>
        <v/>
      </c>
      <c r="BJ340" s="328" t="str">
        <f>IF(F346="","",F346)</f>
        <v/>
      </c>
      <c r="BK340" s="329">
        <f>AV346</f>
        <v>0</v>
      </c>
      <c r="BL340" s="329">
        <f>IF(BK340="","",BK340*(1-BP340))</f>
        <v>0</v>
      </c>
      <c r="BM340" s="328" t="str">
        <f>AJ346</f>
        <v/>
      </c>
      <c r="BN340" s="328" t="str">
        <f>IF(F357="","",F357)</f>
        <v/>
      </c>
      <c r="BO340" s="327" t="str">
        <f>IF(G357="","",G357)</f>
        <v/>
      </c>
      <c r="BP340" s="330">
        <f>AV357</f>
        <v>0</v>
      </c>
      <c r="BQ340" s="328" t="str">
        <f>IF(F349="","",F349)</f>
        <v/>
      </c>
      <c r="BR340" s="330">
        <f>AV349</f>
        <v>0</v>
      </c>
      <c r="BS340" s="330" t="str">
        <f>AJ349</f>
        <v/>
      </c>
      <c r="BT340" s="328" t="str">
        <f>IF(F348="","",F348)</f>
        <v/>
      </c>
      <c r="BU340" s="330">
        <f>IF(F348=EUconst_NA,"",AV348)</f>
        <v>0</v>
      </c>
      <c r="BV340" s="330" t="str">
        <f>AJ348</f>
        <v/>
      </c>
      <c r="BW340" s="328" t="str">
        <f>IF(F350="","",F350)</f>
        <v/>
      </c>
      <c r="BX340" s="330">
        <f>AV350</f>
        <v>0</v>
      </c>
      <c r="BY340" s="328" t="str">
        <f>IF(F351="","",F351)</f>
        <v/>
      </c>
      <c r="BZ340" s="330">
        <f>AV351</f>
        <v>0</v>
      </c>
      <c r="CA340" s="330">
        <f>AV352</f>
        <v>0</v>
      </c>
      <c r="CB340" s="330">
        <f>AV353</f>
        <v>0</v>
      </c>
      <c r="CC340" s="330">
        <f>AV354</f>
        <v>0</v>
      </c>
      <c r="CD340" s="330">
        <f>AV355</f>
        <v>0</v>
      </c>
      <c r="CE340" s="329" t="str">
        <f>BG346</f>
        <v/>
      </c>
      <c r="CF340" s="329" t="str">
        <f>BG348</f>
        <v/>
      </c>
      <c r="CG340" s="329" t="str">
        <f>BG349</f>
        <v/>
      </c>
      <c r="CH340" s="329" t="str">
        <f>BG350</f>
        <v/>
      </c>
      <c r="CI340" s="329" t="str">
        <f>BG351</f>
        <v/>
      </c>
      <c r="CJ340" s="329" t="str">
        <f>BG352</f>
        <v/>
      </c>
      <c r="CK340" s="329" t="str">
        <f>BG353</f>
        <v/>
      </c>
      <c r="CL340" s="329">
        <f>BG354</f>
        <v>0</v>
      </c>
      <c r="CM340" s="329" t="str">
        <f>BG355</f>
        <v/>
      </c>
      <c r="CN340" s="329" t="str">
        <f>BG357</f>
        <v/>
      </c>
      <c r="CO340" s="329" t="str">
        <f>BG361</f>
        <v/>
      </c>
      <c r="CP340" s="329" t="str">
        <f>IF(COUNTIF(AO349:AO350,TRUE)=0,"",BH346)</f>
        <v/>
      </c>
      <c r="CQ340" s="331" t="b">
        <v>0</v>
      </c>
    </row>
    <row r="341" spans="1:95" ht="15" customHeight="1" thickBot="1" x14ac:dyDescent="0.3">
      <c r="A341" s="307"/>
      <c r="B341" s="68"/>
      <c r="C341" s="68"/>
      <c r="D341" s="68"/>
      <c r="E341" s="1274" t="str">
        <f>IF(ISBLANK(E340),"",IF(INDEX(B_IdentifyFuelStreams!$E$67:$E$116,MATCH(U339,B_IdentifyFuelStreams!$D$67:$D$116,0))&gt;0,INDEX(B_IdentifyFuelStreams!$E$67:$E$116,MATCH(U339,B_IdentifyFuelStreams!$D$67:$D$116,0)),""))</f>
        <v/>
      </c>
      <c r="F341" s="1275"/>
      <c r="G341" s="1275"/>
      <c r="H341" s="1275"/>
      <c r="I341" s="1275"/>
      <c r="J341" s="1276"/>
      <c r="K341" s="1272" t="str">
        <f>IF(INDEX(B_IdentifyFuelStreams!$M$125:$M$174,MATCH(U339,B_IdentifyFuelStreams!$D$125:$D$174,0))&gt;0,INDEX(B_IdentifyFuelStreams!$M$125:$M$174,MATCH(U339,B_IdentifyFuelStreams!$D$125:$D$174,0)),"")</f>
        <v/>
      </c>
      <c r="L341" s="1273"/>
      <c r="M341" s="332" t="str">
        <f>Translations!$B$622</f>
        <v>zero-rated:</v>
      </c>
      <c r="N341" s="333" t="str">
        <f>IF(E341="","",SUM(BG348,BG350,BG352))</f>
        <v/>
      </c>
      <c r="O341" s="334" t="str">
        <f>EUconst_tCO2</f>
        <v>tCO2</v>
      </c>
      <c r="P341" s="109"/>
      <c r="Q341" s="325" t="str">
        <f>EUconst_SumBioCO2</f>
        <v>SUM_bioCO2</v>
      </c>
      <c r="R341" s="312"/>
      <c r="S341" s="287"/>
      <c r="T341" s="287"/>
      <c r="U341" s="287"/>
      <c r="V341" s="301"/>
      <c r="W341" s="138"/>
      <c r="X341" s="293"/>
      <c r="Y341" s="317" t="str">
        <f>Translations!$B$143</f>
        <v>Tiers</v>
      </c>
      <c r="Z341" s="314"/>
      <c r="AA341" s="314"/>
      <c r="AB341" s="314"/>
      <c r="AC341" s="314"/>
      <c r="AD341" s="314"/>
      <c r="AE341" s="317" t="s">
        <v>108</v>
      </c>
      <c r="AF341" s="293"/>
      <c r="AG341" s="335"/>
      <c r="AH341" s="314"/>
      <c r="AI341" s="314"/>
      <c r="AJ341" s="335"/>
      <c r="AK341" s="335"/>
      <c r="AL341" s="326"/>
      <c r="AM341" s="326"/>
      <c r="AN341" s="326"/>
      <c r="AO341" s="326"/>
      <c r="AP341" s="326"/>
      <c r="AQ341" s="317" t="s">
        <v>109</v>
      </c>
      <c r="AR341" s="336"/>
      <c r="AS341" s="336"/>
      <c r="AT341" s="314"/>
      <c r="AU341" s="314"/>
      <c r="AV341" s="314"/>
      <c r="AW341" s="314"/>
      <c r="AX341" s="314"/>
      <c r="AY341" s="314"/>
      <c r="AZ341" s="317" t="s">
        <v>110</v>
      </c>
      <c r="BA341" s="314"/>
      <c r="BB341" s="314"/>
      <c r="BC341" s="314"/>
      <c r="BD341" s="314"/>
      <c r="BE341" s="314"/>
      <c r="BF341" s="317" t="s">
        <v>111</v>
      </c>
      <c r="BG341" s="314"/>
      <c r="BH341" s="314"/>
      <c r="BI341" s="317" t="s">
        <v>112</v>
      </c>
      <c r="BJ341" s="328" t="str">
        <f>Translations!$B$376</f>
        <v>RFA Tier</v>
      </c>
      <c r="BK341" s="328" t="str">
        <f>Translations!$B$377</f>
        <v>RFA</v>
      </c>
      <c r="BL341" s="328" t="str">
        <f>Translations!$B$378</f>
        <v>RFA (in scope)</v>
      </c>
      <c r="BM341" s="328" t="str">
        <f>Translations!$B$379</f>
        <v>RFA Unit</v>
      </c>
      <c r="BN341" s="328" t="str">
        <f>Translations!$B$380</f>
        <v>SF Tier</v>
      </c>
      <c r="BO341" s="328" t="str">
        <f>Translations!$B$380</f>
        <v>SF Tier</v>
      </c>
      <c r="BP341" s="328" t="str">
        <f>Translations!$B$381</f>
        <v>SF</v>
      </c>
      <c r="BQ341" s="328" t="str">
        <f>Translations!$B$382</f>
        <v>EF Tier</v>
      </c>
      <c r="BR341" s="328" t="str">
        <f>Translations!$B$383</f>
        <v>EF</v>
      </c>
      <c r="BS341" s="328" t="str">
        <f>Translations!$B$384</f>
        <v>EF Unit</v>
      </c>
      <c r="BT341" s="328" t="str">
        <f>Translations!$B$385</f>
        <v>UCF Tier</v>
      </c>
      <c r="BU341" s="328" t="str">
        <f>Translations!$B$386</f>
        <v>UCF</v>
      </c>
      <c r="BV341" s="328" t="str">
        <f>Translations!$B$387</f>
        <v>UCF Unit</v>
      </c>
      <c r="BW341" s="328" t="str">
        <f>Translations!$B$388</f>
        <v>Bio Tier</v>
      </c>
      <c r="BX341" s="328" t="s">
        <v>113</v>
      </c>
      <c r="BY341" s="328" t="str">
        <f>Translations!$B$389</f>
        <v>NonSustBio Tier</v>
      </c>
      <c r="BZ341" s="328" t="s">
        <v>114</v>
      </c>
      <c r="CA341" s="328" t="s">
        <v>115</v>
      </c>
      <c r="CB341" s="328" t="s">
        <v>116</v>
      </c>
      <c r="CC341" s="328" t="s">
        <v>117</v>
      </c>
      <c r="CD341" s="328" t="s">
        <v>118</v>
      </c>
      <c r="CE341" s="328" t="s">
        <v>119</v>
      </c>
      <c r="CF341" s="328" t="s">
        <v>120</v>
      </c>
      <c r="CG341" s="328" t="str">
        <f>Translations!$B$392</f>
        <v>CO2 non-sust</v>
      </c>
      <c r="CH341" s="328" t="s">
        <v>121</v>
      </c>
      <c r="CI341" s="328" t="s">
        <v>122</v>
      </c>
      <c r="CJ341" s="328" t="s">
        <v>123</v>
      </c>
      <c r="CK341" s="328" t="s">
        <v>124</v>
      </c>
      <c r="CL341" s="328" t="s">
        <v>125</v>
      </c>
      <c r="CM341" s="328" t="str">
        <f>Translations!$B$551</f>
        <v>Energy content (bio), TJ</v>
      </c>
      <c r="CN341" s="328" t="s">
        <v>126</v>
      </c>
      <c r="CO341" s="328" t="s">
        <v>127</v>
      </c>
      <c r="CP341" s="328" t="s">
        <v>128</v>
      </c>
      <c r="CQ341" s="314"/>
    </row>
    <row r="342" spans="1:95" ht="5.15" customHeight="1" thickBot="1" x14ac:dyDescent="0.3">
      <c r="A342" s="307"/>
      <c r="B342" s="68"/>
      <c r="C342" s="68"/>
      <c r="D342" s="68"/>
      <c r="E342" s="68"/>
      <c r="F342" s="68"/>
      <c r="G342" s="68"/>
      <c r="H342" s="76"/>
      <c r="I342" s="76"/>
      <c r="J342" s="76"/>
      <c r="K342" s="76"/>
      <c r="L342" s="76"/>
      <c r="M342" s="76"/>
      <c r="N342" s="76"/>
      <c r="O342" s="160"/>
      <c r="P342" s="109"/>
      <c r="Q342" s="312"/>
      <c r="R342" s="312"/>
      <c r="S342" s="287"/>
      <c r="T342" s="287"/>
      <c r="U342" s="287"/>
      <c r="V342" s="301"/>
      <c r="W342" s="314"/>
      <c r="X342" s="314"/>
      <c r="Y342" s="312"/>
      <c r="Z342" s="314"/>
      <c r="AA342" s="314"/>
      <c r="AB342" s="314"/>
      <c r="AC342" s="314"/>
      <c r="AD342" s="314"/>
      <c r="AE342" s="314"/>
      <c r="AF342" s="293"/>
      <c r="AG342" s="314"/>
      <c r="AH342" s="314"/>
      <c r="AI342" s="314"/>
      <c r="AJ342" s="335"/>
      <c r="AK342" s="335"/>
      <c r="AL342" s="326"/>
      <c r="AM342" s="326"/>
      <c r="AN342" s="326"/>
      <c r="AO342" s="326"/>
      <c r="AP342" s="326"/>
      <c r="AQ342" s="314"/>
      <c r="AR342" s="314"/>
      <c r="AS342" s="314"/>
      <c r="AT342" s="314"/>
      <c r="AU342" s="314"/>
      <c r="AV342" s="314"/>
      <c r="AW342" s="314"/>
      <c r="AX342" s="314"/>
      <c r="AY342" s="314"/>
      <c r="AZ342" s="314"/>
      <c r="BA342" s="314"/>
      <c r="BB342" s="314"/>
      <c r="BC342" s="314"/>
      <c r="BD342" s="314"/>
      <c r="BE342" s="314"/>
      <c r="BF342" s="314"/>
      <c r="BG342" s="314"/>
      <c r="BH342" s="314"/>
      <c r="BI342" s="314"/>
      <c r="BJ342" s="314"/>
      <c r="BK342" s="314"/>
      <c r="BL342" s="314"/>
      <c r="BM342" s="314"/>
      <c r="BN342" s="314"/>
      <c r="BO342" s="314"/>
      <c r="BP342" s="314"/>
      <c r="BQ342" s="314"/>
      <c r="BR342" s="314"/>
      <c r="BS342" s="314"/>
      <c r="BT342" s="314"/>
      <c r="BU342" s="314"/>
      <c r="BV342" s="314"/>
      <c r="BW342" s="314"/>
      <c r="BX342" s="314"/>
      <c r="BY342" s="314"/>
      <c r="BZ342" s="314"/>
      <c r="CA342" s="314"/>
      <c r="CB342" s="314"/>
      <c r="CC342" s="314"/>
      <c r="CD342" s="314"/>
      <c r="CE342" s="314"/>
      <c r="CF342" s="314"/>
      <c r="CG342" s="314"/>
      <c r="CH342" s="314"/>
      <c r="CI342" s="314"/>
      <c r="CJ342" s="314"/>
      <c r="CK342" s="314"/>
      <c r="CL342" s="314"/>
      <c r="CM342" s="314"/>
      <c r="CN342" s="314"/>
      <c r="CO342" s="314"/>
      <c r="CP342" s="314"/>
      <c r="CQ342" s="314"/>
    </row>
    <row r="343" spans="1:95" ht="12.75" customHeight="1" thickBot="1" x14ac:dyDescent="0.3">
      <c r="A343" s="307"/>
      <c r="B343" s="68"/>
      <c r="C343" s="68"/>
      <c r="D343" s="68"/>
      <c r="E343" s="1253" t="str">
        <f>IF(E340="","",HYPERLINK("#JUMP_E_Top",EUconst_FurtherGuidancePoint1))</f>
        <v/>
      </c>
      <c r="F343" s="1253"/>
      <c r="G343" s="1253"/>
      <c r="H343" s="1253"/>
      <c r="I343" s="1253"/>
      <c r="J343" s="1253"/>
      <c r="K343" s="1253"/>
      <c r="L343" s="1253"/>
      <c r="M343" s="1253"/>
      <c r="N343" s="76"/>
      <c r="O343" s="160"/>
      <c r="P343" s="109"/>
      <c r="Q343" s="325" t="str">
        <f>EUconst_SumNonSustBioCO2</f>
        <v>SUM_bioNonSustCO2</v>
      </c>
      <c r="R343" s="337" t="str">
        <f>IF(E341="","",BG349)</f>
        <v/>
      </c>
      <c r="S343" s="287"/>
      <c r="T343" s="287"/>
      <c r="U343" s="287"/>
      <c r="V343" s="314"/>
      <c r="W343" s="314"/>
      <c r="X343" s="314"/>
      <c r="Y343" s="293"/>
      <c r="Z343" s="314"/>
      <c r="AA343" s="314"/>
      <c r="AB343" s="314"/>
      <c r="AC343" s="314"/>
      <c r="AD343" s="314"/>
      <c r="AE343" s="314"/>
      <c r="AF343" s="293"/>
      <c r="AG343" s="314"/>
      <c r="AH343" s="314"/>
      <c r="AI343" s="314"/>
      <c r="AJ343" s="335"/>
      <c r="AK343" s="335"/>
      <c r="AL343" s="326"/>
      <c r="AM343" s="326"/>
      <c r="AN343" s="326"/>
      <c r="AO343" s="326"/>
      <c r="AP343" s="326"/>
      <c r="AQ343" s="314"/>
      <c r="AR343" s="314"/>
      <c r="AS343" s="314"/>
      <c r="AT343" s="314"/>
      <c r="AU343" s="314"/>
      <c r="AV343" s="314"/>
      <c r="AW343" s="314"/>
      <c r="AX343" s="314"/>
      <c r="AY343" s="314"/>
      <c r="AZ343" s="314"/>
      <c r="BA343" s="314"/>
      <c r="BB343" s="314"/>
      <c r="BC343" s="314"/>
      <c r="BD343" s="314"/>
      <c r="BE343" s="314"/>
      <c r="BF343" s="314"/>
      <c r="BG343" s="314"/>
      <c r="BH343" s="314"/>
      <c r="BI343" s="317" t="s">
        <v>129</v>
      </c>
      <c r="BJ343" s="336"/>
      <c r="BK343" s="327" t="str">
        <f>IF(G361="","",G361)</f>
        <v/>
      </c>
      <c r="BL343" s="327" t="str">
        <f>IF(I361="","",I361)</f>
        <v/>
      </c>
      <c r="BM343" s="327" t="str">
        <f>IF(K361="","",K361)</f>
        <v/>
      </c>
      <c r="BN343" s="314"/>
      <c r="BO343" s="314"/>
      <c r="BP343" s="314"/>
      <c r="BQ343" s="314"/>
      <c r="BR343" s="314"/>
      <c r="BS343" s="314"/>
      <c r="BT343" s="319"/>
      <c r="BU343" s="314"/>
      <c r="BV343" s="314"/>
      <c r="BW343" s="314"/>
      <c r="BX343" s="314"/>
      <c r="BY343" s="314"/>
      <c r="BZ343" s="314"/>
      <c r="CA343" s="314"/>
      <c r="CB343" s="314"/>
      <c r="CC343" s="314"/>
      <c r="CD343" s="314"/>
      <c r="CE343" s="314"/>
      <c r="CF343" s="314"/>
      <c r="CG343" s="314"/>
      <c r="CH343" s="314"/>
      <c r="CI343" s="314"/>
      <c r="CJ343" s="314"/>
      <c r="CK343" s="314"/>
      <c r="CL343" s="314"/>
      <c r="CM343" s="314"/>
      <c r="CN343" s="314"/>
      <c r="CO343" s="314"/>
      <c r="CP343" s="314"/>
      <c r="CQ343" s="314"/>
    </row>
    <row r="344" spans="1:95" ht="5.15" customHeight="1" thickBot="1" x14ac:dyDescent="0.3">
      <c r="A344" s="307"/>
      <c r="B344" s="68"/>
      <c r="C344" s="68"/>
      <c r="D344" s="68"/>
      <c r="E344" s="68"/>
      <c r="F344" s="68"/>
      <c r="G344" s="68"/>
      <c r="H344" s="76"/>
      <c r="I344" s="76"/>
      <c r="J344" s="76"/>
      <c r="K344" s="76"/>
      <c r="L344" s="76"/>
      <c r="M344" s="76"/>
      <c r="N344" s="76"/>
      <c r="O344" s="160"/>
      <c r="P344" s="111"/>
      <c r="Q344" s="287"/>
      <c r="R344" s="111"/>
      <c r="S344" s="287"/>
      <c r="T344" s="287"/>
      <c r="U344" s="287"/>
      <c r="V344" s="314"/>
      <c r="W344" s="314"/>
      <c r="X344" s="314"/>
      <c r="Y344" s="312"/>
      <c r="Z344" s="314"/>
      <c r="AA344" s="314"/>
      <c r="AB344" s="314"/>
      <c r="AC344" s="314"/>
      <c r="AD344" s="314"/>
      <c r="AE344" s="314"/>
      <c r="AF344" s="293"/>
      <c r="AG344" s="314"/>
      <c r="AH344" s="314"/>
      <c r="AI344" s="314"/>
      <c r="AJ344" s="335"/>
      <c r="AK344" s="335"/>
      <c r="AL344" s="326"/>
      <c r="AM344" s="326"/>
      <c r="AN344" s="326"/>
      <c r="AO344" s="326"/>
      <c r="AP344" s="326"/>
      <c r="AQ344" s="314"/>
      <c r="AR344" s="314"/>
      <c r="AS344" s="314"/>
      <c r="AT344" s="314"/>
      <c r="AU344" s="314"/>
      <c r="AV344" s="314"/>
      <c r="AW344" s="314"/>
      <c r="AX344" s="314"/>
      <c r="AY344" s="314"/>
      <c r="AZ344" s="314"/>
      <c r="BA344" s="314"/>
      <c r="BB344" s="314"/>
      <c r="BC344" s="314"/>
      <c r="BD344" s="314"/>
      <c r="BE344" s="314"/>
      <c r="BF344" s="314"/>
      <c r="BG344" s="314"/>
      <c r="BH344" s="314"/>
      <c r="BI344" s="314"/>
      <c r="BJ344" s="314"/>
      <c r="BK344" s="314"/>
      <c r="BL344" s="314"/>
      <c r="BM344" s="314"/>
      <c r="BN344" s="314"/>
      <c r="BO344" s="314"/>
      <c r="BP344" s="314"/>
      <c r="BQ344" s="314"/>
      <c r="BR344" s="314"/>
      <c r="BS344" s="314"/>
      <c r="BT344" s="314"/>
      <c r="BU344" s="314"/>
      <c r="BV344" s="314"/>
      <c r="BW344" s="314"/>
      <c r="BX344" s="314"/>
      <c r="BY344" s="314"/>
      <c r="BZ344" s="314"/>
      <c r="CA344" s="314"/>
      <c r="CB344" s="314"/>
      <c r="CC344" s="314"/>
      <c r="CD344" s="314"/>
      <c r="CE344" s="314"/>
      <c r="CF344" s="314"/>
      <c r="CG344" s="314"/>
      <c r="CH344" s="314"/>
      <c r="CI344" s="314"/>
      <c r="CJ344" s="314"/>
      <c r="CK344" s="314"/>
      <c r="CL344" s="314"/>
      <c r="CM344" s="314"/>
      <c r="CN344" s="314"/>
      <c r="CO344" s="314"/>
      <c r="CP344" s="314"/>
      <c r="CQ344" s="314"/>
    </row>
    <row r="345" spans="1:95" ht="12.75" customHeight="1" thickBot="1" x14ac:dyDescent="0.3">
      <c r="A345" s="307"/>
      <c r="B345" s="68"/>
      <c r="C345" s="68"/>
      <c r="D345" s="68"/>
      <c r="E345" s="68"/>
      <c r="F345" s="338" t="str">
        <f>Translations!$B$127</f>
        <v>Tier</v>
      </c>
      <c r="G345" s="1254" t="str">
        <f>Translations!$B$393</f>
        <v>tier description</v>
      </c>
      <c r="H345" s="1254"/>
      <c r="I345" s="1255" t="str">
        <f>Translations!$B$394</f>
        <v>Unit</v>
      </c>
      <c r="J345" s="1255"/>
      <c r="K345" s="1255" t="str">
        <f>Translations!$B$395</f>
        <v>Value</v>
      </c>
      <c r="L345" s="1255"/>
      <c r="M345" s="205" t="str">
        <f>Translations!$B$396</f>
        <v>error</v>
      </c>
      <c r="N345" s="76"/>
      <c r="O345" s="160"/>
      <c r="P345" s="339"/>
      <c r="Q345" s="325" t="str">
        <f>EUconst_SumEnergyIN</f>
        <v>SUM_EnergyIN</v>
      </c>
      <c r="R345" s="340" t="str">
        <f>IF(E341="","",BG354)</f>
        <v/>
      </c>
      <c r="S345" s="314"/>
      <c r="T345" s="314"/>
      <c r="U345" s="314"/>
      <c r="V345" s="341" t="s">
        <v>130</v>
      </c>
      <c r="W345" s="314"/>
      <c r="X345" s="314"/>
      <c r="Y345" s="312" t="s">
        <v>131</v>
      </c>
      <c r="Z345" s="312" t="s">
        <v>132</v>
      </c>
      <c r="AA345" s="314"/>
      <c r="AB345" s="314"/>
      <c r="AC345" s="336" t="s">
        <v>133</v>
      </c>
      <c r="AD345" s="314"/>
      <c r="AE345" s="314"/>
      <c r="AF345" s="314" t="s">
        <v>134</v>
      </c>
      <c r="AG345" s="314" t="s">
        <v>135</v>
      </c>
      <c r="AH345" s="312" t="s">
        <v>136</v>
      </c>
      <c r="AI345" s="335" t="s">
        <v>137</v>
      </c>
      <c r="AJ345" s="335" t="s">
        <v>138</v>
      </c>
      <c r="AK345" s="342" t="s">
        <v>139</v>
      </c>
      <c r="AL345" s="326"/>
      <c r="AM345" s="326"/>
      <c r="AN345" s="326"/>
      <c r="AO345" s="326"/>
      <c r="AP345" s="326"/>
      <c r="AQ345" s="314"/>
      <c r="AR345" s="314" t="s">
        <v>134</v>
      </c>
      <c r="AS345" s="314" t="s">
        <v>135</v>
      </c>
      <c r="AT345" s="343" t="s">
        <v>140</v>
      </c>
      <c r="AU345" s="335" t="s">
        <v>141</v>
      </c>
      <c r="AV345" s="335" t="s">
        <v>142</v>
      </c>
      <c r="AW345" s="342" t="s">
        <v>139</v>
      </c>
      <c r="AX345" s="342" t="s">
        <v>139</v>
      </c>
      <c r="AY345" s="314"/>
      <c r="AZ345" s="314"/>
      <c r="BA345" s="314"/>
      <c r="BB345" s="314" t="s">
        <v>143</v>
      </c>
      <c r="BC345" s="314"/>
      <c r="BD345" s="314"/>
      <c r="BE345" s="314"/>
      <c r="BF345" s="314"/>
      <c r="BG345" s="319" t="s">
        <v>144</v>
      </c>
      <c r="BH345" s="314" t="s">
        <v>145</v>
      </c>
      <c r="BI345" s="314"/>
      <c r="BJ345" s="314"/>
      <c r="BK345" s="314"/>
      <c r="BL345" s="314"/>
      <c r="BM345" s="314"/>
      <c r="BN345" s="314"/>
      <c r="BO345" s="314"/>
      <c r="BP345" s="314"/>
      <c r="BQ345" s="314"/>
      <c r="BR345" s="314"/>
      <c r="BS345" s="314"/>
      <c r="BT345" s="314"/>
      <c r="BU345" s="314"/>
      <c r="BV345" s="314"/>
      <c r="BW345" s="314"/>
      <c r="BX345" s="314"/>
      <c r="BY345" s="314"/>
      <c r="BZ345" s="314"/>
      <c r="CA345" s="314"/>
      <c r="CB345" s="314"/>
      <c r="CC345" s="314"/>
      <c r="CD345" s="314"/>
      <c r="CE345" s="314"/>
      <c r="CF345" s="314"/>
      <c r="CG345" s="314"/>
      <c r="CH345" s="314"/>
      <c r="CI345" s="314"/>
      <c r="CJ345" s="314"/>
      <c r="CK345" s="314"/>
      <c r="CL345" s="314"/>
      <c r="CM345" s="314"/>
      <c r="CN345" s="314"/>
      <c r="CO345" s="314"/>
      <c r="CP345" s="314"/>
      <c r="CQ345" s="319" t="s">
        <v>107</v>
      </c>
    </row>
    <row r="346" spans="1:95" ht="12.75" customHeight="1" thickBot="1" x14ac:dyDescent="0.3">
      <c r="A346" s="307"/>
      <c r="B346" s="68"/>
      <c r="C346" s="199" t="s">
        <v>12</v>
      </c>
      <c r="D346" s="344" t="str">
        <f>Translations!$B$356</f>
        <v>RFA:</v>
      </c>
      <c r="E346" s="345"/>
      <c r="F346" s="6"/>
      <c r="G346" s="1256" t="str">
        <f>IF(OR(ISBLANK(F346),F346=EUconst_NoTier),"",IF(Z346=0,EUconst_NA,IF(ISERROR(Z346),"",Z346)))</f>
        <v/>
      </c>
      <c r="H346" s="1257"/>
      <c r="I346" s="346" t="str">
        <f>IF(J346&lt;&gt;"","",AI346)</f>
        <v/>
      </c>
      <c r="J346" s="7"/>
      <c r="K346" s="1258"/>
      <c r="L346" s="1259"/>
      <c r="M346" s="347" t="str">
        <f>IF(AND(E341&lt;&gt;"",OR(F346="",COUNT(K346)=0),Y346&lt;&gt;EUconst_NA),EUconst_ERR_Incomplete,"")</f>
        <v/>
      </c>
      <c r="N346" s="76"/>
      <c r="O346" s="160"/>
      <c r="P346" s="348"/>
      <c r="Q346" s="325" t="str">
        <f>EUconst_SumBioEnergyIN</f>
        <v>SUM_BioEnergyIN</v>
      </c>
      <c r="R346" s="340" t="str">
        <f>IF(E341="","",BG355)</f>
        <v/>
      </c>
      <c r="S346" s="314"/>
      <c r="T346" s="349" t="str">
        <f>EUconst_CNTR_ActivityData&amp;E341</f>
        <v>ActivityData_</v>
      </c>
      <c r="U346" s="312"/>
      <c r="V346" s="349" t="str">
        <f>IF(E340="","",INDEX(B_IdentifyFuelStreams!$I$67:$I$116,MATCH(U339,B_IdentifyFuelStreams!$D$67:$D$116,0)))</f>
        <v/>
      </c>
      <c r="W346" s="335" t="s">
        <v>146</v>
      </c>
      <c r="X346" s="312"/>
      <c r="Y346" s="350" t="str">
        <f>IF(E341="","",INDEX(EUwideConstants!$P$164:$P$200,MATCH(T346,EUwideConstants!$S$164:$S$200,0)))</f>
        <v/>
      </c>
      <c r="Z346" s="351" t="str">
        <f>IF(ISBLANK(F346),"",IF(F346=EUconst_NA,"",INDEX(EUwideConstants!$H:$O,MATCH(T346,EUwideConstants!$S:$S,0),MATCH(F346,CNTR_TierList,0))))</f>
        <v/>
      </c>
      <c r="AA346" s="352" t="s">
        <v>136</v>
      </c>
      <c r="AB346" s="335"/>
      <c r="AC346" s="331" t="b">
        <f>E340&lt;&gt;""</f>
        <v>0</v>
      </c>
      <c r="AD346" s="314"/>
      <c r="AE346" s="353" t="str">
        <f>EUconst_CNTR_ActivityData&amp;EUconst_Unit</f>
        <v>ActivityData_Unit</v>
      </c>
      <c r="AF346" s="354" t="str">
        <f>IF(AC346=TRUE, IF(COUNTIF(MSPara_SourceStreamCategory,V346)=0,"",INDEX(MSPara_CalcFactorsMatrix,MATCH(V346,MSPara_SourceStreamCategory,0),MATCH(AE346&amp;"_"&amp;2,MSPara_CalcFactors,0))),"")</f>
        <v/>
      </c>
      <c r="AG346" s="355" t="str">
        <f>IF(AC346=TRUE, IF(COUNTIF(MSPara_SourceStreamCategory,V346)=0,"",INDEX(MSPara_CalcFactorsMatrix,MATCH(V346,MSPara_SourceStreamCategory,0),MATCH(AE346&amp;"_"&amp;1,MSPara_CalcFactors,0))),"")</f>
        <v/>
      </c>
      <c r="AH346" s="331" t="str">
        <f>IF(OR(AF346="",AF346=EUconst_NA),IF(OR(AG346=EUconst_NA,AG346=""),"",AG346),AF346)</f>
        <v/>
      </c>
      <c r="AI346" s="350" t="str">
        <f>IF(AC346=TRUE,IF(AH346="",EUconst_t,AH346),"")</f>
        <v/>
      </c>
      <c r="AJ346" s="356" t="str">
        <f>IF(J346="",AI346,J346)</f>
        <v/>
      </c>
      <c r="AK346" s="357" t="b">
        <f>AND(E340&lt;&gt;"",J346&lt;&gt;"")</f>
        <v>0</v>
      </c>
      <c r="AL346" s="326"/>
      <c r="AM346" s="358" t="s">
        <v>147</v>
      </c>
      <c r="AN346" s="359" t="str">
        <f>AJ346</f>
        <v/>
      </c>
      <c r="AO346" s="326"/>
      <c r="AP346" s="326"/>
      <c r="AQ346" s="349" t="str">
        <f>EUconst_CNTR_ActivityData&amp;EUconst_Value</f>
        <v>ActivityData_Value</v>
      </c>
      <c r="AR346" s="336"/>
      <c r="AS346" s="336"/>
      <c r="AT346" s="331" t="b">
        <f>AND(AND(AH346&lt;&gt;"",AJ346&lt;&gt;""),AJ346=AH346)</f>
        <v>0</v>
      </c>
      <c r="AU346" s="314"/>
      <c r="AV346" s="331">
        <f>IF(Y346=EUconst_NA,0,IF(COUNT(K346:K346)=0,0,IF(K346="",#REF!,K346)))</f>
        <v>0</v>
      </c>
      <c r="AW346" s="360" t="b">
        <f>AND(AC346=TRUE,OR(K346&lt;&gt;"",AU346=""))</f>
        <v>0</v>
      </c>
      <c r="AX346" s="360" t="b">
        <f>AND(AC346=TRUE,NOT(AW346))</f>
        <v>0</v>
      </c>
      <c r="AY346" s="314"/>
      <c r="AZ346" s="314" t="s">
        <v>148</v>
      </c>
      <c r="BA346" s="314" t="s">
        <v>149</v>
      </c>
      <c r="BB346" s="360"/>
      <c r="BC346" s="314" t="s">
        <v>150</v>
      </c>
      <c r="BD346" s="314"/>
      <c r="BE346" s="314"/>
      <c r="BF346" s="361" t="s">
        <v>119</v>
      </c>
      <c r="BG346" s="362" t="str">
        <f>IF(COUNTIF(AO349:AO350,TRUE)=0,"",BH346*AV357)</f>
        <v/>
      </c>
      <c r="BH346" s="362" t="str">
        <f>IF(COUNTIF(AO349:AO350,TRUE)=0,"",AV346*IF(AO349,1,AV348*AN350)*AV349-BH348-BH350-BH352)</f>
        <v/>
      </c>
      <c r="BI346" s="314"/>
      <c r="BJ346" s="314"/>
      <c r="BK346" s="314"/>
      <c r="BL346" s="314"/>
      <c r="BM346" s="314"/>
      <c r="BN346" s="314"/>
      <c r="BO346" s="314"/>
      <c r="BP346" s="314"/>
      <c r="BQ346" s="314"/>
      <c r="BR346" s="314"/>
      <c r="BS346" s="314"/>
      <c r="BT346" s="314"/>
      <c r="BU346" s="314"/>
      <c r="BV346" s="314"/>
      <c r="BW346" s="314"/>
      <c r="BX346" s="314"/>
      <c r="BY346" s="314"/>
      <c r="BZ346" s="314"/>
      <c r="CA346" s="314"/>
      <c r="CB346" s="314"/>
      <c r="CC346" s="314"/>
      <c r="CD346" s="314"/>
      <c r="CE346" s="314"/>
      <c r="CF346" s="314"/>
      <c r="CG346" s="314"/>
      <c r="CH346" s="314"/>
      <c r="CI346" s="314"/>
      <c r="CJ346" s="314"/>
      <c r="CK346" s="314"/>
      <c r="CL346" s="314"/>
      <c r="CM346" s="314"/>
      <c r="CN346" s="314"/>
      <c r="CO346" s="314"/>
      <c r="CP346" s="314"/>
      <c r="CQ346" s="360" t="b">
        <v>0</v>
      </c>
    </row>
    <row r="347" spans="1:95" ht="5.15" customHeight="1" thickBot="1" x14ac:dyDescent="0.3">
      <c r="A347" s="307"/>
      <c r="B347" s="68"/>
      <c r="C347" s="199"/>
      <c r="D347" s="202"/>
      <c r="E347" s="76"/>
      <c r="F347" s="76"/>
      <c r="G347" s="76"/>
      <c r="H347" s="76" t="str">
        <f>Translations!$B$397</f>
        <v xml:space="preserve"> </v>
      </c>
      <c r="I347" s="162"/>
      <c r="J347" s="162"/>
      <c r="K347" s="76"/>
      <c r="L347" s="76"/>
      <c r="M347" s="363"/>
      <c r="N347" s="76"/>
      <c r="O347" s="160"/>
      <c r="P347" s="109"/>
      <c r="Q347" s="312"/>
      <c r="R347" s="312"/>
      <c r="S347" s="314"/>
      <c r="T347" s="62"/>
      <c r="U347" s="312"/>
      <c r="V347" s="314"/>
      <c r="W347" s="314"/>
      <c r="X347" s="312"/>
      <c r="Y347" s="319"/>
      <c r="Z347" s="314"/>
      <c r="AA347" s="314"/>
      <c r="AB347" s="314"/>
      <c r="AC347" s="314"/>
      <c r="AD347" s="314"/>
      <c r="AE347" s="314"/>
      <c r="AF347" s="314"/>
      <c r="AG347" s="314"/>
      <c r="AH347" s="314"/>
      <c r="AI347" s="314"/>
      <c r="AJ347" s="314"/>
      <c r="AK347" s="314"/>
      <c r="AL347" s="326"/>
      <c r="AM347" s="326"/>
      <c r="AN347" s="326"/>
      <c r="AO347" s="326"/>
      <c r="AP347" s="326"/>
      <c r="AQ347" s="314"/>
      <c r="AR347" s="314"/>
      <c r="AS347" s="314"/>
      <c r="AT347" s="314"/>
      <c r="AU347" s="314"/>
      <c r="AV347" s="314"/>
      <c r="AW347" s="314"/>
      <c r="AX347" s="314"/>
      <c r="AY347" s="314"/>
      <c r="AZ347" s="314"/>
      <c r="BA347" s="314"/>
      <c r="BB347" s="314"/>
      <c r="BC347" s="314"/>
      <c r="BD347" s="314"/>
      <c r="BE347" s="314"/>
      <c r="BF347" s="314"/>
      <c r="BG347" s="364"/>
      <c r="BH347" s="364"/>
      <c r="BI347" s="314"/>
      <c r="BJ347" s="314"/>
      <c r="BK347" s="314"/>
      <c r="BL347" s="314"/>
      <c r="BM347" s="314"/>
      <c r="BN347" s="314"/>
      <c r="BO347" s="314"/>
      <c r="BP347" s="314"/>
      <c r="BQ347" s="314"/>
      <c r="BR347" s="314"/>
      <c r="BS347" s="314"/>
      <c r="BT347" s="314"/>
      <c r="BU347" s="314"/>
      <c r="BV347" s="314"/>
      <c r="BW347" s="314"/>
      <c r="BX347" s="314"/>
      <c r="BY347" s="314"/>
      <c r="BZ347" s="314"/>
      <c r="CA347" s="314"/>
      <c r="CB347" s="314"/>
      <c r="CC347" s="314"/>
      <c r="CD347" s="314"/>
      <c r="CE347" s="314"/>
      <c r="CF347" s="314"/>
      <c r="CG347" s="314"/>
      <c r="CH347" s="314"/>
      <c r="CI347" s="314"/>
      <c r="CJ347" s="314"/>
      <c r="CK347" s="314"/>
      <c r="CL347" s="314"/>
      <c r="CM347" s="314"/>
      <c r="CN347" s="314"/>
      <c r="CO347" s="314"/>
      <c r="CP347" s="314"/>
      <c r="CQ347" s="319"/>
    </row>
    <row r="348" spans="1:95" ht="12.75" customHeight="1" x14ac:dyDescent="0.25">
      <c r="A348" s="307"/>
      <c r="B348" s="68"/>
      <c r="C348" s="199" t="s">
        <v>13</v>
      </c>
      <c r="D348" s="344" t="str">
        <f>Translations!$B$360</f>
        <v>UCF:</v>
      </c>
      <c r="E348" s="345"/>
      <c r="F348" s="10"/>
      <c r="G348" s="1256" t="str">
        <f>IF(OR(ISBLANK(F348),F348=EUconst_NoTier),"",IF(Z348=0,EUconst_NotApplicable,IF(ISERROR(Z348),"",Z348)))</f>
        <v/>
      </c>
      <c r="H348" s="1257"/>
      <c r="I348" s="365" t="str">
        <f>IF(J348&lt;&gt;"","",AI348)</f>
        <v/>
      </c>
      <c r="J348" s="11"/>
      <c r="K348" s="366" t="str">
        <f>IF(L348="",AU348,"")</f>
        <v/>
      </c>
      <c r="L348" s="23"/>
      <c r="M348" s="347" t="str">
        <f>IF(AND(E341&lt;&gt;"",OR(F348="",COUNT(K348:L348)=0),Y348&lt;&gt;EUconst_NA),EUconst_ERR_Incomplete,IF(COUNTIF(BB348:BD348,TRUE)&gt;0,EUconst_ERR_Inconsistent,""))</f>
        <v/>
      </c>
      <c r="N348" s="367"/>
      <c r="O348" s="160"/>
      <c r="P348" s="109"/>
      <c r="Q348" s="312"/>
      <c r="R348" s="312"/>
      <c r="S348" s="314"/>
      <c r="T348" s="368" t="str">
        <f>EUconst_CNTR_UCF&amp;E341</f>
        <v>UCF_</v>
      </c>
      <c r="U348" s="312"/>
      <c r="V348" s="369" t="str">
        <f>V349</f>
        <v/>
      </c>
      <c r="W348" s="314"/>
      <c r="X348" s="312"/>
      <c r="Y348" s="370" t="str">
        <f>IF(E341="","",IF(OR(F348=EUconst_NA,W348=TRUE),EUconst_NA,INDEX(EUwideConstants!$P$164:$P$200,MATCH(T348,EUwideConstants!$S$164:$S$200,0))))</f>
        <v/>
      </c>
      <c r="Z348" s="371" t="str">
        <f>IF(ISBLANK(F348),"",IF(F348=EUconst_NA,"",INDEX(EUwideConstants!$H:$O,MATCH(T348,EUwideConstants!$S:$S,0),MATCH(F348,CNTR_TierList,0))))</f>
        <v/>
      </c>
      <c r="AA348" s="372" t="str">
        <f>IF(COUNTIF(EUconst_DefaultValues,Z348)&gt;0,MATCH(Z348,EUconst_DefaultValues,0),"")</f>
        <v/>
      </c>
      <c r="AB348" s="314"/>
      <c r="AC348" s="373" t="b">
        <f>AND(AC346,Y348&lt;&gt;EUconst_NA)</f>
        <v>0</v>
      </c>
      <c r="AD348" s="314"/>
      <c r="AE348" s="353" t="str">
        <f>EUconst_CNTR_UCF&amp;EUconst_Unit</f>
        <v>UCF_Unit</v>
      </c>
      <c r="AF348" s="374" t="str">
        <f>IF(AC348=TRUE, IF(COUNTIF(MSPara_SourceStreamCategory,V348)=0,"",INDEX(MSPara_CalcFactorsMatrix,MATCH(V348,MSPara_SourceStreamCategory,0),MATCH(AE348&amp;"_"&amp;2,MSPara_CalcFactors,0))),"")</f>
        <v/>
      </c>
      <c r="AG348" s="375" t="str">
        <f>IF(AC348=TRUE, IF(COUNTIF(MSPara_SourceStreamCategory,V348)=0,"",INDEX(MSPara_CalcFactorsMatrix,MATCH(V348,MSPara_SourceStreamCategory,0),MATCH(AE348&amp;"_"&amp;1,MSPara_CalcFactors,0))),"")</f>
        <v/>
      </c>
      <c r="AH348" s="373" t="str">
        <f>IF(AA348="","",INDEX(AF348:AG348,3-AA348))</f>
        <v/>
      </c>
      <c r="AI348" s="373" t="str">
        <f>IF(AC348=TRUE,IF(OR(AH348="",AH348=EUconst_NA),EUconst_GJ&amp;"/"&amp;AJ346,AH348),"")</f>
        <v/>
      </c>
      <c r="AJ348" s="373" t="str">
        <f>IF(J348="",AI348,J348)</f>
        <v/>
      </c>
      <c r="AK348" s="369" t="b">
        <f>AND(E340&lt;&gt;"",J348&lt;&gt;"")</f>
        <v>0</v>
      </c>
      <c r="AL348" s="326"/>
      <c r="AM348" s="358" t="s">
        <v>151</v>
      </c>
      <c r="AN348" s="359" t="str">
        <f>IF(AJ348="",EUconst_NA,IF(AN346=EUconst_TJ,EUconst_TJ,INDEX(EUwideConstants!$C$135:$G$139,MATCH(AN346,RFAUnits,0),MATCH(AJ348,UCFUnits,0))))</f>
        <v>n.a.</v>
      </c>
      <c r="AO348" s="326"/>
      <c r="AP348" s="326"/>
      <c r="AQ348" s="376" t="str">
        <f>EUconst_CNTR_UCF&amp;EUconst_Value</f>
        <v>UCF_Value</v>
      </c>
      <c r="AR348" s="377" t="str">
        <f>IF(AC348=TRUE,IF(COUNTIF(MSPara_SourceStreamCategory,V348)=0,"",INDEX(MSPara_CalcFactorsMatrix,MATCH(V348,MSPara_SourceStreamCategory,0),MATCH(AQ348&amp;"_"&amp;2,MSPara_CalcFactors,0))),"")</f>
        <v/>
      </c>
      <c r="AS348" s="378" t="str">
        <f>IF(AC348=TRUE,IF(COUNTIF(MSPara_SourceStreamCategory,V348)=0,"",INDEX(MSPara_CalcFactorsMatrix,MATCH(V348,MSPara_SourceStreamCategory,0),MATCH(AQ348&amp;"_"&amp;1,MSPara_CalcFactors,0))),"")</f>
        <v/>
      </c>
      <c r="AT348" s="379" t="b">
        <f>AND(AND(AH348&lt;&gt;"",AJ348&lt;&gt;""),AJ348=AH348)</f>
        <v>0</v>
      </c>
      <c r="AU348" s="380" t="str">
        <f>IF(AND(AA348&lt;&gt;"",AT348=TRUE),IF(OR(INDEX(AR348:AS348,3-AA348)=EUconst_NA,INDEX(AR348:AS348,3-AA348)=0),"",INDEX(AR348:AS348,3-AA348)),"")</f>
        <v/>
      </c>
      <c r="AV348" s="373">
        <f>IF(AC348=TRUE,IF(COUNT(K348:L348)=0,0,IF(L348="",K348,L348)),0)</f>
        <v>0</v>
      </c>
      <c r="AW348" s="369" t="b">
        <f t="shared" ref="AW348:AW355" si="90">AND(AC348=TRUE,OR(AND(F348&lt;&gt;"",NOT(ISNUMBER(AA348))),L348&lt;&gt;"",F348="",AU348=""))</f>
        <v>0</v>
      </c>
      <c r="AX348" s="381" t="b">
        <f t="shared" ref="AX348:AX355" si="91">AND(AC348=TRUE,NOT(AW348))</f>
        <v>0</v>
      </c>
      <c r="AY348" s="314"/>
      <c r="AZ348" s="382" t="b">
        <f t="shared" ref="AZ348:AZ355" si="92">AND(ISNUMBER(AA348),AU348="")</f>
        <v>0</v>
      </c>
      <c r="BA348" s="383" t="b">
        <f t="shared" ref="BA348:BA355" si="93">AND(ISNUMBER(AA348),AU348&lt;&gt;AV348)</f>
        <v>0</v>
      </c>
      <c r="BB348" s="369" t="b">
        <f>AND(E341&lt;&gt;"",F348&lt;&gt;EUconst_NA,AN348=EUconst_NA)</f>
        <v>0</v>
      </c>
      <c r="BC348" s="369" t="b">
        <f t="shared" ref="BC348:BC355" si="94">AND(L348&lt;&gt;"",Y348=EUconst_NA)</f>
        <v>0</v>
      </c>
      <c r="BD348" s="314"/>
      <c r="BE348" s="314"/>
      <c r="BF348" s="382" t="s">
        <v>152</v>
      </c>
      <c r="BG348" s="384" t="str">
        <f>IF(COUNTIF(AO349:AO350,TRUE)=0,"",BH348*AV357)</f>
        <v/>
      </c>
      <c r="BH348" s="384" t="str">
        <f>IF(COUNTIF(AO349:AO350,TRUE)=0,"",AV346*IF(AO349,1,AV348*AN350)*AV349*AV350)</f>
        <v/>
      </c>
      <c r="BI348" s="314"/>
      <c r="BJ348" s="314"/>
      <c r="BK348" s="314"/>
      <c r="BL348" s="314"/>
      <c r="BM348" s="314"/>
      <c r="BN348" s="314"/>
      <c r="BO348" s="314"/>
      <c r="BP348" s="314"/>
      <c r="BQ348" s="314"/>
      <c r="BR348" s="314"/>
      <c r="BS348" s="314"/>
      <c r="BT348" s="314"/>
      <c r="BU348" s="314"/>
      <c r="BV348" s="314"/>
      <c r="BW348" s="314"/>
      <c r="BX348" s="314"/>
      <c r="BY348" s="314"/>
      <c r="BZ348" s="314"/>
      <c r="CA348" s="314"/>
      <c r="CB348" s="314"/>
      <c r="CC348" s="314"/>
      <c r="CD348" s="314"/>
      <c r="CE348" s="314"/>
      <c r="CF348" s="314"/>
      <c r="CG348" s="314"/>
      <c r="CH348" s="314"/>
      <c r="CI348" s="314"/>
      <c r="CJ348" s="314"/>
      <c r="CK348" s="314"/>
      <c r="CL348" s="314"/>
      <c r="CM348" s="314"/>
      <c r="CN348" s="314"/>
      <c r="CO348" s="314"/>
      <c r="CP348" s="314"/>
      <c r="CQ348" s="369" t="b">
        <f>OR(CQ346,Y348=EUconst_NA)</f>
        <v>0</v>
      </c>
    </row>
    <row r="349" spans="1:95" ht="12.75" customHeight="1" thickBot="1" x14ac:dyDescent="0.3">
      <c r="A349" s="307"/>
      <c r="B349" s="68"/>
      <c r="C349" s="199" t="s">
        <v>14</v>
      </c>
      <c r="D349" s="344" t="str">
        <f>Translations!$B$358</f>
        <v>(prelim) EF:</v>
      </c>
      <c r="E349" s="345"/>
      <c r="F349" s="59"/>
      <c r="G349" s="1256" t="str">
        <f>IF(OR(ISBLANK(F349),F349=EUconst_NoTier),"",IF(Z349=0,EUconst_NotApplicable,IF(ISERROR(Z349),"",Z349)))</f>
        <v/>
      </c>
      <c r="H349" s="1260"/>
      <c r="I349" s="385" t="str">
        <f>IF(J349&lt;&gt;"","",AI349)</f>
        <v/>
      </c>
      <c r="J349" s="22"/>
      <c r="K349" s="386" t="str">
        <f>IF(L349="",AU349,"")</f>
        <v/>
      </c>
      <c r="L349" s="58"/>
      <c r="M349" s="347" t="str">
        <f>IF(AND(E341&lt;&gt;"",OR(F349="",COUNT(K349:L349)=0),Y349&lt;&gt;EUconst_NA),EUconst_ERR_Incomplete,IF(COUNTIF(BB349:BD349,TRUE)&gt;0,EUconst_ERR_Inconsistent,""))</f>
        <v/>
      </c>
      <c r="N349" s="387"/>
      <c r="O349" s="160"/>
      <c r="P349" s="109"/>
      <c r="Q349" s="312"/>
      <c r="R349" s="312"/>
      <c r="S349" s="314"/>
      <c r="T349" s="388" t="str">
        <f>EUconst_CNTR_EF&amp;E341</f>
        <v>EF_</v>
      </c>
      <c r="U349" s="312"/>
      <c r="V349" s="389" t="str">
        <f>V346</f>
        <v/>
      </c>
      <c r="W349" s="314"/>
      <c r="X349" s="312"/>
      <c r="Y349" s="390" t="str">
        <f>IF(E341="","",IF(OR(F349=EUconst_NA,W349=TRUE),EUconst_NA,INDEX(EUwideConstants!$P$164:$P$200,MATCH(T349,EUwideConstants!$S$164:$S$200,0))))</f>
        <v/>
      </c>
      <c r="Z349" s="391" t="str">
        <f>IF(ISBLANK(F349),"",IF(F349=EUconst_NA,"",INDEX(EUwideConstants!$H:$O,MATCH(T349,EUwideConstants!$S:$S,0),MATCH(F349,CNTR_TierList,0))))</f>
        <v/>
      </c>
      <c r="AA349" s="392" t="str">
        <f>IF(COUNTIF(EUconst_DefaultValues,Z349)&gt;0,MATCH(Z349,EUconst_DefaultValues,0),"")</f>
        <v/>
      </c>
      <c r="AB349" s="314"/>
      <c r="AC349" s="393" t="b">
        <f>AND(AC346,Y349&lt;&gt;EUconst_NA)</f>
        <v>0</v>
      </c>
      <c r="AD349" s="314"/>
      <c r="AE349" s="394" t="str">
        <f>EUconst_CNTR_EF&amp;EUconst_Unit</f>
        <v>EF_Unit</v>
      </c>
      <c r="AF349" s="395" t="str">
        <f>IF(AC349=TRUE, IF(COUNTIF(MSPara_SourceStreamCategory,V349)=0,"",INDEX(MSPara_CalcFactorsMatrix,MATCH(V349,MSPara_SourceStreamCategory,0),MATCH(AE349&amp;"_"&amp;2,MSPara_CalcFactors,0))),"")</f>
        <v/>
      </c>
      <c r="AG349" s="396" t="str">
        <f>IF(AC349=TRUE, IF(COUNTIF(MSPara_SourceStreamCategory,V349)=0,"",INDEX(MSPara_CalcFactorsMatrix,MATCH(V349,MSPara_SourceStreamCategory,0),MATCH(AE349&amp;"_"&amp;1,MSPara_CalcFactors,0))),"")</f>
        <v/>
      </c>
      <c r="AH349" s="397" t="str">
        <f>IF(AA349="","",INDEX(AF349:AG349,3-AA349))</f>
        <v/>
      </c>
      <c r="AI349" s="397" t="str">
        <f>IF(AC349=TRUE,IF(OR(AH349="",AH349=EUconst_NA),EUconst_tCO2&amp;"/"&amp;IF(AN348=EUconst_NA,AN346,IF(AN348=EUconst_GJ,EUconst_TJ,AN348)),AH349),"")</f>
        <v/>
      </c>
      <c r="AJ349" s="397" t="str">
        <f>IF(J349="",AI349,J349)</f>
        <v/>
      </c>
      <c r="AK349" s="398" t="b">
        <f>AND(E341&lt;&gt;"",J349&lt;&gt;"")</f>
        <v>0</v>
      </c>
      <c r="AL349" s="326"/>
      <c r="AM349" s="358" t="s">
        <v>153</v>
      </c>
      <c r="AN349" s="359" t="str">
        <f>IF(COUNTIF(RFAUnits,AN346)=0,EUconst_NA,INDEX(EUwideConstants!$C$150:$H$154,MATCH(AJ349,EFUnits,0),MATCH(AN346,EUwideConstants!$C$149:$H$149,0)))</f>
        <v>n.a.</v>
      </c>
      <c r="AO349" s="359" t="b">
        <f>AN349&lt;&gt;EUconst_NA</f>
        <v>0</v>
      </c>
      <c r="AP349" s="326"/>
      <c r="AQ349" s="399" t="str">
        <f>EUconst_CNTR_EF&amp;EUconst_Value</f>
        <v>EF_Value</v>
      </c>
      <c r="AR349" s="400" t="str">
        <f>IF(AC349=TRUE,IF(COUNTIF(MSPara_SourceStreamCategory,V349)=0,"",INDEX(MSPara_CalcFactorsMatrix,MATCH(V349,MSPara_SourceStreamCategory,0),MATCH(AQ349&amp;"_"&amp;2,MSPara_CalcFactors,0))),"")</f>
        <v/>
      </c>
      <c r="AS349" s="401" t="str">
        <f>IF(AC349=TRUE,IF(COUNTIF(MSPara_SourceStreamCategory,V349)=0,"",INDEX(MSPara_CalcFactorsMatrix,MATCH(V349,MSPara_SourceStreamCategory,0),MATCH(AQ349&amp;"_"&amp;1,MSPara_CalcFactors,0))),"")</f>
        <v/>
      </c>
      <c r="AT349" s="402" t="b">
        <f>AND(AND(AH349&lt;&gt;"",AJ349&lt;&gt;""),AJ349=AH349)</f>
        <v>0</v>
      </c>
      <c r="AU349" s="403" t="str">
        <f>IF(AND(AA349&lt;&gt;"",AT349=TRUE),IF(OR(INDEX(AR349:AS349,3-AA349)=EUconst_NA,INDEX(AR349:AS349,3-AA349)=0),"",INDEX(AR349:AS349,3-AA349)),"")</f>
        <v/>
      </c>
      <c r="AV349" s="393">
        <f>IF(AC349=TRUE,IF(COUNT(K349:L349)=0,0,IF(L349="",K349,L349)),0)</f>
        <v>0</v>
      </c>
      <c r="AW349" s="389" t="b">
        <f t="shared" si="90"/>
        <v>0</v>
      </c>
      <c r="AX349" s="404" t="b">
        <f t="shared" si="91"/>
        <v>0</v>
      </c>
      <c r="AY349" s="314"/>
      <c r="AZ349" s="405" t="b">
        <f t="shared" si="92"/>
        <v>0</v>
      </c>
      <c r="BA349" s="406" t="b">
        <f t="shared" si="93"/>
        <v>0</v>
      </c>
      <c r="BB349" s="407" t="b">
        <f>AND(E341&lt;&gt;"",COUNTIF(AO349:AO350,TRUE)=0)</f>
        <v>0</v>
      </c>
      <c r="BC349" s="389" t="b">
        <f t="shared" si="94"/>
        <v>0</v>
      </c>
      <c r="BD349" s="314"/>
      <c r="BE349" s="314"/>
      <c r="BF349" s="408" t="s">
        <v>154</v>
      </c>
      <c r="BG349" s="409" t="str">
        <f>IF(COUNTIF(AO349:AO350,TRUE)=0,"",BH349*AV357)</f>
        <v/>
      </c>
      <c r="BH349" s="409" t="str">
        <f>IF(COUNTIF(AO349:AO350,TRUE)=0,"",AV346*IF(AO349,1,AV348*AN350)*AV349*AV351)</f>
        <v/>
      </c>
      <c r="BI349" s="314"/>
      <c r="BJ349" s="314"/>
      <c r="BK349" s="314"/>
      <c r="BL349" s="314"/>
      <c r="BM349" s="314"/>
      <c r="BN349" s="314"/>
      <c r="BO349" s="314"/>
      <c r="BP349" s="314"/>
      <c r="BQ349" s="314"/>
      <c r="BR349" s="314"/>
      <c r="BS349" s="314"/>
      <c r="BT349" s="314"/>
      <c r="BU349" s="314"/>
      <c r="BV349" s="314"/>
      <c r="BW349" s="314"/>
      <c r="BX349" s="314"/>
      <c r="BY349" s="314"/>
      <c r="BZ349" s="314"/>
      <c r="CA349" s="314"/>
      <c r="CB349" s="314"/>
      <c r="CC349" s="314"/>
      <c r="CD349" s="314"/>
      <c r="CE349" s="314"/>
      <c r="CF349" s="314"/>
      <c r="CG349" s="314"/>
      <c r="CH349" s="314"/>
      <c r="CI349" s="314"/>
      <c r="CJ349" s="314"/>
      <c r="CK349" s="314"/>
      <c r="CL349" s="314"/>
      <c r="CM349" s="314"/>
      <c r="CN349" s="314"/>
      <c r="CO349" s="314"/>
      <c r="CP349" s="314"/>
      <c r="CQ349" s="407" t="b">
        <f>OR(CQ346,Y349=EUconst_NA)</f>
        <v>0</v>
      </c>
    </row>
    <row r="350" spans="1:95" ht="12.75" customHeight="1" x14ac:dyDescent="0.25">
      <c r="A350" s="307"/>
      <c r="B350" s="68"/>
      <c r="C350" s="199" t="s">
        <v>15</v>
      </c>
      <c r="D350" s="344" t="str">
        <f>Translations!$B$362</f>
        <v>BioF:</v>
      </c>
      <c r="E350" s="345"/>
      <c r="F350" s="10"/>
      <c r="G350" s="1256" t="str">
        <f>IF(OR(ISBLANK(F350),F350=EUconst_NoTier),"",IF(Z350=0,EUconst_NotApplicable,IF(ISERROR(Z350),"",Z350)))</f>
        <v/>
      </c>
      <c r="H350" s="1257"/>
      <c r="I350" s="410" t="str">
        <f t="shared" ref="I350:I355" si="95">IF(OR(AC350=FALSE,Y350=EUconst_NA),"","-")</f>
        <v/>
      </c>
      <c r="J350" s="411"/>
      <c r="K350" s="412" t="str">
        <f>IF(L350="",AU350,"")</f>
        <v/>
      </c>
      <c r="L350" s="60"/>
      <c r="M350" s="347" t="str">
        <f>IF(AND(E341&lt;&gt;"",OR(F350="",COUNT(K350:L350)=0),Y350&lt;&gt;EUconst_NA),EUconst_ERR_Incomplete,IF(COUNTIF(BB350:BD350,TRUE)&gt;0,EUconst_ERR_Inconsistent,""))</f>
        <v/>
      </c>
      <c r="O350" s="160"/>
      <c r="P350" s="348"/>
      <c r="Q350" s="413"/>
      <c r="R350" s="413"/>
      <c r="S350" s="314"/>
      <c r="T350" s="388" t="str">
        <f>EUconst_CNTR_BiomassContent&amp;E341</f>
        <v>BioC_</v>
      </c>
      <c r="U350" s="312"/>
      <c r="V350" s="369" t="str">
        <f>V348</f>
        <v/>
      </c>
      <c r="W350" s="369" t="str">
        <f>IF(OR(V350="",COUNTIF(MSPara_SourceStreamCategory,V350)=0),"",INDEX(MSPara_IsFossil,MATCH(V350,MSPara_SourceStreamCategory,0)))</f>
        <v/>
      </c>
      <c r="X350" s="312"/>
      <c r="Y350" s="370" t="str">
        <f>IF(E341="","",IF(OR(F350=EUconst_NA,W350=TRUE),EUconst_NA,INDEX(EUwideConstants!$P$164:$P$200,MATCH(T350,EUwideConstants!$S$164:$S$200,0))))</f>
        <v/>
      </c>
      <c r="Z350" s="371" t="str">
        <f>IF(ISBLANK(F350),"",IF(F350=EUconst_NA,"",INDEX(EUwideConstants!$H:$O,MATCH(T350,EUwideConstants!$S:$S,0),MATCH(F350,CNTR_TierList,0))))</f>
        <v/>
      </c>
      <c r="AA350" s="414" t="str">
        <f>IF(F350=1,1,"")</f>
        <v/>
      </c>
      <c r="AB350" s="314"/>
      <c r="AC350" s="373" t="b">
        <f>AND(AC346,Y350&lt;&gt;EUconst_NA)</f>
        <v>0</v>
      </c>
      <c r="AD350" s="314"/>
      <c r="AE350" s="415"/>
      <c r="AF350" s="416"/>
      <c r="AG350" s="417"/>
      <c r="AH350" s="418"/>
      <c r="AI350" s="418"/>
      <c r="AJ350" s="418"/>
      <c r="AK350" s="419"/>
      <c r="AL350" s="326"/>
      <c r="AM350" s="358" t="s">
        <v>155</v>
      </c>
      <c r="AN350" s="359" t="str">
        <f>IF(AN348=EUconst_NA,EUconst_NA,INDEX(EUwideConstants!$C$150:$H$154,MATCH(AJ349,EFUnits,0),MATCH(AN348,EUwideConstants!$C$149:$H$149,0)))</f>
        <v>n.a.</v>
      </c>
      <c r="AO350" s="359" t="b">
        <f>AN350&lt;&gt;EUconst_NA</f>
        <v>0</v>
      </c>
      <c r="AP350" s="326"/>
      <c r="AQ350" s="376" t="str">
        <f>EUconst_CNTR_BiomassContent&amp;EUconst_Value</f>
        <v>BioC_Value</v>
      </c>
      <c r="AR350" s="420"/>
      <c r="AS350" s="378" t="str">
        <f t="shared" ref="AS350:AS355" si="96">IF(AC350=TRUE,IF(COUNTIF(MSPara_SourceStreamCategory,V350)=0,"",INDEX(MSPara_CalcFactorsMatrix,MATCH(V350,MSPara_SourceStreamCategory,0),MATCH(AQ350&amp;"_"&amp;2,MSPara_CalcFactors,0))),"")</f>
        <v/>
      </c>
      <c r="AT350" s="421"/>
      <c r="AU350" s="380" t="str">
        <f t="shared" ref="AU350:AU355" si="97">IF(OR(AA350="",AS350=EUconst_NA),"",AS350)</f>
        <v/>
      </c>
      <c r="AV350" s="373">
        <f>IF(AC350=TRUE,IF(COUNT(K350:L350)=0,0,IF(L350="",K350,L350)),0)</f>
        <v>0</v>
      </c>
      <c r="AW350" s="369" t="b">
        <f t="shared" si="90"/>
        <v>0</v>
      </c>
      <c r="AX350" s="381" t="b">
        <f t="shared" si="91"/>
        <v>0</v>
      </c>
      <c r="AY350" s="314"/>
      <c r="AZ350" s="382" t="b">
        <f t="shared" si="92"/>
        <v>0</v>
      </c>
      <c r="BA350" s="383" t="b">
        <f t="shared" si="93"/>
        <v>0</v>
      </c>
      <c r="BB350" s="314"/>
      <c r="BC350" s="369" t="b">
        <f t="shared" si="94"/>
        <v>0</v>
      </c>
      <c r="BD350" s="369" t="b">
        <f>OR(AV350&gt;100%,(AV350+AV351)&gt;100%)</f>
        <v>0</v>
      </c>
      <c r="BE350" s="314"/>
      <c r="BF350" s="382" t="s">
        <v>156</v>
      </c>
      <c r="BG350" s="384" t="str">
        <f>IF(COUNTIF(AO349:AO350,TRUE)=0,"",BH350*AV357)</f>
        <v/>
      </c>
      <c r="BH350" s="384" t="str">
        <f>IF(COUNTIF(AO349:AO350,TRUE)=0,"",AV346*IF(AO349,1,AV348*AN350)*AV349*AV352)</f>
        <v/>
      </c>
      <c r="BJ350" s="314"/>
      <c r="BK350" s="314"/>
      <c r="BL350" s="314"/>
      <c r="BM350" s="314"/>
      <c r="BN350" s="314"/>
      <c r="BO350" s="314"/>
      <c r="BP350" s="314"/>
      <c r="BQ350" s="314"/>
      <c r="BR350" s="314"/>
      <c r="BS350" s="314"/>
      <c r="BT350" s="314"/>
      <c r="BU350" s="314"/>
      <c r="BV350" s="314"/>
      <c r="BW350" s="314"/>
      <c r="BX350" s="314"/>
      <c r="BY350" s="314"/>
      <c r="BZ350" s="314"/>
      <c r="CA350" s="314"/>
      <c r="CB350" s="314"/>
      <c r="CC350" s="314"/>
      <c r="CD350" s="314"/>
      <c r="CE350" s="314"/>
      <c r="CF350" s="314"/>
      <c r="CG350" s="314"/>
      <c r="CH350" s="314"/>
      <c r="CI350" s="314"/>
      <c r="CJ350" s="314"/>
      <c r="CK350" s="314"/>
      <c r="CL350" s="314"/>
      <c r="CM350" s="314"/>
      <c r="CN350" s="314"/>
      <c r="CO350" s="314"/>
      <c r="CP350" s="314"/>
      <c r="CQ350" s="369" t="b">
        <f>OR(CQ346,Y350=EUconst_NA)</f>
        <v>0</v>
      </c>
    </row>
    <row r="351" spans="1:95" ht="12.75" customHeight="1" thickBot="1" x14ac:dyDescent="0.3">
      <c r="A351" s="307"/>
      <c r="B351" s="68"/>
      <c r="C351" s="199" t="s">
        <v>16</v>
      </c>
      <c r="D351" s="344" t="str">
        <f>Translations!$B$368</f>
        <v>non-sust. BioF:</v>
      </c>
      <c r="E351" s="345"/>
      <c r="F351" s="20"/>
      <c r="G351" s="1256" t="str">
        <f>IF(OR(ISBLANK(F351),F351=EUconst_NoTier),"",IF(Z351=0,EUconst_NotApplicable,IF(ISERROR(Z351),"",Z351)))</f>
        <v/>
      </c>
      <c r="H351" s="1257"/>
      <c r="I351" s="422" t="str">
        <f t="shared" si="95"/>
        <v/>
      </c>
      <c r="J351" s="423"/>
      <c r="K351" s="424" t="str">
        <f>IF(L351="",AU351,"")</f>
        <v/>
      </c>
      <c r="L351" s="21"/>
      <c r="M351" s="347" t="str">
        <f>IF(AND(E341&lt;&gt;"",OR(F351="",COUNT(K351:L351)=0),Y351&lt;&gt;EUconst_NA),EUconst_ERR_Incomplete,IF(COUNTIF(BB351:BD351,TRUE)&gt;0,EUconst_ERR_Inconsistent,""))</f>
        <v/>
      </c>
      <c r="N351" s="76"/>
      <c r="O351" s="160"/>
      <c r="P351" s="348"/>
      <c r="Q351" s="413"/>
      <c r="R351" s="413"/>
      <c r="S351" s="314"/>
      <c r="T351" s="425" t="str">
        <f>EUconst_CNTR_BiomassContent&amp;E341</f>
        <v>BioC_</v>
      </c>
      <c r="U351" s="312"/>
      <c r="V351" s="407" t="str">
        <f>V350</f>
        <v/>
      </c>
      <c r="W351" s="407" t="str">
        <f>IF(OR(V350="",COUNTIF(MSPara_SourceStreamCategory,V351)=0),"",INDEX(MSPara_IsFossil,MATCH(V351,MSPara_SourceStreamCategory,0)))</f>
        <v/>
      </c>
      <c r="X351" s="312"/>
      <c r="Y351" s="426" t="str">
        <f>IF(E341="","",IF(OR(F351=EUconst_NA,W351=TRUE),EUconst_NA,INDEX(EUwideConstants!$P$164:$P$200,MATCH(T351,EUwideConstants!$S$164:$S$200,0))))</f>
        <v/>
      </c>
      <c r="Z351" s="427" t="str">
        <f>IF(ISBLANK(F351),"",IF(F351=EUconst_NA,"",INDEX(EUwideConstants!$H:$O,MATCH(T351,EUwideConstants!$S:$S,0),MATCH(F351,CNTR_TierList,0))))</f>
        <v/>
      </c>
      <c r="AA351" s="428" t="str">
        <f>IF(F351=1,1,"")</f>
        <v/>
      </c>
      <c r="AB351" s="314"/>
      <c r="AC351" s="429" t="b">
        <f>AND(AC346,Y351&lt;&gt;EUconst_NA)</f>
        <v>0</v>
      </c>
      <c r="AD351" s="314"/>
      <c r="AE351" s="430"/>
      <c r="AF351" s="431"/>
      <c r="AG351" s="432"/>
      <c r="AH351" s="433"/>
      <c r="AI351" s="433"/>
      <c r="AJ351" s="433"/>
      <c r="AK351" s="434"/>
      <c r="AL351" s="326"/>
      <c r="AM351" s="326"/>
      <c r="AN351" s="326"/>
      <c r="AO351" s="326"/>
      <c r="AP351" s="326"/>
      <c r="AQ351" s="435" t="str">
        <f>EUconst_CNTR_BiomassContent&amp;EUconst_Value</f>
        <v>BioC_Value</v>
      </c>
      <c r="AR351" s="430"/>
      <c r="AS351" s="436" t="str">
        <f t="shared" si="96"/>
        <v/>
      </c>
      <c r="AT351" s="437"/>
      <c r="AU351" s="438" t="str">
        <f t="shared" si="97"/>
        <v/>
      </c>
      <c r="AV351" s="429">
        <f>IF(AC351=TRUE,IF(COUNT(K351:L351)=0,0,IF(L351="",K351,L351)),0)</f>
        <v>0</v>
      </c>
      <c r="AW351" s="407" t="b">
        <f t="shared" si="90"/>
        <v>0</v>
      </c>
      <c r="AX351" s="439" t="b">
        <f t="shared" si="91"/>
        <v>0</v>
      </c>
      <c r="AY351" s="314"/>
      <c r="AZ351" s="408" t="b">
        <f t="shared" si="92"/>
        <v>0</v>
      </c>
      <c r="BA351" s="440" t="b">
        <f t="shared" si="93"/>
        <v>0</v>
      </c>
      <c r="BB351" s="314"/>
      <c r="BC351" s="407" t="b">
        <f t="shared" si="94"/>
        <v>0</v>
      </c>
      <c r="BD351" s="407" t="b">
        <f>OR(AV350&gt;100%,(AV350+AV351)&gt;100%)</f>
        <v>0</v>
      </c>
      <c r="BE351" s="314"/>
      <c r="BF351" s="408" t="s">
        <v>157</v>
      </c>
      <c r="BG351" s="409" t="str">
        <f>IF(COUNTIF(AO349:AO350,TRUE)=0,"",BH351*AV357)</f>
        <v/>
      </c>
      <c r="BH351" s="409" t="str">
        <f>IF(COUNTIF(AO349:AO350,TRUE)=0,"",AV346*IF(AO349,1,AV348*AN350)*AV349*AV353)</f>
        <v/>
      </c>
      <c r="BJ351" s="314"/>
      <c r="BK351" s="314"/>
      <c r="BL351" s="314"/>
      <c r="BM351" s="314"/>
      <c r="BN351" s="314"/>
      <c r="BO351" s="314"/>
      <c r="BP351" s="314"/>
      <c r="BQ351" s="314"/>
      <c r="BR351" s="314"/>
      <c r="BS351" s="314"/>
      <c r="BT351" s="314"/>
      <c r="BU351" s="314"/>
      <c r="BV351" s="314"/>
      <c r="BW351" s="314"/>
      <c r="BX351" s="314"/>
      <c r="BY351" s="314"/>
      <c r="BZ351" s="314"/>
      <c r="CA351" s="314"/>
      <c r="CB351" s="314"/>
      <c r="CC351" s="314"/>
      <c r="CD351" s="314"/>
      <c r="CE351" s="314"/>
      <c r="CF351" s="314"/>
      <c r="CG351" s="314"/>
      <c r="CH351" s="314"/>
      <c r="CI351" s="314"/>
      <c r="CJ351" s="314"/>
      <c r="CK351" s="314"/>
      <c r="CL351" s="314"/>
      <c r="CM351" s="314"/>
      <c r="CN351" s="314"/>
      <c r="CO351" s="314"/>
      <c r="CP351" s="314"/>
      <c r="CQ351" s="407" t="b">
        <f>OR(CQ346,Y351=EUconst_NA)</f>
        <v>0</v>
      </c>
    </row>
    <row r="352" spans="1:95" ht="12.75" customHeight="1" thickBot="1" x14ac:dyDescent="0.3">
      <c r="A352" s="307"/>
      <c r="B352" s="68"/>
      <c r="C352" s="199" t="s">
        <v>17</v>
      </c>
      <c r="D352" s="344" t="str">
        <f>Translations!$B$610</f>
        <v>sust. RFNBO/RCF:</v>
      </c>
      <c r="E352" s="441"/>
      <c r="F352" s="19" t="s">
        <v>158</v>
      </c>
      <c r="G352" s="1261"/>
      <c r="H352" s="1262"/>
      <c r="I352" s="442" t="str">
        <f t="shared" si="95"/>
        <v/>
      </c>
      <c r="J352" s="411"/>
      <c r="K352" s="443"/>
      <c r="L352" s="55"/>
      <c r="M352" s="347" t="str">
        <f>IF(AND(E341&lt;&gt;"",OR(F352="",COUNT(L352)=0),Y352&lt;&gt;EUconst_NA),EUconst_ERR_Incomplete,"")</f>
        <v/>
      </c>
      <c r="N352" s="76"/>
      <c r="O352" s="160"/>
      <c r="P352" s="348"/>
      <c r="Q352" s="413"/>
      <c r="R352" s="413"/>
      <c r="S352" s="314"/>
      <c r="T352" s="388" t="str">
        <f>EUconst_CNTR_RFNBOetcContent&amp;E341</f>
        <v>RNFBOC_</v>
      </c>
      <c r="U352" s="312"/>
      <c r="V352" s="312"/>
      <c r="W352" s="312"/>
      <c r="X352" s="312"/>
      <c r="Y352" s="380" t="str">
        <f>IF(E341="","",IF(OR(F352=EUconst_NA,W352=TRUE),EUconst_NA,INDEX(EUwideConstants!$P$164:$P$200,MATCH(T352,EUwideConstants!$S$164:$S$200,0))))</f>
        <v/>
      </c>
      <c r="Z352" s="314"/>
      <c r="AA352" s="314"/>
      <c r="AB352" s="314"/>
      <c r="AC352" s="397" t="b">
        <f>AND(AC348,Y352&lt;&gt;EUconst_NA)</f>
        <v>0</v>
      </c>
      <c r="AD352" s="314"/>
      <c r="AE352" s="415"/>
      <c r="AF352" s="416"/>
      <c r="AG352" s="417"/>
      <c r="AH352" s="418"/>
      <c r="AI352" s="418"/>
      <c r="AJ352" s="418"/>
      <c r="AK352" s="419"/>
      <c r="AL352" s="326"/>
      <c r="AM352" s="326"/>
      <c r="AN352" s="326"/>
      <c r="AO352" s="326"/>
      <c r="AP352" s="326"/>
      <c r="AQ352" s="444" t="s">
        <v>159</v>
      </c>
      <c r="AR352" s="415"/>
      <c r="AS352" s="445" t="str">
        <f t="shared" si="96"/>
        <v/>
      </c>
      <c r="AT352" s="446"/>
      <c r="AU352" s="447" t="str">
        <f t="shared" si="97"/>
        <v/>
      </c>
      <c r="AV352" s="397">
        <f>IF(L352&lt;&gt;0,L352,L352)</f>
        <v>0</v>
      </c>
      <c r="AW352" s="398" t="b">
        <f t="shared" si="90"/>
        <v>0</v>
      </c>
      <c r="AX352" s="448" t="b">
        <f t="shared" si="91"/>
        <v>0</v>
      </c>
      <c r="AY352" s="314"/>
      <c r="AZ352" s="449" t="b">
        <f t="shared" si="92"/>
        <v>0</v>
      </c>
      <c r="BA352" s="450" t="b">
        <f t="shared" si="93"/>
        <v>0</v>
      </c>
      <c r="BB352" s="314"/>
      <c r="BC352" s="398" t="b">
        <f t="shared" si="94"/>
        <v>0</v>
      </c>
      <c r="BD352" s="369" t="b">
        <f>OR(AV352&gt;100%,(AV352+AV353)&gt;100%)</f>
        <v>0</v>
      </c>
      <c r="BE352" s="314"/>
      <c r="BF352" s="451" t="s">
        <v>160</v>
      </c>
      <c r="BG352" s="452" t="str">
        <f>IF(COUNTIF(AO349:AO350,TRUE)=0,"",BH352*AV357)</f>
        <v/>
      </c>
      <c r="BH352" s="452" t="str">
        <f>IF(COUNTIF(AO349:AO350,TRUE)=0,"",AV346*IF(AO349,1,AV348*AN350)*AV349*AV354)</f>
        <v/>
      </c>
      <c r="BJ352" s="314"/>
      <c r="BK352" s="314"/>
      <c r="BL352" s="314"/>
      <c r="BM352" s="314"/>
      <c r="BN352" s="314"/>
      <c r="BO352" s="314"/>
      <c r="BP352" s="314"/>
      <c r="BQ352" s="314"/>
      <c r="BR352" s="314"/>
      <c r="BS352" s="314"/>
      <c r="BT352" s="314"/>
      <c r="BU352" s="314"/>
      <c r="BV352" s="314"/>
      <c r="BW352" s="314"/>
      <c r="BX352" s="314"/>
      <c r="BY352" s="314"/>
      <c r="BZ352" s="314"/>
      <c r="CA352" s="314"/>
      <c r="CB352" s="314"/>
      <c r="CC352" s="314"/>
      <c r="CD352" s="314"/>
      <c r="CE352" s="314"/>
      <c r="CF352" s="314"/>
      <c r="CG352" s="314"/>
      <c r="CH352" s="314"/>
      <c r="CI352" s="314"/>
      <c r="CJ352" s="314"/>
      <c r="CK352" s="314"/>
      <c r="CL352" s="314"/>
      <c r="CM352" s="314"/>
      <c r="CN352" s="314"/>
      <c r="CO352" s="314"/>
      <c r="CP352" s="314"/>
      <c r="CQ352" s="407" t="b">
        <f>OR(CQ346,Y352=EUconst_NA)</f>
        <v>0</v>
      </c>
    </row>
    <row r="353" spans="1:95" ht="12.75" customHeight="1" thickBot="1" x14ac:dyDescent="0.3">
      <c r="A353" s="307"/>
      <c r="B353" s="68"/>
      <c r="C353" s="199" t="s">
        <v>161</v>
      </c>
      <c r="D353" s="344" t="str">
        <f>Translations!$B$613</f>
        <v>non-sust. RFNBO/RCF:</v>
      </c>
      <c r="E353" s="441"/>
      <c r="F353" s="20" t="s">
        <v>158</v>
      </c>
      <c r="G353" s="1261"/>
      <c r="H353" s="1262"/>
      <c r="I353" s="422" t="str">
        <f t="shared" si="95"/>
        <v/>
      </c>
      <c r="J353" s="423"/>
      <c r="K353" s="443"/>
      <c r="L353" s="56"/>
      <c r="M353" s="347" t="str">
        <f>IF(AND(E341&lt;&gt;"",OR(F353="",COUNT(L353)=0),Y353&lt;&gt;EUconst_NA),EUconst_ERR_Incomplete,"")</f>
        <v/>
      </c>
      <c r="N353" s="76"/>
      <c r="O353" s="160"/>
      <c r="P353" s="348"/>
      <c r="Q353" s="413"/>
      <c r="R353" s="413"/>
      <c r="S353" s="314"/>
      <c r="T353" s="425" t="str">
        <f>EUconst_CNTR_RFNBOetcContent&amp;E341</f>
        <v>RNFBOC_</v>
      </c>
      <c r="U353" s="312"/>
      <c r="V353" s="312"/>
      <c r="W353" s="312"/>
      <c r="X353" s="312"/>
      <c r="Y353" s="438" t="str">
        <f>IF(E341="","",IF(OR(F353=EUconst_NA,W353=TRUE),EUconst_NA,INDEX(EUwideConstants!$P$164:$P$200,MATCH(T353,EUwideConstants!$S$164:$S$200,0))))</f>
        <v/>
      </c>
      <c r="Z353" s="314"/>
      <c r="AA353" s="314"/>
      <c r="AB353" s="314"/>
      <c r="AC353" s="429" t="b">
        <f>AND(AC348,Y353&lt;&gt;EUconst_NA)</f>
        <v>0</v>
      </c>
      <c r="AD353" s="314"/>
      <c r="AE353" s="430"/>
      <c r="AF353" s="431"/>
      <c r="AG353" s="432"/>
      <c r="AH353" s="433"/>
      <c r="AI353" s="433"/>
      <c r="AJ353" s="433"/>
      <c r="AK353" s="434"/>
      <c r="AL353" s="326"/>
      <c r="AM353" s="326"/>
      <c r="AN353" s="326"/>
      <c r="AO353" s="326"/>
      <c r="AP353" s="326"/>
      <c r="AQ353" s="435" t="s">
        <v>159</v>
      </c>
      <c r="AR353" s="430"/>
      <c r="AS353" s="436" t="str">
        <f t="shared" si="96"/>
        <v/>
      </c>
      <c r="AT353" s="437"/>
      <c r="AU353" s="438" t="str">
        <f t="shared" si="97"/>
        <v/>
      </c>
      <c r="AV353" s="429">
        <f t="shared" ref="AV353:AV355" si="98">IF(L353&lt;&gt;0,L353,L353)</f>
        <v>0</v>
      </c>
      <c r="AW353" s="407" t="b">
        <f t="shared" si="90"/>
        <v>0</v>
      </c>
      <c r="AX353" s="439" t="b">
        <f t="shared" si="91"/>
        <v>0</v>
      </c>
      <c r="AY353" s="314"/>
      <c r="AZ353" s="408" t="b">
        <f t="shared" si="92"/>
        <v>0</v>
      </c>
      <c r="BA353" s="440" t="b">
        <f t="shared" si="93"/>
        <v>0</v>
      </c>
      <c r="BB353" s="314"/>
      <c r="BC353" s="407" t="b">
        <f t="shared" si="94"/>
        <v>0</v>
      </c>
      <c r="BD353" s="407" t="b">
        <f>OR(AV352&gt;100%,(AV352+AV353)&gt;100%)</f>
        <v>0</v>
      </c>
      <c r="BE353" s="314"/>
      <c r="BF353" s="408" t="s">
        <v>162</v>
      </c>
      <c r="BG353" s="409" t="str">
        <f>IF(COUNTIF(AO349:AO350,TRUE)=0,"",BH353*AV357)</f>
        <v/>
      </c>
      <c r="BH353" s="409" t="str">
        <f>IF(COUNTIF(AO349:AO350,TRUE)=0,"",AV346*IF(AO349,1,AV348*AN350)*AV349*AV355)</f>
        <v/>
      </c>
      <c r="BJ353" s="314"/>
      <c r="BK353" s="314"/>
      <c r="BL353" s="314"/>
      <c r="BM353" s="314"/>
      <c r="BN353" s="314"/>
      <c r="BO353" s="314"/>
      <c r="BP353" s="314"/>
      <c r="BQ353" s="314"/>
      <c r="BR353" s="314"/>
      <c r="BS353" s="314"/>
      <c r="BT353" s="314"/>
      <c r="BU353" s="314"/>
      <c r="BV353" s="314"/>
      <c r="BW353" s="314"/>
      <c r="BX353" s="314"/>
      <c r="BY353" s="314"/>
      <c r="BZ353" s="314"/>
      <c r="CA353" s="314"/>
      <c r="CB353" s="314"/>
      <c r="CC353" s="314"/>
      <c r="CD353" s="314"/>
      <c r="CE353" s="314"/>
      <c r="CF353" s="314"/>
      <c r="CG353" s="314"/>
      <c r="CH353" s="314"/>
      <c r="CI353" s="314"/>
      <c r="CJ353" s="314"/>
      <c r="CK353" s="314"/>
      <c r="CL353" s="314"/>
      <c r="CM353" s="314"/>
      <c r="CN353" s="314"/>
      <c r="CO353" s="314"/>
      <c r="CP353" s="314"/>
      <c r="CQ353" s="407" t="b">
        <f>OR(CQ346,Y353=EUconst_NA)</f>
        <v>0</v>
      </c>
    </row>
    <row r="354" spans="1:95" ht="12.75" customHeight="1" thickBot="1" x14ac:dyDescent="0.3">
      <c r="A354" s="307"/>
      <c r="B354" s="68"/>
      <c r="C354" s="199" t="s">
        <v>163</v>
      </c>
      <c r="D354" s="344" t="str">
        <f>Translations!$B$615</f>
        <v>sust. SLCF:</v>
      </c>
      <c r="E354" s="441"/>
      <c r="F354" s="19" t="s">
        <v>158</v>
      </c>
      <c r="G354" s="1261"/>
      <c r="H354" s="1262"/>
      <c r="I354" s="442" t="str">
        <f t="shared" si="95"/>
        <v/>
      </c>
      <c r="J354" s="411"/>
      <c r="K354" s="443"/>
      <c r="L354" s="57"/>
      <c r="M354" s="347" t="str">
        <f>IF(AND(E341&lt;&gt;"",OR(F354="",COUNT(L354)=0),Y354&lt;&gt;EUconst_NA),EUconst_ERR_Incomplete,"")</f>
        <v/>
      </c>
      <c r="N354" s="76"/>
      <c r="O354" s="160"/>
      <c r="P354" s="348"/>
      <c r="Q354" s="413"/>
      <c r="R354" s="413"/>
      <c r="S354" s="314"/>
      <c r="T354" s="388" t="str">
        <f>EUconst_CNTR_RFNBOetcContent&amp;E341</f>
        <v>RNFBOC_</v>
      </c>
      <c r="U354" s="312"/>
      <c r="V354" s="312"/>
      <c r="W354" s="312"/>
      <c r="X354" s="312"/>
      <c r="Y354" s="447" t="str">
        <f>IF(E341="","",IF(OR(F354=EUconst_NA,W354=TRUE),EUconst_NA,INDEX(EUwideConstants!$P$164:$P$200,MATCH(T354,EUwideConstants!$S$164:$S$200,0))))</f>
        <v/>
      </c>
      <c r="Z354" s="314"/>
      <c r="AA354" s="314"/>
      <c r="AB354" s="314"/>
      <c r="AC354" s="397" t="b">
        <f>AND(AC350,Y354&lt;&gt;EUconst_NA)</f>
        <v>0</v>
      </c>
      <c r="AD354" s="314"/>
      <c r="AE354" s="415"/>
      <c r="AF354" s="416"/>
      <c r="AG354" s="417"/>
      <c r="AH354" s="418"/>
      <c r="AI354" s="418"/>
      <c r="AJ354" s="418"/>
      <c r="AK354" s="419"/>
      <c r="AL354" s="326"/>
      <c r="AM354" s="326"/>
      <c r="AN354" s="326"/>
      <c r="AO354" s="326"/>
      <c r="AP354" s="326"/>
      <c r="AQ354" s="444" t="s">
        <v>159</v>
      </c>
      <c r="AR354" s="415"/>
      <c r="AS354" s="445" t="str">
        <f t="shared" si="96"/>
        <v/>
      </c>
      <c r="AT354" s="446"/>
      <c r="AU354" s="447" t="str">
        <f t="shared" si="97"/>
        <v/>
      </c>
      <c r="AV354" s="397">
        <f t="shared" si="98"/>
        <v>0</v>
      </c>
      <c r="AW354" s="398" t="b">
        <f t="shared" si="90"/>
        <v>0</v>
      </c>
      <c r="AX354" s="448" t="b">
        <f t="shared" si="91"/>
        <v>0</v>
      </c>
      <c r="AY354" s="314"/>
      <c r="AZ354" s="449" t="b">
        <f t="shared" si="92"/>
        <v>0</v>
      </c>
      <c r="BA354" s="450" t="b">
        <f t="shared" si="93"/>
        <v>0</v>
      </c>
      <c r="BB354" s="314"/>
      <c r="BC354" s="398" t="b">
        <f t="shared" si="94"/>
        <v>0</v>
      </c>
      <c r="BD354" s="369" t="b">
        <f>OR(AV354&gt;100%,(AV354+AV355)&gt;100%)</f>
        <v>0</v>
      </c>
      <c r="BE354" s="314"/>
      <c r="BF354" s="451" t="s">
        <v>164</v>
      </c>
      <c r="BG354" s="452">
        <f>IF(AN346=EUconst_TJ,AV346*(1-AV350),IF(AN348=EUconst_GJ,AV346*AV348/1000,0))-SUM(BG355:BG361)</f>
        <v>0</v>
      </c>
      <c r="BH354" s="314"/>
      <c r="BI354" s="314"/>
      <c r="BJ354" s="314"/>
      <c r="BK354" s="314"/>
      <c r="BL354" s="314"/>
      <c r="BM354" s="314"/>
      <c r="BN354" s="314"/>
      <c r="BO354" s="314"/>
      <c r="BP354" s="314"/>
      <c r="BQ354" s="314"/>
      <c r="BR354" s="314"/>
      <c r="BS354" s="314"/>
      <c r="BT354" s="314"/>
      <c r="BU354" s="314"/>
      <c r="BV354" s="314"/>
      <c r="BW354" s="314"/>
      <c r="BX354" s="314"/>
      <c r="BY354" s="314"/>
      <c r="BZ354" s="314"/>
      <c r="CA354" s="314"/>
      <c r="CB354" s="314"/>
      <c r="CC354" s="314"/>
      <c r="CD354" s="314"/>
      <c r="CE354" s="314"/>
      <c r="CF354" s="314"/>
      <c r="CG354" s="314"/>
      <c r="CH354" s="314"/>
      <c r="CI354" s="314"/>
      <c r="CJ354" s="314"/>
      <c r="CK354" s="314"/>
      <c r="CL354" s="314"/>
      <c r="CM354" s="314"/>
      <c r="CN354" s="314"/>
      <c r="CO354" s="314"/>
      <c r="CP354" s="314"/>
      <c r="CQ354" s="407" t="b">
        <f>OR(CQ346,Y354=EUconst_NA)</f>
        <v>0</v>
      </c>
    </row>
    <row r="355" spans="1:95" ht="12.75" customHeight="1" thickBot="1" x14ac:dyDescent="0.3">
      <c r="A355" s="307"/>
      <c r="B355" s="68"/>
      <c r="C355" s="199" t="s">
        <v>165</v>
      </c>
      <c r="D355" s="344" t="str">
        <f>Translations!$B$618</f>
        <v>non-sust. SLCF:</v>
      </c>
      <c r="E355" s="441"/>
      <c r="F355" s="20" t="s">
        <v>158</v>
      </c>
      <c r="G355" s="1261"/>
      <c r="H355" s="1262"/>
      <c r="I355" s="422" t="str">
        <f t="shared" si="95"/>
        <v/>
      </c>
      <c r="J355" s="423"/>
      <c r="K355" s="443"/>
      <c r="L355" s="56"/>
      <c r="M355" s="347" t="str">
        <f>IF(AND(E341&lt;&gt;"",OR(F355="",COUNT(L355)=0),Y355&lt;&gt;EUconst_NA),EUconst_ERR_Incomplete,"")</f>
        <v/>
      </c>
      <c r="N355" s="76"/>
      <c r="O355" s="160"/>
      <c r="P355" s="348"/>
      <c r="Q355" s="413"/>
      <c r="R355" s="413"/>
      <c r="S355" s="314"/>
      <c r="T355" s="425" t="str">
        <f>EUconst_CNTR_RFNBOetcContent&amp;E341</f>
        <v>RNFBOC_</v>
      </c>
      <c r="U355" s="312"/>
      <c r="V355" s="312"/>
      <c r="W355" s="312"/>
      <c r="X355" s="312"/>
      <c r="Y355" s="438" t="str">
        <f>IF(E341="","",IF(OR(F355=EUconst_NA,W355=TRUE),EUconst_NA,INDEX(EUwideConstants!$P$164:$P$200,MATCH(T355,EUwideConstants!$S$164:$S$200,0))))</f>
        <v/>
      </c>
      <c r="Z355" s="314"/>
      <c r="AA355" s="314"/>
      <c r="AB355" s="314"/>
      <c r="AC355" s="429" t="b">
        <f>AND(AC350,Y355&lt;&gt;EUconst_NA)</f>
        <v>0</v>
      </c>
      <c r="AD355" s="314"/>
      <c r="AE355" s="430"/>
      <c r="AF355" s="431"/>
      <c r="AG355" s="432"/>
      <c r="AH355" s="433"/>
      <c r="AI355" s="433"/>
      <c r="AJ355" s="433"/>
      <c r="AK355" s="434"/>
      <c r="AL355" s="326"/>
      <c r="AM355" s="326"/>
      <c r="AN355" s="326"/>
      <c r="AO355" s="326"/>
      <c r="AP355" s="326"/>
      <c r="AQ355" s="435" t="s">
        <v>159</v>
      </c>
      <c r="AR355" s="430"/>
      <c r="AS355" s="436" t="str">
        <f t="shared" si="96"/>
        <v/>
      </c>
      <c r="AT355" s="437"/>
      <c r="AU355" s="438" t="str">
        <f t="shared" si="97"/>
        <v/>
      </c>
      <c r="AV355" s="429">
        <f t="shared" si="98"/>
        <v>0</v>
      </c>
      <c r="AW355" s="407" t="b">
        <f t="shared" si="90"/>
        <v>0</v>
      </c>
      <c r="AX355" s="439" t="b">
        <f t="shared" si="91"/>
        <v>0</v>
      </c>
      <c r="AY355" s="314"/>
      <c r="AZ355" s="408" t="b">
        <f t="shared" si="92"/>
        <v>0</v>
      </c>
      <c r="BA355" s="440" t="b">
        <f t="shared" si="93"/>
        <v>0</v>
      </c>
      <c r="BB355" s="314"/>
      <c r="BC355" s="407" t="b">
        <f t="shared" si="94"/>
        <v>0</v>
      </c>
      <c r="BD355" s="407" t="b">
        <f>OR(AV354&gt;100%,(AV354+AV355)&gt;100%)</f>
        <v>0</v>
      </c>
      <c r="BE355" s="314"/>
      <c r="BF355" s="408" t="s">
        <v>166</v>
      </c>
      <c r="BG355" s="409" t="str">
        <f>IF(AN346=EUconst_TJ,AV346*AV350,IF(AN348=EUconst_GJ,AV346*AV348/1000*AV350,""))</f>
        <v/>
      </c>
      <c r="BH355" s="314"/>
      <c r="BI355" s="314"/>
      <c r="BJ355" s="314"/>
      <c r="BK355" s="314"/>
      <c r="BL355" s="314"/>
      <c r="BM355" s="314"/>
      <c r="BN355" s="314"/>
      <c r="BO355" s="314"/>
      <c r="BP355" s="314"/>
      <c r="BQ355" s="314"/>
      <c r="BR355" s="314"/>
      <c r="BS355" s="314"/>
      <c r="BT355" s="314"/>
      <c r="BU355" s="314"/>
      <c r="BV355" s="314"/>
      <c r="BW355" s="314"/>
      <c r="BX355" s="314"/>
      <c r="BY355" s="314"/>
      <c r="BZ355" s="314"/>
      <c r="CA355" s="314"/>
      <c r="CB355" s="314"/>
      <c r="CC355" s="314"/>
      <c r="CD355" s="314"/>
      <c r="CE355" s="314"/>
      <c r="CF355" s="314"/>
      <c r="CG355" s="314"/>
      <c r="CH355" s="314"/>
      <c r="CI355" s="314"/>
      <c r="CJ355" s="314"/>
      <c r="CK355" s="314"/>
      <c r="CL355" s="314"/>
      <c r="CM355" s="314"/>
      <c r="CN355" s="314"/>
      <c r="CO355" s="314"/>
      <c r="CP355" s="314"/>
      <c r="CQ355" s="407" t="b">
        <f>OR(CQ346,Y355=EUconst_NA)</f>
        <v>0</v>
      </c>
    </row>
    <row r="356" spans="1:95" ht="5.15" customHeight="1" thickBot="1" x14ac:dyDescent="0.3">
      <c r="A356" s="307"/>
      <c r="B356" s="68"/>
      <c r="C356" s="68"/>
      <c r="D356" s="205"/>
      <c r="E356" s="76"/>
      <c r="F356" s="76"/>
      <c r="G356" s="76"/>
      <c r="H356" s="76"/>
      <c r="I356" s="76"/>
      <c r="J356" s="76"/>
      <c r="K356" s="76"/>
      <c r="L356" s="76"/>
      <c r="M356" s="453"/>
      <c r="N356" s="76"/>
      <c r="O356" s="160"/>
      <c r="P356" s="109"/>
      <c r="Q356" s="312"/>
      <c r="R356" s="312"/>
      <c r="S356" s="314"/>
      <c r="T356" s="314"/>
      <c r="U356" s="314"/>
      <c r="V356" s="314"/>
      <c r="W356" s="314"/>
      <c r="X356" s="314"/>
      <c r="Y356" s="314"/>
      <c r="Z356" s="314"/>
      <c r="AA356" s="314"/>
      <c r="AB356" s="314"/>
      <c r="AC356" s="314"/>
      <c r="AD356" s="314"/>
      <c r="AE356" s="314"/>
      <c r="AF356" s="314"/>
      <c r="AG356" s="314"/>
      <c r="AH356" s="314"/>
      <c r="AI356" s="314"/>
      <c r="AJ356" s="314"/>
      <c r="AK356" s="314"/>
      <c r="AL356" s="314"/>
      <c r="AM356" s="314"/>
      <c r="AN356" s="314"/>
      <c r="AO356" s="314"/>
      <c r="AP356" s="314"/>
      <c r="AQ356" s="314"/>
      <c r="AR356" s="314"/>
      <c r="AS356" s="314"/>
      <c r="AT356" s="314"/>
      <c r="AU356" s="314"/>
      <c r="AV356" s="314"/>
      <c r="AW356" s="314"/>
      <c r="AX356" s="314"/>
      <c r="AY356" s="314"/>
      <c r="AZ356" s="314"/>
      <c r="BA356" s="314"/>
      <c r="BB356" s="314"/>
      <c r="BC356" s="314"/>
      <c r="BD356" s="314"/>
      <c r="BE356" s="314"/>
      <c r="BF356" s="314"/>
      <c r="BG356" s="364"/>
      <c r="BH356" s="314"/>
      <c r="BI356" s="314"/>
      <c r="BJ356" s="314"/>
      <c r="BK356" s="314"/>
      <c r="BL356" s="314"/>
      <c r="BM356" s="314"/>
      <c r="BN356" s="314"/>
      <c r="BO356" s="314"/>
      <c r="BP356" s="314"/>
      <c r="BQ356" s="314"/>
      <c r="BR356" s="314"/>
      <c r="BS356" s="314"/>
      <c r="BT356" s="314"/>
      <c r="BU356" s="314"/>
      <c r="BV356" s="314"/>
      <c r="BW356" s="314"/>
      <c r="BX356" s="314"/>
      <c r="BY356" s="314"/>
      <c r="BZ356" s="314"/>
      <c r="CA356" s="314"/>
      <c r="CB356" s="314"/>
      <c r="CC356" s="314"/>
      <c r="CD356" s="314"/>
      <c r="CE356" s="314"/>
      <c r="CF356" s="314"/>
      <c r="CG356" s="314"/>
      <c r="CH356" s="314"/>
      <c r="CI356" s="314"/>
      <c r="CJ356" s="314"/>
      <c r="CK356" s="314"/>
      <c r="CL356" s="314"/>
      <c r="CM356" s="314"/>
      <c r="CN356" s="314"/>
      <c r="CO356" s="314"/>
      <c r="CP356" s="314"/>
      <c r="CQ356" s="314"/>
    </row>
    <row r="357" spans="1:95" ht="12.75" customHeight="1" thickBot="1" x14ac:dyDescent="0.3">
      <c r="A357" s="307"/>
      <c r="B357" s="68"/>
      <c r="C357" s="199" t="s">
        <v>167</v>
      </c>
      <c r="D357" s="344" t="str">
        <f>Translations!$B$398</f>
        <v>Scope factor:</v>
      </c>
      <c r="E357" s="454"/>
      <c r="F357" s="992"/>
      <c r="G357" s="1263"/>
      <c r="H357" s="1264"/>
      <c r="I357" s="455" t="s">
        <v>46</v>
      </c>
      <c r="J357" s="456"/>
      <c r="K357" s="457" t="str">
        <f>IF(L357="",AU357,"")</f>
        <v/>
      </c>
      <c r="L357" s="16"/>
      <c r="M357" s="458" t="str">
        <f>IF(AND(E341&lt;&gt;"",OR(F357="",G357="",COUNT(K357:L357)=0)),EUconst_ERR_Incomplete,IF(COUNTIF(BB357:BD357,TRUE)&gt;0,EUconst_ERR_Inconsistent,""))</f>
        <v/>
      </c>
      <c r="N357" s="76"/>
      <c r="O357" s="160"/>
      <c r="P357" s="109"/>
      <c r="Q357" s="312"/>
      <c r="R357" s="314"/>
      <c r="S357" s="297"/>
      <c r="T357" s="459" t="str">
        <f>EUconst_CNTR_ScopeFactor&amp;E341</f>
        <v>ScopeFactor_</v>
      </c>
      <c r="U357" s="231" t="str">
        <f>IF(F357="","",INDEX(ScopeAddress,MATCH(F357,ScopeTiers,0)))</f>
        <v/>
      </c>
      <c r="V357" s="360" t="str">
        <f>V346</f>
        <v/>
      </c>
      <c r="W357" s="314"/>
      <c r="X357" s="314"/>
      <c r="Y357" s="460" t="str">
        <f>IF(E341="","",IF(F357=EUconst_NA,EUconst_NA,INDEX(EUwideConstants!$P$164:$P$200,MATCH(T357,EUwideConstants!$S$164:$S$200,0))))</f>
        <v/>
      </c>
      <c r="Z357" s="461" t="str">
        <f>IF(ISBLANK(F357),"",IF(F357=EUconst_NA,"",INDEX(EUwideConstants!$H:$O,MATCH(T357,EUwideConstants!$S:$S,0),MATCH(F357,CNTR_TierList,0))))</f>
        <v/>
      </c>
      <c r="AA357" s="331" t="str">
        <f>IF(G357=EUwideConstants!$A$89,1,"")</f>
        <v/>
      </c>
      <c r="AB357" s="314"/>
      <c r="AC357" s="331" t="b">
        <f>AND(AC346,Y357&lt;&gt;EUconst_NA)</f>
        <v>0</v>
      </c>
      <c r="AD357" s="314"/>
      <c r="AE357" s="314"/>
      <c r="AF357" s="314"/>
      <c r="AG357" s="319"/>
      <c r="AH357" s="314"/>
      <c r="AI357" s="314"/>
      <c r="AJ357" s="314"/>
      <c r="AK357" s="314"/>
      <c r="AL357" s="314"/>
      <c r="AM357" s="314"/>
      <c r="AN357" s="314"/>
      <c r="AO357" s="314"/>
      <c r="AP357" s="314"/>
      <c r="AQ357" s="314"/>
      <c r="AR357" s="314"/>
      <c r="AS357" s="328">
        <v>1</v>
      </c>
      <c r="AT357" s="314"/>
      <c r="AU357" s="319" t="str">
        <f>IF(G357=EUwideConstants!$A$89,AS357,"")</f>
        <v/>
      </c>
      <c r="AV357" s="331">
        <f>IF(AC357=TRUE,IF(COUNT(K357:L357)=0,0,IF(L357="",K357,L357)),0)</f>
        <v>0</v>
      </c>
      <c r="AW357" s="360" t="b">
        <f>AND(AC357=TRUE,OR(AND(F357&lt;&gt;"",NOT(ISNUMBER(AA357))),L357&lt;&gt;"",F357="",AU357=""))</f>
        <v>0</v>
      </c>
      <c r="AX357" s="357" t="b">
        <f>AND(AC357=TRUE,NOT(AW357))</f>
        <v>0</v>
      </c>
      <c r="AY357" s="314"/>
      <c r="AZ357" s="361" t="b">
        <f>AND(ISNUMBER(AA357),AU357="")</f>
        <v>0</v>
      </c>
      <c r="BA357" s="351" t="b">
        <f>AND(ISNUMBER(AA357),AU357&lt;&gt;AV357)</f>
        <v>0</v>
      </c>
      <c r="BB357" s="314"/>
      <c r="BC357" s="360" t="b">
        <f>AND(F357&lt;&gt;"",OR(COUNTIF(INDEX(ScopeMethods,F357,),G357)=0,AND(AA357&lt;&gt;"",AU357&lt;&gt;AV357)))</f>
        <v>0</v>
      </c>
      <c r="BD357" s="314"/>
      <c r="BE357" s="314"/>
      <c r="BF357" s="361" t="s">
        <v>168</v>
      </c>
      <c r="BG357" s="362" t="str">
        <f>IF(AN346=EUconst_TJ,AV346*AV352,IF(AN348=EUconst_GJ,AV346*AV348/1000*AV352,""))</f>
        <v/>
      </c>
      <c r="BH357" s="314"/>
      <c r="BI357" s="314"/>
      <c r="BJ357" s="314"/>
      <c r="BK357" s="314"/>
      <c r="BL357" s="314"/>
      <c r="BM357" s="314"/>
      <c r="BN357" s="314"/>
      <c r="BO357" s="314"/>
      <c r="BP357" s="314"/>
      <c r="BQ357" s="314"/>
      <c r="BR357" s="314"/>
      <c r="BS357" s="314"/>
      <c r="BT357" s="314"/>
      <c r="BU357" s="314"/>
      <c r="BV357" s="314"/>
      <c r="BW357" s="314"/>
      <c r="BX357" s="314"/>
      <c r="BY357" s="314"/>
      <c r="BZ357" s="314"/>
      <c r="CA357" s="314"/>
      <c r="CB357" s="314"/>
      <c r="CC357" s="314"/>
      <c r="CD357" s="314"/>
      <c r="CE357" s="314"/>
      <c r="CF357" s="314"/>
      <c r="CG357" s="314"/>
      <c r="CH357" s="314"/>
      <c r="CI357" s="314"/>
      <c r="CJ357" s="314"/>
      <c r="CK357" s="314"/>
      <c r="CL357" s="314"/>
      <c r="CM357" s="314"/>
      <c r="CN357" s="314"/>
      <c r="CO357" s="314"/>
      <c r="CP357" s="314"/>
      <c r="CQ357" s="314"/>
    </row>
    <row r="358" spans="1:95" ht="12.75" customHeight="1" x14ac:dyDescent="0.25">
      <c r="A358" s="307"/>
      <c r="B358" s="68"/>
      <c r="C358" s="68"/>
      <c r="D358" s="68"/>
      <c r="E358" s="68"/>
      <c r="F358" s="68"/>
      <c r="G358" s="1265" t="str">
        <f>IF(G357="","",INDEX(ScopeMethodsDetails,MATCH(G357,INDEX(ScopeMethodsDetails,,1),0),2))</f>
        <v/>
      </c>
      <c r="H358" s="1266"/>
      <c r="I358" s="1266"/>
      <c r="J358" s="1266"/>
      <c r="K358" s="1266"/>
      <c r="L358" s="1266"/>
      <c r="M358" s="1267"/>
      <c r="N358" s="76"/>
      <c r="O358" s="160"/>
      <c r="P358" s="109"/>
      <c r="Q358" s="312"/>
      <c r="R358" s="312"/>
      <c r="S358" s="314"/>
      <c r="T358" s="314"/>
      <c r="U358" s="314"/>
      <c r="V358" s="314"/>
      <c r="W358" s="314"/>
      <c r="X358" s="314"/>
      <c r="Y358" s="314"/>
      <c r="Z358" s="314"/>
      <c r="AA358" s="314"/>
      <c r="AB358" s="314"/>
      <c r="AC358" s="314"/>
      <c r="AD358" s="314"/>
      <c r="AE358" s="314"/>
      <c r="AF358" s="314"/>
      <c r="AG358" s="314"/>
      <c r="AH358" s="314"/>
      <c r="AI358" s="314"/>
      <c r="AJ358" s="314"/>
      <c r="AK358" s="314"/>
      <c r="AL358" s="314"/>
      <c r="AM358" s="314"/>
      <c r="AN358" s="314"/>
      <c r="AO358" s="314"/>
      <c r="AP358" s="314"/>
      <c r="AQ358" s="314"/>
      <c r="AR358" s="314"/>
      <c r="AS358" s="314"/>
      <c r="AT358" s="314"/>
      <c r="AU358" s="314"/>
      <c r="AV358" s="314"/>
      <c r="AW358" s="314"/>
      <c r="AX358" s="314"/>
      <c r="AY358" s="314"/>
      <c r="AZ358" s="314"/>
      <c r="BA358" s="314"/>
      <c r="BB358" s="314"/>
      <c r="BC358" s="314"/>
      <c r="BD358" s="314"/>
      <c r="BE358" s="314"/>
      <c r="BG358" s="364"/>
      <c r="BH358" s="314"/>
      <c r="BI358" s="314"/>
      <c r="BJ358" s="314"/>
      <c r="BK358" s="314"/>
      <c r="BL358" s="314"/>
      <c r="BM358" s="314"/>
      <c r="BN358" s="314"/>
      <c r="BO358" s="314"/>
      <c r="BP358" s="314"/>
      <c r="BQ358" s="314"/>
      <c r="BR358" s="314"/>
      <c r="BS358" s="314"/>
      <c r="BT358" s="314"/>
      <c r="BU358" s="314"/>
      <c r="BV358" s="314"/>
      <c r="BW358" s="314"/>
      <c r="BX358" s="314"/>
      <c r="BY358" s="314"/>
      <c r="BZ358" s="314"/>
      <c r="CA358" s="314"/>
      <c r="CB358" s="314"/>
      <c r="CC358" s="314"/>
      <c r="CD358" s="314"/>
      <c r="CE358" s="314"/>
      <c r="CF358" s="314"/>
      <c r="CG358" s="314"/>
      <c r="CH358" s="314"/>
      <c r="CI358" s="314"/>
      <c r="CJ358" s="314"/>
      <c r="CK358" s="314"/>
      <c r="CL358" s="314"/>
      <c r="CM358" s="314"/>
      <c r="CN358" s="314"/>
      <c r="CO358" s="314"/>
      <c r="CP358" s="314"/>
      <c r="CQ358" s="314"/>
    </row>
    <row r="359" spans="1:95" ht="5.15" customHeight="1" x14ac:dyDescent="0.25">
      <c r="A359" s="307"/>
      <c r="C359" s="76"/>
      <c r="D359" s="76"/>
      <c r="E359" s="76"/>
      <c r="F359" s="76"/>
      <c r="G359" s="76"/>
      <c r="H359" s="76"/>
      <c r="I359" s="76"/>
      <c r="J359" s="76"/>
      <c r="K359" s="76"/>
      <c r="L359" s="76"/>
      <c r="O359" s="160"/>
      <c r="P359" s="109"/>
      <c r="Q359" s="312"/>
      <c r="R359" s="312"/>
      <c r="S359" s="314"/>
      <c r="T359" s="314"/>
      <c r="U359" s="314"/>
      <c r="V359" s="314"/>
      <c r="W359" s="314"/>
      <c r="X359" s="314"/>
      <c r="Y359" s="314"/>
      <c r="Z359" s="314"/>
      <c r="AA359" s="314"/>
      <c r="AB359" s="314"/>
      <c r="AC359" s="314"/>
      <c r="AD359" s="314"/>
      <c r="AE359" s="314"/>
      <c r="AF359" s="314"/>
      <c r="AG359" s="314"/>
      <c r="AH359" s="314"/>
      <c r="AI359" s="314"/>
      <c r="AJ359" s="314"/>
      <c r="AK359" s="314"/>
      <c r="AL359" s="314"/>
      <c r="AM359" s="314"/>
      <c r="AN359" s="314"/>
      <c r="AO359" s="314"/>
      <c r="AP359" s="314"/>
      <c r="AQ359" s="314"/>
      <c r="AR359" s="314"/>
      <c r="AS359" s="314"/>
      <c r="AT359" s="314"/>
      <c r="AU359" s="314"/>
      <c r="AV359" s="314"/>
      <c r="AW359" s="314"/>
      <c r="AX359" s="314"/>
      <c r="AY359" s="314"/>
      <c r="AZ359" s="314"/>
      <c r="BA359" s="314"/>
      <c r="BB359" s="314"/>
      <c r="BC359" s="314"/>
      <c r="BD359" s="314"/>
      <c r="BE359" s="314"/>
      <c r="BG359" s="364"/>
      <c r="BH359" s="314"/>
      <c r="BI359" s="314"/>
      <c r="BJ359" s="314"/>
      <c r="BK359" s="314"/>
      <c r="BL359" s="314"/>
      <c r="BM359" s="314"/>
      <c r="BN359" s="314"/>
      <c r="BO359" s="314"/>
      <c r="BP359" s="314"/>
      <c r="BQ359" s="314"/>
      <c r="BR359" s="314"/>
      <c r="BS359" s="314"/>
      <c r="BT359" s="314"/>
      <c r="BU359" s="314"/>
      <c r="BV359" s="314"/>
      <c r="BW359" s="314"/>
      <c r="BX359" s="314"/>
      <c r="BY359" s="314"/>
      <c r="BZ359" s="314"/>
      <c r="CA359" s="314"/>
      <c r="CB359" s="314"/>
      <c r="CC359" s="314"/>
      <c r="CD359" s="314"/>
      <c r="CE359" s="314"/>
      <c r="CF359" s="314"/>
      <c r="CG359" s="314"/>
      <c r="CH359" s="314"/>
      <c r="CI359" s="314"/>
      <c r="CJ359" s="314"/>
      <c r="CK359" s="314"/>
      <c r="CL359" s="314"/>
      <c r="CM359" s="314"/>
      <c r="CN359" s="314"/>
      <c r="CO359" s="314"/>
      <c r="CP359" s="314"/>
      <c r="CQ359" s="314"/>
    </row>
    <row r="360" spans="1:95" ht="12.75" customHeight="1" thickBot="1" x14ac:dyDescent="0.3">
      <c r="A360" s="307"/>
      <c r="C360" s="76"/>
      <c r="D360" s="76"/>
      <c r="E360" s="76"/>
      <c r="F360" s="76"/>
      <c r="G360" s="1268">
        <v>1</v>
      </c>
      <c r="H360" s="1268"/>
      <c r="I360" s="1268">
        <v>2</v>
      </c>
      <c r="J360" s="1268"/>
      <c r="K360" s="1268">
        <v>3</v>
      </c>
      <c r="L360" s="1268"/>
      <c r="O360" s="160"/>
      <c r="P360" s="109"/>
      <c r="Q360" s="312"/>
      <c r="R360" s="312"/>
      <c r="S360" s="314"/>
      <c r="T360" s="314"/>
      <c r="U360" s="314"/>
      <c r="V360" s="314"/>
      <c r="W360" s="314"/>
      <c r="X360" s="314"/>
      <c r="Y360" s="314"/>
      <c r="Z360" s="314"/>
      <c r="AA360" s="314"/>
      <c r="AB360" s="314"/>
      <c r="AC360" s="314"/>
      <c r="AD360" s="314"/>
      <c r="AE360" s="314"/>
      <c r="AF360" s="314"/>
      <c r="AG360" s="314"/>
      <c r="AH360" s="314"/>
      <c r="AI360" s="314"/>
      <c r="AJ360" s="314"/>
      <c r="AK360" s="314"/>
      <c r="AL360" s="314"/>
      <c r="AM360" s="314"/>
      <c r="AN360" s="314"/>
      <c r="AO360" s="314"/>
      <c r="AP360" s="314"/>
      <c r="AQ360" s="314"/>
      <c r="AR360" s="314"/>
      <c r="AS360" s="314"/>
      <c r="AT360" s="314"/>
      <c r="AU360" s="314"/>
      <c r="AV360" s="314"/>
      <c r="AW360" s="314"/>
      <c r="AX360" s="314"/>
      <c r="AY360" s="314"/>
      <c r="AZ360" s="314"/>
      <c r="BA360" s="314"/>
      <c r="BB360" s="314"/>
      <c r="BC360" s="314"/>
      <c r="BD360" s="314"/>
      <c r="BE360" s="314"/>
      <c r="BF360" s="314"/>
      <c r="BG360" s="364"/>
      <c r="BH360" s="314"/>
      <c r="BI360" s="314"/>
      <c r="BJ360" s="314"/>
      <c r="BK360" s="314"/>
      <c r="BL360" s="314"/>
      <c r="BM360" s="314"/>
      <c r="BN360" s="314"/>
      <c r="BO360" s="314"/>
      <c r="BP360" s="314"/>
      <c r="BQ360" s="314"/>
      <c r="BR360" s="314"/>
      <c r="BS360" s="314"/>
      <c r="BT360" s="314"/>
      <c r="BU360" s="314"/>
      <c r="BV360" s="314"/>
      <c r="BW360" s="314"/>
      <c r="BX360" s="314"/>
      <c r="BY360" s="314"/>
      <c r="BZ360" s="314"/>
      <c r="CA360" s="314"/>
      <c r="CB360" s="314"/>
      <c r="CC360" s="314"/>
      <c r="CD360" s="314"/>
      <c r="CE360" s="314"/>
      <c r="CF360" s="314"/>
      <c r="CG360" s="314"/>
      <c r="CH360" s="314"/>
      <c r="CI360" s="314"/>
      <c r="CJ360" s="314"/>
      <c r="CK360" s="314"/>
      <c r="CL360" s="314"/>
      <c r="CM360" s="314"/>
      <c r="CN360" s="314"/>
      <c r="CO360" s="314"/>
      <c r="CP360" s="314"/>
      <c r="CQ360" s="314"/>
    </row>
    <row r="361" spans="1:95" ht="12.75" customHeight="1" thickBot="1" x14ac:dyDescent="0.3">
      <c r="A361" s="462"/>
      <c r="B361" s="76"/>
      <c r="C361" s="76"/>
      <c r="D361" s="1246" t="str">
        <f>Translations!$B$372</f>
        <v>Consumers' CRF category:</v>
      </c>
      <c r="E361" s="1246"/>
      <c r="F361" s="1247"/>
      <c r="G361" s="1248"/>
      <c r="H361" s="1249"/>
      <c r="I361" s="1248"/>
      <c r="J361" s="1249"/>
      <c r="K361" s="1248"/>
      <c r="L361" s="1249"/>
      <c r="M361" s="463" t="str">
        <f>IF(AND(E340&lt;&gt;"",COUNTA(G361:L361)=0,AX361=FALSE),EUconst_ERR_Incomplete,"")</f>
        <v/>
      </c>
      <c r="N361" s="76"/>
      <c r="O361" s="160"/>
      <c r="P361" s="109"/>
      <c r="Q361" s="312"/>
      <c r="R361" s="312"/>
      <c r="S361" s="314"/>
      <c r="T361" s="314"/>
      <c r="U361" s="314"/>
      <c r="V361" s="314"/>
      <c r="W361" s="314"/>
      <c r="X361" s="314"/>
      <c r="Y361" s="314"/>
      <c r="Z361" s="314"/>
      <c r="AA361" s="314"/>
      <c r="AB361" s="314"/>
      <c r="AC361" s="314"/>
      <c r="AD361" s="314"/>
      <c r="AE361" s="314"/>
      <c r="AF361" s="314"/>
      <c r="AG361" s="314"/>
      <c r="AH361" s="314"/>
      <c r="AI361" s="314"/>
      <c r="AJ361" s="314"/>
      <c r="AK361" s="314"/>
      <c r="AL361" s="314"/>
      <c r="AM361" s="314"/>
      <c r="AN361" s="314"/>
      <c r="AO361" s="314"/>
      <c r="AP361" s="314"/>
      <c r="AQ361" s="314"/>
      <c r="AR361" s="314"/>
      <c r="AS361" s="314"/>
      <c r="AT361" s="314"/>
      <c r="AU361" s="314"/>
      <c r="AV361" s="314"/>
      <c r="AW361" s="314"/>
      <c r="AX361" s="464" t="b">
        <f>AND(AV357&lt;&gt;"",SUM(AV357=1))</f>
        <v>0</v>
      </c>
      <c r="AY361" s="314"/>
      <c r="AZ361" s="314"/>
      <c r="BA361" s="314"/>
      <c r="BB361" s="314"/>
      <c r="BC361" s="314"/>
      <c r="BD361" s="314"/>
      <c r="BE361" s="314"/>
      <c r="BF361" s="361" t="s">
        <v>169</v>
      </c>
      <c r="BG361" s="362" t="str">
        <f>IF(AN346=EUconst_TJ,AV346*AV354,IF(AN348=EUconst_GJ,AV346*AV348/1000*AV354,""))</f>
        <v/>
      </c>
      <c r="BH361" s="314"/>
      <c r="BI361" s="314"/>
      <c r="BJ361" s="314"/>
      <c r="BK361" s="314"/>
      <c r="BL361" s="314"/>
      <c r="BM361" s="314"/>
      <c r="BN361" s="314"/>
      <c r="BO361" s="314"/>
      <c r="BP361" s="314"/>
      <c r="BQ361" s="314"/>
      <c r="BR361" s="314"/>
      <c r="BS361" s="314"/>
      <c r="BT361" s="314"/>
      <c r="BU361" s="314"/>
      <c r="BV361" s="314"/>
      <c r="BW361" s="314"/>
      <c r="BX361" s="314"/>
      <c r="BY361" s="314"/>
      <c r="BZ361" s="314"/>
      <c r="CA361" s="314"/>
      <c r="CB361" s="314"/>
      <c r="CC361" s="314"/>
      <c r="CD361" s="314"/>
      <c r="CE361" s="314"/>
      <c r="CF361" s="314"/>
      <c r="CG361" s="314"/>
      <c r="CH361" s="314"/>
      <c r="CI361" s="314"/>
      <c r="CJ361" s="314"/>
      <c r="CK361" s="314"/>
      <c r="CL361" s="314"/>
      <c r="CM361" s="314"/>
      <c r="CN361" s="314"/>
      <c r="CO361" s="314"/>
      <c r="CP361" s="314"/>
      <c r="CQ361" s="314"/>
    </row>
    <row r="362" spans="1:95" ht="5.15" customHeight="1" x14ac:dyDescent="0.25">
      <c r="A362" s="307"/>
      <c r="B362" s="68"/>
      <c r="C362" s="68"/>
      <c r="D362" s="68"/>
      <c r="E362" s="68"/>
      <c r="F362" s="68"/>
      <c r="G362" s="76"/>
      <c r="H362" s="76"/>
      <c r="I362" s="76"/>
      <c r="J362" s="76"/>
      <c r="K362" s="76"/>
      <c r="L362" s="76"/>
      <c r="M362" s="76"/>
      <c r="N362" s="76"/>
      <c r="O362" s="160"/>
      <c r="P362" s="109"/>
      <c r="Q362" s="312"/>
      <c r="R362" s="312"/>
      <c r="S362" s="314"/>
      <c r="T362" s="314"/>
      <c r="U362" s="314"/>
      <c r="V362" s="314"/>
      <c r="W362" s="314"/>
      <c r="X362" s="314"/>
      <c r="Y362" s="314"/>
      <c r="Z362" s="314"/>
      <c r="AA362" s="314"/>
      <c r="AB362" s="314"/>
      <c r="AC362" s="314"/>
      <c r="AD362" s="314"/>
      <c r="AE362" s="314"/>
      <c r="AF362" s="314"/>
      <c r="AG362" s="314"/>
      <c r="AH362" s="314"/>
      <c r="AI362" s="314"/>
      <c r="AJ362" s="314"/>
      <c r="AK362" s="314"/>
      <c r="AL362" s="314"/>
      <c r="AM362" s="314"/>
      <c r="AN362" s="314"/>
      <c r="AO362" s="314"/>
      <c r="AP362" s="314"/>
      <c r="AQ362" s="314"/>
      <c r="AR362" s="314"/>
      <c r="AS362" s="314"/>
      <c r="AT362" s="314"/>
      <c r="AU362" s="314"/>
      <c r="AV362" s="314"/>
      <c r="AW362" s="314"/>
      <c r="AX362" s="314"/>
      <c r="AY362" s="314"/>
      <c r="AZ362" s="314"/>
      <c r="BA362" s="314"/>
      <c r="BB362" s="314"/>
      <c r="BC362" s="314"/>
      <c r="BD362" s="314"/>
      <c r="BE362" s="314"/>
      <c r="BF362" s="314"/>
      <c r="BG362" s="314"/>
      <c r="BH362" s="314"/>
      <c r="BI362" s="314"/>
      <c r="BJ362" s="314"/>
      <c r="BK362" s="314"/>
      <c r="BL362" s="314"/>
      <c r="BM362" s="314"/>
      <c r="BN362" s="314"/>
      <c r="BO362" s="314"/>
      <c r="BP362" s="314"/>
      <c r="BQ362" s="314"/>
      <c r="BR362" s="314"/>
      <c r="BS362" s="314"/>
      <c r="BT362" s="314"/>
      <c r="BU362" s="314"/>
      <c r="BV362" s="314"/>
      <c r="BW362" s="314"/>
      <c r="BX362" s="314"/>
      <c r="BY362" s="314"/>
      <c r="BZ362" s="314"/>
      <c r="CA362" s="314"/>
      <c r="CB362" s="314"/>
      <c r="CC362" s="314"/>
      <c r="CD362" s="314"/>
      <c r="CE362" s="314"/>
      <c r="CF362" s="314"/>
      <c r="CG362" s="314"/>
      <c r="CH362" s="314"/>
      <c r="CI362" s="314"/>
      <c r="CJ362" s="314"/>
      <c r="CK362" s="314"/>
      <c r="CL362" s="314"/>
      <c r="CM362" s="314"/>
      <c r="CN362" s="314"/>
      <c r="CO362" s="314"/>
      <c r="CP362" s="314"/>
      <c r="CQ362" s="314"/>
    </row>
    <row r="363" spans="1:95" ht="12.75" customHeight="1" x14ac:dyDescent="0.25">
      <c r="A363" s="307"/>
      <c r="B363" s="68"/>
      <c r="C363" s="68"/>
      <c r="D363" s="1246" t="str">
        <f>Translations!$B$399</f>
        <v>Tiers valid from:</v>
      </c>
      <c r="E363" s="1246"/>
      <c r="F363" s="1247"/>
      <c r="G363" s="8"/>
      <c r="H363" s="199" t="str">
        <f>Translations!$B$400</f>
        <v>until:</v>
      </c>
      <c r="I363" s="8"/>
      <c r="J363" s="76"/>
      <c r="K363" s="76"/>
      <c r="L363" s="76"/>
      <c r="M363" s="199" t="str">
        <f>Translations!$B$401</f>
        <v>ID used in the monitoring plan for this fuel stream:</v>
      </c>
      <c r="N363" s="9"/>
      <c r="O363" s="160"/>
      <c r="P363" s="109"/>
      <c r="Q363" s="312"/>
      <c r="R363" s="312"/>
      <c r="S363" s="465"/>
      <c r="T363" s="314"/>
      <c r="U363" s="314"/>
      <c r="V363" s="314"/>
      <c r="W363" s="314"/>
      <c r="X363" s="314"/>
      <c r="Y363" s="314"/>
      <c r="Z363" s="314"/>
      <c r="AA363" s="314"/>
      <c r="AB363" s="314"/>
      <c r="AC363" s="314"/>
      <c r="AD363" s="314"/>
      <c r="AE363" s="314"/>
      <c r="AF363" s="314"/>
      <c r="AG363" s="314"/>
      <c r="AH363" s="314"/>
      <c r="AI363" s="314"/>
      <c r="AJ363" s="314"/>
      <c r="AK363" s="314"/>
      <c r="AL363" s="314"/>
      <c r="AM363" s="314"/>
      <c r="AN363" s="314"/>
      <c r="AO363" s="314"/>
      <c r="AP363" s="314"/>
      <c r="AQ363" s="314"/>
      <c r="AR363" s="314"/>
      <c r="AS363" s="314"/>
      <c r="AT363" s="314"/>
      <c r="AU363" s="314"/>
      <c r="AV363" s="314"/>
      <c r="AW363" s="314"/>
      <c r="AX363" s="314"/>
      <c r="AY363" s="314"/>
      <c r="AZ363" s="314"/>
      <c r="BA363" s="314"/>
      <c r="BB363" s="314"/>
      <c r="BC363" s="314"/>
      <c r="BD363" s="314"/>
      <c r="BE363" s="314"/>
      <c r="BF363" s="314"/>
      <c r="BG363" s="314"/>
      <c r="BH363" s="314"/>
      <c r="BI363" s="314"/>
      <c r="BJ363" s="314"/>
      <c r="BK363" s="314"/>
      <c r="BL363" s="314"/>
      <c r="BM363" s="314"/>
      <c r="BN363" s="314"/>
      <c r="BO363" s="314"/>
      <c r="BP363" s="314"/>
      <c r="BQ363" s="314"/>
      <c r="BR363" s="314"/>
      <c r="BS363" s="314"/>
      <c r="BT363" s="314"/>
      <c r="BU363" s="314"/>
      <c r="BV363" s="314"/>
      <c r="BW363" s="314"/>
      <c r="BX363" s="314"/>
      <c r="BY363" s="314"/>
      <c r="BZ363" s="314"/>
      <c r="CA363" s="314"/>
      <c r="CB363" s="314"/>
      <c r="CC363" s="314"/>
      <c r="CD363" s="314"/>
      <c r="CE363" s="314"/>
      <c r="CF363" s="314"/>
      <c r="CG363" s="314"/>
      <c r="CH363" s="314"/>
      <c r="CI363" s="314"/>
      <c r="CJ363" s="314"/>
      <c r="CK363" s="314"/>
      <c r="CL363" s="314"/>
      <c r="CM363" s="314"/>
      <c r="CN363" s="314"/>
      <c r="CO363" s="314"/>
      <c r="CP363" s="314"/>
      <c r="CQ363" s="464" t="b">
        <f>CQ346</f>
        <v>0</v>
      </c>
    </row>
    <row r="364" spans="1:95" ht="5.15" customHeight="1" x14ac:dyDescent="0.25">
      <c r="A364" s="462"/>
      <c r="B364" s="76"/>
      <c r="C364" s="76"/>
      <c r="D364" s="76"/>
      <c r="E364" s="76"/>
      <c r="F364" s="76"/>
      <c r="G364" s="76"/>
      <c r="H364" s="76"/>
      <c r="I364" s="76"/>
      <c r="J364" s="76"/>
      <c r="K364" s="76"/>
      <c r="L364" s="76"/>
      <c r="M364" s="76"/>
      <c r="N364" s="76"/>
      <c r="O364" s="160"/>
      <c r="P364" s="109"/>
      <c r="Q364" s="312"/>
      <c r="R364" s="312"/>
      <c r="S364" s="314"/>
      <c r="T364" s="314"/>
      <c r="U364" s="314"/>
      <c r="V364" s="314"/>
      <c r="W364" s="314"/>
      <c r="X364" s="314"/>
      <c r="Y364" s="314"/>
      <c r="Z364" s="314"/>
      <c r="AA364" s="314"/>
      <c r="AB364" s="314"/>
      <c r="AC364" s="314"/>
      <c r="AD364" s="314"/>
      <c r="AE364" s="314"/>
      <c r="AF364" s="314"/>
      <c r="AG364" s="314"/>
      <c r="AH364" s="314"/>
      <c r="AI364" s="314"/>
      <c r="AJ364" s="314"/>
      <c r="AK364" s="314"/>
      <c r="AL364" s="314"/>
      <c r="AM364" s="314"/>
      <c r="AN364" s="314"/>
      <c r="AO364" s="314"/>
      <c r="AP364" s="314"/>
      <c r="AQ364" s="314"/>
      <c r="AR364" s="314"/>
      <c r="AS364" s="314"/>
      <c r="AT364" s="314"/>
      <c r="AU364" s="314"/>
      <c r="AV364" s="314"/>
      <c r="AW364" s="314"/>
      <c r="AX364" s="314"/>
      <c r="AY364" s="314"/>
      <c r="AZ364" s="314"/>
      <c r="BA364" s="314"/>
      <c r="BB364" s="314"/>
      <c r="BC364" s="314"/>
      <c r="BD364" s="314"/>
      <c r="BE364" s="314"/>
      <c r="BF364" s="314"/>
      <c r="BG364" s="314"/>
      <c r="BH364" s="314"/>
      <c r="BI364" s="314"/>
      <c r="BJ364" s="314"/>
      <c r="BK364" s="314"/>
      <c r="BL364" s="314"/>
      <c r="BM364" s="314"/>
      <c r="BN364" s="314"/>
      <c r="BO364" s="314"/>
      <c r="BP364" s="314"/>
      <c r="BQ364" s="314"/>
      <c r="BR364" s="314"/>
      <c r="BS364" s="314"/>
      <c r="BT364" s="314"/>
      <c r="BU364" s="314"/>
      <c r="BV364" s="314"/>
      <c r="BW364" s="314"/>
      <c r="BX364" s="314"/>
      <c r="BY364" s="314"/>
      <c r="BZ364" s="314"/>
      <c r="CA364" s="314"/>
      <c r="CB364" s="314"/>
      <c r="CC364" s="314"/>
      <c r="CD364" s="314"/>
      <c r="CE364" s="314"/>
      <c r="CF364" s="314"/>
      <c r="CG364" s="314"/>
      <c r="CH364" s="314"/>
      <c r="CI364" s="314"/>
      <c r="CJ364" s="314"/>
      <c r="CK364" s="314"/>
      <c r="CL364" s="314"/>
      <c r="CM364" s="314"/>
      <c r="CN364" s="314"/>
      <c r="CO364" s="314"/>
      <c r="CP364" s="314"/>
      <c r="CQ364" s="314"/>
    </row>
    <row r="365" spans="1:95" ht="12.75" customHeight="1" x14ac:dyDescent="0.25">
      <c r="A365" s="462"/>
      <c r="B365" s="76"/>
      <c r="C365" s="76"/>
      <c r="D365" s="115"/>
      <c r="E365" s="85"/>
      <c r="F365" s="466" t="str">
        <f>Translations!$B$304</f>
        <v>Comments:</v>
      </c>
      <c r="G365" s="1250"/>
      <c r="H365" s="1251"/>
      <c r="I365" s="1251"/>
      <c r="J365" s="1251"/>
      <c r="K365" s="1251"/>
      <c r="L365" s="1251"/>
      <c r="M365" s="1251"/>
      <c r="N365" s="1252"/>
      <c r="O365" s="160"/>
      <c r="P365" s="109"/>
      <c r="Q365" s="312"/>
      <c r="R365" s="312"/>
      <c r="S365" s="314"/>
      <c r="T365" s="314"/>
      <c r="U365" s="314"/>
      <c r="V365" s="314"/>
      <c r="W365" s="314"/>
      <c r="X365" s="314"/>
      <c r="Y365" s="314"/>
      <c r="Z365" s="314"/>
      <c r="AA365" s="314"/>
      <c r="AB365" s="314"/>
      <c r="AC365" s="314"/>
      <c r="AD365" s="314"/>
      <c r="AE365" s="314"/>
      <c r="AF365" s="314"/>
      <c r="AG365" s="314"/>
      <c r="AH365" s="314"/>
      <c r="AI365" s="314"/>
      <c r="AJ365" s="314"/>
      <c r="AK365" s="314"/>
      <c r="AL365" s="314"/>
      <c r="AM365" s="314"/>
      <c r="AN365" s="314"/>
      <c r="AO365" s="314"/>
      <c r="AP365" s="314"/>
      <c r="AQ365" s="314"/>
      <c r="AR365" s="314"/>
      <c r="AS365" s="314"/>
      <c r="AT365" s="314"/>
      <c r="AU365" s="314"/>
      <c r="AV365" s="314"/>
      <c r="AW365" s="314"/>
      <c r="AX365" s="314"/>
      <c r="AY365" s="314"/>
      <c r="AZ365" s="314"/>
      <c r="BA365" s="314"/>
      <c r="BB365" s="314"/>
      <c r="BC365" s="314"/>
      <c r="BD365" s="314"/>
      <c r="BE365" s="314"/>
      <c r="BF365" s="314"/>
      <c r="BG365" s="314"/>
      <c r="BH365" s="314"/>
      <c r="BI365" s="314"/>
      <c r="BJ365" s="314"/>
      <c r="BK365" s="314"/>
      <c r="BL365" s="314"/>
      <c r="BM365" s="314"/>
      <c r="BN365" s="314"/>
      <c r="BO365" s="314"/>
      <c r="BP365" s="314"/>
      <c r="BQ365" s="314"/>
      <c r="BR365" s="314"/>
      <c r="BS365" s="314"/>
      <c r="BT365" s="314"/>
      <c r="BU365" s="314"/>
      <c r="BV365" s="314"/>
      <c r="BW365" s="314"/>
      <c r="BX365" s="314"/>
      <c r="BY365" s="314"/>
      <c r="BZ365" s="314"/>
      <c r="CA365" s="314"/>
      <c r="CB365" s="314"/>
      <c r="CC365" s="314"/>
      <c r="CD365" s="314"/>
      <c r="CE365" s="314"/>
      <c r="CF365" s="314"/>
      <c r="CG365" s="314"/>
      <c r="CH365" s="314"/>
      <c r="CI365" s="314"/>
      <c r="CJ365" s="314"/>
      <c r="CK365" s="314"/>
      <c r="CL365" s="314"/>
      <c r="CM365" s="314"/>
      <c r="CN365" s="314"/>
      <c r="CO365" s="314"/>
      <c r="CP365" s="314"/>
      <c r="CQ365" s="464" t="b">
        <f>CQ363</f>
        <v>0</v>
      </c>
    </row>
    <row r="366" spans="1:95" ht="12.75" customHeight="1" thickBot="1" x14ac:dyDescent="0.3">
      <c r="A366" s="307"/>
      <c r="B366" s="76"/>
      <c r="C366" s="308"/>
      <c r="D366" s="309"/>
      <c r="E366" s="310"/>
      <c r="F366" s="308"/>
      <c r="G366" s="311"/>
      <c r="H366" s="311"/>
      <c r="I366" s="311"/>
      <c r="J366" s="311"/>
      <c r="K366" s="311"/>
      <c r="L366" s="311"/>
      <c r="M366" s="311"/>
      <c r="N366" s="311"/>
      <c r="O366" s="160"/>
      <c r="P366" s="109"/>
      <c r="Q366" s="312"/>
      <c r="R366" s="312"/>
      <c r="S366" s="293"/>
      <c r="T366" s="293"/>
      <c r="U366" s="313"/>
      <c r="V366" s="293"/>
      <c r="W366" s="293"/>
      <c r="X366" s="313"/>
      <c r="Y366" s="293"/>
      <c r="Z366" s="293"/>
      <c r="AA366" s="293"/>
      <c r="AB366" s="293"/>
      <c r="AC366" s="293"/>
      <c r="AD366" s="293"/>
      <c r="AE366" s="293"/>
      <c r="AF366" s="293"/>
      <c r="AG366" s="293"/>
      <c r="AH366" s="293"/>
      <c r="AI366" s="293"/>
      <c r="AJ366" s="293"/>
      <c r="AK366" s="293"/>
      <c r="AL366" s="293"/>
      <c r="AM366" s="293"/>
      <c r="AN366" s="293"/>
      <c r="AO366" s="293"/>
      <c r="AP366" s="293"/>
      <c r="AQ366" s="293"/>
      <c r="AR366" s="293"/>
      <c r="AS366" s="293"/>
      <c r="AT366" s="293"/>
      <c r="AU366" s="293"/>
      <c r="AV366" s="293"/>
      <c r="AW366" s="293"/>
      <c r="AX366" s="293"/>
      <c r="AY366" s="293"/>
      <c r="AZ366" s="293"/>
      <c r="BA366" s="293"/>
      <c r="BB366" s="293"/>
      <c r="BC366" s="293"/>
      <c r="BD366" s="293"/>
      <c r="BE366" s="293"/>
      <c r="BF366" s="293"/>
      <c r="BG366" s="293"/>
      <c r="BH366" s="293"/>
      <c r="BI366" s="293"/>
      <c r="BJ366" s="293"/>
      <c r="BK366" s="293"/>
      <c r="BL366" s="293"/>
      <c r="BM366" s="314"/>
      <c r="BN366" s="314"/>
      <c r="BO366" s="314"/>
      <c r="BP366" s="314"/>
      <c r="BQ366" s="314"/>
      <c r="BR366" s="314"/>
      <c r="BS366" s="314"/>
      <c r="BT366" s="314"/>
      <c r="BU366" s="293"/>
      <c r="BV366" s="293"/>
      <c r="BW366" s="293"/>
      <c r="BX366" s="293"/>
      <c r="BY366" s="293"/>
      <c r="BZ366" s="293"/>
      <c r="CA366" s="293"/>
      <c r="CB366" s="293"/>
      <c r="CC366" s="293"/>
      <c r="CD366" s="293"/>
      <c r="CE366" s="293"/>
      <c r="CF366" s="293"/>
      <c r="CG366" s="293"/>
      <c r="CH366" s="293"/>
      <c r="CI366" s="293"/>
      <c r="CJ366" s="293"/>
      <c r="CK366" s="293"/>
      <c r="CL366" s="293"/>
      <c r="CM366" s="293"/>
      <c r="CN366" s="293"/>
      <c r="CO366" s="293"/>
      <c r="CP366" s="293"/>
      <c r="CQ366" s="293"/>
    </row>
    <row r="367" spans="1:95" ht="12.75" customHeight="1" thickBot="1" x14ac:dyDescent="0.3">
      <c r="A367" s="315"/>
      <c r="B367" s="76"/>
      <c r="C367" s="76"/>
      <c r="D367" s="205"/>
      <c r="E367" s="316"/>
      <c r="F367" s="76"/>
      <c r="G367" s="96"/>
      <c r="H367" s="96"/>
      <c r="I367" s="96"/>
      <c r="J367" s="96"/>
      <c r="K367" s="76"/>
      <c r="L367" s="96"/>
      <c r="M367" s="96"/>
      <c r="N367" s="96"/>
      <c r="O367" s="160"/>
      <c r="P367" s="109"/>
      <c r="Q367" s="312"/>
      <c r="R367" s="312"/>
      <c r="S367" s="287"/>
      <c r="T367" s="317" t="str">
        <f>IF(ISBLANK(E368),"",MATCH(E368,CNTR_SourceStreamNames,0))</f>
        <v/>
      </c>
      <c r="U367" s="318" t="str">
        <f>IF(ISBLANK(E368),"",INDEX(B_IdentifyFuelStreams!$D$67:$D$116,MATCH(E368,CNTR_SourceStreamNames,0)))</f>
        <v/>
      </c>
      <c r="V367" s="301"/>
      <c r="W367" s="138"/>
      <c r="X367" s="138"/>
      <c r="Y367" s="138"/>
      <c r="Z367" s="293"/>
      <c r="AA367" s="293"/>
      <c r="AB367" s="293"/>
      <c r="AC367" s="293"/>
      <c r="AD367" s="293"/>
      <c r="AE367" s="293"/>
      <c r="AF367" s="293"/>
      <c r="AG367" s="293"/>
      <c r="AH367" s="293"/>
      <c r="AI367" s="293"/>
      <c r="AJ367" s="293"/>
      <c r="AK367" s="312"/>
      <c r="AL367" s="293"/>
      <c r="AM367" s="293"/>
      <c r="AN367" s="293"/>
      <c r="AO367" s="293"/>
      <c r="AP367" s="293"/>
      <c r="AQ367" s="293"/>
      <c r="AR367" s="293"/>
      <c r="AS367" s="293"/>
      <c r="AT367" s="293"/>
      <c r="AU367" s="293"/>
      <c r="AV367" s="293"/>
      <c r="AW367" s="293"/>
      <c r="AX367" s="293"/>
      <c r="AY367" s="293"/>
      <c r="AZ367" s="293"/>
      <c r="BA367" s="293"/>
      <c r="BB367" s="293"/>
      <c r="BC367" s="293"/>
      <c r="BD367" s="293"/>
      <c r="BE367" s="293"/>
      <c r="BF367" s="293"/>
      <c r="BG367" s="293"/>
      <c r="BH367" s="293"/>
      <c r="BI367" s="293"/>
      <c r="BJ367" s="138"/>
      <c r="BK367" s="138"/>
      <c r="BL367" s="138"/>
      <c r="BM367" s="138"/>
      <c r="BN367" s="138"/>
      <c r="BO367" s="138"/>
      <c r="BP367" s="138"/>
      <c r="BQ367" s="138"/>
      <c r="BR367" s="138"/>
      <c r="BS367" s="138"/>
      <c r="BT367" s="138"/>
      <c r="BU367" s="138"/>
      <c r="BV367" s="138"/>
      <c r="BW367" s="138"/>
      <c r="BX367" s="138"/>
      <c r="BY367" s="138"/>
      <c r="BZ367" s="138"/>
      <c r="CA367" s="138"/>
      <c r="CB367" s="138"/>
      <c r="CC367" s="138"/>
      <c r="CD367" s="138"/>
      <c r="CE367" s="138"/>
      <c r="CF367" s="138"/>
      <c r="CG367" s="138"/>
      <c r="CH367" s="138"/>
      <c r="CI367" s="138"/>
      <c r="CJ367" s="138"/>
      <c r="CK367" s="138"/>
      <c r="CL367" s="138"/>
      <c r="CM367" s="138"/>
      <c r="CN367" s="138"/>
      <c r="CO367" s="138"/>
      <c r="CP367" s="138"/>
      <c r="CQ367" s="319" t="s">
        <v>107</v>
      </c>
    </row>
    <row r="368" spans="1:95" ht="15" customHeight="1" thickBot="1" x14ac:dyDescent="0.3">
      <c r="A368" s="320">
        <f>C368</f>
        <v>12</v>
      </c>
      <c r="B368" s="68"/>
      <c r="C368" s="321">
        <f>C340+1</f>
        <v>12</v>
      </c>
      <c r="D368" s="68"/>
      <c r="E368" s="1269"/>
      <c r="F368" s="1270"/>
      <c r="G368" s="1270"/>
      <c r="H368" s="1270"/>
      <c r="I368" s="1270"/>
      <c r="J368" s="1271"/>
      <c r="K368" s="1272" t="str">
        <f>IF(INDEX(B_IdentifyFuelStreams!$K$125:$K$174,MATCH(U367,B_IdentifyFuelStreams!$D$125:$D$174,0))&gt;0,INDEX(B_IdentifyFuelStreams!$K$125:$K$174,MATCH(U367,B_IdentifyFuelStreams!$D$125:$D$174,0)),"")</f>
        <v/>
      </c>
      <c r="L368" s="1273"/>
      <c r="M368" s="316" t="str">
        <f>Translations!$B$621</f>
        <v>Emissions:</v>
      </c>
      <c r="N368" s="322" t="str">
        <f>IF(E369="","",BG374)</f>
        <v/>
      </c>
      <c r="O368" s="323" t="str">
        <f>EUconst_tCO2</f>
        <v>tCO2</v>
      </c>
      <c r="P368" s="324" t="str">
        <f>IF(AND(E368&lt;&gt;"",COUNTIF(P369:$P$1649,"PRINT")=0),"PRINT","")</f>
        <v/>
      </c>
      <c r="Q368" s="325" t="str">
        <f>EUconst_SumCO2</f>
        <v>SUM_CO2</v>
      </c>
      <c r="R368" s="312"/>
      <c r="S368" s="287"/>
      <c r="T368" s="287"/>
      <c r="U368" s="287"/>
      <c r="V368" s="301"/>
      <c r="W368" s="138"/>
      <c r="X368" s="293"/>
      <c r="Y368" s="293"/>
      <c r="Z368" s="293"/>
      <c r="AA368" s="293"/>
      <c r="AB368" s="293"/>
      <c r="AC368" s="293"/>
      <c r="AD368" s="293"/>
      <c r="AE368" s="293"/>
      <c r="AF368" s="293"/>
      <c r="AG368" s="293"/>
      <c r="AH368" s="293"/>
      <c r="AI368" s="326"/>
      <c r="AJ368" s="326"/>
      <c r="AK368" s="326"/>
      <c r="AL368" s="326"/>
      <c r="AM368" s="326"/>
      <c r="AN368" s="326"/>
      <c r="AO368" s="326"/>
      <c r="AP368" s="326"/>
      <c r="AQ368" s="326"/>
      <c r="AR368" s="326"/>
      <c r="AS368" s="326"/>
      <c r="AT368" s="326"/>
      <c r="AU368" s="326"/>
      <c r="AV368" s="326"/>
      <c r="AW368" s="326"/>
      <c r="AX368" s="326"/>
      <c r="AY368" s="326"/>
      <c r="AZ368" s="326"/>
      <c r="BA368" s="326"/>
      <c r="BB368" s="326"/>
      <c r="BC368" s="326"/>
      <c r="BD368" s="326"/>
      <c r="BE368" s="326"/>
      <c r="BF368" s="326"/>
      <c r="BG368" s="326"/>
      <c r="BH368" s="326"/>
      <c r="BI368" s="327" t="str">
        <f>IF(E368="","",E368)</f>
        <v/>
      </c>
      <c r="BJ368" s="328" t="str">
        <f>IF(F374="","",F374)</f>
        <v/>
      </c>
      <c r="BK368" s="329">
        <f>AV374</f>
        <v>0</v>
      </c>
      <c r="BL368" s="329">
        <f>IF(BK368="","",BK368*(1-BP368))</f>
        <v>0</v>
      </c>
      <c r="BM368" s="328" t="str">
        <f>AJ374</f>
        <v/>
      </c>
      <c r="BN368" s="328" t="str">
        <f>IF(F385="","",F385)</f>
        <v/>
      </c>
      <c r="BO368" s="327" t="str">
        <f>IF(G385="","",G385)</f>
        <v/>
      </c>
      <c r="BP368" s="330">
        <f>AV385</f>
        <v>0</v>
      </c>
      <c r="BQ368" s="328" t="str">
        <f>IF(F377="","",F377)</f>
        <v/>
      </c>
      <c r="BR368" s="330">
        <f>AV377</f>
        <v>0</v>
      </c>
      <c r="BS368" s="330" t="str">
        <f>AJ377</f>
        <v/>
      </c>
      <c r="BT368" s="328" t="str">
        <f>IF(F376="","",F376)</f>
        <v/>
      </c>
      <c r="BU368" s="330">
        <f>IF(F376=EUconst_NA,"",AV376)</f>
        <v>0</v>
      </c>
      <c r="BV368" s="330" t="str">
        <f>AJ376</f>
        <v/>
      </c>
      <c r="BW368" s="328" t="str">
        <f>IF(F378="","",F378)</f>
        <v/>
      </c>
      <c r="BX368" s="330">
        <f>AV378</f>
        <v>0</v>
      </c>
      <c r="BY368" s="328" t="str">
        <f>IF(F379="","",F379)</f>
        <v/>
      </c>
      <c r="BZ368" s="330">
        <f>AV379</f>
        <v>0</v>
      </c>
      <c r="CA368" s="330">
        <f>AV380</f>
        <v>0</v>
      </c>
      <c r="CB368" s="330">
        <f>AV381</f>
        <v>0</v>
      </c>
      <c r="CC368" s="330">
        <f>AV382</f>
        <v>0</v>
      </c>
      <c r="CD368" s="330">
        <f>AV383</f>
        <v>0</v>
      </c>
      <c r="CE368" s="329" t="str">
        <f>BG374</f>
        <v/>
      </c>
      <c r="CF368" s="329" t="str">
        <f>BG376</f>
        <v/>
      </c>
      <c r="CG368" s="329" t="str">
        <f>BG377</f>
        <v/>
      </c>
      <c r="CH368" s="329" t="str">
        <f>BG378</f>
        <v/>
      </c>
      <c r="CI368" s="329" t="str">
        <f>BG379</f>
        <v/>
      </c>
      <c r="CJ368" s="329" t="str">
        <f>BG380</f>
        <v/>
      </c>
      <c r="CK368" s="329" t="str">
        <f>BG381</f>
        <v/>
      </c>
      <c r="CL368" s="329">
        <f>BG382</f>
        <v>0</v>
      </c>
      <c r="CM368" s="329" t="str">
        <f>BG383</f>
        <v/>
      </c>
      <c r="CN368" s="329" t="str">
        <f>BG385</f>
        <v/>
      </c>
      <c r="CO368" s="329" t="str">
        <f>BG389</f>
        <v/>
      </c>
      <c r="CP368" s="329" t="str">
        <f>IF(COUNTIF(AO377:AO378,TRUE)=0,"",BH374)</f>
        <v/>
      </c>
      <c r="CQ368" s="331" t="b">
        <v>0</v>
      </c>
    </row>
    <row r="369" spans="1:95" ht="15" customHeight="1" thickBot="1" x14ac:dyDescent="0.3">
      <c r="A369" s="307"/>
      <c r="B369" s="68"/>
      <c r="C369" s="68"/>
      <c r="D369" s="68"/>
      <c r="E369" s="1274" t="str">
        <f>IF(ISBLANK(E368),"",IF(INDEX(B_IdentifyFuelStreams!$E$67:$E$116,MATCH(U367,B_IdentifyFuelStreams!$D$67:$D$116,0))&gt;0,INDEX(B_IdentifyFuelStreams!$E$67:$E$116,MATCH(U367,B_IdentifyFuelStreams!$D$67:$D$116,0)),""))</f>
        <v/>
      </c>
      <c r="F369" s="1275"/>
      <c r="G369" s="1275"/>
      <c r="H369" s="1275"/>
      <c r="I369" s="1275"/>
      <c r="J369" s="1276"/>
      <c r="K369" s="1272" t="str">
        <f>IF(INDEX(B_IdentifyFuelStreams!$M$125:$M$174,MATCH(U367,B_IdentifyFuelStreams!$D$125:$D$174,0))&gt;0,INDEX(B_IdentifyFuelStreams!$M$125:$M$174,MATCH(U367,B_IdentifyFuelStreams!$D$125:$D$174,0)),"")</f>
        <v/>
      </c>
      <c r="L369" s="1273"/>
      <c r="M369" s="332" t="str">
        <f>Translations!$B$622</f>
        <v>zero-rated:</v>
      </c>
      <c r="N369" s="333" t="str">
        <f>IF(E369="","",SUM(BG376,BG378,BG380))</f>
        <v/>
      </c>
      <c r="O369" s="334" t="str">
        <f>EUconst_tCO2</f>
        <v>tCO2</v>
      </c>
      <c r="P369" s="109"/>
      <c r="Q369" s="325" t="str">
        <f>EUconst_SumBioCO2</f>
        <v>SUM_bioCO2</v>
      </c>
      <c r="R369" s="312"/>
      <c r="S369" s="287"/>
      <c r="T369" s="287"/>
      <c r="U369" s="287"/>
      <c r="V369" s="301"/>
      <c r="W369" s="138"/>
      <c r="X369" s="293"/>
      <c r="Y369" s="317" t="str">
        <f>Translations!$B$143</f>
        <v>Tiers</v>
      </c>
      <c r="Z369" s="314"/>
      <c r="AA369" s="314"/>
      <c r="AB369" s="314"/>
      <c r="AC369" s="314"/>
      <c r="AD369" s="314"/>
      <c r="AE369" s="317" t="s">
        <v>108</v>
      </c>
      <c r="AF369" s="293"/>
      <c r="AG369" s="335"/>
      <c r="AH369" s="314"/>
      <c r="AI369" s="314"/>
      <c r="AJ369" s="335"/>
      <c r="AK369" s="335"/>
      <c r="AL369" s="326"/>
      <c r="AM369" s="326"/>
      <c r="AN369" s="326"/>
      <c r="AO369" s="326"/>
      <c r="AP369" s="326"/>
      <c r="AQ369" s="317" t="s">
        <v>109</v>
      </c>
      <c r="AR369" s="336"/>
      <c r="AS369" s="336"/>
      <c r="AT369" s="314"/>
      <c r="AU369" s="314"/>
      <c r="AV369" s="314"/>
      <c r="AW369" s="314"/>
      <c r="AX369" s="314"/>
      <c r="AY369" s="314"/>
      <c r="AZ369" s="317" t="s">
        <v>110</v>
      </c>
      <c r="BA369" s="314"/>
      <c r="BB369" s="314"/>
      <c r="BC369" s="314"/>
      <c r="BD369" s="314"/>
      <c r="BE369" s="314"/>
      <c r="BF369" s="317" t="s">
        <v>111</v>
      </c>
      <c r="BG369" s="314"/>
      <c r="BH369" s="314"/>
      <c r="BI369" s="317" t="s">
        <v>112</v>
      </c>
      <c r="BJ369" s="328" t="str">
        <f>Translations!$B$376</f>
        <v>RFA Tier</v>
      </c>
      <c r="BK369" s="328" t="str">
        <f>Translations!$B$377</f>
        <v>RFA</v>
      </c>
      <c r="BL369" s="328" t="str">
        <f>Translations!$B$378</f>
        <v>RFA (in scope)</v>
      </c>
      <c r="BM369" s="328" t="str">
        <f>Translations!$B$379</f>
        <v>RFA Unit</v>
      </c>
      <c r="BN369" s="328" t="str">
        <f>Translations!$B$380</f>
        <v>SF Tier</v>
      </c>
      <c r="BO369" s="328" t="str">
        <f>Translations!$B$380</f>
        <v>SF Tier</v>
      </c>
      <c r="BP369" s="328" t="str">
        <f>Translations!$B$381</f>
        <v>SF</v>
      </c>
      <c r="BQ369" s="328" t="str">
        <f>Translations!$B$382</f>
        <v>EF Tier</v>
      </c>
      <c r="BR369" s="328" t="str">
        <f>Translations!$B$383</f>
        <v>EF</v>
      </c>
      <c r="BS369" s="328" t="str">
        <f>Translations!$B$384</f>
        <v>EF Unit</v>
      </c>
      <c r="BT369" s="328" t="str">
        <f>Translations!$B$385</f>
        <v>UCF Tier</v>
      </c>
      <c r="BU369" s="328" t="str">
        <f>Translations!$B$386</f>
        <v>UCF</v>
      </c>
      <c r="BV369" s="328" t="str">
        <f>Translations!$B$387</f>
        <v>UCF Unit</v>
      </c>
      <c r="BW369" s="328" t="str">
        <f>Translations!$B$388</f>
        <v>Bio Tier</v>
      </c>
      <c r="BX369" s="328" t="s">
        <v>113</v>
      </c>
      <c r="BY369" s="328" t="str">
        <f>Translations!$B$389</f>
        <v>NonSustBio Tier</v>
      </c>
      <c r="BZ369" s="328" t="s">
        <v>114</v>
      </c>
      <c r="CA369" s="328" t="s">
        <v>115</v>
      </c>
      <c r="CB369" s="328" t="s">
        <v>116</v>
      </c>
      <c r="CC369" s="328" t="s">
        <v>117</v>
      </c>
      <c r="CD369" s="328" t="s">
        <v>118</v>
      </c>
      <c r="CE369" s="328" t="s">
        <v>119</v>
      </c>
      <c r="CF369" s="328" t="s">
        <v>120</v>
      </c>
      <c r="CG369" s="328" t="str">
        <f>Translations!$B$392</f>
        <v>CO2 non-sust</v>
      </c>
      <c r="CH369" s="328" t="s">
        <v>121</v>
      </c>
      <c r="CI369" s="328" t="s">
        <v>122</v>
      </c>
      <c r="CJ369" s="328" t="s">
        <v>123</v>
      </c>
      <c r="CK369" s="328" t="s">
        <v>124</v>
      </c>
      <c r="CL369" s="328" t="s">
        <v>125</v>
      </c>
      <c r="CM369" s="328" t="str">
        <f>Translations!$B$551</f>
        <v>Energy content (bio), TJ</v>
      </c>
      <c r="CN369" s="328" t="s">
        <v>126</v>
      </c>
      <c r="CO369" s="328" t="s">
        <v>127</v>
      </c>
      <c r="CP369" s="328" t="s">
        <v>128</v>
      </c>
      <c r="CQ369" s="314"/>
    </row>
    <row r="370" spans="1:95" ht="5.15" customHeight="1" thickBot="1" x14ac:dyDescent="0.3">
      <c r="A370" s="307"/>
      <c r="B370" s="68"/>
      <c r="C370" s="68"/>
      <c r="D370" s="68"/>
      <c r="E370" s="68"/>
      <c r="F370" s="68"/>
      <c r="G370" s="68"/>
      <c r="H370" s="76"/>
      <c r="I370" s="76"/>
      <c r="J370" s="76"/>
      <c r="K370" s="76"/>
      <c r="L370" s="76"/>
      <c r="M370" s="76"/>
      <c r="N370" s="76"/>
      <c r="O370" s="160"/>
      <c r="P370" s="109"/>
      <c r="Q370" s="312"/>
      <c r="R370" s="312"/>
      <c r="S370" s="287"/>
      <c r="T370" s="287"/>
      <c r="U370" s="287"/>
      <c r="V370" s="301"/>
      <c r="W370" s="314"/>
      <c r="X370" s="314"/>
      <c r="Y370" s="312"/>
      <c r="Z370" s="314"/>
      <c r="AA370" s="314"/>
      <c r="AB370" s="314"/>
      <c r="AC370" s="314"/>
      <c r="AD370" s="314"/>
      <c r="AE370" s="314"/>
      <c r="AF370" s="293"/>
      <c r="AG370" s="314"/>
      <c r="AH370" s="314"/>
      <c r="AI370" s="314"/>
      <c r="AJ370" s="335"/>
      <c r="AK370" s="335"/>
      <c r="AL370" s="326"/>
      <c r="AM370" s="326"/>
      <c r="AN370" s="326"/>
      <c r="AO370" s="326"/>
      <c r="AP370" s="326"/>
      <c r="AQ370" s="314"/>
      <c r="AR370" s="314"/>
      <c r="AS370" s="314"/>
      <c r="AT370" s="314"/>
      <c r="AU370" s="314"/>
      <c r="AV370" s="314"/>
      <c r="AW370" s="314"/>
      <c r="AX370" s="314"/>
      <c r="AY370" s="314"/>
      <c r="AZ370" s="314"/>
      <c r="BA370" s="314"/>
      <c r="BB370" s="314"/>
      <c r="BC370" s="314"/>
      <c r="BD370" s="314"/>
      <c r="BE370" s="314"/>
      <c r="BF370" s="314"/>
      <c r="BG370" s="314"/>
      <c r="BH370" s="314"/>
      <c r="BI370" s="314"/>
      <c r="BJ370" s="314"/>
      <c r="BK370" s="314"/>
      <c r="BL370" s="314"/>
      <c r="BM370" s="314"/>
      <c r="BN370" s="314"/>
      <c r="BO370" s="314"/>
      <c r="BP370" s="314"/>
      <c r="BQ370" s="314"/>
      <c r="BR370" s="314"/>
      <c r="BS370" s="314"/>
      <c r="BT370" s="314"/>
      <c r="BU370" s="314"/>
      <c r="BV370" s="314"/>
      <c r="BW370" s="314"/>
      <c r="BX370" s="314"/>
      <c r="BY370" s="314"/>
      <c r="BZ370" s="314"/>
      <c r="CA370" s="314"/>
      <c r="CB370" s="314"/>
      <c r="CC370" s="314"/>
      <c r="CD370" s="314"/>
      <c r="CE370" s="314"/>
      <c r="CF370" s="314"/>
      <c r="CG370" s="314"/>
      <c r="CH370" s="314"/>
      <c r="CI370" s="314"/>
      <c r="CJ370" s="314"/>
      <c r="CK370" s="314"/>
      <c r="CL370" s="314"/>
      <c r="CM370" s="314"/>
      <c r="CN370" s="314"/>
      <c r="CO370" s="314"/>
      <c r="CP370" s="314"/>
      <c r="CQ370" s="314"/>
    </row>
    <row r="371" spans="1:95" ht="12.75" customHeight="1" thickBot="1" x14ac:dyDescent="0.3">
      <c r="A371" s="307"/>
      <c r="B371" s="68"/>
      <c r="C371" s="68"/>
      <c r="D371" s="68"/>
      <c r="E371" s="1253" t="str">
        <f>IF(E368="","",HYPERLINK("#JUMP_E_Top",EUconst_FurtherGuidancePoint1))</f>
        <v/>
      </c>
      <c r="F371" s="1253"/>
      <c r="G371" s="1253"/>
      <c r="H371" s="1253"/>
      <c r="I371" s="1253"/>
      <c r="J371" s="1253"/>
      <c r="K371" s="1253"/>
      <c r="L371" s="1253"/>
      <c r="M371" s="1253"/>
      <c r="N371" s="76"/>
      <c r="O371" s="160"/>
      <c r="P371" s="109"/>
      <c r="Q371" s="325" t="str">
        <f>EUconst_SumNonSustBioCO2</f>
        <v>SUM_bioNonSustCO2</v>
      </c>
      <c r="R371" s="337" t="str">
        <f>IF(E369="","",BG377)</f>
        <v/>
      </c>
      <c r="S371" s="287"/>
      <c r="T371" s="287"/>
      <c r="U371" s="287"/>
      <c r="V371" s="314"/>
      <c r="W371" s="314"/>
      <c r="X371" s="314"/>
      <c r="Y371" s="293"/>
      <c r="Z371" s="314"/>
      <c r="AA371" s="314"/>
      <c r="AB371" s="314"/>
      <c r="AC371" s="314"/>
      <c r="AD371" s="314"/>
      <c r="AE371" s="314"/>
      <c r="AF371" s="293"/>
      <c r="AG371" s="314"/>
      <c r="AH371" s="314"/>
      <c r="AI371" s="314"/>
      <c r="AJ371" s="335"/>
      <c r="AK371" s="335"/>
      <c r="AL371" s="326"/>
      <c r="AM371" s="326"/>
      <c r="AN371" s="326"/>
      <c r="AO371" s="326"/>
      <c r="AP371" s="326"/>
      <c r="AQ371" s="314"/>
      <c r="AR371" s="314"/>
      <c r="AS371" s="314"/>
      <c r="AT371" s="314"/>
      <c r="AU371" s="314"/>
      <c r="AV371" s="314"/>
      <c r="AW371" s="314"/>
      <c r="AX371" s="314"/>
      <c r="AY371" s="314"/>
      <c r="AZ371" s="314"/>
      <c r="BA371" s="314"/>
      <c r="BB371" s="314"/>
      <c r="BC371" s="314"/>
      <c r="BD371" s="314"/>
      <c r="BE371" s="314"/>
      <c r="BF371" s="314"/>
      <c r="BG371" s="314"/>
      <c r="BH371" s="314"/>
      <c r="BI371" s="317" t="s">
        <v>129</v>
      </c>
      <c r="BJ371" s="336"/>
      <c r="BK371" s="327" t="str">
        <f>IF(G389="","",G389)</f>
        <v/>
      </c>
      <c r="BL371" s="327" t="str">
        <f>IF(I389="","",I389)</f>
        <v/>
      </c>
      <c r="BM371" s="327" t="str">
        <f>IF(K389="","",K389)</f>
        <v/>
      </c>
      <c r="BN371" s="314"/>
      <c r="BO371" s="314"/>
      <c r="BP371" s="314"/>
      <c r="BQ371" s="314"/>
      <c r="BR371" s="314"/>
      <c r="BS371" s="314"/>
      <c r="BT371" s="319"/>
      <c r="BU371" s="314"/>
      <c r="BV371" s="314"/>
      <c r="BW371" s="314"/>
      <c r="BX371" s="314"/>
      <c r="BY371" s="314"/>
      <c r="BZ371" s="314"/>
      <c r="CA371" s="314"/>
      <c r="CB371" s="314"/>
      <c r="CC371" s="314"/>
      <c r="CD371" s="314"/>
      <c r="CE371" s="314"/>
      <c r="CF371" s="314"/>
      <c r="CG371" s="314"/>
      <c r="CH371" s="314"/>
      <c r="CI371" s="314"/>
      <c r="CJ371" s="314"/>
      <c r="CK371" s="314"/>
      <c r="CL371" s="314"/>
      <c r="CM371" s="314"/>
      <c r="CN371" s="314"/>
      <c r="CO371" s="314"/>
      <c r="CP371" s="314"/>
      <c r="CQ371" s="314"/>
    </row>
    <row r="372" spans="1:95" ht="5.15" customHeight="1" thickBot="1" x14ac:dyDescent="0.3">
      <c r="A372" s="307"/>
      <c r="B372" s="68"/>
      <c r="C372" s="68"/>
      <c r="D372" s="68"/>
      <c r="E372" s="68"/>
      <c r="F372" s="68"/>
      <c r="G372" s="68"/>
      <c r="H372" s="76"/>
      <c r="I372" s="76"/>
      <c r="J372" s="76"/>
      <c r="K372" s="76"/>
      <c r="L372" s="76"/>
      <c r="M372" s="76"/>
      <c r="N372" s="76"/>
      <c r="O372" s="160"/>
      <c r="P372" s="111"/>
      <c r="Q372" s="287"/>
      <c r="R372" s="111"/>
      <c r="S372" s="287"/>
      <c r="T372" s="287"/>
      <c r="U372" s="287"/>
      <c r="V372" s="314"/>
      <c r="W372" s="314"/>
      <c r="X372" s="314"/>
      <c r="Y372" s="312"/>
      <c r="Z372" s="314"/>
      <c r="AA372" s="314"/>
      <c r="AB372" s="314"/>
      <c r="AC372" s="314"/>
      <c r="AD372" s="314"/>
      <c r="AE372" s="314"/>
      <c r="AF372" s="293"/>
      <c r="AG372" s="314"/>
      <c r="AH372" s="314"/>
      <c r="AI372" s="314"/>
      <c r="AJ372" s="335"/>
      <c r="AK372" s="335"/>
      <c r="AL372" s="326"/>
      <c r="AM372" s="326"/>
      <c r="AN372" s="326"/>
      <c r="AO372" s="326"/>
      <c r="AP372" s="326"/>
      <c r="AQ372" s="314"/>
      <c r="AR372" s="314"/>
      <c r="AS372" s="314"/>
      <c r="AT372" s="314"/>
      <c r="AU372" s="314"/>
      <c r="AV372" s="314"/>
      <c r="AW372" s="314"/>
      <c r="AX372" s="314"/>
      <c r="AY372" s="314"/>
      <c r="AZ372" s="314"/>
      <c r="BA372" s="314"/>
      <c r="BB372" s="314"/>
      <c r="BC372" s="314"/>
      <c r="BD372" s="314"/>
      <c r="BE372" s="314"/>
      <c r="BF372" s="314"/>
      <c r="BG372" s="314"/>
      <c r="BH372" s="314"/>
      <c r="BI372" s="314"/>
      <c r="BJ372" s="314"/>
      <c r="BK372" s="314"/>
      <c r="BL372" s="314"/>
      <c r="BM372" s="314"/>
      <c r="BN372" s="314"/>
      <c r="BO372" s="314"/>
      <c r="BP372" s="314"/>
      <c r="BQ372" s="314"/>
      <c r="BR372" s="314"/>
      <c r="BS372" s="314"/>
      <c r="BT372" s="314"/>
      <c r="BU372" s="314"/>
      <c r="BV372" s="314"/>
      <c r="BW372" s="314"/>
      <c r="BX372" s="314"/>
      <c r="BY372" s="314"/>
      <c r="BZ372" s="314"/>
      <c r="CA372" s="314"/>
      <c r="CB372" s="314"/>
      <c r="CC372" s="314"/>
      <c r="CD372" s="314"/>
      <c r="CE372" s="314"/>
      <c r="CF372" s="314"/>
      <c r="CG372" s="314"/>
      <c r="CH372" s="314"/>
      <c r="CI372" s="314"/>
      <c r="CJ372" s="314"/>
      <c r="CK372" s="314"/>
      <c r="CL372" s="314"/>
      <c r="CM372" s="314"/>
      <c r="CN372" s="314"/>
      <c r="CO372" s="314"/>
      <c r="CP372" s="314"/>
      <c r="CQ372" s="314"/>
    </row>
    <row r="373" spans="1:95" ht="12.75" customHeight="1" thickBot="1" x14ac:dyDescent="0.3">
      <c r="A373" s="307"/>
      <c r="B373" s="68"/>
      <c r="C373" s="68"/>
      <c r="D373" s="68"/>
      <c r="E373" s="68"/>
      <c r="F373" s="338" t="str">
        <f>Translations!$B$127</f>
        <v>Tier</v>
      </c>
      <c r="G373" s="1254" t="str">
        <f>Translations!$B$393</f>
        <v>tier description</v>
      </c>
      <c r="H373" s="1254"/>
      <c r="I373" s="1255" t="str">
        <f>Translations!$B$394</f>
        <v>Unit</v>
      </c>
      <c r="J373" s="1255"/>
      <c r="K373" s="1255" t="str">
        <f>Translations!$B$395</f>
        <v>Value</v>
      </c>
      <c r="L373" s="1255"/>
      <c r="M373" s="205" t="str">
        <f>Translations!$B$396</f>
        <v>error</v>
      </c>
      <c r="N373" s="76"/>
      <c r="O373" s="160"/>
      <c r="P373" s="339"/>
      <c r="Q373" s="325" t="str">
        <f>EUconst_SumEnergyIN</f>
        <v>SUM_EnergyIN</v>
      </c>
      <c r="R373" s="340" t="str">
        <f>IF(E369="","",BG382)</f>
        <v/>
      </c>
      <c r="S373" s="314"/>
      <c r="T373" s="314"/>
      <c r="U373" s="314"/>
      <c r="V373" s="341" t="s">
        <v>130</v>
      </c>
      <c r="W373" s="314"/>
      <c r="X373" s="314"/>
      <c r="Y373" s="312" t="s">
        <v>131</v>
      </c>
      <c r="Z373" s="312" t="s">
        <v>132</v>
      </c>
      <c r="AA373" s="314"/>
      <c r="AB373" s="314"/>
      <c r="AC373" s="336" t="s">
        <v>133</v>
      </c>
      <c r="AD373" s="314"/>
      <c r="AE373" s="314"/>
      <c r="AF373" s="314" t="s">
        <v>134</v>
      </c>
      <c r="AG373" s="314" t="s">
        <v>135</v>
      </c>
      <c r="AH373" s="312" t="s">
        <v>136</v>
      </c>
      <c r="AI373" s="335" t="s">
        <v>137</v>
      </c>
      <c r="AJ373" s="335" t="s">
        <v>138</v>
      </c>
      <c r="AK373" s="342" t="s">
        <v>139</v>
      </c>
      <c r="AL373" s="326"/>
      <c r="AM373" s="326"/>
      <c r="AN373" s="326"/>
      <c r="AO373" s="326"/>
      <c r="AP373" s="326"/>
      <c r="AQ373" s="314"/>
      <c r="AR373" s="314" t="s">
        <v>134</v>
      </c>
      <c r="AS373" s="314" t="s">
        <v>135</v>
      </c>
      <c r="AT373" s="343" t="s">
        <v>140</v>
      </c>
      <c r="AU373" s="335" t="s">
        <v>141</v>
      </c>
      <c r="AV373" s="335" t="s">
        <v>142</v>
      </c>
      <c r="AW373" s="342" t="s">
        <v>139</v>
      </c>
      <c r="AX373" s="342" t="s">
        <v>139</v>
      </c>
      <c r="AY373" s="314"/>
      <c r="AZ373" s="314"/>
      <c r="BA373" s="314"/>
      <c r="BB373" s="314" t="s">
        <v>143</v>
      </c>
      <c r="BC373" s="314"/>
      <c r="BD373" s="314"/>
      <c r="BE373" s="314"/>
      <c r="BF373" s="314"/>
      <c r="BG373" s="319" t="s">
        <v>144</v>
      </c>
      <c r="BH373" s="314" t="s">
        <v>145</v>
      </c>
      <c r="BI373" s="314"/>
      <c r="BJ373" s="314"/>
      <c r="BK373" s="314"/>
      <c r="BL373" s="314"/>
      <c r="BM373" s="314"/>
      <c r="BN373" s="314"/>
      <c r="BO373" s="314"/>
      <c r="BP373" s="314"/>
      <c r="BQ373" s="314"/>
      <c r="BR373" s="314"/>
      <c r="BS373" s="314"/>
      <c r="BT373" s="314"/>
      <c r="BU373" s="314"/>
      <c r="BV373" s="314"/>
      <c r="BW373" s="314"/>
      <c r="BX373" s="314"/>
      <c r="BY373" s="314"/>
      <c r="BZ373" s="314"/>
      <c r="CA373" s="314"/>
      <c r="CB373" s="314"/>
      <c r="CC373" s="314"/>
      <c r="CD373" s="314"/>
      <c r="CE373" s="314"/>
      <c r="CF373" s="314"/>
      <c r="CG373" s="314"/>
      <c r="CH373" s="314"/>
      <c r="CI373" s="314"/>
      <c r="CJ373" s="314"/>
      <c r="CK373" s="314"/>
      <c r="CL373" s="314"/>
      <c r="CM373" s="314"/>
      <c r="CN373" s="314"/>
      <c r="CO373" s="314"/>
      <c r="CP373" s="314"/>
      <c r="CQ373" s="319" t="s">
        <v>107</v>
      </c>
    </row>
    <row r="374" spans="1:95" ht="12.75" customHeight="1" thickBot="1" x14ac:dyDescent="0.3">
      <c r="A374" s="307"/>
      <c r="B374" s="68"/>
      <c r="C374" s="199" t="s">
        <v>12</v>
      </c>
      <c r="D374" s="344" t="str">
        <f>Translations!$B$356</f>
        <v>RFA:</v>
      </c>
      <c r="E374" s="345"/>
      <c r="F374" s="6"/>
      <c r="G374" s="1256" t="str">
        <f>IF(OR(ISBLANK(F374),F374=EUconst_NoTier),"",IF(Z374=0,EUconst_NA,IF(ISERROR(Z374),"",Z374)))</f>
        <v/>
      </c>
      <c r="H374" s="1257"/>
      <c r="I374" s="346" t="str">
        <f>IF(J374&lt;&gt;"","",AI374)</f>
        <v/>
      </c>
      <c r="J374" s="7"/>
      <c r="K374" s="1258"/>
      <c r="L374" s="1259"/>
      <c r="M374" s="347" t="str">
        <f>IF(AND(E369&lt;&gt;"",OR(F374="",COUNT(K374)=0),Y374&lt;&gt;EUconst_NA),EUconst_ERR_Incomplete,"")</f>
        <v/>
      </c>
      <c r="N374" s="76"/>
      <c r="O374" s="160"/>
      <c r="P374" s="348"/>
      <c r="Q374" s="325" t="str">
        <f>EUconst_SumBioEnergyIN</f>
        <v>SUM_BioEnergyIN</v>
      </c>
      <c r="R374" s="340" t="str">
        <f>IF(E369="","",BG383)</f>
        <v/>
      </c>
      <c r="S374" s="314"/>
      <c r="T374" s="349" t="str">
        <f>EUconst_CNTR_ActivityData&amp;E369</f>
        <v>ActivityData_</v>
      </c>
      <c r="U374" s="312"/>
      <c r="V374" s="349" t="str">
        <f>IF(E368="","",INDEX(B_IdentifyFuelStreams!$I$67:$I$116,MATCH(U367,B_IdentifyFuelStreams!$D$67:$D$116,0)))</f>
        <v/>
      </c>
      <c r="W374" s="335" t="s">
        <v>146</v>
      </c>
      <c r="X374" s="312"/>
      <c r="Y374" s="350" t="str">
        <f>IF(E369="","",INDEX(EUwideConstants!$P$164:$P$200,MATCH(T374,EUwideConstants!$S$164:$S$200,0)))</f>
        <v/>
      </c>
      <c r="Z374" s="351" t="str">
        <f>IF(ISBLANK(F374),"",IF(F374=EUconst_NA,"",INDEX(EUwideConstants!$H:$O,MATCH(T374,EUwideConstants!$S:$S,0),MATCH(F374,CNTR_TierList,0))))</f>
        <v/>
      </c>
      <c r="AA374" s="352" t="s">
        <v>136</v>
      </c>
      <c r="AB374" s="335"/>
      <c r="AC374" s="331" t="b">
        <f>E368&lt;&gt;""</f>
        <v>0</v>
      </c>
      <c r="AD374" s="314"/>
      <c r="AE374" s="353" t="str">
        <f>EUconst_CNTR_ActivityData&amp;EUconst_Unit</f>
        <v>ActivityData_Unit</v>
      </c>
      <c r="AF374" s="354" t="str">
        <f>IF(AC374=TRUE, IF(COUNTIF(MSPara_SourceStreamCategory,V374)=0,"",INDEX(MSPara_CalcFactorsMatrix,MATCH(V374,MSPara_SourceStreamCategory,0),MATCH(AE374&amp;"_"&amp;2,MSPara_CalcFactors,0))),"")</f>
        <v/>
      </c>
      <c r="AG374" s="355" t="str">
        <f>IF(AC374=TRUE, IF(COUNTIF(MSPara_SourceStreamCategory,V374)=0,"",INDEX(MSPara_CalcFactorsMatrix,MATCH(V374,MSPara_SourceStreamCategory,0),MATCH(AE374&amp;"_"&amp;1,MSPara_CalcFactors,0))),"")</f>
        <v/>
      </c>
      <c r="AH374" s="331" t="str">
        <f>IF(OR(AF374="",AF374=EUconst_NA),IF(OR(AG374=EUconst_NA,AG374=""),"",AG374),AF374)</f>
        <v/>
      </c>
      <c r="AI374" s="350" t="str">
        <f>IF(AC374=TRUE,IF(AH374="",EUconst_t,AH374),"")</f>
        <v/>
      </c>
      <c r="AJ374" s="356" t="str">
        <f>IF(J374="",AI374,J374)</f>
        <v/>
      </c>
      <c r="AK374" s="357" t="b">
        <f>AND(E368&lt;&gt;"",J374&lt;&gt;"")</f>
        <v>0</v>
      </c>
      <c r="AL374" s="326"/>
      <c r="AM374" s="358" t="s">
        <v>147</v>
      </c>
      <c r="AN374" s="359" t="str">
        <f>AJ374</f>
        <v/>
      </c>
      <c r="AO374" s="326"/>
      <c r="AP374" s="326"/>
      <c r="AQ374" s="349" t="str">
        <f>EUconst_CNTR_ActivityData&amp;EUconst_Value</f>
        <v>ActivityData_Value</v>
      </c>
      <c r="AR374" s="336"/>
      <c r="AS374" s="336"/>
      <c r="AT374" s="331" t="b">
        <f>AND(AND(AH374&lt;&gt;"",AJ374&lt;&gt;""),AJ374=AH374)</f>
        <v>0</v>
      </c>
      <c r="AU374" s="314"/>
      <c r="AV374" s="331">
        <f>IF(Y374=EUconst_NA,0,IF(COUNT(K374:K374)=0,0,IF(K374="",#REF!,K374)))</f>
        <v>0</v>
      </c>
      <c r="AW374" s="360" t="b">
        <f>AND(AC374=TRUE,OR(K374&lt;&gt;"",AU374=""))</f>
        <v>0</v>
      </c>
      <c r="AX374" s="360" t="b">
        <f>AND(AC374=TRUE,NOT(AW374))</f>
        <v>0</v>
      </c>
      <c r="AY374" s="314"/>
      <c r="AZ374" s="314" t="s">
        <v>148</v>
      </c>
      <c r="BA374" s="314" t="s">
        <v>149</v>
      </c>
      <c r="BB374" s="360"/>
      <c r="BC374" s="314" t="s">
        <v>150</v>
      </c>
      <c r="BD374" s="314"/>
      <c r="BE374" s="314"/>
      <c r="BF374" s="361" t="s">
        <v>119</v>
      </c>
      <c r="BG374" s="362" t="str">
        <f>IF(COUNTIF(AO377:AO378,TRUE)=0,"",BH374*AV385)</f>
        <v/>
      </c>
      <c r="BH374" s="362" t="str">
        <f>IF(COUNTIF(AO377:AO378,TRUE)=0,"",AV374*IF(AO377,1,AV376*AN378)*AV377-BH376-BH378-BH380)</f>
        <v/>
      </c>
      <c r="BI374" s="314"/>
      <c r="BJ374" s="314"/>
      <c r="BK374" s="314"/>
      <c r="BL374" s="314"/>
      <c r="BM374" s="314"/>
      <c r="BN374" s="314"/>
      <c r="BO374" s="314"/>
      <c r="BP374" s="314"/>
      <c r="BQ374" s="314"/>
      <c r="BR374" s="314"/>
      <c r="BS374" s="314"/>
      <c r="BT374" s="314"/>
      <c r="BU374" s="314"/>
      <c r="BV374" s="314"/>
      <c r="BW374" s="314"/>
      <c r="BX374" s="314"/>
      <c r="BY374" s="314"/>
      <c r="BZ374" s="314"/>
      <c r="CA374" s="314"/>
      <c r="CB374" s="314"/>
      <c r="CC374" s="314"/>
      <c r="CD374" s="314"/>
      <c r="CE374" s="314"/>
      <c r="CF374" s="314"/>
      <c r="CG374" s="314"/>
      <c r="CH374" s="314"/>
      <c r="CI374" s="314"/>
      <c r="CJ374" s="314"/>
      <c r="CK374" s="314"/>
      <c r="CL374" s="314"/>
      <c r="CM374" s="314"/>
      <c r="CN374" s="314"/>
      <c r="CO374" s="314"/>
      <c r="CP374" s="314"/>
      <c r="CQ374" s="360" t="b">
        <v>0</v>
      </c>
    </row>
    <row r="375" spans="1:95" ht="5.15" customHeight="1" thickBot="1" x14ac:dyDescent="0.3">
      <c r="A375" s="307"/>
      <c r="B375" s="68"/>
      <c r="C375" s="199"/>
      <c r="D375" s="202"/>
      <c r="E375" s="76"/>
      <c r="F375" s="76"/>
      <c r="G375" s="76"/>
      <c r="H375" s="76" t="str">
        <f>Translations!$B$397</f>
        <v xml:space="preserve"> </v>
      </c>
      <c r="I375" s="162"/>
      <c r="J375" s="162"/>
      <c r="K375" s="76"/>
      <c r="L375" s="76"/>
      <c r="M375" s="363"/>
      <c r="N375" s="76"/>
      <c r="O375" s="160"/>
      <c r="P375" s="109"/>
      <c r="Q375" s="312"/>
      <c r="R375" s="312"/>
      <c r="S375" s="314"/>
      <c r="T375" s="62"/>
      <c r="U375" s="312"/>
      <c r="V375" s="314"/>
      <c r="W375" s="314"/>
      <c r="X375" s="312"/>
      <c r="Y375" s="319"/>
      <c r="Z375" s="314"/>
      <c r="AA375" s="314"/>
      <c r="AB375" s="314"/>
      <c r="AC375" s="314"/>
      <c r="AD375" s="314"/>
      <c r="AE375" s="314"/>
      <c r="AF375" s="314"/>
      <c r="AG375" s="314"/>
      <c r="AH375" s="314"/>
      <c r="AI375" s="314"/>
      <c r="AJ375" s="314"/>
      <c r="AK375" s="314"/>
      <c r="AL375" s="326"/>
      <c r="AM375" s="326"/>
      <c r="AN375" s="326"/>
      <c r="AO375" s="326"/>
      <c r="AP375" s="326"/>
      <c r="AQ375" s="314"/>
      <c r="AR375" s="314"/>
      <c r="AS375" s="314"/>
      <c r="AT375" s="314"/>
      <c r="AU375" s="314"/>
      <c r="AV375" s="314"/>
      <c r="AW375" s="314"/>
      <c r="AX375" s="314"/>
      <c r="AY375" s="314"/>
      <c r="AZ375" s="314"/>
      <c r="BA375" s="314"/>
      <c r="BB375" s="314"/>
      <c r="BC375" s="314"/>
      <c r="BD375" s="314"/>
      <c r="BE375" s="314"/>
      <c r="BF375" s="314"/>
      <c r="BG375" s="364"/>
      <c r="BH375" s="364"/>
      <c r="BI375" s="314"/>
      <c r="BJ375" s="314"/>
      <c r="BK375" s="314"/>
      <c r="BL375" s="314"/>
      <c r="BM375" s="314"/>
      <c r="BN375" s="314"/>
      <c r="BO375" s="314"/>
      <c r="BP375" s="314"/>
      <c r="BQ375" s="314"/>
      <c r="BR375" s="314"/>
      <c r="BS375" s="314"/>
      <c r="BT375" s="314"/>
      <c r="BU375" s="314"/>
      <c r="BV375" s="314"/>
      <c r="BW375" s="314"/>
      <c r="BX375" s="314"/>
      <c r="BY375" s="314"/>
      <c r="BZ375" s="314"/>
      <c r="CA375" s="314"/>
      <c r="CB375" s="314"/>
      <c r="CC375" s="314"/>
      <c r="CD375" s="314"/>
      <c r="CE375" s="314"/>
      <c r="CF375" s="314"/>
      <c r="CG375" s="314"/>
      <c r="CH375" s="314"/>
      <c r="CI375" s="314"/>
      <c r="CJ375" s="314"/>
      <c r="CK375" s="314"/>
      <c r="CL375" s="314"/>
      <c r="CM375" s="314"/>
      <c r="CN375" s="314"/>
      <c r="CO375" s="314"/>
      <c r="CP375" s="314"/>
      <c r="CQ375" s="319"/>
    </row>
    <row r="376" spans="1:95" ht="12.75" customHeight="1" x14ac:dyDescent="0.25">
      <c r="A376" s="307"/>
      <c r="B376" s="68"/>
      <c r="C376" s="199" t="s">
        <v>13</v>
      </c>
      <c r="D376" s="344" t="str">
        <f>Translations!$B$360</f>
        <v>UCF:</v>
      </c>
      <c r="E376" s="345"/>
      <c r="F376" s="10"/>
      <c r="G376" s="1256" t="str">
        <f>IF(OR(ISBLANK(F376),F376=EUconst_NoTier),"",IF(Z376=0,EUconst_NotApplicable,IF(ISERROR(Z376),"",Z376)))</f>
        <v/>
      </c>
      <c r="H376" s="1257"/>
      <c r="I376" s="365" t="str">
        <f>IF(J376&lt;&gt;"","",AI376)</f>
        <v/>
      </c>
      <c r="J376" s="11"/>
      <c r="K376" s="366" t="str">
        <f>IF(L376="",AU376,"")</f>
        <v/>
      </c>
      <c r="L376" s="23"/>
      <c r="M376" s="347" t="str">
        <f>IF(AND(E369&lt;&gt;"",OR(F376="",COUNT(K376:L376)=0),Y376&lt;&gt;EUconst_NA),EUconst_ERR_Incomplete,IF(COUNTIF(BB376:BD376,TRUE)&gt;0,EUconst_ERR_Inconsistent,""))</f>
        <v/>
      </c>
      <c r="N376" s="367"/>
      <c r="O376" s="160"/>
      <c r="P376" s="109"/>
      <c r="Q376" s="312"/>
      <c r="R376" s="312"/>
      <c r="S376" s="314"/>
      <c r="T376" s="368" t="str">
        <f>EUconst_CNTR_UCF&amp;E369</f>
        <v>UCF_</v>
      </c>
      <c r="U376" s="312"/>
      <c r="V376" s="369" t="str">
        <f>V377</f>
        <v/>
      </c>
      <c r="W376" s="314"/>
      <c r="X376" s="312"/>
      <c r="Y376" s="370" t="str">
        <f>IF(E369="","",IF(OR(F376=EUconst_NA,W376=TRUE),EUconst_NA,INDEX(EUwideConstants!$P$164:$P$200,MATCH(T376,EUwideConstants!$S$164:$S$200,0))))</f>
        <v/>
      </c>
      <c r="Z376" s="371" t="str">
        <f>IF(ISBLANK(F376),"",IF(F376=EUconst_NA,"",INDEX(EUwideConstants!$H:$O,MATCH(T376,EUwideConstants!$S:$S,0),MATCH(F376,CNTR_TierList,0))))</f>
        <v/>
      </c>
      <c r="AA376" s="372" t="str">
        <f>IF(COUNTIF(EUconst_DefaultValues,Z376)&gt;0,MATCH(Z376,EUconst_DefaultValues,0),"")</f>
        <v/>
      </c>
      <c r="AB376" s="314"/>
      <c r="AC376" s="373" t="b">
        <f>AND(AC374,Y376&lt;&gt;EUconst_NA)</f>
        <v>0</v>
      </c>
      <c r="AD376" s="314"/>
      <c r="AE376" s="353" t="str">
        <f>EUconst_CNTR_UCF&amp;EUconst_Unit</f>
        <v>UCF_Unit</v>
      </c>
      <c r="AF376" s="374" t="str">
        <f>IF(AC376=TRUE, IF(COUNTIF(MSPara_SourceStreamCategory,V376)=0,"",INDEX(MSPara_CalcFactorsMatrix,MATCH(V376,MSPara_SourceStreamCategory,0),MATCH(AE376&amp;"_"&amp;2,MSPara_CalcFactors,0))),"")</f>
        <v/>
      </c>
      <c r="AG376" s="375" t="str">
        <f>IF(AC376=TRUE, IF(COUNTIF(MSPara_SourceStreamCategory,V376)=0,"",INDEX(MSPara_CalcFactorsMatrix,MATCH(V376,MSPara_SourceStreamCategory,0),MATCH(AE376&amp;"_"&amp;1,MSPara_CalcFactors,0))),"")</f>
        <v/>
      </c>
      <c r="AH376" s="373" t="str">
        <f>IF(AA376="","",INDEX(AF376:AG376,3-AA376))</f>
        <v/>
      </c>
      <c r="AI376" s="373" t="str">
        <f>IF(AC376=TRUE,IF(OR(AH376="",AH376=EUconst_NA),EUconst_GJ&amp;"/"&amp;AJ374,AH376),"")</f>
        <v/>
      </c>
      <c r="AJ376" s="373" t="str">
        <f>IF(J376="",AI376,J376)</f>
        <v/>
      </c>
      <c r="AK376" s="369" t="b">
        <f>AND(E368&lt;&gt;"",J376&lt;&gt;"")</f>
        <v>0</v>
      </c>
      <c r="AL376" s="326"/>
      <c r="AM376" s="358" t="s">
        <v>151</v>
      </c>
      <c r="AN376" s="359" t="str">
        <f>IF(AJ376="",EUconst_NA,IF(AN374=EUconst_TJ,EUconst_TJ,INDEX(EUwideConstants!$C$135:$G$139,MATCH(AN374,RFAUnits,0),MATCH(AJ376,UCFUnits,0))))</f>
        <v>n.a.</v>
      </c>
      <c r="AO376" s="326"/>
      <c r="AP376" s="326"/>
      <c r="AQ376" s="376" t="str">
        <f>EUconst_CNTR_UCF&amp;EUconst_Value</f>
        <v>UCF_Value</v>
      </c>
      <c r="AR376" s="377" t="str">
        <f>IF(AC376=TRUE,IF(COUNTIF(MSPara_SourceStreamCategory,V376)=0,"",INDEX(MSPara_CalcFactorsMatrix,MATCH(V376,MSPara_SourceStreamCategory,0),MATCH(AQ376&amp;"_"&amp;2,MSPara_CalcFactors,0))),"")</f>
        <v/>
      </c>
      <c r="AS376" s="378" t="str">
        <f>IF(AC376=TRUE,IF(COUNTIF(MSPara_SourceStreamCategory,V376)=0,"",INDEX(MSPara_CalcFactorsMatrix,MATCH(V376,MSPara_SourceStreamCategory,0),MATCH(AQ376&amp;"_"&amp;1,MSPara_CalcFactors,0))),"")</f>
        <v/>
      </c>
      <c r="AT376" s="379" t="b">
        <f>AND(AND(AH376&lt;&gt;"",AJ376&lt;&gt;""),AJ376=AH376)</f>
        <v>0</v>
      </c>
      <c r="AU376" s="380" t="str">
        <f>IF(AND(AA376&lt;&gt;"",AT376=TRUE),IF(OR(INDEX(AR376:AS376,3-AA376)=EUconst_NA,INDEX(AR376:AS376,3-AA376)=0),"",INDEX(AR376:AS376,3-AA376)),"")</f>
        <v/>
      </c>
      <c r="AV376" s="373">
        <f>IF(AC376=TRUE,IF(COUNT(K376:L376)=0,0,IF(L376="",K376,L376)),0)</f>
        <v>0</v>
      </c>
      <c r="AW376" s="369" t="b">
        <f t="shared" ref="AW376:AW383" si="99">AND(AC376=TRUE,OR(AND(F376&lt;&gt;"",NOT(ISNUMBER(AA376))),L376&lt;&gt;"",F376="",AU376=""))</f>
        <v>0</v>
      </c>
      <c r="AX376" s="381" t="b">
        <f t="shared" ref="AX376:AX383" si="100">AND(AC376=TRUE,NOT(AW376))</f>
        <v>0</v>
      </c>
      <c r="AY376" s="314"/>
      <c r="AZ376" s="382" t="b">
        <f t="shared" ref="AZ376:AZ383" si="101">AND(ISNUMBER(AA376),AU376="")</f>
        <v>0</v>
      </c>
      <c r="BA376" s="383" t="b">
        <f t="shared" ref="BA376:BA383" si="102">AND(ISNUMBER(AA376),AU376&lt;&gt;AV376)</f>
        <v>0</v>
      </c>
      <c r="BB376" s="369" t="b">
        <f>AND(E369&lt;&gt;"",F376&lt;&gt;EUconst_NA,AN376=EUconst_NA)</f>
        <v>0</v>
      </c>
      <c r="BC376" s="369" t="b">
        <f t="shared" ref="BC376:BC383" si="103">AND(L376&lt;&gt;"",Y376=EUconst_NA)</f>
        <v>0</v>
      </c>
      <c r="BD376" s="314"/>
      <c r="BE376" s="314"/>
      <c r="BF376" s="382" t="s">
        <v>152</v>
      </c>
      <c r="BG376" s="384" t="str">
        <f>IF(COUNTIF(AO377:AO378,TRUE)=0,"",BH376*AV385)</f>
        <v/>
      </c>
      <c r="BH376" s="384" t="str">
        <f>IF(COUNTIF(AO377:AO378,TRUE)=0,"",AV374*IF(AO377,1,AV376*AN378)*AV377*AV378)</f>
        <v/>
      </c>
      <c r="BI376" s="314"/>
      <c r="BJ376" s="314"/>
      <c r="BK376" s="314"/>
      <c r="BL376" s="314"/>
      <c r="BM376" s="314"/>
      <c r="BN376" s="314"/>
      <c r="BO376" s="314"/>
      <c r="BP376" s="314"/>
      <c r="BQ376" s="314"/>
      <c r="BR376" s="314"/>
      <c r="BS376" s="314"/>
      <c r="BT376" s="314"/>
      <c r="BU376" s="314"/>
      <c r="BV376" s="314"/>
      <c r="BW376" s="314"/>
      <c r="BX376" s="314"/>
      <c r="BY376" s="314"/>
      <c r="BZ376" s="314"/>
      <c r="CA376" s="314"/>
      <c r="CB376" s="314"/>
      <c r="CC376" s="314"/>
      <c r="CD376" s="314"/>
      <c r="CE376" s="314"/>
      <c r="CF376" s="314"/>
      <c r="CG376" s="314"/>
      <c r="CH376" s="314"/>
      <c r="CI376" s="314"/>
      <c r="CJ376" s="314"/>
      <c r="CK376" s="314"/>
      <c r="CL376" s="314"/>
      <c r="CM376" s="314"/>
      <c r="CN376" s="314"/>
      <c r="CO376" s="314"/>
      <c r="CP376" s="314"/>
      <c r="CQ376" s="369" t="b">
        <f>OR(CQ374,Y376=EUconst_NA)</f>
        <v>0</v>
      </c>
    </row>
    <row r="377" spans="1:95" ht="12.75" customHeight="1" thickBot="1" x14ac:dyDescent="0.3">
      <c r="A377" s="307"/>
      <c r="B377" s="68"/>
      <c r="C377" s="199" t="s">
        <v>14</v>
      </c>
      <c r="D377" s="344" t="str">
        <f>Translations!$B$358</f>
        <v>(prelim) EF:</v>
      </c>
      <c r="E377" s="345"/>
      <c r="F377" s="59"/>
      <c r="G377" s="1256" t="str">
        <f>IF(OR(ISBLANK(F377),F377=EUconst_NoTier),"",IF(Z377=0,EUconst_NotApplicable,IF(ISERROR(Z377),"",Z377)))</f>
        <v/>
      </c>
      <c r="H377" s="1260"/>
      <c r="I377" s="385" t="str">
        <f>IF(J377&lt;&gt;"","",AI377)</f>
        <v/>
      </c>
      <c r="J377" s="22"/>
      <c r="K377" s="386" t="str">
        <f>IF(L377="",AU377,"")</f>
        <v/>
      </c>
      <c r="L377" s="58"/>
      <c r="M377" s="347" t="str">
        <f>IF(AND(E369&lt;&gt;"",OR(F377="",COUNT(K377:L377)=0),Y377&lt;&gt;EUconst_NA),EUconst_ERR_Incomplete,IF(COUNTIF(BB377:BD377,TRUE)&gt;0,EUconst_ERR_Inconsistent,""))</f>
        <v/>
      </c>
      <c r="N377" s="387"/>
      <c r="O377" s="160"/>
      <c r="P377" s="109"/>
      <c r="Q377" s="312"/>
      <c r="R377" s="312"/>
      <c r="S377" s="314"/>
      <c r="T377" s="388" t="str">
        <f>EUconst_CNTR_EF&amp;E369</f>
        <v>EF_</v>
      </c>
      <c r="U377" s="312"/>
      <c r="V377" s="389" t="str">
        <f>V374</f>
        <v/>
      </c>
      <c r="W377" s="314"/>
      <c r="X377" s="312"/>
      <c r="Y377" s="390" t="str">
        <f>IF(E369="","",IF(OR(F377=EUconst_NA,W377=TRUE),EUconst_NA,INDEX(EUwideConstants!$P$164:$P$200,MATCH(T377,EUwideConstants!$S$164:$S$200,0))))</f>
        <v/>
      </c>
      <c r="Z377" s="391" t="str">
        <f>IF(ISBLANK(F377),"",IF(F377=EUconst_NA,"",INDEX(EUwideConstants!$H:$O,MATCH(T377,EUwideConstants!$S:$S,0),MATCH(F377,CNTR_TierList,0))))</f>
        <v/>
      </c>
      <c r="AA377" s="392" t="str">
        <f>IF(COUNTIF(EUconst_DefaultValues,Z377)&gt;0,MATCH(Z377,EUconst_DefaultValues,0),"")</f>
        <v/>
      </c>
      <c r="AB377" s="314"/>
      <c r="AC377" s="393" t="b">
        <f>AND(AC374,Y377&lt;&gt;EUconst_NA)</f>
        <v>0</v>
      </c>
      <c r="AD377" s="314"/>
      <c r="AE377" s="394" t="str">
        <f>EUconst_CNTR_EF&amp;EUconst_Unit</f>
        <v>EF_Unit</v>
      </c>
      <c r="AF377" s="395" t="str">
        <f>IF(AC377=TRUE, IF(COUNTIF(MSPara_SourceStreamCategory,V377)=0,"",INDEX(MSPara_CalcFactorsMatrix,MATCH(V377,MSPara_SourceStreamCategory,0),MATCH(AE377&amp;"_"&amp;2,MSPara_CalcFactors,0))),"")</f>
        <v/>
      </c>
      <c r="AG377" s="396" t="str">
        <f>IF(AC377=TRUE, IF(COUNTIF(MSPara_SourceStreamCategory,V377)=0,"",INDEX(MSPara_CalcFactorsMatrix,MATCH(V377,MSPara_SourceStreamCategory,0),MATCH(AE377&amp;"_"&amp;1,MSPara_CalcFactors,0))),"")</f>
        <v/>
      </c>
      <c r="AH377" s="397" t="str">
        <f>IF(AA377="","",INDEX(AF377:AG377,3-AA377))</f>
        <v/>
      </c>
      <c r="AI377" s="397" t="str">
        <f>IF(AC377=TRUE,IF(OR(AH377="",AH377=EUconst_NA),EUconst_tCO2&amp;"/"&amp;IF(AN376=EUconst_NA,AN374,IF(AN376=EUconst_GJ,EUconst_TJ,AN376)),AH377),"")</f>
        <v/>
      </c>
      <c r="AJ377" s="397" t="str">
        <f>IF(J377="",AI377,J377)</f>
        <v/>
      </c>
      <c r="AK377" s="398" t="b">
        <f>AND(E369&lt;&gt;"",J377&lt;&gt;"")</f>
        <v>0</v>
      </c>
      <c r="AL377" s="326"/>
      <c r="AM377" s="358" t="s">
        <v>153</v>
      </c>
      <c r="AN377" s="359" t="str">
        <f>IF(COUNTIF(RFAUnits,AN374)=0,EUconst_NA,INDEX(EUwideConstants!$C$150:$H$154,MATCH(AJ377,EFUnits,0),MATCH(AN374,EUwideConstants!$C$149:$H$149,0)))</f>
        <v>n.a.</v>
      </c>
      <c r="AO377" s="359" t="b">
        <f>AN377&lt;&gt;EUconst_NA</f>
        <v>0</v>
      </c>
      <c r="AP377" s="326"/>
      <c r="AQ377" s="399" t="str">
        <f>EUconst_CNTR_EF&amp;EUconst_Value</f>
        <v>EF_Value</v>
      </c>
      <c r="AR377" s="400" t="str">
        <f>IF(AC377=TRUE,IF(COUNTIF(MSPara_SourceStreamCategory,V377)=0,"",INDEX(MSPara_CalcFactorsMatrix,MATCH(V377,MSPara_SourceStreamCategory,0),MATCH(AQ377&amp;"_"&amp;2,MSPara_CalcFactors,0))),"")</f>
        <v/>
      </c>
      <c r="AS377" s="401" t="str">
        <f>IF(AC377=TRUE,IF(COUNTIF(MSPara_SourceStreamCategory,V377)=0,"",INDEX(MSPara_CalcFactorsMatrix,MATCH(V377,MSPara_SourceStreamCategory,0),MATCH(AQ377&amp;"_"&amp;1,MSPara_CalcFactors,0))),"")</f>
        <v/>
      </c>
      <c r="AT377" s="402" t="b">
        <f>AND(AND(AH377&lt;&gt;"",AJ377&lt;&gt;""),AJ377=AH377)</f>
        <v>0</v>
      </c>
      <c r="AU377" s="403" t="str">
        <f>IF(AND(AA377&lt;&gt;"",AT377=TRUE),IF(OR(INDEX(AR377:AS377,3-AA377)=EUconst_NA,INDEX(AR377:AS377,3-AA377)=0),"",INDEX(AR377:AS377,3-AA377)),"")</f>
        <v/>
      </c>
      <c r="AV377" s="393">
        <f>IF(AC377=TRUE,IF(COUNT(K377:L377)=0,0,IF(L377="",K377,L377)),0)</f>
        <v>0</v>
      </c>
      <c r="AW377" s="389" t="b">
        <f t="shared" si="99"/>
        <v>0</v>
      </c>
      <c r="AX377" s="404" t="b">
        <f t="shared" si="100"/>
        <v>0</v>
      </c>
      <c r="AY377" s="314"/>
      <c r="AZ377" s="405" t="b">
        <f t="shared" si="101"/>
        <v>0</v>
      </c>
      <c r="BA377" s="406" t="b">
        <f t="shared" si="102"/>
        <v>0</v>
      </c>
      <c r="BB377" s="407" t="b">
        <f>AND(E369&lt;&gt;"",COUNTIF(AO377:AO378,TRUE)=0)</f>
        <v>0</v>
      </c>
      <c r="BC377" s="389" t="b">
        <f t="shared" si="103"/>
        <v>0</v>
      </c>
      <c r="BD377" s="314"/>
      <c r="BE377" s="314"/>
      <c r="BF377" s="408" t="s">
        <v>154</v>
      </c>
      <c r="BG377" s="409" t="str">
        <f>IF(COUNTIF(AO377:AO378,TRUE)=0,"",BH377*AV385)</f>
        <v/>
      </c>
      <c r="BH377" s="409" t="str">
        <f>IF(COUNTIF(AO377:AO378,TRUE)=0,"",AV374*IF(AO377,1,AV376*AN378)*AV377*AV379)</f>
        <v/>
      </c>
      <c r="BI377" s="314"/>
      <c r="BJ377" s="314"/>
      <c r="BK377" s="314"/>
      <c r="BL377" s="314"/>
      <c r="BM377" s="314"/>
      <c r="BN377" s="314"/>
      <c r="BO377" s="314"/>
      <c r="BP377" s="314"/>
      <c r="BQ377" s="314"/>
      <c r="BR377" s="314"/>
      <c r="BS377" s="314"/>
      <c r="BT377" s="314"/>
      <c r="BU377" s="314"/>
      <c r="BV377" s="314"/>
      <c r="BW377" s="314"/>
      <c r="BX377" s="314"/>
      <c r="BY377" s="314"/>
      <c r="BZ377" s="314"/>
      <c r="CA377" s="314"/>
      <c r="CB377" s="314"/>
      <c r="CC377" s="314"/>
      <c r="CD377" s="314"/>
      <c r="CE377" s="314"/>
      <c r="CF377" s="314"/>
      <c r="CG377" s="314"/>
      <c r="CH377" s="314"/>
      <c r="CI377" s="314"/>
      <c r="CJ377" s="314"/>
      <c r="CK377" s="314"/>
      <c r="CL377" s="314"/>
      <c r="CM377" s="314"/>
      <c r="CN377" s="314"/>
      <c r="CO377" s="314"/>
      <c r="CP377" s="314"/>
      <c r="CQ377" s="407" t="b">
        <f>OR(CQ374,Y377=EUconst_NA)</f>
        <v>0</v>
      </c>
    </row>
    <row r="378" spans="1:95" ht="12.75" customHeight="1" x14ac:dyDescent="0.25">
      <c r="A378" s="307"/>
      <c r="B378" s="68"/>
      <c r="C378" s="199" t="s">
        <v>15</v>
      </c>
      <c r="D378" s="344" t="str">
        <f>Translations!$B$362</f>
        <v>BioF:</v>
      </c>
      <c r="E378" s="345"/>
      <c r="F378" s="10"/>
      <c r="G378" s="1256" t="str">
        <f>IF(OR(ISBLANK(F378),F378=EUconst_NoTier),"",IF(Z378=0,EUconst_NotApplicable,IF(ISERROR(Z378),"",Z378)))</f>
        <v/>
      </c>
      <c r="H378" s="1257"/>
      <c r="I378" s="410" t="str">
        <f t="shared" ref="I378:I383" si="104">IF(OR(AC378=FALSE,Y378=EUconst_NA),"","-")</f>
        <v/>
      </c>
      <c r="J378" s="411"/>
      <c r="K378" s="412" t="str">
        <f>IF(L378="",AU378,"")</f>
        <v/>
      </c>
      <c r="L378" s="60"/>
      <c r="M378" s="347" t="str">
        <f>IF(AND(E369&lt;&gt;"",OR(F378="",COUNT(K378:L378)=0),Y378&lt;&gt;EUconst_NA),EUconst_ERR_Incomplete,IF(COUNTIF(BB378:BD378,TRUE)&gt;0,EUconst_ERR_Inconsistent,""))</f>
        <v/>
      </c>
      <c r="O378" s="160"/>
      <c r="P378" s="348"/>
      <c r="Q378" s="413"/>
      <c r="R378" s="413"/>
      <c r="S378" s="314"/>
      <c r="T378" s="388" t="str">
        <f>EUconst_CNTR_BiomassContent&amp;E369</f>
        <v>BioC_</v>
      </c>
      <c r="U378" s="312"/>
      <c r="V378" s="369" t="str">
        <f>V376</f>
        <v/>
      </c>
      <c r="W378" s="369" t="str">
        <f>IF(OR(V378="",COUNTIF(MSPara_SourceStreamCategory,V378)=0),"",INDEX(MSPara_IsFossil,MATCH(V378,MSPara_SourceStreamCategory,0)))</f>
        <v/>
      </c>
      <c r="X378" s="312"/>
      <c r="Y378" s="370" t="str">
        <f>IF(E369="","",IF(OR(F378=EUconst_NA,W378=TRUE),EUconst_NA,INDEX(EUwideConstants!$P$164:$P$200,MATCH(T378,EUwideConstants!$S$164:$S$200,0))))</f>
        <v/>
      </c>
      <c r="Z378" s="371" t="str">
        <f>IF(ISBLANK(F378),"",IF(F378=EUconst_NA,"",INDEX(EUwideConstants!$H:$O,MATCH(T378,EUwideConstants!$S:$S,0),MATCH(F378,CNTR_TierList,0))))</f>
        <v/>
      </c>
      <c r="AA378" s="414" t="str">
        <f>IF(F378=1,1,"")</f>
        <v/>
      </c>
      <c r="AB378" s="314"/>
      <c r="AC378" s="373" t="b">
        <f>AND(AC374,Y378&lt;&gt;EUconst_NA)</f>
        <v>0</v>
      </c>
      <c r="AD378" s="314"/>
      <c r="AE378" s="415"/>
      <c r="AF378" s="416"/>
      <c r="AG378" s="417"/>
      <c r="AH378" s="418"/>
      <c r="AI378" s="418"/>
      <c r="AJ378" s="418"/>
      <c r="AK378" s="419"/>
      <c r="AL378" s="326"/>
      <c r="AM378" s="358" t="s">
        <v>155</v>
      </c>
      <c r="AN378" s="359" t="str">
        <f>IF(AN376=EUconst_NA,EUconst_NA,INDEX(EUwideConstants!$C$150:$H$154,MATCH(AJ377,EFUnits,0),MATCH(AN376,EUwideConstants!$C$149:$H$149,0)))</f>
        <v>n.a.</v>
      </c>
      <c r="AO378" s="359" t="b">
        <f>AN378&lt;&gt;EUconst_NA</f>
        <v>0</v>
      </c>
      <c r="AP378" s="326"/>
      <c r="AQ378" s="376" t="str">
        <f>EUconst_CNTR_BiomassContent&amp;EUconst_Value</f>
        <v>BioC_Value</v>
      </c>
      <c r="AR378" s="420"/>
      <c r="AS378" s="378" t="str">
        <f t="shared" ref="AS378:AS383" si="105">IF(AC378=TRUE,IF(COUNTIF(MSPara_SourceStreamCategory,V378)=0,"",INDEX(MSPara_CalcFactorsMatrix,MATCH(V378,MSPara_SourceStreamCategory,0),MATCH(AQ378&amp;"_"&amp;2,MSPara_CalcFactors,0))),"")</f>
        <v/>
      </c>
      <c r="AT378" s="421"/>
      <c r="AU378" s="380" t="str">
        <f t="shared" ref="AU378:AU383" si="106">IF(OR(AA378="",AS378=EUconst_NA),"",AS378)</f>
        <v/>
      </c>
      <c r="AV378" s="373">
        <f>IF(AC378=TRUE,IF(COUNT(K378:L378)=0,0,IF(L378="",K378,L378)),0)</f>
        <v>0</v>
      </c>
      <c r="AW378" s="369" t="b">
        <f t="shared" si="99"/>
        <v>0</v>
      </c>
      <c r="AX378" s="381" t="b">
        <f t="shared" si="100"/>
        <v>0</v>
      </c>
      <c r="AY378" s="314"/>
      <c r="AZ378" s="382" t="b">
        <f t="shared" si="101"/>
        <v>0</v>
      </c>
      <c r="BA378" s="383" t="b">
        <f t="shared" si="102"/>
        <v>0</v>
      </c>
      <c r="BB378" s="314"/>
      <c r="BC378" s="369" t="b">
        <f t="shared" si="103"/>
        <v>0</v>
      </c>
      <c r="BD378" s="369" t="b">
        <f>OR(AV378&gt;100%,(AV378+AV379)&gt;100%)</f>
        <v>0</v>
      </c>
      <c r="BE378" s="314"/>
      <c r="BF378" s="382" t="s">
        <v>156</v>
      </c>
      <c r="BG378" s="384" t="str">
        <f>IF(COUNTIF(AO377:AO378,TRUE)=0,"",BH378*AV385)</f>
        <v/>
      </c>
      <c r="BH378" s="384" t="str">
        <f>IF(COUNTIF(AO377:AO378,TRUE)=0,"",AV374*IF(AO377,1,AV376*AN378)*AV377*AV380)</f>
        <v/>
      </c>
      <c r="BJ378" s="314"/>
      <c r="BK378" s="314"/>
      <c r="BL378" s="314"/>
      <c r="BM378" s="314"/>
      <c r="BN378" s="314"/>
      <c r="BO378" s="314"/>
      <c r="BP378" s="314"/>
      <c r="BQ378" s="314"/>
      <c r="BR378" s="314"/>
      <c r="BS378" s="314"/>
      <c r="BT378" s="314"/>
      <c r="BU378" s="314"/>
      <c r="BV378" s="314"/>
      <c r="BW378" s="314"/>
      <c r="BX378" s="314"/>
      <c r="BY378" s="314"/>
      <c r="BZ378" s="314"/>
      <c r="CA378" s="314"/>
      <c r="CB378" s="314"/>
      <c r="CC378" s="314"/>
      <c r="CD378" s="314"/>
      <c r="CE378" s="314"/>
      <c r="CF378" s="314"/>
      <c r="CG378" s="314"/>
      <c r="CH378" s="314"/>
      <c r="CI378" s="314"/>
      <c r="CJ378" s="314"/>
      <c r="CK378" s="314"/>
      <c r="CL378" s="314"/>
      <c r="CM378" s="314"/>
      <c r="CN378" s="314"/>
      <c r="CO378" s="314"/>
      <c r="CP378" s="314"/>
      <c r="CQ378" s="369" t="b">
        <f>OR(CQ374,Y378=EUconst_NA)</f>
        <v>0</v>
      </c>
    </row>
    <row r="379" spans="1:95" ht="12.75" customHeight="1" thickBot="1" x14ac:dyDescent="0.3">
      <c r="A379" s="307"/>
      <c r="B379" s="68"/>
      <c r="C379" s="199" t="s">
        <v>16</v>
      </c>
      <c r="D379" s="344" t="str">
        <f>Translations!$B$368</f>
        <v>non-sust. BioF:</v>
      </c>
      <c r="E379" s="345"/>
      <c r="F379" s="20"/>
      <c r="G379" s="1256" t="str">
        <f>IF(OR(ISBLANK(F379),F379=EUconst_NoTier),"",IF(Z379=0,EUconst_NotApplicable,IF(ISERROR(Z379),"",Z379)))</f>
        <v/>
      </c>
      <c r="H379" s="1257"/>
      <c r="I379" s="422" t="str">
        <f t="shared" si="104"/>
        <v/>
      </c>
      <c r="J379" s="423"/>
      <c r="K379" s="424" t="str">
        <f>IF(L379="",AU379,"")</f>
        <v/>
      </c>
      <c r="L379" s="21"/>
      <c r="M379" s="347" t="str">
        <f>IF(AND(E369&lt;&gt;"",OR(F379="",COUNT(K379:L379)=0),Y379&lt;&gt;EUconst_NA),EUconst_ERR_Incomplete,IF(COUNTIF(BB379:BD379,TRUE)&gt;0,EUconst_ERR_Inconsistent,""))</f>
        <v/>
      </c>
      <c r="N379" s="76"/>
      <c r="O379" s="160"/>
      <c r="P379" s="348"/>
      <c r="Q379" s="413"/>
      <c r="R379" s="413"/>
      <c r="S379" s="314"/>
      <c r="T379" s="425" t="str">
        <f>EUconst_CNTR_BiomassContent&amp;E369</f>
        <v>BioC_</v>
      </c>
      <c r="U379" s="312"/>
      <c r="V379" s="407" t="str">
        <f>V378</f>
        <v/>
      </c>
      <c r="W379" s="407" t="str">
        <f>IF(OR(V378="",COUNTIF(MSPara_SourceStreamCategory,V379)=0),"",INDEX(MSPara_IsFossil,MATCH(V379,MSPara_SourceStreamCategory,0)))</f>
        <v/>
      </c>
      <c r="X379" s="312"/>
      <c r="Y379" s="426" t="str">
        <f>IF(E369="","",IF(OR(F379=EUconst_NA,W379=TRUE),EUconst_NA,INDEX(EUwideConstants!$P$164:$P$200,MATCH(T379,EUwideConstants!$S$164:$S$200,0))))</f>
        <v/>
      </c>
      <c r="Z379" s="427" t="str">
        <f>IF(ISBLANK(F379),"",IF(F379=EUconst_NA,"",INDEX(EUwideConstants!$H:$O,MATCH(T379,EUwideConstants!$S:$S,0),MATCH(F379,CNTR_TierList,0))))</f>
        <v/>
      </c>
      <c r="AA379" s="428" t="str">
        <f>IF(F379=1,1,"")</f>
        <v/>
      </c>
      <c r="AB379" s="314"/>
      <c r="AC379" s="429" t="b">
        <f>AND(AC374,Y379&lt;&gt;EUconst_NA)</f>
        <v>0</v>
      </c>
      <c r="AD379" s="314"/>
      <c r="AE379" s="430"/>
      <c r="AF379" s="431"/>
      <c r="AG379" s="432"/>
      <c r="AH379" s="433"/>
      <c r="AI379" s="433"/>
      <c r="AJ379" s="433"/>
      <c r="AK379" s="434"/>
      <c r="AL379" s="326"/>
      <c r="AM379" s="326"/>
      <c r="AN379" s="326"/>
      <c r="AO379" s="326"/>
      <c r="AP379" s="326"/>
      <c r="AQ379" s="435" t="str">
        <f>EUconst_CNTR_BiomassContent&amp;EUconst_Value</f>
        <v>BioC_Value</v>
      </c>
      <c r="AR379" s="430"/>
      <c r="AS379" s="436" t="str">
        <f t="shared" si="105"/>
        <v/>
      </c>
      <c r="AT379" s="437"/>
      <c r="AU379" s="438" t="str">
        <f t="shared" si="106"/>
        <v/>
      </c>
      <c r="AV379" s="429">
        <f>IF(AC379=TRUE,IF(COUNT(K379:L379)=0,0,IF(L379="",K379,L379)),0)</f>
        <v>0</v>
      </c>
      <c r="AW379" s="407" t="b">
        <f t="shared" si="99"/>
        <v>0</v>
      </c>
      <c r="AX379" s="439" t="b">
        <f t="shared" si="100"/>
        <v>0</v>
      </c>
      <c r="AY379" s="314"/>
      <c r="AZ379" s="408" t="b">
        <f t="shared" si="101"/>
        <v>0</v>
      </c>
      <c r="BA379" s="440" t="b">
        <f t="shared" si="102"/>
        <v>0</v>
      </c>
      <c r="BB379" s="314"/>
      <c r="BC379" s="407" t="b">
        <f t="shared" si="103"/>
        <v>0</v>
      </c>
      <c r="BD379" s="407" t="b">
        <f>OR(AV378&gt;100%,(AV378+AV379)&gt;100%)</f>
        <v>0</v>
      </c>
      <c r="BE379" s="314"/>
      <c r="BF379" s="408" t="s">
        <v>157</v>
      </c>
      <c r="BG379" s="409" t="str">
        <f>IF(COUNTIF(AO377:AO378,TRUE)=0,"",BH379*AV385)</f>
        <v/>
      </c>
      <c r="BH379" s="409" t="str">
        <f>IF(COUNTIF(AO377:AO378,TRUE)=0,"",AV374*IF(AO377,1,AV376*AN378)*AV377*AV381)</f>
        <v/>
      </c>
      <c r="BJ379" s="314"/>
      <c r="BK379" s="314"/>
      <c r="BL379" s="314"/>
      <c r="BM379" s="314"/>
      <c r="BN379" s="314"/>
      <c r="BO379" s="314"/>
      <c r="BP379" s="314"/>
      <c r="BQ379" s="314"/>
      <c r="BR379" s="314"/>
      <c r="BS379" s="314"/>
      <c r="BT379" s="314"/>
      <c r="BU379" s="314"/>
      <c r="BV379" s="314"/>
      <c r="BW379" s="314"/>
      <c r="BX379" s="314"/>
      <c r="BY379" s="314"/>
      <c r="BZ379" s="314"/>
      <c r="CA379" s="314"/>
      <c r="CB379" s="314"/>
      <c r="CC379" s="314"/>
      <c r="CD379" s="314"/>
      <c r="CE379" s="314"/>
      <c r="CF379" s="314"/>
      <c r="CG379" s="314"/>
      <c r="CH379" s="314"/>
      <c r="CI379" s="314"/>
      <c r="CJ379" s="314"/>
      <c r="CK379" s="314"/>
      <c r="CL379" s="314"/>
      <c r="CM379" s="314"/>
      <c r="CN379" s="314"/>
      <c r="CO379" s="314"/>
      <c r="CP379" s="314"/>
      <c r="CQ379" s="407" t="b">
        <f>OR(CQ374,Y379=EUconst_NA)</f>
        <v>0</v>
      </c>
    </row>
    <row r="380" spans="1:95" ht="12.75" customHeight="1" thickBot="1" x14ac:dyDescent="0.3">
      <c r="A380" s="307"/>
      <c r="B380" s="68"/>
      <c r="C380" s="199" t="s">
        <v>17</v>
      </c>
      <c r="D380" s="344" t="str">
        <f>Translations!$B$610</f>
        <v>sust. RFNBO/RCF:</v>
      </c>
      <c r="E380" s="441"/>
      <c r="F380" s="19" t="s">
        <v>158</v>
      </c>
      <c r="G380" s="1261"/>
      <c r="H380" s="1262"/>
      <c r="I380" s="442" t="str">
        <f t="shared" si="104"/>
        <v/>
      </c>
      <c r="J380" s="411"/>
      <c r="K380" s="443"/>
      <c r="L380" s="55"/>
      <c r="M380" s="347" t="str">
        <f>IF(AND(E369&lt;&gt;"",OR(F380="",COUNT(L380)=0),Y380&lt;&gt;EUconst_NA),EUconst_ERR_Incomplete,"")</f>
        <v/>
      </c>
      <c r="N380" s="76"/>
      <c r="O380" s="160"/>
      <c r="P380" s="348"/>
      <c r="Q380" s="413"/>
      <c r="R380" s="413"/>
      <c r="S380" s="314"/>
      <c r="T380" s="388" t="str">
        <f>EUconst_CNTR_RFNBOetcContent&amp;E369</f>
        <v>RNFBOC_</v>
      </c>
      <c r="U380" s="312"/>
      <c r="V380" s="312"/>
      <c r="W380" s="312"/>
      <c r="X380" s="312"/>
      <c r="Y380" s="380" t="str">
        <f>IF(E369="","",IF(OR(F380=EUconst_NA,W380=TRUE),EUconst_NA,INDEX(EUwideConstants!$P$164:$P$200,MATCH(T380,EUwideConstants!$S$164:$S$200,0))))</f>
        <v/>
      </c>
      <c r="Z380" s="314"/>
      <c r="AA380" s="314"/>
      <c r="AB380" s="314"/>
      <c r="AC380" s="397" t="b">
        <f>AND(AC376,Y380&lt;&gt;EUconst_NA)</f>
        <v>0</v>
      </c>
      <c r="AD380" s="314"/>
      <c r="AE380" s="415"/>
      <c r="AF380" s="416"/>
      <c r="AG380" s="417"/>
      <c r="AH380" s="418"/>
      <c r="AI380" s="418"/>
      <c r="AJ380" s="418"/>
      <c r="AK380" s="419"/>
      <c r="AL380" s="326"/>
      <c r="AM380" s="326"/>
      <c r="AN380" s="326"/>
      <c r="AO380" s="326"/>
      <c r="AP380" s="326"/>
      <c r="AQ380" s="444" t="s">
        <v>159</v>
      </c>
      <c r="AR380" s="415"/>
      <c r="AS380" s="445" t="str">
        <f t="shared" si="105"/>
        <v/>
      </c>
      <c r="AT380" s="446"/>
      <c r="AU380" s="447" t="str">
        <f t="shared" si="106"/>
        <v/>
      </c>
      <c r="AV380" s="397">
        <f>IF(L380&lt;&gt;0,L380,L380)</f>
        <v>0</v>
      </c>
      <c r="AW380" s="398" t="b">
        <f t="shared" si="99"/>
        <v>0</v>
      </c>
      <c r="AX380" s="448" t="b">
        <f t="shared" si="100"/>
        <v>0</v>
      </c>
      <c r="AY380" s="314"/>
      <c r="AZ380" s="449" t="b">
        <f t="shared" si="101"/>
        <v>0</v>
      </c>
      <c r="BA380" s="450" t="b">
        <f t="shared" si="102"/>
        <v>0</v>
      </c>
      <c r="BB380" s="314"/>
      <c r="BC380" s="398" t="b">
        <f t="shared" si="103"/>
        <v>0</v>
      </c>
      <c r="BD380" s="369" t="b">
        <f>OR(AV380&gt;100%,(AV380+AV381)&gt;100%)</f>
        <v>0</v>
      </c>
      <c r="BE380" s="314"/>
      <c r="BF380" s="451" t="s">
        <v>160</v>
      </c>
      <c r="BG380" s="452" t="str">
        <f>IF(COUNTIF(AO377:AO378,TRUE)=0,"",BH380*AV385)</f>
        <v/>
      </c>
      <c r="BH380" s="452" t="str">
        <f>IF(COUNTIF(AO377:AO378,TRUE)=0,"",AV374*IF(AO377,1,AV376*AN378)*AV377*AV382)</f>
        <v/>
      </c>
      <c r="BJ380" s="314"/>
      <c r="BK380" s="314"/>
      <c r="BL380" s="314"/>
      <c r="BM380" s="314"/>
      <c r="BN380" s="314"/>
      <c r="BO380" s="314"/>
      <c r="BP380" s="314"/>
      <c r="BQ380" s="314"/>
      <c r="BR380" s="314"/>
      <c r="BS380" s="314"/>
      <c r="BT380" s="314"/>
      <c r="BU380" s="314"/>
      <c r="BV380" s="314"/>
      <c r="BW380" s="314"/>
      <c r="BX380" s="314"/>
      <c r="BY380" s="314"/>
      <c r="BZ380" s="314"/>
      <c r="CA380" s="314"/>
      <c r="CB380" s="314"/>
      <c r="CC380" s="314"/>
      <c r="CD380" s="314"/>
      <c r="CE380" s="314"/>
      <c r="CF380" s="314"/>
      <c r="CG380" s="314"/>
      <c r="CH380" s="314"/>
      <c r="CI380" s="314"/>
      <c r="CJ380" s="314"/>
      <c r="CK380" s="314"/>
      <c r="CL380" s="314"/>
      <c r="CM380" s="314"/>
      <c r="CN380" s="314"/>
      <c r="CO380" s="314"/>
      <c r="CP380" s="314"/>
      <c r="CQ380" s="407" t="b">
        <f>OR(CQ374,Y380=EUconst_NA)</f>
        <v>0</v>
      </c>
    </row>
    <row r="381" spans="1:95" ht="12.75" customHeight="1" thickBot="1" x14ac:dyDescent="0.3">
      <c r="A381" s="307"/>
      <c r="B381" s="68"/>
      <c r="C381" s="199" t="s">
        <v>161</v>
      </c>
      <c r="D381" s="344" t="str">
        <f>Translations!$B$613</f>
        <v>non-sust. RFNBO/RCF:</v>
      </c>
      <c r="E381" s="441"/>
      <c r="F381" s="20" t="s">
        <v>158</v>
      </c>
      <c r="G381" s="1261"/>
      <c r="H381" s="1262"/>
      <c r="I381" s="422" t="str">
        <f t="shared" si="104"/>
        <v/>
      </c>
      <c r="J381" s="423"/>
      <c r="K381" s="443"/>
      <c r="L381" s="56"/>
      <c r="M381" s="347" t="str">
        <f>IF(AND(E369&lt;&gt;"",OR(F381="",COUNT(L381)=0),Y381&lt;&gt;EUconst_NA),EUconst_ERR_Incomplete,"")</f>
        <v/>
      </c>
      <c r="N381" s="76"/>
      <c r="O381" s="160"/>
      <c r="P381" s="348"/>
      <c r="Q381" s="413"/>
      <c r="R381" s="413"/>
      <c r="S381" s="314"/>
      <c r="T381" s="425" t="str">
        <f>EUconst_CNTR_RFNBOetcContent&amp;E369</f>
        <v>RNFBOC_</v>
      </c>
      <c r="U381" s="312"/>
      <c r="V381" s="312"/>
      <c r="W381" s="312"/>
      <c r="X381" s="312"/>
      <c r="Y381" s="438" t="str">
        <f>IF(E369="","",IF(OR(F381=EUconst_NA,W381=TRUE),EUconst_NA,INDEX(EUwideConstants!$P$164:$P$200,MATCH(T381,EUwideConstants!$S$164:$S$200,0))))</f>
        <v/>
      </c>
      <c r="Z381" s="314"/>
      <c r="AA381" s="314"/>
      <c r="AB381" s="314"/>
      <c r="AC381" s="429" t="b">
        <f>AND(AC376,Y381&lt;&gt;EUconst_NA)</f>
        <v>0</v>
      </c>
      <c r="AD381" s="314"/>
      <c r="AE381" s="430"/>
      <c r="AF381" s="431"/>
      <c r="AG381" s="432"/>
      <c r="AH381" s="433"/>
      <c r="AI381" s="433"/>
      <c r="AJ381" s="433"/>
      <c r="AK381" s="434"/>
      <c r="AL381" s="326"/>
      <c r="AM381" s="326"/>
      <c r="AN381" s="326"/>
      <c r="AO381" s="326"/>
      <c r="AP381" s="326"/>
      <c r="AQ381" s="435" t="s">
        <v>159</v>
      </c>
      <c r="AR381" s="430"/>
      <c r="AS381" s="436" t="str">
        <f t="shared" si="105"/>
        <v/>
      </c>
      <c r="AT381" s="437"/>
      <c r="AU381" s="438" t="str">
        <f t="shared" si="106"/>
        <v/>
      </c>
      <c r="AV381" s="429">
        <f t="shared" ref="AV381:AV383" si="107">IF(L381&lt;&gt;0,L381,L381)</f>
        <v>0</v>
      </c>
      <c r="AW381" s="407" t="b">
        <f t="shared" si="99"/>
        <v>0</v>
      </c>
      <c r="AX381" s="439" t="b">
        <f t="shared" si="100"/>
        <v>0</v>
      </c>
      <c r="AY381" s="314"/>
      <c r="AZ381" s="408" t="b">
        <f t="shared" si="101"/>
        <v>0</v>
      </c>
      <c r="BA381" s="440" t="b">
        <f t="shared" si="102"/>
        <v>0</v>
      </c>
      <c r="BB381" s="314"/>
      <c r="BC381" s="407" t="b">
        <f t="shared" si="103"/>
        <v>0</v>
      </c>
      <c r="BD381" s="407" t="b">
        <f>OR(AV380&gt;100%,(AV380+AV381)&gt;100%)</f>
        <v>0</v>
      </c>
      <c r="BE381" s="314"/>
      <c r="BF381" s="408" t="s">
        <v>162</v>
      </c>
      <c r="BG381" s="409" t="str">
        <f>IF(COUNTIF(AO377:AO378,TRUE)=0,"",BH381*AV385)</f>
        <v/>
      </c>
      <c r="BH381" s="409" t="str">
        <f>IF(COUNTIF(AO377:AO378,TRUE)=0,"",AV374*IF(AO377,1,AV376*AN378)*AV377*AV383)</f>
        <v/>
      </c>
      <c r="BJ381" s="314"/>
      <c r="BK381" s="314"/>
      <c r="BL381" s="314"/>
      <c r="BM381" s="314"/>
      <c r="BN381" s="314"/>
      <c r="BO381" s="314"/>
      <c r="BP381" s="314"/>
      <c r="BQ381" s="314"/>
      <c r="BR381" s="314"/>
      <c r="BS381" s="314"/>
      <c r="BT381" s="314"/>
      <c r="BU381" s="314"/>
      <c r="BV381" s="314"/>
      <c r="BW381" s="314"/>
      <c r="BX381" s="314"/>
      <c r="BY381" s="314"/>
      <c r="BZ381" s="314"/>
      <c r="CA381" s="314"/>
      <c r="CB381" s="314"/>
      <c r="CC381" s="314"/>
      <c r="CD381" s="314"/>
      <c r="CE381" s="314"/>
      <c r="CF381" s="314"/>
      <c r="CG381" s="314"/>
      <c r="CH381" s="314"/>
      <c r="CI381" s="314"/>
      <c r="CJ381" s="314"/>
      <c r="CK381" s="314"/>
      <c r="CL381" s="314"/>
      <c r="CM381" s="314"/>
      <c r="CN381" s="314"/>
      <c r="CO381" s="314"/>
      <c r="CP381" s="314"/>
      <c r="CQ381" s="407" t="b">
        <f>OR(CQ374,Y381=EUconst_NA)</f>
        <v>0</v>
      </c>
    </row>
    <row r="382" spans="1:95" ht="12.75" customHeight="1" thickBot="1" x14ac:dyDescent="0.3">
      <c r="A382" s="307"/>
      <c r="B382" s="68"/>
      <c r="C382" s="199" t="s">
        <v>163</v>
      </c>
      <c r="D382" s="344" t="str">
        <f>Translations!$B$615</f>
        <v>sust. SLCF:</v>
      </c>
      <c r="E382" s="441"/>
      <c r="F382" s="19" t="s">
        <v>158</v>
      </c>
      <c r="G382" s="1261"/>
      <c r="H382" s="1262"/>
      <c r="I382" s="442" t="str">
        <f t="shared" si="104"/>
        <v/>
      </c>
      <c r="J382" s="411"/>
      <c r="K382" s="443"/>
      <c r="L382" s="57"/>
      <c r="M382" s="347" t="str">
        <f>IF(AND(E369&lt;&gt;"",OR(F382="",COUNT(L382)=0),Y382&lt;&gt;EUconst_NA),EUconst_ERR_Incomplete,"")</f>
        <v/>
      </c>
      <c r="N382" s="76"/>
      <c r="O382" s="160"/>
      <c r="P382" s="348"/>
      <c r="Q382" s="413"/>
      <c r="R382" s="413"/>
      <c r="S382" s="314"/>
      <c r="T382" s="388" t="str">
        <f>EUconst_CNTR_RFNBOetcContent&amp;E369</f>
        <v>RNFBOC_</v>
      </c>
      <c r="U382" s="312"/>
      <c r="V382" s="312"/>
      <c r="W382" s="312"/>
      <c r="X382" s="312"/>
      <c r="Y382" s="447" t="str">
        <f>IF(E369="","",IF(OR(F382=EUconst_NA,W382=TRUE),EUconst_NA,INDEX(EUwideConstants!$P$164:$P$200,MATCH(T382,EUwideConstants!$S$164:$S$200,0))))</f>
        <v/>
      </c>
      <c r="Z382" s="314"/>
      <c r="AA382" s="314"/>
      <c r="AB382" s="314"/>
      <c r="AC382" s="397" t="b">
        <f>AND(AC378,Y382&lt;&gt;EUconst_NA)</f>
        <v>0</v>
      </c>
      <c r="AD382" s="314"/>
      <c r="AE382" s="415"/>
      <c r="AF382" s="416"/>
      <c r="AG382" s="417"/>
      <c r="AH382" s="418"/>
      <c r="AI382" s="418"/>
      <c r="AJ382" s="418"/>
      <c r="AK382" s="419"/>
      <c r="AL382" s="326"/>
      <c r="AM382" s="326"/>
      <c r="AN382" s="326"/>
      <c r="AO382" s="326"/>
      <c r="AP382" s="326"/>
      <c r="AQ382" s="444" t="s">
        <v>159</v>
      </c>
      <c r="AR382" s="415"/>
      <c r="AS382" s="445" t="str">
        <f t="shared" si="105"/>
        <v/>
      </c>
      <c r="AT382" s="446"/>
      <c r="AU382" s="447" t="str">
        <f t="shared" si="106"/>
        <v/>
      </c>
      <c r="AV382" s="397">
        <f t="shared" si="107"/>
        <v>0</v>
      </c>
      <c r="AW382" s="398" t="b">
        <f t="shared" si="99"/>
        <v>0</v>
      </c>
      <c r="AX382" s="448" t="b">
        <f t="shared" si="100"/>
        <v>0</v>
      </c>
      <c r="AY382" s="314"/>
      <c r="AZ382" s="449" t="b">
        <f t="shared" si="101"/>
        <v>0</v>
      </c>
      <c r="BA382" s="450" t="b">
        <f t="shared" si="102"/>
        <v>0</v>
      </c>
      <c r="BB382" s="314"/>
      <c r="BC382" s="398" t="b">
        <f t="shared" si="103"/>
        <v>0</v>
      </c>
      <c r="BD382" s="369" t="b">
        <f>OR(AV382&gt;100%,(AV382+AV383)&gt;100%)</f>
        <v>0</v>
      </c>
      <c r="BE382" s="314"/>
      <c r="BF382" s="451" t="s">
        <v>164</v>
      </c>
      <c r="BG382" s="452">
        <f>IF(AN374=EUconst_TJ,AV374*(1-AV378),IF(AN376=EUconst_GJ,AV374*AV376/1000,0))-SUM(BG383:BG389)</f>
        <v>0</v>
      </c>
      <c r="BH382" s="314"/>
      <c r="BI382" s="314"/>
      <c r="BJ382" s="314"/>
      <c r="BK382" s="314"/>
      <c r="BL382" s="314"/>
      <c r="BM382" s="314"/>
      <c r="BN382" s="314"/>
      <c r="BO382" s="314"/>
      <c r="BP382" s="314"/>
      <c r="BQ382" s="314"/>
      <c r="BR382" s="314"/>
      <c r="BS382" s="314"/>
      <c r="BT382" s="314"/>
      <c r="BU382" s="314"/>
      <c r="BV382" s="314"/>
      <c r="BW382" s="314"/>
      <c r="BX382" s="314"/>
      <c r="BY382" s="314"/>
      <c r="BZ382" s="314"/>
      <c r="CA382" s="314"/>
      <c r="CB382" s="314"/>
      <c r="CC382" s="314"/>
      <c r="CD382" s="314"/>
      <c r="CE382" s="314"/>
      <c r="CF382" s="314"/>
      <c r="CG382" s="314"/>
      <c r="CH382" s="314"/>
      <c r="CI382" s="314"/>
      <c r="CJ382" s="314"/>
      <c r="CK382" s="314"/>
      <c r="CL382" s="314"/>
      <c r="CM382" s="314"/>
      <c r="CN382" s="314"/>
      <c r="CO382" s="314"/>
      <c r="CP382" s="314"/>
      <c r="CQ382" s="407" t="b">
        <f>OR(CQ374,Y382=EUconst_NA)</f>
        <v>0</v>
      </c>
    </row>
    <row r="383" spans="1:95" ht="12.75" customHeight="1" thickBot="1" x14ac:dyDescent="0.3">
      <c r="A383" s="307"/>
      <c r="B383" s="68"/>
      <c r="C383" s="199" t="s">
        <v>165</v>
      </c>
      <c r="D383" s="344" t="str">
        <f>Translations!$B$618</f>
        <v>non-sust. SLCF:</v>
      </c>
      <c r="E383" s="441"/>
      <c r="F383" s="20" t="s">
        <v>158</v>
      </c>
      <c r="G383" s="1261"/>
      <c r="H383" s="1262"/>
      <c r="I383" s="422" t="str">
        <f t="shared" si="104"/>
        <v/>
      </c>
      <c r="J383" s="423"/>
      <c r="K383" s="443"/>
      <c r="L383" s="56"/>
      <c r="M383" s="347" t="str">
        <f>IF(AND(E369&lt;&gt;"",OR(F383="",COUNT(L383)=0),Y383&lt;&gt;EUconst_NA),EUconst_ERR_Incomplete,"")</f>
        <v/>
      </c>
      <c r="N383" s="76"/>
      <c r="O383" s="160"/>
      <c r="P383" s="348"/>
      <c r="Q383" s="413"/>
      <c r="R383" s="413"/>
      <c r="S383" s="314"/>
      <c r="T383" s="425" t="str">
        <f>EUconst_CNTR_RFNBOetcContent&amp;E369</f>
        <v>RNFBOC_</v>
      </c>
      <c r="U383" s="312"/>
      <c r="V383" s="312"/>
      <c r="W383" s="312"/>
      <c r="X383" s="312"/>
      <c r="Y383" s="438" t="str">
        <f>IF(E369="","",IF(OR(F383=EUconst_NA,W383=TRUE),EUconst_NA,INDEX(EUwideConstants!$P$164:$P$200,MATCH(T383,EUwideConstants!$S$164:$S$200,0))))</f>
        <v/>
      </c>
      <c r="Z383" s="314"/>
      <c r="AA383" s="314"/>
      <c r="AB383" s="314"/>
      <c r="AC383" s="429" t="b">
        <f>AND(AC378,Y383&lt;&gt;EUconst_NA)</f>
        <v>0</v>
      </c>
      <c r="AD383" s="314"/>
      <c r="AE383" s="430"/>
      <c r="AF383" s="431"/>
      <c r="AG383" s="432"/>
      <c r="AH383" s="433"/>
      <c r="AI383" s="433"/>
      <c r="AJ383" s="433"/>
      <c r="AK383" s="434"/>
      <c r="AL383" s="326"/>
      <c r="AM383" s="326"/>
      <c r="AN383" s="326"/>
      <c r="AO383" s="326"/>
      <c r="AP383" s="326"/>
      <c r="AQ383" s="435" t="s">
        <v>159</v>
      </c>
      <c r="AR383" s="430"/>
      <c r="AS383" s="436" t="str">
        <f t="shared" si="105"/>
        <v/>
      </c>
      <c r="AT383" s="437"/>
      <c r="AU383" s="438" t="str">
        <f t="shared" si="106"/>
        <v/>
      </c>
      <c r="AV383" s="429">
        <f t="shared" si="107"/>
        <v>0</v>
      </c>
      <c r="AW383" s="407" t="b">
        <f t="shared" si="99"/>
        <v>0</v>
      </c>
      <c r="AX383" s="439" t="b">
        <f t="shared" si="100"/>
        <v>0</v>
      </c>
      <c r="AY383" s="314"/>
      <c r="AZ383" s="408" t="b">
        <f t="shared" si="101"/>
        <v>0</v>
      </c>
      <c r="BA383" s="440" t="b">
        <f t="shared" si="102"/>
        <v>0</v>
      </c>
      <c r="BB383" s="314"/>
      <c r="BC383" s="407" t="b">
        <f t="shared" si="103"/>
        <v>0</v>
      </c>
      <c r="BD383" s="407" t="b">
        <f>OR(AV382&gt;100%,(AV382+AV383)&gt;100%)</f>
        <v>0</v>
      </c>
      <c r="BE383" s="314"/>
      <c r="BF383" s="408" t="s">
        <v>166</v>
      </c>
      <c r="BG383" s="409" t="str">
        <f>IF(AN374=EUconst_TJ,AV374*AV378,IF(AN376=EUconst_GJ,AV374*AV376/1000*AV378,""))</f>
        <v/>
      </c>
      <c r="BH383" s="314"/>
      <c r="BI383" s="314"/>
      <c r="BJ383" s="314"/>
      <c r="BK383" s="314"/>
      <c r="BL383" s="314"/>
      <c r="BM383" s="314"/>
      <c r="BN383" s="314"/>
      <c r="BO383" s="314"/>
      <c r="BP383" s="314"/>
      <c r="BQ383" s="314"/>
      <c r="BR383" s="314"/>
      <c r="BS383" s="314"/>
      <c r="BT383" s="314"/>
      <c r="BU383" s="314"/>
      <c r="BV383" s="314"/>
      <c r="BW383" s="314"/>
      <c r="BX383" s="314"/>
      <c r="BY383" s="314"/>
      <c r="BZ383" s="314"/>
      <c r="CA383" s="314"/>
      <c r="CB383" s="314"/>
      <c r="CC383" s="314"/>
      <c r="CD383" s="314"/>
      <c r="CE383" s="314"/>
      <c r="CF383" s="314"/>
      <c r="CG383" s="314"/>
      <c r="CH383" s="314"/>
      <c r="CI383" s="314"/>
      <c r="CJ383" s="314"/>
      <c r="CK383" s="314"/>
      <c r="CL383" s="314"/>
      <c r="CM383" s="314"/>
      <c r="CN383" s="314"/>
      <c r="CO383" s="314"/>
      <c r="CP383" s="314"/>
      <c r="CQ383" s="407" t="b">
        <f>OR(CQ374,Y383=EUconst_NA)</f>
        <v>0</v>
      </c>
    </row>
    <row r="384" spans="1:95" ht="5.15" customHeight="1" thickBot="1" x14ac:dyDescent="0.3">
      <c r="A384" s="307"/>
      <c r="B384" s="68"/>
      <c r="C384" s="68"/>
      <c r="D384" s="205"/>
      <c r="E384" s="76"/>
      <c r="F384" s="76"/>
      <c r="G384" s="76"/>
      <c r="H384" s="76"/>
      <c r="I384" s="76"/>
      <c r="J384" s="76"/>
      <c r="K384" s="76"/>
      <c r="L384" s="76"/>
      <c r="M384" s="453"/>
      <c r="N384" s="76"/>
      <c r="O384" s="160"/>
      <c r="P384" s="109"/>
      <c r="Q384" s="312"/>
      <c r="R384" s="312"/>
      <c r="S384" s="314"/>
      <c r="T384" s="314"/>
      <c r="U384" s="314"/>
      <c r="V384" s="314"/>
      <c r="W384" s="314"/>
      <c r="X384" s="314"/>
      <c r="Y384" s="314"/>
      <c r="Z384" s="314"/>
      <c r="AA384" s="314"/>
      <c r="AB384" s="314"/>
      <c r="AC384" s="314"/>
      <c r="AD384" s="314"/>
      <c r="AE384" s="314"/>
      <c r="AF384" s="314"/>
      <c r="AG384" s="314"/>
      <c r="AH384" s="314"/>
      <c r="AI384" s="314"/>
      <c r="AJ384" s="314"/>
      <c r="AK384" s="314"/>
      <c r="AL384" s="314"/>
      <c r="AM384" s="314"/>
      <c r="AN384" s="314"/>
      <c r="AO384" s="314"/>
      <c r="AP384" s="314"/>
      <c r="AQ384" s="314"/>
      <c r="AR384" s="314"/>
      <c r="AS384" s="314"/>
      <c r="AT384" s="314"/>
      <c r="AU384" s="314"/>
      <c r="AV384" s="314"/>
      <c r="AW384" s="314"/>
      <c r="AX384" s="314"/>
      <c r="AY384" s="314"/>
      <c r="AZ384" s="314"/>
      <c r="BA384" s="314"/>
      <c r="BB384" s="314"/>
      <c r="BC384" s="314"/>
      <c r="BD384" s="314"/>
      <c r="BE384" s="314"/>
      <c r="BF384" s="314"/>
      <c r="BG384" s="364"/>
      <c r="BH384" s="314"/>
      <c r="BI384" s="314"/>
      <c r="BJ384" s="314"/>
      <c r="BK384" s="314"/>
      <c r="BL384" s="314"/>
      <c r="BM384" s="314"/>
      <c r="BN384" s="314"/>
      <c r="BO384" s="314"/>
      <c r="BP384" s="314"/>
      <c r="BQ384" s="314"/>
      <c r="BR384" s="314"/>
      <c r="BS384" s="314"/>
      <c r="BT384" s="314"/>
      <c r="BU384" s="314"/>
      <c r="BV384" s="314"/>
      <c r="BW384" s="314"/>
      <c r="BX384" s="314"/>
      <c r="BY384" s="314"/>
      <c r="BZ384" s="314"/>
      <c r="CA384" s="314"/>
      <c r="CB384" s="314"/>
      <c r="CC384" s="314"/>
      <c r="CD384" s="314"/>
      <c r="CE384" s="314"/>
      <c r="CF384" s="314"/>
      <c r="CG384" s="314"/>
      <c r="CH384" s="314"/>
      <c r="CI384" s="314"/>
      <c r="CJ384" s="314"/>
      <c r="CK384" s="314"/>
      <c r="CL384" s="314"/>
      <c r="CM384" s="314"/>
      <c r="CN384" s="314"/>
      <c r="CO384" s="314"/>
      <c r="CP384" s="314"/>
      <c r="CQ384" s="314"/>
    </row>
    <row r="385" spans="1:95" ht="12.75" customHeight="1" thickBot="1" x14ac:dyDescent="0.3">
      <c r="A385" s="307"/>
      <c r="B385" s="68"/>
      <c r="C385" s="199" t="s">
        <v>167</v>
      </c>
      <c r="D385" s="344" t="str">
        <f>Translations!$B$398</f>
        <v>Scope factor:</v>
      </c>
      <c r="E385" s="454"/>
      <c r="F385" s="992"/>
      <c r="G385" s="1263"/>
      <c r="H385" s="1264"/>
      <c r="I385" s="455" t="s">
        <v>46</v>
      </c>
      <c r="J385" s="456"/>
      <c r="K385" s="457" t="str">
        <f>IF(L385="",AU385,"")</f>
        <v/>
      </c>
      <c r="L385" s="16"/>
      <c r="M385" s="458" t="str">
        <f>IF(AND(E369&lt;&gt;"",OR(F385="",G385="",COUNT(K385:L385)=0)),EUconst_ERR_Incomplete,IF(COUNTIF(BB385:BD385,TRUE)&gt;0,EUconst_ERR_Inconsistent,""))</f>
        <v/>
      </c>
      <c r="N385" s="76"/>
      <c r="O385" s="160"/>
      <c r="P385" s="109"/>
      <c r="Q385" s="312"/>
      <c r="R385" s="314"/>
      <c r="S385" s="297"/>
      <c r="T385" s="459" t="str">
        <f>EUconst_CNTR_ScopeFactor&amp;E369</f>
        <v>ScopeFactor_</v>
      </c>
      <c r="U385" s="231" t="str">
        <f>IF(F385="","",INDEX(ScopeAddress,MATCH(F385,ScopeTiers,0)))</f>
        <v/>
      </c>
      <c r="V385" s="360" t="str">
        <f>V374</f>
        <v/>
      </c>
      <c r="W385" s="314"/>
      <c r="X385" s="314"/>
      <c r="Y385" s="460" t="str">
        <f>IF(E369="","",IF(F385=EUconst_NA,EUconst_NA,INDEX(EUwideConstants!$P$164:$P$200,MATCH(T385,EUwideConstants!$S$164:$S$200,0))))</f>
        <v/>
      </c>
      <c r="Z385" s="461" t="str">
        <f>IF(ISBLANK(F385),"",IF(F385=EUconst_NA,"",INDEX(EUwideConstants!$H:$O,MATCH(T385,EUwideConstants!$S:$S,0),MATCH(F385,CNTR_TierList,0))))</f>
        <v/>
      </c>
      <c r="AA385" s="331" t="str">
        <f>IF(G385=EUwideConstants!$A$89,1,"")</f>
        <v/>
      </c>
      <c r="AB385" s="314"/>
      <c r="AC385" s="331" t="b">
        <f>AND(AC374,Y385&lt;&gt;EUconst_NA)</f>
        <v>0</v>
      </c>
      <c r="AD385" s="314"/>
      <c r="AE385" s="314"/>
      <c r="AF385" s="314"/>
      <c r="AG385" s="319"/>
      <c r="AH385" s="314"/>
      <c r="AI385" s="314"/>
      <c r="AJ385" s="314"/>
      <c r="AK385" s="314"/>
      <c r="AL385" s="314"/>
      <c r="AM385" s="314"/>
      <c r="AN385" s="314"/>
      <c r="AO385" s="314"/>
      <c r="AP385" s="314"/>
      <c r="AQ385" s="314"/>
      <c r="AR385" s="314"/>
      <c r="AS385" s="328">
        <v>1</v>
      </c>
      <c r="AT385" s="314"/>
      <c r="AU385" s="319" t="str">
        <f>IF(G385=EUwideConstants!$A$89,AS385,"")</f>
        <v/>
      </c>
      <c r="AV385" s="331">
        <f>IF(AC385=TRUE,IF(COUNT(K385:L385)=0,0,IF(L385="",K385,L385)),0)</f>
        <v>0</v>
      </c>
      <c r="AW385" s="360" t="b">
        <f>AND(AC385=TRUE,OR(AND(F385&lt;&gt;"",NOT(ISNUMBER(AA385))),L385&lt;&gt;"",F385="",AU385=""))</f>
        <v>0</v>
      </c>
      <c r="AX385" s="357" t="b">
        <f>AND(AC385=TRUE,NOT(AW385))</f>
        <v>0</v>
      </c>
      <c r="AY385" s="314"/>
      <c r="AZ385" s="361" t="b">
        <f>AND(ISNUMBER(AA385),AU385="")</f>
        <v>0</v>
      </c>
      <c r="BA385" s="351" t="b">
        <f>AND(ISNUMBER(AA385),AU385&lt;&gt;AV385)</f>
        <v>0</v>
      </c>
      <c r="BB385" s="314"/>
      <c r="BC385" s="360" t="b">
        <f>AND(F385&lt;&gt;"",OR(COUNTIF(INDEX(ScopeMethods,F385,),G385)=0,AND(AA385&lt;&gt;"",AU385&lt;&gt;AV385)))</f>
        <v>0</v>
      </c>
      <c r="BD385" s="314"/>
      <c r="BE385" s="314"/>
      <c r="BF385" s="361" t="s">
        <v>168</v>
      </c>
      <c r="BG385" s="362" t="str">
        <f>IF(AN374=EUconst_TJ,AV374*AV380,IF(AN376=EUconst_GJ,AV374*AV376/1000*AV380,""))</f>
        <v/>
      </c>
      <c r="BH385" s="314"/>
      <c r="BI385" s="314"/>
      <c r="BJ385" s="314"/>
      <c r="BK385" s="314"/>
      <c r="BL385" s="314"/>
      <c r="BM385" s="314"/>
      <c r="BN385" s="314"/>
      <c r="BO385" s="314"/>
      <c r="BP385" s="314"/>
      <c r="BQ385" s="314"/>
      <c r="BR385" s="314"/>
      <c r="BS385" s="314"/>
      <c r="BT385" s="314"/>
      <c r="BU385" s="314"/>
      <c r="BV385" s="314"/>
      <c r="BW385" s="314"/>
      <c r="BX385" s="314"/>
      <c r="BY385" s="314"/>
      <c r="BZ385" s="314"/>
      <c r="CA385" s="314"/>
      <c r="CB385" s="314"/>
      <c r="CC385" s="314"/>
      <c r="CD385" s="314"/>
      <c r="CE385" s="314"/>
      <c r="CF385" s="314"/>
      <c r="CG385" s="314"/>
      <c r="CH385" s="314"/>
      <c r="CI385" s="314"/>
      <c r="CJ385" s="314"/>
      <c r="CK385" s="314"/>
      <c r="CL385" s="314"/>
      <c r="CM385" s="314"/>
      <c r="CN385" s="314"/>
      <c r="CO385" s="314"/>
      <c r="CP385" s="314"/>
      <c r="CQ385" s="314"/>
    </row>
    <row r="386" spans="1:95" ht="12.75" customHeight="1" x14ac:dyDescent="0.25">
      <c r="A386" s="307"/>
      <c r="B386" s="68"/>
      <c r="C386" s="68"/>
      <c r="D386" s="68"/>
      <c r="E386" s="68"/>
      <c r="F386" s="68"/>
      <c r="G386" s="1265" t="str">
        <f>IF(G385="","",INDEX(ScopeMethodsDetails,MATCH(G385,INDEX(ScopeMethodsDetails,,1),0),2))</f>
        <v/>
      </c>
      <c r="H386" s="1266"/>
      <c r="I386" s="1266"/>
      <c r="J386" s="1266"/>
      <c r="K386" s="1266"/>
      <c r="L386" s="1266"/>
      <c r="M386" s="1267"/>
      <c r="N386" s="76"/>
      <c r="O386" s="160"/>
      <c r="P386" s="109"/>
      <c r="Q386" s="312"/>
      <c r="R386" s="312"/>
      <c r="S386" s="314"/>
      <c r="T386" s="314"/>
      <c r="U386" s="314"/>
      <c r="V386" s="314"/>
      <c r="W386" s="314"/>
      <c r="X386" s="314"/>
      <c r="Y386" s="314"/>
      <c r="Z386" s="314"/>
      <c r="AA386" s="314"/>
      <c r="AB386" s="314"/>
      <c r="AC386" s="314"/>
      <c r="AD386" s="314"/>
      <c r="AE386" s="314"/>
      <c r="AF386" s="314"/>
      <c r="AG386" s="314"/>
      <c r="AH386" s="314"/>
      <c r="AI386" s="314"/>
      <c r="AJ386" s="314"/>
      <c r="AK386" s="314"/>
      <c r="AL386" s="314"/>
      <c r="AM386" s="314"/>
      <c r="AN386" s="314"/>
      <c r="AO386" s="314"/>
      <c r="AP386" s="314"/>
      <c r="AQ386" s="314"/>
      <c r="AR386" s="314"/>
      <c r="AS386" s="314"/>
      <c r="AT386" s="314"/>
      <c r="AU386" s="314"/>
      <c r="AV386" s="314"/>
      <c r="AW386" s="314"/>
      <c r="AX386" s="314"/>
      <c r="AY386" s="314"/>
      <c r="AZ386" s="314"/>
      <c r="BA386" s="314"/>
      <c r="BB386" s="314"/>
      <c r="BC386" s="314"/>
      <c r="BD386" s="314"/>
      <c r="BE386" s="314"/>
      <c r="BG386" s="364"/>
      <c r="BH386" s="314"/>
      <c r="BI386" s="314"/>
      <c r="BJ386" s="314"/>
      <c r="BK386" s="314"/>
      <c r="BL386" s="314"/>
      <c r="BM386" s="314"/>
      <c r="BN386" s="314"/>
      <c r="BO386" s="314"/>
      <c r="BP386" s="314"/>
      <c r="BQ386" s="314"/>
      <c r="BR386" s="314"/>
      <c r="BS386" s="314"/>
      <c r="BT386" s="314"/>
      <c r="BU386" s="314"/>
      <c r="BV386" s="314"/>
      <c r="BW386" s="314"/>
      <c r="BX386" s="314"/>
      <c r="BY386" s="314"/>
      <c r="BZ386" s="314"/>
      <c r="CA386" s="314"/>
      <c r="CB386" s="314"/>
      <c r="CC386" s="314"/>
      <c r="CD386" s="314"/>
      <c r="CE386" s="314"/>
      <c r="CF386" s="314"/>
      <c r="CG386" s="314"/>
      <c r="CH386" s="314"/>
      <c r="CI386" s="314"/>
      <c r="CJ386" s="314"/>
      <c r="CK386" s="314"/>
      <c r="CL386" s="314"/>
      <c r="CM386" s="314"/>
      <c r="CN386" s="314"/>
      <c r="CO386" s="314"/>
      <c r="CP386" s="314"/>
      <c r="CQ386" s="314"/>
    </row>
    <row r="387" spans="1:95" ht="5.15" customHeight="1" x14ac:dyDescent="0.25">
      <c r="A387" s="307"/>
      <c r="C387" s="76"/>
      <c r="D387" s="76"/>
      <c r="E387" s="76"/>
      <c r="F387" s="76"/>
      <c r="G387" s="76"/>
      <c r="H387" s="76"/>
      <c r="I387" s="76"/>
      <c r="J387" s="76"/>
      <c r="K387" s="76"/>
      <c r="L387" s="76"/>
      <c r="O387" s="160"/>
      <c r="P387" s="109"/>
      <c r="Q387" s="312"/>
      <c r="R387" s="312"/>
      <c r="S387" s="314"/>
      <c r="T387" s="314"/>
      <c r="U387" s="314"/>
      <c r="V387" s="314"/>
      <c r="W387" s="314"/>
      <c r="X387" s="314"/>
      <c r="Y387" s="314"/>
      <c r="Z387" s="314"/>
      <c r="AA387" s="314"/>
      <c r="AB387" s="314"/>
      <c r="AC387" s="314"/>
      <c r="AD387" s="314"/>
      <c r="AE387" s="314"/>
      <c r="AF387" s="314"/>
      <c r="AG387" s="314"/>
      <c r="AH387" s="314"/>
      <c r="AI387" s="314"/>
      <c r="AJ387" s="314"/>
      <c r="AK387" s="314"/>
      <c r="AL387" s="314"/>
      <c r="AM387" s="314"/>
      <c r="AN387" s="314"/>
      <c r="AO387" s="314"/>
      <c r="AP387" s="314"/>
      <c r="AQ387" s="314"/>
      <c r="AR387" s="314"/>
      <c r="AS387" s="314"/>
      <c r="AT387" s="314"/>
      <c r="AU387" s="314"/>
      <c r="AV387" s="314"/>
      <c r="AW387" s="314"/>
      <c r="AX387" s="314"/>
      <c r="AY387" s="314"/>
      <c r="AZ387" s="314"/>
      <c r="BA387" s="314"/>
      <c r="BB387" s="314"/>
      <c r="BC387" s="314"/>
      <c r="BD387" s="314"/>
      <c r="BE387" s="314"/>
      <c r="BG387" s="364"/>
      <c r="BH387" s="314"/>
      <c r="BI387" s="314"/>
      <c r="BJ387" s="314"/>
      <c r="BK387" s="314"/>
      <c r="BL387" s="314"/>
      <c r="BM387" s="314"/>
      <c r="BN387" s="314"/>
      <c r="BO387" s="314"/>
      <c r="BP387" s="314"/>
      <c r="BQ387" s="314"/>
      <c r="BR387" s="314"/>
      <c r="BS387" s="314"/>
      <c r="BT387" s="314"/>
      <c r="BU387" s="314"/>
      <c r="BV387" s="314"/>
      <c r="BW387" s="314"/>
      <c r="BX387" s="314"/>
      <c r="BY387" s="314"/>
      <c r="BZ387" s="314"/>
      <c r="CA387" s="314"/>
      <c r="CB387" s="314"/>
      <c r="CC387" s="314"/>
      <c r="CD387" s="314"/>
      <c r="CE387" s="314"/>
      <c r="CF387" s="314"/>
      <c r="CG387" s="314"/>
      <c r="CH387" s="314"/>
      <c r="CI387" s="314"/>
      <c r="CJ387" s="314"/>
      <c r="CK387" s="314"/>
      <c r="CL387" s="314"/>
      <c r="CM387" s="314"/>
      <c r="CN387" s="314"/>
      <c r="CO387" s="314"/>
      <c r="CP387" s="314"/>
      <c r="CQ387" s="314"/>
    </row>
    <row r="388" spans="1:95" ht="12.75" customHeight="1" thickBot="1" x14ac:dyDescent="0.3">
      <c r="A388" s="307"/>
      <c r="C388" s="76"/>
      <c r="D388" s="76"/>
      <c r="E388" s="76"/>
      <c r="F388" s="76"/>
      <c r="G388" s="1268">
        <v>1</v>
      </c>
      <c r="H388" s="1268"/>
      <c r="I388" s="1268">
        <v>2</v>
      </c>
      <c r="J388" s="1268"/>
      <c r="K388" s="1268">
        <v>3</v>
      </c>
      <c r="L388" s="1268"/>
      <c r="O388" s="160"/>
      <c r="P388" s="109"/>
      <c r="Q388" s="312"/>
      <c r="R388" s="312"/>
      <c r="S388" s="314"/>
      <c r="T388" s="314"/>
      <c r="U388" s="314"/>
      <c r="V388" s="314"/>
      <c r="W388" s="314"/>
      <c r="X388" s="314"/>
      <c r="Y388" s="314"/>
      <c r="Z388" s="314"/>
      <c r="AA388" s="314"/>
      <c r="AB388" s="314"/>
      <c r="AC388" s="314"/>
      <c r="AD388" s="314"/>
      <c r="AE388" s="314"/>
      <c r="AF388" s="314"/>
      <c r="AG388" s="314"/>
      <c r="AH388" s="314"/>
      <c r="AI388" s="314"/>
      <c r="AJ388" s="314"/>
      <c r="AK388" s="314"/>
      <c r="AL388" s="314"/>
      <c r="AM388" s="314"/>
      <c r="AN388" s="314"/>
      <c r="AO388" s="314"/>
      <c r="AP388" s="314"/>
      <c r="AQ388" s="314"/>
      <c r="AR388" s="314"/>
      <c r="AS388" s="314"/>
      <c r="AT388" s="314"/>
      <c r="AU388" s="314"/>
      <c r="AV388" s="314"/>
      <c r="AW388" s="314"/>
      <c r="AX388" s="314"/>
      <c r="AY388" s="314"/>
      <c r="AZ388" s="314"/>
      <c r="BA388" s="314"/>
      <c r="BB388" s="314"/>
      <c r="BC388" s="314"/>
      <c r="BD388" s="314"/>
      <c r="BE388" s="314"/>
      <c r="BF388" s="314"/>
      <c r="BG388" s="364"/>
      <c r="BH388" s="314"/>
      <c r="BI388" s="314"/>
      <c r="BJ388" s="314"/>
      <c r="BK388" s="314"/>
      <c r="BL388" s="314"/>
      <c r="BM388" s="314"/>
      <c r="BN388" s="314"/>
      <c r="BO388" s="314"/>
      <c r="BP388" s="314"/>
      <c r="BQ388" s="314"/>
      <c r="BR388" s="314"/>
      <c r="BS388" s="314"/>
      <c r="BT388" s="314"/>
      <c r="BU388" s="314"/>
      <c r="BV388" s="314"/>
      <c r="BW388" s="314"/>
      <c r="BX388" s="314"/>
      <c r="BY388" s="314"/>
      <c r="BZ388" s="314"/>
      <c r="CA388" s="314"/>
      <c r="CB388" s="314"/>
      <c r="CC388" s="314"/>
      <c r="CD388" s="314"/>
      <c r="CE388" s="314"/>
      <c r="CF388" s="314"/>
      <c r="CG388" s="314"/>
      <c r="CH388" s="314"/>
      <c r="CI388" s="314"/>
      <c r="CJ388" s="314"/>
      <c r="CK388" s="314"/>
      <c r="CL388" s="314"/>
      <c r="CM388" s="314"/>
      <c r="CN388" s="314"/>
      <c r="CO388" s="314"/>
      <c r="CP388" s="314"/>
      <c r="CQ388" s="314"/>
    </row>
    <row r="389" spans="1:95" ht="12.75" customHeight="1" thickBot="1" x14ac:dyDescent="0.3">
      <c r="A389" s="462"/>
      <c r="B389" s="76"/>
      <c r="C389" s="76"/>
      <c r="D389" s="1246" t="str">
        <f>Translations!$B$372</f>
        <v>Consumers' CRF category:</v>
      </c>
      <c r="E389" s="1246"/>
      <c r="F389" s="1247"/>
      <c r="G389" s="1248"/>
      <c r="H389" s="1249"/>
      <c r="I389" s="1248"/>
      <c r="J389" s="1249"/>
      <c r="K389" s="1248"/>
      <c r="L389" s="1249"/>
      <c r="M389" s="463" t="str">
        <f>IF(AND(E368&lt;&gt;"",COUNTA(G389:L389)=0,AX389=FALSE),EUconst_ERR_Incomplete,"")</f>
        <v/>
      </c>
      <c r="N389" s="76"/>
      <c r="O389" s="160"/>
      <c r="P389" s="109"/>
      <c r="Q389" s="312"/>
      <c r="R389" s="312"/>
      <c r="S389" s="314"/>
      <c r="T389" s="314"/>
      <c r="U389" s="314"/>
      <c r="V389" s="314"/>
      <c r="W389" s="314"/>
      <c r="X389" s="314"/>
      <c r="Y389" s="314"/>
      <c r="Z389" s="314"/>
      <c r="AA389" s="314"/>
      <c r="AB389" s="314"/>
      <c r="AC389" s="314"/>
      <c r="AD389" s="314"/>
      <c r="AE389" s="314"/>
      <c r="AF389" s="314"/>
      <c r="AG389" s="314"/>
      <c r="AH389" s="314"/>
      <c r="AI389" s="314"/>
      <c r="AJ389" s="314"/>
      <c r="AK389" s="314"/>
      <c r="AL389" s="314"/>
      <c r="AM389" s="314"/>
      <c r="AN389" s="314"/>
      <c r="AO389" s="314"/>
      <c r="AP389" s="314"/>
      <c r="AQ389" s="314"/>
      <c r="AR389" s="314"/>
      <c r="AS389" s="314"/>
      <c r="AT389" s="314"/>
      <c r="AU389" s="314"/>
      <c r="AV389" s="314"/>
      <c r="AW389" s="314"/>
      <c r="AX389" s="464" t="b">
        <f>AND(AV385&lt;&gt;"",SUM(AV385=1))</f>
        <v>0</v>
      </c>
      <c r="AY389" s="314"/>
      <c r="AZ389" s="314"/>
      <c r="BA389" s="314"/>
      <c r="BB389" s="314"/>
      <c r="BC389" s="314"/>
      <c r="BD389" s="314"/>
      <c r="BE389" s="314"/>
      <c r="BF389" s="361" t="s">
        <v>169</v>
      </c>
      <c r="BG389" s="362" t="str">
        <f>IF(AN374=EUconst_TJ,AV374*AV382,IF(AN376=EUconst_GJ,AV374*AV376/1000*AV382,""))</f>
        <v/>
      </c>
      <c r="BH389" s="314"/>
      <c r="BI389" s="314"/>
      <c r="BJ389" s="314"/>
      <c r="BK389" s="314"/>
      <c r="BL389" s="314"/>
      <c r="BM389" s="314"/>
      <c r="BN389" s="314"/>
      <c r="BO389" s="314"/>
      <c r="BP389" s="314"/>
      <c r="BQ389" s="314"/>
      <c r="BR389" s="314"/>
      <c r="BS389" s="314"/>
      <c r="BT389" s="314"/>
      <c r="BU389" s="314"/>
      <c r="BV389" s="314"/>
      <c r="BW389" s="314"/>
      <c r="BX389" s="314"/>
      <c r="BY389" s="314"/>
      <c r="BZ389" s="314"/>
      <c r="CA389" s="314"/>
      <c r="CB389" s="314"/>
      <c r="CC389" s="314"/>
      <c r="CD389" s="314"/>
      <c r="CE389" s="314"/>
      <c r="CF389" s="314"/>
      <c r="CG389" s="314"/>
      <c r="CH389" s="314"/>
      <c r="CI389" s="314"/>
      <c r="CJ389" s="314"/>
      <c r="CK389" s="314"/>
      <c r="CL389" s="314"/>
      <c r="CM389" s="314"/>
      <c r="CN389" s="314"/>
      <c r="CO389" s="314"/>
      <c r="CP389" s="314"/>
      <c r="CQ389" s="314"/>
    </row>
    <row r="390" spans="1:95" ht="5.15" customHeight="1" x14ac:dyDescent="0.25">
      <c r="A390" s="307"/>
      <c r="B390" s="68"/>
      <c r="C390" s="68"/>
      <c r="D390" s="68"/>
      <c r="E390" s="68"/>
      <c r="F390" s="68"/>
      <c r="G390" s="76"/>
      <c r="H390" s="76"/>
      <c r="I390" s="76"/>
      <c r="J390" s="76"/>
      <c r="K390" s="76"/>
      <c r="L390" s="76"/>
      <c r="M390" s="76"/>
      <c r="N390" s="76"/>
      <c r="O390" s="160"/>
      <c r="P390" s="109"/>
      <c r="Q390" s="312"/>
      <c r="R390" s="312"/>
      <c r="S390" s="314"/>
      <c r="T390" s="314"/>
      <c r="U390" s="314"/>
      <c r="V390" s="314"/>
      <c r="W390" s="314"/>
      <c r="X390" s="314"/>
      <c r="Y390" s="314"/>
      <c r="Z390" s="314"/>
      <c r="AA390" s="314"/>
      <c r="AB390" s="314"/>
      <c r="AC390" s="314"/>
      <c r="AD390" s="314"/>
      <c r="AE390" s="314"/>
      <c r="AF390" s="314"/>
      <c r="AG390" s="314"/>
      <c r="AH390" s="314"/>
      <c r="AI390" s="314"/>
      <c r="AJ390" s="314"/>
      <c r="AK390" s="314"/>
      <c r="AL390" s="314"/>
      <c r="AM390" s="314"/>
      <c r="AN390" s="314"/>
      <c r="AO390" s="314"/>
      <c r="AP390" s="314"/>
      <c r="AQ390" s="314"/>
      <c r="AR390" s="314"/>
      <c r="AS390" s="314"/>
      <c r="AT390" s="314"/>
      <c r="AU390" s="314"/>
      <c r="AV390" s="314"/>
      <c r="AW390" s="314"/>
      <c r="AX390" s="314"/>
      <c r="AY390" s="314"/>
      <c r="AZ390" s="314"/>
      <c r="BA390" s="314"/>
      <c r="BB390" s="314"/>
      <c r="BC390" s="314"/>
      <c r="BD390" s="314"/>
      <c r="BE390" s="314"/>
      <c r="BF390" s="314"/>
      <c r="BG390" s="314"/>
      <c r="BH390" s="314"/>
      <c r="BI390" s="314"/>
      <c r="BJ390" s="314"/>
      <c r="BK390" s="314"/>
      <c r="BL390" s="314"/>
      <c r="BM390" s="314"/>
      <c r="BN390" s="314"/>
      <c r="BO390" s="314"/>
      <c r="BP390" s="314"/>
      <c r="BQ390" s="314"/>
      <c r="BR390" s="314"/>
      <c r="BS390" s="314"/>
      <c r="BT390" s="314"/>
      <c r="BU390" s="314"/>
      <c r="BV390" s="314"/>
      <c r="BW390" s="314"/>
      <c r="BX390" s="314"/>
      <c r="BY390" s="314"/>
      <c r="BZ390" s="314"/>
      <c r="CA390" s="314"/>
      <c r="CB390" s="314"/>
      <c r="CC390" s="314"/>
      <c r="CD390" s="314"/>
      <c r="CE390" s="314"/>
      <c r="CF390" s="314"/>
      <c r="CG390" s="314"/>
      <c r="CH390" s="314"/>
      <c r="CI390" s="314"/>
      <c r="CJ390" s="314"/>
      <c r="CK390" s="314"/>
      <c r="CL390" s="314"/>
      <c r="CM390" s="314"/>
      <c r="CN390" s="314"/>
      <c r="CO390" s="314"/>
      <c r="CP390" s="314"/>
      <c r="CQ390" s="314"/>
    </row>
    <row r="391" spans="1:95" ht="12.75" customHeight="1" x14ac:dyDescent="0.25">
      <c r="A391" s="307"/>
      <c r="B391" s="68"/>
      <c r="C391" s="68"/>
      <c r="D391" s="1246" t="str">
        <f>Translations!$B$399</f>
        <v>Tiers valid from:</v>
      </c>
      <c r="E391" s="1246"/>
      <c r="F391" s="1247"/>
      <c r="G391" s="8"/>
      <c r="H391" s="199" t="str">
        <f>Translations!$B$400</f>
        <v>until:</v>
      </c>
      <c r="I391" s="8"/>
      <c r="J391" s="76"/>
      <c r="K391" s="76"/>
      <c r="L391" s="76"/>
      <c r="M391" s="199" t="str">
        <f>Translations!$B$401</f>
        <v>ID used in the monitoring plan for this fuel stream:</v>
      </c>
      <c r="N391" s="9"/>
      <c r="O391" s="160"/>
      <c r="P391" s="109"/>
      <c r="Q391" s="312"/>
      <c r="R391" s="312"/>
      <c r="S391" s="465"/>
      <c r="T391" s="314"/>
      <c r="U391" s="314"/>
      <c r="V391" s="314"/>
      <c r="W391" s="314"/>
      <c r="X391" s="314"/>
      <c r="Y391" s="314"/>
      <c r="Z391" s="314"/>
      <c r="AA391" s="314"/>
      <c r="AB391" s="314"/>
      <c r="AC391" s="314"/>
      <c r="AD391" s="314"/>
      <c r="AE391" s="314"/>
      <c r="AF391" s="314"/>
      <c r="AG391" s="314"/>
      <c r="AH391" s="314"/>
      <c r="AI391" s="314"/>
      <c r="AJ391" s="314"/>
      <c r="AK391" s="314"/>
      <c r="AL391" s="314"/>
      <c r="AM391" s="314"/>
      <c r="AN391" s="314"/>
      <c r="AO391" s="314"/>
      <c r="AP391" s="314"/>
      <c r="AQ391" s="314"/>
      <c r="AR391" s="314"/>
      <c r="AS391" s="314"/>
      <c r="AT391" s="314"/>
      <c r="AU391" s="314"/>
      <c r="AV391" s="314"/>
      <c r="AW391" s="314"/>
      <c r="AX391" s="314"/>
      <c r="AY391" s="314"/>
      <c r="AZ391" s="314"/>
      <c r="BA391" s="314"/>
      <c r="BB391" s="314"/>
      <c r="BC391" s="314"/>
      <c r="BD391" s="314"/>
      <c r="BE391" s="314"/>
      <c r="BF391" s="314"/>
      <c r="BG391" s="314"/>
      <c r="BH391" s="314"/>
      <c r="BI391" s="314"/>
      <c r="BJ391" s="314"/>
      <c r="BK391" s="314"/>
      <c r="BL391" s="314"/>
      <c r="BM391" s="314"/>
      <c r="BN391" s="314"/>
      <c r="BO391" s="314"/>
      <c r="BP391" s="314"/>
      <c r="BQ391" s="314"/>
      <c r="BR391" s="314"/>
      <c r="BS391" s="314"/>
      <c r="BT391" s="314"/>
      <c r="BU391" s="314"/>
      <c r="BV391" s="314"/>
      <c r="BW391" s="314"/>
      <c r="BX391" s="314"/>
      <c r="BY391" s="314"/>
      <c r="BZ391" s="314"/>
      <c r="CA391" s="314"/>
      <c r="CB391" s="314"/>
      <c r="CC391" s="314"/>
      <c r="CD391" s="314"/>
      <c r="CE391" s="314"/>
      <c r="CF391" s="314"/>
      <c r="CG391" s="314"/>
      <c r="CH391" s="314"/>
      <c r="CI391" s="314"/>
      <c r="CJ391" s="314"/>
      <c r="CK391" s="314"/>
      <c r="CL391" s="314"/>
      <c r="CM391" s="314"/>
      <c r="CN391" s="314"/>
      <c r="CO391" s="314"/>
      <c r="CP391" s="314"/>
      <c r="CQ391" s="464" t="b">
        <f>CQ374</f>
        <v>0</v>
      </c>
    </row>
    <row r="392" spans="1:95" ht="5.15" customHeight="1" x14ac:dyDescent="0.25">
      <c r="A392" s="462"/>
      <c r="B392" s="76"/>
      <c r="C392" s="76"/>
      <c r="D392" s="76"/>
      <c r="E392" s="76"/>
      <c r="F392" s="76"/>
      <c r="G392" s="76"/>
      <c r="H392" s="76"/>
      <c r="I392" s="76"/>
      <c r="J392" s="76"/>
      <c r="K392" s="76"/>
      <c r="L392" s="76"/>
      <c r="M392" s="76"/>
      <c r="N392" s="76"/>
      <c r="O392" s="160"/>
      <c r="P392" s="109"/>
      <c r="Q392" s="312"/>
      <c r="R392" s="312"/>
      <c r="S392" s="314"/>
      <c r="T392" s="314"/>
      <c r="U392" s="314"/>
      <c r="V392" s="314"/>
      <c r="W392" s="314"/>
      <c r="X392" s="314"/>
      <c r="Y392" s="314"/>
      <c r="Z392" s="314"/>
      <c r="AA392" s="314"/>
      <c r="AB392" s="314"/>
      <c r="AC392" s="314"/>
      <c r="AD392" s="314"/>
      <c r="AE392" s="314"/>
      <c r="AF392" s="314"/>
      <c r="AG392" s="314"/>
      <c r="AH392" s="314"/>
      <c r="AI392" s="314"/>
      <c r="AJ392" s="314"/>
      <c r="AK392" s="314"/>
      <c r="AL392" s="314"/>
      <c r="AM392" s="314"/>
      <c r="AN392" s="314"/>
      <c r="AO392" s="314"/>
      <c r="AP392" s="314"/>
      <c r="AQ392" s="314"/>
      <c r="AR392" s="314"/>
      <c r="AS392" s="314"/>
      <c r="AT392" s="314"/>
      <c r="AU392" s="314"/>
      <c r="AV392" s="314"/>
      <c r="AW392" s="314"/>
      <c r="AX392" s="314"/>
      <c r="AY392" s="314"/>
      <c r="AZ392" s="314"/>
      <c r="BA392" s="314"/>
      <c r="BB392" s="314"/>
      <c r="BC392" s="314"/>
      <c r="BD392" s="314"/>
      <c r="BE392" s="314"/>
      <c r="BF392" s="314"/>
      <c r="BG392" s="314"/>
      <c r="BH392" s="314"/>
      <c r="BI392" s="314"/>
      <c r="BJ392" s="314"/>
      <c r="BK392" s="314"/>
      <c r="BL392" s="314"/>
      <c r="BM392" s="314"/>
      <c r="BN392" s="314"/>
      <c r="BO392" s="314"/>
      <c r="BP392" s="314"/>
      <c r="BQ392" s="314"/>
      <c r="BR392" s="314"/>
      <c r="BS392" s="314"/>
      <c r="BT392" s="314"/>
      <c r="BU392" s="314"/>
      <c r="BV392" s="314"/>
      <c r="BW392" s="314"/>
      <c r="BX392" s="314"/>
      <c r="BY392" s="314"/>
      <c r="BZ392" s="314"/>
      <c r="CA392" s="314"/>
      <c r="CB392" s="314"/>
      <c r="CC392" s="314"/>
      <c r="CD392" s="314"/>
      <c r="CE392" s="314"/>
      <c r="CF392" s="314"/>
      <c r="CG392" s="314"/>
      <c r="CH392" s="314"/>
      <c r="CI392" s="314"/>
      <c r="CJ392" s="314"/>
      <c r="CK392" s="314"/>
      <c r="CL392" s="314"/>
      <c r="CM392" s="314"/>
      <c r="CN392" s="314"/>
      <c r="CO392" s="314"/>
      <c r="CP392" s="314"/>
      <c r="CQ392" s="314"/>
    </row>
    <row r="393" spans="1:95" ht="12.75" customHeight="1" x14ac:dyDescent="0.25">
      <c r="A393" s="462"/>
      <c r="B393" s="76"/>
      <c r="C393" s="76"/>
      <c r="D393" s="115"/>
      <c r="E393" s="85"/>
      <c r="F393" s="466" t="str">
        <f>Translations!$B$304</f>
        <v>Comments:</v>
      </c>
      <c r="G393" s="1250"/>
      <c r="H393" s="1251"/>
      <c r="I393" s="1251"/>
      <c r="J393" s="1251"/>
      <c r="K393" s="1251"/>
      <c r="L393" s="1251"/>
      <c r="M393" s="1251"/>
      <c r="N393" s="1252"/>
      <c r="O393" s="160"/>
      <c r="P393" s="109"/>
      <c r="Q393" s="312"/>
      <c r="R393" s="312"/>
      <c r="S393" s="314"/>
      <c r="T393" s="314"/>
      <c r="U393" s="314"/>
      <c r="V393" s="314"/>
      <c r="W393" s="314"/>
      <c r="X393" s="314"/>
      <c r="Y393" s="314"/>
      <c r="Z393" s="314"/>
      <c r="AA393" s="314"/>
      <c r="AB393" s="314"/>
      <c r="AC393" s="314"/>
      <c r="AD393" s="314"/>
      <c r="AE393" s="314"/>
      <c r="AF393" s="314"/>
      <c r="AG393" s="314"/>
      <c r="AH393" s="314"/>
      <c r="AI393" s="314"/>
      <c r="AJ393" s="314"/>
      <c r="AK393" s="314"/>
      <c r="AL393" s="314"/>
      <c r="AM393" s="314"/>
      <c r="AN393" s="314"/>
      <c r="AO393" s="314"/>
      <c r="AP393" s="314"/>
      <c r="AQ393" s="314"/>
      <c r="AR393" s="314"/>
      <c r="AS393" s="314"/>
      <c r="AT393" s="314"/>
      <c r="AU393" s="314"/>
      <c r="AV393" s="314"/>
      <c r="AW393" s="314"/>
      <c r="AX393" s="314"/>
      <c r="AY393" s="314"/>
      <c r="AZ393" s="314"/>
      <c r="BA393" s="314"/>
      <c r="BB393" s="314"/>
      <c r="BC393" s="314"/>
      <c r="BD393" s="314"/>
      <c r="BE393" s="314"/>
      <c r="BF393" s="314"/>
      <c r="BG393" s="314"/>
      <c r="BH393" s="314"/>
      <c r="BI393" s="314"/>
      <c r="BJ393" s="314"/>
      <c r="BK393" s="314"/>
      <c r="BL393" s="314"/>
      <c r="BM393" s="314"/>
      <c r="BN393" s="314"/>
      <c r="BO393" s="314"/>
      <c r="BP393" s="314"/>
      <c r="BQ393" s="314"/>
      <c r="BR393" s="314"/>
      <c r="BS393" s="314"/>
      <c r="BT393" s="314"/>
      <c r="BU393" s="314"/>
      <c r="BV393" s="314"/>
      <c r="BW393" s="314"/>
      <c r="BX393" s="314"/>
      <c r="BY393" s="314"/>
      <c r="BZ393" s="314"/>
      <c r="CA393" s="314"/>
      <c r="CB393" s="314"/>
      <c r="CC393" s="314"/>
      <c r="CD393" s="314"/>
      <c r="CE393" s="314"/>
      <c r="CF393" s="314"/>
      <c r="CG393" s="314"/>
      <c r="CH393" s="314"/>
      <c r="CI393" s="314"/>
      <c r="CJ393" s="314"/>
      <c r="CK393" s="314"/>
      <c r="CL393" s="314"/>
      <c r="CM393" s="314"/>
      <c r="CN393" s="314"/>
      <c r="CO393" s="314"/>
      <c r="CP393" s="314"/>
      <c r="CQ393" s="464" t="b">
        <f>CQ391</f>
        <v>0</v>
      </c>
    </row>
    <row r="394" spans="1:95" ht="12.75" customHeight="1" thickBot="1" x14ac:dyDescent="0.3">
      <c r="A394" s="307"/>
      <c r="B394" s="76"/>
      <c r="C394" s="308"/>
      <c r="D394" s="309"/>
      <c r="E394" s="310"/>
      <c r="F394" s="308"/>
      <c r="G394" s="311"/>
      <c r="H394" s="311"/>
      <c r="I394" s="311"/>
      <c r="J394" s="311"/>
      <c r="K394" s="311"/>
      <c r="L394" s="311"/>
      <c r="M394" s="311"/>
      <c r="N394" s="311"/>
      <c r="O394" s="160"/>
      <c r="P394" s="109"/>
      <c r="Q394" s="312"/>
      <c r="R394" s="312"/>
      <c r="S394" s="293"/>
      <c r="T394" s="293"/>
      <c r="U394" s="313"/>
      <c r="V394" s="293"/>
      <c r="W394" s="293"/>
      <c r="X394" s="313"/>
      <c r="Y394" s="293"/>
      <c r="Z394" s="293"/>
      <c r="AA394" s="293"/>
      <c r="AB394" s="293"/>
      <c r="AC394" s="293"/>
      <c r="AD394" s="293"/>
      <c r="AE394" s="293"/>
      <c r="AF394" s="293"/>
      <c r="AG394" s="293"/>
      <c r="AH394" s="293"/>
      <c r="AI394" s="293"/>
      <c r="AJ394" s="293"/>
      <c r="AK394" s="293"/>
      <c r="AL394" s="293"/>
      <c r="AM394" s="293"/>
      <c r="AN394" s="293"/>
      <c r="AO394" s="293"/>
      <c r="AP394" s="293"/>
      <c r="AQ394" s="293"/>
      <c r="AR394" s="293"/>
      <c r="AS394" s="293"/>
      <c r="AT394" s="293"/>
      <c r="AU394" s="293"/>
      <c r="AV394" s="293"/>
      <c r="AW394" s="293"/>
      <c r="AX394" s="293"/>
      <c r="AY394" s="293"/>
      <c r="AZ394" s="293"/>
      <c r="BA394" s="293"/>
      <c r="BB394" s="293"/>
      <c r="BC394" s="293"/>
      <c r="BD394" s="293"/>
      <c r="BE394" s="293"/>
      <c r="BF394" s="293"/>
      <c r="BG394" s="293"/>
      <c r="BH394" s="293"/>
      <c r="BI394" s="293"/>
      <c r="BJ394" s="293"/>
      <c r="BK394" s="293"/>
      <c r="BL394" s="293"/>
      <c r="BM394" s="314"/>
      <c r="BN394" s="314"/>
      <c r="BO394" s="314"/>
      <c r="BP394" s="314"/>
      <c r="BQ394" s="314"/>
      <c r="BR394" s="314"/>
      <c r="BS394" s="314"/>
      <c r="BT394" s="314"/>
      <c r="BU394" s="293"/>
      <c r="BV394" s="293"/>
      <c r="BW394" s="293"/>
      <c r="BX394" s="293"/>
      <c r="BY394" s="293"/>
      <c r="BZ394" s="293"/>
      <c r="CA394" s="293"/>
      <c r="CB394" s="293"/>
      <c r="CC394" s="293"/>
      <c r="CD394" s="293"/>
      <c r="CE394" s="293"/>
      <c r="CF394" s="293"/>
      <c r="CG394" s="293"/>
      <c r="CH394" s="293"/>
      <c r="CI394" s="293"/>
      <c r="CJ394" s="293"/>
      <c r="CK394" s="293"/>
      <c r="CL394" s="293"/>
      <c r="CM394" s="293"/>
      <c r="CN394" s="293"/>
      <c r="CO394" s="293"/>
      <c r="CP394" s="293"/>
      <c r="CQ394" s="293"/>
    </row>
    <row r="395" spans="1:95" ht="12.75" customHeight="1" thickBot="1" x14ac:dyDescent="0.3">
      <c r="A395" s="315"/>
      <c r="B395" s="76"/>
      <c r="C395" s="76"/>
      <c r="D395" s="205"/>
      <c r="E395" s="316"/>
      <c r="F395" s="76"/>
      <c r="G395" s="96"/>
      <c r="H395" s="96"/>
      <c r="I395" s="96"/>
      <c r="J395" s="96"/>
      <c r="K395" s="76"/>
      <c r="L395" s="96"/>
      <c r="M395" s="96"/>
      <c r="N395" s="96"/>
      <c r="O395" s="160"/>
      <c r="P395" s="109"/>
      <c r="Q395" s="312"/>
      <c r="R395" s="312"/>
      <c r="S395" s="287"/>
      <c r="T395" s="317" t="str">
        <f>IF(ISBLANK(E396),"",MATCH(E396,CNTR_SourceStreamNames,0))</f>
        <v/>
      </c>
      <c r="U395" s="318" t="str">
        <f>IF(ISBLANK(E396),"",INDEX(B_IdentifyFuelStreams!$D$67:$D$116,MATCH(E396,CNTR_SourceStreamNames,0)))</f>
        <v/>
      </c>
      <c r="V395" s="301"/>
      <c r="W395" s="138"/>
      <c r="X395" s="138"/>
      <c r="Y395" s="138"/>
      <c r="Z395" s="293"/>
      <c r="AA395" s="293"/>
      <c r="AB395" s="293"/>
      <c r="AC395" s="293"/>
      <c r="AD395" s="293"/>
      <c r="AE395" s="293"/>
      <c r="AF395" s="293"/>
      <c r="AG395" s="293"/>
      <c r="AH395" s="293"/>
      <c r="AI395" s="293"/>
      <c r="AJ395" s="293"/>
      <c r="AK395" s="312"/>
      <c r="AL395" s="293"/>
      <c r="AM395" s="293"/>
      <c r="AN395" s="293"/>
      <c r="AO395" s="293"/>
      <c r="AP395" s="293"/>
      <c r="AQ395" s="293"/>
      <c r="AR395" s="293"/>
      <c r="AS395" s="293"/>
      <c r="AT395" s="293"/>
      <c r="AU395" s="293"/>
      <c r="AV395" s="293"/>
      <c r="AW395" s="293"/>
      <c r="AX395" s="293"/>
      <c r="AY395" s="293"/>
      <c r="AZ395" s="293"/>
      <c r="BA395" s="293"/>
      <c r="BB395" s="293"/>
      <c r="BC395" s="293"/>
      <c r="BD395" s="293"/>
      <c r="BE395" s="293"/>
      <c r="BF395" s="293"/>
      <c r="BG395" s="293"/>
      <c r="BH395" s="293"/>
      <c r="BI395" s="293"/>
      <c r="BJ395" s="138"/>
      <c r="BK395" s="138"/>
      <c r="BL395" s="138"/>
      <c r="BM395" s="138"/>
      <c r="BN395" s="138"/>
      <c r="BO395" s="138"/>
      <c r="BP395" s="138"/>
      <c r="BQ395" s="138"/>
      <c r="BR395" s="138"/>
      <c r="BS395" s="138"/>
      <c r="BT395" s="138"/>
      <c r="BU395" s="138"/>
      <c r="BV395" s="138"/>
      <c r="BW395" s="138"/>
      <c r="BX395" s="138"/>
      <c r="BY395" s="138"/>
      <c r="BZ395" s="138"/>
      <c r="CA395" s="138"/>
      <c r="CB395" s="138"/>
      <c r="CC395" s="138"/>
      <c r="CD395" s="138"/>
      <c r="CE395" s="138"/>
      <c r="CF395" s="138"/>
      <c r="CG395" s="138"/>
      <c r="CH395" s="138"/>
      <c r="CI395" s="138"/>
      <c r="CJ395" s="138"/>
      <c r="CK395" s="138"/>
      <c r="CL395" s="138"/>
      <c r="CM395" s="138"/>
      <c r="CN395" s="138"/>
      <c r="CO395" s="138"/>
      <c r="CP395" s="138"/>
      <c r="CQ395" s="319" t="s">
        <v>107</v>
      </c>
    </row>
    <row r="396" spans="1:95" ht="15" customHeight="1" thickBot="1" x14ac:dyDescent="0.3">
      <c r="A396" s="320">
        <f>C396</f>
        <v>13</v>
      </c>
      <c r="B396" s="68"/>
      <c r="C396" s="321">
        <f>C368+1</f>
        <v>13</v>
      </c>
      <c r="D396" s="68"/>
      <c r="E396" s="1269"/>
      <c r="F396" s="1270"/>
      <c r="G396" s="1270"/>
      <c r="H396" s="1270"/>
      <c r="I396" s="1270"/>
      <c r="J396" s="1271"/>
      <c r="K396" s="1272" t="str">
        <f>IF(INDEX(B_IdentifyFuelStreams!$K$125:$K$174,MATCH(U395,B_IdentifyFuelStreams!$D$125:$D$174,0))&gt;0,INDEX(B_IdentifyFuelStreams!$K$125:$K$174,MATCH(U395,B_IdentifyFuelStreams!$D$125:$D$174,0)),"")</f>
        <v/>
      </c>
      <c r="L396" s="1273"/>
      <c r="M396" s="316" t="str">
        <f>Translations!$B$621</f>
        <v>Emissions:</v>
      </c>
      <c r="N396" s="322" t="str">
        <f>IF(E397="","",BG402)</f>
        <v/>
      </c>
      <c r="O396" s="323" t="str">
        <f>EUconst_tCO2</f>
        <v>tCO2</v>
      </c>
      <c r="P396" s="324" t="str">
        <f>IF(AND(E396&lt;&gt;"",COUNTIF(P397:$P$1649,"PRINT")=0),"PRINT","")</f>
        <v/>
      </c>
      <c r="Q396" s="325" t="str">
        <f>EUconst_SumCO2</f>
        <v>SUM_CO2</v>
      </c>
      <c r="R396" s="312"/>
      <c r="S396" s="287"/>
      <c r="T396" s="287"/>
      <c r="U396" s="287"/>
      <c r="V396" s="301"/>
      <c r="W396" s="138"/>
      <c r="X396" s="293"/>
      <c r="Y396" s="293"/>
      <c r="Z396" s="293"/>
      <c r="AA396" s="293"/>
      <c r="AB396" s="293"/>
      <c r="AC396" s="293"/>
      <c r="AD396" s="293"/>
      <c r="AE396" s="293"/>
      <c r="AF396" s="293"/>
      <c r="AG396" s="293"/>
      <c r="AH396" s="293"/>
      <c r="AI396" s="326"/>
      <c r="AJ396" s="326"/>
      <c r="AK396" s="326"/>
      <c r="AL396" s="326"/>
      <c r="AM396" s="326"/>
      <c r="AN396" s="326"/>
      <c r="AO396" s="326"/>
      <c r="AP396" s="326"/>
      <c r="AQ396" s="326"/>
      <c r="AR396" s="326"/>
      <c r="AS396" s="326"/>
      <c r="AT396" s="326"/>
      <c r="AU396" s="326"/>
      <c r="AV396" s="326"/>
      <c r="AW396" s="326"/>
      <c r="AX396" s="326"/>
      <c r="AY396" s="326"/>
      <c r="AZ396" s="326"/>
      <c r="BA396" s="326"/>
      <c r="BB396" s="326"/>
      <c r="BC396" s="326"/>
      <c r="BD396" s="326"/>
      <c r="BE396" s="326"/>
      <c r="BF396" s="326"/>
      <c r="BG396" s="326"/>
      <c r="BH396" s="326"/>
      <c r="BI396" s="327" t="str">
        <f>IF(E396="","",E396)</f>
        <v/>
      </c>
      <c r="BJ396" s="328" t="str">
        <f>IF(F402="","",F402)</f>
        <v/>
      </c>
      <c r="BK396" s="329">
        <f>AV402</f>
        <v>0</v>
      </c>
      <c r="BL396" s="329">
        <f>IF(BK396="","",BK396*(1-BP396))</f>
        <v>0</v>
      </c>
      <c r="BM396" s="328" t="str">
        <f>AJ402</f>
        <v/>
      </c>
      <c r="BN396" s="328" t="str">
        <f>IF(F413="","",F413)</f>
        <v/>
      </c>
      <c r="BO396" s="327" t="str">
        <f>IF(G413="","",G413)</f>
        <v/>
      </c>
      <c r="BP396" s="330">
        <f>AV413</f>
        <v>0</v>
      </c>
      <c r="BQ396" s="328" t="str">
        <f>IF(F405="","",F405)</f>
        <v/>
      </c>
      <c r="BR396" s="330">
        <f>AV405</f>
        <v>0</v>
      </c>
      <c r="BS396" s="330" t="str">
        <f>AJ405</f>
        <v/>
      </c>
      <c r="BT396" s="328" t="str">
        <f>IF(F404="","",F404)</f>
        <v/>
      </c>
      <c r="BU396" s="330">
        <f>IF(F404=EUconst_NA,"",AV404)</f>
        <v>0</v>
      </c>
      <c r="BV396" s="330" t="str">
        <f>AJ404</f>
        <v/>
      </c>
      <c r="BW396" s="328" t="str">
        <f>IF(F406="","",F406)</f>
        <v/>
      </c>
      <c r="BX396" s="330">
        <f>AV406</f>
        <v>0</v>
      </c>
      <c r="BY396" s="328" t="str">
        <f>IF(F407="","",F407)</f>
        <v/>
      </c>
      <c r="BZ396" s="330">
        <f>AV407</f>
        <v>0</v>
      </c>
      <c r="CA396" s="330">
        <f>AV408</f>
        <v>0</v>
      </c>
      <c r="CB396" s="330">
        <f>AV409</f>
        <v>0</v>
      </c>
      <c r="CC396" s="330">
        <f>AV410</f>
        <v>0</v>
      </c>
      <c r="CD396" s="330">
        <f>AV411</f>
        <v>0</v>
      </c>
      <c r="CE396" s="329" t="str">
        <f>BG402</f>
        <v/>
      </c>
      <c r="CF396" s="329" t="str">
        <f>BG404</f>
        <v/>
      </c>
      <c r="CG396" s="329" t="str">
        <f>BG405</f>
        <v/>
      </c>
      <c r="CH396" s="329" t="str">
        <f>BG406</f>
        <v/>
      </c>
      <c r="CI396" s="329" t="str">
        <f>BG407</f>
        <v/>
      </c>
      <c r="CJ396" s="329" t="str">
        <f>BG408</f>
        <v/>
      </c>
      <c r="CK396" s="329" t="str">
        <f>BG409</f>
        <v/>
      </c>
      <c r="CL396" s="329">
        <f>BG410</f>
        <v>0</v>
      </c>
      <c r="CM396" s="329" t="str">
        <f>BG411</f>
        <v/>
      </c>
      <c r="CN396" s="329" t="str">
        <f>BG413</f>
        <v/>
      </c>
      <c r="CO396" s="329" t="str">
        <f>BG417</f>
        <v/>
      </c>
      <c r="CP396" s="329" t="str">
        <f>IF(COUNTIF(AO405:AO406,TRUE)=0,"",BH402)</f>
        <v/>
      </c>
      <c r="CQ396" s="331" t="b">
        <v>0</v>
      </c>
    </row>
    <row r="397" spans="1:95" ht="15" customHeight="1" thickBot="1" x14ac:dyDescent="0.3">
      <c r="A397" s="307"/>
      <c r="B397" s="68"/>
      <c r="C397" s="68"/>
      <c r="D397" s="68"/>
      <c r="E397" s="1274" t="str">
        <f>IF(ISBLANK(E396),"",IF(INDEX(B_IdentifyFuelStreams!$E$67:$E$116,MATCH(U395,B_IdentifyFuelStreams!$D$67:$D$116,0))&gt;0,INDEX(B_IdentifyFuelStreams!$E$67:$E$116,MATCH(U395,B_IdentifyFuelStreams!$D$67:$D$116,0)),""))</f>
        <v/>
      </c>
      <c r="F397" s="1275"/>
      <c r="G397" s="1275"/>
      <c r="H397" s="1275"/>
      <c r="I397" s="1275"/>
      <c r="J397" s="1276"/>
      <c r="K397" s="1272" t="str">
        <f>IF(INDEX(B_IdentifyFuelStreams!$M$125:$M$174,MATCH(U395,B_IdentifyFuelStreams!$D$125:$D$174,0))&gt;0,INDEX(B_IdentifyFuelStreams!$M$125:$M$174,MATCH(U395,B_IdentifyFuelStreams!$D$125:$D$174,0)),"")</f>
        <v/>
      </c>
      <c r="L397" s="1273"/>
      <c r="M397" s="332" t="str">
        <f>Translations!$B$622</f>
        <v>zero-rated:</v>
      </c>
      <c r="N397" s="333" t="str">
        <f>IF(E397="","",SUM(BG404,BG406,BG408))</f>
        <v/>
      </c>
      <c r="O397" s="334" t="str">
        <f>EUconst_tCO2</f>
        <v>tCO2</v>
      </c>
      <c r="P397" s="109"/>
      <c r="Q397" s="325" t="str">
        <f>EUconst_SumBioCO2</f>
        <v>SUM_bioCO2</v>
      </c>
      <c r="R397" s="312"/>
      <c r="S397" s="287"/>
      <c r="T397" s="287"/>
      <c r="U397" s="287"/>
      <c r="V397" s="301"/>
      <c r="W397" s="138"/>
      <c r="X397" s="293"/>
      <c r="Y397" s="317" t="str">
        <f>Translations!$B$143</f>
        <v>Tiers</v>
      </c>
      <c r="Z397" s="314"/>
      <c r="AA397" s="314"/>
      <c r="AB397" s="314"/>
      <c r="AC397" s="314"/>
      <c r="AD397" s="314"/>
      <c r="AE397" s="317" t="s">
        <v>108</v>
      </c>
      <c r="AF397" s="293"/>
      <c r="AG397" s="335"/>
      <c r="AH397" s="314"/>
      <c r="AI397" s="314"/>
      <c r="AJ397" s="335"/>
      <c r="AK397" s="335"/>
      <c r="AL397" s="326"/>
      <c r="AM397" s="326"/>
      <c r="AN397" s="326"/>
      <c r="AO397" s="326"/>
      <c r="AP397" s="326"/>
      <c r="AQ397" s="317" t="s">
        <v>109</v>
      </c>
      <c r="AR397" s="336"/>
      <c r="AS397" s="336"/>
      <c r="AT397" s="314"/>
      <c r="AU397" s="314"/>
      <c r="AV397" s="314"/>
      <c r="AW397" s="314"/>
      <c r="AX397" s="314"/>
      <c r="AY397" s="314"/>
      <c r="AZ397" s="317" t="s">
        <v>110</v>
      </c>
      <c r="BA397" s="314"/>
      <c r="BB397" s="314"/>
      <c r="BC397" s="314"/>
      <c r="BD397" s="314"/>
      <c r="BE397" s="314"/>
      <c r="BF397" s="317" t="s">
        <v>111</v>
      </c>
      <c r="BG397" s="314"/>
      <c r="BH397" s="314"/>
      <c r="BI397" s="317" t="s">
        <v>112</v>
      </c>
      <c r="BJ397" s="328" t="str">
        <f>Translations!$B$376</f>
        <v>RFA Tier</v>
      </c>
      <c r="BK397" s="328" t="str">
        <f>Translations!$B$377</f>
        <v>RFA</v>
      </c>
      <c r="BL397" s="328" t="str">
        <f>Translations!$B$378</f>
        <v>RFA (in scope)</v>
      </c>
      <c r="BM397" s="328" t="str">
        <f>Translations!$B$379</f>
        <v>RFA Unit</v>
      </c>
      <c r="BN397" s="328" t="str">
        <f>Translations!$B$380</f>
        <v>SF Tier</v>
      </c>
      <c r="BO397" s="328" t="str">
        <f>Translations!$B$380</f>
        <v>SF Tier</v>
      </c>
      <c r="BP397" s="328" t="str">
        <f>Translations!$B$381</f>
        <v>SF</v>
      </c>
      <c r="BQ397" s="328" t="str">
        <f>Translations!$B$382</f>
        <v>EF Tier</v>
      </c>
      <c r="BR397" s="328" t="str">
        <f>Translations!$B$383</f>
        <v>EF</v>
      </c>
      <c r="BS397" s="328" t="str">
        <f>Translations!$B$384</f>
        <v>EF Unit</v>
      </c>
      <c r="BT397" s="328" t="str">
        <f>Translations!$B$385</f>
        <v>UCF Tier</v>
      </c>
      <c r="BU397" s="328" t="str">
        <f>Translations!$B$386</f>
        <v>UCF</v>
      </c>
      <c r="BV397" s="328" t="str">
        <f>Translations!$B$387</f>
        <v>UCF Unit</v>
      </c>
      <c r="BW397" s="328" t="str">
        <f>Translations!$B$388</f>
        <v>Bio Tier</v>
      </c>
      <c r="BX397" s="328" t="s">
        <v>113</v>
      </c>
      <c r="BY397" s="328" t="str">
        <f>Translations!$B$389</f>
        <v>NonSustBio Tier</v>
      </c>
      <c r="BZ397" s="328" t="s">
        <v>114</v>
      </c>
      <c r="CA397" s="328" t="s">
        <v>115</v>
      </c>
      <c r="CB397" s="328" t="s">
        <v>116</v>
      </c>
      <c r="CC397" s="328" t="s">
        <v>117</v>
      </c>
      <c r="CD397" s="328" t="s">
        <v>118</v>
      </c>
      <c r="CE397" s="328" t="s">
        <v>119</v>
      </c>
      <c r="CF397" s="328" t="s">
        <v>120</v>
      </c>
      <c r="CG397" s="328" t="str">
        <f>Translations!$B$392</f>
        <v>CO2 non-sust</v>
      </c>
      <c r="CH397" s="328" t="s">
        <v>121</v>
      </c>
      <c r="CI397" s="328" t="s">
        <v>122</v>
      </c>
      <c r="CJ397" s="328" t="s">
        <v>123</v>
      </c>
      <c r="CK397" s="328" t="s">
        <v>124</v>
      </c>
      <c r="CL397" s="328" t="s">
        <v>125</v>
      </c>
      <c r="CM397" s="328" t="str">
        <f>Translations!$B$551</f>
        <v>Energy content (bio), TJ</v>
      </c>
      <c r="CN397" s="328" t="s">
        <v>126</v>
      </c>
      <c r="CO397" s="328" t="s">
        <v>127</v>
      </c>
      <c r="CP397" s="328" t="s">
        <v>128</v>
      </c>
      <c r="CQ397" s="314"/>
    </row>
    <row r="398" spans="1:95" ht="5.15" customHeight="1" thickBot="1" x14ac:dyDescent="0.3">
      <c r="A398" s="307"/>
      <c r="B398" s="68"/>
      <c r="C398" s="68"/>
      <c r="D398" s="68"/>
      <c r="E398" s="68"/>
      <c r="F398" s="68"/>
      <c r="G398" s="68"/>
      <c r="H398" s="76"/>
      <c r="I398" s="76"/>
      <c r="J398" s="76"/>
      <c r="K398" s="76"/>
      <c r="L398" s="76"/>
      <c r="M398" s="76"/>
      <c r="N398" s="76"/>
      <c r="O398" s="160"/>
      <c r="P398" s="109"/>
      <c r="Q398" s="312"/>
      <c r="R398" s="312"/>
      <c r="S398" s="287"/>
      <c r="T398" s="287"/>
      <c r="U398" s="287"/>
      <c r="V398" s="301"/>
      <c r="W398" s="314"/>
      <c r="X398" s="314"/>
      <c r="Y398" s="312"/>
      <c r="Z398" s="314"/>
      <c r="AA398" s="314"/>
      <c r="AB398" s="314"/>
      <c r="AC398" s="314"/>
      <c r="AD398" s="314"/>
      <c r="AE398" s="314"/>
      <c r="AF398" s="293"/>
      <c r="AG398" s="314"/>
      <c r="AH398" s="314"/>
      <c r="AI398" s="314"/>
      <c r="AJ398" s="335"/>
      <c r="AK398" s="335"/>
      <c r="AL398" s="326"/>
      <c r="AM398" s="326"/>
      <c r="AN398" s="326"/>
      <c r="AO398" s="326"/>
      <c r="AP398" s="326"/>
      <c r="AQ398" s="314"/>
      <c r="AR398" s="314"/>
      <c r="AS398" s="314"/>
      <c r="AT398" s="314"/>
      <c r="AU398" s="314"/>
      <c r="AV398" s="314"/>
      <c r="AW398" s="314"/>
      <c r="AX398" s="314"/>
      <c r="AY398" s="314"/>
      <c r="AZ398" s="314"/>
      <c r="BA398" s="314"/>
      <c r="BB398" s="314"/>
      <c r="BC398" s="314"/>
      <c r="BD398" s="314"/>
      <c r="BE398" s="314"/>
      <c r="BF398" s="314"/>
      <c r="BG398" s="314"/>
      <c r="BH398" s="314"/>
      <c r="BI398" s="314"/>
      <c r="BJ398" s="314"/>
      <c r="BK398" s="314"/>
      <c r="BL398" s="314"/>
      <c r="BM398" s="314"/>
      <c r="BN398" s="314"/>
      <c r="BO398" s="314"/>
      <c r="BP398" s="314"/>
      <c r="BQ398" s="314"/>
      <c r="BR398" s="314"/>
      <c r="BS398" s="314"/>
      <c r="BT398" s="314"/>
      <c r="BU398" s="314"/>
      <c r="BV398" s="314"/>
      <c r="BW398" s="314"/>
      <c r="BX398" s="314"/>
      <c r="BY398" s="314"/>
      <c r="BZ398" s="314"/>
      <c r="CA398" s="314"/>
      <c r="CB398" s="314"/>
      <c r="CC398" s="314"/>
      <c r="CD398" s="314"/>
      <c r="CE398" s="314"/>
      <c r="CF398" s="314"/>
      <c r="CG398" s="314"/>
      <c r="CH398" s="314"/>
      <c r="CI398" s="314"/>
      <c r="CJ398" s="314"/>
      <c r="CK398" s="314"/>
      <c r="CL398" s="314"/>
      <c r="CM398" s="314"/>
      <c r="CN398" s="314"/>
      <c r="CO398" s="314"/>
      <c r="CP398" s="314"/>
      <c r="CQ398" s="314"/>
    </row>
    <row r="399" spans="1:95" ht="12.75" customHeight="1" thickBot="1" x14ac:dyDescent="0.3">
      <c r="A399" s="307"/>
      <c r="B399" s="68"/>
      <c r="C399" s="68"/>
      <c r="D399" s="68"/>
      <c r="E399" s="1253" t="str">
        <f>IF(E396="","",HYPERLINK("#JUMP_E_Top",EUconst_FurtherGuidancePoint1))</f>
        <v/>
      </c>
      <c r="F399" s="1253"/>
      <c r="G399" s="1253"/>
      <c r="H399" s="1253"/>
      <c r="I399" s="1253"/>
      <c r="J399" s="1253"/>
      <c r="K399" s="1253"/>
      <c r="L399" s="1253"/>
      <c r="M399" s="1253"/>
      <c r="N399" s="76"/>
      <c r="O399" s="160"/>
      <c r="P399" s="109"/>
      <c r="Q399" s="325" t="str">
        <f>EUconst_SumNonSustBioCO2</f>
        <v>SUM_bioNonSustCO2</v>
      </c>
      <c r="R399" s="337" t="str">
        <f>IF(E397="","",BG405)</f>
        <v/>
      </c>
      <c r="S399" s="287"/>
      <c r="T399" s="287"/>
      <c r="U399" s="287"/>
      <c r="V399" s="314"/>
      <c r="W399" s="314"/>
      <c r="X399" s="314"/>
      <c r="Y399" s="293"/>
      <c r="Z399" s="314"/>
      <c r="AA399" s="314"/>
      <c r="AB399" s="314"/>
      <c r="AC399" s="314"/>
      <c r="AD399" s="314"/>
      <c r="AE399" s="314"/>
      <c r="AF399" s="293"/>
      <c r="AG399" s="314"/>
      <c r="AH399" s="314"/>
      <c r="AI399" s="314"/>
      <c r="AJ399" s="335"/>
      <c r="AK399" s="335"/>
      <c r="AL399" s="326"/>
      <c r="AM399" s="326"/>
      <c r="AN399" s="326"/>
      <c r="AO399" s="326"/>
      <c r="AP399" s="326"/>
      <c r="AQ399" s="314"/>
      <c r="AR399" s="314"/>
      <c r="AS399" s="314"/>
      <c r="AT399" s="314"/>
      <c r="AU399" s="314"/>
      <c r="AV399" s="314"/>
      <c r="AW399" s="314"/>
      <c r="AX399" s="314"/>
      <c r="AY399" s="314"/>
      <c r="AZ399" s="314"/>
      <c r="BA399" s="314"/>
      <c r="BB399" s="314"/>
      <c r="BC399" s="314"/>
      <c r="BD399" s="314"/>
      <c r="BE399" s="314"/>
      <c r="BF399" s="314"/>
      <c r="BG399" s="314"/>
      <c r="BH399" s="314"/>
      <c r="BI399" s="317" t="s">
        <v>129</v>
      </c>
      <c r="BJ399" s="336"/>
      <c r="BK399" s="327" t="str">
        <f>IF(G417="","",G417)</f>
        <v/>
      </c>
      <c r="BL399" s="327" t="str">
        <f>IF(I417="","",I417)</f>
        <v/>
      </c>
      <c r="BM399" s="327" t="str">
        <f>IF(K417="","",K417)</f>
        <v/>
      </c>
      <c r="BN399" s="314"/>
      <c r="BO399" s="314"/>
      <c r="BP399" s="314"/>
      <c r="BQ399" s="314"/>
      <c r="BR399" s="314"/>
      <c r="BS399" s="314"/>
      <c r="BT399" s="319"/>
      <c r="BU399" s="314"/>
      <c r="BV399" s="314"/>
      <c r="BW399" s="314"/>
      <c r="BX399" s="314"/>
      <c r="BY399" s="314"/>
      <c r="BZ399" s="314"/>
      <c r="CA399" s="314"/>
      <c r="CB399" s="314"/>
      <c r="CC399" s="314"/>
      <c r="CD399" s="314"/>
      <c r="CE399" s="314"/>
      <c r="CF399" s="314"/>
      <c r="CG399" s="314"/>
      <c r="CH399" s="314"/>
      <c r="CI399" s="314"/>
      <c r="CJ399" s="314"/>
      <c r="CK399" s="314"/>
      <c r="CL399" s="314"/>
      <c r="CM399" s="314"/>
      <c r="CN399" s="314"/>
      <c r="CO399" s="314"/>
      <c r="CP399" s="314"/>
      <c r="CQ399" s="314"/>
    </row>
    <row r="400" spans="1:95" ht="5.15" customHeight="1" thickBot="1" x14ac:dyDescent="0.3">
      <c r="A400" s="307"/>
      <c r="B400" s="68"/>
      <c r="C400" s="68"/>
      <c r="D400" s="68"/>
      <c r="E400" s="68"/>
      <c r="F400" s="68"/>
      <c r="G400" s="68"/>
      <c r="H400" s="76"/>
      <c r="I400" s="76"/>
      <c r="J400" s="76"/>
      <c r="K400" s="76"/>
      <c r="L400" s="76"/>
      <c r="M400" s="76"/>
      <c r="N400" s="76"/>
      <c r="O400" s="160"/>
      <c r="P400" s="111"/>
      <c r="Q400" s="287"/>
      <c r="R400" s="111"/>
      <c r="S400" s="287"/>
      <c r="T400" s="287"/>
      <c r="U400" s="287"/>
      <c r="V400" s="314"/>
      <c r="W400" s="314"/>
      <c r="X400" s="314"/>
      <c r="Y400" s="312"/>
      <c r="Z400" s="314"/>
      <c r="AA400" s="314"/>
      <c r="AB400" s="314"/>
      <c r="AC400" s="314"/>
      <c r="AD400" s="314"/>
      <c r="AE400" s="314"/>
      <c r="AF400" s="293"/>
      <c r="AG400" s="314"/>
      <c r="AH400" s="314"/>
      <c r="AI400" s="314"/>
      <c r="AJ400" s="335"/>
      <c r="AK400" s="335"/>
      <c r="AL400" s="326"/>
      <c r="AM400" s="326"/>
      <c r="AN400" s="326"/>
      <c r="AO400" s="326"/>
      <c r="AP400" s="326"/>
      <c r="AQ400" s="314"/>
      <c r="AR400" s="314"/>
      <c r="AS400" s="314"/>
      <c r="AT400" s="314"/>
      <c r="AU400" s="314"/>
      <c r="AV400" s="314"/>
      <c r="AW400" s="314"/>
      <c r="AX400" s="314"/>
      <c r="AY400" s="314"/>
      <c r="AZ400" s="314"/>
      <c r="BA400" s="314"/>
      <c r="BB400" s="314"/>
      <c r="BC400" s="314"/>
      <c r="BD400" s="314"/>
      <c r="BE400" s="314"/>
      <c r="BF400" s="314"/>
      <c r="BG400" s="314"/>
      <c r="BH400" s="314"/>
      <c r="BI400" s="314"/>
      <c r="BJ400" s="314"/>
      <c r="BK400" s="314"/>
      <c r="BL400" s="314"/>
      <c r="BM400" s="314"/>
      <c r="BN400" s="314"/>
      <c r="BO400" s="314"/>
      <c r="BP400" s="314"/>
      <c r="BQ400" s="314"/>
      <c r="BR400" s="314"/>
      <c r="BS400" s="314"/>
      <c r="BT400" s="314"/>
      <c r="BU400" s="314"/>
      <c r="BV400" s="314"/>
      <c r="BW400" s="314"/>
      <c r="BX400" s="314"/>
      <c r="BY400" s="314"/>
      <c r="BZ400" s="314"/>
      <c r="CA400" s="314"/>
      <c r="CB400" s="314"/>
      <c r="CC400" s="314"/>
      <c r="CD400" s="314"/>
      <c r="CE400" s="314"/>
      <c r="CF400" s="314"/>
      <c r="CG400" s="314"/>
      <c r="CH400" s="314"/>
      <c r="CI400" s="314"/>
      <c r="CJ400" s="314"/>
      <c r="CK400" s="314"/>
      <c r="CL400" s="314"/>
      <c r="CM400" s="314"/>
      <c r="CN400" s="314"/>
      <c r="CO400" s="314"/>
      <c r="CP400" s="314"/>
      <c r="CQ400" s="314"/>
    </row>
    <row r="401" spans="1:95" ht="12.75" customHeight="1" thickBot="1" x14ac:dyDescent="0.3">
      <c r="A401" s="307"/>
      <c r="B401" s="68"/>
      <c r="C401" s="68"/>
      <c r="D401" s="68"/>
      <c r="E401" s="68"/>
      <c r="F401" s="338" t="str">
        <f>Translations!$B$127</f>
        <v>Tier</v>
      </c>
      <c r="G401" s="1254" t="str">
        <f>Translations!$B$393</f>
        <v>tier description</v>
      </c>
      <c r="H401" s="1254"/>
      <c r="I401" s="1255" t="str">
        <f>Translations!$B$394</f>
        <v>Unit</v>
      </c>
      <c r="J401" s="1255"/>
      <c r="K401" s="1255" t="str">
        <f>Translations!$B$395</f>
        <v>Value</v>
      </c>
      <c r="L401" s="1255"/>
      <c r="M401" s="205" t="str">
        <f>Translations!$B$396</f>
        <v>error</v>
      </c>
      <c r="N401" s="76"/>
      <c r="O401" s="160"/>
      <c r="P401" s="339"/>
      <c r="Q401" s="325" t="str">
        <f>EUconst_SumEnergyIN</f>
        <v>SUM_EnergyIN</v>
      </c>
      <c r="R401" s="340" t="str">
        <f>IF(E397="","",BG410)</f>
        <v/>
      </c>
      <c r="S401" s="314"/>
      <c r="T401" s="314"/>
      <c r="U401" s="314"/>
      <c r="V401" s="341" t="s">
        <v>130</v>
      </c>
      <c r="W401" s="314"/>
      <c r="X401" s="314"/>
      <c r="Y401" s="312" t="s">
        <v>131</v>
      </c>
      <c r="Z401" s="312" t="s">
        <v>132</v>
      </c>
      <c r="AA401" s="314"/>
      <c r="AB401" s="314"/>
      <c r="AC401" s="336" t="s">
        <v>133</v>
      </c>
      <c r="AD401" s="314"/>
      <c r="AE401" s="314"/>
      <c r="AF401" s="314" t="s">
        <v>134</v>
      </c>
      <c r="AG401" s="314" t="s">
        <v>135</v>
      </c>
      <c r="AH401" s="312" t="s">
        <v>136</v>
      </c>
      <c r="AI401" s="335" t="s">
        <v>137</v>
      </c>
      <c r="AJ401" s="335" t="s">
        <v>138</v>
      </c>
      <c r="AK401" s="342" t="s">
        <v>139</v>
      </c>
      <c r="AL401" s="326"/>
      <c r="AM401" s="326"/>
      <c r="AN401" s="326"/>
      <c r="AO401" s="326"/>
      <c r="AP401" s="326"/>
      <c r="AQ401" s="314"/>
      <c r="AR401" s="314" t="s">
        <v>134</v>
      </c>
      <c r="AS401" s="314" t="s">
        <v>135</v>
      </c>
      <c r="AT401" s="343" t="s">
        <v>140</v>
      </c>
      <c r="AU401" s="335" t="s">
        <v>141</v>
      </c>
      <c r="AV401" s="335" t="s">
        <v>142</v>
      </c>
      <c r="AW401" s="342" t="s">
        <v>139</v>
      </c>
      <c r="AX401" s="342" t="s">
        <v>139</v>
      </c>
      <c r="AY401" s="314"/>
      <c r="AZ401" s="314"/>
      <c r="BA401" s="314"/>
      <c r="BB401" s="314" t="s">
        <v>143</v>
      </c>
      <c r="BC401" s="314"/>
      <c r="BD401" s="314"/>
      <c r="BE401" s="314"/>
      <c r="BF401" s="314"/>
      <c r="BG401" s="319" t="s">
        <v>144</v>
      </c>
      <c r="BH401" s="314" t="s">
        <v>145</v>
      </c>
      <c r="BI401" s="314"/>
      <c r="BJ401" s="314"/>
      <c r="BK401" s="314"/>
      <c r="BL401" s="314"/>
      <c r="BM401" s="314"/>
      <c r="BN401" s="314"/>
      <c r="BO401" s="314"/>
      <c r="BP401" s="314"/>
      <c r="BQ401" s="314"/>
      <c r="BR401" s="314"/>
      <c r="BS401" s="314"/>
      <c r="BT401" s="314"/>
      <c r="BU401" s="314"/>
      <c r="BV401" s="314"/>
      <c r="BW401" s="314"/>
      <c r="BX401" s="314"/>
      <c r="BY401" s="314"/>
      <c r="BZ401" s="314"/>
      <c r="CA401" s="314"/>
      <c r="CB401" s="314"/>
      <c r="CC401" s="314"/>
      <c r="CD401" s="314"/>
      <c r="CE401" s="314"/>
      <c r="CF401" s="314"/>
      <c r="CG401" s="314"/>
      <c r="CH401" s="314"/>
      <c r="CI401" s="314"/>
      <c r="CJ401" s="314"/>
      <c r="CK401" s="314"/>
      <c r="CL401" s="314"/>
      <c r="CM401" s="314"/>
      <c r="CN401" s="314"/>
      <c r="CO401" s="314"/>
      <c r="CP401" s="314"/>
      <c r="CQ401" s="319" t="s">
        <v>107</v>
      </c>
    </row>
    <row r="402" spans="1:95" ht="12.75" customHeight="1" thickBot="1" x14ac:dyDescent="0.3">
      <c r="A402" s="307"/>
      <c r="B402" s="68"/>
      <c r="C402" s="199" t="s">
        <v>12</v>
      </c>
      <c r="D402" s="344" t="str">
        <f>Translations!$B$356</f>
        <v>RFA:</v>
      </c>
      <c r="E402" s="345"/>
      <c r="F402" s="6"/>
      <c r="G402" s="1256" t="str">
        <f>IF(OR(ISBLANK(F402),F402=EUconst_NoTier),"",IF(Z402=0,EUconst_NA,IF(ISERROR(Z402),"",Z402)))</f>
        <v/>
      </c>
      <c r="H402" s="1257"/>
      <c r="I402" s="346" t="str">
        <f>IF(J402&lt;&gt;"","",AI402)</f>
        <v/>
      </c>
      <c r="J402" s="7"/>
      <c r="K402" s="1258"/>
      <c r="L402" s="1259"/>
      <c r="M402" s="347" t="str">
        <f>IF(AND(E397&lt;&gt;"",OR(F402="",COUNT(K402)=0),Y402&lt;&gt;EUconst_NA),EUconst_ERR_Incomplete,"")</f>
        <v/>
      </c>
      <c r="N402" s="76"/>
      <c r="O402" s="160"/>
      <c r="P402" s="348"/>
      <c r="Q402" s="325" t="str">
        <f>EUconst_SumBioEnergyIN</f>
        <v>SUM_BioEnergyIN</v>
      </c>
      <c r="R402" s="340" t="str">
        <f>IF(E397="","",BG411)</f>
        <v/>
      </c>
      <c r="S402" s="314"/>
      <c r="T402" s="349" t="str">
        <f>EUconst_CNTR_ActivityData&amp;E397</f>
        <v>ActivityData_</v>
      </c>
      <c r="U402" s="312"/>
      <c r="V402" s="349" t="str">
        <f>IF(E396="","",INDEX(B_IdentifyFuelStreams!$I$67:$I$116,MATCH(U395,B_IdentifyFuelStreams!$D$67:$D$116,0)))</f>
        <v/>
      </c>
      <c r="W402" s="335" t="s">
        <v>146</v>
      </c>
      <c r="X402" s="312"/>
      <c r="Y402" s="350" t="str">
        <f>IF(E397="","",INDEX(EUwideConstants!$P$164:$P$200,MATCH(T402,EUwideConstants!$S$164:$S$200,0)))</f>
        <v/>
      </c>
      <c r="Z402" s="351" t="str">
        <f>IF(ISBLANK(F402),"",IF(F402=EUconst_NA,"",INDEX(EUwideConstants!$H:$O,MATCH(T402,EUwideConstants!$S:$S,0),MATCH(F402,CNTR_TierList,0))))</f>
        <v/>
      </c>
      <c r="AA402" s="352" t="s">
        <v>136</v>
      </c>
      <c r="AB402" s="335"/>
      <c r="AC402" s="331" t="b">
        <f>E396&lt;&gt;""</f>
        <v>0</v>
      </c>
      <c r="AD402" s="314"/>
      <c r="AE402" s="353" t="str">
        <f>EUconst_CNTR_ActivityData&amp;EUconst_Unit</f>
        <v>ActivityData_Unit</v>
      </c>
      <c r="AF402" s="354" t="str">
        <f>IF(AC402=TRUE, IF(COUNTIF(MSPara_SourceStreamCategory,V402)=0,"",INDEX(MSPara_CalcFactorsMatrix,MATCH(V402,MSPara_SourceStreamCategory,0),MATCH(AE402&amp;"_"&amp;2,MSPara_CalcFactors,0))),"")</f>
        <v/>
      </c>
      <c r="AG402" s="355" t="str">
        <f>IF(AC402=TRUE, IF(COUNTIF(MSPara_SourceStreamCategory,V402)=0,"",INDEX(MSPara_CalcFactorsMatrix,MATCH(V402,MSPara_SourceStreamCategory,0),MATCH(AE402&amp;"_"&amp;1,MSPara_CalcFactors,0))),"")</f>
        <v/>
      </c>
      <c r="AH402" s="331" t="str">
        <f>IF(OR(AF402="",AF402=EUconst_NA),IF(OR(AG402=EUconst_NA,AG402=""),"",AG402),AF402)</f>
        <v/>
      </c>
      <c r="AI402" s="350" t="str">
        <f>IF(AC402=TRUE,IF(AH402="",EUconst_t,AH402),"")</f>
        <v/>
      </c>
      <c r="AJ402" s="356" t="str">
        <f>IF(J402="",AI402,J402)</f>
        <v/>
      </c>
      <c r="AK402" s="357" t="b">
        <f>AND(E396&lt;&gt;"",J402&lt;&gt;"")</f>
        <v>0</v>
      </c>
      <c r="AL402" s="326"/>
      <c r="AM402" s="358" t="s">
        <v>147</v>
      </c>
      <c r="AN402" s="359" t="str">
        <f>AJ402</f>
        <v/>
      </c>
      <c r="AO402" s="326"/>
      <c r="AP402" s="326"/>
      <c r="AQ402" s="349" t="str">
        <f>EUconst_CNTR_ActivityData&amp;EUconst_Value</f>
        <v>ActivityData_Value</v>
      </c>
      <c r="AR402" s="336"/>
      <c r="AS402" s="336"/>
      <c r="AT402" s="331" t="b">
        <f>AND(AND(AH402&lt;&gt;"",AJ402&lt;&gt;""),AJ402=AH402)</f>
        <v>0</v>
      </c>
      <c r="AU402" s="314"/>
      <c r="AV402" s="331">
        <f>IF(Y402=EUconst_NA,0,IF(COUNT(K402:K402)=0,0,IF(K402="",#REF!,K402)))</f>
        <v>0</v>
      </c>
      <c r="AW402" s="360" t="b">
        <f>AND(AC402=TRUE,OR(K402&lt;&gt;"",AU402=""))</f>
        <v>0</v>
      </c>
      <c r="AX402" s="360" t="b">
        <f>AND(AC402=TRUE,NOT(AW402))</f>
        <v>0</v>
      </c>
      <c r="AY402" s="314"/>
      <c r="AZ402" s="314" t="s">
        <v>148</v>
      </c>
      <c r="BA402" s="314" t="s">
        <v>149</v>
      </c>
      <c r="BB402" s="360"/>
      <c r="BC402" s="314" t="s">
        <v>150</v>
      </c>
      <c r="BD402" s="314"/>
      <c r="BE402" s="314"/>
      <c r="BF402" s="361" t="s">
        <v>119</v>
      </c>
      <c r="BG402" s="362" t="str">
        <f>IF(COUNTIF(AO405:AO406,TRUE)=0,"",BH402*AV413)</f>
        <v/>
      </c>
      <c r="BH402" s="362" t="str">
        <f>IF(COUNTIF(AO405:AO406,TRUE)=0,"",AV402*IF(AO405,1,AV404*AN406)*AV405-BH404-BH406-BH408)</f>
        <v/>
      </c>
      <c r="BI402" s="314"/>
      <c r="BJ402" s="314"/>
      <c r="BK402" s="314"/>
      <c r="BL402" s="314"/>
      <c r="BM402" s="314"/>
      <c r="BN402" s="314"/>
      <c r="BO402" s="314"/>
      <c r="BP402" s="314"/>
      <c r="BQ402" s="314"/>
      <c r="BR402" s="314"/>
      <c r="BS402" s="314"/>
      <c r="BT402" s="314"/>
      <c r="BU402" s="314"/>
      <c r="BV402" s="314"/>
      <c r="BW402" s="314"/>
      <c r="BX402" s="314"/>
      <c r="BY402" s="314"/>
      <c r="BZ402" s="314"/>
      <c r="CA402" s="314"/>
      <c r="CB402" s="314"/>
      <c r="CC402" s="314"/>
      <c r="CD402" s="314"/>
      <c r="CE402" s="314"/>
      <c r="CF402" s="314"/>
      <c r="CG402" s="314"/>
      <c r="CH402" s="314"/>
      <c r="CI402" s="314"/>
      <c r="CJ402" s="314"/>
      <c r="CK402" s="314"/>
      <c r="CL402" s="314"/>
      <c r="CM402" s="314"/>
      <c r="CN402" s="314"/>
      <c r="CO402" s="314"/>
      <c r="CP402" s="314"/>
      <c r="CQ402" s="360" t="b">
        <v>0</v>
      </c>
    </row>
    <row r="403" spans="1:95" ht="5.15" customHeight="1" thickBot="1" x14ac:dyDescent="0.3">
      <c r="A403" s="307"/>
      <c r="B403" s="68"/>
      <c r="C403" s="199"/>
      <c r="D403" s="202"/>
      <c r="E403" s="76"/>
      <c r="F403" s="76"/>
      <c r="G403" s="76"/>
      <c r="H403" s="76" t="str">
        <f>Translations!$B$397</f>
        <v xml:space="preserve"> </v>
      </c>
      <c r="I403" s="162"/>
      <c r="J403" s="162"/>
      <c r="K403" s="76"/>
      <c r="L403" s="76"/>
      <c r="M403" s="363"/>
      <c r="N403" s="76"/>
      <c r="O403" s="160"/>
      <c r="P403" s="109"/>
      <c r="Q403" s="312"/>
      <c r="R403" s="312"/>
      <c r="S403" s="314"/>
      <c r="T403" s="62"/>
      <c r="U403" s="312"/>
      <c r="V403" s="314"/>
      <c r="W403" s="314"/>
      <c r="X403" s="312"/>
      <c r="Y403" s="319"/>
      <c r="Z403" s="314"/>
      <c r="AA403" s="314"/>
      <c r="AB403" s="314"/>
      <c r="AC403" s="314"/>
      <c r="AD403" s="314"/>
      <c r="AE403" s="314"/>
      <c r="AF403" s="314"/>
      <c r="AG403" s="314"/>
      <c r="AH403" s="314"/>
      <c r="AI403" s="314"/>
      <c r="AJ403" s="314"/>
      <c r="AK403" s="314"/>
      <c r="AL403" s="326"/>
      <c r="AM403" s="326"/>
      <c r="AN403" s="326"/>
      <c r="AO403" s="326"/>
      <c r="AP403" s="326"/>
      <c r="AQ403" s="314"/>
      <c r="AR403" s="314"/>
      <c r="AS403" s="314"/>
      <c r="AT403" s="314"/>
      <c r="AU403" s="314"/>
      <c r="AV403" s="314"/>
      <c r="AW403" s="314"/>
      <c r="AX403" s="314"/>
      <c r="AY403" s="314"/>
      <c r="AZ403" s="314"/>
      <c r="BA403" s="314"/>
      <c r="BB403" s="314"/>
      <c r="BC403" s="314"/>
      <c r="BD403" s="314"/>
      <c r="BE403" s="314"/>
      <c r="BF403" s="314"/>
      <c r="BG403" s="364"/>
      <c r="BH403" s="364"/>
      <c r="BI403" s="314"/>
      <c r="BJ403" s="314"/>
      <c r="BK403" s="314"/>
      <c r="BL403" s="314"/>
      <c r="BM403" s="314"/>
      <c r="BN403" s="314"/>
      <c r="BO403" s="314"/>
      <c r="BP403" s="314"/>
      <c r="BQ403" s="314"/>
      <c r="BR403" s="314"/>
      <c r="BS403" s="314"/>
      <c r="BT403" s="314"/>
      <c r="BU403" s="314"/>
      <c r="BV403" s="314"/>
      <c r="BW403" s="314"/>
      <c r="BX403" s="314"/>
      <c r="BY403" s="314"/>
      <c r="BZ403" s="314"/>
      <c r="CA403" s="314"/>
      <c r="CB403" s="314"/>
      <c r="CC403" s="314"/>
      <c r="CD403" s="314"/>
      <c r="CE403" s="314"/>
      <c r="CF403" s="314"/>
      <c r="CG403" s="314"/>
      <c r="CH403" s="314"/>
      <c r="CI403" s="314"/>
      <c r="CJ403" s="314"/>
      <c r="CK403" s="314"/>
      <c r="CL403" s="314"/>
      <c r="CM403" s="314"/>
      <c r="CN403" s="314"/>
      <c r="CO403" s="314"/>
      <c r="CP403" s="314"/>
      <c r="CQ403" s="319"/>
    </row>
    <row r="404" spans="1:95" ht="12.75" customHeight="1" x14ac:dyDescent="0.25">
      <c r="A404" s="307"/>
      <c r="B404" s="68"/>
      <c r="C404" s="199" t="s">
        <v>13</v>
      </c>
      <c r="D404" s="344" t="str">
        <f>Translations!$B$360</f>
        <v>UCF:</v>
      </c>
      <c r="E404" s="345"/>
      <c r="F404" s="10"/>
      <c r="G404" s="1256" t="str">
        <f>IF(OR(ISBLANK(F404),F404=EUconst_NoTier),"",IF(Z404=0,EUconst_NotApplicable,IF(ISERROR(Z404),"",Z404)))</f>
        <v/>
      </c>
      <c r="H404" s="1257"/>
      <c r="I404" s="365" t="str">
        <f>IF(J404&lt;&gt;"","",AI404)</f>
        <v/>
      </c>
      <c r="J404" s="11"/>
      <c r="K404" s="366" t="str">
        <f>IF(L404="",AU404,"")</f>
        <v/>
      </c>
      <c r="L404" s="23"/>
      <c r="M404" s="347" t="str">
        <f>IF(AND(E397&lt;&gt;"",OR(F404="",COUNT(K404:L404)=0),Y404&lt;&gt;EUconst_NA),EUconst_ERR_Incomplete,IF(COUNTIF(BB404:BD404,TRUE)&gt;0,EUconst_ERR_Inconsistent,""))</f>
        <v/>
      </c>
      <c r="N404" s="367"/>
      <c r="O404" s="160"/>
      <c r="P404" s="109"/>
      <c r="Q404" s="312"/>
      <c r="R404" s="312"/>
      <c r="S404" s="314"/>
      <c r="T404" s="368" t="str">
        <f>EUconst_CNTR_UCF&amp;E397</f>
        <v>UCF_</v>
      </c>
      <c r="U404" s="312"/>
      <c r="V404" s="369" t="str">
        <f>V405</f>
        <v/>
      </c>
      <c r="W404" s="314"/>
      <c r="X404" s="312"/>
      <c r="Y404" s="370" t="str">
        <f>IF(E397="","",IF(OR(F404=EUconst_NA,W404=TRUE),EUconst_NA,INDEX(EUwideConstants!$P$164:$P$200,MATCH(T404,EUwideConstants!$S$164:$S$200,0))))</f>
        <v/>
      </c>
      <c r="Z404" s="371" t="str">
        <f>IF(ISBLANK(F404),"",IF(F404=EUconst_NA,"",INDEX(EUwideConstants!$H:$O,MATCH(T404,EUwideConstants!$S:$S,0),MATCH(F404,CNTR_TierList,0))))</f>
        <v/>
      </c>
      <c r="AA404" s="372" t="str">
        <f>IF(COUNTIF(EUconst_DefaultValues,Z404)&gt;0,MATCH(Z404,EUconst_DefaultValues,0),"")</f>
        <v/>
      </c>
      <c r="AB404" s="314"/>
      <c r="AC404" s="373" t="b">
        <f>AND(AC402,Y404&lt;&gt;EUconst_NA)</f>
        <v>0</v>
      </c>
      <c r="AD404" s="314"/>
      <c r="AE404" s="353" t="str">
        <f>EUconst_CNTR_UCF&amp;EUconst_Unit</f>
        <v>UCF_Unit</v>
      </c>
      <c r="AF404" s="374" t="str">
        <f>IF(AC404=TRUE, IF(COUNTIF(MSPara_SourceStreamCategory,V404)=0,"",INDEX(MSPara_CalcFactorsMatrix,MATCH(V404,MSPara_SourceStreamCategory,0),MATCH(AE404&amp;"_"&amp;2,MSPara_CalcFactors,0))),"")</f>
        <v/>
      </c>
      <c r="AG404" s="375" t="str">
        <f>IF(AC404=TRUE, IF(COUNTIF(MSPara_SourceStreamCategory,V404)=0,"",INDEX(MSPara_CalcFactorsMatrix,MATCH(V404,MSPara_SourceStreamCategory,0),MATCH(AE404&amp;"_"&amp;1,MSPara_CalcFactors,0))),"")</f>
        <v/>
      </c>
      <c r="AH404" s="373" t="str">
        <f>IF(AA404="","",INDEX(AF404:AG404,3-AA404))</f>
        <v/>
      </c>
      <c r="AI404" s="373" t="str">
        <f>IF(AC404=TRUE,IF(OR(AH404="",AH404=EUconst_NA),EUconst_GJ&amp;"/"&amp;AJ402,AH404),"")</f>
        <v/>
      </c>
      <c r="AJ404" s="373" t="str">
        <f>IF(J404="",AI404,J404)</f>
        <v/>
      </c>
      <c r="AK404" s="369" t="b">
        <f>AND(E396&lt;&gt;"",J404&lt;&gt;"")</f>
        <v>0</v>
      </c>
      <c r="AL404" s="326"/>
      <c r="AM404" s="358" t="s">
        <v>151</v>
      </c>
      <c r="AN404" s="359" t="str">
        <f>IF(AJ404="",EUconst_NA,IF(AN402=EUconst_TJ,EUconst_TJ,INDEX(EUwideConstants!$C$135:$G$139,MATCH(AN402,RFAUnits,0),MATCH(AJ404,UCFUnits,0))))</f>
        <v>n.a.</v>
      </c>
      <c r="AO404" s="326"/>
      <c r="AP404" s="326"/>
      <c r="AQ404" s="376" t="str">
        <f>EUconst_CNTR_UCF&amp;EUconst_Value</f>
        <v>UCF_Value</v>
      </c>
      <c r="AR404" s="377" t="str">
        <f>IF(AC404=TRUE,IF(COUNTIF(MSPara_SourceStreamCategory,V404)=0,"",INDEX(MSPara_CalcFactorsMatrix,MATCH(V404,MSPara_SourceStreamCategory,0),MATCH(AQ404&amp;"_"&amp;2,MSPara_CalcFactors,0))),"")</f>
        <v/>
      </c>
      <c r="AS404" s="378" t="str">
        <f>IF(AC404=TRUE,IF(COUNTIF(MSPara_SourceStreamCategory,V404)=0,"",INDEX(MSPara_CalcFactorsMatrix,MATCH(V404,MSPara_SourceStreamCategory,0),MATCH(AQ404&amp;"_"&amp;1,MSPara_CalcFactors,0))),"")</f>
        <v/>
      </c>
      <c r="AT404" s="379" t="b">
        <f>AND(AND(AH404&lt;&gt;"",AJ404&lt;&gt;""),AJ404=AH404)</f>
        <v>0</v>
      </c>
      <c r="AU404" s="380" t="str">
        <f>IF(AND(AA404&lt;&gt;"",AT404=TRUE),IF(OR(INDEX(AR404:AS404,3-AA404)=EUconst_NA,INDEX(AR404:AS404,3-AA404)=0),"",INDEX(AR404:AS404,3-AA404)),"")</f>
        <v/>
      </c>
      <c r="AV404" s="373">
        <f>IF(AC404=TRUE,IF(COUNT(K404:L404)=0,0,IF(L404="",K404,L404)),0)</f>
        <v>0</v>
      </c>
      <c r="AW404" s="369" t="b">
        <f t="shared" ref="AW404:AW411" si="108">AND(AC404=TRUE,OR(AND(F404&lt;&gt;"",NOT(ISNUMBER(AA404))),L404&lt;&gt;"",F404="",AU404=""))</f>
        <v>0</v>
      </c>
      <c r="AX404" s="381" t="b">
        <f t="shared" ref="AX404:AX411" si="109">AND(AC404=TRUE,NOT(AW404))</f>
        <v>0</v>
      </c>
      <c r="AY404" s="314"/>
      <c r="AZ404" s="382" t="b">
        <f t="shared" ref="AZ404:AZ411" si="110">AND(ISNUMBER(AA404),AU404="")</f>
        <v>0</v>
      </c>
      <c r="BA404" s="383" t="b">
        <f t="shared" ref="BA404:BA411" si="111">AND(ISNUMBER(AA404),AU404&lt;&gt;AV404)</f>
        <v>0</v>
      </c>
      <c r="BB404" s="369" t="b">
        <f>AND(E397&lt;&gt;"",F404&lt;&gt;EUconst_NA,AN404=EUconst_NA)</f>
        <v>0</v>
      </c>
      <c r="BC404" s="369" t="b">
        <f t="shared" ref="BC404:BC411" si="112">AND(L404&lt;&gt;"",Y404=EUconst_NA)</f>
        <v>0</v>
      </c>
      <c r="BD404" s="314"/>
      <c r="BE404" s="314"/>
      <c r="BF404" s="382" t="s">
        <v>152</v>
      </c>
      <c r="BG404" s="384" t="str">
        <f>IF(COUNTIF(AO405:AO406,TRUE)=0,"",BH404*AV413)</f>
        <v/>
      </c>
      <c r="BH404" s="384" t="str">
        <f>IF(COUNTIF(AO405:AO406,TRUE)=0,"",AV402*IF(AO405,1,AV404*AN406)*AV405*AV406)</f>
        <v/>
      </c>
      <c r="BI404" s="314"/>
      <c r="BJ404" s="314"/>
      <c r="BK404" s="314"/>
      <c r="BL404" s="314"/>
      <c r="BM404" s="314"/>
      <c r="BN404" s="314"/>
      <c r="BO404" s="314"/>
      <c r="BP404" s="314"/>
      <c r="BQ404" s="314"/>
      <c r="BR404" s="314"/>
      <c r="BS404" s="314"/>
      <c r="BT404" s="314"/>
      <c r="BU404" s="314"/>
      <c r="BV404" s="314"/>
      <c r="BW404" s="314"/>
      <c r="BX404" s="314"/>
      <c r="BY404" s="314"/>
      <c r="BZ404" s="314"/>
      <c r="CA404" s="314"/>
      <c r="CB404" s="314"/>
      <c r="CC404" s="314"/>
      <c r="CD404" s="314"/>
      <c r="CE404" s="314"/>
      <c r="CF404" s="314"/>
      <c r="CG404" s="314"/>
      <c r="CH404" s="314"/>
      <c r="CI404" s="314"/>
      <c r="CJ404" s="314"/>
      <c r="CK404" s="314"/>
      <c r="CL404" s="314"/>
      <c r="CM404" s="314"/>
      <c r="CN404" s="314"/>
      <c r="CO404" s="314"/>
      <c r="CP404" s="314"/>
      <c r="CQ404" s="369" t="b">
        <f>OR(CQ402,Y404=EUconst_NA)</f>
        <v>0</v>
      </c>
    </row>
    <row r="405" spans="1:95" ht="12.75" customHeight="1" thickBot="1" x14ac:dyDescent="0.3">
      <c r="A405" s="307"/>
      <c r="B405" s="68"/>
      <c r="C405" s="199" t="s">
        <v>14</v>
      </c>
      <c r="D405" s="344" t="str">
        <f>Translations!$B$358</f>
        <v>(prelim) EF:</v>
      </c>
      <c r="E405" s="345"/>
      <c r="F405" s="59"/>
      <c r="G405" s="1256" t="str">
        <f>IF(OR(ISBLANK(F405),F405=EUconst_NoTier),"",IF(Z405=0,EUconst_NotApplicable,IF(ISERROR(Z405),"",Z405)))</f>
        <v/>
      </c>
      <c r="H405" s="1260"/>
      <c r="I405" s="385" t="str">
        <f>IF(J405&lt;&gt;"","",AI405)</f>
        <v/>
      </c>
      <c r="J405" s="22"/>
      <c r="K405" s="386" t="str">
        <f>IF(L405="",AU405,"")</f>
        <v/>
      </c>
      <c r="L405" s="58"/>
      <c r="M405" s="347" t="str">
        <f>IF(AND(E397&lt;&gt;"",OR(F405="",COUNT(K405:L405)=0),Y405&lt;&gt;EUconst_NA),EUconst_ERR_Incomplete,IF(COUNTIF(BB405:BD405,TRUE)&gt;0,EUconst_ERR_Inconsistent,""))</f>
        <v/>
      </c>
      <c r="N405" s="387"/>
      <c r="O405" s="160"/>
      <c r="P405" s="109"/>
      <c r="Q405" s="312"/>
      <c r="R405" s="312"/>
      <c r="S405" s="314"/>
      <c r="T405" s="388" t="str">
        <f>EUconst_CNTR_EF&amp;E397</f>
        <v>EF_</v>
      </c>
      <c r="U405" s="312"/>
      <c r="V405" s="389" t="str">
        <f>V402</f>
        <v/>
      </c>
      <c r="W405" s="314"/>
      <c r="X405" s="312"/>
      <c r="Y405" s="390" t="str">
        <f>IF(E397="","",IF(OR(F405=EUconst_NA,W405=TRUE),EUconst_NA,INDEX(EUwideConstants!$P$164:$P$200,MATCH(T405,EUwideConstants!$S$164:$S$200,0))))</f>
        <v/>
      </c>
      <c r="Z405" s="391" t="str">
        <f>IF(ISBLANK(F405),"",IF(F405=EUconst_NA,"",INDEX(EUwideConstants!$H:$O,MATCH(T405,EUwideConstants!$S:$S,0),MATCH(F405,CNTR_TierList,0))))</f>
        <v/>
      </c>
      <c r="AA405" s="392" t="str">
        <f>IF(COUNTIF(EUconst_DefaultValues,Z405)&gt;0,MATCH(Z405,EUconst_DefaultValues,0),"")</f>
        <v/>
      </c>
      <c r="AB405" s="314"/>
      <c r="AC405" s="393" t="b">
        <f>AND(AC402,Y405&lt;&gt;EUconst_NA)</f>
        <v>0</v>
      </c>
      <c r="AD405" s="314"/>
      <c r="AE405" s="394" t="str">
        <f>EUconst_CNTR_EF&amp;EUconst_Unit</f>
        <v>EF_Unit</v>
      </c>
      <c r="AF405" s="395" t="str">
        <f>IF(AC405=TRUE, IF(COUNTIF(MSPara_SourceStreamCategory,V405)=0,"",INDEX(MSPara_CalcFactorsMatrix,MATCH(V405,MSPara_SourceStreamCategory,0),MATCH(AE405&amp;"_"&amp;2,MSPara_CalcFactors,0))),"")</f>
        <v/>
      </c>
      <c r="AG405" s="396" t="str">
        <f>IF(AC405=TRUE, IF(COUNTIF(MSPara_SourceStreamCategory,V405)=0,"",INDEX(MSPara_CalcFactorsMatrix,MATCH(V405,MSPara_SourceStreamCategory,0),MATCH(AE405&amp;"_"&amp;1,MSPara_CalcFactors,0))),"")</f>
        <v/>
      </c>
      <c r="AH405" s="397" t="str">
        <f>IF(AA405="","",INDEX(AF405:AG405,3-AA405))</f>
        <v/>
      </c>
      <c r="AI405" s="397" t="str">
        <f>IF(AC405=TRUE,IF(OR(AH405="",AH405=EUconst_NA),EUconst_tCO2&amp;"/"&amp;IF(AN404=EUconst_NA,AN402,IF(AN404=EUconst_GJ,EUconst_TJ,AN404)),AH405),"")</f>
        <v/>
      </c>
      <c r="AJ405" s="397" t="str">
        <f>IF(J405="",AI405,J405)</f>
        <v/>
      </c>
      <c r="AK405" s="398" t="b">
        <f>AND(E397&lt;&gt;"",J405&lt;&gt;"")</f>
        <v>0</v>
      </c>
      <c r="AL405" s="326"/>
      <c r="AM405" s="358" t="s">
        <v>153</v>
      </c>
      <c r="AN405" s="359" t="str">
        <f>IF(COUNTIF(RFAUnits,AN402)=0,EUconst_NA,INDEX(EUwideConstants!$C$150:$H$154,MATCH(AJ405,EFUnits,0),MATCH(AN402,EUwideConstants!$C$149:$H$149,0)))</f>
        <v>n.a.</v>
      </c>
      <c r="AO405" s="359" t="b">
        <f>AN405&lt;&gt;EUconst_NA</f>
        <v>0</v>
      </c>
      <c r="AP405" s="326"/>
      <c r="AQ405" s="399" t="str">
        <f>EUconst_CNTR_EF&amp;EUconst_Value</f>
        <v>EF_Value</v>
      </c>
      <c r="AR405" s="400" t="str">
        <f>IF(AC405=TRUE,IF(COUNTIF(MSPara_SourceStreamCategory,V405)=0,"",INDEX(MSPara_CalcFactorsMatrix,MATCH(V405,MSPara_SourceStreamCategory,0),MATCH(AQ405&amp;"_"&amp;2,MSPara_CalcFactors,0))),"")</f>
        <v/>
      </c>
      <c r="AS405" s="401" t="str">
        <f>IF(AC405=TRUE,IF(COUNTIF(MSPara_SourceStreamCategory,V405)=0,"",INDEX(MSPara_CalcFactorsMatrix,MATCH(V405,MSPara_SourceStreamCategory,0),MATCH(AQ405&amp;"_"&amp;1,MSPara_CalcFactors,0))),"")</f>
        <v/>
      </c>
      <c r="AT405" s="402" t="b">
        <f>AND(AND(AH405&lt;&gt;"",AJ405&lt;&gt;""),AJ405=AH405)</f>
        <v>0</v>
      </c>
      <c r="AU405" s="403" t="str">
        <f>IF(AND(AA405&lt;&gt;"",AT405=TRUE),IF(OR(INDEX(AR405:AS405,3-AA405)=EUconst_NA,INDEX(AR405:AS405,3-AA405)=0),"",INDEX(AR405:AS405,3-AA405)),"")</f>
        <v/>
      </c>
      <c r="AV405" s="393">
        <f>IF(AC405=TRUE,IF(COUNT(K405:L405)=0,0,IF(L405="",K405,L405)),0)</f>
        <v>0</v>
      </c>
      <c r="AW405" s="389" t="b">
        <f t="shared" si="108"/>
        <v>0</v>
      </c>
      <c r="AX405" s="404" t="b">
        <f t="shared" si="109"/>
        <v>0</v>
      </c>
      <c r="AY405" s="314"/>
      <c r="AZ405" s="405" t="b">
        <f t="shared" si="110"/>
        <v>0</v>
      </c>
      <c r="BA405" s="406" t="b">
        <f t="shared" si="111"/>
        <v>0</v>
      </c>
      <c r="BB405" s="407" t="b">
        <f>AND(E397&lt;&gt;"",COUNTIF(AO405:AO406,TRUE)=0)</f>
        <v>0</v>
      </c>
      <c r="BC405" s="389" t="b">
        <f t="shared" si="112"/>
        <v>0</v>
      </c>
      <c r="BD405" s="314"/>
      <c r="BE405" s="314"/>
      <c r="BF405" s="408" t="s">
        <v>154</v>
      </c>
      <c r="BG405" s="409" t="str">
        <f>IF(COUNTIF(AO405:AO406,TRUE)=0,"",BH405*AV413)</f>
        <v/>
      </c>
      <c r="BH405" s="409" t="str">
        <f>IF(COUNTIF(AO405:AO406,TRUE)=0,"",AV402*IF(AO405,1,AV404*AN406)*AV405*AV407)</f>
        <v/>
      </c>
      <c r="BI405" s="314"/>
      <c r="BJ405" s="314"/>
      <c r="BK405" s="314"/>
      <c r="BL405" s="314"/>
      <c r="BM405" s="314"/>
      <c r="BN405" s="314"/>
      <c r="BO405" s="314"/>
      <c r="BP405" s="314"/>
      <c r="BQ405" s="314"/>
      <c r="BR405" s="314"/>
      <c r="BS405" s="314"/>
      <c r="BT405" s="314"/>
      <c r="BU405" s="314"/>
      <c r="BV405" s="314"/>
      <c r="BW405" s="314"/>
      <c r="BX405" s="314"/>
      <c r="BY405" s="314"/>
      <c r="BZ405" s="314"/>
      <c r="CA405" s="314"/>
      <c r="CB405" s="314"/>
      <c r="CC405" s="314"/>
      <c r="CD405" s="314"/>
      <c r="CE405" s="314"/>
      <c r="CF405" s="314"/>
      <c r="CG405" s="314"/>
      <c r="CH405" s="314"/>
      <c r="CI405" s="314"/>
      <c r="CJ405" s="314"/>
      <c r="CK405" s="314"/>
      <c r="CL405" s="314"/>
      <c r="CM405" s="314"/>
      <c r="CN405" s="314"/>
      <c r="CO405" s="314"/>
      <c r="CP405" s="314"/>
      <c r="CQ405" s="407" t="b">
        <f>OR(CQ402,Y405=EUconst_NA)</f>
        <v>0</v>
      </c>
    </row>
    <row r="406" spans="1:95" ht="12.75" customHeight="1" x14ac:dyDescent="0.25">
      <c r="A406" s="307"/>
      <c r="B406" s="68"/>
      <c r="C406" s="199" t="s">
        <v>15</v>
      </c>
      <c r="D406" s="344" t="str">
        <f>Translations!$B$362</f>
        <v>BioF:</v>
      </c>
      <c r="E406" s="345"/>
      <c r="F406" s="10"/>
      <c r="G406" s="1256" t="str">
        <f>IF(OR(ISBLANK(F406),F406=EUconst_NoTier),"",IF(Z406=0,EUconst_NotApplicable,IF(ISERROR(Z406),"",Z406)))</f>
        <v/>
      </c>
      <c r="H406" s="1257"/>
      <c r="I406" s="410" t="str">
        <f t="shared" ref="I406:I411" si="113">IF(OR(AC406=FALSE,Y406=EUconst_NA),"","-")</f>
        <v/>
      </c>
      <c r="J406" s="411"/>
      <c r="K406" s="412" t="str">
        <f>IF(L406="",AU406,"")</f>
        <v/>
      </c>
      <c r="L406" s="60"/>
      <c r="M406" s="347" t="str">
        <f>IF(AND(E397&lt;&gt;"",OR(F406="",COUNT(K406:L406)=0),Y406&lt;&gt;EUconst_NA),EUconst_ERR_Incomplete,IF(COUNTIF(BB406:BD406,TRUE)&gt;0,EUconst_ERR_Inconsistent,""))</f>
        <v/>
      </c>
      <c r="O406" s="160"/>
      <c r="P406" s="348"/>
      <c r="Q406" s="413"/>
      <c r="R406" s="413"/>
      <c r="S406" s="314"/>
      <c r="T406" s="388" t="str">
        <f>EUconst_CNTR_BiomassContent&amp;E397</f>
        <v>BioC_</v>
      </c>
      <c r="U406" s="312"/>
      <c r="V406" s="369" t="str">
        <f>V404</f>
        <v/>
      </c>
      <c r="W406" s="369" t="str">
        <f>IF(OR(V406="",COUNTIF(MSPara_SourceStreamCategory,V406)=0),"",INDEX(MSPara_IsFossil,MATCH(V406,MSPara_SourceStreamCategory,0)))</f>
        <v/>
      </c>
      <c r="X406" s="312"/>
      <c r="Y406" s="370" t="str">
        <f>IF(E397="","",IF(OR(F406=EUconst_NA,W406=TRUE),EUconst_NA,INDEX(EUwideConstants!$P$164:$P$200,MATCH(T406,EUwideConstants!$S$164:$S$200,0))))</f>
        <v/>
      </c>
      <c r="Z406" s="371" t="str">
        <f>IF(ISBLANK(F406),"",IF(F406=EUconst_NA,"",INDEX(EUwideConstants!$H:$O,MATCH(T406,EUwideConstants!$S:$S,0),MATCH(F406,CNTR_TierList,0))))</f>
        <v/>
      </c>
      <c r="AA406" s="414" t="str">
        <f>IF(F406=1,1,"")</f>
        <v/>
      </c>
      <c r="AB406" s="314"/>
      <c r="AC406" s="373" t="b">
        <f>AND(AC402,Y406&lt;&gt;EUconst_NA)</f>
        <v>0</v>
      </c>
      <c r="AD406" s="314"/>
      <c r="AE406" s="415"/>
      <c r="AF406" s="416"/>
      <c r="AG406" s="417"/>
      <c r="AH406" s="418"/>
      <c r="AI406" s="418"/>
      <c r="AJ406" s="418"/>
      <c r="AK406" s="419"/>
      <c r="AL406" s="326"/>
      <c r="AM406" s="358" t="s">
        <v>155</v>
      </c>
      <c r="AN406" s="359" t="str">
        <f>IF(AN404=EUconst_NA,EUconst_NA,INDEX(EUwideConstants!$C$150:$H$154,MATCH(AJ405,EFUnits,0),MATCH(AN404,EUwideConstants!$C$149:$H$149,0)))</f>
        <v>n.a.</v>
      </c>
      <c r="AO406" s="359" t="b">
        <f>AN406&lt;&gt;EUconst_NA</f>
        <v>0</v>
      </c>
      <c r="AP406" s="326"/>
      <c r="AQ406" s="376" t="str">
        <f>EUconst_CNTR_BiomassContent&amp;EUconst_Value</f>
        <v>BioC_Value</v>
      </c>
      <c r="AR406" s="420"/>
      <c r="AS406" s="378" t="str">
        <f t="shared" ref="AS406:AS411" si="114">IF(AC406=TRUE,IF(COUNTIF(MSPara_SourceStreamCategory,V406)=0,"",INDEX(MSPara_CalcFactorsMatrix,MATCH(V406,MSPara_SourceStreamCategory,0),MATCH(AQ406&amp;"_"&amp;2,MSPara_CalcFactors,0))),"")</f>
        <v/>
      </c>
      <c r="AT406" s="421"/>
      <c r="AU406" s="380" t="str">
        <f t="shared" ref="AU406:AU411" si="115">IF(OR(AA406="",AS406=EUconst_NA),"",AS406)</f>
        <v/>
      </c>
      <c r="AV406" s="373">
        <f>IF(AC406=TRUE,IF(COUNT(K406:L406)=0,0,IF(L406="",K406,L406)),0)</f>
        <v>0</v>
      </c>
      <c r="AW406" s="369" t="b">
        <f t="shared" si="108"/>
        <v>0</v>
      </c>
      <c r="AX406" s="381" t="b">
        <f t="shared" si="109"/>
        <v>0</v>
      </c>
      <c r="AY406" s="314"/>
      <c r="AZ406" s="382" t="b">
        <f t="shared" si="110"/>
        <v>0</v>
      </c>
      <c r="BA406" s="383" t="b">
        <f t="shared" si="111"/>
        <v>0</v>
      </c>
      <c r="BB406" s="314"/>
      <c r="BC406" s="369" t="b">
        <f t="shared" si="112"/>
        <v>0</v>
      </c>
      <c r="BD406" s="369" t="b">
        <f>OR(AV406&gt;100%,(AV406+AV407)&gt;100%)</f>
        <v>0</v>
      </c>
      <c r="BE406" s="314"/>
      <c r="BF406" s="382" t="s">
        <v>156</v>
      </c>
      <c r="BG406" s="384" t="str">
        <f>IF(COUNTIF(AO405:AO406,TRUE)=0,"",BH406*AV413)</f>
        <v/>
      </c>
      <c r="BH406" s="384" t="str">
        <f>IF(COUNTIF(AO405:AO406,TRUE)=0,"",AV402*IF(AO405,1,AV404*AN406)*AV405*AV408)</f>
        <v/>
      </c>
      <c r="BJ406" s="314"/>
      <c r="BK406" s="314"/>
      <c r="BL406" s="314"/>
      <c r="BM406" s="314"/>
      <c r="BN406" s="314"/>
      <c r="BO406" s="314"/>
      <c r="BP406" s="314"/>
      <c r="BQ406" s="314"/>
      <c r="BR406" s="314"/>
      <c r="BS406" s="314"/>
      <c r="BT406" s="314"/>
      <c r="BU406" s="314"/>
      <c r="BV406" s="314"/>
      <c r="BW406" s="314"/>
      <c r="BX406" s="314"/>
      <c r="BY406" s="314"/>
      <c r="BZ406" s="314"/>
      <c r="CA406" s="314"/>
      <c r="CB406" s="314"/>
      <c r="CC406" s="314"/>
      <c r="CD406" s="314"/>
      <c r="CE406" s="314"/>
      <c r="CF406" s="314"/>
      <c r="CG406" s="314"/>
      <c r="CH406" s="314"/>
      <c r="CI406" s="314"/>
      <c r="CJ406" s="314"/>
      <c r="CK406" s="314"/>
      <c r="CL406" s="314"/>
      <c r="CM406" s="314"/>
      <c r="CN406" s="314"/>
      <c r="CO406" s="314"/>
      <c r="CP406" s="314"/>
      <c r="CQ406" s="369" t="b">
        <f>OR(CQ402,Y406=EUconst_NA)</f>
        <v>0</v>
      </c>
    </row>
    <row r="407" spans="1:95" ht="12.75" customHeight="1" thickBot="1" x14ac:dyDescent="0.3">
      <c r="A407" s="307"/>
      <c r="B407" s="68"/>
      <c r="C407" s="199" t="s">
        <v>16</v>
      </c>
      <c r="D407" s="344" t="str">
        <f>Translations!$B$368</f>
        <v>non-sust. BioF:</v>
      </c>
      <c r="E407" s="345"/>
      <c r="F407" s="20"/>
      <c r="G407" s="1256" t="str">
        <f>IF(OR(ISBLANK(F407),F407=EUconst_NoTier),"",IF(Z407=0,EUconst_NotApplicable,IF(ISERROR(Z407),"",Z407)))</f>
        <v/>
      </c>
      <c r="H407" s="1257"/>
      <c r="I407" s="422" t="str">
        <f t="shared" si="113"/>
        <v/>
      </c>
      <c r="J407" s="423"/>
      <c r="K407" s="424" t="str">
        <f>IF(L407="",AU407,"")</f>
        <v/>
      </c>
      <c r="L407" s="21"/>
      <c r="M407" s="347" t="str">
        <f>IF(AND(E397&lt;&gt;"",OR(F407="",COUNT(K407:L407)=0),Y407&lt;&gt;EUconst_NA),EUconst_ERR_Incomplete,IF(COUNTIF(BB407:BD407,TRUE)&gt;0,EUconst_ERR_Inconsistent,""))</f>
        <v/>
      </c>
      <c r="N407" s="76"/>
      <c r="O407" s="160"/>
      <c r="P407" s="348"/>
      <c r="Q407" s="413"/>
      <c r="R407" s="413"/>
      <c r="S407" s="314"/>
      <c r="T407" s="425" t="str">
        <f>EUconst_CNTR_BiomassContent&amp;E397</f>
        <v>BioC_</v>
      </c>
      <c r="U407" s="312"/>
      <c r="V407" s="407" t="str">
        <f>V406</f>
        <v/>
      </c>
      <c r="W407" s="407" t="str">
        <f>IF(OR(V406="",COUNTIF(MSPara_SourceStreamCategory,V407)=0),"",INDEX(MSPara_IsFossil,MATCH(V407,MSPara_SourceStreamCategory,0)))</f>
        <v/>
      </c>
      <c r="X407" s="312"/>
      <c r="Y407" s="426" t="str">
        <f>IF(E397="","",IF(OR(F407=EUconst_NA,W407=TRUE),EUconst_NA,INDEX(EUwideConstants!$P$164:$P$200,MATCH(T407,EUwideConstants!$S$164:$S$200,0))))</f>
        <v/>
      </c>
      <c r="Z407" s="427" t="str">
        <f>IF(ISBLANK(F407),"",IF(F407=EUconst_NA,"",INDEX(EUwideConstants!$H:$O,MATCH(T407,EUwideConstants!$S:$S,0),MATCH(F407,CNTR_TierList,0))))</f>
        <v/>
      </c>
      <c r="AA407" s="428" t="str">
        <f>IF(F407=1,1,"")</f>
        <v/>
      </c>
      <c r="AB407" s="314"/>
      <c r="AC407" s="429" t="b">
        <f>AND(AC402,Y407&lt;&gt;EUconst_NA)</f>
        <v>0</v>
      </c>
      <c r="AD407" s="314"/>
      <c r="AE407" s="430"/>
      <c r="AF407" s="431"/>
      <c r="AG407" s="432"/>
      <c r="AH407" s="433"/>
      <c r="AI407" s="433"/>
      <c r="AJ407" s="433"/>
      <c r="AK407" s="434"/>
      <c r="AL407" s="326"/>
      <c r="AM407" s="326"/>
      <c r="AN407" s="326"/>
      <c r="AO407" s="326"/>
      <c r="AP407" s="326"/>
      <c r="AQ407" s="435" t="str">
        <f>EUconst_CNTR_BiomassContent&amp;EUconst_Value</f>
        <v>BioC_Value</v>
      </c>
      <c r="AR407" s="430"/>
      <c r="AS407" s="436" t="str">
        <f t="shared" si="114"/>
        <v/>
      </c>
      <c r="AT407" s="437"/>
      <c r="AU407" s="438" t="str">
        <f t="shared" si="115"/>
        <v/>
      </c>
      <c r="AV407" s="429">
        <f>IF(AC407=TRUE,IF(COUNT(K407:L407)=0,0,IF(L407="",K407,L407)),0)</f>
        <v>0</v>
      </c>
      <c r="AW407" s="407" t="b">
        <f t="shared" si="108"/>
        <v>0</v>
      </c>
      <c r="AX407" s="439" t="b">
        <f t="shared" si="109"/>
        <v>0</v>
      </c>
      <c r="AY407" s="314"/>
      <c r="AZ407" s="408" t="b">
        <f t="shared" si="110"/>
        <v>0</v>
      </c>
      <c r="BA407" s="440" t="b">
        <f t="shared" si="111"/>
        <v>0</v>
      </c>
      <c r="BB407" s="314"/>
      <c r="BC407" s="407" t="b">
        <f t="shared" si="112"/>
        <v>0</v>
      </c>
      <c r="BD407" s="407" t="b">
        <f>OR(AV406&gt;100%,(AV406+AV407)&gt;100%)</f>
        <v>0</v>
      </c>
      <c r="BE407" s="314"/>
      <c r="BF407" s="408" t="s">
        <v>157</v>
      </c>
      <c r="BG407" s="409" t="str">
        <f>IF(COUNTIF(AO405:AO406,TRUE)=0,"",BH407*AV413)</f>
        <v/>
      </c>
      <c r="BH407" s="409" t="str">
        <f>IF(COUNTIF(AO405:AO406,TRUE)=0,"",AV402*IF(AO405,1,AV404*AN406)*AV405*AV409)</f>
        <v/>
      </c>
      <c r="BJ407" s="314"/>
      <c r="BK407" s="314"/>
      <c r="BL407" s="314"/>
      <c r="BM407" s="314"/>
      <c r="BN407" s="314"/>
      <c r="BO407" s="314"/>
      <c r="BP407" s="314"/>
      <c r="BQ407" s="314"/>
      <c r="BR407" s="314"/>
      <c r="BS407" s="314"/>
      <c r="BT407" s="314"/>
      <c r="BU407" s="314"/>
      <c r="BV407" s="314"/>
      <c r="BW407" s="314"/>
      <c r="BX407" s="314"/>
      <c r="BY407" s="314"/>
      <c r="BZ407" s="314"/>
      <c r="CA407" s="314"/>
      <c r="CB407" s="314"/>
      <c r="CC407" s="314"/>
      <c r="CD407" s="314"/>
      <c r="CE407" s="314"/>
      <c r="CF407" s="314"/>
      <c r="CG407" s="314"/>
      <c r="CH407" s="314"/>
      <c r="CI407" s="314"/>
      <c r="CJ407" s="314"/>
      <c r="CK407" s="314"/>
      <c r="CL407" s="314"/>
      <c r="CM407" s="314"/>
      <c r="CN407" s="314"/>
      <c r="CO407" s="314"/>
      <c r="CP407" s="314"/>
      <c r="CQ407" s="407" t="b">
        <f>OR(CQ402,Y407=EUconst_NA)</f>
        <v>0</v>
      </c>
    </row>
    <row r="408" spans="1:95" ht="12.75" customHeight="1" thickBot="1" x14ac:dyDescent="0.3">
      <c r="A408" s="307"/>
      <c r="B408" s="68"/>
      <c r="C408" s="199" t="s">
        <v>17</v>
      </c>
      <c r="D408" s="344" t="str">
        <f>Translations!$B$610</f>
        <v>sust. RFNBO/RCF:</v>
      </c>
      <c r="E408" s="441"/>
      <c r="F408" s="19" t="s">
        <v>158</v>
      </c>
      <c r="G408" s="1261"/>
      <c r="H408" s="1262"/>
      <c r="I408" s="442" t="str">
        <f t="shared" si="113"/>
        <v/>
      </c>
      <c r="J408" s="411"/>
      <c r="K408" s="443"/>
      <c r="L408" s="55"/>
      <c r="M408" s="347" t="str">
        <f>IF(AND(E397&lt;&gt;"",OR(F408="",COUNT(L408)=0),Y408&lt;&gt;EUconst_NA),EUconst_ERR_Incomplete,"")</f>
        <v/>
      </c>
      <c r="N408" s="76"/>
      <c r="O408" s="160"/>
      <c r="P408" s="348"/>
      <c r="Q408" s="413"/>
      <c r="R408" s="413"/>
      <c r="S408" s="314"/>
      <c r="T408" s="388" t="str">
        <f>EUconst_CNTR_RFNBOetcContent&amp;E397</f>
        <v>RNFBOC_</v>
      </c>
      <c r="U408" s="312"/>
      <c r="V408" s="312"/>
      <c r="W408" s="312"/>
      <c r="X408" s="312"/>
      <c r="Y408" s="380" t="str">
        <f>IF(E397="","",IF(OR(F408=EUconst_NA,W408=TRUE),EUconst_NA,INDEX(EUwideConstants!$P$164:$P$200,MATCH(T408,EUwideConstants!$S$164:$S$200,0))))</f>
        <v/>
      </c>
      <c r="Z408" s="314"/>
      <c r="AA408" s="314"/>
      <c r="AB408" s="314"/>
      <c r="AC408" s="397" t="b">
        <f>AND(AC404,Y408&lt;&gt;EUconst_NA)</f>
        <v>0</v>
      </c>
      <c r="AD408" s="314"/>
      <c r="AE408" s="415"/>
      <c r="AF408" s="416"/>
      <c r="AG408" s="417"/>
      <c r="AH408" s="418"/>
      <c r="AI408" s="418"/>
      <c r="AJ408" s="418"/>
      <c r="AK408" s="419"/>
      <c r="AL408" s="326"/>
      <c r="AM408" s="326"/>
      <c r="AN408" s="326"/>
      <c r="AO408" s="326"/>
      <c r="AP408" s="326"/>
      <c r="AQ408" s="444" t="s">
        <v>159</v>
      </c>
      <c r="AR408" s="415"/>
      <c r="AS408" s="445" t="str">
        <f t="shared" si="114"/>
        <v/>
      </c>
      <c r="AT408" s="446"/>
      <c r="AU408" s="447" t="str">
        <f t="shared" si="115"/>
        <v/>
      </c>
      <c r="AV408" s="397">
        <f>IF(L408&lt;&gt;0,L408,L408)</f>
        <v>0</v>
      </c>
      <c r="AW408" s="398" t="b">
        <f t="shared" si="108"/>
        <v>0</v>
      </c>
      <c r="AX408" s="448" t="b">
        <f t="shared" si="109"/>
        <v>0</v>
      </c>
      <c r="AY408" s="314"/>
      <c r="AZ408" s="449" t="b">
        <f t="shared" si="110"/>
        <v>0</v>
      </c>
      <c r="BA408" s="450" t="b">
        <f t="shared" si="111"/>
        <v>0</v>
      </c>
      <c r="BB408" s="314"/>
      <c r="BC408" s="398" t="b">
        <f t="shared" si="112"/>
        <v>0</v>
      </c>
      <c r="BD408" s="369" t="b">
        <f>OR(AV408&gt;100%,(AV408+AV409)&gt;100%)</f>
        <v>0</v>
      </c>
      <c r="BE408" s="314"/>
      <c r="BF408" s="451" t="s">
        <v>160</v>
      </c>
      <c r="BG408" s="452" t="str">
        <f>IF(COUNTIF(AO405:AO406,TRUE)=0,"",BH408*AV413)</f>
        <v/>
      </c>
      <c r="BH408" s="452" t="str">
        <f>IF(COUNTIF(AO405:AO406,TRUE)=0,"",AV402*IF(AO405,1,AV404*AN406)*AV405*AV410)</f>
        <v/>
      </c>
      <c r="BJ408" s="314"/>
      <c r="BK408" s="314"/>
      <c r="BL408" s="314"/>
      <c r="BM408" s="314"/>
      <c r="BN408" s="314"/>
      <c r="BO408" s="314"/>
      <c r="BP408" s="314"/>
      <c r="BQ408" s="314"/>
      <c r="BR408" s="314"/>
      <c r="BS408" s="314"/>
      <c r="BT408" s="314"/>
      <c r="BU408" s="314"/>
      <c r="BV408" s="314"/>
      <c r="BW408" s="314"/>
      <c r="BX408" s="314"/>
      <c r="BY408" s="314"/>
      <c r="BZ408" s="314"/>
      <c r="CA408" s="314"/>
      <c r="CB408" s="314"/>
      <c r="CC408" s="314"/>
      <c r="CD408" s="314"/>
      <c r="CE408" s="314"/>
      <c r="CF408" s="314"/>
      <c r="CG408" s="314"/>
      <c r="CH408" s="314"/>
      <c r="CI408" s="314"/>
      <c r="CJ408" s="314"/>
      <c r="CK408" s="314"/>
      <c r="CL408" s="314"/>
      <c r="CM408" s="314"/>
      <c r="CN408" s="314"/>
      <c r="CO408" s="314"/>
      <c r="CP408" s="314"/>
      <c r="CQ408" s="407" t="b">
        <f>OR(CQ402,Y408=EUconst_NA)</f>
        <v>0</v>
      </c>
    </row>
    <row r="409" spans="1:95" ht="12.75" customHeight="1" thickBot="1" x14ac:dyDescent="0.3">
      <c r="A409" s="307"/>
      <c r="B409" s="68"/>
      <c r="C409" s="199" t="s">
        <v>161</v>
      </c>
      <c r="D409" s="344" t="str">
        <f>Translations!$B$613</f>
        <v>non-sust. RFNBO/RCF:</v>
      </c>
      <c r="E409" s="441"/>
      <c r="F409" s="20" t="s">
        <v>158</v>
      </c>
      <c r="G409" s="1261"/>
      <c r="H409" s="1262"/>
      <c r="I409" s="422" t="str">
        <f t="shared" si="113"/>
        <v/>
      </c>
      <c r="J409" s="423"/>
      <c r="K409" s="443"/>
      <c r="L409" s="56"/>
      <c r="M409" s="347" t="str">
        <f>IF(AND(E397&lt;&gt;"",OR(F409="",COUNT(L409)=0),Y409&lt;&gt;EUconst_NA),EUconst_ERR_Incomplete,"")</f>
        <v/>
      </c>
      <c r="N409" s="76"/>
      <c r="O409" s="160"/>
      <c r="P409" s="348"/>
      <c r="Q409" s="413"/>
      <c r="R409" s="413"/>
      <c r="S409" s="314"/>
      <c r="T409" s="425" t="str">
        <f>EUconst_CNTR_RFNBOetcContent&amp;E397</f>
        <v>RNFBOC_</v>
      </c>
      <c r="U409" s="312"/>
      <c r="V409" s="312"/>
      <c r="W409" s="312"/>
      <c r="X409" s="312"/>
      <c r="Y409" s="438" t="str">
        <f>IF(E397="","",IF(OR(F409=EUconst_NA,W409=TRUE),EUconst_NA,INDEX(EUwideConstants!$P$164:$P$200,MATCH(T409,EUwideConstants!$S$164:$S$200,0))))</f>
        <v/>
      </c>
      <c r="Z409" s="314"/>
      <c r="AA409" s="314"/>
      <c r="AB409" s="314"/>
      <c r="AC409" s="429" t="b">
        <f>AND(AC404,Y409&lt;&gt;EUconst_NA)</f>
        <v>0</v>
      </c>
      <c r="AD409" s="314"/>
      <c r="AE409" s="430"/>
      <c r="AF409" s="431"/>
      <c r="AG409" s="432"/>
      <c r="AH409" s="433"/>
      <c r="AI409" s="433"/>
      <c r="AJ409" s="433"/>
      <c r="AK409" s="434"/>
      <c r="AL409" s="326"/>
      <c r="AM409" s="326"/>
      <c r="AN409" s="326"/>
      <c r="AO409" s="326"/>
      <c r="AP409" s="326"/>
      <c r="AQ409" s="435" t="s">
        <v>159</v>
      </c>
      <c r="AR409" s="430"/>
      <c r="AS409" s="436" t="str">
        <f t="shared" si="114"/>
        <v/>
      </c>
      <c r="AT409" s="437"/>
      <c r="AU409" s="438" t="str">
        <f t="shared" si="115"/>
        <v/>
      </c>
      <c r="AV409" s="429">
        <f t="shared" ref="AV409:AV411" si="116">IF(L409&lt;&gt;0,L409,L409)</f>
        <v>0</v>
      </c>
      <c r="AW409" s="407" t="b">
        <f t="shared" si="108"/>
        <v>0</v>
      </c>
      <c r="AX409" s="439" t="b">
        <f t="shared" si="109"/>
        <v>0</v>
      </c>
      <c r="AY409" s="314"/>
      <c r="AZ409" s="408" t="b">
        <f t="shared" si="110"/>
        <v>0</v>
      </c>
      <c r="BA409" s="440" t="b">
        <f t="shared" si="111"/>
        <v>0</v>
      </c>
      <c r="BB409" s="314"/>
      <c r="BC409" s="407" t="b">
        <f t="shared" si="112"/>
        <v>0</v>
      </c>
      <c r="BD409" s="407" t="b">
        <f>OR(AV408&gt;100%,(AV408+AV409)&gt;100%)</f>
        <v>0</v>
      </c>
      <c r="BE409" s="314"/>
      <c r="BF409" s="408" t="s">
        <v>162</v>
      </c>
      <c r="BG409" s="409" t="str">
        <f>IF(COUNTIF(AO405:AO406,TRUE)=0,"",BH409*AV413)</f>
        <v/>
      </c>
      <c r="BH409" s="409" t="str">
        <f>IF(COUNTIF(AO405:AO406,TRUE)=0,"",AV402*IF(AO405,1,AV404*AN406)*AV405*AV411)</f>
        <v/>
      </c>
      <c r="BJ409" s="314"/>
      <c r="BK409" s="314"/>
      <c r="BL409" s="314"/>
      <c r="BM409" s="314"/>
      <c r="BN409" s="314"/>
      <c r="BO409" s="314"/>
      <c r="BP409" s="314"/>
      <c r="BQ409" s="314"/>
      <c r="BR409" s="314"/>
      <c r="BS409" s="314"/>
      <c r="BT409" s="314"/>
      <c r="BU409" s="314"/>
      <c r="BV409" s="314"/>
      <c r="BW409" s="314"/>
      <c r="BX409" s="314"/>
      <c r="BY409" s="314"/>
      <c r="BZ409" s="314"/>
      <c r="CA409" s="314"/>
      <c r="CB409" s="314"/>
      <c r="CC409" s="314"/>
      <c r="CD409" s="314"/>
      <c r="CE409" s="314"/>
      <c r="CF409" s="314"/>
      <c r="CG409" s="314"/>
      <c r="CH409" s="314"/>
      <c r="CI409" s="314"/>
      <c r="CJ409" s="314"/>
      <c r="CK409" s="314"/>
      <c r="CL409" s="314"/>
      <c r="CM409" s="314"/>
      <c r="CN409" s="314"/>
      <c r="CO409" s="314"/>
      <c r="CP409" s="314"/>
      <c r="CQ409" s="407" t="b">
        <f>OR(CQ402,Y409=EUconst_NA)</f>
        <v>0</v>
      </c>
    </row>
    <row r="410" spans="1:95" ht="12.75" customHeight="1" thickBot="1" x14ac:dyDescent="0.3">
      <c r="A410" s="307"/>
      <c r="B410" s="68"/>
      <c r="C410" s="199" t="s">
        <v>163</v>
      </c>
      <c r="D410" s="344" t="str">
        <f>Translations!$B$615</f>
        <v>sust. SLCF:</v>
      </c>
      <c r="E410" s="441"/>
      <c r="F410" s="19" t="s">
        <v>158</v>
      </c>
      <c r="G410" s="1261"/>
      <c r="H410" s="1262"/>
      <c r="I410" s="442" t="str">
        <f t="shared" si="113"/>
        <v/>
      </c>
      <c r="J410" s="411"/>
      <c r="K410" s="443"/>
      <c r="L410" s="57"/>
      <c r="M410" s="347" t="str">
        <f>IF(AND(E397&lt;&gt;"",OR(F410="",COUNT(L410)=0),Y410&lt;&gt;EUconst_NA),EUconst_ERR_Incomplete,"")</f>
        <v/>
      </c>
      <c r="N410" s="76"/>
      <c r="O410" s="160"/>
      <c r="P410" s="348"/>
      <c r="Q410" s="413"/>
      <c r="R410" s="413"/>
      <c r="S410" s="314"/>
      <c r="T410" s="388" t="str">
        <f>EUconst_CNTR_RFNBOetcContent&amp;E397</f>
        <v>RNFBOC_</v>
      </c>
      <c r="U410" s="312"/>
      <c r="V410" s="312"/>
      <c r="W410" s="312"/>
      <c r="X410" s="312"/>
      <c r="Y410" s="447" t="str">
        <f>IF(E397="","",IF(OR(F410=EUconst_NA,W410=TRUE),EUconst_NA,INDEX(EUwideConstants!$P$164:$P$200,MATCH(T410,EUwideConstants!$S$164:$S$200,0))))</f>
        <v/>
      </c>
      <c r="Z410" s="314"/>
      <c r="AA410" s="314"/>
      <c r="AB410" s="314"/>
      <c r="AC410" s="397" t="b">
        <f>AND(AC406,Y410&lt;&gt;EUconst_NA)</f>
        <v>0</v>
      </c>
      <c r="AD410" s="314"/>
      <c r="AE410" s="415"/>
      <c r="AF410" s="416"/>
      <c r="AG410" s="417"/>
      <c r="AH410" s="418"/>
      <c r="AI410" s="418"/>
      <c r="AJ410" s="418"/>
      <c r="AK410" s="419"/>
      <c r="AL410" s="326"/>
      <c r="AM410" s="326"/>
      <c r="AN410" s="326"/>
      <c r="AO410" s="326"/>
      <c r="AP410" s="326"/>
      <c r="AQ410" s="444" t="s">
        <v>159</v>
      </c>
      <c r="AR410" s="415"/>
      <c r="AS410" s="445" t="str">
        <f t="shared" si="114"/>
        <v/>
      </c>
      <c r="AT410" s="446"/>
      <c r="AU410" s="447" t="str">
        <f t="shared" si="115"/>
        <v/>
      </c>
      <c r="AV410" s="397">
        <f t="shared" si="116"/>
        <v>0</v>
      </c>
      <c r="AW410" s="398" t="b">
        <f t="shared" si="108"/>
        <v>0</v>
      </c>
      <c r="AX410" s="448" t="b">
        <f t="shared" si="109"/>
        <v>0</v>
      </c>
      <c r="AY410" s="314"/>
      <c r="AZ410" s="449" t="b">
        <f t="shared" si="110"/>
        <v>0</v>
      </c>
      <c r="BA410" s="450" t="b">
        <f t="shared" si="111"/>
        <v>0</v>
      </c>
      <c r="BB410" s="314"/>
      <c r="BC410" s="398" t="b">
        <f t="shared" si="112"/>
        <v>0</v>
      </c>
      <c r="BD410" s="369" t="b">
        <f>OR(AV410&gt;100%,(AV410+AV411)&gt;100%)</f>
        <v>0</v>
      </c>
      <c r="BE410" s="314"/>
      <c r="BF410" s="451" t="s">
        <v>164</v>
      </c>
      <c r="BG410" s="452">
        <f>IF(AN402=EUconst_TJ,AV402*(1-AV406),IF(AN404=EUconst_GJ,AV402*AV404/1000,0))-SUM(BG411:BG417)</f>
        <v>0</v>
      </c>
      <c r="BH410" s="314"/>
      <c r="BI410" s="314"/>
      <c r="BJ410" s="314"/>
      <c r="BK410" s="314"/>
      <c r="BL410" s="314"/>
      <c r="BM410" s="314"/>
      <c r="BN410" s="314"/>
      <c r="BO410" s="314"/>
      <c r="BP410" s="314"/>
      <c r="BQ410" s="314"/>
      <c r="BR410" s="314"/>
      <c r="BS410" s="314"/>
      <c r="BT410" s="314"/>
      <c r="BU410" s="314"/>
      <c r="BV410" s="314"/>
      <c r="BW410" s="314"/>
      <c r="BX410" s="314"/>
      <c r="BY410" s="314"/>
      <c r="BZ410" s="314"/>
      <c r="CA410" s="314"/>
      <c r="CB410" s="314"/>
      <c r="CC410" s="314"/>
      <c r="CD410" s="314"/>
      <c r="CE410" s="314"/>
      <c r="CF410" s="314"/>
      <c r="CG410" s="314"/>
      <c r="CH410" s="314"/>
      <c r="CI410" s="314"/>
      <c r="CJ410" s="314"/>
      <c r="CK410" s="314"/>
      <c r="CL410" s="314"/>
      <c r="CM410" s="314"/>
      <c r="CN410" s="314"/>
      <c r="CO410" s="314"/>
      <c r="CP410" s="314"/>
      <c r="CQ410" s="407" t="b">
        <f>OR(CQ402,Y410=EUconst_NA)</f>
        <v>0</v>
      </c>
    </row>
    <row r="411" spans="1:95" ht="12.75" customHeight="1" thickBot="1" x14ac:dyDescent="0.3">
      <c r="A411" s="307"/>
      <c r="B411" s="68"/>
      <c r="C411" s="199" t="s">
        <v>165</v>
      </c>
      <c r="D411" s="344" t="str">
        <f>Translations!$B$618</f>
        <v>non-sust. SLCF:</v>
      </c>
      <c r="E411" s="441"/>
      <c r="F411" s="20" t="s">
        <v>158</v>
      </c>
      <c r="G411" s="1261"/>
      <c r="H411" s="1262"/>
      <c r="I411" s="422" t="str">
        <f t="shared" si="113"/>
        <v/>
      </c>
      <c r="J411" s="423"/>
      <c r="K411" s="443"/>
      <c r="L411" s="56"/>
      <c r="M411" s="347" t="str">
        <f>IF(AND(E397&lt;&gt;"",OR(F411="",COUNT(L411)=0),Y411&lt;&gt;EUconst_NA),EUconst_ERR_Incomplete,"")</f>
        <v/>
      </c>
      <c r="N411" s="76"/>
      <c r="O411" s="160"/>
      <c r="P411" s="348"/>
      <c r="Q411" s="413"/>
      <c r="R411" s="413"/>
      <c r="S411" s="314"/>
      <c r="T411" s="425" t="str">
        <f>EUconst_CNTR_RFNBOetcContent&amp;E397</f>
        <v>RNFBOC_</v>
      </c>
      <c r="U411" s="312"/>
      <c r="V411" s="312"/>
      <c r="W411" s="312"/>
      <c r="X411" s="312"/>
      <c r="Y411" s="438" t="str">
        <f>IF(E397="","",IF(OR(F411=EUconst_NA,W411=TRUE),EUconst_NA,INDEX(EUwideConstants!$P$164:$P$200,MATCH(T411,EUwideConstants!$S$164:$S$200,0))))</f>
        <v/>
      </c>
      <c r="Z411" s="314"/>
      <c r="AA411" s="314"/>
      <c r="AB411" s="314"/>
      <c r="AC411" s="429" t="b">
        <f>AND(AC406,Y411&lt;&gt;EUconst_NA)</f>
        <v>0</v>
      </c>
      <c r="AD411" s="314"/>
      <c r="AE411" s="430"/>
      <c r="AF411" s="431"/>
      <c r="AG411" s="432"/>
      <c r="AH411" s="433"/>
      <c r="AI411" s="433"/>
      <c r="AJ411" s="433"/>
      <c r="AK411" s="434"/>
      <c r="AL411" s="326"/>
      <c r="AM411" s="326"/>
      <c r="AN411" s="326"/>
      <c r="AO411" s="326"/>
      <c r="AP411" s="326"/>
      <c r="AQ411" s="435" t="s">
        <v>159</v>
      </c>
      <c r="AR411" s="430"/>
      <c r="AS411" s="436" t="str">
        <f t="shared" si="114"/>
        <v/>
      </c>
      <c r="AT411" s="437"/>
      <c r="AU411" s="438" t="str">
        <f t="shared" si="115"/>
        <v/>
      </c>
      <c r="AV411" s="429">
        <f t="shared" si="116"/>
        <v>0</v>
      </c>
      <c r="AW411" s="407" t="b">
        <f t="shared" si="108"/>
        <v>0</v>
      </c>
      <c r="AX411" s="439" t="b">
        <f t="shared" si="109"/>
        <v>0</v>
      </c>
      <c r="AY411" s="314"/>
      <c r="AZ411" s="408" t="b">
        <f t="shared" si="110"/>
        <v>0</v>
      </c>
      <c r="BA411" s="440" t="b">
        <f t="shared" si="111"/>
        <v>0</v>
      </c>
      <c r="BB411" s="314"/>
      <c r="BC411" s="407" t="b">
        <f t="shared" si="112"/>
        <v>0</v>
      </c>
      <c r="BD411" s="407" t="b">
        <f>OR(AV410&gt;100%,(AV410+AV411)&gt;100%)</f>
        <v>0</v>
      </c>
      <c r="BE411" s="314"/>
      <c r="BF411" s="408" t="s">
        <v>166</v>
      </c>
      <c r="BG411" s="409" t="str">
        <f>IF(AN402=EUconst_TJ,AV402*AV406,IF(AN404=EUconst_GJ,AV402*AV404/1000*AV406,""))</f>
        <v/>
      </c>
      <c r="BH411" s="314"/>
      <c r="BI411" s="314"/>
      <c r="BJ411" s="314"/>
      <c r="BK411" s="314"/>
      <c r="BL411" s="314"/>
      <c r="BM411" s="314"/>
      <c r="BN411" s="314"/>
      <c r="BO411" s="314"/>
      <c r="BP411" s="314"/>
      <c r="BQ411" s="314"/>
      <c r="BR411" s="314"/>
      <c r="BS411" s="314"/>
      <c r="BT411" s="314"/>
      <c r="BU411" s="314"/>
      <c r="BV411" s="314"/>
      <c r="BW411" s="314"/>
      <c r="BX411" s="314"/>
      <c r="BY411" s="314"/>
      <c r="BZ411" s="314"/>
      <c r="CA411" s="314"/>
      <c r="CB411" s="314"/>
      <c r="CC411" s="314"/>
      <c r="CD411" s="314"/>
      <c r="CE411" s="314"/>
      <c r="CF411" s="314"/>
      <c r="CG411" s="314"/>
      <c r="CH411" s="314"/>
      <c r="CI411" s="314"/>
      <c r="CJ411" s="314"/>
      <c r="CK411" s="314"/>
      <c r="CL411" s="314"/>
      <c r="CM411" s="314"/>
      <c r="CN411" s="314"/>
      <c r="CO411" s="314"/>
      <c r="CP411" s="314"/>
      <c r="CQ411" s="407" t="b">
        <f>OR(CQ402,Y411=EUconst_NA)</f>
        <v>0</v>
      </c>
    </row>
    <row r="412" spans="1:95" ht="5.15" customHeight="1" thickBot="1" x14ac:dyDescent="0.3">
      <c r="A412" s="307"/>
      <c r="B412" s="68"/>
      <c r="C412" s="68"/>
      <c r="D412" s="205"/>
      <c r="E412" s="76"/>
      <c r="F412" s="76"/>
      <c r="G412" s="76"/>
      <c r="H412" s="76"/>
      <c r="I412" s="76"/>
      <c r="J412" s="76"/>
      <c r="K412" s="76"/>
      <c r="L412" s="76"/>
      <c r="M412" s="453"/>
      <c r="N412" s="76"/>
      <c r="O412" s="160"/>
      <c r="P412" s="109"/>
      <c r="Q412" s="312"/>
      <c r="R412" s="312"/>
      <c r="S412" s="314"/>
      <c r="T412" s="314"/>
      <c r="U412" s="314"/>
      <c r="V412" s="314"/>
      <c r="W412" s="314"/>
      <c r="X412" s="314"/>
      <c r="Y412" s="314"/>
      <c r="Z412" s="314"/>
      <c r="AA412" s="314"/>
      <c r="AB412" s="314"/>
      <c r="AC412" s="314"/>
      <c r="AD412" s="314"/>
      <c r="AE412" s="314"/>
      <c r="AF412" s="314"/>
      <c r="AG412" s="314"/>
      <c r="AH412" s="314"/>
      <c r="AI412" s="314"/>
      <c r="AJ412" s="314"/>
      <c r="AK412" s="314"/>
      <c r="AL412" s="314"/>
      <c r="AM412" s="314"/>
      <c r="AN412" s="314"/>
      <c r="AO412" s="314"/>
      <c r="AP412" s="314"/>
      <c r="AQ412" s="314"/>
      <c r="AR412" s="314"/>
      <c r="AS412" s="314"/>
      <c r="AT412" s="314"/>
      <c r="AU412" s="314"/>
      <c r="AV412" s="314"/>
      <c r="AW412" s="314"/>
      <c r="AX412" s="314"/>
      <c r="AY412" s="314"/>
      <c r="AZ412" s="314"/>
      <c r="BA412" s="314"/>
      <c r="BB412" s="314"/>
      <c r="BC412" s="314"/>
      <c r="BD412" s="314"/>
      <c r="BE412" s="314"/>
      <c r="BF412" s="314"/>
      <c r="BG412" s="364"/>
      <c r="BH412" s="314"/>
      <c r="BI412" s="314"/>
      <c r="BJ412" s="314"/>
      <c r="BK412" s="314"/>
      <c r="BL412" s="314"/>
      <c r="BM412" s="314"/>
      <c r="BN412" s="314"/>
      <c r="BO412" s="314"/>
      <c r="BP412" s="314"/>
      <c r="BQ412" s="314"/>
      <c r="BR412" s="314"/>
      <c r="BS412" s="314"/>
      <c r="BT412" s="314"/>
      <c r="BU412" s="314"/>
      <c r="BV412" s="314"/>
      <c r="BW412" s="314"/>
      <c r="BX412" s="314"/>
      <c r="BY412" s="314"/>
      <c r="BZ412" s="314"/>
      <c r="CA412" s="314"/>
      <c r="CB412" s="314"/>
      <c r="CC412" s="314"/>
      <c r="CD412" s="314"/>
      <c r="CE412" s="314"/>
      <c r="CF412" s="314"/>
      <c r="CG412" s="314"/>
      <c r="CH412" s="314"/>
      <c r="CI412" s="314"/>
      <c r="CJ412" s="314"/>
      <c r="CK412" s="314"/>
      <c r="CL412" s="314"/>
      <c r="CM412" s="314"/>
      <c r="CN412" s="314"/>
      <c r="CO412" s="314"/>
      <c r="CP412" s="314"/>
      <c r="CQ412" s="314"/>
    </row>
    <row r="413" spans="1:95" ht="12.75" customHeight="1" thickBot="1" x14ac:dyDescent="0.3">
      <c r="A413" s="307"/>
      <c r="B413" s="68"/>
      <c r="C413" s="199" t="s">
        <v>167</v>
      </c>
      <c r="D413" s="344" t="str">
        <f>Translations!$B$398</f>
        <v>Scope factor:</v>
      </c>
      <c r="E413" s="454"/>
      <c r="F413" s="992"/>
      <c r="G413" s="1263"/>
      <c r="H413" s="1264"/>
      <c r="I413" s="455" t="s">
        <v>46</v>
      </c>
      <c r="J413" s="456"/>
      <c r="K413" s="457" t="str">
        <f>IF(L413="",AU413,"")</f>
        <v/>
      </c>
      <c r="L413" s="16"/>
      <c r="M413" s="458" t="str">
        <f>IF(AND(E397&lt;&gt;"",OR(F413="",G413="",COUNT(K413:L413)=0)),EUconst_ERR_Incomplete,IF(COUNTIF(BB413:BD413,TRUE)&gt;0,EUconst_ERR_Inconsistent,""))</f>
        <v/>
      </c>
      <c r="N413" s="76"/>
      <c r="O413" s="160"/>
      <c r="P413" s="109"/>
      <c r="Q413" s="312"/>
      <c r="R413" s="314"/>
      <c r="S413" s="297"/>
      <c r="T413" s="459" t="str">
        <f>EUconst_CNTR_ScopeFactor&amp;E397</f>
        <v>ScopeFactor_</v>
      </c>
      <c r="U413" s="231" t="str">
        <f>IF(F413="","",INDEX(ScopeAddress,MATCH(F413,ScopeTiers,0)))</f>
        <v/>
      </c>
      <c r="V413" s="360" t="str">
        <f>V402</f>
        <v/>
      </c>
      <c r="W413" s="314"/>
      <c r="X413" s="314"/>
      <c r="Y413" s="460" t="str">
        <f>IF(E397="","",IF(F413=EUconst_NA,EUconst_NA,INDEX(EUwideConstants!$P$164:$P$200,MATCH(T413,EUwideConstants!$S$164:$S$200,0))))</f>
        <v/>
      </c>
      <c r="Z413" s="461" t="str">
        <f>IF(ISBLANK(F413),"",IF(F413=EUconst_NA,"",INDEX(EUwideConstants!$H:$O,MATCH(T413,EUwideConstants!$S:$S,0),MATCH(F413,CNTR_TierList,0))))</f>
        <v/>
      </c>
      <c r="AA413" s="331" t="str">
        <f>IF(G413=EUwideConstants!$A$89,1,"")</f>
        <v/>
      </c>
      <c r="AB413" s="314"/>
      <c r="AC413" s="331" t="b">
        <f>AND(AC402,Y413&lt;&gt;EUconst_NA)</f>
        <v>0</v>
      </c>
      <c r="AD413" s="314"/>
      <c r="AE413" s="314"/>
      <c r="AF413" s="314"/>
      <c r="AG413" s="319"/>
      <c r="AH413" s="314"/>
      <c r="AI413" s="314"/>
      <c r="AJ413" s="314"/>
      <c r="AK413" s="314"/>
      <c r="AL413" s="314"/>
      <c r="AM413" s="314"/>
      <c r="AN413" s="314"/>
      <c r="AO413" s="314"/>
      <c r="AP413" s="314"/>
      <c r="AQ413" s="314"/>
      <c r="AR413" s="314"/>
      <c r="AS413" s="328">
        <v>1</v>
      </c>
      <c r="AT413" s="314"/>
      <c r="AU413" s="319" t="str">
        <f>IF(G413=EUwideConstants!$A$89,AS413,"")</f>
        <v/>
      </c>
      <c r="AV413" s="331">
        <f>IF(AC413=TRUE,IF(COUNT(K413:L413)=0,0,IF(L413="",K413,L413)),0)</f>
        <v>0</v>
      </c>
      <c r="AW413" s="360" t="b">
        <f>AND(AC413=TRUE,OR(AND(F413&lt;&gt;"",NOT(ISNUMBER(AA413))),L413&lt;&gt;"",F413="",AU413=""))</f>
        <v>0</v>
      </c>
      <c r="AX413" s="357" t="b">
        <f>AND(AC413=TRUE,NOT(AW413))</f>
        <v>0</v>
      </c>
      <c r="AY413" s="314"/>
      <c r="AZ413" s="361" t="b">
        <f>AND(ISNUMBER(AA413),AU413="")</f>
        <v>0</v>
      </c>
      <c r="BA413" s="351" t="b">
        <f>AND(ISNUMBER(AA413),AU413&lt;&gt;AV413)</f>
        <v>0</v>
      </c>
      <c r="BB413" s="314"/>
      <c r="BC413" s="360" t="b">
        <f>AND(F413&lt;&gt;"",OR(COUNTIF(INDEX(ScopeMethods,F413,),G413)=0,AND(AA413&lt;&gt;"",AU413&lt;&gt;AV413)))</f>
        <v>0</v>
      </c>
      <c r="BD413" s="314"/>
      <c r="BE413" s="314"/>
      <c r="BF413" s="361" t="s">
        <v>168</v>
      </c>
      <c r="BG413" s="362" t="str">
        <f>IF(AN402=EUconst_TJ,AV402*AV408,IF(AN404=EUconst_GJ,AV402*AV404/1000*AV408,""))</f>
        <v/>
      </c>
      <c r="BH413" s="314"/>
      <c r="BI413" s="314"/>
      <c r="BJ413" s="314"/>
      <c r="BK413" s="314"/>
      <c r="BL413" s="314"/>
      <c r="BM413" s="314"/>
      <c r="BN413" s="314"/>
      <c r="BO413" s="314"/>
      <c r="BP413" s="314"/>
      <c r="BQ413" s="314"/>
      <c r="BR413" s="314"/>
      <c r="BS413" s="314"/>
      <c r="BT413" s="314"/>
      <c r="BU413" s="314"/>
      <c r="BV413" s="314"/>
      <c r="BW413" s="314"/>
      <c r="BX413" s="314"/>
      <c r="BY413" s="314"/>
      <c r="BZ413" s="314"/>
      <c r="CA413" s="314"/>
      <c r="CB413" s="314"/>
      <c r="CC413" s="314"/>
      <c r="CD413" s="314"/>
      <c r="CE413" s="314"/>
      <c r="CF413" s="314"/>
      <c r="CG413" s="314"/>
      <c r="CH413" s="314"/>
      <c r="CI413" s="314"/>
      <c r="CJ413" s="314"/>
      <c r="CK413" s="314"/>
      <c r="CL413" s="314"/>
      <c r="CM413" s="314"/>
      <c r="CN413" s="314"/>
      <c r="CO413" s="314"/>
      <c r="CP413" s="314"/>
      <c r="CQ413" s="314"/>
    </row>
    <row r="414" spans="1:95" ht="12.75" customHeight="1" x14ac:dyDescent="0.25">
      <c r="A414" s="307"/>
      <c r="B414" s="68"/>
      <c r="C414" s="68"/>
      <c r="D414" s="68"/>
      <c r="E414" s="68"/>
      <c r="F414" s="68"/>
      <c r="G414" s="1265" t="str">
        <f>IF(G413="","",INDEX(ScopeMethodsDetails,MATCH(G413,INDEX(ScopeMethodsDetails,,1),0),2))</f>
        <v/>
      </c>
      <c r="H414" s="1266"/>
      <c r="I414" s="1266"/>
      <c r="J414" s="1266"/>
      <c r="K414" s="1266"/>
      <c r="L414" s="1266"/>
      <c r="M414" s="1267"/>
      <c r="N414" s="76"/>
      <c r="O414" s="160"/>
      <c r="P414" s="109"/>
      <c r="Q414" s="312"/>
      <c r="R414" s="312"/>
      <c r="S414" s="314"/>
      <c r="T414" s="314"/>
      <c r="U414" s="314"/>
      <c r="V414" s="314"/>
      <c r="W414" s="314"/>
      <c r="X414" s="314"/>
      <c r="Y414" s="314"/>
      <c r="Z414" s="314"/>
      <c r="AA414" s="314"/>
      <c r="AB414" s="314"/>
      <c r="AC414" s="314"/>
      <c r="AD414" s="314"/>
      <c r="AE414" s="314"/>
      <c r="AF414" s="314"/>
      <c r="AG414" s="314"/>
      <c r="AH414" s="314"/>
      <c r="AI414" s="314"/>
      <c r="AJ414" s="314"/>
      <c r="AK414" s="314"/>
      <c r="AL414" s="314"/>
      <c r="AM414" s="314"/>
      <c r="AN414" s="314"/>
      <c r="AO414" s="314"/>
      <c r="AP414" s="314"/>
      <c r="AQ414" s="314"/>
      <c r="AR414" s="314"/>
      <c r="AS414" s="314"/>
      <c r="AT414" s="314"/>
      <c r="AU414" s="314"/>
      <c r="AV414" s="314"/>
      <c r="AW414" s="314"/>
      <c r="AX414" s="314"/>
      <c r="AY414" s="314"/>
      <c r="AZ414" s="314"/>
      <c r="BA414" s="314"/>
      <c r="BB414" s="314"/>
      <c r="BC414" s="314"/>
      <c r="BD414" s="314"/>
      <c r="BE414" s="314"/>
      <c r="BG414" s="364"/>
      <c r="BH414" s="314"/>
      <c r="BI414" s="314"/>
      <c r="BJ414" s="314"/>
      <c r="BK414" s="314"/>
      <c r="BL414" s="314"/>
      <c r="BM414" s="314"/>
      <c r="BN414" s="314"/>
      <c r="BO414" s="314"/>
      <c r="BP414" s="314"/>
      <c r="BQ414" s="314"/>
      <c r="BR414" s="314"/>
      <c r="BS414" s="314"/>
      <c r="BT414" s="314"/>
      <c r="BU414" s="314"/>
      <c r="BV414" s="314"/>
      <c r="BW414" s="314"/>
      <c r="BX414" s="314"/>
      <c r="BY414" s="314"/>
      <c r="BZ414" s="314"/>
      <c r="CA414" s="314"/>
      <c r="CB414" s="314"/>
      <c r="CC414" s="314"/>
      <c r="CD414" s="314"/>
      <c r="CE414" s="314"/>
      <c r="CF414" s="314"/>
      <c r="CG414" s="314"/>
      <c r="CH414" s="314"/>
      <c r="CI414" s="314"/>
      <c r="CJ414" s="314"/>
      <c r="CK414" s="314"/>
      <c r="CL414" s="314"/>
      <c r="CM414" s="314"/>
      <c r="CN414" s="314"/>
      <c r="CO414" s="314"/>
      <c r="CP414" s="314"/>
      <c r="CQ414" s="314"/>
    </row>
    <row r="415" spans="1:95" ht="5.15" customHeight="1" x14ac:dyDescent="0.25">
      <c r="A415" s="307"/>
      <c r="C415" s="76"/>
      <c r="D415" s="76"/>
      <c r="E415" s="76"/>
      <c r="F415" s="76"/>
      <c r="G415" s="76"/>
      <c r="H415" s="76"/>
      <c r="I415" s="76"/>
      <c r="J415" s="76"/>
      <c r="K415" s="76"/>
      <c r="L415" s="76"/>
      <c r="O415" s="160"/>
      <c r="P415" s="109"/>
      <c r="Q415" s="312"/>
      <c r="R415" s="312"/>
      <c r="S415" s="314"/>
      <c r="T415" s="314"/>
      <c r="U415" s="314"/>
      <c r="V415" s="314"/>
      <c r="W415" s="314"/>
      <c r="X415" s="314"/>
      <c r="Y415" s="314"/>
      <c r="Z415" s="314"/>
      <c r="AA415" s="314"/>
      <c r="AB415" s="314"/>
      <c r="AC415" s="314"/>
      <c r="AD415" s="314"/>
      <c r="AE415" s="314"/>
      <c r="AF415" s="314"/>
      <c r="AG415" s="314"/>
      <c r="AH415" s="314"/>
      <c r="AI415" s="314"/>
      <c r="AJ415" s="314"/>
      <c r="AK415" s="314"/>
      <c r="AL415" s="314"/>
      <c r="AM415" s="314"/>
      <c r="AN415" s="314"/>
      <c r="AO415" s="314"/>
      <c r="AP415" s="314"/>
      <c r="AQ415" s="314"/>
      <c r="AR415" s="314"/>
      <c r="AS415" s="314"/>
      <c r="AT415" s="314"/>
      <c r="AU415" s="314"/>
      <c r="AV415" s="314"/>
      <c r="AW415" s="314"/>
      <c r="AX415" s="314"/>
      <c r="AY415" s="314"/>
      <c r="AZ415" s="314"/>
      <c r="BA415" s="314"/>
      <c r="BB415" s="314"/>
      <c r="BC415" s="314"/>
      <c r="BD415" s="314"/>
      <c r="BE415" s="314"/>
      <c r="BG415" s="364"/>
      <c r="BH415" s="314"/>
      <c r="BI415" s="314"/>
      <c r="BJ415" s="314"/>
      <c r="BK415" s="314"/>
      <c r="BL415" s="314"/>
      <c r="BM415" s="314"/>
      <c r="BN415" s="314"/>
      <c r="BO415" s="314"/>
      <c r="BP415" s="314"/>
      <c r="BQ415" s="314"/>
      <c r="BR415" s="314"/>
      <c r="BS415" s="314"/>
      <c r="BT415" s="314"/>
      <c r="BU415" s="314"/>
      <c r="BV415" s="314"/>
      <c r="BW415" s="314"/>
      <c r="BX415" s="314"/>
      <c r="BY415" s="314"/>
      <c r="BZ415" s="314"/>
      <c r="CA415" s="314"/>
      <c r="CB415" s="314"/>
      <c r="CC415" s="314"/>
      <c r="CD415" s="314"/>
      <c r="CE415" s="314"/>
      <c r="CF415" s="314"/>
      <c r="CG415" s="314"/>
      <c r="CH415" s="314"/>
      <c r="CI415" s="314"/>
      <c r="CJ415" s="314"/>
      <c r="CK415" s="314"/>
      <c r="CL415" s="314"/>
      <c r="CM415" s="314"/>
      <c r="CN415" s="314"/>
      <c r="CO415" s="314"/>
      <c r="CP415" s="314"/>
      <c r="CQ415" s="314"/>
    </row>
    <row r="416" spans="1:95" ht="12.75" customHeight="1" thickBot="1" x14ac:dyDescent="0.3">
      <c r="A416" s="307"/>
      <c r="C416" s="76"/>
      <c r="D416" s="76"/>
      <c r="E416" s="76"/>
      <c r="F416" s="76"/>
      <c r="G416" s="1268">
        <v>1</v>
      </c>
      <c r="H416" s="1268"/>
      <c r="I416" s="1268">
        <v>2</v>
      </c>
      <c r="J416" s="1268"/>
      <c r="K416" s="1268">
        <v>3</v>
      </c>
      <c r="L416" s="1268"/>
      <c r="O416" s="160"/>
      <c r="P416" s="109"/>
      <c r="Q416" s="312"/>
      <c r="R416" s="312"/>
      <c r="S416" s="314"/>
      <c r="T416" s="314"/>
      <c r="U416" s="314"/>
      <c r="V416" s="314"/>
      <c r="W416" s="314"/>
      <c r="X416" s="314"/>
      <c r="Y416" s="314"/>
      <c r="Z416" s="314"/>
      <c r="AA416" s="314"/>
      <c r="AB416" s="314"/>
      <c r="AC416" s="314"/>
      <c r="AD416" s="314"/>
      <c r="AE416" s="314"/>
      <c r="AF416" s="314"/>
      <c r="AG416" s="314"/>
      <c r="AH416" s="314"/>
      <c r="AI416" s="314"/>
      <c r="AJ416" s="314"/>
      <c r="AK416" s="314"/>
      <c r="AL416" s="314"/>
      <c r="AM416" s="314"/>
      <c r="AN416" s="314"/>
      <c r="AO416" s="314"/>
      <c r="AP416" s="314"/>
      <c r="AQ416" s="314"/>
      <c r="AR416" s="314"/>
      <c r="AS416" s="314"/>
      <c r="AT416" s="314"/>
      <c r="AU416" s="314"/>
      <c r="AV416" s="314"/>
      <c r="AW416" s="314"/>
      <c r="AX416" s="314"/>
      <c r="AY416" s="314"/>
      <c r="AZ416" s="314"/>
      <c r="BA416" s="314"/>
      <c r="BB416" s="314"/>
      <c r="BC416" s="314"/>
      <c r="BD416" s="314"/>
      <c r="BE416" s="314"/>
      <c r="BF416" s="314"/>
      <c r="BG416" s="364"/>
      <c r="BH416" s="314"/>
      <c r="BI416" s="314"/>
      <c r="BJ416" s="314"/>
      <c r="BK416" s="314"/>
      <c r="BL416" s="314"/>
      <c r="BM416" s="314"/>
      <c r="BN416" s="314"/>
      <c r="BO416" s="314"/>
      <c r="BP416" s="314"/>
      <c r="BQ416" s="314"/>
      <c r="BR416" s="314"/>
      <c r="BS416" s="314"/>
      <c r="BT416" s="314"/>
      <c r="BU416" s="314"/>
      <c r="BV416" s="314"/>
      <c r="BW416" s="314"/>
      <c r="BX416" s="314"/>
      <c r="BY416" s="314"/>
      <c r="BZ416" s="314"/>
      <c r="CA416" s="314"/>
      <c r="CB416" s="314"/>
      <c r="CC416" s="314"/>
      <c r="CD416" s="314"/>
      <c r="CE416" s="314"/>
      <c r="CF416" s="314"/>
      <c r="CG416" s="314"/>
      <c r="CH416" s="314"/>
      <c r="CI416" s="314"/>
      <c r="CJ416" s="314"/>
      <c r="CK416" s="314"/>
      <c r="CL416" s="314"/>
      <c r="CM416" s="314"/>
      <c r="CN416" s="314"/>
      <c r="CO416" s="314"/>
      <c r="CP416" s="314"/>
      <c r="CQ416" s="314"/>
    </row>
    <row r="417" spans="1:95" ht="12.75" customHeight="1" thickBot="1" x14ac:dyDescent="0.3">
      <c r="A417" s="462"/>
      <c r="B417" s="76"/>
      <c r="C417" s="76"/>
      <c r="D417" s="1246" t="str">
        <f>Translations!$B$372</f>
        <v>Consumers' CRF category:</v>
      </c>
      <c r="E417" s="1246"/>
      <c r="F417" s="1247"/>
      <c r="G417" s="1248"/>
      <c r="H417" s="1249"/>
      <c r="I417" s="1248"/>
      <c r="J417" s="1249"/>
      <c r="K417" s="1248"/>
      <c r="L417" s="1249"/>
      <c r="M417" s="463" t="str">
        <f>IF(AND(E396&lt;&gt;"",COUNTA(G417:L417)=0,AX417=FALSE),EUconst_ERR_Incomplete,"")</f>
        <v/>
      </c>
      <c r="N417" s="76"/>
      <c r="O417" s="160"/>
      <c r="P417" s="109"/>
      <c r="Q417" s="312"/>
      <c r="R417" s="312"/>
      <c r="S417" s="314"/>
      <c r="T417" s="314"/>
      <c r="U417" s="314"/>
      <c r="V417" s="314"/>
      <c r="W417" s="314"/>
      <c r="X417" s="314"/>
      <c r="Y417" s="314"/>
      <c r="Z417" s="314"/>
      <c r="AA417" s="314"/>
      <c r="AB417" s="314"/>
      <c r="AC417" s="314"/>
      <c r="AD417" s="314"/>
      <c r="AE417" s="314"/>
      <c r="AF417" s="314"/>
      <c r="AG417" s="314"/>
      <c r="AH417" s="314"/>
      <c r="AI417" s="314"/>
      <c r="AJ417" s="314"/>
      <c r="AK417" s="314"/>
      <c r="AL417" s="314"/>
      <c r="AM417" s="314"/>
      <c r="AN417" s="314"/>
      <c r="AO417" s="314"/>
      <c r="AP417" s="314"/>
      <c r="AQ417" s="314"/>
      <c r="AR417" s="314"/>
      <c r="AS417" s="314"/>
      <c r="AT417" s="314"/>
      <c r="AU417" s="314"/>
      <c r="AV417" s="314"/>
      <c r="AW417" s="314"/>
      <c r="AX417" s="464" t="b">
        <f>AND(AV413&lt;&gt;"",SUM(AV413=1))</f>
        <v>0</v>
      </c>
      <c r="AY417" s="314"/>
      <c r="AZ417" s="314"/>
      <c r="BA417" s="314"/>
      <c r="BB417" s="314"/>
      <c r="BC417" s="314"/>
      <c r="BD417" s="314"/>
      <c r="BE417" s="314"/>
      <c r="BF417" s="361" t="s">
        <v>169</v>
      </c>
      <c r="BG417" s="362" t="str">
        <f>IF(AN402=EUconst_TJ,AV402*AV410,IF(AN404=EUconst_GJ,AV402*AV404/1000*AV410,""))</f>
        <v/>
      </c>
      <c r="BH417" s="314"/>
      <c r="BI417" s="314"/>
      <c r="BJ417" s="314"/>
      <c r="BK417" s="314"/>
      <c r="BL417" s="314"/>
      <c r="BM417" s="314"/>
      <c r="BN417" s="314"/>
      <c r="BO417" s="314"/>
      <c r="BP417" s="314"/>
      <c r="BQ417" s="314"/>
      <c r="BR417" s="314"/>
      <c r="BS417" s="314"/>
      <c r="BT417" s="314"/>
      <c r="BU417" s="314"/>
      <c r="BV417" s="314"/>
      <c r="BW417" s="314"/>
      <c r="BX417" s="314"/>
      <c r="BY417" s="314"/>
      <c r="BZ417" s="314"/>
      <c r="CA417" s="314"/>
      <c r="CB417" s="314"/>
      <c r="CC417" s="314"/>
      <c r="CD417" s="314"/>
      <c r="CE417" s="314"/>
      <c r="CF417" s="314"/>
      <c r="CG417" s="314"/>
      <c r="CH417" s="314"/>
      <c r="CI417" s="314"/>
      <c r="CJ417" s="314"/>
      <c r="CK417" s="314"/>
      <c r="CL417" s="314"/>
      <c r="CM417" s="314"/>
      <c r="CN417" s="314"/>
      <c r="CO417" s="314"/>
      <c r="CP417" s="314"/>
      <c r="CQ417" s="314"/>
    </row>
    <row r="418" spans="1:95" ht="5.15" customHeight="1" x14ac:dyDescent="0.25">
      <c r="A418" s="307"/>
      <c r="B418" s="68"/>
      <c r="C418" s="68"/>
      <c r="D418" s="68"/>
      <c r="E418" s="68"/>
      <c r="F418" s="68"/>
      <c r="G418" s="76"/>
      <c r="H418" s="76"/>
      <c r="I418" s="76"/>
      <c r="J418" s="76"/>
      <c r="K418" s="76"/>
      <c r="L418" s="76"/>
      <c r="M418" s="76"/>
      <c r="N418" s="76"/>
      <c r="O418" s="160"/>
      <c r="P418" s="109"/>
      <c r="Q418" s="312"/>
      <c r="R418" s="312"/>
      <c r="S418" s="314"/>
      <c r="T418" s="314"/>
      <c r="U418" s="314"/>
      <c r="V418" s="314"/>
      <c r="W418" s="314"/>
      <c r="X418" s="314"/>
      <c r="Y418" s="314"/>
      <c r="Z418" s="314"/>
      <c r="AA418" s="314"/>
      <c r="AB418" s="314"/>
      <c r="AC418" s="314"/>
      <c r="AD418" s="314"/>
      <c r="AE418" s="314"/>
      <c r="AF418" s="314"/>
      <c r="AG418" s="314"/>
      <c r="AH418" s="314"/>
      <c r="AI418" s="314"/>
      <c r="AJ418" s="314"/>
      <c r="AK418" s="314"/>
      <c r="AL418" s="314"/>
      <c r="AM418" s="314"/>
      <c r="AN418" s="314"/>
      <c r="AO418" s="314"/>
      <c r="AP418" s="314"/>
      <c r="AQ418" s="314"/>
      <c r="AR418" s="314"/>
      <c r="AS418" s="314"/>
      <c r="AT418" s="314"/>
      <c r="AU418" s="314"/>
      <c r="AV418" s="314"/>
      <c r="AW418" s="314"/>
      <c r="AX418" s="314"/>
      <c r="AY418" s="314"/>
      <c r="AZ418" s="314"/>
      <c r="BA418" s="314"/>
      <c r="BB418" s="314"/>
      <c r="BC418" s="314"/>
      <c r="BD418" s="314"/>
      <c r="BE418" s="314"/>
      <c r="BF418" s="314"/>
      <c r="BG418" s="314"/>
      <c r="BH418" s="314"/>
      <c r="BI418" s="314"/>
      <c r="BJ418" s="314"/>
      <c r="BK418" s="314"/>
      <c r="BL418" s="314"/>
      <c r="BM418" s="314"/>
      <c r="BN418" s="314"/>
      <c r="BO418" s="314"/>
      <c r="BP418" s="314"/>
      <c r="BQ418" s="314"/>
      <c r="BR418" s="314"/>
      <c r="BS418" s="314"/>
      <c r="BT418" s="314"/>
      <c r="BU418" s="314"/>
      <c r="BV418" s="314"/>
      <c r="BW418" s="314"/>
      <c r="BX418" s="314"/>
      <c r="BY418" s="314"/>
      <c r="BZ418" s="314"/>
      <c r="CA418" s="314"/>
      <c r="CB418" s="314"/>
      <c r="CC418" s="314"/>
      <c r="CD418" s="314"/>
      <c r="CE418" s="314"/>
      <c r="CF418" s="314"/>
      <c r="CG418" s="314"/>
      <c r="CH418" s="314"/>
      <c r="CI418" s="314"/>
      <c r="CJ418" s="314"/>
      <c r="CK418" s="314"/>
      <c r="CL418" s="314"/>
      <c r="CM418" s="314"/>
      <c r="CN418" s="314"/>
      <c r="CO418" s="314"/>
      <c r="CP418" s="314"/>
      <c r="CQ418" s="314"/>
    </row>
    <row r="419" spans="1:95" ht="12.75" customHeight="1" x14ac:dyDescent="0.25">
      <c r="A419" s="307"/>
      <c r="B419" s="68"/>
      <c r="C419" s="68"/>
      <c r="D419" s="1246" t="str">
        <f>Translations!$B$399</f>
        <v>Tiers valid from:</v>
      </c>
      <c r="E419" s="1246"/>
      <c r="F419" s="1247"/>
      <c r="G419" s="8"/>
      <c r="H419" s="199" t="str">
        <f>Translations!$B$400</f>
        <v>until:</v>
      </c>
      <c r="I419" s="8"/>
      <c r="J419" s="76"/>
      <c r="K419" s="76"/>
      <c r="L419" s="76"/>
      <c r="M419" s="199" t="str">
        <f>Translations!$B$401</f>
        <v>ID used in the monitoring plan for this fuel stream:</v>
      </c>
      <c r="N419" s="9"/>
      <c r="O419" s="160"/>
      <c r="P419" s="109"/>
      <c r="Q419" s="312"/>
      <c r="R419" s="312"/>
      <c r="S419" s="465"/>
      <c r="T419" s="314"/>
      <c r="U419" s="314"/>
      <c r="V419" s="314"/>
      <c r="W419" s="314"/>
      <c r="X419" s="314"/>
      <c r="Y419" s="314"/>
      <c r="Z419" s="314"/>
      <c r="AA419" s="314"/>
      <c r="AB419" s="314"/>
      <c r="AC419" s="314"/>
      <c r="AD419" s="314"/>
      <c r="AE419" s="314"/>
      <c r="AF419" s="314"/>
      <c r="AG419" s="314"/>
      <c r="AH419" s="314"/>
      <c r="AI419" s="314"/>
      <c r="AJ419" s="314"/>
      <c r="AK419" s="314"/>
      <c r="AL419" s="314"/>
      <c r="AM419" s="314"/>
      <c r="AN419" s="314"/>
      <c r="AO419" s="314"/>
      <c r="AP419" s="314"/>
      <c r="AQ419" s="314"/>
      <c r="AR419" s="314"/>
      <c r="AS419" s="314"/>
      <c r="AT419" s="314"/>
      <c r="AU419" s="314"/>
      <c r="AV419" s="314"/>
      <c r="AW419" s="314"/>
      <c r="AX419" s="314"/>
      <c r="AY419" s="314"/>
      <c r="AZ419" s="314"/>
      <c r="BA419" s="314"/>
      <c r="BB419" s="314"/>
      <c r="BC419" s="314"/>
      <c r="BD419" s="314"/>
      <c r="BE419" s="314"/>
      <c r="BF419" s="314"/>
      <c r="BG419" s="314"/>
      <c r="BH419" s="314"/>
      <c r="BI419" s="314"/>
      <c r="BJ419" s="314"/>
      <c r="BK419" s="314"/>
      <c r="BL419" s="314"/>
      <c r="BM419" s="314"/>
      <c r="BN419" s="314"/>
      <c r="BO419" s="314"/>
      <c r="BP419" s="314"/>
      <c r="BQ419" s="314"/>
      <c r="BR419" s="314"/>
      <c r="BS419" s="314"/>
      <c r="BT419" s="314"/>
      <c r="BU419" s="314"/>
      <c r="BV419" s="314"/>
      <c r="BW419" s="314"/>
      <c r="BX419" s="314"/>
      <c r="BY419" s="314"/>
      <c r="BZ419" s="314"/>
      <c r="CA419" s="314"/>
      <c r="CB419" s="314"/>
      <c r="CC419" s="314"/>
      <c r="CD419" s="314"/>
      <c r="CE419" s="314"/>
      <c r="CF419" s="314"/>
      <c r="CG419" s="314"/>
      <c r="CH419" s="314"/>
      <c r="CI419" s="314"/>
      <c r="CJ419" s="314"/>
      <c r="CK419" s="314"/>
      <c r="CL419" s="314"/>
      <c r="CM419" s="314"/>
      <c r="CN419" s="314"/>
      <c r="CO419" s="314"/>
      <c r="CP419" s="314"/>
      <c r="CQ419" s="464" t="b">
        <f>CQ402</f>
        <v>0</v>
      </c>
    </row>
    <row r="420" spans="1:95" ht="5.15" customHeight="1" x14ac:dyDescent="0.25">
      <c r="A420" s="462"/>
      <c r="B420" s="76"/>
      <c r="C420" s="76"/>
      <c r="D420" s="76"/>
      <c r="E420" s="76"/>
      <c r="F420" s="76"/>
      <c r="G420" s="76"/>
      <c r="H420" s="76"/>
      <c r="I420" s="76"/>
      <c r="J420" s="76"/>
      <c r="K420" s="76"/>
      <c r="L420" s="76"/>
      <c r="M420" s="76"/>
      <c r="N420" s="76"/>
      <c r="O420" s="160"/>
      <c r="P420" s="109"/>
      <c r="Q420" s="312"/>
      <c r="R420" s="312"/>
      <c r="S420" s="314"/>
      <c r="T420" s="314"/>
      <c r="U420" s="314"/>
      <c r="V420" s="314"/>
      <c r="W420" s="314"/>
      <c r="X420" s="314"/>
      <c r="Y420" s="314"/>
      <c r="Z420" s="314"/>
      <c r="AA420" s="314"/>
      <c r="AB420" s="314"/>
      <c r="AC420" s="314"/>
      <c r="AD420" s="314"/>
      <c r="AE420" s="314"/>
      <c r="AF420" s="314"/>
      <c r="AG420" s="314"/>
      <c r="AH420" s="314"/>
      <c r="AI420" s="314"/>
      <c r="AJ420" s="314"/>
      <c r="AK420" s="314"/>
      <c r="AL420" s="314"/>
      <c r="AM420" s="314"/>
      <c r="AN420" s="314"/>
      <c r="AO420" s="314"/>
      <c r="AP420" s="314"/>
      <c r="AQ420" s="314"/>
      <c r="AR420" s="314"/>
      <c r="AS420" s="314"/>
      <c r="AT420" s="314"/>
      <c r="AU420" s="314"/>
      <c r="AV420" s="314"/>
      <c r="AW420" s="314"/>
      <c r="AX420" s="314"/>
      <c r="AY420" s="314"/>
      <c r="AZ420" s="314"/>
      <c r="BA420" s="314"/>
      <c r="BB420" s="314"/>
      <c r="BC420" s="314"/>
      <c r="BD420" s="314"/>
      <c r="BE420" s="314"/>
      <c r="BF420" s="314"/>
      <c r="BG420" s="314"/>
      <c r="BH420" s="314"/>
      <c r="BI420" s="314"/>
      <c r="BJ420" s="314"/>
      <c r="BK420" s="314"/>
      <c r="BL420" s="314"/>
      <c r="BM420" s="314"/>
      <c r="BN420" s="314"/>
      <c r="BO420" s="314"/>
      <c r="BP420" s="314"/>
      <c r="BQ420" s="314"/>
      <c r="BR420" s="314"/>
      <c r="BS420" s="314"/>
      <c r="BT420" s="314"/>
      <c r="BU420" s="314"/>
      <c r="BV420" s="314"/>
      <c r="BW420" s="314"/>
      <c r="BX420" s="314"/>
      <c r="BY420" s="314"/>
      <c r="BZ420" s="314"/>
      <c r="CA420" s="314"/>
      <c r="CB420" s="314"/>
      <c r="CC420" s="314"/>
      <c r="CD420" s="314"/>
      <c r="CE420" s="314"/>
      <c r="CF420" s="314"/>
      <c r="CG420" s="314"/>
      <c r="CH420" s="314"/>
      <c r="CI420" s="314"/>
      <c r="CJ420" s="314"/>
      <c r="CK420" s="314"/>
      <c r="CL420" s="314"/>
      <c r="CM420" s="314"/>
      <c r="CN420" s="314"/>
      <c r="CO420" s="314"/>
      <c r="CP420" s="314"/>
      <c r="CQ420" s="314"/>
    </row>
    <row r="421" spans="1:95" ht="12.75" customHeight="1" x14ac:dyDescent="0.25">
      <c r="A421" s="462"/>
      <c r="B421" s="76"/>
      <c r="C421" s="76"/>
      <c r="D421" s="115"/>
      <c r="E421" s="85"/>
      <c r="F421" s="466" t="str">
        <f>Translations!$B$304</f>
        <v>Comments:</v>
      </c>
      <c r="G421" s="1250"/>
      <c r="H421" s="1251"/>
      <c r="I421" s="1251"/>
      <c r="J421" s="1251"/>
      <c r="K421" s="1251"/>
      <c r="L421" s="1251"/>
      <c r="M421" s="1251"/>
      <c r="N421" s="1252"/>
      <c r="O421" s="160"/>
      <c r="P421" s="109"/>
      <c r="Q421" s="312"/>
      <c r="R421" s="312"/>
      <c r="S421" s="314"/>
      <c r="T421" s="314"/>
      <c r="U421" s="314"/>
      <c r="V421" s="314"/>
      <c r="W421" s="314"/>
      <c r="X421" s="314"/>
      <c r="Y421" s="314"/>
      <c r="Z421" s="314"/>
      <c r="AA421" s="314"/>
      <c r="AB421" s="314"/>
      <c r="AC421" s="314"/>
      <c r="AD421" s="314"/>
      <c r="AE421" s="314"/>
      <c r="AF421" s="314"/>
      <c r="AG421" s="314"/>
      <c r="AH421" s="314"/>
      <c r="AI421" s="314"/>
      <c r="AJ421" s="314"/>
      <c r="AK421" s="314"/>
      <c r="AL421" s="314"/>
      <c r="AM421" s="314"/>
      <c r="AN421" s="314"/>
      <c r="AO421" s="314"/>
      <c r="AP421" s="314"/>
      <c r="AQ421" s="314"/>
      <c r="AR421" s="314"/>
      <c r="AS421" s="314"/>
      <c r="AT421" s="314"/>
      <c r="AU421" s="314"/>
      <c r="AV421" s="314"/>
      <c r="AW421" s="314"/>
      <c r="AX421" s="314"/>
      <c r="AY421" s="314"/>
      <c r="AZ421" s="314"/>
      <c r="BA421" s="314"/>
      <c r="BB421" s="314"/>
      <c r="BC421" s="314"/>
      <c r="BD421" s="314"/>
      <c r="BE421" s="314"/>
      <c r="BF421" s="314"/>
      <c r="BG421" s="314"/>
      <c r="BH421" s="314"/>
      <c r="BI421" s="314"/>
      <c r="BJ421" s="314"/>
      <c r="BK421" s="314"/>
      <c r="BL421" s="314"/>
      <c r="BM421" s="314"/>
      <c r="BN421" s="314"/>
      <c r="BO421" s="314"/>
      <c r="BP421" s="314"/>
      <c r="BQ421" s="314"/>
      <c r="BR421" s="314"/>
      <c r="BS421" s="314"/>
      <c r="BT421" s="314"/>
      <c r="BU421" s="314"/>
      <c r="BV421" s="314"/>
      <c r="BW421" s="314"/>
      <c r="BX421" s="314"/>
      <c r="BY421" s="314"/>
      <c r="BZ421" s="314"/>
      <c r="CA421" s="314"/>
      <c r="CB421" s="314"/>
      <c r="CC421" s="314"/>
      <c r="CD421" s="314"/>
      <c r="CE421" s="314"/>
      <c r="CF421" s="314"/>
      <c r="CG421" s="314"/>
      <c r="CH421" s="314"/>
      <c r="CI421" s="314"/>
      <c r="CJ421" s="314"/>
      <c r="CK421" s="314"/>
      <c r="CL421" s="314"/>
      <c r="CM421" s="314"/>
      <c r="CN421" s="314"/>
      <c r="CO421" s="314"/>
      <c r="CP421" s="314"/>
      <c r="CQ421" s="464" t="b">
        <f>CQ419</f>
        <v>0</v>
      </c>
    </row>
    <row r="422" spans="1:95" ht="12.75" customHeight="1" thickBot="1" x14ac:dyDescent="0.3">
      <c r="A422" s="307"/>
      <c r="B422" s="76"/>
      <c r="C422" s="308"/>
      <c r="D422" s="309"/>
      <c r="E422" s="310"/>
      <c r="F422" s="308"/>
      <c r="G422" s="311"/>
      <c r="H422" s="311"/>
      <c r="I422" s="311"/>
      <c r="J422" s="311"/>
      <c r="K422" s="311"/>
      <c r="L422" s="311"/>
      <c r="M422" s="311"/>
      <c r="N422" s="311"/>
      <c r="O422" s="160"/>
      <c r="P422" s="109"/>
      <c r="Q422" s="312"/>
      <c r="R422" s="312"/>
      <c r="S422" s="293"/>
      <c r="T422" s="293"/>
      <c r="U422" s="313"/>
      <c r="V422" s="293"/>
      <c r="W422" s="293"/>
      <c r="X422" s="313"/>
      <c r="Y422" s="293"/>
      <c r="Z422" s="293"/>
      <c r="AA422" s="293"/>
      <c r="AB422" s="293"/>
      <c r="AC422" s="293"/>
      <c r="AD422" s="293"/>
      <c r="AE422" s="293"/>
      <c r="AF422" s="293"/>
      <c r="AG422" s="293"/>
      <c r="AH422" s="293"/>
      <c r="AI422" s="293"/>
      <c r="AJ422" s="293"/>
      <c r="AK422" s="293"/>
      <c r="AL422" s="293"/>
      <c r="AM422" s="293"/>
      <c r="AN422" s="293"/>
      <c r="AO422" s="293"/>
      <c r="AP422" s="293"/>
      <c r="AQ422" s="293"/>
      <c r="AR422" s="293"/>
      <c r="AS422" s="293"/>
      <c r="AT422" s="293"/>
      <c r="AU422" s="293"/>
      <c r="AV422" s="293"/>
      <c r="AW422" s="293"/>
      <c r="AX422" s="293"/>
      <c r="AY422" s="293"/>
      <c r="AZ422" s="293"/>
      <c r="BA422" s="293"/>
      <c r="BB422" s="293"/>
      <c r="BC422" s="293"/>
      <c r="BD422" s="293"/>
      <c r="BE422" s="293"/>
      <c r="BF422" s="293"/>
      <c r="BG422" s="293"/>
      <c r="BH422" s="293"/>
      <c r="BI422" s="293"/>
      <c r="BJ422" s="293"/>
      <c r="BK422" s="293"/>
      <c r="BL422" s="293"/>
      <c r="BM422" s="314"/>
      <c r="BN422" s="314"/>
      <c r="BO422" s="314"/>
      <c r="BP422" s="314"/>
      <c r="BQ422" s="314"/>
      <c r="BR422" s="314"/>
      <c r="BS422" s="314"/>
      <c r="BT422" s="314"/>
      <c r="BU422" s="293"/>
      <c r="BV422" s="293"/>
      <c r="BW422" s="293"/>
      <c r="BX422" s="293"/>
      <c r="BY422" s="293"/>
      <c r="BZ422" s="293"/>
      <c r="CA422" s="293"/>
      <c r="CB422" s="293"/>
      <c r="CC422" s="293"/>
      <c r="CD422" s="293"/>
      <c r="CE422" s="293"/>
      <c r="CF422" s="293"/>
      <c r="CG422" s="293"/>
      <c r="CH422" s="293"/>
      <c r="CI422" s="293"/>
      <c r="CJ422" s="293"/>
      <c r="CK422" s="293"/>
      <c r="CL422" s="293"/>
      <c r="CM422" s="293"/>
      <c r="CN422" s="293"/>
      <c r="CO422" s="293"/>
      <c r="CP422" s="293"/>
      <c r="CQ422" s="293"/>
    </row>
    <row r="423" spans="1:95" ht="12.75" customHeight="1" thickBot="1" x14ac:dyDescent="0.3">
      <c r="A423" s="315"/>
      <c r="B423" s="76"/>
      <c r="C423" s="76"/>
      <c r="D423" s="205"/>
      <c r="E423" s="316"/>
      <c r="F423" s="76"/>
      <c r="G423" s="96"/>
      <c r="H423" s="96"/>
      <c r="I423" s="96"/>
      <c r="J423" s="96"/>
      <c r="K423" s="76"/>
      <c r="L423" s="96"/>
      <c r="M423" s="96"/>
      <c r="N423" s="96"/>
      <c r="O423" s="160"/>
      <c r="P423" s="109"/>
      <c r="Q423" s="312"/>
      <c r="R423" s="312"/>
      <c r="S423" s="287"/>
      <c r="T423" s="317" t="str">
        <f>IF(ISBLANK(E424),"",MATCH(E424,CNTR_SourceStreamNames,0))</f>
        <v/>
      </c>
      <c r="U423" s="318" t="str">
        <f>IF(ISBLANK(E424),"",INDEX(B_IdentifyFuelStreams!$D$67:$D$116,MATCH(E424,CNTR_SourceStreamNames,0)))</f>
        <v/>
      </c>
      <c r="V423" s="301"/>
      <c r="W423" s="138"/>
      <c r="X423" s="138"/>
      <c r="Y423" s="138"/>
      <c r="Z423" s="293"/>
      <c r="AA423" s="293"/>
      <c r="AB423" s="293"/>
      <c r="AC423" s="293"/>
      <c r="AD423" s="293"/>
      <c r="AE423" s="293"/>
      <c r="AF423" s="293"/>
      <c r="AG423" s="293"/>
      <c r="AH423" s="293"/>
      <c r="AI423" s="293"/>
      <c r="AJ423" s="293"/>
      <c r="AK423" s="312"/>
      <c r="AL423" s="293"/>
      <c r="AM423" s="293"/>
      <c r="AN423" s="293"/>
      <c r="AO423" s="293"/>
      <c r="AP423" s="293"/>
      <c r="AQ423" s="293"/>
      <c r="AR423" s="293"/>
      <c r="AS423" s="293"/>
      <c r="AT423" s="293"/>
      <c r="AU423" s="293"/>
      <c r="AV423" s="293"/>
      <c r="AW423" s="293"/>
      <c r="AX423" s="293"/>
      <c r="AY423" s="293"/>
      <c r="AZ423" s="293"/>
      <c r="BA423" s="293"/>
      <c r="BB423" s="293"/>
      <c r="BC423" s="293"/>
      <c r="BD423" s="293"/>
      <c r="BE423" s="293"/>
      <c r="BF423" s="293"/>
      <c r="BG423" s="293"/>
      <c r="BH423" s="293"/>
      <c r="BI423" s="293"/>
      <c r="BJ423" s="138"/>
      <c r="BK423" s="138"/>
      <c r="BL423" s="138"/>
      <c r="BM423" s="138"/>
      <c r="BN423" s="138"/>
      <c r="BO423" s="138"/>
      <c r="BP423" s="138"/>
      <c r="BQ423" s="138"/>
      <c r="BR423" s="138"/>
      <c r="BS423" s="138"/>
      <c r="BT423" s="138"/>
      <c r="BU423" s="138"/>
      <c r="BV423" s="138"/>
      <c r="BW423" s="138"/>
      <c r="BX423" s="138"/>
      <c r="BY423" s="138"/>
      <c r="BZ423" s="138"/>
      <c r="CA423" s="138"/>
      <c r="CB423" s="138"/>
      <c r="CC423" s="138"/>
      <c r="CD423" s="138"/>
      <c r="CE423" s="138"/>
      <c r="CF423" s="138"/>
      <c r="CG423" s="138"/>
      <c r="CH423" s="138"/>
      <c r="CI423" s="138"/>
      <c r="CJ423" s="138"/>
      <c r="CK423" s="138"/>
      <c r="CL423" s="138"/>
      <c r="CM423" s="138"/>
      <c r="CN423" s="138"/>
      <c r="CO423" s="138"/>
      <c r="CP423" s="138"/>
      <c r="CQ423" s="319" t="s">
        <v>107</v>
      </c>
    </row>
    <row r="424" spans="1:95" ht="15" customHeight="1" thickBot="1" x14ac:dyDescent="0.3">
      <c r="A424" s="320">
        <f>C424</f>
        <v>14</v>
      </c>
      <c r="B424" s="68"/>
      <c r="C424" s="321">
        <f>C396+1</f>
        <v>14</v>
      </c>
      <c r="D424" s="68"/>
      <c r="E424" s="1269"/>
      <c r="F424" s="1270"/>
      <c r="G424" s="1270"/>
      <c r="H424" s="1270"/>
      <c r="I424" s="1270"/>
      <c r="J424" s="1271"/>
      <c r="K424" s="1272" t="str">
        <f>IF(INDEX(B_IdentifyFuelStreams!$K$125:$K$174,MATCH(U423,B_IdentifyFuelStreams!$D$125:$D$174,0))&gt;0,INDEX(B_IdentifyFuelStreams!$K$125:$K$174,MATCH(U423,B_IdentifyFuelStreams!$D$125:$D$174,0)),"")</f>
        <v/>
      </c>
      <c r="L424" s="1273"/>
      <c r="M424" s="316" t="str">
        <f>Translations!$B$621</f>
        <v>Emissions:</v>
      </c>
      <c r="N424" s="322" t="str">
        <f>IF(E425="","",BG430)</f>
        <v/>
      </c>
      <c r="O424" s="323" t="str">
        <f>EUconst_tCO2</f>
        <v>tCO2</v>
      </c>
      <c r="P424" s="324" t="str">
        <f>IF(AND(E424&lt;&gt;"",COUNTIF(P425:$P$1649,"PRINT")=0),"PRINT","")</f>
        <v/>
      </c>
      <c r="Q424" s="325" t="str">
        <f>EUconst_SumCO2</f>
        <v>SUM_CO2</v>
      </c>
      <c r="R424" s="312"/>
      <c r="S424" s="287"/>
      <c r="T424" s="287"/>
      <c r="U424" s="287"/>
      <c r="V424" s="301"/>
      <c r="W424" s="138"/>
      <c r="X424" s="293"/>
      <c r="Y424" s="293"/>
      <c r="Z424" s="293"/>
      <c r="AA424" s="293"/>
      <c r="AB424" s="293"/>
      <c r="AC424" s="293"/>
      <c r="AD424" s="293"/>
      <c r="AE424" s="293"/>
      <c r="AF424" s="293"/>
      <c r="AG424" s="293"/>
      <c r="AH424" s="293"/>
      <c r="AI424" s="326"/>
      <c r="AJ424" s="326"/>
      <c r="AK424" s="326"/>
      <c r="AL424" s="326"/>
      <c r="AM424" s="326"/>
      <c r="AN424" s="326"/>
      <c r="AO424" s="326"/>
      <c r="AP424" s="326"/>
      <c r="AQ424" s="326"/>
      <c r="AR424" s="326"/>
      <c r="AS424" s="326"/>
      <c r="AT424" s="326"/>
      <c r="AU424" s="326"/>
      <c r="AV424" s="326"/>
      <c r="AW424" s="326"/>
      <c r="AX424" s="326"/>
      <c r="AY424" s="326"/>
      <c r="AZ424" s="326"/>
      <c r="BA424" s="326"/>
      <c r="BB424" s="326"/>
      <c r="BC424" s="326"/>
      <c r="BD424" s="326"/>
      <c r="BE424" s="326"/>
      <c r="BF424" s="326"/>
      <c r="BG424" s="326"/>
      <c r="BH424" s="326"/>
      <c r="BI424" s="327" t="str">
        <f>IF(E424="","",E424)</f>
        <v/>
      </c>
      <c r="BJ424" s="328" t="str">
        <f>IF(F430="","",F430)</f>
        <v/>
      </c>
      <c r="BK424" s="329">
        <f>AV430</f>
        <v>0</v>
      </c>
      <c r="BL424" s="329">
        <f>IF(BK424="","",BK424*(1-BP424))</f>
        <v>0</v>
      </c>
      <c r="BM424" s="328" t="str">
        <f>AJ430</f>
        <v/>
      </c>
      <c r="BN424" s="328" t="str">
        <f>IF(F441="","",F441)</f>
        <v/>
      </c>
      <c r="BO424" s="327" t="str">
        <f>IF(G441="","",G441)</f>
        <v/>
      </c>
      <c r="BP424" s="330">
        <f>AV441</f>
        <v>0</v>
      </c>
      <c r="BQ424" s="328" t="str">
        <f>IF(F433="","",F433)</f>
        <v/>
      </c>
      <c r="BR424" s="330">
        <f>AV433</f>
        <v>0</v>
      </c>
      <c r="BS424" s="330" t="str">
        <f>AJ433</f>
        <v/>
      </c>
      <c r="BT424" s="328" t="str">
        <f>IF(F432="","",F432)</f>
        <v/>
      </c>
      <c r="BU424" s="330">
        <f>IF(F432=EUconst_NA,"",AV432)</f>
        <v>0</v>
      </c>
      <c r="BV424" s="330" t="str">
        <f>AJ432</f>
        <v/>
      </c>
      <c r="BW424" s="328" t="str">
        <f>IF(F434="","",F434)</f>
        <v/>
      </c>
      <c r="BX424" s="330">
        <f>AV434</f>
        <v>0</v>
      </c>
      <c r="BY424" s="328" t="str">
        <f>IF(F435="","",F435)</f>
        <v/>
      </c>
      <c r="BZ424" s="330">
        <f>AV435</f>
        <v>0</v>
      </c>
      <c r="CA424" s="330">
        <f>AV436</f>
        <v>0</v>
      </c>
      <c r="CB424" s="330">
        <f>AV437</f>
        <v>0</v>
      </c>
      <c r="CC424" s="330">
        <f>AV438</f>
        <v>0</v>
      </c>
      <c r="CD424" s="330">
        <f>AV439</f>
        <v>0</v>
      </c>
      <c r="CE424" s="329" t="str">
        <f>BG430</f>
        <v/>
      </c>
      <c r="CF424" s="329" t="str">
        <f>BG432</f>
        <v/>
      </c>
      <c r="CG424" s="329" t="str">
        <f>BG433</f>
        <v/>
      </c>
      <c r="CH424" s="329" t="str">
        <f>BG434</f>
        <v/>
      </c>
      <c r="CI424" s="329" t="str">
        <f>BG435</f>
        <v/>
      </c>
      <c r="CJ424" s="329" t="str">
        <f>BG436</f>
        <v/>
      </c>
      <c r="CK424" s="329" t="str">
        <f>BG437</f>
        <v/>
      </c>
      <c r="CL424" s="329">
        <f>BG438</f>
        <v>0</v>
      </c>
      <c r="CM424" s="329" t="str">
        <f>BG439</f>
        <v/>
      </c>
      <c r="CN424" s="329" t="str">
        <f>BG441</f>
        <v/>
      </c>
      <c r="CO424" s="329" t="str">
        <f>BG445</f>
        <v/>
      </c>
      <c r="CP424" s="329" t="str">
        <f>IF(COUNTIF(AO433:AO434,TRUE)=0,"",BH430)</f>
        <v/>
      </c>
      <c r="CQ424" s="331" t="b">
        <v>0</v>
      </c>
    </row>
    <row r="425" spans="1:95" ht="15" customHeight="1" thickBot="1" x14ac:dyDescent="0.3">
      <c r="A425" s="307"/>
      <c r="B425" s="68"/>
      <c r="C425" s="68"/>
      <c r="D425" s="68"/>
      <c r="E425" s="1274" t="str">
        <f>IF(ISBLANK(E424),"",IF(INDEX(B_IdentifyFuelStreams!$E$67:$E$116,MATCH(U423,B_IdentifyFuelStreams!$D$67:$D$116,0))&gt;0,INDEX(B_IdentifyFuelStreams!$E$67:$E$116,MATCH(U423,B_IdentifyFuelStreams!$D$67:$D$116,0)),""))</f>
        <v/>
      </c>
      <c r="F425" s="1275"/>
      <c r="G425" s="1275"/>
      <c r="H425" s="1275"/>
      <c r="I425" s="1275"/>
      <c r="J425" s="1276"/>
      <c r="K425" s="1272" t="str">
        <f>IF(INDEX(B_IdentifyFuelStreams!$M$125:$M$174,MATCH(U423,B_IdentifyFuelStreams!$D$125:$D$174,0))&gt;0,INDEX(B_IdentifyFuelStreams!$M$125:$M$174,MATCH(U423,B_IdentifyFuelStreams!$D$125:$D$174,0)),"")</f>
        <v/>
      </c>
      <c r="L425" s="1273"/>
      <c r="M425" s="332" t="str">
        <f>Translations!$B$622</f>
        <v>zero-rated:</v>
      </c>
      <c r="N425" s="333" t="str">
        <f>IF(E425="","",SUM(BG432,BG434,BG436))</f>
        <v/>
      </c>
      <c r="O425" s="334" t="str">
        <f>EUconst_tCO2</f>
        <v>tCO2</v>
      </c>
      <c r="P425" s="109"/>
      <c r="Q425" s="325" t="str">
        <f>EUconst_SumBioCO2</f>
        <v>SUM_bioCO2</v>
      </c>
      <c r="R425" s="312"/>
      <c r="S425" s="287"/>
      <c r="T425" s="287"/>
      <c r="U425" s="287"/>
      <c r="V425" s="301"/>
      <c r="W425" s="138"/>
      <c r="X425" s="293"/>
      <c r="Y425" s="317" t="str">
        <f>Translations!$B$143</f>
        <v>Tiers</v>
      </c>
      <c r="Z425" s="314"/>
      <c r="AA425" s="314"/>
      <c r="AB425" s="314"/>
      <c r="AC425" s="314"/>
      <c r="AD425" s="314"/>
      <c r="AE425" s="317" t="s">
        <v>108</v>
      </c>
      <c r="AF425" s="293"/>
      <c r="AG425" s="335"/>
      <c r="AH425" s="314"/>
      <c r="AI425" s="314"/>
      <c r="AJ425" s="335"/>
      <c r="AK425" s="335"/>
      <c r="AL425" s="326"/>
      <c r="AM425" s="326"/>
      <c r="AN425" s="326"/>
      <c r="AO425" s="326"/>
      <c r="AP425" s="326"/>
      <c r="AQ425" s="317" t="s">
        <v>109</v>
      </c>
      <c r="AR425" s="336"/>
      <c r="AS425" s="336"/>
      <c r="AT425" s="314"/>
      <c r="AU425" s="314"/>
      <c r="AV425" s="314"/>
      <c r="AW425" s="314"/>
      <c r="AX425" s="314"/>
      <c r="AY425" s="314"/>
      <c r="AZ425" s="317" t="s">
        <v>110</v>
      </c>
      <c r="BA425" s="314"/>
      <c r="BB425" s="314"/>
      <c r="BC425" s="314"/>
      <c r="BD425" s="314"/>
      <c r="BE425" s="314"/>
      <c r="BF425" s="317" t="s">
        <v>111</v>
      </c>
      <c r="BG425" s="314"/>
      <c r="BH425" s="314"/>
      <c r="BI425" s="317" t="s">
        <v>112</v>
      </c>
      <c r="BJ425" s="328" t="str">
        <f>Translations!$B$376</f>
        <v>RFA Tier</v>
      </c>
      <c r="BK425" s="328" t="str">
        <f>Translations!$B$377</f>
        <v>RFA</v>
      </c>
      <c r="BL425" s="328" t="str">
        <f>Translations!$B$378</f>
        <v>RFA (in scope)</v>
      </c>
      <c r="BM425" s="328" t="str">
        <f>Translations!$B$379</f>
        <v>RFA Unit</v>
      </c>
      <c r="BN425" s="328" t="str">
        <f>Translations!$B$380</f>
        <v>SF Tier</v>
      </c>
      <c r="BO425" s="328" t="str">
        <f>Translations!$B$380</f>
        <v>SF Tier</v>
      </c>
      <c r="BP425" s="328" t="str">
        <f>Translations!$B$381</f>
        <v>SF</v>
      </c>
      <c r="BQ425" s="328" t="str">
        <f>Translations!$B$382</f>
        <v>EF Tier</v>
      </c>
      <c r="BR425" s="328" t="str">
        <f>Translations!$B$383</f>
        <v>EF</v>
      </c>
      <c r="BS425" s="328" t="str">
        <f>Translations!$B$384</f>
        <v>EF Unit</v>
      </c>
      <c r="BT425" s="328" t="str">
        <f>Translations!$B$385</f>
        <v>UCF Tier</v>
      </c>
      <c r="BU425" s="328" t="str">
        <f>Translations!$B$386</f>
        <v>UCF</v>
      </c>
      <c r="BV425" s="328" t="str">
        <f>Translations!$B$387</f>
        <v>UCF Unit</v>
      </c>
      <c r="BW425" s="328" t="str">
        <f>Translations!$B$388</f>
        <v>Bio Tier</v>
      </c>
      <c r="BX425" s="328" t="s">
        <v>113</v>
      </c>
      <c r="BY425" s="328" t="str">
        <f>Translations!$B$389</f>
        <v>NonSustBio Tier</v>
      </c>
      <c r="BZ425" s="328" t="s">
        <v>114</v>
      </c>
      <c r="CA425" s="328" t="s">
        <v>115</v>
      </c>
      <c r="CB425" s="328" t="s">
        <v>116</v>
      </c>
      <c r="CC425" s="328" t="s">
        <v>117</v>
      </c>
      <c r="CD425" s="328" t="s">
        <v>118</v>
      </c>
      <c r="CE425" s="328" t="s">
        <v>119</v>
      </c>
      <c r="CF425" s="328" t="s">
        <v>120</v>
      </c>
      <c r="CG425" s="328" t="str">
        <f>Translations!$B$392</f>
        <v>CO2 non-sust</v>
      </c>
      <c r="CH425" s="328" t="s">
        <v>121</v>
      </c>
      <c r="CI425" s="328" t="s">
        <v>122</v>
      </c>
      <c r="CJ425" s="328" t="s">
        <v>123</v>
      </c>
      <c r="CK425" s="328" t="s">
        <v>124</v>
      </c>
      <c r="CL425" s="328" t="s">
        <v>125</v>
      </c>
      <c r="CM425" s="328" t="str">
        <f>Translations!$B$551</f>
        <v>Energy content (bio), TJ</v>
      </c>
      <c r="CN425" s="328" t="s">
        <v>126</v>
      </c>
      <c r="CO425" s="328" t="s">
        <v>127</v>
      </c>
      <c r="CP425" s="328" t="s">
        <v>128</v>
      </c>
      <c r="CQ425" s="314"/>
    </row>
    <row r="426" spans="1:95" ht="5.15" customHeight="1" thickBot="1" x14ac:dyDescent="0.3">
      <c r="A426" s="307"/>
      <c r="B426" s="68"/>
      <c r="C426" s="68"/>
      <c r="D426" s="68"/>
      <c r="E426" s="68"/>
      <c r="F426" s="68"/>
      <c r="G426" s="68"/>
      <c r="H426" s="76"/>
      <c r="I426" s="76"/>
      <c r="J426" s="76"/>
      <c r="K426" s="76"/>
      <c r="L426" s="76"/>
      <c r="M426" s="76"/>
      <c r="N426" s="76"/>
      <c r="O426" s="160"/>
      <c r="P426" s="109"/>
      <c r="Q426" s="312"/>
      <c r="R426" s="312"/>
      <c r="S426" s="287"/>
      <c r="T426" s="287"/>
      <c r="U426" s="287"/>
      <c r="V426" s="301"/>
      <c r="W426" s="314"/>
      <c r="X426" s="314"/>
      <c r="Y426" s="312"/>
      <c r="Z426" s="314"/>
      <c r="AA426" s="314"/>
      <c r="AB426" s="314"/>
      <c r="AC426" s="314"/>
      <c r="AD426" s="314"/>
      <c r="AE426" s="314"/>
      <c r="AF426" s="293"/>
      <c r="AG426" s="314"/>
      <c r="AH426" s="314"/>
      <c r="AI426" s="314"/>
      <c r="AJ426" s="335"/>
      <c r="AK426" s="335"/>
      <c r="AL426" s="326"/>
      <c r="AM426" s="326"/>
      <c r="AN426" s="326"/>
      <c r="AO426" s="326"/>
      <c r="AP426" s="326"/>
      <c r="AQ426" s="314"/>
      <c r="AR426" s="314"/>
      <c r="AS426" s="314"/>
      <c r="AT426" s="314"/>
      <c r="AU426" s="314"/>
      <c r="AV426" s="314"/>
      <c r="AW426" s="314"/>
      <c r="AX426" s="314"/>
      <c r="AY426" s="314"/>
      <c r="AZ426" s="314"/>
      <c r="BA426" s="314"/>
      <c r="BB426" s="314"/>
      <c r="BC426" s="314"/>
      <c r="BD426" s="314"/>
      <c r="BE426" s="314"/>
      <c r="BF426" s="314"/>
      <c r="BG426" s="314"/>
      <c r="BH426" s="314"/>
      <c r="BI426" s="314"/>
      <c r="BJ426" s="314"/>
      <c r="BK426" s="314"/>
      <c r="BL426" s="314"/>
      <c r="BM426" s="314"/>
      <c r="BN426" s="314"/>
      <c r="BO426" s="314"/>
      <c r="BP426" s="314"/>
      <c r="BQ426" s="314"/>
      <c r="BR426" s="314"/>
      <c r="BS426" s="314"/>
      <c r="BT426" s="314"/>
      <c r="BU426" s="314"/>
      <c r="BV426" s="314"/>
      <c r="BW426" s="314"/>
      <c r="BX426" s="314"/>
      <c r="BY426" s="314"/>
      <c r="BZ426" s="314"/>
      <c r="CA426" s="314"/>
      <c r="CB426" s="314"/>
      <c r="CC426" s="314"/>
      <c r="CD426" s="314"/>
      <c r="CE426" s="314"/>
      <c r="CF426" s="314"/>
      <c r="CG426" s="314"/>
      <c r="CH426" s="314"/>
      <c r="CI426" s="314"/>
      <c r="CJ426" s="314"/>
      <c r="CK426" s="314"/>
      <c r="CL426" s="314"/>
      <c r="CM426" s="314"/>
      <c r="CN426" s="314"/>
      <c r="CO426" s="314"/>
      <c r="CP426" s="314"/>
      <c r="CQ426" s="314"/>
    </row>
    <row r="427" spans="1:95" ht="12.75" customHeight="1" thickBot="1" x14ac:dyDescent="0.3">
      <c r="A427" s="307"/>
      <c r="B427" s="68"/>
      <c r="C427" s="68"/>
      <c r="D427" s="68"/>
      <c r="E427" s="1253" t="str">
        <f>IF(E424="","",HYPERLINK("#JUMP_E_Top",EUconst_FurtherGuidancePoint1))</f>
        <v/>
      </c>
      <c r="F427" s="1253"/>
      <c r="G427" s="1253"/>
      <c r="H427" s="1253"/>
      <c r="I427" s="1253"/>
      <c r="J427" s="1253"/>
      <c r="K427" s="1253"/>
      <c r="L427" s="1253"/>
      <c r="M427" s="1253"/>
      <c r="N427" s="76"/>
      <c r="O427" s="160"/>
      <c r="P427" s="109"/>
      <c r="Q427" s="325" t="str">
        <f>EUconst_SumNonSustBioCO2</f>
        <v>SUM_bioNonSustCO2</v>
      </c>
      <c r="R427" s="337" t="str">
        <f>IF(E425="","",BG433)</f>
        <v/>
      </c>
      <c r="S427" s="287"/>
      <c r="T427" s="287"/>
      <c r="U427" s="287"/>
      <c r="V427" s="314"/>
      <c r="W427" s="314"/>
      <c r="X427" s="314"/>
      <c r="Y427" s="293"/>
      <c r="Z427" s="314"/>
      <c r="AA427" s="314"/>
      <c r="AB427" s="314"/>
      <c r="AC427" s="314"/>
      <c r="AD427" s="314"/>
      <c r="AE427" s="314"/>
      <c r="AF427" s="293"/>
      <c r="AG427" s="314"/>
      <c r="AH427" s="314"/>
      <c r="AI427" s="314"/>
      <c r="AJ427" s="335"/>
      <c r="AK427" s="335"/>
      <c r="AL427" s="326"/>
      <c r="AM427" s="326"/>
      <c r="AN427" s="326"/>
      <c r="AO427" s="326"/>
      <c r="AP427" s="326"/>
      <c r="AQ427" s="314"/>
      <c r="AR427" s="314"/>
      <c r="AS427" s="314"/>
      <c r="AT427" s="314"/>
      <c r="AU427" s="314"/>
      <c r="AV427" s="314"/>
      <c r="AW427" s="314"/>
      <c r="AX427" s="314"/>
      <c r="AY427" s="314"/>
      <c r="AZ427" s="314"/>
      <c r="BA427" s="314"/>
      <c r="BB427" s="314"/>
      <c r="BC427" s="314"/>
      <c r="BD427" s="314"/>
      <c r="BE427" s="314"/>
      <c r="BF427" s="314"/>
      <c r="BG427" s="314"/>
      <c r="BH427" s="314"/>
      <c r="BI427" s="317" t="s">
        <v>129</v>
      </c>
      <c r="BJ427" s="336"/>
      <c r="BK427" s="327" t="str">
        <f>IF(G445="","",G445)</f>
        <v/>
      </c>
      <c r="BL427" s="327" t="str">
        <f>IF(I445="","",I445)</f>
        <v/>
      </c>
      <c r="BM427" s="327" t="str">
        <f>IF(K445="","",K445)</f>
        <v/>
      </c>
      <c r="BN427" s="314"/>
      <c r="BO427" s="314"/>
      <c r="BP427" s="314"/>
      <c r="BQ427" s="314"/>
      <c r="BR427" s="314"/>
      <c r="BS427" s="314"/>
      <c r="BT427" s="319"/>
      <c r="BU427" s="314"/>
      <c r="BV427" s="314"/>
      <c r="BW427" s="314"/>
      <c r="BX427" s="314"/>
      <c r="BY427" s="314"/>
      <c r="BZ427" s="314"/>
      <c r="CA427" s="314"/>
      <c r="CB427" s="314"/>
      <c r="CC427" s="314"/>
      <c r="CD427" s="314"/>
      <c r="CE427" s="314"/>
      <c r="CF427" s="314"/>
      <c r="CG427" s="314"/>
      <c r="CH427" s="314"/>
      <c r="CI427" s="314"/>
      <c r="CJ427" s="314"/>
      <c r="CK427" s="314"/>
      <c r="CL427" s="314"/>
      <c r="CM427" s="314"/>
      <c r="CN427" s="314"/>
      <c r="CO427" s="314"/>
      <c r="CP427" s="314"/>
      <c r="CQ427" s="314"/>
    </row>
    <row r="428" spans="1:95" ht="5.15" customHeight="1" thickBot="1" x14ac:dyDescent="0.3">
      <c r="A428" s="307"/>
      <c r="B428" s="68"/>
      <c r="C428" s="68"/>
      <c r="D428" s="68"/>
      <c r="E428" s="68"/>
      <c r="F428" s="68"/>
      <c r="G428" s="68"/>
      <c r="H428" s="76"/>
      <c r="I428" s="76"/>
      <c r="J428" s="76"/>
      <c r="K428" s="76"/>
      <c r="L428" s="76"/>
      <c r="M428" s="76"/>
      <c r="N428" s="76"/>
      <c r="O428" s="160"/>
      <c r="P428" s="111"/>
      <c r="Q428" s="287"/>
      <c r="R428" s="111"/>
      <c r="S428" s="287"/>
      <c r="T428" s="287"/>
      <c r="U428" s="287"/>
      <c r="V428" s="314"/>
      <c r="W428" s="314"/>
      <c r="X428" s="314"/>
      <c r="Y428" s="312"/>
      <c r="Z428" s="314"/>
      <c r="AA428" s="314"/>
      <c r="AB428" s="314"/>
      <c r="AC428" s="314"/>
      <c r="AD428" s="314"/>
      <c r="AE428" s="314"/>
      <c r="AF428" s="293"/>
      <c r="AG428" s="314"/>
      <c r="AH428" s="314"/>
      <c r="AI428" s="314"/>
      <c r="AJ428" s="335"/>
      <c r="AK428" s="335"/>
      <c r="AL428" s="326"/>
      <c r="AM428" s="326"/>
      <c r="AN428" s="326"/>
      <c r="AO428" s="326"/>
      <c r="AP428" s="326"/>
      <c r="AQ428" s="314"/>
      <c r="AR428" s="314"/>
      <c r="AS428" s="314"/>
      <c r="AT428" s="314"/>
      <c r="AU428" s="314"/>
      <c r="AV428" s="314"/>
      <c r="AW428" s="314"/>
      <c r="AX428" s="314"/>
      <c r="AY428" s="314"/>
      <c r="AZ428" s="314"/>
      <c r="BA428" s="314"/>
      <c r="BB428" s="314"/>
      <c r="BC428" s="314"/>
      <c r="BD428" s="314"/>
      <c r="BE428" s="314"/>
      <c r="BF428" s="314"/>
      <c r="BG428" s="314"/>
      <c r="BH428" s="314"/>
      <c r="BI428" s="314"/>
      <c r="BJ428" s="314"/>
      <c r="BK428" s="314"/>
      <c r="BL428" s="314"/>
      <c r="BM428" s="314"/>
      <c r="BN428" s="314"/>
      <c r="BO428" s="314"/>
      <c r="BP428" s="314"/>
      <c r="BQ428" s="314"/>
      <c r="BR428" s="314"/>
      <c r="BS428" s="314"/>
      <c r="BT428" s="314"/>
      <c r="BU428" s="314"/>
      <c r="BV428" s="314"/>
      <c r="BW428" s="314"/>
      <c r="BX428" s="314"/>
      <c r="BY428" s="314"/>
      <c r="BZ428" s="314"/>
      <c r="CA428" s="314"/>
      <c r="CB428" s="314"/>
      <c r="CC428" s="314"/>
      <c r="CD428" s="314"/>
      <c r="CE428" s="314"/>
      <c r="CF428" s="314"/>
      <c r="CG428" s="314"/>
      <c r="CH428" s="314"/>
      <c r="CI428" s="314"/>
      <c r="CJ428" s="314"/>
      <c r="CK428" s="314"/>
      <c r="CL428" s="314"/>
      <c r="CM428" s="314"/>
      <c r="CN428" s="314"/>
      <c r="CO428" s="314"/>
      <c r="CP428" s="314"/>
      <c r="CQ428" s="314"/>
    </row>
    <row r="429" spans="1:95" ht="12.75" customHeight="1" thickBot="1" x14ac:dyDescent="0.3">
      <c r="A429" s="307"/>
      <c r="B429" s="68"/>
      <c r="C429" s="68"/>
      <c r="D429" s="68"/>
      <c r="E429" s="68"/>
      <c r="F429" s="338" t="str">
        <f>Translations!$B$127</f>
        <v>Tier</v>
      </c>
      <c r="G429" s="1254" t="str">
        <f>Translations!$B$393</f>
        <v>tier description</v>
      </c>
      <c r="H429" s="1254"/>
      <c r="I429" s="1255" t="str">
        <f>Translations!$B$394</f>
        <v>Unit</v>
      </c>
      <c r="J429" s="1255"/>
      <c r="K429" s="1255" t="str">
        <f>Translations!$B$395</f>
        <v>Value</v>
      </c>
      <c r="L429" s="1255"/>
      <c r="M429" s="205" t="str">
        <f>Translations!$B$396</f>
        <v>error</v>
      </c>
      <c r="N429" s="76"/>
      <c r="O429" s="160"/>
      <c r="P429" s="339"/>
      <c r="Q429" s="325" t="str">
        <f>EUconst_SumEnergyIN</f>
        <v>SUM_EnergyIN</v>
      </c>
      <c r="R429" s="340" t="str">
        <f>IF(E425="","",BG438)</f>
        <v/>
      </c>
      <c r="S429" s="314"/>
      <c r="T429" s="314"/>
      <c r="U429" s="314"/>
      <c r="V429" s="341" t="s">
        <v>130</v>
      </c>
      <c r="W429" s="314"/>
      <c r="X429" s="314"/>
      <c r="Y429" s="312" t="s">
        <v>131</v>
      </c>
      <c r="Z429" s="312" t="s">
        <v>132</v>
      </c>
      <c r="AA429" s="314"/>
      <c r="AB429" s="314"/>
      <c r="AC429" s="336" t="s">
        <v>133</v>
      </c>
      <c r="AD429" s="314"/>
      <c r="AE429" s="314"/>
      <c r="AF429" s="314" t="s">
        <v>134</v>
      </c>
      <c r="AG429" s="314" t="s">
        <v>135</v>
      </c>
      <c r="AH429" s="312" t="s">
        <v>136</v>
      </c>
      <c r="AI429" s="335" t="s">
        <v>137</v>
      </c>
      <c r="AJ429" s="335" t="s">
        <v>138</v>
      </c>
      <c r="AK429" s="342" t="s">
        <v>139</v>
      </c>
      <c r="AL429" s="326"/>
      <c r="AM429" s="326"/>
      <c r="AN429" s="326"/>
      <c r="AO429" s="326"/>
      <c r="AP429" s="326"/>
      <c r="AQ429" s="314"/>
      <c r="AR429" s="314" t="s">
        <v>134</v>
      </c>
      <c r="AS429" s="314" t="s">
        <v>135</v>
      </c>
      <c r="AT429" s="343" t="s">
        <v>140</v>
      </c>
      <c r="AU429" s="335" t="s">
        <v>141</v>
      </c>
      <c r="AV429" s="335" t="s">
        <v>142</v>
      </c>
      <c r="AW429" s="342" t="s">
        <v>139</v>
      </c>
      <c r="AX429" s="342" t="s">
        <v>139</v>
      </c>
      <c r="AY429" s="314"/>
      <c r="AZ429" s="314"/>
      <c r="BA429" s="314"/>
      <c r="BB429" s="314" t="s">
        <v>143</v>
      </c>
      <c r="BC429" s="314"/>
      <c r="BD429" s="314"/>
      <c r="BE429" s="314"/>
      <c r="BF429" s="314"/>
      <c r="BG429" s="319" t="s">
        <v>144</v>
      </c>
      <c r="BH429" s="314" t="s">
        <v>145</v>
      </c>
      <c r="BI429" s="314"/>
      <c r="BJ429" s="314"/>
      <c r="BK429" s="314"/>
      <c r="BL429" s="314"/>
      <c r="BM429" s="314"/>
      <c r="BN429" s="314"/>
      <c r="BO429" s="314"/>
      <c r="BP429" s="314"/>
      <c r="BQ429" s="314"/>
      <c r="BR429" s="314"/>
      <c r="BS429" s="314"/>
      <c r="BT429" s="314"/>
      <c r="BU429" s="314"/>
      <c r="BV429" s="314"/>
      <c r="BW429" s="314"/>
      <c r="BX429" s="314"/>
      <c r="BY429" s="314"/>
      <c r="BZ429" s="314"/>
      <c r="CA429" s="314"/>
      <c r="CB429" s="314"/>
      <c r="CC429" s="314"/>
      <c r="CD429" s="314"/>
      <c r="CE429" s="314"/>
      <c r="CF429" s="314"/>
      <c r="CG429" s="314"/>
      <c r="CH429" s="314"/>
      <c r="CI429" s="314"/>
      <c r="CJ429" s="314"/>
      <c r="CK429" s="314"/>
      <c r="CL429" s="314"/>
      <c r="CM429" s="314"/>
      <c r="CN429" s="314"/>
      <c r="CO429" s="314"/>
      <c r="CP429" s="314"/>
      <c r="CQ429" s="319" t="s">
        <v>107</v>
      </c>
    </row>
    <row r="430" spans="1:95" ht="12.75" customHeight="1" thickBot="1" x14ac:dyDescent="0.3">
      <c r="A430" s="307"/>
      <c r="B430" s="68"/>
      <c r="C430" s="199" t="s">
        <v>12</v>
      </c>
      <c r="D430" s="344" t="str">
        <f>Translations!$B$356</f>
        <v>RFA:</v>
      </c>
      <c r="E430" s="345"/>
      <c r="F430" s="6"/>
      <c r="G430" s="1256" t="str">
        <f>IF(OR(ISBLANK(F430),F430=EUconst_NoTier),"",IF(Z430=0,EUconst_NA,IF(ISERROR(Z430),"",Z430)))</f>
        <v/>
      </c>
      <c r="H430" s="1257"/>
      <c r="I430" s="346" t="str">
        <f>IF(J430&lt;&gt;"","",AI430)</f>
        <v/>
      </c>
      <c r="J430" s="7"/>
      <c r="K430" s="1258"/>
      <c r="L430" s="1259"/>
      <c r="M430" s="347" t="str">
        <f>IF(AND(E425&lt;&gt;"",OR(F430="",COUNT(K430)=0),Y430&lt;&gt;EUconst_NA),EUconst_ERR_Incomplete,"")</f>
        <v/>
      </c>
      <c r="N430" s="76"/>
      <c r="O430" s="160"/>
      <c r="P430" s="348"/>
      <c r="Q430" s="325" t="str">
        <f>EUconst_SumBioEnergyIN</f>
        <v>SUM_BioEnergyIN</v>
      </c>
      <c r="R430" s="340" t="str">
        <f>IF(E425="","",BG439)</f>
        <v/>
      </c>
      <c r="S430" s="314"/>
      <c r="T430" s="349" t="str">
        <f>EUconst_CNTR_ActivityData&amp;E425</f>
        <v>ActivityData_</v>
      </c>
      <c r="U430" s="312"/>
      <c r="V430" s="349" t="str">
        <f>IF(E424="","",INDEX(B_IdentifyFuelStreams!$I$67:$I$116,MATCH(U423,B_IdentifyFuelStreams!$D$67:$D$116,0)))</f>
        <v/>
      </c>
      <c r="W430" s="335" t="s">
        <v>146</v>
      </c>
      <c r="X430" s="312"/>
      <c r="Y430" s="350" t="str">
        <f>IF(E425="","",INDEX(EUwideConstants!$P$164:$P$200,MATCH(T430,EUwideConstants!$S$164:$S$200,0)))</f>
        <v/>
      </c>
      <c r="Z430" s="351" t="str">
        <f>IF(ISBLANK(F430),"",IF(F430=EUconst_NA,"",INDEX(EUwideConstants!$H:$O,MATCH(T430,EUwideConstants!$S:$S,0),MATCH(F430,CNTR_TierList,0))))</f>
        <v/>
      </c>
      <c r="AA430" s="352" t="s">
        <v>136</v>
      </c>
      <c r="AB430" s="335"/>
      <c r="AC430" s="331" t="b">
        <f>E424&lt;&gt;""</f>
        <v>0</v>
      </c>
      <c r="AD430" s="314"/>
      <c r="AE430" s="353" t="str">
        <f>EUconst_CNTR_ActivityData&amp;EUconst_Unit</f>
        <v>ActivityData_Unit</v>
      </c>
      <c r="AF430" s="354" t="str">
        <f>IF(AC430=TRUE, IF(COUNTIF(MSPara_SourceStreamCategory,V430)=0,"",INDEX(MSPara_CalcFactorsMatrix,MATCH(V430,MSPara_SourceStreamCategory,0),MATCH(AE430&amp;"_"&amp;2,MSPara_CalcFactors,0))),"")</f>
        <v/>
      </c>
      <c r="AG430" s="355" t="str">
        <f>IF(AC430=TRUE, IF(COUNTIF(MSPara_SourceStreamCategory,V430)=0,"",INDEX(MSPara_CalcFactorsMatrix,MATCH(V430,MSPara_SourceStreamCategory,0),MATCH(AE430&amp;"_"&amp;1,MSPara_CalcFactors,0))),"")</f>
        <v/>
      </c>
      <c r="AH430" s="331" t="str">
        <f>IF(OR(AF430="",AF430=EUconst_NA),IF(OR(AG430=EUconst_NA,AG430=""),"",AG430),AF430)</f>
        <v/>
      </c>
      <c r="AI430" s="350" t="str">
        <f>IF(AC430=TRUE,IF(AH430="",EUconst_t,AH430),"")</f>
        <v/>
      </c>
      <c r="AJ430" s="356" t="str">
        <f>IF(J430="",AI430,J430)</f>
        <v/>
      </c>
      <c r="AK430" s="357" t="b">
        <f>AND(E424&lt;&gt;"",J430&lt;&gt;"")</f>
        <v>0</v>
      </c>
      <c r="AL430" s="326"/>
      <c r="AM430" s="358" t="s">
        <v>147</v>
      </c>
      <c r="AN430" s="359" t="str">
        <f>AJ430</f>
        <v/>
      </c>
      <c r="AO430" s="326"/>
      <c r="AP430" s="326"/>
      <c r="AQ430" s="349" t="str">
        <f>EUconst_CNTR_ActivityData&amp;EUconst_Value</f>
        <v>ActivityData_Value</v>
      </c>
      <c r="AR430" s="336"/>
      <c r="AS430" s="336"/>
      <c r="AT430" s="331" t="b">
        <f>AND(AND(AH430&lt;&gt;"",AJ430&lt;&gt;""),AJ430=AH430)</f>
        <v>0</v>
      </c>
      <c r="AU430" s="314"/>
      <c r="AV430" s="331">
        <f>IF(Y430=EUconst_NA,0,IF(COUNT(K430:K430)=0,0,IF(K430="",#REF!,K430)))</f>
        <v>0</v>
      </c>
      <c r="AW430" s="360" t="b">
        <f>AND(AC430=TRUE,OR(K430&lt;&gt;"",AU430=""))</f>
        <v>0</v>
      </c>
      <c r="AX430" s="360" t="b">
        <f>AND(AC430=TRUE,NOT(AW430))</f>
        <v>0</v>
      </c>
      <c r="AY430" s="314"/>
      <c r="AZ430" s="314" t="s">
        <v>148</v>
      </c>
      <c r="BA430" s="314" t="s">
        <v>149</v>
      </c>
      <c r="BB430" s="360"/>
      <c r="BC430" s="314" t="s">
        <v>150</v>
      </c>
      <c r="BD430" s="314"/>
      <c r="BE430" s="314"/>
      <c r="BF430" s="361" t="s">
        <v>119</v>
      </c>
      <c r="BG430" s="362" t="str">
        <f>IF(COUNTIF(AO433:AO434,TRUE)=0,"",BH430*AV441)</f>
        <v/>
      </c>
      <c r="BH430" s="362" t="str">
        <f>IF(COUNTIF(AO433:AO434,TRUE)=0,"",AV430*IF(AO433,1,AV432*AN434)*AV433-BH432-BH434-BH436)</f>
        <v/>
      </c>
      <c r="BI430" s="314"/>
      <c r="BJ430" s="314"/>
      <c r="BK430" s="314"/>
      <c r="BL430" s="314"/>
      <c r="BM430" s="314"/>
      <c r="BN430" s="314"/>
      <c r="BO430" s="314"/>
      <c r="BP430" s="314"/>
      <c r="BQ430" s="314"/>
      <c r="BR430" s="314"/>
      <c r="BS430" s="314"/>
      <c r="BT430" s="314"/>
      <c r="BU430" s="314"/>
      <c r="BV430" s="314"/>
      <c r="BW430" s="314"/>
      <c r="BX430" s="314"/>
      <c r="BY430" s="314"/>
      <c r="BZ430" s="314"/>
      <c r="CA430" s="314"/>
      <c r="CB430" s="314"/>
      <c r="CC430" s="314"/>
      <c r="CD430" s="314"/>
      <c r="CE430" s="314"/>
      <c r="CF430" s="314"/>
      <c r="CG430" s="314"/>
      <c r="CH430" s="314"/>
      <c r="CI430" s="314"/>
      <c r="CJ430" s="314"/>
      <c r="CK430" s="314"/>
      <c r="CL430" s="314"/>
      <c r="CM430" s="314"/>
      <c r="CN430" s="314"/>
      <c r="CO430" s="314"/>
      <c r="CP430" s="314"/>
      <c r="CQ430" s="360" t="b">
        <v>0</v>
      </c>
    </row>
    <row r="431" spans="1:95" ht="5.15" customHeight="1" thickBot="1" x14ac:dyDescent="0.3">
      <c r="A431" s="307"/>
      <c r="B431" s="68"/>
      <c r="C431" s="199"/>
      <c r="D431" s="202"/>
      <c r="E431" s="76"/>
      <c r="F431" s="76"/>
      <c r="G431" s="76"/>
      <c r="H431" s="76" t="str">
        <f>Translations!$B$397</f>
        <v xml:space="preserve"> </v>
      </c>
      <c r="I431" s="162"/>
      <c r="J431" s="162"/>
      <c r="K431" s="76"/>
      <c r="L431" s="76"/>
      <c r="M431" s="363"/>
      <c r="N431" s="76"/>
      <c r="O431" s="160"/>
      <c r="P431" s="109"/>
      <c r="Q431" s="312"/>
      <c r="R431" s="312"/>
      <c r="S431" s="314"/>
      <c r="T431" s="62"/>
      <c r="U431" s="312"/>
      <c r="V431" s="314"/>
      <c r="W431" s="314"/>
      <c r="X431" s="312"/>
      <c r="Y431" s="319"/>
      <c r="Z431" s="314"/>
      <c r="AA431" s="314"/>
      <c r="AB431" s="314"/>
      <c r="AC431" s="314"/>
      <c r="AD431" s="314"/>
      <c r="AE431" s="314"/>
      <c r="AF431" s="314"/>
      <c r="AG431" s="314"/>
      <c r="AH431" s="314"/>
      <c r="AI431" s="314"/>
      <c r="AJ431" s="314"/>
      <c r="AK431" s="314"/>
      <c r="AL431" s="326"/>
      <c r="AM431" s="326"/>
      <c r="AN431" s="326"/>
      <c r="AO431" s="326"/>
      <c r="AP431" s="326"/>
      <c r="AQ431" s="314"/>
      <c r="AR431" s="314"/>
      <c r="AS431" s="314"/>
      <c r="AT431" s="314"/>
      <c r="AU431" s="314"/>
      <c r="AV431" s="314"/>
      <c r="AW431" s="314"/>
      <c r="AX431" s="314"/>
      <c r="AY431" s="314"/>
      <c r="AZ431" s="314"/>
      <c r="BA431" s="314"/>
      <c r="BB431" s="314"/>
      <c r="BC431" s="314"/>
      <c r="BD431" s="314"/>
      <c r="BE431" s="314"/>
      <c r="BF431" s="314"/>
      <c r="BG431" s="364"/>
      <c r="BH431" s="364"/>
      <c r="BI431" s="314"/>
      <c r="BJ431" s="314"/>
      <c r="BK431" s="314"/>
      <c r="BL431" s="314"/>
      <c r="BM431" s="314"/>
      <c r="BN431" s="314"/>
      <c r="BO431" s="314"/>
      <c r="BP431" s="314"/>
      <c r="BQ431" s="314"/>
      <c r="BR431" s="314"/>
      <c r="BS431" s="314"/>
      <c r="BT431" s="314"/>
      <c r="BU431" s="314"/>
      <c r="BV431" s="314"/>
      <c r="BW431" s="314"/>
      <c r="BX431" s="314"/>
      <c r="BY431" s="314"/>
      <c r="BZ431" s="314"/>
      <c r="CA431" s="314"/>
      <c r="CB431" s="314"/>
      <c r="CC431" s="314"/>
      <c r="CD431" s="314"/>
      <c r="CE431" s="314"/>
      <c r="CF431" s="314"/>
      <c r="CG431" s="314"/>
      <c r="CH431" s="314"/>
      <c r="CI431" s="314"/>
      <c r="CJ431" s="314"/>
      <c r="CK431" s="314"/>
      <c r="CL431" s="314"/>
      <c r="CM431" s="314"/>
      <c r="CN431" s="314"/>
      <c r="CO431" s="314"/>
      <c r="CP431" s="314"/>
      <c r="CQ431" s="319"/>
    </row>
    <row r="432" spans="1:95" ht="12.75" customHeight="1" x14ac:dyDescent="0.25">
      <c r="A432" s="307"/>
      <c r="B432" s="68"/>
      <c r="C432" s="199" t="s">
        <v>13</v>
      </c>
      <c r="D432" s="344" t="str">
        <f>Translations!$B$360</f>
        <v>UCF:</v>
      </c>
      <c r="E432" s="345"/>
      <c r="F432" s="10"/>
      <c r="G432" s="1256" t="str">
        <f>IF(OR(ISBLANK(F432),F432=EUconst_NoTier),"",IF(Z432=0,EUconst_NotApplicable,IF(ISERROR(Z432),"",Z432)))</f>
        <v/>
      </c>
      <c r="H432" s="1257"/>
      <c r="I432" s="365" t="str">
        <f>IF(J432&lt;&gt;"","",AI432)</f>
        <v/>
      </c>
      <c r="J432" s="11"/>
      <c r="K432" s="366" t="str">
        <f>IF(L432="",AU432,"")</f>
        <v/>
      </c>
      <c r="L432" s="23"/>
      <c r="M432" s="347" t="str">
        <f>IF(AND(E425&lt;&gt;"",OR(F432="",COUNT(K432:L432)=0),Y432&lt;&gt;EUconst_NA),EUconst_ERR_Incomplete,IF(COUNTIF(BB432:BD432,TRUE)&gt;0,EUconst_ERR_Inconsistent,""))</f>
        <v/>
      </c>
      <c r="N432" s="367"/>
      <c r="O432" s="160"/>
      <c r="P432" s="109"/>
      <c r="Q432" s="312"/>
      <c r="R432" s="312"/>
      <c r="S432" s="314"/>
      <c r="T432" s="368" t="str">
        <f>EUconst_CNTR_UCF&amp;E425</f>
        <v>UCF_</v>
      </c>
      <c r="U432" s="312"/>
      <c r="V432" s="369" t="str">
        <f>V433</f>
        <v/>
      </c>
      <c r="W432" s="314"/>
      <c r="X432" s="312"/>
      <c r="Y432" s="370" t="str">
        <f>IF(E425="","",IF(OR(F432=EUconst_NA,W432=TRUE),EUconst_NA,INDEX(EUwideConstants!$P$164:$P$200,MATCH(T432,EUwideConstants!$S$164:$S$200,0))))</f>
        <v/>
      </c>
      <c r="Z432" s="371" t="str">
        <f>IF(ISBLANK(F432),"",IF(F432=EUconst_NA,"",INDEX(EUwideConstants!$H:$O,MATCH(T432,EUwideConstants!$S:$S,0),MATCH(F432,CNTR_TierList,0))))</f>
        <v/>
      </c>
      <c r="AA432" s="372" t="str">
        <f>IF(COUNTIF(EUconst_DefaultValues,Z432)&gt;0,MATCH(Z432,EUconst_DefaultValues,0),"")</f>
        <v/>
      </c>
      <c r="AB432" s="314"/>
      <c r="AC432" s="373" t="b">
        <f>AND(AC430,Y432&lt;&gt;EUconst_NA)</f>
        <v>0</v>
      </c>
      <c r="AD432" s="314"/>
      <c r="AE432" s="353" t="str">
        <f>EUconst_CNTR_UCF&amp;EUconst_Unit</f>
        <v>UCF_Unit</v>
      </c>
      <c r="AF432" s="374" t="str">
        <f>IF(AC432=TRUE, IF(COUNTIF(MSPara_SourceStreamCategory,V432)=0,"",INDEX(MSPara_CalcFactorsMatrix,MATCH(V432,MSPara_SourceStreamCategory,0),MATCH(AE432&amp;"_"&amp;2,MSPara_CalcFactors,0))),"")</f>
        <v/>
      </c>
      <c r="AG432" s="375" t="str">
        <f>IF(AC432=TRUE, IF(COUNTIF(MSPara_SourceStreamCategory,V432)=0,"",INDEX(MSPara_CalcFactorsMatrix,MATCH(V432,MSPara_SourceStreamCategory,0),MATCH(AE432&amp;"_"&amp;1,MSPara_CalcFactors,0))),"")</f>
        <v/>
      </c>
      <c r="AH432" s="373" t="str">
        <f>IF(AA432="","",INDEX(AF432:AG432,3-AA432))</f>
        <v/>
      </c>
      <c r="AI432" s="373" t="str">
        <f>IF(AC432=TRUE,IF(OR(AH432="",AH432=EUconst_NA),EUconst_GJ&amp;"/"&amp;AJ430,AH432),"")</f>
        <v/>
      </c>
      <c r="AJ432" s="373" t="str">
        <f>IF(J432="",AI432,J432)</f>
        <v/>
      </c>
      <c r="AK432" s="369" t="b">
        <f>AND(E424&lt;&gt;"",J432&lt;&gt;"")</f>
        <v>0</v>
      </c>
      <c r="AL432" s="326"/>
      <c r="AM432" s="358" t="s">
        <v>151</v>
      </c>
      <c r="AN432" s="359" t="str">
        <f>IF(AJ432="",EUconst_NA,IF(AN430=EUconst_TJ,EUconst_TJ,INDEX(EUwideConstants!$C$135:$G$139,MATCH(AN430,RFAUnits,0),MATCH(AJ432,UCFUnits,0))))</f>
        <v>n.a.</v>
      </c>
      <c r="AO432" s="326"/>
      <c r="AP432" s="326"/>
      <c r="AQ432" s="376" t="str">
        <f>EUconst_CNTR_UCF&amp;EUconst_Value</f>
        <v>UCF_Value</v>
      </c>
      <c r="AR432" s="377" t="str">
        <f>IF(AC432=TRUE,IF(COUNTIF(MSPara_SourceStreamCategory,V432)=0,"",INDEX(MSPara_CalcFactorsMatrix,MATCH(V432,MSPara_SourceStreamCategory,0),MATCH(AQ432&amp;"_"&amp;2,MSPara_CalcFactors,0))),"")</f>
        <v/>
      </c>
      <c r="AS432" s="378" t="str">
        <f>IF(AC432=TRUE,IF(COUNTIF(MSPara_SourceStreamCategory,V432)=0,"",INDEX(MSPara_CalcFactorsMatrix,MATCH(V432,MSPara_SourceStreamCategory,0),MATCH(AQ432&amp;"_"&amp;1,MSPara_CalcFactors,0))),"")</f>
        <v/>
      </c>
      <c r="AT432" s="379" t="b">
        <f>AND(AND(AH432&lt;&gt;"",AJ432&lt;&gt;""),AJ432=AH432)</f>
        <v>0</v>
      </c>
      <c r="AU432" s="380" t="str">
        <f>IF(AND(AA432&lt;&gt;"",AT432=TRUE),IF(OR(INDEX(AR432:AS432,3-AA432)=EUconst_NA,INDEX(AR432:AS432,3-AA432)=0),"",INDEX(AR432:AS432,3-AA432)),"")</f>
        <v/>
      </c>
      <c r="AV432" s="373">
        <f>IF(AC432=TRUE,IF(COUNT(K432:L432)=0,0,IF(L432="",K432,L432)),0)</f>
        <v>0</v>
      </c>
      <c r="AW432" s="369" t="b">
        <f t="shared" ref="AW432:AW439" si="117">AND(AC432=TRUE,OR(AND(F432&lt;&gt;"",NOT(ISNUMBER(AA432))),L432&lt;&gt;"",F432="",AU432=""))</f>
        <v>0</v>
      </c>
      <c r="AX432" s="381" t="b">
        <f t="shared" ref="AX432:AX439" si="118">AND(AC432=TRUE,NOT(AW432))</f>
        <v>0</v>
      </c>
      <c r="AY432" s="314"/>
      <c r="AZ432" s="382" t="b">
        <f t="shared" ref="AZ432:AZ439" si="119">AND(ISNUMBER(AA432),AU432="")</f>
        <v>0</v>
      </c>
      <c r="BA432" s="383" t="b">
        <f t="shared" ref="BA432:BA439" si="120">AND(ISNUMBER(AA432),AU432&lt;&gt;AV432)</f>
        <v>0</v>
      </c>
      <c r="BB432" s="369" t="b">
        <f>AND(E425&lt;&gt;"",F432&lt;&gt;EUconst_NA,AN432=EUconst_NA)</f>
        <v>0</v>
      </c>
      <c r="BC432" s="369" t="b">
        <f t="shared" ref="BC432:BC439" si="121">AND(L432&lt;&gt;"",Y432=EUconst_NA)</f>
        <v>0</v>
      </c>
      <c r="BD432" s="314"/>
      <c r="BE432" s="314"/>
      <c r="BF432" s="382" t="s">
        <v>152</v>
      </c>
      <c r="BG432" s="384" t="str">
        <f>IF(COUNTIF(AO433:AO434,TRUE)=0,"",BH432*AV441)</f>
        <v/>
      </c>
      <c r="BH432" s="384" t="str">
        <f>IF(COUNTIF(AO433:AO434,TRUE)=0,"",AV430*IF(AO433,1,AV432*AN434)*AV433*AV434)</f>
        <v/>
      </c>
      <c r="BI432" s="314"/>
      <c r="BJ432" s="314"/>
      <c r="BK432" s="314"/>
      <c r="BL432" s="314"/>
      <c r="BM432" s="314"/>
      <c r="BN432" s="314"/>
      <c r="BO432" s="314"/>
      <c r="BP432" s="314"/>
      <c r="BQ432" s="314"/>
      <c r="BR432" s="314"/>
      <c r="BS432" s="314"/>
      <c r="BT432" s="314"/>
      <c r="BU432" s="314"/>
      <c r="BV432" s="314"/>
      <c r="BW432" s="314"/>
      <c r="BX432" s="314"/>
      <c r="BY432" s="314"/>
      <c r="BZ432" s="314"/>
      <c r="CA432" s="314"/>
      <c r="CB432" s="314"/>
      <c r="CC432" s="314"/>
      <c r="CD432" s="314"/>
      <c r="CE432" s="314"/>
      <c r="CF432" s="314"/>
      <c r="CG432" s="314"/>
      <c r="CH432" s="314"/>
      <c r="CI432" s="314"/>
      <c r="CJ432" s="314"/>
      <c r="CK432" s="314"/>
      <c r="CL432" s="314"/>
      <c r="CM432" s="314"/>
      <c r="CN432" s="314"/>
      <c r="CO432" s="314"/>
      <c r="CP432" s="314"/>
      <c r="CQ432" s="369" t="b">
        <f>OR(CQ430,Y432=EUconst_NA)</f>
        <v>0</v>
      </c>
    </row>
    <row r="433" spans="1:95" ht="12.75" customHeight="1" thickBot="1" x14ac:dyDescent="0.3">
      <c r="A433" s="307"/>
      <c r="B433" s="68"/>
      <c r="C433" s="199" t="s">
        <v>14</v>
      </c>
      <c r="D433" s="344" t="str">
        <f>Translations!$B$358</f>
        <v>(prelim) EF:</v>
      </c>
      <c r="E433" s="345"/>
      <c r="F433" s="59"/>
      <c r="G433" s="1256" t="str">
        <f>IF(OR(ISBLANK(F433),F433=EUconst_NoTier),"",IF(Z433=0,EUconst_NotApplicable,IF(ISERROR(Z433),"",Z433)))</f>
        <v/>
      </c>
      <c r="H433" s="1260"/>
      <c r="I433" s="385" t="str">
        <f>IF(J433&lt;&gt;"","",AI433)</f>
        <v/>
      </c>
      <c r="J433" s="22"/>
      <c r="K433" s="386" t="str">
        <f>IF(L433="",AU433,"")</f>
        <v/>
      </c>
      <c r="L433" s="58"/>
      <c r="M433" s="347" t="str">
        <f>IF(AND(E425&lt;&gt;"",OR(F433="",COUNT(K433:L433)=0),Y433&lt;&gt;EUconst_NA),EUconst_ERR_Incomplete,IF(COUNTIF(BB433:BD433,TRUE)&gt;0,EUconst_ERR_Inconsistent,""))</f>
        <v/>
      </c>
      <c r="N433" s="387"/>
      <c r="O433" s="160"/>
      <c r="P433" s="109"/>
      <c r="Q433" s="312"/>
      <c r="R433" s="312"/>
      <c r="S433" s="314"/>
      <c r="T433" s="388" t="str">
        <f>EUconst_CNTR_EF&amp;E425</f>
        <v>EF_</v>
      </c>
      <c r="U433" s="312"/>
      <c r="V433" s="389" t="str">
        <f>V430</f>
        <v/>
      </c>
      <c r="W433" s="314"/>
      <c r="X433" s="312"/>
      <c r="Y433" s="390" t="str">
        <f>IF(E425="","",IF(OR(F433=EUconst_NA,W433=TRUE),EUconst_NA,INDEX(EUwideConstants!$P$164:$P$200,MATCH(T433,EUwideConstants!$S$164:$S$200,0))))</f>
        <v/>
      </c>
      <c r="Z433" s="391" t="str">
        <f>IF(ISBLANK(F433),"",IF(F433=EUconst_NA,"",INDEX(EUwideConstants!$H:$O,MATCH(T433,EUwideConstants!$S:$S,0),MATCH(F433,CNTR_TierList,0))))</f>
        <v/>
      </c>
      <c r="AA433" s="392" t="str">
        <f>IF(COUNTIF(EUconst_DefaultValues,Z433)&gt;0,MATCH(Z433,EUconst_DefaultValues,0),"")</f>
        <v/>
      </c>
      <c r="AB433" s="314"/>
      <c r="AC433" s="393" t="b">
        <f>AND(AC430,Y433&lt;&gt;EUconst_NA)</f>
        <v>0</v>
      </c>
      <c r="AD433" s="314"/>
      <c r="AE433" s="394" t="str">
        <f>EUconst_CNTR_EF&amp;EUconst_Unit</f>
        <v>EF_Unit</v>
      </c>
      <c r="AF433" s="395" t="str">
        <f>IF(AC433=TRUE, IF(COUNTIF(MSPara_SourceStreamCategory,V433)=0,"",INDEX(MSPara_CalcFactorsMatrix,MATCH(V433,MSPara_SourceStreamCategory,0),MATCH(AE433&amp;"_"&amp;2,MSPara_CalcFactors,0))),"")</f>
        <v/>
      </c>
      <c r="AG433" s="396" t="str">
        <f>IF(AC433=TRUE, IF(COUNTIF(MSPara_SourceStreamCategory,V433)=0,"",INDEX(MSPara_CalcFactorsMatrix,MATCH(V433,MSPara_SourceStreamCategory,0),MATCH(AE433&amp;"_"&amp;1,MSPara_CalcFactors,0))),"")</f>
        <v/>
      </c>
      <c r="AH433" s="397" t="str">
        <f>IF(AA433="","",INDEX(AF433:AG433,3-AA433))</f>
        <v/>
      </c>
      <c r="AI433" s="397" t="str">
        <f>IF(AC433=TRUE,IF(OR(AH433="",AH433=EUconst_NA),EUconst_tCO2&amp;"/"&amp;IF(AN432=EUconst_NA,AN430,IF(AN432=EUconst_GJ,EUconst_TJ,AN432)),AH433),"")</f>
        <v/>
      </c>
      <c r="AJ433" s="397" t="str">
        <f>IF(J433="",AI433,J433)</f>
        <v/>
      </c>
      <c r="AK433" s="398" t="b">
        <f>AND(E425&lt;&gt;"",J433&lt;&gt;"")</f>
        <v>0</v>
      </c>
      <c r="AL433" s="326"/>
      <c r="AM433" s="358" t="s">
        <v>153</v>
      </c>
      <c r="AN433" s="359" t="str">
        <f>IF(COUNTIF(RFAUnits,AN430)=0,EUconst_NA,INDEX(EUwideConstants!$C$150:$H$154,MATCH(AJ433,EFUnits,0),MATCH(AN430,EUwideConstants!$C$149:$H$149,0)))</f>
        <v>n.a.</v>
      </c>
      <c r="AO433" s="359" t="b">
        <f>AN433&lt;&gt;EUconst_NA</f>
        <v>0</v>
      </c>
      <c r="AP433" s="326"/>
      <c r="AQ433" s="399" t="str">
        <f>EUconst_CNTR_EF&amp;EUconst_Value</f>
        <v>EF_Value</v>
      </c>
      <c r="AR433" s="400" t="str">
        <f>IF(AC433=TRUE,IF(COUNTIF(MSPara_SourceStreamCategory,V433)=0,"",INDEX(MSPara_CalcFactorsMatrix,MATCH(V433,MSPara_SourceStreamCategory,0),MATCH(AQ433&amp;"_"&amp;2,MSPara_CalcFactors,0))),"")</f>
        <v/>
      </c>
      <c r="AS433" s="401" t="str">
        <f>IF(AC433=TRUE,IF(COUNTIF(MSPara_SourceStreamCategory,V433)=0,"",INDEX(MSPara_CalcFactorsMatrix,MATCH(V433,MSPara_SourceStreamCategory,0),MATCH(AQ433&amp;"_"&amp;1,MSPara_CalcFactors,0))),"")</f>
        <v/>
      </c>
      <c r="AT433" s="402" t="b">
        <f>AND(AND(AH433&lt;&gt;"",AJ433&lt;&gt;""),AJ433=AH433)</f>
        <v>0</v>
      </c>
      <c r="AU433" s="403" t="str">
        <f>IF(AND(AA433&lt;&gt;"",AT433=TRUE),IF(OR(INDEX(AR433:AS433,3-AA433)=EUconst_NA,INDEX(AR433:AS433,3-AA433)=0),"",INDEX(AR433:AS433,3-AA433)),"")</f>
        <v/>
      </c>
      <c r="AV433" s="393">
        <f>IF(AC433=TRUE,IF(COUNT(K433:L433)=0,0,IF(L433="",K433,L433)),0)</f>
        <v>0</v>
      </c>
      <c r="AW433" s="389" t="b">
        <f t="shared" si="117"/>
        <v>0</v>
      </c>
      <c r="AX433" s="404" t="b">
        <f t="shared" si="118"/>
        <v>0</v>
      </c>
      <c r="AY433" s="314"/>
      <c r="AZ433" s="405" t="b">
        <f t="shared" si="119"/>
        <v>0</v>
      </c>
      <c r="BA433" s="406" t="b">
        <f t="shared" si="120"/>
        <v>0</v>
      </c>
      <c r="BB433" s="407" t="b">
        <f>AND(E425&lt;&gt;"",COUNTIF(AO433:AO434,TRUE)=0)</f>
        <v>0</v>
      </c>
      <c r="BC433" s="389" t="b">
        <f t="shared" si="121"/>
        <v>0</v>
      </c>
      <c r="BD433" s="314"/>
      <c r="BE433" s="314"/>
      <c r="BF433" s="408" t="s">
        <v>154</v>
      </c>
      <c r="BG433" s="409" t="str">
        <f>IF(COUNTIF(AO433:AO434,TRUE)=0,"",BH433*AV441)</f>
        <v/>
      </c>
      <c r="BH433" s="409" t="str">
        <f>IF(COUNTIF(AO433:AO434,TRUE)=0,"",AV430*IF(AO433,1,AV432*AN434)*AV433*AV435)</f>
        <v/>
      </c>
      <c r="BI433" s="314"/>
      <c r="BJ433" s="314"/>
      <c r="BK433" s="314"/>
      <c r="BL433" s="314"/>
      <c r="BM433" s="314"/>
      <c r="BN433" s="314"/>
      <c r="BO433" s="314"/>
      <c r="BP433" s="314"/>
      <c r="BQ433" s="314"/>
      <c r="BR433" s="314"/>
      <c r="BS433" s="314"/>
      <c r="BT433" s="314"/>
      <c r="BU433" s="314"/>
      <c r="BV433" s="314"/>
      <c r="BW433" s="314"/>
      <c r="BX433" s="314"/>
      <c r="BY433" s="314"/>
      <c r="BZ433" s="314"/>
      <c r="CA433" s="314"/>
      <c r="CB433" s="314"/>
      <c r="CC433" s="314"/>
      <c r="CD433" s="314"/>
      <c r="CE433" s="314"/>
      <c r="CF433" s="314"/>
      <c r="CG433" s="314"/>
      <c r="CH433" s="314"/>
      <c r="CI433" s="314"/>
      <c r="CJ433" s="314"/>
      <c r="CK433" s="314"/>
      <c r="CL433" s="314"/>
      <c r="CM433" s="314"/>
      <c r="CN433" s="314"/>
      <c r="CO433" s="314"/>
      <c r="CP433" s="314"/>
      <c r="CQ433" s="407" t="b">
        <f>OR(CQ430,Y433=EUconst_NA)</f>
        <v>0</v>
      </c>
    </row>
    <row r="434" spans="1:95" ht="12.75" customHeight="1" x14ac:dyDescent="0.25">
      <c r="A434" s="307"/>
      <c r="B434" s="68"/>
      <c r="C434" s="199" t="s">
        <v>15</v>
      </c>
      <c r="D434" s="344" t="str">
        <f>Translations!$B$362</f>
        <v>BioF:</v>
      </c>
      <c r="E434" s="345"/>
      <c r="F434" s="10"/>
      <c r="G434" s="1256" t="str">
        <f>IF(OR(ISBLANK(F434),F434=EUconst_NoTier),"",IF(Z434=0,EUconst_NotApplicable,IF(ISERROR(Z434),"",Z434)))</f>
        <v/>
      </c>
      <c r="H434" s="1257"/>
      <c r="I434" s="410" t="str">
        <f t="shared" ref="I434:I439" si="122">IF(OR(AC434=FALSE,Y434=EUconst_NA),"","-")</f>
        <v/>
      </c>
      <c r="J434" s="411"/>
      <c r="K434" s="412" t="str">
        <f>IF(L434="",AU434,"")</f>
        <v/>
      </c>
      <c r="L434" s="60"/>
      <c r="M434" s="347" t="str">
        <f>IF(AND(E425&lt;&gt;"",OR(F434="",COUNT(K434:L434)=0),Y434&lt;&gt;EUconst_NA),EUconst_ERR_Incomplete,IF(COUNTIF(BB434:BD434,TRUE)&gt;0,EUconst_ERR_Inconsistent,""))</f>
        <v/>
      </c>
      <c r="O434" s="160"/>
      <c r="P434" s="348"/>
      <c r="Q434" s="413"/>
      <c r="R434" s="413"/>
      <c r="S434" s="314"/>
      <c r="T434" s="388" t="str">
        <f>EUconst_CNTR_BiomassContent&amp;E425</f>
        <v>BioC_</v>
      </c>
      <c r="U434" s="312"/>
      <c r="V434" s="369" t="str">
        <f>V432</f>
        <v/>
      </c>
      <c r="W434" s="369" t="str">
        <f>IF(OR(V434="",COUNTIF(MSPara_SourceStreamCategory,V434)=0),"",INDEX(MSPara_IsFossil,MATCH(V434,MSPara_SourceStreamCategory,0)))</f>
        <v/>
      </c>
      <c r="X434" s="312"/>
      <c r="Y434" s="370" t="str">
        <f>IF(E425="","",IF(OR(F434=EUconst_NA,W434=TRUE),EUconst_NA,INDEX(EUwideConstants!$P$164:$P$200,MATCH(T434,EUwideConstants!$S$164:$S$200,0))))</f>
        <v/>
      </c>
      <c r="Z434" s="371" t="str">
        <f>IF(ISBLANK(F434),"",IF(F434=EUconst_NA,"",INDEX(EUwideConstants!$H:$O,MATCH(T434,EUwideConstants!$S:$S,0),MATCH(F434,CNTR_TierList,0))))</f>
        <v/>
      </c>
      <c r="AA434" s="414" t="str">
        <f>IF(F434=1,1,"")</f>
        <v/>
      </c>
      <c r="AB434" s="314"/>
      <c r="AC434" s="373" t="b">
        <f>AND(AC430,Y434&lt;&gt;EUconst_NA)</f>
        <v>0</v>
      </c>
      <c r="AD434" s="314"/>
      <c r="AE434" s="415"/>
      <c r="AF434" s="416"/>
      <c r="AG434" s="417"/>
      <c r="AH434" s="418"/>
      <c r="AI434" s="418"/>
      <c r="AJ434" s="418"/>
      <c r="AK434" s="419"/>
      <c r="AL434" s="326"/>
      <c r="AM434" s="358" t="s">
        <v>155</v>
      </c>
      <c r="AN434" s="359" t="str">
        <f>IF(AN432=EUconst_NA,EUconst_NA,INDEX(EUwideConstants!$C$150:$H$154,MATCH(AJ433,EFUnits,0),MATCH(AN432,EUwideConstants!$C$149:$H$149,0)))</f>
        <v>n.a.</v>
      </c>
      <c r="AO434" s="359" t="b">
        <f>AN434&lt;&gt;EUconst_NA</f>
        <v>0</v>
      </c>
      <c r="AP434" s="326"/>
      <c r="AQ434" s="376" t="str">
        <f>EUconst_CNTR_BiomassContent&amp;EUconst_Value</f>
        <v>BioC_Value</v>
      </c>
      <c r="AR434" s="420"/>
      <c r="AS434" s="378" t="str">
        <f t="shared" ref="AS434:AS439" si="123">IF(AC434=TRUE,IF(COUNTIF(MSPara_SourceStreamCategory,V434)=0,"",INDEX(MSPara_CalcFactorsMatrix,MATCH(V434,MSPara_SourceStreamCategory,0),MATCH(AQ434&amp;"_"&amp;2,MSPara_CalcFactors,0))),"")</f>
        <v/>
      </c>
      <c r="AT434" s="421"/>
      <c r="AU434" s="380" t="str">
        <f t="shared" ref="AU434:AU439" si="124">IF(OR(AA434="",AS434=EUconst_NA),"",AS434)</f>
        <v/>
      </c>
      <c r="AV434" s="373">
        <f>IF(AC434=TRUE,IF(COUNT(K434:L434)=0,0,IF(L434="",K434,L434)),0)</f>
        <v>0</v>
      </c>
      <c r="AW434" s="369" t="b">
        <f t="shared" si="117"/>
        <v>0</v>
      </c>
      <c r="AX434" s="381" t="b">
        <f t="shared" si="118"/>
        <v>0</v>
      </c>
      <c r="AY434" s="314"/>
      <c r="AZ434" s="382" t="b">
        <f t="shared" si="119"/>
        <v>0</v>
      </c>
      <c r="BA434" s="383" t="b">
        <f t="shared" si="120"/>
        <v>0</v>
      </c>
      <c r="BB434" s="314"/>
      <c r="BC434" s="369" t="b">
        <f t="shared" si="121"/>
        <v>0</v>
      </c>
      <c r="BD434" s="369" t="b">
        <f>OR(AV434&gt;100%,(AV434+AV435)&gt;100%)</f>
        <v>0</v>
      </c>
      <c r="BE434" s="314"/>
      <c r="BF434" s="382" t="s">
        <v>156</v>
      </c>
      <c r="BG434" s="384" t="str">
        <f>IF(COUNTIF(AO433:AO434,TRUE)=0,"",BH434*AV441)</f>
        <v/>
      </c>
      <c r="BH434" s="384" t="str">
        <f>IF(COUNTIF(AO433:AO434,TRUE)=0,"",AV430*IF(AO433,1,AV432*AN434)*AV433*AV436)</f>
        <v/>
      </c>
      <c r="BJ434" s="314"/>
      <c r="BK434" s="314"/>
      <c r="BL434" s="314"/>
      <c r="BM434" s="314"/>
      <c r="BN434" s="314"/>
      <c r="BO434" s="314"/>
      <c r="BP434" s="314"/>
      <c r="BQ434" s="314"/>
      <c r="BR434" s="314"/>
      <c r="BS434" s="314"/>
      <c r="BT434" s="314"/>
      <c r="BU434" s="314"/>
      <c r="BV434" s="314"/>
      <c r="BW434" s="314"/>
      <c r="BX434" s="314"/>
      <c r="BY434" s="314"/>
      <c r="BZ434" s="314"/>
      <c r="CA434" s="314"/>
      <c r="CB434" s="314"/>
      <c r="CC434" s="314"/>
      <c r="CD434" s="314"/>
      <c r="CE434" s="314"/>
      <c r="CF434" s="314"/>
      <c r="CG434" s="314"/>
      <c r="CH434" s="314"/>
      <c r="CI434" s="314"/>
      <c r="CJ434" s="314"/>
      <c r="CK434" s="314"/>
      <c r="CL434" s="314"/>
      <c r="CM434" s="314"/>
      <c r="CN434" s="314"/>
      <c r="CO434" s="314"/>
      <c r="CP434" s="314"/>
      <c r="CQ434" s="369" t="b">
        <f>OR(CQ430,Y434=EUconst_NA)</f>
        <v>0</v>
      </c>
    </row>
    <row r="435" spans="1:95" ht="12.75" customHeight="1" thickBot="1" x14ac:dyDescent="0.3">
      <c r="A435" s="307"/>
      <c r="B435" s="68"/>
      <c r="C435" s="199" t="s">
        <v>16</v>
      </c>
      <c r="D435" s="344" t="str">
        <f>Translations!$B$368</f>
        <v>non-sust. BioF:</v>
      </c>
      <c r="E435" s="345"/>
      <c r="F435" s="20"/>
      <c r="G435" s="1256" t="str">
        <f>IF(OR(ISBLANK(F435),F435=EUconst_NoTier),"",IF(Z435=0,EUconst_NotApplicable,IF(ISERROR(Z435),"",Z435)))</f>
        <v/>
      </c>
      <c r="H435" s="1257"/>
      <c r="I435" s="422" t="str">
        <f t="shared" si="122"/>
        <v/>
      </c>
      <c r="J435" s="423"/>
      <c r="K435" s="424" t="str">
        <f>IF(L435="",AU435,"")</f>
        <v/>
      </c>
      <c r="L435" s="21"/>
      <c r="M435" s="347" t="str">
        <f>IF(AND(E425&lt;&gt;"",OR(F435="",COUNT(K435:L435)=0),Y435&lt;&gt;EUconst_NA),EUconst_ERR_Incomplete,IF(COUNTIF(BB435:BD435,TRUE)&gt;0,EUconst_ERR_Inconsistent,""))</f>
        <v/>
      </c>
      <c r="N435" s="76"/>
      <c r="O435" s="160"/>
      <c r="P435" s="348"/>
      <c r="Q435" s="413"/>
      <c r="R435" s="413"/>
      <c r="S435" s="314"/>
      <c r="T435" s="425" t="str">
        <f>EUconst_CNTR_BiomassContent&amp;E425</f>
        <v>BioC_</v>
      </c>
      <c r="U435" s="312"/>
      <c r="V435" s="407" t="str">
        <f>V434</f>
        <v/>
      </c>
      <c r="W435" s="407" t="str">
        <f>IF(OR(V434="",COUNTIF(MSPara_SourceStreamCategory,V435)=0),"",INDEX(MSPara_IsFossil,MATCH(V435,MSPara_SourceStreamCategory,0)))</f>
        <v/>
      </c>
      <c r="X435" s="312"/>
      <c r="Y435" s="426" t="str">
        <f>IF(E425="","",IF(OR(F435=EUconst_NA,W435=TRUE),EUconst_NA,INDEX(EUwideConstants!$P$164:$P$200,MATCH(T435,EUwideConstants!$S$164:$S$200,0))))</f>
        <v/>
      </c>
      <c r="Z435" s="427" t="str">
        <f>IF(ISBLANK(F435),"",IF(F435=EUconst_NA,"",INDEX(EUwideConstants!$H:$O,MATCH(T435,EUwideConstants!$S:$S,0),MATCH(F435,CNTR_TierList,0))))</f>
        <v/>
      </c>
      <c r="AA435" s="428" t="str">
        <f>IF(F435=1,1,"")</f>
        <v/>
      </c>
      <c r="AB435" s="314"/>
      <c r="AC435" s="429" t="b">
        <f>AND(AC430,Y435&lt;&gt;EUconst_NA)</f>
        <v>0</v>
      </c>
      <c r="AD435" s="314"/>
      <c r="AE435" s="430"/>
      <c r="AF435" s="431"/>
      <c r="AG435" s="432"/>
      <c r="AH435" s="433"/>
      <c r="AI435" s="433"/>
      <c r="AJ435" s="433"/>
      <c r="AK435" s="434"/>
      <c r="AL435" s="326"/>
      <c r="AM435" s="326"/>
      <c r="AN435" s="326"/>
      <c r="AO435" s="326"/>
      <c r="AP435" s="326"/>
      <c r="AQ435" s="435" t="str">
        <f>EUconst_CNTR_BiomassContent&amp;EUconst_Value</f>
        <v>BioC_Value</v>
      </c>
      <c r="AR435" s="430"/>
      <c r="AS435" s="436" t="str">
        <f t="shared" si="123"/>
        <v/>
      </c>
      <c r="AT435" s="437"/>
      <c r="AU435" s="438" t="str">
        <f t="shared" si="124"/>
        <v/>
      </c>
      <c r="AV435" s="429">
        <f>IF(AC435=TRUE,IF(COUNT(K435:L435)=0,0,IF(L435="",K435,L435)),0)</f>
        <v>0</v>
      </c>
      <c r="AW435" s="407" t="b">
        <f t="shared" si="117"/>
        <v>0</v>
      </c>
      <c r="AX435" s="439" t="b">
        <f t="shared" si="118"/>
        <v>0</v>
      </c>
      <c r="AY435" s="314"/>
      <c r="AZ435" s="408" t="b">
        <f t="shared" si="119"/>
        <v>0</v>
      </c>
      <c r="BA435" s="440" t="b">
        <f t="shared" si="120"/>
        <v>0</v>
      </c>
      <c r="BB435" s="314"/>
      <c r="BC435" s="407" t="b">
        <f t="shared" si="121"/>
        <v>0</v>
      </c>
      <c r="BD435" s="407" t="b">
        <f>OR(AV434&gt;100%,(AV434+AV435)&gt;100%)</f>
        <v>0</v>
      </c>
      <c r="BE435" s="314"/>
      <c r="BF435" s="408" t="s">
        <v>157</v>
      </c>
      <c r="BG435" s="409" t="str">
        <f>IF(COUNTIF(AO433:AO434,TRUE)=0,"",BH435*AV441)</f>
        <v/>
      </c>
      <c r="BH435" s="409" t="str">
        <f>IF(COUNTIF(AO433:AO434,TRUE)=0,"",AV430*IF(AO433,1,AV432*AN434)*AV433*AV437)</f>
        <v/>
      </c>
      <c r="BJ435" s="314"/>
      <c r="BK435" s="314"/>
      <c r="BL435" s="314"/>
      <c r="BM435" s="314"/>
      <c r="BN435" s="314"/>
      <c r="BO435" s="314"/>
      <c r="BP435" s="314"/>
      <c r="BQ435" s="314"/>
      <c r="BR435" s="314"/>
      <c r="BS435" s="314"/>
      <c r="BT435" s="314"/>
      <c r="BU435" s="314"/>
      <c r="BV435" s="314"/>
      <c r="BW435" s="314"/>
      <c r="BX435" s="314"/>
      <c r="BY435" s="314"/>
      <c r="BZ435" s="314"/>
      <c r="CA435" s="314"/>
      <c r="CB435" s="314"/>
      <c r="CC435" s="314"/>
      <c r="CD435" s="314"/>
      <c r="CE435" s="314"/>
      <c r="CF435" s="314"/>
      <c r="CG435" s="314"/>
      <c r="CH435" s="314"/>
      <c r="CI435" s="314"/>
      <c r="CJ435" s="314"/>
      <c r="CK435" s="314"/>
      <c r="CL435" s="314"/>
      <c r="CM435" s="314"/>
      <c r="CN435" s="314"/>
      <c r="CO435" s="314"/>
      <c r="CP435" s="314"/>
      <c r="CQ435" s="407" t="b">
        <f>OR(CQ430,Y435=EUconst_NA)</f>
        <v>0</v>
      </c>
    </row>
    <row r="436" spans="1:95" ht="12.75" customHeight="1" thickBot="1" x14ac:dyDescent="0.3">
      <c r="A436" s="307"/>
      <c r="B436" s="68"/>
      <c r="C436" s="199" t="s">
        <v>17</v>
      </c>
      <c r="D436" s="344" t="str">
        <f>Translations!$B$610</f>
        <v>sust. RFNBO/RCF:</v>
      </c>
      <c r="E436" s="441"/>
      <c r="F436" s="19" t="s">
        <v>158</v>
      </c>
      <c r="G436" s="1261"/>
      <c r="H436" s="1262"/>
      <c r="I436" s="442" t="str">
        <f t="shared" si="122"/>
        <v/>
      </c>
      <c r="J436" s="411"/>
      <c r="K436" s="443"/>
      <c r="L436" s="55"/>
      <c r="M436" s="347" t="str">
        <f>IF(AND(E425&lt;&gt;"",OR(F436="",COUNT(L436)=0),Y436&lt;&gt;EUconst_NA),EUconst_ERR_Incomplete,"")</f>
        <v/>
      </c>
      <c r="N436" s="76"/>
      <c r="O436" s="160"/>
      <c r="P436" s="348"/>
      <c r="Q436" s="413"/>
      <c r="R436" s="413"/>
      <c r="S436" s="314"/>
      <c r="T436" s="388" t="str">
        <f>EUconst_CNTR_RFNBOetcContent&amp;E425</f>
        <v>RNFBOC_</v>
      </c>
      <c r="U436" s="312"/>
      <c r="V436" s="312"/>
      <c r="W436" s="312"/>
      <c r="X436" s="312"/>
      <c r="Y436" s="380" t="str">
        <f>IF(E425="","",IF(OR(F436=EUconst_NA,W436=TRUE),EUconst_NA,INDEX(EUwideConstants!$P$164:$P$200,MATCH(T436,EUwideConstants!$S$164:$S$200,0))))</f>
        <v/>
      </c>
      <c r="Z436" s="314"/>
      <c r="AA436" s="314"/>
      <c r="AB436" s="314"/>
      <c r="AC436" s="397" t="b">
        <f>AND(AC432,Y436&lt;&gt;EUconst_NA)</f>
        <v>0</v>
      </c>
      <c r="AD436" s="314"/>
      <c r="AE436" s="415"/>
      <c r="AF436" s="416"/>
      <c r="AG436" s="417"/>
      <c r="AH436" s="418"/>
      <c r="AI436" s="418"/>
      <c r="AJ436" s="418"/>
      <c r="AK436" s="419"/>
      <c r="AL436" s="326"/>
      <c r="AM436" s="326"/>
      <c r="AN436" s="326"/>
      <c r="AO436" s="326"/>
      <c r="AP436" s="326"/>
      <c r="AQ436" s="444" t="s">
        <v>159</v>
      </c>
      <c r="AR436" s="415"/>
      <c r="AS436" s="445" t="str">
        <f t="shared" si="123"/>
        <v/>
      </c>
      <c r="AT436" s="446"/>
      <c r="AU436" s="447" t="str">
        <f t="shared" si="124"/>
        <v/>
      </c>
      <c r="AV436" s="397">
        <f>IF(L436&lt;&gt;0,L436,L436)</f>
        <v>0</v>
      </c>
      <c r="AW436" s="398" t="b">
        <f t="shared" si="117"/>
        <v>0</v>
      </c>
      <c r="AX436" s="448" t="b">
        <f t="shared" si="118"/>
        <v>0</v>
      </c>
      <c r="AY436" s="314"/>
      <c r="AZ436" s="449" t="b">
        <f t="shared" si="119"/>
        <v>0</v>
      </c>
      <c r="BA436" s="450" t="b">
        <f t="shared" si="120"/>
        <v>0</v>
      </c>
      <c r="BB436" s="314"/>
      <c r="BC436" s="398" t="b">
        <f t="shared" si="121"/>
        <v>0</v>
      </c>
      <c r="BD436" s="369" t="b">
        <f>OR(AV436&gt;100%,(AV436+AV437)&gt;100%)</f>
        <v>0</v>
      </c>
      <c r="BE436" s="314"/>
      <c r="BF436" s="451" t="s">
        <v>160</v>
      </c>
      <c r="BG436" s="452" t="str">
        <f>IF(COUNTIF(AO433:AO434,TRUE)=0,"",BH436*AV441)</f>
        <v/>
      </c>
      <c r="BH436" s="452" t="str">
        <f>IF(COUNTIF(AO433:AO434,TRUE)=0,"",AV430*IF(AO433,1,AV432*AN434)*AV433*AV438)</f>
        <v/>
      </c>
      <c r="BJ436" s="314"/>
      <c r="BK436" s="314"/>
      <c r="BL436" s="314"/>
      <c r="BM436" s="314"/>
      <c r="BN436" s="314"/>
      <c r="BO436" s="314"/>
      <c r="BP436" s="314"/>
      <c r="BQ436" s="314"/>
      <c r="BR436" s="314"/>
      <c r="BS436" s="314"/>
      <c r="BT436" s="314"/>
      <c r="BU436" s="314"/>
      <c r="BV436" s="314"/>
      <c r="BW436" s="314"/>
      <c r="BX436" s="314"/>
      <c r="BY436" s="314"/>
      <c r="BZ436" s="314"/>
      <c r="CA436" s="314"/>
      <c r="CB436" s="314"/>
      <c r="CC436" s="314"/>
      <c r="CD436" s="314"/>
      <c r="CE436" s="314"/>
      <c r="CF436" s="314"/>
      <c r="CG436" s="314"/>
      <c r="CH436" s="314"/>
      <c r="CI436" s="314"/>
      <c r="CJ436" s="314"/>
      <c r="CK436" s="314"/>
      <c r="CL436" s="314"/>
      <c r="CM436" s="314"/>
      <c r="CN436" s="314"/>
      <c r="CO436" s="314"/>
      <c r="CP436" s="314"/>
      <c r="CQ436" s="407" t="b">
        <f>OR(CQ430,Y436=EUconst_NA)</f>
        <v>0</v>
      </c>
    </row>
    <row r="437" spans="1:95" ht="12.75" customHeight="1" thickBot="1" x14ac:dyDescent="0.3">
      <c r="A437" s="307"/>
      <c r="B437" s="68"/>
      <c r="C437" s="199" t="s">
        <v>161</v>
      </c>
      <c r="D437" s="344" t="str">
        <f>Translations!$B$613</f>
        <v>non-sust. RFNBO/RCF:</v>
      </c>
      <c r="E437" s="441"/>
      <c r="F437" s="20" t="s">
        <v>158</v>
      </c>
      <c r="G437" s="1261"/>
      <c r="H437" s="1262"/>
      <c r="I437" s="422" t="str">
        <f t="shared" si="122"/>
        <v/>
      </c>
      <c r="J437" s="423"/>
      <c r="K437" s="443"/>
      <c r="L437" s="56"/>
      <c r="M437" s="347" t="str">
        <f>IF(AND(E425&lt;&gt;"",OR(F437="",COUNT(L437)=0),Y437&lt;&gt;EUconst_NA),EUconst_ERR_Incomplete,"")</f>
        <v/>
      </c>
      <c r="N437" s="76"/>
      <c r="O437" s="160"/>
      <c r="P437" s="348"/>
      <c r="Q437" s="413"/>
      <c r="R437" s="413"/>
      <c r="S437" s="314"/>
      <c r="T437" s="425" t="str">
        <f>EUconst_CNTR_RFNBOetcContent&amp;E425</f>
        <v>RNFBOC_</v>
      </c>
      <c r="U437" s="312"/>
      <c r="V437" s="312"/>
      <c r="W437" s="312"/>
      <c r="X437" s="312"/>
      <c r="Y437" s="438" t="str">
        <f>IF(E425="","",IF(OR(F437=EUconst_NA,W437=TRUE),EUconst_NA,INDEX(EUwideConstants!$P$164:$P$200,MATCH(T437,EUwideConstants!$S$164:$S$200,0))))</f>
        <v/>
      </c>
      <c r="Z437" s="314"/>
      <c r="AA437" s="314"/>
      <c r="AB437" s="314"/>
      <c r="AC437" s="429" t="b">
        <f>AND(AC432,Y437&lt;&gt;EUconst_NA)</f>
        <v>0</v>
      </c>
      <c r="AD437" s="314"/>
      <c r="AE437" s="430"/>
      <c r="AF437" s="431"/>
      <c r="AG437" s="432"/>
      <c r="AH437" s="433"/>
      <c r="AI437" s="433"/>
      <c r="AJ437" s="433"/>
      <c r="AK437" s="434"/>
      <c r="AL437" s="326"/>
      <c r="AM437" s="326"/>
      <c r="AN437" s="326"/>
      <c r="AO437" s="326"/>
      <c r="AP437" s="326"/>
      <c r="AQ437" s="435" t="s">
        <v>159</v>
      </c>
      <c r="AR437" s="430"/>
      <c r="AS437" s="436" t="str">
        <f t="shared" si="123"/>
        <v/>
      </c>
      <c r="AT437" s="437"/>
      <c r="AU437" s="438" t="str">
        <f t="shared" si="124"/>
        <v/>
      </c>
      <c r="AV437" s="429">
        <f t="shared" ref="AV437:AV439" si="125">IF(L437&lt;&gt;0,L437,L437)</f>
        <v>0</v>
      </c>
      <c r="AW437" s="407" t="b">
        <f t="shared" si="117"/>
        <v>0</v>
      </c>
      <c r="AX437" s="439" t="b">
        <f t="shared" si="118"/>
        <v>0</v>
      </c>
      <c r="AY437" s="314"/>
      <c r="AZ437" s="408" t="b">
        <f t="shared" si="119"/>
        <v>0</v>
      </c>
      <c r="BA437" s="440" t="b">
        <f t="shared" si="120"/>
        <v>0</v>
      </c>
      <c r="BB437" s="314"/>
      <c r="BC437" s="407" t="b">
        <f t="shared" si="121"/>
        <v>0</v>
      </c>
      <c r="BD437" s="407" t="b">
        <f>OR(AV436&gt;100%,(AV436+AV437)&gt;100%)</f>
        <v>0</v>
      </c>
      <c r="BE437" s="314"/>
      <c r="BF437" s="408" t="s">
        <v>162</v>
      </c>
      <c r="BG437" s="409" t="str">
        <f>IF(COUNTIF(AO433:AO434,TRUE)=0,"",BH437*AV441)</f>
        <v/>
      </c>
      <c r="BH437" s="409" t="str">
        <f>IF(COUNTIF(AO433:AO434,TRUE)=0,"",AV430*IF(AO433,1,AV432*AN434)*AV433*AV439)</f>
        <v/>
      </c>
      <c r="BJ437" s="314"/>
      <c r="BK437" s="314"/>
      <c r="BL437" s="314"/>
      <c r="BM437" s="314"/>
      <c r="BN437" s="314"/>
      <c r="BO437" s="314"/>
      <c r="BP437" s="314"/>
      <c r="BQ437" s="314"/>
      <c r="BR437" s="314"/>
      <c r="BS437" s="314"/>
      <c r="BT437" s="314"/>
      <c r="BU437" s="314"/>
      <c r="BV437" s="314"/>
      <c r="BW437" s="314"/>
      <c r="BX437" s="314"/>
      <c r="BY437" s="314"/>
      <c r="BZ437" s="314"/>
      <c r="CA437" s="314"/>
      <c r="CB437" s="314"/>
      <c r="CC437" s="314"/>
      <c r="CD437" s="314"/>
      <c r="CE437" s="314"/>
      <c r="CF437" s="314"/>
      <c r="CG437" s="314"/>
      <c r="CH437" s="314"/>
      <c r="CI437" s="314"/>
      <c r="CJ437" s="314"/>
      <c r="CK437" s="314"/>
      <c r="CL437" s="314"/>
      <c r="CM437" s="314"/>
      <c r="CN437" s="314"/>
      <c r="CO437" s="314"/>
      <c r="CP437" s="314"/>
      <c r="CQ437" s="407" t="b">
        <f>OR(CQ430,Y437=EUconst_NA)</f>
        <v>0</v>
      </c>
    </row>
    <row r="438" spans="1:95" ht="12.75" customHeight="1" thickBot="1" x14ac:dyDescent="0.3">
      <c r="A438" s="307"/>
      <c r="B438" s="68"/>
      <c r="C438" s="199" t="s">
        <v>163</v>
      </c>
      <c r="D438" s="344" t="str">
        <f>Translations!$B$615</f>
        <v>sust. SLCF:</v>
      </c>
      <c r="E438" s="441"/>
      <c r="F438" s="19" t="s">
        <v>158</v>
      </c>
      <c r="G438" s="1261"/>
      <c r="H438" s="1262"/>
      <c r="I438" s="442" t="str">
        <f t="shared" si="122"/>
        <v/>
      </c>
      <c r="J438" s="411"/>
      <c r="K438" s="443"/>
      <c r="L438" s="57"/>
      <c r="M438" s="347" t="str">
        <f>IF(AND(E425&lt;&gt;"",OR(F438="",COUNT(L438)=0),Y438&lt;&gt;EUconst_NA),EUconst_ERR_Incomplete,"")</f>
        <v/>
      </c>
      <c r="N438" s="76"/>
      <c r="O438" s="160"/>
      <c r="P438" s="348"/>
      <c r="Q438" s="413"/>
      <c r="R438" s="413"/>
      <c r="S438" s="314"/>
      <c r="T438" s="388" t="str">
        <f>EUconst_CNTR_RFNBOetcContent&amp;E425</f>
        <v>RNFBOC_</v>
      </c>
      <c r="U438" s="312"/>
      <c r="V438" s="312"/>
      <c r="W438" s="312"/>
      <c r="X438" s="312"/>
      <c r="Y438" s="447" t="str">
        <f>IF(E425="","",IF(OR(F438=EUconst_NA,W438=TRUE),EUconst_NA,INDEX(EUwideConstants!$P$164:$P$200,MATCH(T438,EUwideConstants!$S$164:$S$200,0))))</f>
        <v/>
      </c>
      <c r="Z438" s="314"/>
      <c r="AA438" s="314"/>
      <c r="AB438" s="314"/>
      <c r="AC438" s="397" t="b">
        <f>AND(AC434,Y438&lt;&gt;EUconst_NA)</f>
        <v>0</v>
      </c>
      <c r="AD438" s="314"/>
      <c r="AE438" s="415"/>
      <c r="AF438" s="416"/>
      <c r="AG438" s="417"/>
      <c r="AH438" s="418"/>
      <c r="AI438" s="418"/>
      <c r="AJ438" s="418"/>
      <c r="AK438" s="419"/>
      <c r="AL438" s="326"/>
      <c r="AM438" s="326"/>
      <c r="AN438" s="326"/>
      <c r="AO438" s="326"/>
      <c r="AP438" s="326"/>
      <c r="AQ438" s="444" t="s">
        <v>159</v>
      </c>
      <c r="AR438" s="415"/>
      <c r="AS438" s="445" t="str">
        <f t="shared" si="123"/>
        <v/>
      </c>
      <c r="AT438" s="446"/>
      <c r="AU438" s="447" t="str">
        <f t="shared" si="124"/>
        <v/>
      </c>
      <c r="AV438" s="397">
        <f t="shared" si="125"/>
        <v>0</v>
      </c>
      <c r="AW438" s="398" t="b">
        <f t="shared" si="117"/>
        <v>0</v>
      </c>
      <c r="AX438" s="448" t="b">
        <f t="shared" si="118"/>
        <v>0</v>
      </c>
      <c r="AY438" s="314"/>
      <c r="AZ438" s="449" t="b">
        <f t="shared" si="119"/>
        <v>0</v>
      </c>
      <c r="BA438" s="450" t="b">
        <f t="shared" si="120"/>
        <v>0</v>
      </c>
      <c r="BB438" s="314"/>
      <c r="BC438" s="398" t="b">
        <f t="shared" si="121"/>
        <v>0</v>
      </c>
      <c r="BD438" s="369" t="b">
        <f>OR(AV438&gt;100%,(AV438+AV439)&gt;100%)</f>
        <v>0</v>
      </c>
      <c r="BE438" s="314"/>
      <c r="BF438" s="451" t="s">
        <v>164</v>
      </c>
      <c r="BG438" s="452">
        <f>IF(AN430=EUconst_TJ,AV430*(1-AV434),IF(AN432=EUconst_GJ,AV430*AV432/1000,0))-SUM(BG439:BG445)</f>
        <v>0</v>
      </c>
      <c r="BH438" s="314"/>
      <c r="BI438" s="314"/>
      <c r="BJ438" s="314"/>
      <c r="BK438" s="314"/>
      <c r="BL438" s="314"/>
      <c r="BM438" s="314"/>
      <c r="BN438" s="314"/>
      <c r="BO438" s="314"/>
      <c r="BP438" s="314"/>
      <c r="BQ438" s="314"/>
      <c r="BR438" s="314"/>
      <c r="BS438" s="314"/>
      <c r="BT438" s="314"/>
      <c r="BU438" s="314"/>
      <c r="BV438" s="314"/>
      <c r="BW438" s="314"/>
      <c r="BX438" s="314"/>
      <c r="BY438" s="314"/>
      <c r="BZ438" s="314"/>
      <c r="CA438" s="314"/>
      <c r="CB438" s="314"/>
      <c r="CC438" s="314"/>
      <c r="CD438" s="314"/>
      <c r="CE438" s="314"/>
      <c r="CF438" s="314"/>
      <c r="CG438" s="314"/>
      <c r="CH438" s="314"/>
      <c r="CI438" s="314"/>
      <c r="CJ438" s="314"/>
      <c r="CK438" s="314"/>
      <c r="CL438" s="314"/>
      <c r="CM438" s="314"/>
      <c r="CN438" s="314"/>
      <c r="CO438" s="314"/>
      <c r="CP438" s="314"/>
      <c r="CQ438" s="407" t="b">
        <f>OR(CQ430,Y438=EUconst_NA)</f>
        <v>0</v>
      </c>
    </row>
    <row r="439" spans="1:95" ht="12.75" customHeight="1" thickBot="1" x14ac:dyDescent="0.3">
      <c r="A439" s="307"/>
      <c r="B439" s="68"/>
      <c r="C439" s="199" t="s">
        <v>165</v>
      </c>
      <c r="D439" s="344" t="str">
        <f>Translations!$B$618</f>
        <v>non-sust. SLCF:</v>
      </c>
      <c r="E439" s="441"/>
      <c r="F439" s="20" t="s">
        <v>158</v>
      </c>
      <c r="G439" s="1261"/>
      <c r="H439" s="1262"/>
      <c r="I439" s="422" t="str">
        <f t="shared" si="122"/>
        <v/>
      </c>
      <c r="J439" s="423"/>
      <c r="K439" s="443"/>
      <c r="L439" s="56"/>
      <c r="M439" s="347" t="str">
        <f>IF(AND(E425&lt;&gt;"",OR(F439="",COUNT(L439)=0),Y439&lt;&gt;EUconst_NA),EUconst_ERR_Incomplete,"")</f>
        <v/>
      </c>
      <c r="N439" s="76"/>
      <c r="O439" s="160"/>
      <c r="P439" s="348"/>
      <c r="Q439" s="413"/>
      <c r="R439" s="413"/>
      <c r="S439" s="314"/>
      <c r="T439" s="425" t="str">
        <f>EUconst_CNTR_RFNBOetcContent&amp;E425</f>
        <v>RNFBOC_</v>
      </c>
      <c r="U439" s="312"/>
      <c r="V439" s="312"/>
      <c r="W439" s="312"/>
      <c r="X439" s="312"/>
      <c r="Y439" s="438" t="str">
        <f>IF(E425="","",IF(OR(F439=EUconst_NA,W439=TRUE),EUconst_NA,INDEX(EUwideConstants!$P$164:$P$200,MATCH(T439,EUwideConstants!$S$164:$S$200,0))))</f>
        <v/>
      </c>
      <c r="Z439" s="314"/>
      <c r="AA439" s="314"/>
      <c r="AB439" s="314"/>
      <c r="AC439" s="429" t="b">
        <f>AND(AC434,Y439&lt;&gt;EUconst_NA)</f>
        <v>0</v>
      </c>
      <c r="AD439" s="314"/>
      <c r="AE439" s="430"/>
      <c r="AF439" s="431"/>
      <c r="AG439" s="432"/>
      <c r="AH439" s="433"/>
      <c r="AI439" s="433"/>
      <c r="AJ439" s="433"/>
      <c r="AK439" s="434"/>
      <c r="AL439" s="326"/>
      <c r="AM439" s="326"/>
      <c r="AN439" s="326"/>
      <c r="AO439" s="326"/>
      <c r="AP439" s="326"/>
      <c r="AQ439" s="435" t="s">
        <v>159</v>
      </c>
      <c r="AR439" s="430"/>
      <c r="AS439" s="436" t="str">
        <f t="shared" si="123"/>
        <v/>
      </c>
      <c r="AT439" s="437"/>
      <c r="AU439" s="438" t="str">
        <f t="shared" si="124"/>
        <v/>
      </c>
      <c r="AV439" s="429">
        <f t="shared" si="125"/>
        <v>0</v>
      </c>
      <c r="AW439" s="407" t="b">
        <f t="shared" si="117"/>
        <v>0</v>
      </c>
      <c r="AX439" s="439" t="b">
        <f t="shared" si="118"/>
        <v>0</v>
      </c>
      <c r="AY439" s="314"/>
      <c r="AZ439" s="408" t="b">
        <f t="shared" si="119"/>
        <v>0</v>
      </c>
      <c r="BA439" s="440" t="b">
        <f t="shared" si="120"/>
        <v>0</v>
      </c>
      <c r="BB439" s="314"/>
      <c r="BC439" s="407" t="b">
        <f t="shared" si="121"/>
        <v>0</v>
      </c>
      <c r="BD439" s="407" t="b">
        <f>OR(AV438&gt;100%,(AV438+AV439)&gt;100%)</f>
        <v>0</v>
      </c>
      <c r="BE439" s="314"/>
      <c r="BF439" s="408" t="s">
        <v>166</v>
      </c>
      <c r="BG439" s="409" t="str">
        <f>IF(AN430=EUconst_TJ,AV430*AV434,IF(AN432=EUconst_GJ,AV430*AV432/1000*AV434,""))</f>
        <v/>
      </c>
      <c r="BH439" s="314"/>
      <c r="BI439" s="314"/>
      <c r="BJ439" s="314"/>
      <c r="BK439" s="314"/>
      <c r="BL439" s="314"/>
      <c r="BM439" s="314"/>
      <c r="BN439" s="314"/>
      <c r="BO439" s="314"/>
      <c r="BP439" s="314"/>
      <c r="BQ439" s="314"/>
      <c r="BR439" s="314"/>
      <c r="BS439" s="314"/>
      <c r="BT439" s="314"/>
      <c r="BU439" s="314"/>
      <c r="BV439" s="314"/>
      <c r="BW439" s="314"/>
      <c r="BX439" s="314"/>
      <c r="BY439" s="314"/>
      <c r="BZ439" s="314"/>
      <c r="CA439" s="314"/>
      <c r="CB439" s="314"/>
      <c r="CC439" s="314"/>
      <c r="CD439" s="314"/>
      <c r="CE439" s="314"/>
      <c r="CF439" s="314"/>
      <c r="CG439" s="314"/>
      <c r="CH439" s="314"/>
      <c r="CI439" s="314"/>
      <c r="CJ439" s="314"/>
      <c r="CK439" s="314"/>
      <c r="CL439" s="314"/>
      <c r="CM439" s="314"/>
      <c r="CN439" s="314"/>
      <c r="CO439" s="314"/>
      <c r="CP439" s="314"/>
      <c r="CQ439" s="407" t="b">
        <f>OR(CQ430,Y439=EUconst_NA)</f>
        <v>0</v>
      </c>
    </row>
    <row r="440" spans="1:95" ht="5.15" customHeight="1" thickBot="1" x14ac:dyDescent="0.3">
      <c r="A440" s="307"/>
      <c r="B440" s="68"/>
      <c r="C440" s="68"/>
      <c r="D440" s="205"/>
      <c r="E440" s="76"/>
      <c r="F440" s="76"/>
      <c r="G440" s="76"/>
      <c r="H440" s="76"/>
      <c r="I440" s="76"/>
      <c r="J440" s="76"/>
      <c r="K440" s="76"/>
      <c r="L440" s="76"/>
      <c r="M440" s="453"/>
      <c r="N440" s="76"/>
      <c r="O440" s="160"/>
      <c r="P440" s="109"/>
      <c r="Q440" s="312"/>
      <c r="R440" s="312"/>
      <c r="S440" s="314"/>
      <c r="T440" s="314"/>
      <c r="U440" s="314"/>
      <c r="V440" s="314"/>
      <c r="W440" s="314"/>
      <c r="X440" s="314"/>
      <c r="Y440" s="314"/>
      <c r="Z440" s="314"/>
      <c r="AA440" s="314"/>
      <c r="AB440" s="314"/>
      <c r="AC440" s="314"/>
      <c r="AD440" s="314"/>
      <c r="AE440" s="314"/>
      <c r="AF440" s="314"/>
      <c r="AG440" s="314"/>
      <c r="AH440" s="314"/>
      <c r="AI440" s="314"/>
      <c r="AJ440" s="314"/>
      <c r="AK440" s="314"/>
      <c r="AL440" s="314"/>
      <c r="AM440" s="314"/>
      <c r="AN440" s="314"/>
      <c r="AO440" s="314"/>
      <c r="AP440" s="314"/>
      <c r="AQ440" s="314"/>
      <c r="AR440" s="314"/>
      <c r="AS440" s="314"/>
      <c r="AT440" s="314"/>
      <c r="AU440" s="314"/>
      <c r="AV440" s="314"/>
      <c r="AW440" s="314"/>
      <c r="AX440" s="314"/>
      <c r="AY440" s="314"/>
      <c r="AZ440" s="314"/>
      <c r="BA440" s="314"/>
      <c r="BB440" s="314"/>
      <c r="BC440" s="314"/>
      <c r="BD440" s="314"/>
      <c r="BE440" s="314"/>
      <c r="BF440" s="314"/>
      <c r="BG440" s="364"/>
      <c r="BH440" s="314"/>
      <c r="BI440" s="314"/>
      <c r="BJ440" s="314"/>
      <c r="BK440" s="314"/>
      <c r="BL440" s="314"/>
      <c r="BM440" s="314"/>
      <c r="BN440" s="314"/>
      <c r="BO440" s="314"/>
      <c r="BP440" s="314"/>
      <c r="BQ440" s="314"/>
      <c r="BR440" s="314"/>
      <c r="BS440" s="314"/>
      <c r="BT440" s="314"/>
      <c r="BU440" s="314"/>
      <c r="BV440" s="314"/>
      <c r="BW440" s="314"/>
      <c r="BX440" s="314"/>
      <c r="BY440" s="314"/>
      <c r="BZ440" s="314"/>
      <c r="CA440" s="314"/>
      <c r="CB440" s="314"/>
      <c r="CC440" s="314"/>
      <c r="CD440" s="314"/>
      <c r="CE440" s="314"/>
      <c r="CF440" s="314"/>
      <c r="CG440" s="314"/>
      <c r="CH440" s="314"/>
      <c r="CI440" s="314"/>
      <c r="CJ440" s="314"/>
      <c r="CK440" s="314"/>
      <c r="CL440" s="314"/>
      <c r="CM440" s="314"/>
      <c r="CN440" s="314"/>
      <c r="CO440" s="314"/>
      <c r="CP440" s="314"/>
      <c r="CQ440" s="314"/>
    </row>
    <row r="441" spans="1:95" ht="12.75" customHeight="1" thickBot="1" x14ac:dyDescent="0.3">
      <c r="A441" s="307"/>
      <c r="B441" s="68"/>
      <c r="C441" s="199" t="s">
        <v>167</v>
      </c>
      <c r="D441" s="344" t="str">
        <f>Translations!$B$398</f>
        <v>Scope factor:</v>
      </c>
      <c r="E441" s="454"/>
      <c r="F441" s="992"/>
      <c r="G441" s="1263"/>
      <c r="H441" s="1264"/>
      <c r="I441" s="455" t="s">
        <v>46</v>
      </c>
      <c r="J441" s="456"/>
      <c r="K441" s="457" t="str">
        <f>IF(L441="",AU441,"")</f>
        <v/>
      </c>
      <c r="L441" s="16"/>
      <c r="M441" s="458" t="str">
        <f>IF(AND(E425&lt;&gt;"",OR(F441="",G441="",COUNT(K441:L441)=0)),EUconst_ERR_Incomplete,IF(COUNTIF(BB441:BD441,TRUE)&gt;0,EUconst_ERR_Inconsistent,""))</f>
        <v/>
      </c>
      <c r="N441" s="76"/>
      <c r="O441" s="160"/>
      <c r="P441" s="109"/>
      <c r="Q441" s="312"/>
      <c r="R441" s="314"/>
      <c r="S441" s="297"/>
      <c r="T441" s="459" t="str">
        <f>EUconst_CNTR_ScopeFactor&amp;E425</f>
        <v>ScopeFactor_</v>
      </c>
      <c r="U441" s="231" t="str">
        <f>IF(F441="","",INDEX(ScopeAddress,MATCH(F441,ScopeTiers,0)))</f>
        <v/>
      </c>
      <c r="V441" s="360" t="str">
        <f>V430</f>
        <v/>
      </c>
      <c r="W441" s="314"/>
      <c r="X441" s="314"/>
      <c r="Y441" s="460" t="str">
        <f>IF(E425="","",IF(F441=EUconst_NA,EUconst_NA,INDEX(EUwideConstants!$P$164:$P$200,MATCH(T441,EUwideConstants!$S$164:$S$200,0))))</f>
        <v/>
      </c>
      <c r="Z441" s="461" t="str">
        <f>IF(ISBLANK(F441),"",IF(F441=EUconst_NA,"",INDEX(EUwideConstants!$H:$O,MATCH(T441,EUwideConstants!$S:$S,0),MATCH(F441,CNTR_TierList,0))))</f>
        <v/>
      </c>
      <c r="AA441" s="331" t="str">
        <f>IF(G441=EUwideConstants!$A$89,1,"")</f>
        <v/>
      </c>
      <c r="AB441" s="314"/>
      <c r="AC441" s="331" t="b">
        <f>AND(AC430,Y441&lt;&gt;EUconst_NA)</f>
        <v>0</v>
      </c>
      <c r="AD441" s="314"/>
      <c r="AE441" s="314"/>
      <c r="AF441" s="314"/>
      <c r="AG441" s="319"/>
      <c r="AH441" s="314"/>
      <c r="AI441" s="314"/>
      <c r="AJ441" s="314"/>
      <c r="AK441" s="314"/>
      <c r="AL441" s="314"/>
      <c r="AM441" s="314"/>
      <c r="AN441" s="314"/>
      <c r="AO441" s="314"/>
      <c r="AP441" s="314"/>
      <c r="AQ441" s="314"/>
      <c r="AR441" s="314"/>
      <c r="AS441" s="328">
        <v>1</v>
      </c>
      <c r="AT441" s="314"/>
      <c r="AU441" s="319" t="str">
        <f>IF(G441=EUwideConstants!$A$89,AS441,"")</f>
        <v/>
      </c>
      <c r="AV441" s="331">
        <f>IF(AC441=TRUE,IF(COUNT(K441:L441)=0,0,IF(L441="",K441,L441)),0)</f>
        <v>0</v>
      </c>
      <c r="AW441" s="360" t="b">
        <f>AND(AC441=TRUE,OR(AND(F441&lt;&gt;"",NOT(ISNUMBER(AA441))),L441&lt;&gt;"",F441="",AU441=""))</f>
        <v>0</v>
      </c>
      <c r="AX441" s="357" t="b">
        <f>AND(AC441=TRUE,NOT(AW441))</f>
        <v>0</v>
      </c>
      <c r="AY441" s="314"/>
      <c r="AZ441" s="361" t="b">
        <f>AND(ISNUMBER(AA441),AU441="")</f>
        <v>0</v>
      </c>
      <c r="BA441" s="351" t="b">
        <f>AND(ISNUMBER(AA441),AU441&lt;&gt;AV441)</f>
        <v>0</v>
      </c>
      <c r="BB441" s="314"/>
      <c r="BC441" s="360" t="b">
        <f>AND(F441&lt;&gt;"",OR(COUNTIF(INDEX(ScopeMethods,F441,),G441)=0,AND(AA441&lt;&gt;"",AU441&lt;&gt;AV441)))</f>
        <v>0</v>
      </c>
      <c r="BD441" s="314"/>
      <c r="BE441" s="314"/>
      <c r="BF441" s="361" t="s">
        <v>168</v>
      </c>
      <c r="BG441" s="362" t="str">
        <f>IF(AN430=EUconst_TJ,AV430*AV436,IF(AN432=EUconst_GJ,AV430*AV432/1000*AV436,""))</f>
        <v/>
      </c>
      <c r="BH441" s="314"/>
      <c r="BI441" s="314"/>
      <c r="BJ441" s="314"/>
      <c r="BK441" s="314"/>
      <c r="BL441" s="314"/>
      <c r="BM441" s="314"/>
      <c r="BN441" s="314"/>
      <c r="BO441" s="314"/>
      <c r="BP441" s="314"/>
      <c r="BQ441" s="314"/>
      <c r="BR441" s="314"/>
      <c r="BS441" s="314"/>
      <c r="BT441" s="314"/>
      <c r="BU441" s="314"/>
      <c r="BV441" s="314"/>
      <c r="BW441" s="314"/>
      <c r="BX441" s="314"/>
      <c r="BY441" s="314"/>
      <c r="BZ441" s="314"/>
      <c r="CA441" s="314"/>
      <c r="CB441" s="314"/>
      <c r="CC441" s="314"/>
      <c r="CD441" s="314"/>
      <c r="CE441" s="314"/>
      <c r="CF441" s="314"/>
      <c r="CG441" s="314"/>
      <c r="CH441" s="314"/>
      <c r="CI441" s="314"/>
      <c r="CJ441" s="314"/>
      <c r="CK441" s="314"/>
      <c r="CL441" s="314"/>
      <c r="CM441" s="314"/>
      <c r="CN441" s="314"/>
      <c r="CO441" s="314"/>
      <c r="CP441" s="314"/>
      <c r="CQ441" s="314"/>
    </row>
    <row r="442" spans="1:95" ht="12.75" customHeight="1" x14ac:dyDescent="0.25">
      <c r="A442" s="307"/>
      <c r="B442" s="68"/>
      <c r="C442" s="68"/>
      <c r="D442" s="68"/>
      <c r="E442" s="68"/>
      <c r="F442" s="68"/>
      <c r="G442" s="1265" t="str">
        <f>IF(G441="","",INDEX(ScopeMethodsDetails,MATCH(G441,INDEX(ScopeMethodsDetails,,1),0),2))</f>
        <v/>
      </c>
      <c r="H442" s="1266"/>
      <c r="I442" s="1266"/>
      <c r="J442" s="1266"/>
      <c r="K442" s="1266"/>
      <c r="L442" s="1266"/>
      <c r="M442" s="1267"/>
      <c r="N442" s="76"/>
      <c r="O442" s="160"/>
      <c r="P442" s="109"/>
      <c r="Q442" s="312"/>
      <c r="R442" s="312"/>
      <c r="S442" s="314"/>
      <c r="T442" s="314"/>
      <c r="U442" s="314"/>
      <c r="V442" s="314"/>
      <c r="W442" s="314"/>
      <c r="X442" s="314"/>
      <c r="Y442" s="314"/>
      <c r="Z442" s="314"/>
      <c r="AA442" s="314"/>
      <c r="AB442" s="314"/>
      <c r="AC442" s="314"/>
      <c r="AD442" s="314"/>
      <c r="AE442" s="314"/>
      <c r="AF442" s="314"/>
      <c r="AG442" s="314"/>
      <c r="AH442" s="314"/>
      <c r="AI442" s="314"/>
      <c r="AJ442" s="314"/>
      <c r="AK442" s="314"/>
      <c r="AL442" s="314"/>
      <c r="AM442" s="314"/>
      <c r="AN442" s="314"/>
      <c r="AO442" s="314"/>
      <c r="AP442" s="314"/>
      <c r="AQ442" s="314"/>
      <c r="AR442" s="314"/>
      <c r="AS442" s="314"/>
      <c r="AT442" s="314"/>
      <c r="AU442" s="314"/>
      <c r="AV442" s="314"/>
      <c r="AW442" s="314"/>
      <c r="AX442" s="314"/>
      <c r="AY442" s="314"/>
      <c r="AZ442" s="314"/>
      <c r="BA442" s="314"/>
      <c r="BB442" s="314"/>
      <c r="BC442" s="314"/>
      <c r="BD442" s="314"/>
      <c r="BE442" s="314"/>
      <c r="BG442" s="364"/>
      <c r="BH442" s="314"/>
      <c r="BI442" s="314"/>
      <c r="BJ442" s="314"/>
      <c r="BK442" s="314"/>
      <c r="BL442" s="314"/>
      <c r="BM442" s="314"/>
      <c r="BN442" s="314"/>
      <c r="BO442" s="314"/>
      <c r="BP442" s="314"/>
      <c r="BQ442" s="314"/>
      <c r="BR442" s="314"/>
      <c r="BS442" s="314"/>
      <c r="BT442" s="314"/>
      <c r="BU442" s="314"/>
      <c r="BV442" s="314"/>
      <c r="BW442" s="314"/>
      <c r="BX442" s="314"/>
      <c r="BY442" s="314"/>
      <c r="BZ442" s="314"/>
      <c r="CA442" s="314"/>
      <c r="CB442" s="314"/>
      <c r="CC442" s="314"/>
      <c r="CD442" s="314"/>
      <c r="CE442" s="314"/>
      <c r="CF442" s="314"/>
      <c r="CG442" s="314"/>
      <c r="CH442" s="314"/>
      <c r="CI442" s="314"/>
      <c r="CJ442" s="314"/>
      <c r="CK442" s="314"/>
      <c r="CL442" s="314"/>
      <c r="CM442" s="314"/>
      <c r="CN442" s="314"/>
      <c r="CO442" s="314"/>
      <c r="CP442" s="314"/>
      <c r="CQ442" s="314"/>
    </row>
    <row r="443" spans="1:95" ht="5.15" customHeight="1" x14ac:dyDescent="0.25">
      <c r="A443" s="307"/>
      <c r="C443" s="76"/>
      <c r="D443" s="76"/>
      <c r="E443" s="76"/>
      <c r="F443" s="76"/>
      <c r="G443" s="76"/>
      <c r="H443" s="76"/>
      <c r="I443" s="76"/>
      <c r="J443" s="76"/>
      <c r="K443" s="76"/>
      <c r="L443" s="76"/>
      <c r="O443" s="160"/>
      <c r="P443" s="109"/>
      <c r="Q443" s="312"/>
      <c r="R443" s="312"/>
      <c r="S443" s="314"/>
      <c r="T443" s="314"/>
      <c r="U443" s="314"/>
      <c r="V443" s="314"/>
      <c r="W443" s="314"/>
      <c r="X443" s="314"/>
      <c r="Y443" s="314"/>
      <c r="Z443" s="314"/>
      <c r="AA443" s="314"/>
      <c r="AB443" s="314"/>
      <c r="AC443" s="314"/>
      <c r="AD443" s="314"/>
      <c r="AE443" s="314"/>
      <c r="AF443" s="314"/>
      <c r="AG443" s="314"/>
      <c r="AH443" s="314"/>
      <c r="AI443" s="314"/>
      <c r="AJ443" s="314"/>
      <c r="AK443" s="314"/>
      <c r="AL443" s="314"/>
      <c r="AM443" s="314"/>
      <c r="AN443" s="314"/>
      <c r="AO443" s="314"/>
      <c r="AP443" s="314"/>
      <c r="AQ443" s="314"/>
      <c r="AR443" s="314"/>
      <c r="AS443" s="314"/>
      <c r="AT443" s="314"/>
      <c r="AU443" s="314"/>
      <c r="AV443" s="314"/>
      <c r="AW443" s="314"/>
      <c r="AX443" s="314"/>
      <c r="AY443" s="314"/>
      <c r="AZ443" s="314"/>
      <c r="BA443" s="314"/>
      <c r="BB443" s="314"/>
      <c r="BC443" s="314"/>
      <c r="BD443" s="314"/>
      <c r="BE443" s="314"/>
      <c r="BG443" s="364"/>
      <c r="BH443" s="314"/>
      <c r="BI443" s="314"/>
      <c r="BJ443" s="314"/>
      <c r="BK443" s="314"/>
      <c r="BL443" s="314"/>
      <c r="BM443" s="314"/>
      <c r="BN443" s="314"/>
      <c r="BO443" s="314"/>
      <c r="BP443" s="314"/>
      <c r="BQ443" s="314"/>
      <c r="BR443" s="314"/>
      <c r="BS443" s="314"/>
      <c r="BT443" s="314"/>
      <c r="BU443" s="314"/>
      <c r="BV443" s="314"/>
      <c r="BW443" s="314"/>
      <c r="BX443" s="314"/>
      <c r="BY443" s="314"/>
      <c r="BZ443" s="314"/>
      <c r="CA443" s="314"/>
      <c r="CB443" s="314"/>
      <c r="CC443" s="314"/>
      <c r="CD443" s="314"/>
      <c r="CE443" s="314"/>
      <c r="CF443" s="314"/>
      <c r="CG443" s="314"/>
      <c r="CH443" s="314"/>
      <c r="CI443" s="314"/>
      <c r="CJ443" s="314"/>
      <c r="CK443" s="314"/>
      <c r="CL443" s="314"/>
      <c r="CM443" s="314"/>
      <c r="CN443" s="314"/>
      <c r="CO443" s="314"/>
      <c r="CP443" s="314"/>
      <c r="CQ443" s="314"/>
    </row>
    <row r="444" spans="1:95" ht="12.75" customHeight="1" thickBot="1" x14ac:dyDescent="0.3">
      <c r="A444" s="307"/>
      <c r="C444" s="76"/>
      <c r="D444" s="76"/>
      <c r="E444" s="76"/>
      <c r="F444" s="76"/>
      <c r="G444" s="1268">
        <v>1</v>
      </c>
      <c r="H444" s="1268"/>
      <c r="I444" s="1268">
        <v>2</v>
      </c>
      <c r="J444" s="1268"/>
      <c r="K444" s="1268">
        <v>3</v>
      </c>
      <c r="L444" s="1268"/>
      <c r="O444" s="160"/>
      <c r="P444" s="109"/>
      <c r="Q444" s="312"/>
      <c r="R444" s="312"/>
      <c r="S444" s="314"/>
      <c r="T444" s="314"/>
      <c r="U444" s="314"/>
      <c r="V444" s="314"/>
      <c r="W444" s="314"/>
      <c r="X444" s="314"/>
      <c r="Y444" s="314"/>
      <c r="Z444" s="314"/>
      <c r="AA444" s="314"/>
      <c r="AB444" s="314"/>
      <c r="AC444" s="314"/>
      <c r="AD444" s="314"/>
      <c r="AE444" s="314"/>
      <c r="AF444" s="314"/>
      <c r="AG444" s="314"/>
      <c r="AH444" s="314"/>
      <c r="AI444" s="314"/>
      <c r="AJ444" s="314"/>
      <c r="AK444" s="314"/>
      <c r="AL444" s="314"/>
      <c r="AM444" s="314"/>
      <c r="AN444" s="314"/>
      <c r="AO444" s="314"/>
      <c r="AP444" s="314"/>
      <c r="AQ444" s="314"/>
      <c r="AR444" s="314"/>
      <c r="AS444" s="314"/>
      <c r="AT444" s="314"/>
      <c r="AU444" s="314"/>
      <c r="AV444" s="314"/>
      <c r="AW444" s="314"/>
      <c r="AX444" s="314"/>
      <c r="AY444" s="314"/>
      <c r="AZ444" s="314"/>
      <c r="BA444" s="314"/>
      <c r="BB444" s="314"/>
      <c r="BC444" s="314"/>
      <c r="BD444" s="314"/>
      <c r="BE444" s="314"/>
      <c r="BF444" s="314"/>
      <c r="BG444" s="364"/>
      <c r="BH444" s="314"/>
      <c r="BI444" s="314"/>
      <c r="BJ444" s="314"/>
      <c r="BK444" s="314"/>
      <c r="BL444" s="314"/>
      <c r="BM444" s="314"/>
      <c r="BN444" s="314"/>
      <c r="BO444" s="314"/>
      <c r="BP444" s="314"/>
      <c r="BQ444" s="314"/>
      <c r="BR444" s="314"/>
      <c r="BS444" s="314"/>
      <c r="BT444" s="314"/>
      <c r="BU444" s="314"/>
      <c r="BV444" s="314"/>
      <c r="BW444" s="314"/>
      <c r="BX444" s="314"/>
      <c r="BY444" s="314"/>
      <c r="BZ444" s="314"/>
      <c r="CA444" s="314"/>
      <c r="CB444" s="314"/>
      <c r="CC444" s="314"/>
      <c r="CD444" s="314"/>
      <c r="CE444" s="314"/>
      <c r="CF444" s="314"/>
      <c r="CG444" s="314"/>
      <c r="CH444" s="314"/>
      <c r="CI444" s="314"/>
      <c r="CJ444" s="314"/>
      <c r="CK444" s="314"/>
      <c r="CL444" s="314"/>
      <c r="CM444" s="314"/>
      <c r="CN444" s="314"/>
      <c r="CO444" s="314"/>
      <c r="CP444" s="314"/>
      <c r="CQ444" s="314"/>
    </row>
    <row r="445" spans="1:95" ht="12.75" customHeight="1" thickBot="1" x14ac:dyDescent="0.3">
      <c r="A445" s="462"/>
      <c r="B445" s="76"/>
      <c r="C445" s="76"/>
      <c r="D445" s="1246" t="str">
        <f>Translations!$B$372</f>
        <v>Consumers' CRF category:</v>
      </c>
      <c r="E445" s="1246"/>
      <c r="F445" s="1247"/>
      <c r="G445" s="1248"/>
      <c r="H445" s="1249"/>
      <c r="I445" s="1248"/>
      <c r="J445" s="1249"/>
      <c r="K445" s="1248"/>
      <c r="L445" s="1249"/>
      <c r="M445" s="463" t="str">
        <f>IF(AND(E424&lt;&gt;"",COUNTA(G445:L445)=0,AX445=FALSE),EUconst_ERR_Incomplete,"")</f>
        <v/>
      </c>
      <c r="N445" s="76"/>
      <c r="O445" s="160"/>
      <c r="P445" s="109"/>
      <c r="Q445" s="312"/>
      <c r="R445" s="312"/>
      <c r="S445" s="314"/>
      <c r="T445" s="314"/>
      <c r="U445" s="314"/>
      <c r="V445" s="314"/>
      <c r="W445" s="314"/>
      <c r="X445" s="314"/>
      <c r="Y445" s="314"/>
      <c r="Z445" s="314"/>
      <c r="AA445" s="314"/>
      <c r="AB445" s="314"/>
      <c r="AC445" s="314"/>
      <c r="AD445" s="314"/>
      <c r="AE445" s="314"/>
      <c r="AF445" s="314"/>
      <c r="AG445" s="314"/>
      <c r="AH445" s="314"/>
      <c r="AI445" s="314"/>
      <c r="AJ445" s="314"/>
      <c r="AK445" s="314"/>
      <c r="AL445" s="314"/>
      <c r="AM445" s="314"/>
      <c r="AN445" s="314"/>
      <c r="AO445" s="314"/>
      <c r="AP445" s="314"/>
      <c r="AQ445" s="314"/>
      <c r="AR445" s="314"/>
      <c r="AS445" s="314"/>
      <c r="AT445" s="314"/>
      <c r="AU445" s="314"/>
      <c r="AV445" s="314"/>
      <c r="AW445" s="314"/>
      <c r="AX445" s="464" t="b">
        <f>AND(AV441&lt;&gt;"",SUM(AV441=1))</f>
        <v>0</v>
      </c>
      <c r="AY445" s="314"/>
      <c r="AZ445" s="314"/>
      <c r="BA445" s="314"/>
      <c r="BB445" s="314"/>
      <c r="BC445" s="314"/>
      <c r="BD445" s="314"/>
      <c r="BE445" s="314"/>
      <c r="BF445" s="361" t="s">
        <v>169</v>
      </c>
      <c r="BG445" s="362" t="str">
        <f>IF(AN430=EUconst_TJ,AV430*AV438,IF(AN432=EUconst_GJ,AV430*AV432/1000*AV438,""))</f>
        <v/>
      </c>
      <c r="BH445" s="314"/>
      <c r="BI445" s="314"/>
      <c r="BJ445" s="314"/>
      <c r="BK445" s="314"/>
      <c r="BL445" s="314"/>
      <c r="BM445" s="314"/>
      <c r="BN445" s="314"/>
      <c r="BO445" s="314"/>
      <c r="BP445" s="314"/>
      <c r="BQ445" s="314"/>
      <c r="BR445" s="314"/>
      <c r="BS445" s="314"/>
      <c r="BT445" s="314"/>
      <c r="BU445" s="314"/>
      <c r="BV445" s="314"/>
      <c r="BW445" s="314"/>
      <c r="BX445" s="314"/>
      <c r="BY445" s="314"/>
      <c r="BZ445" s="314"/>
      <c r="CA445" s="314"/>
      <c r="CB445" s="314"/>
      <c r="CC445" s="314"/>
      <c r="CD445" s="314"/>
      <c r="CE445" s="314"/>
      <c r="CF445" s="314"/>
      <c r="CG445" s="314"/>
      <c r="CH445" s="314"/>
      <c r="CI445" s="314"/>
      <c r="CJ445" s="314"/>
      <c r="CK445" s="314"/>
      <c r="CL445" s="314"/>
      <c r="CM445" s="314"/>
      <c r="CN445" s="314"/>
      <c r="CO445" s="314"/>
      <c r="CP445" s="314"/>
      <c r="CQ445" s="314"/>
    </row>
    <row r="446" spans="1:95" ht="5.15" customHeight="1" x14ac:dyDescent="0.25">
      <c r="A446" s="307"/>
      <c r="B446" s="68"/>
      <c r="C446" s="68"/>
      <c r="D446" s="68"/>
      <c r="E446" s="68"/>
      <c r="F446" s="68"/>
      <c r="G446" s="76"/>
      <c r="H446" s="76"/>
      <c r="I446" s="76"/>
      <c r="J446" s="76"/>
      <c r="K446" s="76"/>
      <c r="L446" s="76"/>
      <c r="M446" s="76"/>
      <c r="N446" s="76"/>
      <c r="O446" s="160"/>
      <c r="P446" s="109"/>
      <c r="Q446" s="312"/>
      <c r="R446" s="312"/>
      <c r="S446" s="314"/>
      <c r="T446" s="314"/>
      <c r="U446" s="314"/>
      <c r="V446" s="314"/>
      <c r="W446" s="314"/>
      <c r="X446" s="314"/>
      <c r="Y446" s="314"/>
      <c r="Z446" s="314"/>
      <c r="AA446" s="314"/>
      <c r="AB446" s="314"/>
      <c r="AC446" s="314"/>
      <c r="AD446" s="314"/>
      <c r="AE446" s="314"/>
      <c r="AF446" s="314"/>
      <c r="AG446" s="314"/>
      <c r="AH446" s="314"/>
      <c r="AI446" s="314"/>
      <c r="AJ446" s="314"/>
      <c r="AK446" s="314"/>
      <c r="AL446" s="314"/>
      <c r="AM446" s="314"/>
      <c r="AN446" s="314"/>
      <c r="AO446" s="314"/>
      <c r="AP446" s="314"/>
      <c r="AQ446" s="314"/>
      <c r="AR446" s="314"/>
      <c r="AS446" s="314"/>
      <c r="AT446" s="314"/>
      <c r="AU446" s="314"/>
      <c r="AV446" s="314"/>
      <c r="AW446" s="314"/>
      <c r="AX446" s="314"/>
      <c r="AY446" s="314"/>
      <c r="AZ446" s="314"/>
      <c r="BA446" s="314"/>
      <c r="BB446" s="314"/>
      <c r="BC446" s="314"/>
      <c r="BD446" s="314"/>
      <c r="BE446" s="314"/>
      <c r="BF446" s="314"/>
      <c r="BG446" s="314"/>
      <c r="BH446" s="314"/>
      <c r="BI446" s="314"/>
      <c r="BJ446" s="314"/>
      <c r="BK446" s="314"/>
      <c r="BL446" s="314"/>
      <c r="BM446" s="314"/>
      <c r="BN446" s="314"/>
      <c r="BO446" s="314"/>
      <c r="BP446" s="314"/>
      <c r="BQ446" s="314"/>
      <c r="BR446" s="314"/>
      <c r="BS446" s="314"/>
      <c r="BT446" s="314"/>
      <c r="BU446" s="314"/>
      <c r="BV446" s="314"/>
      <c r="BW446" s="314"/>
      <c r="BX446" s="314"/>
      <c r="BY446" s="314"/>
      <c r="BZ446" s="314"/>
      <c r="CA446" s="314"/>
      <c r="CB446" s="314"/>
      <c r="CC446" s="314"/>
      <c r="CD446" s="314"/>
      <c r="CE446" s="314"/>
      <c r="CF446" s="314"/>
      <c r="CG446" s="314"/>
      <c r="CH446" s="314"/>
      <c r="CI446" s="314"/>
      <c r="CJ446" s="314"/>
      <c r="CK446" s="314"/>
      <c r="CL446" s="314"/>
      <c r="CM446" s="314"/>
      <c r="CN446" s="314"/>
      <c r="CO446" s="314"/>
      <c r="CP446" s="314"/>
      <c r="CQ446" s="314"/>
    </row>
    <row r="447" spans="1:95" ht="12.75" customHeight="1" x14ac:dyDescent="0.25">
      <c r="A447" s="307"/>
      <c r="B447" s="68"/>
      <c r="C447" s="68"/>
      <c r="D447" s="1246" t="str">
        <f>Translations!$B$399</f>
        <v>Tiers valid from:</v>
      </c>
      <c r="E447" s="1246"/>
      <c r="F447" s="1247"/>
      <c r="G447" s="8"/>
      <c r="H447" s="199" t="str">
        <f>Translations!$B$400</f>
        <v>until:</v>
      </c>
      <c r="I447" s="8"/>
      <c r="J447" s="76"/>
      <c r="K447" s="76"/>
      <c r="L447" s="76"/>
      <c r="M447" s="199" t="str">
        <f>Translations!$B$401</f>
        <v>ID used in the monitoring plan for this fuel stream:</v>
      </c>
      <c r="N447" s="9"/>
      <c r="O447" s="160"/>
      <c r="P447" s="109"/>
      <c r="Q447" s="312"/>
      <c r="R447" s="312"/>
      <c r="S447" s="465"/>
      <c r="T447" s="314"/>
      <c r="U447" s="314"/>
      <c r="V447" s="314"/>
      <c r="W447" s="314"/>
      <c r="X447" s="314"/>
      <c r="Y447" s="314"/>
      <c r="Z447" s="314"/>
      <c r="AA447" s="314"/>
      <c r="AB447" s="314"/>
      <c r="AC447" s="314"/>
      <c r="AD447" s="314"/>
      <c r="AE447" s="314"/>
      <c r="AF447" s="314"/>
      <c r="AG447" s="314"/>
      <c r="AH447" s="314"/>
      <c r="AI447" s="314"/>
      <c r="AJ447" s="314"/>
      <c r="AK447" s="314"/>
      <c r="AL447" s="314"/>
      <c r="AM447" s="314"/>
      <c r="AN447" s="314"/>
      <c r="AO447" s="314"/>
      <c r="AP447" s="314"/>
      <c r="AQ447" s="314"/>
      <c r="AR447" s="314"/>
      <c r="AS447" s="314"/>
      <c r="AT447" s="314"/>
      <c r="AU447" s="314"/>
      <c r="AV447" s="314"/>
      <c r="AW447" s="314"/>
      <c r="AX447" s="314"/>
      <c r="AY447" s="314"/>
      <c r="AZ447" s="314"/>
      <c r="BA447" s="314"/>
      <c r="BB447" s="314"/>
      <c r="BC447" s="314"/>
      <c r="BD447" s="314"/>
      <c r="BE447" s="314"/>
      <c r="BF447" s="314"/>
      <c r="BG447" s="314"/>
      <c r="BH447" s="314"/>
      <c r="BI447" s="314"/>
      <c r="BJ447" s="314"/>
      <c r="BK447" s="314"/>
      <c r="BL447" s="314"/>
      <c r="BM447" s="314"/>
      <c r="BN447" s="314"/>
      <c r="BO447" s="314"/>
      <c r="BP447" s="314"/>
      <c r="BQ447" s="314"/>
      <c r="BR447" s="314"/>
      <c r="BS447" s="314"/>
      <c r="BT447" s="314"/>
      <c r="BU447" s="314"/>
      <c r="BV447" s="314"/>
      <c r="BW447" s="314"/>
      <c r="BX447" s="314"/>
      <c r="BY447" s="314"/>
      <c r="BZ447" s="314"/>
      <c r="CA447" s="314"/>
      <c r="CB447" s="314"/>
      <c r="CC447" s="314"/>
      <c r="CD447" s="314"/>
      <c r="CE447" s="314"/>
      <c r="CF447" s="314"/>
      <c r="CG447" s="314"/>
      <c r="CH447" s="314"/>
      <c r="CI447" s="314"/>
      <c r="CJ447" s="314"/>
      <c r="CK447" s="314"/>
      <c r="CL447" s="314"/>
      <c r="CM447" s="314"/>
      <c r="CN447" s="314"/>
      <c r="CO447" s="314"/>
      <c r="CP447" s="314"/>
      <c r="CQ447" s="464" t="b">
        <f>CQ430</f>
        <v>0</v>
      </c>
    </row>
    <row r="448" spans="1:95" ht="5.15" customHeight="1" x14ac:dyDescent="0.25">
      <c r="A448" s="462"/>
      <c r="B448" s="76"/>
      <c r="C448" s="76"/>
      <c r="D448" s="76"/>
      <c r="E448" s="76"/>
      <c r="F448" s="76"/>
      <c r="G448" s="76"/>
      <c r="H448" s="76"/>
      <c r="I448" s="76"/>
      <c r="J448" s="76"/>
      <c r="K448" s="76"/>
      <c r="L448" s="76"/>
      <c r="M448" s="76"/>
      <c r="N448" s="76"/>
      <c r="O448" s="160"/>
      <c r="P448" s="109"/>
      <c r="Q448" s="312"/>
      <c r="R448" s="312"/>
      <c r="S448" s="314"/>
      <c r="T448" s="314"/>
      <c r="U448" s="314"/>
      <c r="V448" s="314"/>
      <c r="W448" s="314"/>
      <c r="X448" s="314"/>
      <c r="Y448" s="314"/>
      <c r="Z448" s="314"/>
      <c r="AA448" s="314"/>
      <c r="AB448" s="314"/>
      <c r="AC448" s="314"/>
      <c r="AD448" s="314"/>
      <c r="AE448" s="314"/>
      <c r="AF448" s="314"/>
      <c r="AG448" s="314"/>
      <c r="AH448" s="314"/>
      <c r="AI448" s="314"/>
      <c r="AJ448" s="314"/>
      <c r="AK448" s="314"/>
      <c r="AL448" s="314"/>
      <c r="AM448" s="314"/>
      <c r="AN448" s="314"/>
      <c r="AO448" s="314"/>
      <c r="AP448" s="314"/>
      <c r="AQ448" s="314"/>
      <c r="AR448" s="314"/>
      <c r="AS448" s="314"/>
      <c r="AT448" s="314"/>
      <c r="AU448" s="314"/>
      <c r="AV448" s="314"/>
      <c r="AW448" s="314"/>
      <c r="AX448" s="314"/>
      <c r="AY448" s="314"/>
      <c r="AZ448" s="314"/>
      <c r="BA448" s="314"/>
      <c r="BB448" s="314"/>
      <c r="BC448" s="314"/>
      <c r="BD448" s="314"/>
      <c r="BE448" s="314"/>
      <c r="BF448" s="314"/>
      <c r="BG448" s="314"/>
      <c r="BH448" s="314"/>
      <c r="BI448" s="314"/>
      <c r="BJ448" s="314"/>
      <c r="BK448" s="314"/>
      <c r="BL448" s="314"/>
      <c r="BM448" s="314"/>
      <c r="BN448" s="314"/>
      <c r="BO448" s="314"/>
      <c r="BP448" s="314"/>
      <c r="BQ448" s="314"/>
      <c r="BR448" s="314"/>
      <c r="BS448" s="314"/>
      <c r="BT448" s="314"/>
      <c r="BU448" s="314"/>
      <c r="BV448" s="314"/>
      <c r="BW448" s="314"/>
      <c r="BX448" s="314"/>
      <c r="BY448" s="314"/>
      <c r="BZ448" s="314"/>
      <c r="CA448" s="314"/>
      <c r="CB448" s="314"/>
      <c r="CC448" s="314"/>
      <c r="CD448" s="314"/>
      <c r="CE448" s="314"/>
      <c r="CF448" s="314"/>
      <c r="CG448" s="314"/>
      <c r="CH448" s="314"/>
      <c r="CI448" s="314"/>
      <c r="CJ448" s="314"/>
      <c r="CK448" s="314"/>
      <c r="CL448" s="314"/>
      <c r="CM448" s="314"/>
      <c r="CN448" s="314"/>
      <c r="CO448" s="314"/>
      <c r="CP448" s="314"/>
      <c r="CQ448" s="314"/>
    </row>
    <row r="449" spans="1:95" ht="12.75" customHeight="1" x14ac:dyDescent="0.25">
      <c r="A449" s="462"/>
      <c r="B449" s="76"/>
      <c r="C449" s="76"/>
      <c r="D449" s="115"/>
      <c r="E449" s="85"/>
      <c r="F449" s="466" t="str">
        <f>Translations!$B$304</f>
        <v>Comments:</v>
      </c>
      <c r="G449" s="1250"/>
      <c r="H449" s="1251"/>
      <c r="I449" s="1251"/>
      <c r="J449" s="1251"/>
      <c r="K449" s="1251"/>
      <c r="L449" s="1251"/>
      <c r="M449" s="1251"/>
      <c r="N449" s="1252"/>
      <c r="O449" s="160"/>
      <c r="P449" s="109"/>
      <c r="Q449" s="312"/>
      <c r="R449" s="312"/>
      <c r="S449" s="314"/>
      <c r="T449" s="314"/>
      <c r="U449" s="314"/>
      <c r="V449" s="314"/>
      <c r="W449" s="314"/>
      <c r="X449" s="314"/>
      <c r="Y449" s="314"/>
      <c r="Z449" s="314"/>
      <c r="AA449" s="314"/>
      <c r="AB449" s="314"/>
      <c r="AC449" s="314"/>
      <c r="AD449" s="314"/>
      <c r="AE449" s="314"/>
      <c r="AF449" s="314"/>
      <c r="AG449" s="314"/>
      <c r="AH449" s="314"/>
      <c r="AI449" s="314"/>
      <c r="AJ449" s="314"/>
      <c r="AK449" s="314"/>
      <c r="AL449" s="314"/>
      <c r="AM449" s="314"/>
      <c r="AN449" s="314"/>
      <c r="AO449" s="314"/>
      <c r="AP449" s="314"/>
      <c r="AQ449" s="314"/>
      <c r="AR449" s="314"/>
      <c r="AS449" s="314"/>
      <c r="AT449" s="314"/>
      <c r="AU449" s="314"/>
      <c r="AV449" s="314"/>
      <c r="AW449" s="314"/>
      <c r="AX449" s="314"/>
      <c r="AY449" s="314"/>
      <c r="AZ449" s="314"/>
      <c r="BA449" s="314"/>
      <c r="BB449" s="314"/>
      <c r="BC449" s="314"/>
      <c r="BD449" s="314"/>
      <c r="BE449" s="314"/>
      <c r="BF449" s="314"/>
      <c r="BG449" s="314"/>
      <c r="BH449" s="314"/>
      <c r="BI449" s="314"/>
      <c r="BJ449" s="314"/>
      <c r="BK449" s="314"/>
      <c r="BL449" s="314"/>
      <c r="BM449" s="314"/>
      <c r="BN449" s="314"/>
      <c r="BO449" s="314"/>
      <c r="BP449" s="314"/>
      <c r="BQ449" s="314"/>
      <c r="BR449" s="314"/>
      <c r="BS449" s="314"/>
      <c r="BT449" s="314"/>
      <c r="BU449" s="314"/>
      <c r="BV449" s="314"/>
      <c r="BW449" s="314"/>
      <c r="BX449" s="314"/>
      <c r="BY449" s="314"/>
      <c r="BZ449" s="314"/>
      <c r="CA449" s="314"/>
      <c r="CB449" s="314"/>
      <c r="CC449" s="314"/>
      <c r="CD449" s="314"/>
      <c r="CE449" s="314"/>
      <c r="CF449" s="314"/>
      <c r="CG449" s="314"/>
      <c r="CH449" s="314"/>
      <c r="CI449" s="314"/>
      <c r="CJ449" s="314"/>
      <c r="CK449" s="314"/>
      <c r="CL449" s="314"/>
      <c r="CM449" s="314"/>
      <c r="CN449" s="314"/>
      <c r="CO449" s="314"/>
      <c r="CP449" s="314"/>
      <c r="CQ449" s="464" t="b">
        <f>CQ447</f>
        <v>0</v>
      </c>
    </row>
    <row r="450" spans="1:95" ht="12.75" customHeight="1" thickBot="1" x14ac:dyDescent="0.3">
      <c r="A450" s="307"/>
      <c r="B450" s="76"/>
      <c r="C450" s="308"/>
      <c r="D450" s="309"/>
      <c r="E450" s="310"/>
      <c r="F450" s="308"/>
      <c r="G450" s="311"/>
      <c r="H450" s="311"/>
      <c r="I450" s="311"/>
      <c r="J450" s="311"/>
      <c r="K450" s="311"/>
      <c r="L450" s="311"/>
      <c r="M450" s="311"/>
      <c r="N450" s="311"/>
      <c r="O450" s="160"/>
      <c r="P450" s="109"/>
      <c r="Q450" s="312"/>
      <c r="R450" s="312"/>
      <c r="S450" s="293"/>
      <c r="T450" s="293"/>
      <c r="U450" s="313"/>
      <c r="V450" s="293"/>
      <c r="W450" s="293"/>
      <c r="X450" s="313"/>
      <c r="Y450" s="293"/>
      <c r="Z450" s="293"/>
      <c r="AA450" s="293"/>
      <c r="AB450" s="293"/>
      <c r="AC450" s="293"/>
      <c r="AD450" s="293"/>
      <c r="AE450" s="293"/>
      <c r="AF450" s="293"/>
      <c r="AG450" s="293"/>
      <c r="AH450" s="293"/>
      <c r="AI450" s="293"/>
      <c r="AJ450" s="293"/>
      <c r="AK450" s="293"/>
      <c r="AL450" s="293"/>
      <c r="AM450" s="293"/>
      <c r="AN450" s="293"/>
      <c r="AO450" s="293"/>
      <c r="AP450" s="293"/>
      <c r="AQ450" s="293"/>
      <c r="AR450" s="293"/>
      <c r="AS450" s="293"/>
      <c r="AT450" s="293"/>
      <c r="AU450" s="293"/>
      <c r="AV450" s="293"/>
      <c r="AW450" s="293"/>
      <c r="AX450" s="293"/>
      <c r="AY450" s="293"/>
      <c r="AZ450" s="293"/>
      <c r="BA450" s="293"/>
      <c r="BB450" s="293"/>
      <c r="BC450" s="293"/>
      <c r="BD450" s="293"/>
      <c r="BE450" s="293"/>
      <c r="BF450" s="293"/>
      <c r="BG450" s="293"/>
      <c r="BH450" s="293"/>
      <c r="BI450" s="293"/>
      <c r="BJ450" s="293"/>
      <c r="BK450" s="293"/>
      <c r="BL450" s="293"/>
      <c r="BM450" s="314"/>
      <c r="BN450" s="314"/>
      <c r="BO450" s="314"/>
      <c r="BP450" s="314"/>
      <c r="BQ450" s="314"/>
      <c r="BR450" s="314"/>
      <c r="BS450" s="314"/>
      <c r="BT450" s="314"/>
      <c r="BU450" s="293"/>
      <c r="BV450" s="293"/>
      <c r="BW450" s="293"/>
      <c r="BX450" s="293"/>
      <c r="BY450" s="293"/>
      <c r="BZ450" s="293"/>
      <c r="CA450" s="293"/>
      <c r="CB450" s="293"/>
      <c r="CC450" s="293"/>
      <c r="CD450" s="293"/>
      <c r="CE450" s="293"/>
      <c r="CF450" s="293"/>
      <c r="CG450" s="293"/>
      <c r="CH450" s="293"/>
      <c r="CI450" s="293"/>
      <c r="CJ450" s="293"/>
      <c r="CK450" s="293"/>
      <c r="CL450" s="293"/>
      <c r="CM450" s="293"/>
      <c r="CN450" s="293"/>
      <c r="CO450" s="293"/>
      <c r="CP450" s="293"/>
      <c r="CQ450" s="293"/>
    </row>
    <row r="451" spans="1:95" ht="12.75" customHeight="1" thickBot="1" x14ac:dyDescent="0.3">
      <c r="A451" s="315"/>
      <c r="B451" s="76"/>
      <c r="C451" s="76"/>
      <c r="D451" s="205"/>
      <c r="E451" s="316"/>
      <c r="F451" s="76"/>
      <c r="G451" s="96"/>
      <c r="H451" s="96"/>
      <c r="I451" s="96"/>
      <c r="J451" s="96"/>
      <c r="K451" s="76"/>
      <c r="L451" s="96"/>
      <c r="M451" s="96"/>
      <c r="N451" s="96"/>
      <c r="O451" s="160"/>
      <c r="P451" s="109"/>
      <c r="Q451" s="312"/>
      <c r="R451" s="312"/>
      <c r="S451" s="287"/>
      <c r="T451" s="317" t="str">
        <f>IF(ISBLANK(E452),"",MATCH(E452,CNTR_SourceStreamNames,0))</f>
        <v/>
      </c>
      <c r="U451" s="318" t="str">
        <f>IF(ISBLANK(E452),"",INDEX(B_IdentifyFuelStreams!$D$67:$D$116,MATCH(E452,CNTR_SourceStreamNames,0)))</f>
        <v/>
      </c>
      <c r="V451" s="301"/>
      <c r="W451" s="138"/>
      <c r="X451" s="138"/>
      <c r="Y451" s="138"/>
      <c r="Z451" s="293"/>
      <c r="AA451" s="293"/>
      <c r="AB451" s="293"/>
      <c r="AC451" s="293"/>
      <c r="AD451" s="293"/>
      <c r="AE451" s="293"/>
      <c r="AF451" s="293"/>
      <c r="AG451" s="293"/>
      <c r="AH451" s="293"/>
      <c r="AI451" s="293"/>
      <c r="AJ451" s="293"/>
      <c r="AK451" s="312"/>
      <c r="AL451" s="293"/>
      <c r="AM451" s="293"/>
      <c r="AN451" s="293"/>
      <c r="AO451" s="293"/>
      <c r="AP451" s="293"/>
      <c r="AQ451" s="293"/>
      <c r="AR451" s="293"/>
      <c r="AS451" s="293"/>
      <c r="AT451" s="293"/>
      <c r="AU451" s="293"/>
      <c r="AV451" s="293"/>
      <c r="AW451" s="293"/>
      <c r="AX451" s="293"/>
      <c r="AY451" s="293"/>
      <c r="AZ451" s="293"/>
      <c r="BA451" s="293"/>
      <c r="BB451" s="293"/>
      <c r="BC451" s="293"/>
      <c r="BD451" s="293"/>
      <c r="BE451" s="293"/>
      <c r="BF451" s="293"/>
      <c r="BG451" s="293"/>
      <c r="BH451" s="293"/>
      <c r="BI451" s="293"/>
      <c r="BJ451" s="138"/>
      <c r="BK451" s="138"/>
      <c r="BL451" s="138"/>
      <c r="BM451" s="138"/>
      <c r="BN451" s="138"/>
      <c r="BO451" s="138"/>
      <c r="BP451" s="138"/>
      <c r="BQ451" s="138"/>
      <c r="BR451" s="138"/>
      <c r="BS451" s="138"/>
      <c r="BT451" s="138"/>
      <c r="BU451" s="138"/>
      <c r="BV451" s="138"/>
      <c r="BW451" s="138"/>
      <c r="BX451" s="138"/>
      <c r="BY451" s="138"/>
      <c r="BZ451" s="138"/>
      <c r="CA451" s="138"/>
      <c r="CB451" s="138"/>
      <c r="CC451" s="138"/>
      <c r="CD451" s="138"/>
      <c r="CE451" s="138"/>
      <c r="CF451" s="138"/>
      <c r="CG451" s="138"/>
      <c r="CH451" s="138"/>
      <c r="CI451" s="138"/>
      <c r="CJ451" s="138"/>
      <c r="CK451" s="138"/>
      <c r="CL451" s="138"/>
      <c r="CM451" s="138"/>
      <c r="CN451" s="138"/>
      <c r="CO451" s="138"/>
      <c r="CP451" s="138"/>
      <c r="CQ451" s="319" t="s">
        <v>107</v>
      </c>
    </row>
    <row r="452" spans="1:95" ht="15" customHeight="1" thickBot="1" x14ac:dyDescent="0.3">
      <c r="A452" s="320">
        <f>C452</f>
        <v>15</v>
      </c>
      <c r="B452" s="68"/>
      <c r="C452" s="321">
        <f>C424+1</f>
        <v>15</v>
      </c>
      <c r="D452" s="68"/>
      <c r="E452" s="1269"/>
      <c r="F452" s="1270"/>
      <c r="G452" s="1270"/>
      <c r="H452" s="1270"/>
      <c r="I452" s="1270"/>
      <c r="J452" s="1271"/>
      <c r="K452" s="1272" t="str">
        <f>IF(INDEX(B_IdentifyFuelStreams!$K$125:$K$174,MATCH(U451,B_IdentifyFuelStreams!$D$125:$D$174,0))&gt;0,INDEX(B_IdentifyFuelStreams!$K$125:$K$174,MATCH(U451,B_IdentifyFuelStreams!$D$125:$D$174,0)),"")</f>
        <v/>
      </c>
      <c r="L452" s="1273"/>
      <c r="M452" s="316" t="str">
        <f>Translations!$B$621</f>
        <v>Emissions:</v>
      </c>
      <c r="N452" s="322" t="str">
        <f>IF(E453="","",BG458)</f>
        <v/>
      </c>
      <c r="O452" s="323" t="str">
        <f>EUconst_tCO2</f>
        <v>tCO2</v>
      </c>
      <c r="P452" s="324" t="str">
        <f>IF(AND(E452&lt;&gt;"",COUNTIF(P453:$P$1649,"PRINT")=0),"PRINT","")</f>
        <v/>
      </c>
      <c r="Q452" s="325" t="str">
        <f>EUconst_SumCO2</f>
        <v>SUM_CO2</v>
      </c>
      <c r="R452" s="312"/>
      <c r="S452" s="287"/>
      <c r="T452" s="287"/>
      <c r="U452" s="287"/>
      <c r="V452" s="301"/>
      <c r="W452" s="138"/>
      <c r="X452" s="293"/>
      <c r="Y452" s="293"/>
      <c r="Z452" s="293"/>
      <c r="AA452" s="293"/>
      <c r="AB452" s="293"/>
      <c r="AC452" s="293"/>
      <c r="AD452" s="293"/>
      <c r="AE452" s="293"/>
      <c r="AF452" s="293"/>
      <c r="AG452" s="293"/>
      <c r="AH452" s="293"/>
      <c r="AI452" s="326"/>
      <c r="AJ452" s="326"/>
      <c r="AK452" s="326"/>
      <c r="AL452" s="326"/>
      <c r="AM452" s="326"/>
      <c r="AN452" s="326"/>
      <c r="AO452" s="326"/>
      <c r="AP452" s="326"/>
      <c r="AQ452" s="326"/>
      <c r="AR452" s="326"/>
      <c r="AS452" s="326"/>
      <c r="AT452" s="326"/>
      <c r="AU452" s="326"/>
      <c r="AV452" s="326"/>
      <c r="AW452" s="326"/>
      <c r="AX452" s="326"/>
      <c r="AY452" s="326"/>
      <c r="AZ452" s="326"/>
      <c r="BA452" s="326"/>
      <c r="BB452" s="326"/>
      <c r="BC452" s="326"/>
      <c r="BD452" s="326"/>
      <c r="BE452" s="326"/>
      <c r="BF452" s="326"/>
      <c r="BG452" s="326"/>
      <c r="BH452" s="326"/>
      <c r="BI452" s="327" t="str">
        <f>IF(E452="","",E452)</f>
        <v/>
      </c>
      <c r="BJ452" s="328" t="str">
        <f>IF(F458="","",F458)</f>
        <v/>
      </c>
      <c r="BK452" s="329">
        <f>AV458</f>
        <v>0</v>
      </c>
      <c r="BL452" s="329">
        <f>IF(BK452="","",BK452*(1-BP452))</f>
        <v>0</v>
      </c>
      <c r="BM452" s="328" t="str">
        <f>AJ458</f>
        <v/>
      </c>
      <c r="BN452" s="328" t="str">
        <f>IF(F469="","",F469)</f>
        <v/>
      </c>
      <c r="BO452" s="327" t="str">
        <f>IF(G469="","",G469)</f>
        <v/>
      </c>
      <c r="BP452" s="330">
        <f>AV469</f>
        <v>0</v>
      </c>
      <c r="BQ452" s="328" t="str">
        <f>IF(F461="","",F461)</f>
        <v/>
      </c>
      <c r="BR452" s="330">
        <f>AV461</f>
        <v>0</v>
      </c>
      <c r="BS452" s="330" t="str">
        <f>AJ461</f>
        <v/>
      </c>
      <c r="BT452" s="328" t="str">
        <f>IF(F460="","",F460)</f>
        <v/>
      </c>
      <c r="BU452" s="330">
        <f>IF(F460=EUconst_NA,"",AV460)</f>
        <v>0</v>
      </c>
      <c r="BV452" s="330" t="str">
        <f>AJ460</f>
        <v/>
      </c>
      <c r="BW452" s="328" t="str">
        <f>IF(F462="","",F462)</f>
        <v/>
      </c>
      <c r="BX452" s="330">
        <f>AV462</f>
        <v>0</v>
      </c>
      <c r="BY452" s="328" t="str">
        <f>IF(F463="","",F463)</f>
        <v/>
      </c>
      <c r="BZ452" s="330">
        <f>AV463</f>
        <v>0</v>
      </c>
      <c r="CA452" s="330">
        <f>AV464</f>
        <v>0</v>
      </c>
      <c r="CB452" s="330">
        <f>AV465</f>
        <v>0</v>
      </c>
      <c r="CC452" s="330">
        <f>AV466</f>
        <v>0</v>
      </c>
      <c r="CD452" s="330">
        <f>AV467</f>
        <v>0</v>
      </c>
      <c r="CE452" s="329" t="str">
        <f>BG458</f>
        <v/>
      </c>
      <c r="CF452" s="329" t="str">
        <f>BG460</f>
        <v/>
      </c>
      <c r="CG452" s="329" t="str">
        <f>BG461</f>
        <v/>
      </c>
      <c r="CH452" s="329" t="str">
        <f>BG462</f>
        <v/>
      </c>
      <c r="CI452" s="329" t="str">
        <f>BG463</f>
        <v/>
      </c>
      <c r="CJ452" s="329" t="str">
        <f>BG464</f>
        <v/>
      </c>
      <c r="CK452" s="329" t="str">
        <f>BG465</f>
        <v/>
      </c>
      <c r="CL452" s="329">
        <f>BG466</f>
        <v>0</v>
      </c>
      <c r="CM452" s="329" t="str">
        <f>BG467</f>
        <v/>
      </c>
      <c r="CN452" s="329" t="str">
        <f>BG469</f>
        <v/>
      </c>
      <c r="CO452" s="329" t="str">
        <f>BG473</f>
        <v/>
      </c>
      <c r="CP452" s="329" t="str">
        <f>IF(COUNTIF(AO461:AO462,TRUE)=0,"",BH458)</f>
        <v/>
      </c>
      <c r="CQ452" s="331" t="b">
        <v>0</v>
      </c>
    </row>
    <row r="453" spans="1:95" ht="15" customHeight="1" thickBot="1" x14ac:dyDescent="0.3">
      <c r="A453" s="307"/>
      <c r="B453" s="68"/>
      <c r="C453" s="68"/>
      <c r="D453" s="68"/>
      <c r="E453" s="1274" t="str">
        <f>IF(ISBLANK(E452),"",IF(INDEX(B_IdentifyFuelStreams!$E$67:$E$116,MATCH(U451,B_IdentifyFuelStreams!$D$67:$D$116,0))&gt;0,INDEX(B_IdentifyFuelStreams!$E$67:$E$116,MATCH(U451,B_IdentifyFuelStreams!$D$67:$D$116,0)),""))</f>
        <v/>
      </c>
      <c r="F453" s="1275"/>
      <c r="G453" s="1275"/>
      <c r="H453" s="1275"/>
      <c r="I453" s="1275"/>
      <c r="J453" s="1276"/>
      <c r="K453" s="1272" t="str">
        <f>IF(INDEX(B_IdentifyFuelStreams!$M$125:$M$174,MATCH(U451,B_IdentifyFuelStreams!$D$125:$D$174,0))&gt;0,INDEX(B_IdentifyFuelStreams!$M$125:$M$174,MATCH(U451,B_IdentifyFuelStreams!$D$125:$D$174,0)),"")</f>
        <v/>
      </c>
      <c r="L453" s="1273"/>
      <c r="M453" s="332" t="str">
        <f>Translations!$B$622</f>
        <v>zero-rated:</v>
      </c>
      <c r="N453" s="333" t="str">
        <f>IF(E453="","",SUM(BG460,BG462,BG464))</f>
        <v/>
      </c>
      <c r="O453" s="334" t="str">
        <f>EUconst_tCO2</f>
        <v>tCO2</v>
      </c>
      <c r="P453" s="109"/>
      <c r="Q453" s="325" t="str">
        <f>EUconst_SumBioCO2</f>
        <v>SUM_bioCO2</v>
      </c>
      <c r="R453" s="312"/>
      <c r="S453" s="287"/>
      <c r="T453" s="287"/>
      <c r="U453" s="287"/>
      <c r="V453" s="301"/>
      <c r="W453" s="138"/>
      <c r="X453" s="293"/>
      <c r="Y453" s="317" t="str">
        <f>Translations!$B$143</f>
        <v>Tiers</v>
      </c>
      <c r="Z453" s="314"/>
      <c r="AA453" s="314"/>
      <c r="AB453" s="314"/>
      <c r="AC453" s="314"/>
      <c r="AD453" s="314"/>
      <c r="AE453" s="317" t="s">
        <v>108</v>
      </c>
      <c r="AF453" s="293"/>
      <c r="AG453" s="335"/>
      <c r="AH453" s="314"/>
      <c r="AI453" s="314"/>
      <c r="AJ453" s="335"/>
      <c r="AK453" s="335"/>
      <c r="AL453" s="326"/>
      <c r="AM453" s="326"/>
      <c r="AN453" s="326"/>
      <c r="AO453" s="326"/>
      <c r="AP453" s="326"/>
      <c r="AQ453" s="317" t="s">
        <v>109</v>
      </c>
      <c r="AR453" s="336"/>
      <c r="AS453" s="336"/>
      <c r="AT453" s="314"/>
      <c r="AU453" s="314"/>
      <c r="AV453" s="314"/>
      <c r="AW453" s="314"/>
      <c r="AX453" s="314"/>
      <c r="AY453" s="314"/>
      <c r="AZ453" s="317" t="s">
        <v>110</v>
      </c>
      <c r="BA453" s="314"/>
      <c r="BB453" s="314"/>
      <c r="BC453" s="314"/>
      <c r="BD453" s="314"/>
      <c r="BE453" s="314"/>
      <c r="BF453" s="317" t="s">
        <v>111</v>
      </c>
      <c r="BG453" s="314"/>
      <c r="BH453" s="314"/>
      <c r="BI453" s="317" t="s">
        <v>112</v>
      </c>
      <c r="BJ453" s="328" t="str">
        <f>Translations!$B$376</f>
        <v>RFA Tier</v>
      </c>
      <c r="BK453" s="328" t="str">
        <f>Translations!$B$377</f>
        <v>RFA</v>
      </c>
      <c r="BL453" s="328" t="str">
        <f>Translations!$B$378</f>
        <v>RFA (in scope)</v>
      </c>
      <c r="BM453" s="328" t="str">
        <f>Translations!$B$379</f>
        <v>RFA Unit</v>
      </c>
      <c r="BN453" s="328" t="str">
        <f>Translations!$B$380</f>
        <v>SF Tier</v>
      </c>
      <c r="BO453" s="328" t="str">
        <f>Translations!$B$380</f>
        <v>SF Tier</v>
      </c>
      <c r="BP453" s="328" t="str">
        <f>Translations!$B$381</f>
        <v>SF</v>
      </c>
      <c r="BQ453" s="328" t="str">
        <f>Translations!$B$382</f>
        <v>EF Tier</v>
      </c>
      <c r="BR453" s="328" t="str">
        <f>Translations!$B$383</f>
        <v>EF</v>
      </c>
      <c r="BS453" s="328" t="str">
        <f>Translations!$B$384</f>
        <v>EF Unit</v>
      </c>
      <c r="BT453" s="328" t="str">
        <f>Translations!$B$385</f>
        <v>UCF Tier</v>
      </c>
      <c r="BU453" s="328" t="str">
        <f>Translations!$B$386</f>
        <v>UCF</v>
      </c>
      <c r="BV453" s="328" t="str">
        <f>Translations!$B$387</f>
        <v>UCF Unit</v>
      </c>
      <c r="BW453" s="328" t="str">
        <f>Translations!$B$388</f>
        <v>Bio Tier</v>
      </c>
      <c r="BX453" s="328" t="s">
        <v>113</v>
      </c>
      <c r="BY453" s="328" t="str">
        <f>Translations!$B$389</f>
        <v>NonSustBio Tier</v>
      </c>
      <c r="BZ453" s="328" t="s">
        <v>114</v>
      </c>
      <c r="CA453" s="328" t="s">
        <v>115</v>
      </c>
      <c r="CB453" s="328" t="s">
        <v>116</v>
      </c>
      <c r="CC453" s="328" t="s">
        <v>117</v>
      </c>
      <c r="CD453" s="328" t="s">
        <v>118</v>
      </c>
      <c r="CE453" s="328" t="s">
        <v>119</v>
      </c>
      <c r="CF453" s="328" t="s">
        <v>120</v>
      </c>
      <c r="CG453" s="328" t="str">
        <f>Translations!$B$392</f>
        <v>CO2 non-sust</v>
      </c>
      <c r="CH453" s="328" t="s">
        <v>121</v>
      </c>
      <c r="CI453" s="328" t="s">
        <v>122</v>
      </c>
      <c r="CJ453" s="328" t="s">
        <v>123</v>
      </c>
      <c r="CK453" s="328" t="s">
        <v>124</v>
      </c>
      <c r="CL453" s="328" t="s">
        <v>125</v>
      </c>
      <c r="CM453" s="328" t="str">
        <f>Translations!$B$551</f>
        <v>Energy content (bio), TJ</v>
      </c>
      <c r="CN453" s="328" t="s">
        <v>126</v>
      </c>
      <c r="CO453" s="328" t="s">
        <v>127</v>
      </c>
      <c r="CP453" s="328" t="s">
        <v>128</v>
      </c>
      <c r="CQ453" s="314"/>
    </row>
    <row r="454" spans="1:95" ht="5.15" customHeight="1" thickBot="1" x14ac:dyDescent="0.3">
      <c r="A454" s="307"/>
      <c r="B454" s="68"/>
      <c r="C454" s="68"/>
      <c r="D454" s="68"/>
      <c r="E454" s="68"/>
      <c r="F454" s="68"/>
      <c r="G454" s="68"/>
      <c r="H454" s="76"/>
      <c r="I454" s="76"/>
      <c r="J454" s="76"/>
      <c r="K454" s="76"/>
      <c r="L454" s="76"/>
      <c r="M454" s="76"/>
      <c r="N454" s="76"/>
      <c r="O454" s="160"/>
      <c r="P454" s="109"/>
      <c r="Q454" s="312"/>
      <c r="R454" s="312"/>
      <c r="S454" s="287"/>
      <c r="T454" s="287"/>
      <c r="U454" s="287"/>
      <c r="V454" s="301"/>
      <c r="W454" s="314"/>
      <c r="X454" s="314"/>
      <c r="Y454" s="312"/>
      <c r="Z454" s="314"/>
      <c r="AA454" s="314"/>
      <c r="AB454" s="314"/>
      <c r="AC454" s="314"/>
      <c r="AD454" s="314"/>
      <c r="AE454" s="314"/>
      <c r="AF454" s="293"/>
      <c r="AG454" s="314"/>
      <c r="AH454" s="314"/>
      <c r="AI454" s="314"/>
      <c r="AJ454" s="335"/>
      <c r="AK454" s="335"/>
      <c r="AL454" s="326"/>
      <c r="AM454" s="326"/>
      <c r="AN454" s="326"/>
      <c r="AO454" s="326"/>
      <c r="AP454" s="326"/>
      <c r="AQ454" s="314"/>
      <c r="AR454" s="314"/>
      <c r="AS454" s="314"/>
      <c r="AT454" s="314"/>
      <c r="AU454" s="314"/>
      <c r="AV454" s="314"/>
      <c r="AW454" s="314"/>
      <c r="AX454" s="314"/>
      <c r="AY454" s="314"/>
      <c r="AZ454" s="314"/>
      <c r="BA454" s="314"/>
      <c r="BB454" s="314"/>
      <c r="BC454" s="314"/>
      <c r="BD454" s="314"/>
      <c r="BE454" s="314"/>
      <c r="BF454" s="314"/>
      <c r="BG454" s="314"/>
      <c r="BH454" s="314"/>
      <c r="BI454" s="314"/>
      <c r="BJ454" s="314"/>
      <c r="BK454" s="314"/>
      <c r="BL454" s="314"/>
      <c r="BM454" s="314"/>
      <c r="BN454" s="314"/>
      <c r="BO454" s="314"/>
      <c r="BP454" s="314"/>
      <c r="BQ454" s="314"/>
      <c r="BR454" s="314"/>
      <c r="BS454" s="314"/>
      <c r="BT454" s="314"/>
      <c r="BU454" s="314"/>
      <c r="BV454" s="314"/>
      <c r="BW454" s="314"/>
      <c r="BX454" s="314"/>
      <c r="BY454" s="314"/>
      <c r="BZ454" s="314"/>
      <c r="CA454" s="314"/>
      <c r="CB454" s="314"/>
      <c r="CC454" s="314"/>
      <c r="CD454" s="314"/>
      <c r="CE454" s="314"/>
      <c r="CF454" s="314"/>
      <c r="CG454" s="314"/>
      <c r="CH454" s="314"/>
      <c r="CI454" s="314"/>
      <c r="CJ454" s="314"/>
      <c r="CK454" s="314"/>
      <c r="CL454" s="314"/>
      <c r="CM454" s="314"/>
      <c r="CN454" s="314"/>
      <c r="CO454" s="314"/>
      <c r="CP454" s="314"/>
      <c r="CQ454" s="314"/>
    </row>
    <row r="455" spans="1:95" ht="12.75" customHeight="1" thickBot="1" x14ac:dyDescent="0.3">
      <c r="A455" s="307"/>
      <c r="B455" s="68"/>
      <c r="C455" s="68"/>
      <c r="D455" s="68"/>
      <c r="E455" s="1253" t="str">
        <f>IF(E452="","",HYPERLINK("#JUMP_E_Top",EUconst_FurtherGuidancePoint1))</f>
        <v/>
      </c>
      <c r="F455" s="1253"/>
      <c r="G455" s="1253"/>
      <c r="H455" s="1253"/>
      <c r="I455" s="1253"/>
      <c r="J455" s="1253"/>
      <c r="K455" s="1253"/>
      <c r="L455" s="1253"/>
      <c r="M455" s="1253"/>
      <c r="N455" s="76"/>
      <c r="O455" s="160"/>
      <c r="P455" s="109"/>
      <c r="Q455" s="325" t="str">
        <f>EUconst_SumNonSustBioCO2</f>
        <v>SUM_bioNonSustCO2</v>
      </c>
      <c r="R455" s="337" t="str">
        <f>IF(E453="","",BG461)</f>
        <v/>
      </c>
      <c r="S455" s="287"/>
      <c r="T455" s="287"/>
      <c r="U455" s="287"/>
      <c r="V455" s="314"/>
      <c r="W455" s="314"/>
      <c r="X455" s="314"/>
      <c r="Y455" s="293"/>
      <c r="Z455" s="314"/>
      <c r="AA455" s="314"/>
      <c r="AB455" s="314"/>
      <c r="AC455" s="314"/>
      <c r="AD455" s="314"/>
      <c r="AE455" s="314"/>
      <c r="AF455" s="293"/>
      <c r="AG455" s="314"/>
      <c r="AH455" s="314"/>
      <c r="AI455" s="314"/>
      <c r="AJ455" s="335"/>
      <c r="AK455" s="335"/>
      <c r="AL455" s="326"/>
      <c r="AM455" s="326"/>
      <c r="AN455" s="326"/>
      <c r="AO455" s="326"/>
      <c r="AP455" s="326"/>
      <c r="AQ455" s="314"/>
      <c r="AR455" s="314"/>
      <c r="AS455" s="314"/>
      <c r="AT455" s="314"/>
      <c r="AU455" s="314"/>
      <c r="AV455" s="314"/>
      <c r="AW455" s="314"/>
      <c r="AX455" s="314"/>
      <c r="AY455" s="314"/>
      <c r="AZ455" s="314"/>
      <c r="BA455" s="314"/>
      <c r="BB455" s="314"/>
      <c r="BC455" s="314"/>
      <c r="BD455" s="314"/>
      <c r="BE455" s="314"/>
      <c r="BF455" s="314"/>
      <c r="BG455" s="314"/>
      <c r="BH455" s="314"/>
      <c r="BI455" s="317" t="s">
        <v>129</v>
      </c>
      <c r="BJ455" s="336"/>
      <c r="BK455" s="327" t="str">
        <f>IF(G473="","",G473)</f>
        <v/>
      </c>
      <c r="BL455" s="327" t="str">
        <f>IF(I473="","",I473)</f>
        <v/>
      </c>
      <c r="BM455" s="327" t="str">
        <f>IF(K473="","",K473)</f>
        <v/>
      </c>
      <c r="BN455" s="314"/>
      <c r="BO455" s="314"/>
      <c r="BP455" s="314"/>
      <c r="BQ455" s="314"/>
      <c r="BR455" s="314"/>
      <c r="BS455" s="314"/>
      <c r="BT455" s="319"/>
      <c r="BU455" s="314"/>
      <c r="BV455" s="314"/>
      <c r="BW455" s="314"/>
      <c r="BX455" s="314"/>
      <c r="BY455" s="314"/>
      <c r="BZ455" s="314"/>
      <c r="CA455" s="314"/>
      <c r="CB455" s="314"/>
      <c r="CC455" s="314"/>
      <c r="CD455" s="314"/>
      <c r="CE455" s="314"/>
      <c r="CF455" s="314"/>
      <c r="CG455" s="314"/>
      <c r="CH455" s="314"/>
      <c r="CI455" s="314"/>
      <c r="CJ455" s="314"/>
      <c r="CK455" s="314"/>
      <c r="CL455" s="314"/>
      <c r="CM455" s="314"/>
      <c r="CN455" s="314"/>
      <c r="CO455" s="314"/>
      <c r="CP455" s="314"/>
      <c r="CQ455" s="314"/>
    </row>
    <row r="456" spans="1:95" ht="5.15" customHeight="1" thickBot="1" x14ac:dyDescent="0.3">
      <c r="A456" s="307"/>
      <c r="B456" s="68"/>
      <c r="C456" s="68"/>
      <c r="D456" s="68"/>
      <c r="E456" s="68"/>
      <c r="F456" s="68"/>
      <c r="G456" s="68"/>
      <c r="H456" s="76"/>
      <c r="I456" s="76"/>
      <c r="J456" s="76"/>
      <c r="K456" s="76"/>
      <c r="L456" s="76"/>
      <c r="M456" s="76"/>
      <c r="N456" s="76"/>
      <c r="O456" s="160"/>
      <c r="P456" s="111"/>
      <c r="Q456" s="287"/>
      <c r="R456" s="111"/>
      <c r="S456" s="287"/>
      <c r="T456" s="287"/>
      <c r="U456" s="287"/>
      <c r="V456" s="314"/>
      <c r="W456" s="314"/>
      <c r="X456" s="314"/>
      <c r="Y456" s="312"/>
      <c r="Z456" s="314"/>
      <c r="AA456" s="314"/>
      <c r="AB456" s="314"/>
      <c r="AC456" s="314"/>
      <c r="AD456" s="314"/>
      <c r="AE456" s="314"/>
      <c r="AF456" s="293"/>
      <c r="AG456" s="314"/>
      <c r="AH456" s="314"/>
      <c r="AI456" s="314"/>
      <c r="AJ456" s="335"/>
      <c r="AK456" s="335"/>
      <c r="AL456" s="326"/>
      <c r="AM456" s="326"/>
      <c r="AN456" s="326"/>
      <c r="AO456" s="326"/>
      <c r="AP456" s="326"/>
      <c r="AQ456" s="314"/>
      <c r="AR456" s="314"/>
      <c r="AS456" s="314"/>
      <c r="AT456" s="314"/>
      <c r="AU456" s="314"/>
      <c r="AV456" s="314"/>
      <c r="AW456" s="314"/>
      <c r="AX456" s="314"/>
      <c r="AY456" s="314"/>
      <c r="AZ456" s="314"/>
      <c r="BA456" s="314"/>
      <c r="BB456" s="314"/>
      <c r="BC456" s="314"/>
      <c r="BD456" s="314"/>
      <c r="BE456" s="314"/>
      <c r="BF456" s="314"/>
      <c r="BG456" s="314"/>
      <c r="BH456" s="314"/>
      <c r="BI456" s="314"/>
      <c r="BJ456" s="314"/>
      <c r="BK456" s="314"/>
      <c r="BL456" s="314"/>
      <c r="BM456" s="314"/>
      <c r="BN456" s="314"/>
      <c r="BO456" s="314"/>
      <c r="BP456" s="314"/>
      <c r="BQ456" s="314"/>
      <c r="BR456" s="314"/>
      <c r="BS456" s="314"/>
      <c r="BT456" s="314"/>
      <c r="BU456" s="314"/>
      <c r="BV456" s="314"/>
      <c r="BW456" s="314"/>
      <c r="BX456" s="314"/>
      <c r="BY456" s="314"/>
      <c r="BZ456" s="314"/>
      <c r="CA456" s="314"/>
      <c r="CB456" s="314"/>
      <c r="CC456" s="314"/>
      <c r="CD456" s="314"/>
      <c r="CE456" s="314"/>
      <c r="CF456" s="314"/>
      <c r="CG456" s="314"/>
      <c r="CH456" s="314"/>
      <c r="CI456" s="314"/>
      <c r="CJ456" s="314"/>
      <c r="CK456" s="314"/>
      <c r="CL456" s="314"/>
      <c r="CM456" s="314"/>
      <c r="CN456" s="314"/>
      <c r="CO456" s="314"/>
      <c r="CP456" s="314"/>
      <c r="CQ456" s="314"/>
    </row>
    <row r="457" spans="1:95" ht="12.75" customHeight="1" thickBot="1" x14ac:dyDescent="0.3">
      <c r="A457" s="307"/>
      <c r="B457" s="68"/>
      <c r="C457" s="68"/>
      <c r="D457" s="68"/>
      <c r="E457" s="68"/>
      <c r="F457" s="338" t="str">
        <f>Translations!$B$127</f>
        <v>Tier</v>
      </c>
      <c r="G457" s="1254" t="str">
        <f>Translations!$B$393</f>
        <v>tier description</v>
      </c>
      <c r="H457" s="1254"/>
      <c r="I457" s="1255" t="str">
        <f>Translations!$B$394</f>
        <v>Unit</v>
      </c>
      <c r="J457" s="1255"/>
      <c r="K457" s="1255" t="str">
        <f>Translations!$B$395</f>
        <v>Value</v>
      </c>
      <c r="L457" s="1255"/>
      <c r="M457" s="205" t="str">
        <f>Translations!$B$396</f>
        <v>error</v>
      </c>
      <c r="N457" s="76"/>
      <c r="O457" s="160"/>
      <c r="P457" s="339"/>
      <c r="Q457" s="325" t="str">
        <f>EUconst_SumEnergyIN</f>
        <v>SUM_EnergyIN</v>
      </c>
      <c r="R457" s="340" t="str">
        <f>IF(E453="","",BG466)</f>
        <v/>
      </c>
      <c r="S457" s="314"/>
      <c r="T457" s="314"/>
      <c r="U457" s="314"/>
      <c r="V457" s="341" t="s">
        <v>130</v>
      </c>
      <c r="W457" s="314"/>
      <c r="X457" s="314"/>
      <c r="Y457" s="312" t="s">
        <v>131</v>
      </c>
      <c r="Z457" s="312" t="s">
        <v>132</v>
      </c>
      <c r="AA457" s="314"/>
      <c r="AB457" s="314"/>
      <c r="AC457" s="336" t="s">
        <v>133</v>
      </c>
      <c r="AD457" s="314"/>
      <c r="AE457" s="314"/>
      <c r="AF457" s="314" t="s">
        <v>134</v>
      </c>
      <c r="AG457" s="314" t="s">
        <v>135</v>
      </c>
      <c r="AH457" s="312" t="s">
        <v>136</v>
      </c>
      <c r="AI457" s="335" t="s">
        <v>137</v>
      </c>
      <c r="AJ457" s="335" t="s">
        <v>138</v>
      </c>
      <c r="AK457" s="342" t="s">
        <v>139</v>
      </c>
      <c r="AL457" s="326"/>
      <c r="AM457" s="326"/>
      <c r="AN457" s="326"/>
      <c r="AO457" s="326"/>
      <c r="AP457" s="326"/>
      <c r="AQ457" s="314"/>
      <c r="AR457" s="314" t="s">
        <v>134</v>
      </c>
      <c r="AS457" s="314" t="s">
        <v>135</v>
      </c>
      <c r="AT457" s="343" t="s">
        <v>140</v>
      </c>
      <c r="AU457" s="335" t="s">
        <v>141</v>
      </c>
      <c r="AV457" s="335" t="s">
        <v>142</v>
      </c>
      <c r="AW457" s="342" t="s">
        <v>139</v>
      </c>
      <c r="AX457" s="342" t="s">
        <v>139</v>
      </c>
      <c r="AY457" s="314"/>
      <c r="AZ457" s="314"/>
      <c r="BA457" s="314"/>
      <c r="BB457" s="314" t="s">
        <v>143</v>
      </c>
      <c r="BC457" s="314"/>
      <c r="BD457" s="314"/>
      <c r="BE457" s="314"/>
      <c r="BF457" s="314"/>
      <c r="BG457" s="319" t="s">
        <v>144</v>
      </c>
      <c r="BH457" s="314" t="s">
        <v>145</v>
      </c>
      <c r="BI457" s="314"/>
      <c r="BJ457" s="314"/>
      <c r="BK457" s="314"/>
      <c r="BL457" s="314"/>
      <c r="BM457" s="314"/>
      <c r="BN457" s="314"/>
      <c r="BO457" s="314"/>
      <c r="BP457" s="314"/>
      <c r="BQ457" s="314"/>
      <c r="BR457" s="314"/>
      <c r="BS457" s="314"/>
      <c r="BT457" s="314"/>
      <c r="BU457" s="314"/>
      <c r="BV457" s="314"/>
      <c r="BW457" s="314"/>
      <c r="BX457" s="314"/>
      <c r="BY457" s="314"/>
      <c r="BZ457" s="314"/>
      <c r="CA457" s="314"/>
      <c r="CB457" s="314"/>
      <c r="CC457" s="314"/>
      <c r="CD457" s="314"/>
      <c r="CE457" s="314"/>
      <c r="CF457" s="314"/>
      <c r="CG457" s="314"/>
      <c r="CH457" s="314"/>
      <c r="CI457" s="314"/>
      <c r="CJ457" s="314"/>
      <c r="CK457" s="314"/>
      <c r="CL457" s="314"/>
      <c r="CM457" s="314"/>
      <c r="CN457" s="314"/>
      <c r="CO457" s="314"/>
      <c r="CP457" s="314"/>
      <c r="CQ457" s="319" t="s">
        <v>107</v>
      </c>
    </row>
    <row r="458" spans="1:95" ht="12.75" customHeight="1" thickBot="1" x14ac:dyDescent="0.3">
      <c r="A458" s="307"/>
      <c r="B458" s="68"/>
      <c r="C458" s="199" t="s">
        <v>12</v>
      </c>
      <c r="D458" s="344" t="str">
        <f>Translations!$B$356</f>
        <v>RFA:</v>
      </c>
      <c r="E458" s="345"/>
      <c r="F458" s="6"/>
      <c r="G458" s="1256" t="str">
        <f>IF(OR(ISBLANK(F458),F458=EUconst_NoTier),"",IF(Z458=0,EUconst_NA,IF(ISERROR(Z458),"",Z458)))</f>
        <v/>
      </c>
      <c r="H458" s="1257"/>
      <c r="I458" s="346" t="str">
        <f>IF(J458&lt;&gt;"","",AI458)</f>
        <v/>
      </c>
      <c r="J458" s="7"/>
      <c r="K458" s="1258"/>
      <c r="L458" s="1259"/>
      <c r="M458" s="347" t="str">
        <f>IF(AND(E453&lt;&gt;"",OR(F458="",COUNT(K458)=0),Y458&lt;&gt;EUconst_NA),EUconst_ERR_Incomplete,"")</f>
        <v/>
      </c>
      <c r="N458" s="76"/>
      <c r="O458" s="160"/>
      <c r="P458" s="348"/>
      <c r="Q458" s="325" t="str">
        <f>EUconst_SumBioEnergyIN</f>
        <v>SUM_BioEnergyIN</v>
      </c>
      <c r="R458" s="340" t="str">
        <f>IF(E453="","",BG467)</f>
        <v/>
      </c>
      <c r="S458" s="314"/>
      <c r="T458" s="349" t="str">
        <f>EUconst_CNTR_ActivityData&amp;E453</f>
        <v>ActivityData_</v>
      </c>
      <c r="U458" s="312"/>
      <c r="V458" s="349" t="str">
        <f>IF(E452="","",INDEX(B_IdentifyFuelStreams!$I$67:$I$116,MATCH(U451,B_IdentifyFuelStreams!$D$67:$D$116,0)))</f>
        <v/>
      </c>
      <c r="W458" s="335" t="s">
        <v>146</v>
      </c>
      <c r="X458" s="312"/>
      <c r="Y458" s="350" t="str">
        <f>IF(E453="","",INDEX(EUwideConstants!$P$164:$P$200,MATCH(T458,EUwideConstants!$S$164:$S$200,0)))</f>
        <v/>
      </c>
      <c r="Z458" s="351" t="str">
        <f>IF(ISBLANK(F458),"",IF(F458=EUconst_NA,"",INDEX(EUwideConstants!$H:$O,MATCH(T458,EUwideConstants!$S:$S,0),MATCH(F458,CNTR_TierList,0))))</f>
        <v/>
      </c>
      <c r="AA458" s="352" t="s">
        <v>136</v>
      </c>
      <c r="AB458" s="335"/>
      <c r="AC458" s="331" t="b">
        <f>E452&lt;&gt;""</f>
        <v>0</v>
      </c>
      <c r="AD458" s="314"/>
      <c r="AE458" s="353" t="str">
        <f>EUconst_CNTR_ActivityData&amp;EUconst_Unit</f>
        <v>ActivityData_Unit</v>
      </c>
      <c r="AF458" s="354" t="str">
        <f>IF(AC458=TRUE, IF(COUNTIF(MSPara_SourceStreamCategory,V458)=0,"",INDEX(MSPara_CalcFactorsMatrix,MATCH(V458,MSPara_SourceStreamCategory,0),MATCH(AE458&amp;"_"&amp;2,MSPara_CalcFactors,0))),"")</f>
        <v/>
      </c>
      <c r="AG458" s="355" t="str">
        <f>IF(AC458=TRUE, IF(COUNTIF(MSPara_SourceStreamCategory,V458)=0,"",INDEX(MSPara_CalcFactorsMatrix,MATCH(V458,MSPara_SourceStreamCategory,0),MATCH(AE458&amp;"_"&amp;1,MSPara_CalcFactors,0))),"")</f>
        <v/>
      </c>
      <c r="AH458" s="331" t="str">
        <f>IF(OR(AF458="",AF458=EUconst_NA),IF(OR(AG458=EUconst_NA,AG458=""),"",AG458),AF458)</f>
        <v/>
      </c>
      <c r="AI458" s="350" t="str">
        <f>IF(AC458=TRUE,IF(AH458="",EUconst_t,AH458),"")</f>
        <v/>
      </c>
      <c r="AJ458" s="356" t="str">
        <f>IF(J458="",AI458,J458)</f>
        <v/>
      </c>
      <c r="AK458" s="357" t="b">
        <f>AND(E452&lt;&gt;"",J458&lt;&gt;"")</f>
        <v>0</v>
      </c>
      <c r="AL458" s="326"/>
      <c r="AM458" s="358" t="s">
        <v>147</v>
      </c>
      <c r="AN458" s="359" t="str">
        <f>AJ458</f>
        <v/>
      </c>
      <c r="AO458" s="326"/>
      <c r="AP458" s="326"/>
      <c r="AQ458" s="349" t="str">
        <f>EUconst_CNTR_ActivityData&amp;EUconst_Value</f>
        <v>ActivityData_Value</v>
      </c>
      <c r="AR458" s="336"/>
      <c r="AS458" s="336"/>
      <c r="AT458" s="331" t="b">
        <f>AND(AND(AH458&lt;&gt;"",AJ458&lt;&gt;""),AJ458=AH458)</f>
        <v>0</v>
      </c>
      <c r="AU458" s="314"/>
      <c r="AV458" s="331">
        <f>IF(Y458=EUconst_NA,0,IF(COUNT(K458:K458)=0,0,IF(K458="",#REF!,K458)))</f>
        <v>0</v>
      </c>
      <c r="AW458" s="360" t="b">
        <f>AND(AC458=TRUE,OR(K458&lt;&gt;"",AU458=""))</f>
        <v>0</v>
      </c>
      <c r="AX458" s="360" t="b">
        <f>AND(AC458=TRUE,NOT(AW458))</f>
        <v>0</v>
      </c>
      <c r="AY458" s="314"/>
      <c r="AZ458" s="314" t="s">
        <v>148</v>
      </c>
      <c r="BA458" s="314" t="s">
        <v>149</v>
      </c>
      <c r="BB458" s="360"/>
      <c r="BC458" s="314" t="s">
        <v>150</v>
      </c>
      <c r="BD458" s="314"/>
      <c r="BE458" s="314"/>
      <c r="BF458" s="361" t="s">
        <v>119</v>
      </c>
      <c r="BG458" s="362" t="str">
        <f>IF(COUNTIF(AO461:AO462,TRUE)=0,"",BH458*AV469)</f>
        <v/>
      </c>
      <c r="BH458" s="362" t="str">
        <f>IF(COUNTIF(AO461:AO462,TRUE)=0,"",AV458*IF(AO461,1,AV460*AN462)*AV461-BH460-BH462-BH464)</f>
        <v/>
      </c>
      <c r="BI458" s="314"/>
      <c r="BJ458" s="314"/>
      <c r="BK458" s="314"/>
      <c r="BL458" s="314"/>
      <c r="BM458" s="314"/>
      <c r="BN458" s="314"/>
      <c r="BO458" s="314"/>
      <c r="BP458" s="314"/>
      <c r="BQ458" s="314"/>
      <c r="BR458" s="314"/>
      <c r="BS458" s="314"/>
      <c r="BT458" s="314"/>
      <c r="BU458" s="314"/>
      <c r="BV458" s="314"/>
      <c r="BW458" s="314"/>
      <c r="BX458" s="314"/>
      <c r="BY458" s="314"/>
      <c r="BZ458" s="314"/>
      <c r="CA458" s="314"/>
      <c r="CB458" s="314"/>
      <c r="CC458" s="314"/>
      <c r="CD458" s="314"/>
      <c r="CE458" s="314"/>
      <c r="CF458" s="314"/>
      <c r="CG458" s="314"/>
      <c r="CH458" s="314"/>
      <c r="CI458" s="314"/>
      <c r="CJ458" s="314"/>
      <c r="CK458" s="314"/>
      <c r="CL458" s="314"/>
      <c r="CM458" s="314"/>
      <c r="CN458" s="314"/>
      <c r="CO458" s="314"/>
      <c r="CP458" s="314"/>
      <c r="CQ458" s="360" t="b">
        <v>0</v>
      </c>
    </row>
    <row r="459" spans="1:95" ht="5.15" customHeight="1" thickBot="1" x14ac:dyDescent="0.3">
      <c r="A459" s="307"/>
      <c r="B459" s="68"/>
      <c r="C459" s="199"/>
      <c r="D459" s="202"/>
      <c r="E459" s="76"/>
      <c r="F459" s="76"/>
      <c r="G459" s="76"/>
      <c r="H459" s="76" t="str">
        <f>Translations!$B$397</f>
        <v xml:space="preserve"> </v>
      </c>
      <c r="I459" s="162"/>
      <c r="J459" s="162"/>
      <c r="K459" s="76"/>
      <c r="L459" s="76"/>
      <c r="M459" s="363"/>
      <c r="N459" s="76"/>
      <c r="O459" s="160"/>
      <c r="P459" s="109"/>
      <c r="Q459" s="312"/>
      <c r="R459" s="312"/>
      <c r="S459" s="314"/>
      <c r="T459" s="62"/>
      <c r="U459" s="312"/>
      <c r="V459" s="314"/>
      <c r="W459" s="314"/>
      <c r="X459" s="312"/>
      <c r="Y459" s="319"/>
      <c r="Z459" s="314"/>
      <c r="AA459" s="314"/>
      <c r="AB459" s="314"/>
      <c r="AC459" s="314"/>
      <c r="AD459" s="314"/>
      <c r="AE459" s="314"/>
      <c r="AF459" s="314"/>
      <c r="AG459" s="314"/>
      <c r="AH459" s="314"/>
      <c r="AI459" s="314"/>
      <c r="AJ459" s="314"/>
      <c r="AK459" s="314"/>
      <c r="AL459" s="326"/>
      <c r="AM459" s="326"/>
      <c r="AN459" s="326"/>
      <c r="AO459" s="326"/>
      <c r="AP459" s="326"/>
      <c r="AQ459" s="314"/>
      <c r="AR459" s="314"/>
      <c r="AS459" s="314"/>
      <c r="AT459" s="314"/>
      <c r="AU459" s="314"/>
      <c r="AV459" s="314"/>
      <c r="AW459" s="314"/>
      <c r="AX459" s="314"/>
      <c r="AY459" s="314"/>
      <c r="AZ459" s="314"/>
      <c r="BA459" s="314"/>
      <c r="BB459" s="314"/>
      <c r="BC459" s="314"/>
      <c r="BD459" s="314"/>
      <c r="BE459" s="314"/>
      <c r="BF459" s="314"/>
      <c r="BG459" s="364"/>
      <c r="BH459" s="364"/>
      <c r="BI459" s="314"/>
      <c r="BJ459" s="314"/>
      <c r="BK459" s="314"/>
      <c r="BL459" s="314"/>
      <c r="BM459" s="314"/>
      <c r="BN459" s="314"/>
      <c r="BO459" s="314"/>
      <c r="BP459" s="314"/>
      <c r="BQ459" s="314"/>
      <c r="BR459" s="314"/>
      <c r="BS459" s="314"/>
      <c r="BT459" s="314"/>
      <c r="BU459" s="314"/>
      <c r="BV459" s="314"/>
      <c r="BW459" s="314"/>
      <c r="BX459" s="314"/>
      <c r="BY459" s="314"/>
      <c r="BZ459" s="314"/>
      <c r="CA459" s="314"/>
      <c r="CB459" s="314"/>
      <c r="CC459" s="314"/>
      <c r="CD459" s="314"/>
      <c r="CE459" s="314"/>
      <c r="CF459" s="314"/>
      <c r="CG459" s="314"/>
      <c r="CH459" s="314"/>
      <c r="CI459" s="314"/>
      <c r="CJ459" s="314"/>
      <c r="CK459" s="314"/>
      <c r="CL459" s="314"/>
      <c r="CM459" s="314"/>
      <c r="CN459" s="314"/>
      <c r="CO459" s="314"/>
      <c r="CP459" s="314"/>
      <c r="CQ459" s="319"/>
    </row>
    <row r="460" spans="1:95" ht="12.75" customHeight="1" x14ac:dyDescent="0.25">
      <c r="A460" s="307"/>
      <c r="B460" s="68"/>
      <c r="C460" s="199" t="s">
        <v>13</v>
      </c>
      <c r="D460" s="344" t="str">
        <f>Translations!$B$360</f>
        <v>UCF:</v>
      </c>
      <c r="E460" s="345"/>
      <c r="F460" s="10"/>
      <c r="G460" s="1256" t="str">
        <f>IF(OR(ISBLANK(F460),F460=EUconst_NoTier),"",IF(Z460=0,EUconst_NotApplicable,IF(ISERROR(Z460),"",Z460)))</f>
        <v/>
      </c>
      <c r="H460" s="1257"/>
      <c r="I460" s="365" t="str">
        <f>IF(J460&lt;&gt;"","",AI460)</f>
        <v/>
      </c>
      <c r="J460" s="11"/>
      <c r="K460" s="366" t="str">
        <f>IF(L460="",AU460,"")</f>
        <v/>
      </c>
      <c r="L460" s="23"/>
      <c r="M460" s="347" t="str">
        <f>IF(AND(E453&lt;&gt;"",OR(F460="",COUNT(K460:L460)=0),Y460&lt;&gt;EUconst_NA),EUconst_ERR_Incomplete,IF(COUNTIF(BB460:BD460,TRUE)&gt;0,EUconst_ERR_Inconsistent,""))</f>
        <v/>
      </c>
      <c r="N460" s="367"/>
      <c r="O460" s="160"/>
      <c r="P460" s="109"/>
      <c r="Q460" s="312"/>
      <c r="R460" s="312"/>
      <c r="S460" s="314"/>
      <c r="T460" s="368" t="str">
        <f>EUconst_CNTR_UCF&amp;E453</f>
        <v>UCF_</v>
      </c>
      <c r="U460" s="312"/>
      <c r="V460" s="369" t="str">
        <f>V461</f>
        <v/>
      </c>
      <c r="W460" s="314"/>
      <c r="X460" s="312"/>
      <c r="Y460" s="370" t="str">
        <f>IF(E453="","",IF(OR(F460=EUconst_NA,W460=TRUE),EUconst_NA,INDEX(EUwideConstants!$P$164:$P$200,MATCH(T460,EUwideConstants!$S$164:$S$200,0))))</f>
        <v/>
      </c>
      <c r="Z460" s="371" t="str">
        <f>IF(ISBLANK(F460),"",IF(F460=EUconst_NA,"",INDEX(EUwideConstants!$H:$O,MATCH(T460,EUwideConstants!$S:$S,0),MATCH(F460,CNTR_TierList,0))))</f>
        <v/>
      </c>
      <c r="AA460" s="372" t="str">
        <f>IF(COUNTIF(EUconst_DefaultValues,Z460)&gt;0,MATCH(Z460,EUconst_DefaultValues,0),"")</f>
        <v/>
      </c>
      <c r="AB460" s="314"/>
      <c r="AC460" s="373" t="b">
        <f>AND(AC458,Y460&lt;&gt;EUconst_NA)</f>
        <v>0</v>
      </c>
      <c r="AD460" s="314"/>
      <c r="AE460" s="353" t="str">
        <f>EUconst_CNTR_UCF&amp;EUconst_Unit</f>
        <v>UCF_Unit</v>
      </c>
      <c r="AF460" s="374" t="str">
        <f>IF(AC460=TRUE, IF(COUNTIF(MSPara_SourceStreamCategory,V460)=0,"",INDEX(MSPara_CalcFactorsMatrix,MATCH(V460,MSPara_SourceStreamCategory,0),MATCH(AE460&amp;"_"&amp;2,MSPara_CalcFactors,0))),"")</f>
        <v/>
      </c>
      <c r="AG460" s="375" t="str">
        <f>IF(AC460=TRUE, IF(COUNTIF(MSPara_SourceStreamCategory,V460)=0,"",INDEX(MSPara_CalcFactorsMatrix,MATCH(V460,MSPara_SourceStreamCategory,0),MATCH(AE460&amp;"_"&amp;1,MSPara_CalcFactors,0))),"")</f>
        <v/>
      </c>
      <c r="AH460" s="373" t="str">
        <f>IF(AA460="","",INDEX(AF460:AG460,3-AA460))</f>
        <v/>
      </c>
      <c r="AI460" s="373" t="str">
        <f>IF(AC460=TRUE,IF(OR(AH460="",AH460=EUconst_NA),EUconst_GJ&amp;"/"&amp;AJ458,AH460),"")</f>
        <v/>
      </c>
      <c r="AJ460" s="373" t="str">
        <f>IF(J460="",AI460,J460)</f>
        <v/>
      </c>
      <c r="AK460" s="369" t="b">
        <f>AND(E452&lt;&gt;"",J460&lt;&gt;"")</f>
        <v>0</v>
      </c>
      <c r="AL460" s="326"/>
      <c r="AM460" s="358" t="s">
        <v>151</v>
      </c>
      <c r="AN460" s="359" t="str">
        <f>IF(AJ460="",EUconst_NA,IF(AN458=EUconst_TJ,EUconst_TJ,INDEX(EUwideConstants!$C$135:$G$139,MATCH(AN458,RFAUnits,0),MATCH(AJ460,UCFUnits,0))))</f>
        <v>n.a.</v>
      </c>
      <c r="AO460" s="326"/>
      <c r="AP460" s="326"/>
      <c r="AQ460" s="376" t="str">
        <f>EUconst_CNTR_UCF&amp;EUconst_Value</f>
        <v>UCF_Value</v>
      </c>
      <c r="AR460" s="377" t="str">
        <f>IF(AC460=TRUE,IF(COUNTIF(MSPara_SourceStreamCategory,V460)=0,"",INDEX(MSPara_CalcFactorsMatrix,MATCH(V460,MSPara_SourceStreamCategory,0),MATCH(AQ460&amp;"_"&amp;2,MSPara_CalcFactors,0))),"")</f>
        <v/>
      </c>
      <c r="AS460" s="378" t="str">
        <f>IF(AC460=TRUE,IF(COUNTIF(MSPara_SourceStreamCategory,V460)=0,"",INDEX(MSPara_CalcFactorsMatrix,MATCH(V460,MSPara_SourceStreamCategory,0),MATCH(AQ460&amp;"_"&amp;1,MSPara_CalcFactors,0))),"")</f>
        <v/>
      </c>
      <c r="AT460" s="379" t="b">
        <f>AND(AND(AH460&lt;&gt;"",AJ460&lt;&gt;""),AJ460=AH460)</f>
        <v>0</v>
      </c>
      <c r="AU460" s="380" t="str">
        <f>IF(AND(AA460&lt;&gt;"",AT460=TRUE),IF(OR(INDEX(AR460:AS460,3-AA460)=EUconst_NA,INDEX(AR460:AS460,3-AA460)=0),"",INDEX(AR460:AS460,3-AA460)),"")</f>
        <v/>
      </c>
      <c r="AV460" s="373">
        <f>IF(AC460=TRUE,IF(COUNT(K460:L460)=0,0,IF(L460="",K460,L460)),0)</f>
        <v>0</v>
      </c>
      <c r="AW460" s="369" t="b">
        <f t="shared" ref="AW460:AW467" si="126">AND(AC460=TRUE,OR(AND(F460&lt;&gt;"",NOT(ISNUMBER(AA460))),L460&lt;&gt;"",F460="",AU460=""))</f>
        <v>0</v>
      </c>
      <c r="AX460" s="381" t="b">
        <f t="shared" ref="AX460:AX467" si="127">AND(AC460=TRUE,NOT(AW460))</f>
        <v>0</v>
      </c>
      <c r="AY460" s="314"/>
      <c r="AZ460" s="382" t="b">
        <f t="shared" ref="AZ460:AZ467" si="128">AND(ISNUMBER(AA460),AU460="")</f>
        <v>0</v>
      </c>
      <c r="BA460" s="383" t="b">
        <f t="shared" ref="BA460:BA467" si="129">AND(ISNUMBER(AA460),AU460&lt;&gt;AV460)</f>
        <v>0</v>
      </c>
      <c r="BB460" s="369" t="b">
        <f>AND(E453&lt;&gt;"",F460&lt;&gt;EUconst_NA,AN460=EUconst_NA)</f>
        <v>0</v>
      </c>
      <c r="BC460" s="369" t="b">
        <f t="shared" ref="BC460:BC467" si="130">AND(L460&lt;&gt;"",Y460=EUconst_NA)</f>
        <v>0</v>
      </c>
      <c r="BD460" s="314"/>
      <c r="BE460" s="314"/>
      <c r="BF460" s="382" t="s">
        <v>152</v>
      </c>
      <c r="BG460" s="384" t="str">
        <f>IF(COUNTIF(AO461:AO462,TRUE)=0,"",BH460*AV469)</f>
        <v/>
      </c>
      <c r="BH460" s="384" t="str">
        <f>IF(COUNTIF(AO461:AO462,TRUE)=0,"",AV458*IF(AO461,1,AV460*AN462)*AV461*AV462)</f>
        <v/>
      </c>
      <c r="BI460" s="314"/>
      <c r="BJ460" s="314"/>
      <c r="BK460" s="314"/>
      <c r="BL460" s="314"/>
      <c r="BM460" s="314"/>
      <c r="BN460" s="314"/>
      <c r="BO460" s="314"/>
      <c r="BP460" s="314"/>
      <c r="BQ460" s="314"/>
      <c r="BR460" s="314"/>
      <c r="BS460" s="314"/>
      <c r="BT460" s="314"/>
      <c r="BU460" s="314"/>
      <c r="BV460" s="314"/>
      <c r="BW460" s="314"/>
      <c r="BX460" s="314"/>
      <c r="BY460" s="314"/>
      <c r="BZ460" s="314"/>
      <c r="CA460" s="314"/>
      <c r="CB460" s="314"/>
      <c r="CC460" s="314"/>
      <c r="CD460" s="314"/>
      <c r="CE460" s="314"/>
      <c r="CF460" s="314"/>
      <c r="CG460" s="314"/>
      <c r="CH460" s="314"/>
      <c r="CI460" s="314"/>
      <c r="CJ460" s="314"/>
      <c r="CK460" s="314"/>
      <c r="CL460" s="314"/>
      <c r="CM460" s="314"/>
      <c r="CN460" s="314"/>
      <c r="CO460" s="314"/>
      <c r="CP460" s="314"/>
      <c r="CQ460" s="369" t="b">
        <f>OR(CQ458,Y460=EUconst_NA)</f>
        <v>0</v>
      </c>
    </row>
    <row r="461" spans="1:95" ht="12.75" customHeight="1" thickBot="1" x14ac:dyDescent="0.3">
      <c r="A461" s="307"/>
      <c r="B461" s="68"/>
      <c r="C461" s="199" t="s">
        <v>14</v>
      </c>
      <c r="D461" s="344" t="str">
        <f>Translations!$B$358</f>
        <v>(prelim) EF:</v>
      </c>
      <c r="E461" s="345"/>
      <c r="F461" s="59"/>
      <c r="G461" s="1256" t="str">
        <f>IF(OR(ISBLANK(F461),F461=EUconst_NoTier),"",IF(Z461=0,EUconst_NotApplicable,IF(ISERROR(Z461),"",Z461)))</f>
        <v/>
      </c>
      <c r="H461" s="1260"/>
      <c r="I461" s="385" t="str">
        <f>IF(J461&lt;&gt;"","",AI461)</f>
        <v/>
      </c>
      <c r="J461" s="22"/>
      <c r="K461" s="386" t="str">
        <f>IF(L461="",AU461,"")</f>
        <v/>
      </c>
      <c r="L461" s="58"/>
      <c r="M461" s="347" t="str">
        <f>IF(AND(E453&lt;&gt;"",OR(F461="",COUNT(K461:L461)=0),Y461&lt;&gt;EUconst_NA),EUconst_ERR_Incomplete,IF(COUNTIF(BB461:BD461,TRUE)&gt;0,EUconst_ERR_Inconsistent,""))</f>
        <v/>
      </c>
      <c r="N461" s="387"/>
      <c r="O461" s="160"/>
      <c r="P461" s="109"/>
      <c r="Q461" s="312"/>
      <c r="R461" s="312"/>
      <c r="S461" s="314"/>
      <c r="T461" s="388" t="str">
        <f>EUconst_CNTR_EF&amp;E453</f>
        <v>EF_</v>
      </c>
      <c r="U461" s="312"/>
      <c r="V461" s="389" t="str">
        <f>V458</f>
        <v/>
      </c>
      <c r="W461" s="314"/>
      <c r="X461" s="312"/>
      <c r="Y461" s="390" t="str">
        <f>IF(E453="","",IF(OR(F461=EUconst_NA,W461=TRUE),EUconst_NA,INDEX(EUwideConstants!$P$164:$P$200,MATCH(T461,EUwideConstants!$S$164:$S$200,0))))</f>
        <v/>
      </c>
      <c r="Z461" s="391" t="str">
        <f>IF(ISBLANK(F461),"",IF(F461=EUconst_NA,"",INDEX(EUwideConstants!$H:$O,MATCH(T461,EUwideConstants!$S:$S,0),MATCH(F461,CNTR_TierList,0))))</f>
        <v/>
      </c>
      <c r="AA461" s="392" t="str">
        <f>IF(COUNTIF(EUconst_DefaultValues,Z461)&gt;0,MATCH(Z461,EUconst_DefaultValues,0),"")</f>
        <v/>
      </c>
      <c r="AB461" s="314"/>
      <c r="AC461" s="393" t="b">
        <f>AND(AC458,Y461&lt;&gt;EUconst_NA)</f>
        <v>0</v>
      </c>
      <c r="AD461" s="314"/>
      <c r="AE461" s="394" t="str">
        <f>EUconst_CNTR_EF&amp;EUconst_Unit</f>
        <v>EF_Unit</v>
      </c>
      <c r="AF461" s="395" t="str">
        <f>IF(AC461=TRUE, IF(COUNTIF(MSPara_SourceStreamCategory,V461)=0,"",INDEX(MSPara_CalcFactorsMatrix,MATCH(V461,MSPara_SourceStreamCategory,0),MATCH(AE461&amp;"_"&amp;2,MSPara_CalcFactors,0))),"")</f>
        <v/>
      </c>
      <c r="AG461" s="396" t="str">
        <f>IF(AC461=TRUE, IF(COUNTIF(MSPara_SourceStreamCategory,V461)=0,"",INDEX(MSPara_CalcFactorsMatrix,MATCH(V461,MSPara_SourceStreamCategory,0),MATCH(AE461&amp;"_"&amp;1,MSPara_CalcFactors,0))),"")</f>
        <v/>
      </c>
      <c r="AH461" s="397" t="str">
        <f>IF(AA461="","",INDEX(AF461:AG461,3-AA461))</f>
        <v/>
      </c>
      <c r="AI461" s="397" t="str">
        <f>IF(AC461=TRUE,IF(OR(AH461="",AH461=EUconst_NA),EUconst_tCO2&amp;"/"&amp;IF(AN460=EUconst_NA,AN458,IF(AN460=EUconst_GJ,EUconst_TJ,AN460)),AH461),"")</f>
        <v/>
      </c>
      <c r="AJ461" s="397" t="str">
        <f>IF(J461="",AI461,J461)</f>
        <v/>
      </c>
      <c r="AK461" s="398" t="b">
        <f>AND(E453&lt;&gt;"",J461&lt;&gt;"")</f>
        <v>0</v>
      </c>
      <c r="AL461" s="326"/>
      <c r="AM461" s="358" t="s">
        <v>153</v>
      </c>
      <c r="AN461" s="359" t="str">
        <f>IF(COUNTIF(RFAUnits,AN458)=0,EUconst_NA,INDEX(EUwideConstants!$C$150:$H$154,MATCH(AJ461,EFUnits,0),MATCH(AN458,EUwideConstants!$C$149:$H$149,0)))</f>
        <v>n.a.</v>
      </c>
      <c r="AO461" s="359" t="b">
        <f>AN461&lt;&gt;EUconst_NA</f>
        <v>0</v>
      </c>
      <c r="AP461" s="326"/>
      <c r="AQ461" s="399" t="str">
        <f>EUconst_CNTR_EF&amp;EUconst_Value</f>
        <v>EF_Value</v>
      </c>
      <c r="AR461" s="400" t="str">
        <f>IF(AC461=TRUE,IF(COUNTIF(MSPara_SourceStreamCategory,V461)=0,"",INDEX(MSPara_CalcFactorsMatrix,MATCH(V461,MSPara_SourceStreamCategory,0),MATCH(AQ461&amp;"_"&amp;2,MSPara_CalcFactors,0))),"")</f>
        <v/>
      </c>
      <c r="AS461" s="401" t="str">
        <f>IF(AC461=TRUE,IF(COUNTIF(MSPara_SourceStreamCategory,V461)=0,"",INDEX(MSPara_CalcFactorsMatrix,MATCH(V461,MSPara_SourceStreamCategory,0),MATCH(AQ461&amp;"_"&amp;1,MSPara_CalcFactors,0))),"")</f>
        <v/>
      </c>
      <c r="AT461" s="402" t="b">
        <f>AND(AND(AH461&lt;&gt;"",AJ461&lt;&gt;""),AJ461=AH461)</f>
        <v>0</v>
      </c>
      <c r="AU461" s="403" t="str">
        <f>IF(AND(AA461&lt;&gt;"",AT461=TRUE),IF(OR(INDEX(AR461:AS461,3-AA461)=EUconst_NA,INDEX(AR461:AS461,3-AA461)=0),"",INDEX(AR461:AS461,3-AA461)),"")</f>
        <v/>
      </c>
      <c r="AV461" s="393">
        <f>IF(AC461=TRUE,IF(COUNT(K461:L461)=0,0,IF(L461="",K461,L461)),0)</f>
        <v>0</v>
      </c>
      <c r="AW461" s="389" t="b">
        <f t="shared" si="126"/>
        <v>0</v>
      </c>
      <c r="AX461" s="404" t="b">
        <f t="shared" si="127"/>
        <v>0</v>
      </c>
      <c r="AY461" s="314"/>
      <c r="AZ461" s="405" t="b">
        <f t="shared" si="128"/>
        <v>0</v>
      </c>
      <c r="BA461" s="406" t="b">
        <f t="shared" si="129"/>
        <v>0</v>
      </c>
      <c r="BB461" s="407" t="b">
        <f>AND(E453&lt;&gt;"",COUNTIF(AO461:AO462,TRUE)=0)</f>
        <v>0</v>
      </c>
      <c r="BC461" s="389" t="b">
        <f t="shared" si="130"/>
        <v>0</v>
      </c>
      <c r="BD461" s="314"/>
      <c r="BE461" s="314"/>
      <c r="BF461" s="408" t="s">
        <v>154</v>
      </c>
      <c r="BG461" s="409" t="str">
        <f>IF(COUNTIF(AO461:AO462,TRUE)=0,"",BH461*AV469)</f>
        <v/>
      </c>
      <c r="BH461" s="409" t="str">
        <f>IF(COUNTIF(AO461:AO462,TRUE)=0,"",AV458*IF(AO461,1,AV460*AN462)*AV461*AV463)</f>
        <v/>
      </c>
      <c r="BI461" s="314"/>
      <c r="BJ461" s="314"/>
      <c r="BK461" s="314"/>
      <c r="BL461" s="314"/>
      <c r="BM461" s="314"/>
      <c r="BN461" s="314"/>
      <c r="BO461" s="314"/>
      <c r="BP461" s="314"/>
      <c r="BQ461" s="314"/>
      <c r="BR461" s="314"/>
      <c r="BS461" s="314"/>
      <c r="BT461" s="314"/>
      <c r="BU461" s="314"/>
      <c r="BV461" s="314"/>
      <c r="BW461" s="314"/>
      <c r="BX461" s="314"/>
      <c r="BY461" s="314"/>
      <c r="BZ461" s="314"/>
      <c r="CA461" s="314"/>
      <c r="CB461" s="314"/>
      <c r="CC461" s="314"/>
      <c r="CD461" s="314"/>
      <c r="CE461" s="314"/>
      <c r="CF461" s="314"/>
      <c r="CG461" s="314"/>
      <c r="CH461" s="314"/>
      <c r="CI461" s="314"/>
      <c r="CJ461" s="314"/>
      <c r="CK461" s="314"/>
      <c r="CL461" s="314"/>
      <c r="CM461" s="314"/>
      <c r="CN461" s="314"/>
      <c r="CO461" s="314"/>
      <c r="CP461" s="314"/>
      <c r="CQ461" s="407" t="b">
        <f>OR(CQ458,Y461=EUconst_NA)</f>
        <v>0</v>
      </c>
    </row>
    <row r="462" spans="1:95" ht="12.75" customHeight="1" x14ac:dyDescent="0.25">
      <c r="A462" s="307"/>
      <c r="B462" s="68"/>
      <c r="C462" s="199" t="s">
        <v>15</v>
      </c>
      <c r="D462" s="344" t="str">
        <f>Translations!$B$362</f>
        <v>BioF:</v>
      </c>
      <c r="E462" s="345"/>
      <c r="F462" s="10"/>
      <c r="G462" s="1256" t="str">
        <f>IF(OR(ISBLANK(F462),F462=EUconst_NoTier),"",IF(Z462=0,EUconst_NotApplicable,IF(ISERROR(Z462),"",Z462)))</f>
        <v/>
      </c>
      <c r="H462" s="1257"/>
      <c r="I462" s="410" t="str">
        <f t="shared" ref="I462:I467" si="131">IF(OR(AC462=FALSE,Y462=EUconst_NA),"","-")</f>
        <v/>
      </c>
      <c r="J462" s="411"/>
      <c r="K462" s="412" t="str">
        <f>IF(L462="",AU462,"")</f>
        <v/>
      </c>
      <c r="L462" s="60"/>
      <c r="M462" s="347" t="str">
        <f>IF(AND(E453&lt;&gt;"",OR(F462="",COUNT(K462:L462)=0),Y462&lt;&gt;EUconst_NA),EUconst_ERR_Incomplete,IF(COUNTIF(BB462:BD462,TRUE)&gt;0,EUconst_ERR_Inconsistent,""))</f>
        <v/>
      </c>
      <c r="O462" s="160"/>
      <c r="P462" s="348"/>
      <c r="Q462" s="413"/>
      <c r="R462" s="413"/>
      <c r="S462" s="314"/>
      <c r="T462" s="388" t="str">
        <f>EUconst_CNTR_BiomassContent&amp;E453</f>
        <v>BioC_</v>
      </c>
      <c r="U462" s="312"/>
      <c r="V462" s="369" t="str">
        <f>V460</f>
        <v/>
      </c>
      <c r="W462" s="369" t="str">
        <f>IF(OR(V462="",COUNTIF(MSPara_SourceStreamCategory,V462)=0),"",INDEX(MSPara_IsFossil,MATCH(V462,MSPara_SourceStreamCategory,0)))</f>
        <v/>
      </c>
      <c r="X462" s="312"/>
      <c r="Y462" s="370" t="str">
        <f>IF(E453="","",IF(OR(F462=EUconst_NA,W462=TRUE),EUconst_NA,INDEX(EUwideConstants!$P$164:$P$200,MATCH(T462,EUwideConstants!$S$164:$S$200,0))))</f>
        <v/>
      </c>
      <c r="Z462" s="371" t="str">
        <f>IF(ISBLANK(F462),"",IF(F462=EUconst_NA,"",INDEX(EUwideConstants!$H:$O,MATCH(T462,EUwideConstants!$S:$S,0),MATCH(F462,CNTR_TierList,0))))</f>
        <v/>
      </c>
      <c r="AA462" s="414" t="str">
        <f>IF(F462=1,1,"")</f>
        <v/>
      </c>
      <c r="AB462" s="314"/>
      <c r="AC462" s="373" t="b">
        <f>AND(AC458,Y462&lt;&gt;EUconst_NA)</f>
        <v>0</v>
      </c>
      <c r="AD462" s="314"/>
      <c r="AE462" s="415"/>
      <c r="AF462" s="416"/>
      <c r="AG462" s="417"/>
      <c r="AH462" s="418"/>
      <c r="AI462" s="418"/>
      <c r="AJ462" s="418"/>
      <c r="AK462" s="419"/>
      <c r="AL462" s="326"/>
      <c r="AM462" s="358" t="s">
        <v>155</v>
      </c>
      <c r="AN462" s="359" t="str">
        <f>IF(AN460=EUconst_NA,EUconst_NA,INDEX(EUwideConstants!$C$150:$H$154,MATCH(AJ461,EFUnits,0),MATCH(AN460,EUwideConstants!$C$149:$H$149,0)))</f>
        <v>n.a.</v>
      </c>
      <c r="AO462" s="359" t="b">
        <f>AN462&lt;&gt;EUconst_NA</f>
        <v>0</v>
      </c>
      <c r="AP462" s="326"/>
      <c r="AQ462" s="376" t="str">
        <f>EUconst_CNTR_BiomassContent&amp;EUconst_Value</f>
        <v>BioC_Value</v>
      </c>
      <c r="AR462" s="420"/>
      <c r="AS462" s="378" t="str">
        <f t="shared" ref="AS462:AS467" si="132">IF(AC462=TRUE,IF(COUNTIF(MSPara_SourceStreamCategory,V462)=0,"",INDEX(MSPara_CalcFactorsMatrix,MATCH(V462,MSPara_SourceStreamCategory,0),MATCH(AQ462&amp;"_"&amp;2,MSPara_CalcFactors,0))),"")</f>
        <v/>
      </c>
      <c r="AT462" s="421"/>
      <c r="AU462" s="380" t="str">
        <f t="shared" ref="AU462:AU467" si="133">IF(OR(AA462="",AS462=EUconst_NA),"",AS462)</f>
        <v/>
      </c>
      <c r="AV462" s="373">
        <f>IF(AC462=TRUE,IF(COUNT(K462:L462)=0,0,IF(L462="",K462,L462)),0)</f>
        <v>0</v>
      </c>
      <c r="AW462" s="369" t="b">
        <f t="shared" si="126"/>
        <v>0</v>
      </c>
      <c r="AX462" s="381" t="b">
        <f t="shared" si="127"/>
        <v>0</v>
      </c>
      <c r="AY462" s="314"/>
      <c r="AZ462" s="382" t="b">
        <f t="shared" si="128"/>
        <v>0</v>
      </c>
      <c r="BA462" s="383" t="b">
        <f t="shared" si="129"/>
        <v>0</v>
      </c>
      <c r="BB462" s="314"/>
      <c r="BC462" s="369" t="b">
        <f t="shared" si="130"/>
        <v>0</v>
      </c>
      <c r="BD462" s="369" t="b">
        <f>OR(AV462&gt;100%,(AV462+AV463)&gt;100%)</f>
        <v>0</v>
      </c>
      <c r="BE462" s="314"/>
      <c r="BF462" s="382" t="s">
        <v>156</v>
      </c>
      <c r="BG462" s="384" t="str">
        <f>IF(COUNTIF(AO461:AO462,TRUE)=0,"",BH462*AV469)</f>
        <v/>
      </c>
      <c r="BH462" s="384" t="str">
        <f>IF(COUNTIF(AO461:AO462,TRUE)=0,"",AV458*IF(AO461,1,AV460*AN462)*AV461*AV464)</f>
        <v/>
      </c>
      <c r="BJ462" s="314"/>
      <c r="BK462" s="314"/>
      <c r="BL462" s="314"/>
      <c r="BM462" s="314"/>
      <c r="BN462" s="314"/>
      <c r="BO462" s="314"/>
      <c r="BP462" s="314"/>
      <c r="BQ462" s="314"/>
      <c r="BR462" s="314"/>
      <c r="BS462" s="314"/>
      <c r="BT462" s="314"/>
      <c r="BU462" s="314"/>
      <c r="BV462" s="314"/>
      <c r="BW462" s="314"/>
      <c r="BX462" s="314"/>
      <c r="BY462" s="314"/>
      <c r="BZ462" s="314"/>
      <c r="CA462" s="314"/>
      <c r="CB462" s="314"/>
      <c r="CC462" s="314"/>
      <c r="CD462" s="314"/>
      <c r="CE462" s="314"/>
      <c r="CF462" s="314"/>
      <c r="CG462" s="314"/>
      <c r="CH462" s="314"/>
      <c r="CI462" s="314"/>
      <c r="CJ462" s="314"/>
      <c r="CK462" s="314"/>
      <c r="CL462" s="314"/>
      <c r="CM462" s="314"/>
      <c r="CN462" s="314"/>
      <c r="CO462" s="314"/>
      <c r="CP462" s="314"/>
      <c r="CQ462" s="369" t="b">
        <f>OR(CQ458,Y462=EUconst_NA)</f>
        <v>0</v>
      </c>
    </row>
    <row r="463" spans="1:95" ht="12.75" customHeight="1" thickBot="1" x14ac:dyDescent="0.3">
      <c r="A463" s="307"/>
      <c r="B463" s="68"/>
      <c r="C463" s="199" t="s">
        <v>16</v>
      </c>
      <c r="D463" s="344" t="str">
        <f>Translations!$B$368</f>
        <v>non-sust. BioF:</v>
      </c>
      <c r="E463" s="345"/>
      <c r="F463" s="20"/>
      <c r="G463" s="1256" t="str">
        <f>IF(OR(ISBLANK(F463),F463=EUconst_NoTier),"",IF(Z463=0,EUconst_NotApplicable,IF(ISERROR(Z463),"",Z463)))</f>
        <v/>
      </c>
      <c r="H463" s="1257"/>
      <c r="I463" s="422" t="str">
        <f t="shared" si="131"/>
        <v/>
      </c>
      <c r="J463" s="423"/>
      <c r="K463" s="424" t="str">
        <f>IF(L463="",AU463,"")</f>
        <v/>
      </c>
      <c r="L463" s="21"/>
      <c r="M463" s="347" t="str">
        <f>IF(AND(E453&lt;&gt;"",OR(F463="",COUNT(K463:L463)=0),Y463&lt;&gt;EUconst_NA),EUconst_ERR_Incomplete,IF(COUNTIF(BB463:BD463,TRUE)&gt;0,EUconst_ERR_Inconsistent,""))</f>
        <v/>
      </c>
      <c r="N463" s="76"/>
      <c r="O463" s="160"/>
      <c r="P463" s="348"/>
      <c r="Q463" s="413"/>
      <c r="R463" s="413"/>
      <c r="S463" s="314"/>
      <c r="T463" s="425" t="str">
        <f>EUconst_CNTR_BiomassContent&amp;E453</f>
        <v>BioC_</v>
      </c>
      <c r="U463" s="312"/>
      <c r="V463" s="407" t="str">
        <f>V462</f>
        <v/>
      </c>
      <c r="W463" s="407" t="str">
        <f>IF(OR(V462="",COUNTIF(MSPara_SourceStreamCategory,V463)=0),"",INDEX(MSPara_IsFossil,MATCH(V463,MSPara_SourceStreamCategory,0)))</f>
        <v/>
      </c>
      <c r="X463" s="312"/>
      <c r="Y463" s="426" t="str">
        <f>IF(E453="","",IF(OR(F463=EUconst_NA,W463=TRUE),EUconst_NA,INDEX(EUwideConstants!$P$164:$P$200,MATCH(T463,EUwideConstants!$S$164:$S$200,0))))</f>
        <v/>
      </c>
      <c r="Z463" s="427" t="str">
        <f>IF(ISBLANK(F463),"",IF(F463=EUconst_NA,"",INDEX(EUwideConstants!$H:$O,MATCH(T463,EUwideConstants!$S:$S,0),MATCH(F463,CNTR_TierList,0))))</f>
        <v/>
      </c>
      <c r="AA463" s="428" t="str">
        <f>IF(F463=1,1,"")</f>
        <v/>
      </c>
      <c r="AB463" s="314"/>
      <c r="AC463" s="429" t="b">
        <f>AND(AC458,Y463&lt;&gt;EUconst_NA)</f>
        <v>0</v>
      </c>
      <c r="AD463" s="314"/>
      <c r="AE463" s="430"/>
      <c r="AF463" s="431"/>
      <c r="AG463" s="432"/>
      <c r="AH463" s="433"/>
      <c r="AI463" s="433"/>
      <c r="AJ463" s="433"/>
      <c r="AK463" s="434"/>
      <c r="AL463" s="326"/>
      <c r="AM463" s="326"/>
      <c r="AN463" s="326"/>
      <c r="AO463" s="326"/>
      <c r="AP463" s="326"/>
      <c r="AQ463" s="435" t="str">
        <f>EUconst_CNTR_BiomassContent&amp;EUconst_Value</f>
        <v>BioC_Value</v>
      </c>
      <c r="AR463" s="430"/>
      <c r="AS463" s="436" t="str">
        <f t="shared" si="132"/>
        <v/>
      </c>
      <c r="AT463" s="437"/>
      <c r="AU463" s="438" t="str">
        <f t="shared" si="133"/>
        <v/>
      </c>
      <c r="AV463" s="429">
        <f>IF(AC463=TRUE,IF(COUNT(K463:L463)=0,0,IF(L463="",K463,L463)),0)</f>
        <v>0</v>
      </c>
      <c r="AW463" s="407" t="b">
        <f t="shared" si="126"/>
        <v>0</v>
      </c>
      <c r="AX463" s="439" t="b">
        <f t="shared" si="127"/>
        <v>0</v>
      </c>
      <c r="AY463" s="314"/>
      <c r="AZ463" s="408" t="b">
        <f t="shared" si="128"/>
        <v>0</v>
      </c>
      <c r="BA463" s="440" t="b">
        <f t="shared" si="129"/>
        <v>0</v>
      </c>
      <c r="BB463" s="314"/>
      <c r="BC463" s="407" t="b">
        <f t="shared" si="130"/>
        <v>0</v>
      </c>
      <c r="BD463" s="407" t="b">
        <f>OR(AV462&gt;100%,(AV462+AV463)&gt;100%)</f>
        <v>0</v>
      </c>
      <c r="BE463" s="314"/>
      <c r="BF463" s="408" t="s">
        <v>157</v>
      </c>
      <c r="BG463" s="409" t="str">
        <f>IF(COUNTIF(AO461:AO462,TRUE)=0,"",BH463*AV469)</f>
        <v/>
      </c>
      <c r="BH463" s="409" t="str">
        <f>IF(COUNTIF(AO461:AO462,TRUE)=0,"",AV458*IF(AO461,1,AV460*AN462)*AV461*AV465)</f>
        <v/>
      </c>
      <c r="BJ463" s="314"/>
      <c r="BK463" s="314"/>
      <c r="BL463" s="314"/>
      <c r="BM463" s="314"/>
      <c r="BN463" s="314"/>
      <c r="BO463" s="314"/>
      <c r="BP463" s="314"/>
      <c r="BQ463" s="314"/>
      <c r="BR463" s="314"/>
      <c r="BS463" s="314"/>
      <c r="BT463" s="314"/>
      <c r="BU463" s="314"/>
      <c r="BV463" s="314"/>
      <c r="BW463" s="314"/>
      <c r="BX463" s="314"/>
      <c r="BY463" s="314"/>
      <c r="BZ463" s="314"/>
      <c r="CA463" s="314"/>
      <c r="CB463" s="314"/>
      <c r="CC463" s="314"/>
      <c r="CD463" s="314"/>
      <c r="CE463" s="314"/>
      <c r="CF463" s="314"/>
      <c r="CG463" s="314"/>
      <c r="CH463" s="314"/>
      <c r="CI463" s="314"/>
      <c r="CJ463" s="314"/>
      <c r="CK463" s="314"/>
      <c r="CL463" s="314"/>
      <c r="CM463" s="314"/>
      <c r="CN463" s="314"/>
      <c r="CO463" s="314"/>
      <c r="CP463" s="314"/>
      <c r="CQ463" s="407" t="b">
        <f>OR(CQ458,Y463=EUconst_NA)</f>
        <v>0</v>
      </c>
    </row>
    <row r="464" spans="1:95" ht="12.75" customHeight="1" thickBot="1" x14ac:dyDescent="0.3">
      <c r="A464" s="307"/>
      <c r="B464" s="68"/>
      <c r="C464" s="199" t="s">
        <v>17</v>
      </c>
      <c r="D464" s="344" t="str">
        <f>Translations!$B$610</f>
        <v>sust. RFNBO/RCF:</v>
      </c>
      <c r="E464" s="441"/>
      <c r="F464" s="19" t="s">
        <v>158</v>
      </c>
      <c r="G464" s="1261"/>
      <c r="H464" s="1262"/>
      <c r="I464" s="442" t="str">
        <f t="shared" si="131"/>
        <v/>
      </c>
      <c r="J464" s="411"/>
      <c r="K464" s="443"/>
      <c r="L464" s="55"/>
      <c r="M464" s="347" t="str">
        <f>IF(AND(E453&lt;&gt;"",OR(F464="",COUNT(L464)=0),Y464&lt;&gt;EUconst_NA),EUconst_ERR_Incomplete,"")</f>
        <v/>
      </c>
      <c r="N464" s="76"/>
      <c r="O464" s="160"/>
      <c r="P464" s="348"/>
      <c r="Q464" s="413"/>
      <c r="R464" s="413"/>
      <c r="S464" s="314"/>
      <c r="T464" s="388" t="str">
        <f>EUconst_CNTR_RFNBOetcContent&amp;E453</f>
        <v>RNFBOC_</v>
      </c>
      <c r="U464" s="312"/>
      <c r="V464" s="312"/>
      <c r="W464" s="312"/>
      <c r="X464" s="312"/>
      <c r="Y464" s="380" t="str">
        <f>IF(E453="","",IF(OR(F464=EUconst_NA,W464=TRUE),EUconst_NA,INDEX(EUwideConstants!$P$164:$P$200,MATCH(T464,EUwideConstants!$S$164:$S$200,0))))</f>
        <v/>
      </c>
      <c r="Z464" s="314"/>
      <c r="AA464" s="314"/>
      <c r="AB464" s="314"/>
      <c r="AC464" s="397" t="b">
        <f>AND(AC460,Y464&lt;&gt;EUconst_NA)</f>
        <v>0</v>
      </c>
      <c r="AD464" s="314"/>
      <c r="AE464" s="415"/>
      <c r="AF464" s="416"/>
      <c r="AG464" s="417"/>
      <c r="AH464" s="418"/>
      <c r="AI464" s="418"/>
      <c r="AJ464" s="418"/>
      <c r="AK464" s="419"/>
      <c r="AL464" s="326"/>
      <c r="AM464" s="326"/>
      <c r="AN464" s="326"/>
      <c r="AO464" s="326"/>
      <c r="AP464" s="326"/>
      <c r="AQ464" s="444" t="s">
        <v>159</v>
      </c>
      <c r="AR464" s="415"/>
      <c r="AS464" s="445" t="str">
        <f t="shared" si="132"/>
        <v/>
      </c>
      <c r="AT464" s="446"/>
      <c r="AU464" s="447" t="str">
        <f t="shared" si="133"/>
        <v/>
      </c>
      <c r="AV464" s="397">
        <f>IF(L464&lt;&gt;0,L464,L464)</f>
        <v>0</v>
      </c>
      <c r="AW464" s="398" t="b">
        <f t="shared" si="126"/>
        <v>0</v>
      </c>
      <c r="AX464" s="448" t="b">
        <f t="shared" si="127"/>
        <v>0</v>
      </c>
      <c r="AY464" s="314"/>
      <c r="AZ464" s="449" t="b">
        <f t="shared" si="128"/>
        <v>0</v>
      </c>
      <c r="BA464" s="450" t="b">
        <f t="shared" si="129"/>
        <v>0</v>
      </c>
      <c r="BB464" s="314"/>
      <c r="BC464" s="398" t="b">
        <f t="shared" si="130"/>
        <v>0</v>
      </c>
      <c r="BD464" s="369" t="b">
        <f>OR(AV464&gt;100%,(AV464+AV465)&gt;100%)</f>
        <v>0</v>
      </c>
      <c r="BE464" s="314"/>
      <c r="BF464" s="451" t="s">
        <v>160</v>
      </c>
      <c r="BG464" s="452" t="str">
        <f>IF(COUNTIF(AO461:AO462,TRUE)=0,"",BH464*AV469)</f>
        <v/>
      </c>
      <c r="BH464" s="452" t="str">
        <f>IF(COUNTIF(AO461:AO462,TRUE)=0,"",AV458*IF(AO461,1,AV460*AN462)*AV461*AV466)</f>
        <v/>
      </c>
      <c r="BJ464" s="314"/>
      <c r="BK464" s="314"/>
      <c r="BL464" s="314"/>
      <c r="BM464" s="314"/>
      <c r="BN464" s="314"/>
      <c r="BO464" s="314"/>
      <c r="BP464" s="314"/>
      <c r="BQ464" s="314"/>
      <c r="BR464" s="314"/>
      <c r="BS464" s="314"/>
      <c r="BT464" s="314"/>
      <c r="BU464" s="314"/>
      <c r="BV464" s="314"/>
      <c r="BW464" s="314"/>
      <c r="BX464" s="314"/>
      <c r="BY464" s="314"/>
      <c r="BZ464" s="314"/>
      <c r="CA464" s="314"/>
      <c r="CB464" s="314"/>
      <c r="CC464" s="314"/>
      <c r="CD464" s="314"/>
      <c r="CE464" s="314"/>
      <c r="CF464" s="314"/>
      <c r="CG464" s="314"/>
      <c r="CH464" s="314"/>
      <c r="CI464" s="314"/>
      <c r="CJ464" s="314"/>
      <c r="CK464" s="314"/>
      <c r="CL464" s="314"/>
      <c r="CM464" s="314"/>
      <c r="CN464" s="314"/>
      <c r="CO464" s="314"/>
      <c r="CP464" s="314"/>
      <c r="CQ464" s="407" t="b">
        <f>OR(CQ458,Y464=EUconst_NA)</f>
        <v>0</v>
      </c>
    </row>
    <row r="465" spans="1:95" ht="12.75" customHeight="1" thickBot="1" x14ac:dyDescent="0.3">
      <c r="A465" s="307"/>
      <c r="B465" s="68"/>
      <c r="C465" s="199" t="s">
        <v>161</v>
      </c>
      <c r="D465" s="344" t="str">
        <f>Translations!$B$613</f>
        <v>non-sust. RFNBO/RCF:</v>
      </c>
      <c r="E465" s="441"/>
      <c r="F465" s="20" t="s">
        <v>158</v>
      </c>
      <c r="G465" s="1261"/>
      <c r="H465" s="1262"/>
      <c r="I465" s="422" t="str">
        <f t="shared" si="131"/>
        <v/>
      </c>
      <c r="J465" s="423"/>
      <c r="K465" s="443"/>
      <c r="L465" s="56"/>
      <c r="M465" s="347" t="str">
        <f>IF(AND(E453&lt;&gt;"",OR(F465="",COUNT(L465)=0),Y465&lt;&gt;EUconst_NA),EUconst_ERR_Incomplete,"")</f>
        <v/>
      </c>
      <c r="N465" s="76"/>
      <c r="O465" s="160"/>
      <c r="P465" s="348"/>
      <c r="Q465" s="413"/>
      <c r="R465" s="413"/>
      <c r="S465" s="314"/>
      <c r="T465" s="425" t="str">
        <f>EUconst_CNTR_RFNBOetcContent&amp;E453</f>
        <v>RNFBOC_</v>
      </c>
      <c r="U465" s="312"/>
      <c r="V465" s="312"/>
      <c r="W465" s="312"/>
      <c r="X465" s="312"/>
      <c r="Y465" s="438" t="str">
        <f>IF(E453="","",IF(OR(F465=EUconst_NA,W465=TRUE),EUconst_NA,INDEX(EUwideConstants!$P$164:$P$200,MATCH(T465,EUwideConstants!$S$164:$S$200,0))))</f>
        <v/>
      </c>
      <c r="Z465" s="314"/>
      <c r="AA465" s="314"/>
      <c r="AB465" s="314"/>
      <c r="AC465" s="429" t="b">
        <f>AND(AC460,Y465&lt;&gt;EUconst_NA)</f>
        <v>0</v>
      </c>
      <c r="AD465" s="314"/>
      <c r="AE465" s="430"/>
      <c r="AF465" s="431"/>
      <c r="AG465" s="432"/>
      <c r="AH465" s="433"/>
      <c r="AI465" s="433"/>
      <c r="AJ465" s="433"/>
      <c r="AK465" s="434"/>
      <c r="AL465" s="326"/>
      <c r="AM465" s="326"/>
      <c r="AN465" s="326"/>
      <c r="AO465" s="326"/>
      <c r="AP465" s="326"/>
      <c r="AQ465" s="435" t="s">
        <v>159</v>
      </c>
      <c r="AR465" s="430"/>
      <c r="AS465" s="436" t="str">
        <f t="shared" si="132"/>
        <v/>
      </c>
      <c r="AT465" s="437"/>
      <c r="AU465" s="438" t="str">
        <f t="shared" si="133"/>
        <v/>
      </c>
      <c r="AV465" s="429">
        <f t="shared" ref="AV465:AV467" si="134">IF(L465&lt;&gt;0,L465,L465)</f>
        <v>0</v>
      </c>
      <c r="AW465" s="407" t="b">
        <f t="shared" si="126"/>
        <v>0</v>
      </c>
      <c r="AX465" s="439" t="b">
        <f t="shared" si="127"/>
        <v>0</v>
      </c>
      <c r="AY465" s="314"/>
      <c r="AZ465" s="408" t="b">
        <f t="shared" si="128"/>
        <v>0</v>
      </c>
      <c r="BA465" s="440" t="b">
        <f t="shared" si="129"/>
        <v>0</v>
      </c>
      <c r="BB465" s="314"/>
      <c r="BC465" s="407" t="b">
        <f t="shared" si="130"/>
        <v>0</v>
      </c>
      <c r="BD465" s="407" t="b">
        <f>OR(AV464&gt;100%,(AV464+AV465)&gt;100%)</f>
        <v>0</v>
      </c>
      <c r="BE465" s="314"/>
      <c r="BF465" s="408" t="s">
        <v>162</v>
      </c>
      <c r="BG465" s="409" t="str">
        <f>IF(COUNTIF(AO461:AO462,TRUE)=0,"",BH465*AV469)</f>
        <v/>
      </c>
      <c r="BH465" s="409" t="str">
        <f>IF(COUNTIF(AO461:AO462,TRUE)=0,"",AV458*IF(AO461,1,AV460*AN462)*AV461*AV467)</f>
        <v/>
      </c>
      <c r="BJ465" s="314"/>
      <c r="BK465" s="314"/>
      <c r="BL465" s="314"/>
      <c r="BM465" s="314"/>
      <c r="BN465" s="314"/>
      <c r="BO465" s="314"/>
      <c r="BP465" s="314"/>
      <c r="BQ465" s="314"/>
      <c r="BR465" s="314"/>
      <c r="BS465" s="314"/>
      <c r="BT465" s="314"/>
      <c r="BU465" s="314"/>
      <c r="BV465" s="314"/>
      <c r="BW465" s="314"/>
      <c r="BX465" s="314"/>
      <c r="BY465" s="314"/>
      <c r="BZ465" s="314"/>
      <c r="CA465" s="314"/>
      <c r="CB465" s="314"/>
      <c r="CC465" s="314"/>
      <c r="CD465" s="314"/>
      <c r="CE465" s="314"/>
      <c r="CF465" s="314"/>
      <c r="CG465" s="314"/>
      <c r="CH465" s="314"/>
      <c r="CI465" s="314"/>
      <c r="CJ465" s="314"/>
      <c r="CK465" s="314"/>
      <c r="CL465" s="314"/>
      <c r="CM465" s="314"/>
      <c r="CN465" s="314"/>
      <c r="CO465" s="314"/>
      <c r="CP465" s="314"/>
      <c r="CQ465" s="407" t="b">
        <f>OR(CQ458,Y465=EUconst_NA)</f>
        <v>0</v>
      </c>
    </row>
    <row r="466" spans="1:95" ht="12.75" customHeight="1" thickBot="1" x14ac:dyDescent="0.3">
      <c r="A466" s="307"/>
      <c r="B466" s="68"/>
      <c r="C466" s="199" t="s">
        <v>163</v>
      </c>
      <c r="D466" s="344" t="str">
        <f>Translations!$B$615</f>
        <v>sust. SLCF:</v>
      </c>
      <c r="E466" s="441"/>
      <c r="F466" s="19" t="s">
        <v>158</v>
      </c>
      <c r="G466" s="1261"/>
      <c r="H466" s="1262"/>
      <c r="I466" s="442" t="str">
        <f t="shared" si="131"/>
        <v/>
      </c>
      <c r="J466" s="411"/>
      <c r="K466" s="443"/>
      <c r="L466" s="57"/>
      <c r="M466" s="347" t="str">
        <f>IF(AND(E453&lt;&gt;"",OR(F466="",COUNT(L466)=0),Y466&lt;&gt;EUconst_NA),EUconst_ERR_Incomplete,"")</f>
        <v/>
      </c>
      <c r="N466" s="76"/>
      <c r="O466" s="160"/>
      <c r="P466" s="348"/>
      <c r="Q466" s="413"/>
      <c r="R466" s="413"/>
      <c r="S466" s="314"/>
      <c r="T466" s="388" t="str">
        <f>EUconst_CNTR_RFNBOetcContent&amp;E453</f>
        <v>RNFBOC_</v>
      </c>
      <c r="U466" s="312"/>
      <c r="V466" s="312"/>
      <c r="W466" s="312"/>
      <c r="X466" s="312"/>
      <c r="Y466" s="447" t="str">
        <f>IF(E453="","",IF(OR(F466=EUconst_NA,W466=TRUE),EUconst_NA,INDEX(EUwideConstants!$P$164:$P$200,MATCH(T466,EUwideConstants!$S$164:$S$200,0))))</f>
        <v/>
      </c>
      <c r="Z466" s="314"/>
      <c r="AA466" s="314"/>
      <c r="AB466" s="314"/>
      <c r="AC466" s="397" t="b">
        <f>AND(AC462,Y466&lt;&gt;EUconst_NA)</f>
        <v>0</v>
      </c>
      <c r="AD466" s="314"/>
      <c r="AE466" s="415"/>
      <c r="AF466" s="416"/>
      <c r="AG466" s="417"/>
      <c r="AH466" s="418"/>
      <c r="AI466" s="418"/>
      <c r="AJ466" s="418"/>
      <c r="AK466" s="419"/>
      <c r="AL466" s="326"/>
      <c r="AM466" s="326"/>
      <c r="AN466" s="326"/>
      <c r="AO466" s="326"/>
      <c r="AP466" s="326"/>
      <c r="AQ466" s="444" t="s">
        <v>159</v>
      </c>
      <c r="AR466" s="415"/>
      <c r="AS466" s="445" t="str">
        <f t="shared" si="132"/>
        <v/>
      </c>
      <c r="AT466" s="446"/>
      <c r="AU466" s="447" t="str">
        <f t="shared" si="133"/>
        <v/>
      </c>
      <c r="AV466" s="397">
        <f t="shared" si="134"/>
        <v>0</v>
      </c>
      <c r="AW466" s="398" t="b">
        <f t="shared" si="126"/>
        <v>0</v>
      </c>
      <c r="AX466" s="448" t="b">
        <f t="shared" si="127"/>
        <v>0</v>
      </c>
      <c r="AY466" s="314"/>
      <c r="AZ466" s="449" t="b">
        <f t="shared" si="128"/>
        <v>0</v>
      </c>
      <c r="BA466" s="450" t="b">
        <f t="shared" si="129"/>
        <v>0</v>
      </c>
      <c r="BB466" s="314"/>
      <c r="BC466" s="398" t="b">
        <f t="shared" si="130"/>
        <v>0</v>
      </c>
      <c r="BD466" s="369" t="b">
        <f>OR(AV466&gt;100%,(AV466+AV467)&gt;100%)</f>
        <v>0</v>
      </c>
      <c r="BE466" s="314"/>
      <c r="BF466" s="451" t="s">
        <v>164</v>
      </c>
      <c r="BG466" s="452">
        <f>IF(AN458=EUconst_TJ,AV458*(1-AV462),IF(AN460=EUconst_GJ,AV458*AV460/1000,0))-SUM(BG467:BG473)</f>
        <v>0</v>
      </c>
      <c r="BH466" s="314"/>
      <c r="BI466" s="314"/>
      <c r="BJ466" s="314"/>
      <c r="BK466" s="314"/>
      <c r="BL466" s="314"/>
      <c r="BM466" s="314"/>
      <c r="BN466" s="314"/>
      <c r="BO466" s="314"/>
      <c r="BP466" s="314"/>
      <c r="BQ466" s="314"/>
      <c r="BR466" s="314"/>
      <c r="BS466" s="314"/>
      <c r="BT466" s="314"/>
      <c r="BU466" s="314"/>
      <c r="BV466" s="314"/>
      <c r="BW466" s="314"/>
      <c r="BX466" s="314"/>
      <c r="BY466" s="314"/>
      <c r="BZ466" s="314"/>
      <c r="CA466" s="314"/>
      <c r="CB466" s="314"/>
      <c r="CC466" s="314"/>
      <c r="CD466" s="314"/>
      <c r="CE466" s="314"/>
      <c r="CF466" s="314"/>
      <c r="CG466" s="314"/>
      <c r="CH466" s="314"/>
      <c r="CI466" s="314"/>
      <c r="CJ466" s="314"/>
      <c r="CK466" s="314"/>
      <c r="CL466" s="314"/>
      <c r="CM466" s="314"/>
      <c r="CN466" s="314"/>
      <c r="CO466" s="314"/>
      <c r="CP466" s="314"/>
      <c r="CQ466" s="407" t="b">
        <f>OR(CQ458,Y466=EUconst_NA)</f>
        <v>0</v>
      </c>
    </row>
    <row r="467" spans="1:95" ht="12.75" customHeight="1" thickBot="1" x14ac:dyDescent="0.3">
      <c r="A467" s="307"/>
      <c r="B467" s="68"/>
      <c r="C467" s="199" t="s">
        <v>165</v>
      </c>
      <c r="D467" s="344" t="str">
        <f>Translations!$B$618</f>
        <v>non-sust. SLCF:</v>
      </c>
      <c r="E467" s="441"/>
      <c r="F467" s="20" t="s">
        <v>158</v>
      </c>
      <c r="G467" s="1261"/>
      <c r="H467" s="1262"/>
      <c r="I467" s="422" t="str">
        <f t="shared" si="131"/>
        <v/>
      </c>
      <c r="J467" s="423"/>
      <c r="K467" s="443"/>
      <c r="L467" s="56"/>
      <c r="M467" s="347" t="str">
        <f>IF(AND(E453&lt;&gt;"",OR(F467="",COUNT(L467)=0),Y467&lt;&gt;EUconst_NA),EUconst_ERR_Incomplete,"")</f>
        <v/>
      </c>
      <c r="N467" s="76"/>
      <c r="O467" s="160"/>
      <c r="P467" s="348"/>
      <c r="Q467" s="413"/>
      <c r="R467" s="413"/>
      <c r="S467" s="314"/>
      <c r="T467" s="425" t="str">
        <f>EUconst_CNTR_RFNBOetcContent&amp;E453</f>
        <v>RNFBOC_</v>
      </c>
      <c r="U467" s="312"/>
      <c r="V467" s="312"/>
      <c r="W467" s="312"/>
      <c r="X467" s="312"/>
      <c r="Y467" s="438" t="str">
        <f>IF(E453="","",IF(OR(F467=EUconst_NA,W467=TRUE),EUconst_NA,INDEX(EUwideConstants!$P$164:$P$200,MATCH(T467,EUwideConstants!$S$164:$S$200,0))))</f>
        <v/>
      </c>
      <c r="Z467" s="314"/>
      <c r="AA467" s="314"/>
      <c r="AB467" s="314"/>
      <c r="AC467" s="429" t="b">
        <f>AND(AC462,Y467&lt;&gt;EUconst_NA)</f>
        <v>0</v>
      </c>
      <c r="AD467" s="314"/>
      <c r="AE467" s="430"/>
      <c r="AF467" s="431"/>
      <c r="AG467" s="432"/>
      <c r="AH467" s="433"/>
      <c r="AI467" s="433"/>
      <c r="AJ467" s="433"/>
      <c r="AK467" s="434"/>
      <c r="AL467" s="326"/>
      <c r="AM467" s="326"/>
      <c r="AN467" s="326"/>
      <c r="AO467" s="326"/>
      <c r="AP467" s="326"/>
      <c r="AQ467" s="435" t="s">
        <v>159</v>
      </c>
      <c r="AR467" s="430"/>
      <c r="AS467" s="436" t="str">
        <f t="shared" si="132"/>
        <v/>
      </c>
      <c r="AT467" s="437"/>
      <c r="AU467" s="438" t="str">
        <f t="shared" si="133"/>
        <v/>
      </c>
      <c r="AV467" s="429">
        <f t="shared" si="134"/>
        <v>0</v>
      </c>
      <c r="AW467" s="407" t="b">
        <f t="shared" si="126"/>
        <v>0</v>
      </c>
      <c r="AX467" s="439" t="b">
        <f t="shared" si="127"/>
        <v>0</v>
      </c>
      <c r="AY467" s="314"/>
      <c r="AZ467" s="408" t="b">
        <f t="shared" si="128"/>
        <v>0</v>
      </c>
      <c r="BA467" s="440" t="b">
        <f t="shared" si="129"/>
        <v>0</v>
      </c>
      <c r="BB467" s="314"/>
      <c r="BC467" s="407" t="b">
        <f t="shared" si="130"/>
        <v>0</v>
      </c>
      <c r="BD467" s="407" t="b">
        <f>OR(AV466&gt;100%,(AV466+AV467)&gt;100%)</f>
        <v>0</v>
      </c>
      <c r="BE467" s="314"/>
      <c r="BF467" s="408" t="s">
        <v>166</v>
      </c>
      <c r="BG467" s="409" t="str">
        <f>IF(AN458=EUconst_TJ,AV458*AV462,IF(AN460=EUconst_GJ,AV458*AV460/1000*AV462,""))</f>
        <v/>
      </c>
      <c r="BH467" s="314"/>
      <c r="BI467" s="314"/>
      <c r="BJ467" s="314"/>
      <c r="BK467" s="314"/>
      <c r="BL467" s="314"/>
      <c r="BM467" s="314"/>
      <c r="BN467" s="314"/>
      <c r="BO467" s="314"/>
      <c r="BP467" s="314"/>
      <c r="BQ467" s="314"/>
      <c r="BR467" s="314"/>
      <c r="BS467" s="314"/>
      <c r="BT467" s="314"/>
      <c r="BU467" s="314"/>
      <c r="BV467" s="314"/>
      <c r="BW467" s="314"/>
      <c r="BX467" s="314"/>
      <c r="BY467" s="314"/>
      <c r="BZ467" s="314"/>
      <c r="CA467" s="314"/>
      <c r="CB467" s="314"/>
      <c r="CC467" s="314"/>
      <c r="CD467" s="314"/>
      <c r="CE467" s="314"/>
      <c r="CF467" s="314"/>
      <c r="CG467" s="314"/>
      <c r="CH467" s="314"/>
      <c r="CI467" s="314"/>
      <c r="CJ467" s="314"/>
      <c r="CK467" s="314"/>
      <c r="CL467" s="314"/>
      <c r="CM467" s="314"/>
      <c r="CN467" s="314"/>
      <c r="CO467" s="314"/>
      <c r="CP467" s="314"/>
      <c r="CQ467" s="407" t="b">
        <f>OR(CQ458,Y467=EUconst_NA)</f>
        <v>0</v>
      </c>
    </row>
    <row r="468" spans="1:95" ht="5.15" customHeight="1" thickBot="1" x14ac:dyDescent="0.3">
      <c r="A468" s="307"/>
      <c r="B468" s="68"/>
      <c r="C468" s="68"/>
      <c r="D468" s="205"/>
      <c r="E468" s="76"/>
      <c r="F468" s="76"/>
      <c r="G468" s="76"/>
      <c r="H468" s="76"/>
      <c r="I468" s="76"/>
      <c r="J468" s="76"/>
      <c r="K468" s="76"/>
      <c r="L468" s="76"/>
      <c r="M468" s="453"/>
      <c r="N468" s="76"/>
      <c r="O468" s="160"/>
      <c r="P468" s="109"/>
      <c r="Q468" s="312"/>
      <c r="R468" s="312"/>
      <c r="S468" s="314"/>
      <c r="T468" s="314"/>
      <c r="U468" s="314"/>
      <c r="V468" s="314"/>
      <c r="W468" s="314"/>
      <c r="X468" s="314"/>
      <c r="Y468" s="314"/>
      <c r="Z468" s="314"/>
      <c r="AA468" s="314"/>
      <c r="AB468" s="314"/>
      <c r="AC468" s="314"/>
      <c r="AD468" s="314"/>
      <c r="AE468" s="314"/>
      <c r="AF468" s="314"/>
      <c r="AG468" s="314"/>
      <c r="AH468" s="314"/>
      <c r="AI468" s="314"/>
      <c r="AJ468" s="314"/>
      <c r="AK468" s="314"/>
      <c r="AL468" s="314"/>
      <c r="AM468" s="314"/>
      <c r="AN468" s="314"/>
      <c r="AO468" s="314"/>
      <c r="AP468" s="314"/>
      <c r="AQ468" s="314"/>
      <c r="AR468" s="314"/>
      <c r="AS468" s="314"/>
      <c r="AT468" s="314"/>
      <c r="AU468" s="314"/>
      <c r="AV468" s="314"/>
      <c r="AW468" s="314"/>
      <c r="AX468" s="314"/>
      <c r="AY468" s="314"/>
      <c r="AZ468" s="314"/>
      <c r="BA468" s="314"/>
      <c r="BB468" s="314"/>
      <c r="BC468" s="314"/>
      <c r="BD468" s="314"/>
      <c r="BE468" s="314"/>
      <c r="BF468" s="314"/>
      <c r="BG468" s="364"/>
      <c r="BH468" s="314"/>
      <c r="BI468" s="314"/>
      <c r="BJ468" s="314"/>
      <c r="BK468" s="314"/>
      <c r="BL468" s="314"/>
      <c r="BM468" s="314"/>
      <c r="BN468" s="314"/>
      <c r="BO468" s="314"/>
      <c r="BP468" s="314"/>
      <c r="BQ468" s="314"/>
      <c r="BR468" s="314"/>
      <c r="BS468" s="314"/>
      <c r="BT468" s="314"/>
      <c r="BU468" s="314"/>
      <c r="BV468" s="314"/>
      <c r="BW468" s="314"/>
      <c r="BX468" s="314"/>
      <c r="BY468" s="314"/>
      <c r="BZ468" s="314"/>
      <c r="CA468" s="314"/>
      <c r="CB468" s="314"/>
      <c r="CC468" s="314"/>
      <c r="CD468" s="314"/>
      <c r="CE468" s="314"/>
      <c r="CF468" s="314"/>
      <c r="CG468" s="314"/>
      <c r="CH468" s="314"/>
      <c r="CI468" s="314"/>
      <c r="CJ468" s="314"/>
      <c r="CK468" s="314"/>
      <c r="CL468" s="314"/>
      <c r="CM468" s="314"/>
      <c r="CN468" s="314"/>
      <c r="CO468" s="314"/>
      <c r="CP468" s="314"/>
      <c r="CQ468" s="314"/>
    </row>
    <row r="469" spans="1:95" ht="12.75" customHeight="1" thickBot="1" x14ac:dyDescent="0.3">
      <c r="A469" s="307"/>
      <c r="B469" s="68"/>
      <c r="C469" s="199" t="s">
        <v>167</v>
      </c>
      <c r="D469" s="344" t="str">
        <f>Translations!$B$398</f>
        <v>Scope factor:</v>
      </c>
      <c r="E469" s="454"/>
      <c r="F469" s="992"/>
      <c r="G469" s="1263"/>
      <c r="H469" s="1264"/>
      <c r="I469" s="455" t="s">
        <v>46</v>
      </c>
      <c r="J469" s="456"/>
      <c r="K469" s="457" t="str">
        <f>IF(L469="",AU469,"")</f>
        <v/>
      </c>
      <c r="L469" s="16"/>
      <c r="M469" s="458" t="str">
        <f>IF(AND(E453&lt;&gt;"",OR(F469="",G469="",COUNT(K469:L469)=0)),EUconst_ERR_Incomplete,IF(COUNTIF(BB469:BD469,TRUE)&gt;0,EUconst_ERR_Inconsistent,""))</f>
        <v/>
      </c>
      <c r="N469" s="76"/>
      <c r="O469" s="160"/>
      <c r="P469" s="109"/>
      <c r="Q469" s="312"/>
      <c r="R469" s="314"/>
      <c r="S469" s="297"/>
      <c r="T469" s="459" t="str">
        <f>EUconst_CNTR_ScopeFactor&amp;E453</f>
        <v>ScopeFactor_</v>
      </c>
      <c r="U469" s="231" t="str">
        <f>IF(F469="","",INDEX(ScopeAddress,MATCH(F469,ScopeTiers,0)))</f>
        <v/>
      </c>
      <c r="V469" s="360" t="str">
        <f>V458</f>
        <v/>
      </c>
      <c r="W469" s="314"/>
      <c r="X469" s="314"/>
      <c r="Y469" s="460" t="str">
        <f>IF(E453="","",IF(F469=EUconst_NA,EUconst_NA,INDEX(EUwideConstants!$P$164:$P$200,MATCH(T469,EUwideConstants!$S$164:$S$200,0))))</f>
        <v/>
      </c>
      <c r="Z469" s="461" t="str">
        <f>IF(ISBLANK(F469),"",IF(F469=EUconst_NA,"",INDEX(EUwideConstants!$H:$O,MATCH(T469,EUwideConstants!$S:$S,0),MATCH(F469,CNTR_TierList,0))))</f>
        <v/>
      </c>
      <c r="AA469" s="331" t="str">
        <f>IF(G469=EUwideConstants!$A$89,1,"")</f>
        <v/>
      </c>
      <c r="AB469" s="314"/>
      <c r="AC469" s="331" t="b">
        <f>AND(AC458,Y469&lt;&gt;EUconst_NA)</f>
        <v>0</v>
      </c>
      <c r="AD469" s="314"/>
      <c r="AE469" s="314"/>
      <c r="AF469" s="314"/>
      <c r="AG469" s="319"/>
      <c r="AH469" s="314"/>
      <c r="AI469" s="314"/>
      <c r="AJ469" s="314"/>
      <c r="AK469" s="314"/>
      <c r="AL469" s="314"/>
      <c r="AM469" s="314"/>
      <c r="AN469" s="314"/>
      <c r="AO469" s="314"/>
      <c r="AP469" s="314"/>
      <c r="AQ469" s="314"/>
      <c r="AR469" s="314"/>
      <c r="AS469" s="328">
        <v>1</v>
      </c>
      <c r="AT469" s="314"/>
      <c r="AU469" s="319" t="str">
        <f>IF(G469=EUwideConstants!$A$89,AS469,"")</f>
        <v/>
      </c>
      <c r="AV469" s="331">
        <f>IF(AC469=TRUE,IF(COUNT(K469:L469)=0,0,IF(L469="",K469,L469)),0)</f>
        <v>0</v>
      </c>
      <c r="AW469" s="360" t="b">
        <f>AND(AC469=TRUE,OR(AND(F469&lt;&gt;"",NOT(ISNUMBER(AA469))),L469&lt;&gt;"",F469="",AU469=""))</f>
        <v>0</v>
      </c>
      <c r="AX469" s="357" t="b">
        <f>AND(AC469=TRUE,NOT(AW469))</f>
        <v>0</v>
      </c>
      <c r="AY469" s="314"/>
      <c r="AZ469" s="361" t="b">
        <f>AND(ISNUMBER(AA469),AU469="")</f>
        <v>0</v>
      </c>
      <c r="BA469" s="351" t="b">
        <f>AND(ISNUMBER(AA469),AU469&lt;&gt;AV469)</f>
        <v>0</v>
      </c>
      <c r="BB469" s="314"/>
      <c r="BC469" s="360" t="b">
        <f>AND(F469&lt;&gt;"",OR(COUNTIF(INDEX(ScopeMethods,F469,),G469)=0,AND(AA469&lt;&gt;"",AU469&lt;&gt;AV469)))</f>
        <v>0</v>
      </c>
      <c r="BD469" s="314"/>
      <c r="BE469" s="314"/>
      <c r="BF469" s="361" t="s">
        <v>168</v>
      </c>
      <c r="BG469" s="362" t="str">
        <f>IF(AN458=EUconst_TJ,AV458*AV464,IF(AN460=EUconst_GJ,AV458*AV460/1000*AV464,""))</f>
        <v/>
      </c>
      <c r="BH469" s="314"/>
      <c r="BI469" s="314"/>
      <c r="BJ469" s="314"/>
      <c r="BK469" s="314"/>
      <c r="BL469" s="314"/>
      <c r="BM469" s="314"/>
      <c r="BN469" s="314"/>
      <c r="BO469" s="314"/>
      <c r="BP469" s="314"/>
      <c r="BQ469" s="314"/>
      <c r="BR469" s="314"/>
      <c r="BS469" s="314"/>
      <c r="BT469" s="314"/>
      <c r="BU469" s="314"/>
      <c r="BV469" s="314"/>
      <c r="BW469" s="314"/>
      <c r="BX469" s="314"/>
      <c r="BY469" s="314"/>
      <c r="BZ469" s="314"/>
      <c r="CA469" s="314"/>
      <c r="CB469" s="314"/>
      <c r="CC469" s="314"/>
      <c r="CD469" s="314"/>
      <c r="CE469" s="314"/>
      <c r="CF469" s="314"/>
      <c r="CG469" s="314"/>
      <c r="CH469" s="314"/>
      <c r="CI469" s="314"/>
      <c r="CJ469" s="314"/>
      <c r="CK469" s="314"/>
      <c r="CL469" s="314"/>
      <c r="CM469" s="314"/>
      <c r="CN469" s="314"/>
      <c r="CO469" s="314"/>
      <c r="CP469" s="314"/>
      <c r="CQ469" s="314"/>
    </row>
    <row r="470" spans="1:95" ht="12.75" customHeight="1" x14ac:dyDescent="0.25">
      <c r="A470" s="307"/>
      <c r="B470" s="68"/>
      <c r="C470" s="68"/>
      <c r="D470" s="68"/>
      <c r="E470" s="68"/>
      <c r="F470" s="68"/>
      <c r="G470" s="1265" t="str">
        <f>IF(G469="","",INDEX(ScopeMethodsDetails,MATCH(G469,INDEX(ScopeMethodsDetails,,1),0),2))</f>
        <v/>
      </c>
      <c r="H470" s="1266"/>
      <c r="I470" s="1266"/>
      <c r="J470" s="1266"/>
      <c r="K470" s="1266"/>
      <c r="L470" s="1266"/>
      <c r="M470" s="1267"/>
      <c r="N470" s="76"/>
      <c r="O470" s="160"/>
      <c r="P470" s="109"/>
      <c r="Q470" s="312"/>
      <c r="R470" s="312"/>
      <c r="S470" s="314"/>
      <c r="T470" s="314"/>
      <c r="U470" s="314"/>
      <c r="V470" s="314"/>
      <c r="W470" s="314"/>
      <c r="X470" s="314"/>
      <c r="Y470" s="314"/>
      <c r="Z470" s="314"/>
      <c r="AA470" s="314"/>
      <c r="AB470" s="314"/>
      <c r="AC470" s="314"/>
      <c r="AD470" s="314"/>
      <c r="AE470" s="314"/>
      <c r="AF470" s="314"/>
      <c r="AG470" s="314"/>
      <c r="AH470" s="314"/>
      <c r="AI470" s="314"/>
      <c r="AJ470" s="314"/>
      <c r="AK470" s="314"/>
      <c r="AL470" s="314"/>
      <c r="AM470" s="314"/>
      <c r="AN470" s="314"/>
      <c r="AO470" s="314"/>
      <c r="AP470" s="314"/>
      <c r="AQ470" s="314"/>
      <c r="AR470" s="314"/>
      <c r="AS470" s="314"/>
      <c r="AT470" s="314"/>
      <c r="AU470" s="314"/>
      <c r="AV470" s="314"/>
      <c r="AW470" s="314"/>
      <c r="AX470" s="314"/>
      <c r="AY470" s="314"/>
      <c r="AZ470" s="314"/>
      <c r="BA470" s="314"/>
      <c r="BB470" s="314"/>
      <c r="BC470" s="314"/>
      <c r="BD470" s="314"/>
      <c r="BE470" s="314"/>
      <c r="BG470" s="364"/>
      <c r="BH470" s="314"/>
      <c r="BI470" s="314"/>
      <c r="BJ470" s="314"/>
      <c r="BK470" s="314"/>
      <c r="BL470" s="314"/>
      <c r="BM470" s="314"/>
      <c r="BN470" s="314"/>
      <c r="BO470" s="314"/>
      <c r="BP470" s="314"/>
      <c r="BQ470" s="314"/>
      <c r="BR470" s="314"/>
      <c r="BS470" s="314"/>
      <c r="BT470" s="314"/>
      <c r="BU470" s="314"/>
      <c r="BV470" s="314"/>
      <c r="BW470" s="314"/>
      <c r="BX470" s="314"/>
      <c r="BY470" s="314"/>
      <c r="BZ470" s="314"/>
      <c r="CA470" s="314"/>
      <c r="CB470" s="314"/>
      <c r="CC470" s="314"/>
      <c r="CD470" s="314"/>
      <c r="CE470" s="314"/>
      <c r="CF470" s="314"/>
      <c r="CG470" s="314"/>
      <c r="CH470" s="314"/>
      <c r="CI470" s="314"/>
      <c r="CJ470" s="314"/>
      <c r="CK470" s="314"/>
      <c r="CL470" s="314"/>
      <c r="CM470" s="314"/>
      <c r="CN470" s="314"/>
      <c r="CO470" s="314"/>
      <c r="CP470" s="314"/>
      <c r="CQ470" s="314"/>
    </row>
    <row r="471" spans="1:95" ht="5.15" customHeight="1" x14ac:dyDescent="0.25">
      <c r="A471" s="307"/>
      <c r="C471" s="76"/>
      <c r="D471" s="76"/>
      <c r="E471" s="76"/>
      <c r="F471" s="76"/>
      <c r="G471" s="76"/>
      <c r="H471" s="76"/>
      <c r="I471" s="76"/>
      <c r="J471" s="76"/>
      <c r="K471" s="76"/>
      <c r="L471" s="76"/>
      <c r="O471" s="160"/>
      <c r="P471" s="109"/>
      <c r="Q471" s="312"/>
      <c r="R471" s="312"/>
      <c r="S471" s="314"/>
      <c r="T471" s="314"/>
      <c r="U471" s="314"/>
      <c r="V471" s="314"/>
      <c r="W471" s="314"/>
      <c r="X471" s="314"/>
      <c r="Y471" s="314"/>
      <c r="Z471" s="314"/>
      <c r="AA471" s="314"/>
      <c r="AB471" s="314"/>
      <c r="AC471" s="314"/>
      <c r="AD471" s="314"/>
      <c r="AE471" s="314"/>
      <c r="AF471" s="314"/>
      <c r="AG471" s="314"/>
      <c r="AH471" s="314"/>
      <c r="AI471" s="314"/>
      <c r="AJ471" s="314"/>
      <c r="AK471" s="314"/>
      <c r="AL471" s="314"/>
      <c r="AM471" s="314"/>
      <c r="AN471" s="314"/>
      <c r="AO471" s="314"/>
      <c r="AP471" s="314"/>
      <c r="AQ471" s="314"/>
      <c r="AR471" s="314"/>
      <c r="AS471" s="314"/>
      <c r="AT471" s="314"/>
      <c r="AU471" s="314"/>
      <c r="AV471" s="314"/>
      <c r="AW471" s="314"/>
      <c r="AX471" s="314"/>
      <c r="AY471" s="314"/>
      <c r="AZ471" s="314"/>
      <c r="BA471" s="314"/>
      <c r="BB471" s="314"/>
      <c r="BC471" s="314"/>
      <c r="BD471" s="314"/>
      <c r="BE471" s="314"/>
      <c r="BG471" s="364"/>
      <c r="BH471" s="314"/>
      <c r="BI471" s="314"/>
      <c r="BJ471" s="314"/>
      <c r="BK471" s="314"/>
      <c r="BL471" s="314"/>
      <c r="BM471" s="314"/>
      <c r="BN471" s="314"/>
      <c r="BO471" s="314"/>
      <c r="BP471" s="314"/>
      <c r="BQ471" s="314"/>
      <c r="BR471" s="314"/>
      <c r="BS471" s="314"/>
      <c r="BT471" s="314"/>
      <c r="BU471" s="314"/>
      <c r="BV471" s="314"/>
      <c r="BW471" s="314"/>
      <c r="BX471" s="314"/>
      <c r="BY471" s="314"/>
      <c r="BZ471" s="314"/>
      <c r="CA471" s="314"/>
      <c r="CB471" s="314"/>
      <c r="CC471" s="314"/>
      <c r="CD471" s="314"/>
      <c r="CE471" s="314"/>
      <c r="CF471" s="314"/>
      <c r="CG471" s="314"/>
      <c r="CH471" s="314"/>
      <c r="CI471" s="314"/>
      <c r="CJ471" s="314"/>
      <c r="CK471" s="314"/>
      <c r="CL471" s="314"/>
      <c r="CM471" s="314"/>
      <c r="CN471" s="314"/>
      <c r="CO471" s="314"/>
      <c r="CP471" s="314"/>
      <c r="CQ471" s="314"/>
    </row>
    <row r="472" spans="1:95" ht="12.75" customHeight="1" thickBot="1" x14ac:dyDescent="0.3">
      <c r="A472" s="307"/>
      <c r="C472" s="76"/>
      <c r="D472" s="76"/>
      <c r="E472" s="76"/>
      <c r="F472" s="76"/>
      <c r="G472" s="1268">
        <v>1</v>
      </c>
      <c r="H472" s="1268"/>
      <c r="I472" s="1268">
        <v>2</v>
      </c>
      <c r="J472" s="1268"/>
      <c r="K472" s="1268">
        <v>3</v>
      </c>
      <c r="L472" s="1268"/>
      <c r="O472" s="160"/>
      <c r="P472" s="109"/>
      <c r="Q472" s="312"/>
      <c r="R472" s="312"/>
      <c r="S472" s="314"/>
      <c r="T472" s="314"/>
      <c r="U472" s="314"/>
      <c r="V472" s="314"/>
      <c r="W472" s="314"/>
      <c r="X472" s="314"/>
      <c r="Y472" s="314"/>
      <c r="Z472" s="314"/>
      <c r="AA472" s="314"/>
      <c r="AB472" s="314"/>
      <c r="AC472" s="314"/>
      <c r="AD472" s="314"/>
      <c r="AE472" s="314"/>
      <c r="AF472" s="314"/>
      <c r="AG472" s="314"/>
      <c r="AH472" s="314"/>
      <c r="AI472" s="314"/>
      <c r="AJ472" s="314"/>
      <c r="AK472" s="314"/>
      <c r="AL472" s="314"/>
      <c r="AM472" s="314"/>
      <c r="AN472" s="314"/>
      <c r="AO472" s="314"/>
      <c r="AP472" s="314"/>
      <c r="AQ472" s="314"/>
      <c r="AR472" s="314"/>
      <c r="AS472" s="314"/>
      <c r="AT472" s="314"/>
      <c r="AU472" s="314"/>
      <c r="AV472" s="314"/>
      <c r="AW472" s="314"/>
      <c r="AX472" s="314"/>
      <c r="AY472" s="314"/>
      <c r="AZ472" s="314"/>
      <c r="BA472" s="314"/>
      <c r="BB472" s="314"/>
      <c r="BC472" s="314"/>
      <c r="BD472" s="314"/>
      <c r="BE472" s="314"/>
      <c r="BF472" s="314"/>
      <c r="BG472" s="364"/>
      <c r="BH472" s="314"/>
      <c r="BI472" s="314"/>
      <c r="BJ472" s="314"/>
      <c r="BK472" s="314"/>
      <c r="BL472" s="314"/>
      <c r="BM472" s="314"/>
      <c r="BN472" s="314"/>
      <c r="BO472" s="314"/>
      <c r="BP472" s="314"/>
      <c r="BQ472" s="314"/>
      <c r="BR472" s="314"/>
      <c r="BS472" s="314"/>
      <c r="BT472" s="314"/>
      <c r="BU472" s="314"/>
      <c r="BV472" s="314"/>
      <c r="BW472" s="314"/>
      <c r="BX472" s="314"/>
      <c r="BY472" s="314"/>
      <c r="BZ472" s="314"/>
      <c r="CA472" s="314"/>
      <c r="CB472" s="314"/>
      <c r="CC472" s="314"/>
      <c r="CD472" s="314"/>
      <c r="CE472" s="314"/>
      <c r="CF472" s="314"/>
      <c r="CG472" s="314"/>
      <c r="CH472" s="314"/>
      <c r="CI472" s="314"/>
      <c r="CJ472" s="314"/>
      <c r="CK472" s="314"/>
      <c r="CL472" s="314"/>
      <c r="CM472" s="314"/>
      <c r="CN472" s="314"/>
      <c r="CO472" s="314"/>
      <c r="CP472" s="314"/>
      <c r="CQ472" s="314"/>
    </row>
    <row r="473" spans="1:95" ht="12.75" customHeight="1" thickBot="1" x14ac:dyDescent="0.3">
      <c r="A473" s="462"/>
      <c r="B473" s="76"/>
      <c r="C473" s="76"/>
      <c r="D473" s="1246" t="str">
        <f>Translations!$B$372</f>
        <v>Consumers' CRF category:</v>
      </c>
      <c r="E473" s="1246"/>
      <c r="F473" s="1247"/>
      <c r="G473" s="1248"/>
      <c r="H473" s="1249"/>
      <c r="I473" s="1248"/>
      <c r="J473" s="1249"/>
      <c r="K473" s="1248"/>
      <c r="L473" s="1249"/>
      <c r="M473" s="463" t="str">
        <f>IF(AND(E452&lt;&gt;"",COUNTA(G473:L473)=0,AX473=FALSE),EUconst_ERR_Incomplete,"")</f>
        <v/>
      </c>
      <c r="N473" s="76"/>
      <c r="O473" s="160"/>
      <c r="P473" s="109"/>
      <c r="Q473" s="312"/>
      <c r="R473" s="312"/>
      <c r="S473" s="314"/>
      <c r="T473" s="314"/>
      <c r="U473" s="314"/>
      <c r="V473" s="314"/>
      <c r="W473" s="314"/>
      <c r="X473" s="314"/>
      <c r="Y473" s="314"/>
      <c r="Z473" s="314"/>
      <c r="AA473" s="314"/>
      <c r="AB473" s="314"/>
      <c r="AC473" s="314"/>
      <c r="AD473" s="314"/>
      <c r="AE473" s="314"/>
      <c r="AF473" s="314"/>
      <c r="AG473" s="314"/>
      <c r="AH473" s="314"/>
      <c r="AI473" s="314"/>
      <c r="AJ473" s="314"/>
      <c r="AK473" s="314"/>
      <c r="AL473" s="314"/>
      <c r="AM473" s="314"/>
      <c r="AN473" s="314"/>
      <c r="AO473" s="314"/>
      <c r="AP473" s="314"/>
      <c r="AQ473" s="314"/>
      <c r="AR473" s="314"/>
      <c r="AS473" s="314"/>
      <c r="AT473" s="314"/>
      <c r="AU473" s="314"/>
      <c r="AV473" s="314"/>
      <c r="AW473" s="314"/>
      <c r="AX473" s="464" t="b">
        <f>AND(AV469&lt;&gt;"",SUM(AV469=1))</f>
        <v>0</v>
      </c>
      <c r="AY473" s="314"/>
      <c r="AZ473" s="314"/>
      <c r="BA473" s="314"/>
      <c r="BB473" s="314"/>
      <c r="BC473" s="314"/>
      <c r="BD473" s="314"/>
      <c r="BE473" s="314"/>
      <c r="BF473" s="361" t="s">
        <v>169</v>
      </c>
      <c r="BG473" s="362" t="str">
        <f>IF(AN458=EUconst_TJ,AV458*AV466,IF(AN460=EUconst_GJ,AV458*AV460/1000*AV466,""))</f>
        <v/>
      </c>
      <c r="BH473" s="314"/>
      <c r="BI473" s="314"/>
      <c r="BJ473" s="314"/>
      <c r="BK473" s="314"/>
      <c r="BL473" s="314"/>
      <c r="BM473" s="314"/>
      <c r="BN473" s="314"/>
      <c r="BO473" s="314"/>
      <c r="BP473" s="314"/>
      <c r="BQ473" s="314"/>
      <c r="BR473" s="314"/>
      <c r="BS473" s="314"/>
      <c r="BT473" s="314"/>
      <c r="BU473" s="314"/>
      <c r="BV473" s="314"/>
      <c r="BW473" s="314"/>
      <c r="BX473" s="314"/>
      <c r="BY473" s="314"/>
      <c r="BZ473" s="314"/>
      <c r="CA473" s="314"/>
      <c r="CB473" s="314"/>
      <c r="CC473" s="314"/>
      <c r="CD473" s="314"/>
      <c r="CE473" s="314"/>
      <c r="CF473" s="314"/>
      <c r="CG473" s="314"/>
      <c r="CH473" s="314"/>
      <c r="CI473" s="314"/>
      <c r="CJ473" s="314"/>
      <c r="CK473" s="314"/>
      <c r="CL473" s="314"/>
      <c r="CM473" s="314"/>
      <c r="CN473" s="314"/>
      <c r="CO473" s="314"/>
      <c r="CP473" s="314"/>
      <c r="CQ473" s="314"/>
    </row>
    <row r="474" spans="1:95" ht="5.15" customHeight="1" x14ac:dyDescent="0.25">
      <c r="A474" s="307"/>
      <c r="B474" s="68"/>
      <c r="C474" s="68"/>
      <c r="D474" s="68"/>
      <c r="E474" s="68"/>
      <c r="F474" s="68"/>
      <c r="G474" s="76"/>
      <c r="H474" s="76"/>
      <c r="I474" s="76"/>
      <c r="J474" s="76"/>
      <c r="K474" s="76"/>
      <c r="L474" s="76"/>
      <c r="M474" s="76"/>
      <c r="N474" s="76"/>
      <c r="O474" s="160"/>
      <c r="P474" s="109"/>
      <c r="Q474" s="312"/>
      <c r="R474" s="312"/>
      <c r="S474" s="314"/>
      <c r="T474" s="314"/>
      <c r="U474" s="314"/>
      <c r="V474" s="314"/>
      <c r="W474" s="314"/>
      <c r="X474" s="314"/>
      <c r="Y474" s="314"/>
      <c r="Z474" s="314"/>
      <c r="AA474" s="314"/>
      <c r="AB474" s="314"/>
      <c r="AC474" s="314"/>
      <c r="AD474" s="314"/>
      <c r="AE474" s="314"/>
      <c r="AF474" s="314"/>
      <c r="AG474" s="314"/>
      <c r="AH474" s="314"/>
      <c r="AI474" s="314"/>
      <c r="AJ474" s="314"/>
      <c r="AK474" s="314"/>
      <c r="AL474" s="314"/>
      <c r="AM474" s="314"/>
      <c r="AN474" s="314"/>
      <c r="AO474" s="314"/>
      <c r="AP474" s="314"/>
      <c r="AQ474" s="314"/>
      <c r="AR474" s="314"/>
      <c r="AS474" s="314"/>
      <c r="AT474" s="314"/>
      <c r="AU474" s="314"/>
      <c r="AV474" s="314"/>
      <c r="AW474" s="314"/>
      <c r="AX474" s="314"/>
      <c r="AY474" s="314"/>
      <c r="AZ474" s="314"/>
      <c r="BA474" s="314"/>
      <c r="BB474" s="314"/>
      <c r="BC474" s="314"/>
      <c r="BD474" s="314"/>
      <c r="BE474" s="314"/>
      <c r="BF474" s="314"/>
      <c r="BG474" s="314"/>
      <c r="BH474" s="314"/>
      <c r="BI474" s="314"/>
      <c r="BJ474" s="314"/>
      <c r="BK474" s="314"/>
      <c r="BL474" s="314"/>
      <c r="BM474" s="314"/>
      <c r="BN474" s="314"/>
      <c r="BO474" s="314"/>
      <c r="BP474" s="314"/>
      <c r="BQ474" s="314"/>
      <c r="BR474" s="314"/>
      <c r="BS474" s="314"/>
      <c r="BT474" s="314"/>
      <c r="BU474" s="314"/>
      <c r="BV474" s="314"/>
      <c r="BW474" s="314"/>
      <c r="BX474" s="314"/>
      <c r="BY474" s="314"/>
      <c r="BZ474" s="314"/>
      <c r="CA474" s="314"/>
      <c r="CB474" s="314"/>
      <c r="CC474" s="314"/>
      <c r="CD474" s="314"/>
      <c r="CE474" s="314"/>
      <c r="CF474" s="314"/>
      <c r="CG474" s="314"/>
      <c r="CH474" s="314"/>
      <c r="CI474" s="314"/>
      <c r="CJ474" s="314"/>
      <c r="CK474" s="314"/>
      <c r="CL474" s="314"/>
      <c r="CM474" s="314"/>
      <c r="CN474" s="314"/>
      <c r="CO474" s="314"/>
      <c r="CP474" s="314"/>
      <c r="CQ474" s="314"/>
    </row>
    <row r="475" spans="1:95" ht="12.75" customHeight="1" x14ac:dyDescent="0.25">
      <c r="A475" s="307"/>
      <c r="B475" s="68"/>
      <c r="C475" s="68"/>
      <c r="D475" s="1246" t="str">
        <f>Translations!$B$399</f>
        <v>Tiers valid from:</v>
      </c>
      <c r="E475" s="1246"/>
      <c r="F475" s="1247"/>
      <c r="G475" s="8"/>
      <c r="H475" s="199" t="str">
        <f>Translations!$B$400</f>
        <v>until:</v>
      </c>
      <c r="I475" s="8"/>
      <c r="J475" s="76"/>
      <c r="K475" s="76"/>
      <c r="L475" s="76"/>
      <c r="M475" s="199" t="str">
        <f>Translations!$B$401</f>
        <v>ID used in the monitoring plan for this fuel stream:</v>
      </c>
      <c r="N475" s="9"/>
      <c r="O475" s="160"/>
      <c r="P475" s="109"/>
      <c r="Q475" s="312"/>
      <c r="R475" s="312"/>
      <c r="S475" s="465"/>
      <c r="T475" s="314"/>
      <c r="U475" s="314"/>
      <c r="V475" s="314"/>
      <c r="W475" s="314"/>
      <c r="X475" s="314"/>
      <c r="Y475" s="314"/>
      <c r="Z475" s="314"/>
      <c r="AA475" s="314"/>
      <c r="AB475" s="314"/>
      <c r="AC475" s="314"/>
      <c r="AD475" s="314"/>
      <c r="AE475" s="314"/>
      <c r="AF475" s="314"/>
      <c r="AG475" s="314"/>
      <c r="AH475" s="314"/>
      <c r="AI475" s="314"/>
      <c r="AJ475" s="314"/>
      <c r="AK475" s="314"/>
      <c r="AL475" s="314"/>
      <c r="AM475" s="314"/>
      <c r="AN475" s="314"/>
      <c r="AO475" s="314"/>
      <c r="AP475" s="314"/>
      <c r="AQ475" s="314"/>
      <c r="AR475" s="314"/>
      <c r="AS475" s="314"/>
      <c r="AT475" s="314"/>
      <c r="AU475" s="314"/>
      <c r="AV475" s="314"/>
      <c r="AW475" s="314"/>
      <c r="AX475" s="314"/>
      <c r="AY475" s="314"/>
      <c r="AZ475" s="314"/>
      <c r="BA475" s="314"/>
      <c r="BB475" s="314"/>
      <c r="BC475" s="314"/>
      <c r="BD475" s="314"/>
      <c r="BE475" s="314"/>
      <c r="BF475" s="314"/>
      <c r="BG475" s="314"/>
      <c r="BH475" s="314"/>
      <c r="BI475" s="314"/>
      <c r="BJ475" s="314"/>
      <c r="BK475" s="314"/>
      <c r="BL475" s="314"/>
      <c r="BM475" s="314"/>
      <c r="BN475" s="314"/>
      <c r="BO475" s="314"/>
      <c r="BP475" s="314"/>
      <c r="BQ475" s="314"/>
      <c r="BR475" s="314"/>
      <c r="BS475" s="314"/>
      <c r="BT475" s="314"/>
      <c r="BU475" s="314"/>
      <c r="BV475" s="314"/>
      <c r="BW475" s="314"/>
      <c r="BX475" s="314"/>
      <c r="BY475" s="314"/>
      <c r="BZ475" s="314"/>
      <c r="CA475" s="314"/>
      <c r="CB475" s="314"/>
      <c r="CC475" s="314"/>
      <c r="CD475" s="314"/>
      <c r="CE475" s="314"/>
      <c r="CF475" s="314"/>
      <c r="CG475" s="314"/>
      <c r="CH475" s="314"/>
      <c r="CI475" s="314"/>
      <c r="CJ475" s="314"/>
      <c r="CK475" s="314"/>
      <c r="CL475" s="314"/>
      <c r="CM475" s="314"/>
      <c r="CN475" s="314"/>
      <c r="CO475" s="314"/>
      <c r="CP475" s="314"/>
      <c r="CQ475" s="464" t="b">
        <f>CQ458</f>
        <v>0</v>
      </c>
    </row>
    <row r="476" spans="1:95" ht="5.15" customHeight="1" x14ac:dyDescent="0.25">
      <c r="A476" s="462"/>
      <c r="B476" s="76"/>
      <c r="C476" s="76"/>
      <c r="D476" s="76"/>
      <c r="E476" s="76"/>
      <c r="F476" s="76"/>
      <c r="G476" s="76"/>
      <c r="H476" s="76"/>
      <c r="I476" s="76"/>
      <c r="J476" s="76"/>
      <c r="K476" s="76"/>
      <c r="L476" s="76"/>
      <c r="M476" s="76"/>
      <c r="N476" s="76"/>
      <c r="O476" s="160"/>
      <c r="P476" s="109"/>
      <c r="Q476" s="312"/>
      <c r="R476" s="312"/>
      <c r="S476" s="314"/>
      <c r="T476" s="314"/>
      <c r="U476" s="314"/>
      <c r="V476" s="314"/>
      <c r="W476" s="314"/>
      <c r="X476" s="314"/>
      <c r="Y476" s="314"/>
      <c r="Z476" s="314"/>
      <c r="AA476" s="314"/>
      <c r="AB476" s="314"/>
      <c r="AC476" s="314"/>
      <c r="AD476" s="314"/>
      <c r="AE476" s="314"/>
      <c r="AF476" s="314"/>
      <c r="AG476" s="314"/>
      <c r="AH476" s="314"/>
      <c r="AI476" s="314"/>
      <c r="AJ476" s="314"/>
      <c r="AK476" s="314"/>
      <c r="AL476" s="314"/>
      <c r="AM476" s="314"/>
      <c r="AN476" s="314"/>
      <c r="AO476" s="314"/>
      <c r="AP476" s="314"/>
      <c r="AQ476" s="314"/>
      <c r="AR476" s="314"/>
      <c r="AS476" s="314"/>
      <c r="AT476" s="314"/>
      <c r="AU476" s="314"/>
      <c r="AV476" s="314"/>
      <c r="AW476" s="314"/>
      <c r="AX476" s="314"/>
      <c r="AY476" s="314"/>
      <c r="AZ476" s="314"/>
      <c r="BA476" s="314"/>
      <c r="BB476" s="314"/>
      <c r="BC476" s="314"/>
      <c r="BD476" s="314"/>
      <c r="BE476" s="314"/>
      <c r="BF476" s="314"/>
      <c r="BG476" s="314"/>
      <c r="BH476" s="314"/>
      <c r="BI476" s="314"/>
      <c r="BJ476" s="314"/>
      <c r="BK476" s="314"/>
      <c r="BL476" s="314"/>
      <c r="BM476" s="314"/>
      <c r="BN476" s="314"/>
      <c r="BO476" s="314"/>
      <c r="BP476" s="314"/>
      <c r="BQ476" s="314"/>
      <c r="BR476" s="314"/>
      <c r="BS476" s="314"/>
      <c r="BT476" s="314"/>
      <c r="BU476" s="314"/>
      <c r="BV476" s="314"/>
      <c r="BW476" s="314"/>
      <c r="BX476" s="314"/>
      <c r="BY476" s="314"/>
      <c r="BZ476" s="314"/>
      <c r="CA476" s="314"/>
      <c r="CB476" s="314"/>
      <c r="CC476" s="314"/>
      <c r="CD476" s="314"/>
      <c r="CE476" s="314"/>
      <c r="CF476" s="314"/>
      <c r="CG476" s="314"/>
      <c r="CH476" s="314"/>
      <c r="CI476" s="314"/>
      <c r="CJ476" s="314"/>
      <c r="CK476" s="314"/>
      <c r="CL476" s="314"/>
      <c r="CM476" s="314"/>
      <c r="CN476" s="314"/>
      <c r="CO476" s="314"/>
      <c r="CP476" s="314"/>
      <c r="CQ476" s="314"/>
    </row>
    <row r="477" spans="1:95" ht="12.75" customHeight="1" x14ac:dyDescent="0.25">
      <c r="A477" s="462"/>
      <c r="B477" s="76"/>
      <c r="C477" s="76"/>
      <c r="D477" s="115"/>
      <c r="E477" s="85"/>
      <c r="F477" s="466" t="str">
        <f>Translations!$B$304</f>
        <v>Comments:</v>
      </c>
      <c r="G477" s="1250"/>
      <c r="H477" s="1251"/>
      <c r="I477" s="1251"/>
      <c r="J477" s="1251"/>
      <c r="K477" s="1251"/>
      <c r="L477" s="1251"/>
      <c r="M477" s="1251"/>
      <c r="N477" s="1252"/>
      <c r="O477" s="160"/>
      <c r="P477" s="109"/>
      <c r="Q477" s="312"/>
      <c r="R477" s="312"/>
      <c r="S477" s="314"/>
      <c r="T477" s="314"/>
      <c r="U477" s="314"/>
      <c r="V477" s="314"/>
      <c r="W477" s="314"/>
      <c r="X477" s="314"/>
      <c r="Y477" s="314"/>
      <c r="Z477" s="314"/>
      <c r="AA477" s="314"/>
      <c r="AB477" s="314"/>
      <c r="AC477" s="314"/>
      <c r="AD477" s="314"/>
      <c r="AE477" s="314"/>
      <c r="AF477" s="314"/>
      <c r="AG477" s="314"/>
      <c r="AH477" s="314"/>
      <c r="AI477" s="314"/>
      <c r="AJ477" s="314"/>
      <c r="AK477" s="314"/>
      <c r="AL477" s="314"/>
      <c r="AM477" s="314"/>
      <c r="AN477" s="314"/>
      <c r="AO477" s="314"/>
      <c r="AP477" s="314"/>
      <c r="AQ477" s="314"/>
      <c r="AR477" s="314"/>
      <c r="AS477" s="314"/>
      <c r="AT477" s="314"/>
      <c r="AU477" s="314"/>
      <c r="AV477" s="314"/>
      <c r="AW477" s="314"/>
      <c r="AX477" s="314"/>
      <c r="AY477" s="314"/>
      <c r="AZ477" s="314"/>
      <c r="BA477" s="314"/>
      <c r="BB477" s="314"/>
      <c r="BC477" s="314"/>
      <c r="BD477" s="314"/>
      <c r="BE477" s="314"/>
      <c r="BF477" s="314"/>
      <c r="BG477" s="314"/>
      <c r="BH477" s="314"/>
      <c r="BI477" s="314"/>
      <c r="BJ477" s="314"/>
      <c r="BK477" s="314"/>
      <c r="BL477" s="314"/>
      <c r="BM477" s="314"/>
      <c r="BN477" s="314"/>
      <c r="BO477" s="314"/>
      <c r="BP477" s="314"/>
      <c r="BQ477" s="314"/>
      <c r="BR477" s="314"/>
      <c r="BS477" s="314"/>
      <c r="BT477" s="314"/>
      <c r="BU477" s="314"/>
      <c r="BV477" s="314"/>
      <c r="BW477" s="314"/>
      <c r="BX477" s="314"/>
      <c r="BY477" s="314"/>
      <c r="BZ477" s="314"/>
      <c r="CA477" s="314"/>
      <c r="CB477" s="314"/>
      <c r="CC477" s="314"/>
      <c r="CD477" s="314"/>
      <c r="CE477" s="314"/>
      <c r="CF477" s="314"/>
      <c r="CG477" s="314"/>
      <c r="CH477" s="314"/>
      <c r="CI477" s="314"/>
      <c r="CJ477" s="314"/>
      <c r="CK477" s="314"/>
      <c r="CL477" s="314"/>
      <c r="CM477" s="314"/>
      <c r="CN477" s="314"/>
      <c r="CO477" s="314"/>
      <c r="CP477" s="314"/>
      <c r="CQ477" s="464" t="b">
        <f>CQ475</f>
        <v>0</v>
      </c>
    </row>
    <row r="478" spans="1:95" ht="12.75" customHeight="1" thickBot="1" x14ac:dyDescent="0.3">
      <c r="A478" s="307"/>
      <c r="B478" s="76"/>
      <c r="C478" s="308"/>
      <c r="D478" s="309"/>
      <c r="E478" s="310"/>
      <c r="F478" s="308"/>
      <c r="G478" s="311"/>
      <c r="H478" s="311"/>
      <c r="I478" s="311"/>
      <c r="J478" s="311"/>
      <c r="K478" s="311"/>
      <c r="L478" s="311"/>
      <c r="M478" s="311"/>
      <c r="N478" s="311"/>
      <c r="O478" s="160"/>
      <c r="P478" s="109"/>
      <c r="Q478" s="312"/>
      <c r="R478" s="312"/>
      <c r="S478" s="293"/>
      <c r="T478" s="293"/>
      <c r="U478" s="313"/>
      <c r="V478" s="293"/>
      <c r="W478" s="293"/>
      <c r="X478" s="313"/>
      <c r="Y478" s="293"/>
      <c r="Z478" s="293"/>
      <c r="AA478" s="293"/>
      <c r="AB478" s="293"/>
      <c r="AC478" s="293"/>
      <c r="AD478" s="293"/>
      <c r="AE478" s="293"/>
      <c r="AF478" s="293"/>
      <c r="AG478" s="293"/>
      <c r="AH478" s="293"/>
      <c r="AI478" s="293"/>
      <c r="AJ478" s="293"/>
      <c r="AK478" s="293"/>
      <c r="AL478" s="293"/>
      <c r="AM478" s="293"/>
      <c r="AN478" s="293"/>
      <c r="AO478" s="293"/>
      <c r="AP478" s="293"/>
      <c r="AQ478" s="293"/>
      <c r="AR478" s="293"/>
      <c r="AS478" s="293"/>
      <c r="AT478" s="293"/>
      <c r="AU478" s="293"/>
      <c r="AV478" s="293"/>
      <c r="AW478" s="293"/>
      <c r="AX478" s="293"/>
      <c r="AY478" s="293"/>
      <c r="AZ478" s="293"/>
      <c r="BA478" s="293"/>
      <c r="BB478" s="293"/>
      <c r="BC478" s="293"/>
      <c r="BD478" s="293"/>
      <c r="BE478" s="293"/>
      <c r="BF478" s="293"/>
      <c r="BG478" s="293"/>
      <c r="BH478" s="293"/>
      <c r="BI478" s="293"/>
      <c r="BJ478" s="293"/>
      <c r="BK478" s="293"/>
      <c r="BL478" s="293"/>
      <c r="BM478" s="314"/>
      <c r="BN478" s="314"/>
      <c r="BO478" s="314"/>
      <c r="BP478" s="314"/>
      <c r="BQ478" s="314"/>
      <c r="BR478" s="314"/>
      <c r="BS478" s="314"/>
      <c r="BT478" s="314"/>
      <c r="BU478" s="293"/>
      <c r="BV478" s="293"/>
      <c r="BW478" s="293"/>
      <c r="BX478" s="293"/>
      <c r="BY478" s="293"/>
      <c r="BZ478" s="293"/>
      <c r="CA478" s="293"/>
      <c r="CB478" s="293"/>
      <c r="CC478" s="293"/>
      <c r="CD478" s="293"/>
      <c r="CE478" s="293"/>
      <c r="CF478" s="293"/>
      <c r="CG478" s="293"/>
      <c r="CH478" s="293"/>
      <c r="CI478" s="293"/>
      <c r="CJ478" s="293"/>
      <c r="CK478" s="293"/>
      <c r="CL478" s="293"/>
      <c r="CM478" s="293"/>
      <c r="CN478" s="293"/>
      <c r="CO478" s="293"/>
      <c r="CP478" s="293"/>
      <c r="CQ478" s="293"/>
    </row>
    <row r="479" spans="1:95" ht="12.75" customHeight="1" thickBot="1" x14ac:dyDescent="0.3">
      <c r="A479" s="315"/>
      <c r="B479" s="76"/>
      <c r="C479" s="76"/>
      <c r="D479" s="205"/>
      <c r="E479" s="316"/>
      <c r="F479" s="76"/>
      <c r="G479" s="96"/>
      <c r="H479" s="96"/>
      <c r="I479" s="96"/>
      <c r="J479" s="96"/>
      <c r="K479" s="76"/>
      <c r="L479" s="96"/>
      <c r="M479" s="96"/>
      <c r="N479" s="96"/>
      <c r="O479" s="160"/>
      <c r="P479" s="109"/>
      <c r="Q479" s="312"/>
      <c r="R479" s="312"/>
      <c r="S479" s="287"/>
      <c r="T479" s="317" t="str">
        <f>IF(ISBLANK(E480),"",MATCH(E480,CNTR_SourceStreamNames,0))</f>
        <v/>
      </c>
      <c r="U479" s="318" t="str">
        <f>IF(ISBLANK(E480),"",INDEX(B_IdentifyFuelStreams!$D$67:$D$116,MATCH(E480,CNTR_SourceStreamNames,0)))</f>
        <v/>
      </c>
      <c r="V479" s="301"/>
      <c r="W479" s="138"/>
      <c r="X479" s="138"/>
      <c r="Y479" s="138"/>
      <c r="Z479" s="293"/>
      <c r="AA479" s="293"/>
      <c r="AB479" s="293"/>
      <c r="AC479" s="293"/>
      <c r="AD479" s="293"/>
      <c r="AE479" s="293"/>
      <c r="AF479" s="293"/>
      <c r="AG479" s="293"/>
      <c r="AH479" s="293"/>
      <c r="AI479" s="293"/>
      <c r="AJ479" s="293"/>
      <c r="AK479" s="312"/>
      <c r="AL479" s="293"/>
      <c r="AM479" s="293"/>
      <c r="AN479" s="293"/>
      <c r="AO479" s="293"/>
      <c r="AP479" s="293"/>
      <c r="AQ479" s="293"/>
      <c r="AR479" s="293"/>
      <c r="AS479" s="293"/>
      <c r="AT479" s="293"/>
      <c r="AU479" s="293"/>
      <c r="AV479" s="293"/>
      <c r="AW479" s="293"/>
      <c r="AX479" s="293"/>
      <c r="AY479" s="293"/>
      <c r="AZ479" s="293"/>
      <c r="BA479" s="293"/>
      <c r="BB479" s="293"/>
      <c r="BC479" s="293"/>
      <c r="BD479" s="293"/>
      <c r="BE479" s="293"/>
      <c r="BF479" s="293"/>
      <c r="BG479" s="293"/>
      <c r="BH479" s="293"/>
      <c r="BI479" s="293"/>
      <c r="BJ479" s="138"/>
      <c r="BK479" s="138"/>
      <c r="BL479" s="138"/>
      <c r="BM479" s="138"/>
      <c r="BN479" s="138"/>
      <c r="BO479" s="138"/>
      <c r="BP479" s="138"/>
      <c r="BQ479" s="138"/>
      <c r="BR479" s="138"/>
      <c r="BS479" s="138"/>
      <c r="BT479" s="138"/>
      <c r="BU479" s="138"/>
      <c r="BV479" s="138"/>
      <c r="BW479" s="138"/>
      <c r="BX479" s="138"/>
      <c r="BY479" s="138"/>
      <c r="BZ479" s="138"/>
      <c r="CA479" s="138"/>
      <c r="CB479" s="138"/>
      <c r="CC479" s="138"/>
      <c r="CD479" s="138"/>
      <c r="CE479" s="138"/>
      <c r="CF479" s="138"/>
      <c r="CG479" s="138"/>
      <c r="CH479" s="138"/>
      <c r="CI479" s="138"/>
      <c r="CJ479" s="138"/>
      <c r="CK479" s="138"/>
      <c r="CL479" s="138"/>
      <c r="CM479" s="138"/>
      <c r="CN479" s="138"/>
      <c r="CO479" s="138"/>
      <c r="CP479" s="138"/>
      <c r="CQ479" s="319" t="s">
        <v>107</v>
      </c>
    </row>
    <row r="480" spans="1:95" ht="15" customHeight="1" thickBot="1" x14ac:dyDescent="0.3">
      <c r="A480" s="320">
        <f>C480</f>
        <v>16</v>
      </c>
      <c r="B480" s="68"/>
      <c r="C480" s="321">
        <f>C452+1</f>
        <v>16</v>
      </c>
      <c r="D480" s="68"/>
      <c r="E480" s="1269"/>
      <c r="F480" s="1270"/>
      <c r="G480" s="1270"/>
      <c r="H480" s="1270"/>
      <c r="I480" s="1270"/>
      <c r="J480" s="1271"/>
      <c r="K480" s="1272" t="str">
        <f>IF(INDEX(B_IdentifyFuelStreams!$K$125:$K$174,MATCH(U479,B_IdentifyFuelStreams!$D$125:$D$174,0))&gt;0,INDEX(B_IdentifyFuelStreams!$K$125:$K$174,MATCH(U479,B_IdentifyFuelStreams!$D$125:$D$174,0)),"")</f>
        <v/>
      </c>
      <c r="L480" s="1273"/>
      <c r="M480" s="316" t="str">
        <f>Translations!$B$621</f>
        <v>Emissions:</v>
      </c>
      <c r="N480" s="322" t="str">
        <f>IF(E481="","",BG486)</f>
        <v/>
      </c>
      <c r="O480" s="323" t="str">
        <f>EUconst_tCO2</f>
        <v>tCO2</v>
      </c>
      <c r="P480" s="324" t="str">
        <f>IF(AND(E480&lt;&gt;"",COUNTIF(P481:$P$1649,"PRINT")=0),"PRINT","")</f>
        <v/>
      </c>
      <c r="Q480" s="325" t="str">
        <f>EUconst_SumCO2</f>
        <v>SUM_CO2</v>
      </c>
      <c r="R480" s="312"/>
      <c r="S480" s="287"/>
      <c r="T480" s="287"/>
      <c r="U480" s="287"/>
      <c r="V480" s="301"/>
      <c r="W480" s="138"/>
      <c r="X480" s="293"/>
      <c r="Y480" s="293"/>
      <c r="Z480" s="293"/>
      <c r="AA480" s="293"/>
      <c r="AB480" s="293"/>
      <c r="AC480" s="293"/>
      <c r="AD480" s="293"/>
      <c r="AE480" s="293"/>
      <c r="AF480" s="293"/>
      <c r="AG480" s="293"/>
      <c r="AH480" s="293"/>
      <c r="AI480" s="326"/>
      <c r="AJ480" s="326"/>
      <c r="AK480" s="326"/>
      <c r="AL480" s="326"/>
      <c r="AM480" s="326"/>
      <c r="AN480" s="326"/>
      <c r="AO480" s="326"/>
      <c r="AP480" s="326"/>
      <c r="AQ480" s="326"/>
      <c r="AR480" s="326"/>
      <c r="AS480" s="326"/>
      <c r="AT480" s="326"/>
      <c r="AU480" s="326"/>
      <c r="AV480" s="326"/>
      <c r="AW480" s="326"/>
      <c r="AX480" s="326"/>
      <c r="AY480" s="326"/>
      <c r="AZ480" s="326"/>
      <c r="BA480" s="326"/>
      <c r="BB480" s="326"/>
      <c r="BC480" s="326"/>
      <c r="BD480" s="326"/>
      <c r="BE480" s="326"/>
      <c r="BF480" s="326"/>
      <c r="BG480" s="326"/>
      <c r="BH480" s="326"/>
      <c r="BI480" s="327" t="str">
        <f>IF(E480="","",E480)</f>
        <v/>
      </c>
      <c r="BJ480" s="328" t="str">
        <f>IF(F486="","",F486)</f>
        <v/>
      </c>
      <c r="BK480" s="329">
        <f>AV486</f>
        <v>0</v>
      </c>
      <c r="BL480" s="329">
        <f>IF(BK480="","",BK480*(1-BP480))</f>
        <v>0</v>
      </c>
      <c r="BM480" s="328" t="str">
        <f>AJ486</f>
        <v/>
      </c>
      <c r="BN480" s="328" t="str">
        <f>IF(F497="","",F497)</f>
        <v/>
      </c>
      <c r="BO480" s="327" t="str">
        <f>IF(G497="","",G497)</f>
        <v/>
      </c>
      <c r="BP480" s="330">
        <f>AV497</f>
        <v>0</v>
      </c>
      <c r="BQ480" s="328" t="str">
        <f>IF(F489="","",F489)</f>
        <v/>
      </c>
      <c r="BR480" s="330">
        <f>AV489</f>
        <v>0</v>
      </c>
      <c r="BS480" s="330" t="str">
        <f>AJ489</f>
        <v/>
      </c>
      <c r="BT480" s="328" t="str">
        <f>IF(F488="","",F488)</f>
        <v/>
      </c>
      <c r="BU480" s="330">
        <f>IF(F488=EUconst_NA,"",AV488)</f>
        <v>0</v>
      </c>
      <c r="BV480" s="330" t="str">
        <f>AJ488</f>
        <v/>
      </c>
      <c r="BW480" s="328" t="str">
        <f>IF(F490="","",F490)</f>
        <v/>
      </c>
      <c r="BX480" s="330">
        <f>AV490</f>
        <v>0</v>
      </c>
      <c r="BY480" s="328" t="str">
        <f>IF(F491="","",F491)</f>
        <v/>
      </c>
      <c r="BZ480" s="330">
        <f>AV491</f>
        <v>0</v>
      </c>
      <c r="CA480" s="330">
        <f>AV492</f>
        <v>0</v>
      </c>
      <c r="CB480" s="330">
        <f>AV493</f>
        <v>0</v>
      </c>
      <c r="CC480" s="330">
        <f>AV494</f>
        <v>0</v>
      </c>
      <c r="CD480" s="330">
        <f>AV495</f>
        <v>0</v>
      </c>
      <c r="CE480" s="329" t="str">
        <f>BG486</f>
        <v/>
      </c>
      <c r="CF480" s="329" t="str">
        <f>BG488</f>
        <v/>
      </c>
      <c r="CG480" s="329" t="str">
        <f>BG489</f>
        <v/>
      </c>
      <c r="CH480" s="329" t="str">
        <f>BG490</f>
        <v/>
      </c>
      <c r="CI480" s="329" t="str">
        <f>BG491</f>
        <v/>
      </c>
      <c r="CJ480" s="329" t="str">
        <f>BG492</f>
        <v/>
      </c>
      <c r="CK480" s="329" t="str">
        <f>BG493</f>
        <v/>
      </c>
      <c r="CL480" s="329">
        <f>BG494</f>
        <v>0</v>
      </c>
      <c r="CM480" s="329" t="str">
        <f>BG495</f>
        <v/>
      </c>
      <c r="CN480" s="329" t="str">
        <f>BG497</f>
        <v/>
      </c>
      <c r="CO480" s="329" t="str">
        <f>BG501</f>
        <v/>
      </c>
      <c r="CP480" s="329" t="str">
        <f>IF(COUNTIF(AO489:AO490,TRUE)=0,"",BH486)</f>
        <v/>
      </c>
      <c r="CQ480" s="331" t="b">
        <v>0</v>
      </c>
    </row>
    <row r="481" spans="1:95" ht="15" customHeight="1" thickBot="1" x14ac:dyDescent="0.3">
      <c r="A481" s="307"/>
      <c r="B481" s="68"/>
      <c r="C481" s="68"/>
      <c r="D481" s="68"/>
      <c r="E481" s="1274" t="str">
        <f>IF(ISBLANK(E480),"",IF(INDEX(B_IdentifyFuelStreams!$E$67:$E$116,MATCH(U479,B_IdentifyFuelStreams!$D$67:$D$116,0))&gt;0,INDEX(B_IdentifyFuelStreams!$E$67:$E$116,MATCH(U479,B_IdentifyFuelStreams!$D$67:$D$116,0)),""))</f>
        <v/>
      </c>
      <c r="F481" s="1275"/>
      <c r="G481" s="1275"/>
      <c r="H481" s="1275"/>
      <c r="I481" s="1275"/>
      <c r="J481" s="1276"/>
      <c r="K481" s="1272" t="str">
        <f>IF(INDEX(B_IdentifyFuelStreams!$M$125:$M$174,MATCH(U479,B_IdentifyFuelStreams!$D$125:$D$174,0))&gt;0,INDEX(B_IdentifyFuelStreams!$M$125:$M$174,MATCH(U479,B_IdentifyFuelStreams!$D$125:$D$174,0)),"")</f>
        <v/>
      </c>
      <c r="L481" s="1273"/>
      <c r="M481" s="332" t="str">
        <f>Translations!$B$622</f>
        <v>zero-rated:</v>
      </c>
      <c r="N481" s="333" t="str">
        <f>IF(E481="","",SUM(BG488,BG490,BG492))</f>
        <v/>
      </c>
      <c r="O481" s="334" t="str">
        <f>EUconst_tCO2</f>
        <v>tCO2</v>
      </c>
      <c r="P481" s="109"/>
      <c r="Q481" s="325" t="str">
        <f>EUconst_SumBioCO2</f>
        <v>SUM_bioCO2</v>
      </c>
      <c r="R481" s="312"/>
      <c r="S481" s="287"/>
      <c r="T481" s="287"/>
      <c r="U481" s="287"/>
      <c r="V481" s="301"/>
      <c r="W481" s="138"/>
      <c r="X481" s="293"/>
      <c r="Y481" s="317" t="str">
        <f>Translations!$B$143</f>
        <v>Tiers</v>
      </c>
      <c r="Z481" s="314"/>
      <c r="AA481" s="314"/>
      <c r="AB481" s="314"/>
      <c r="AC481" s="314"/>
      <c r="AD481" s="314"/>
      <c r="AE481" s="317" t="s">
        <v>108</v>
      </c>
      <c r="AF481" s="293"/>
      <c r="AG481" s="335"/>
      <c r="AH481" s="314"/>
      <c r="AI481" s="314"/>
      <c r="AJ481" s="335"/>
      <c r="AK481" s="335"/>
      <c r="AL481" s="326"/>
      <c r="AM481" s="326"/>
      <c r="AN481" s="326"/>
      <c r="AO481" s="326"/>
      <c r="AP481" s="326"/>
      <c r="AQ481" s="317" t="s">
        <v>109</v>
      </c>
      <c r="AR481" s="336"/>
      <c r="AS481" s="336"/>
      <c r="AT481" s="314"/>
      <c r="AU481" s="314"/>
      <c r="AV481" s="314"/>
      <c r="AW481" s="314"/>
      <c r="AX481" s="314"/>
      <c r="AY481" s="314"/>
      <c r="AZ481" s="317" t="s">
        <v>110</v>
      </c>
      <c r="BA481" s="314"/>
      <c r="BB481" s="314"/>
      <c r="BC481" s="314"/>
      <c r="BD481" s="314"/>
      <c r="BE481" s="314"/>
      <c r="BF481" s="317" t="s">
        <v>111</v>
      </c>
      <c r="BG481" s="314"/>
      <c r="BH481" s="314"/>
      <c r="BI481" s="317" t="s">
        <v>112</v>
      </c>
      <c r="BJ481" s="328" t="str">
        <f>Translations!$B$376</f>
        <v>RFA Tier</v>
      </c>
      <c r="BK481" s="328" t="str">
        <f>Translations!$B$377</f>
        <v>RFA</v>
      </c>
      <c r="BL481" s="328" t="str">
        <f>Translations!$B$378</f>
        <v>RFA (in scope)</v>
      </c>
      <c r="BM481" s="328" t="str">
        <f>Translations!$B$379</f>
        <v>RFA Unit</v>
      </c>
      <c r="BN481" s="328" t="str">
        <f>Translations!$B$380</f>
        <v>SF Tier</v>
      </c>
      <c r="BO481" s="328" t="str">
        <f>Translations!$B$380</f>
        <v>SF Tier</v>
      </c>
      <c r="BP481" s="328" t="str">
        <f>Translations!$B$381</f>
        <v>SF</v>
      </c>
      <c r="BQ481" s="328" t="str">
        <f>Translations!$B$382</f>
        <v>EF Tier</v>
      </c>
      <c r="BR481" s="328" t="str">
        <f>Translations!$B$383</f>
        <v>EF</v>
      </c>
      <c r="BS481" s="328" t="str">
        <f>Translations!$B$384</f>
        <v>EF Unit</v>
      </c>
      <c r="BT481" s="328" t="str">
        <f>Translations!$B$385</f>
        <v>UCF Tier</v>
      </c>
      <c r="BU481" s="328" t="str">
        <f>Translations!$B$386</f>
        <v>UCF</v>
      </c>
      <c r="BV481" s="328" t="str">
        <f>Translations!$B$387</f>
        <v>UCF Unit</v>
      </c>
      <c r="BW481" s="328" t="str">
        <f>Translations!$B$388</f>
        <v>Bio Tier</v>
      </c>
      <c r="BX481" s="328" t="s">
        <v>113</v>
      </c>
      <c r="BY481" s="328" t="str">
        <f>Translations!$B$389</f>
        <v>NonSustBio Tier</v>
      </c>
      <c r="BZ481" s="328" t="s">
        <v>114</v>
      </c>
      <c r="CA481" s="328" t="s">
        <v>115</v>
      </c>
      <c r="CB481" s="328" t="s">
        <v>116</v>
      </c>
      <c r="CC481" s="328" t="s">
        <v>117</v>
      </c>
      <c r="CD481" s="328" t="s">
        <v>118</v>
      </c>
      <c r="CE481" s="328" t="s">
        <v>119</v>
      </c>
      <c r="CF481" s="328" t="s">
        <v>120</v>
      </c>
      <c r="CG481" s="328" t="str">
        <f>Translations!$B$392</f>
        <v>CO2 non-sust</v>
      </c>
      <c r="CH481" s="328" t="s">
        <v>121</v>
      </c>
      <c r="CI481" s="328" t="s">
        <v>122</v>
      </c>
      <c r="CJ481" s="328" t="s">
        <v>123</v>
      </c>
      <c r="CK481" s="328" t="s">
        <v>124</v>
      </c>
      <c r="CL481" s="328" t="s">
        <v>125</v>
      </c>
      <c r="CM481" s="328" t="str">
        <f>Translations!$B$551</f>
        <v>Energy content (bio), TJ</v>
      </c>
      <c r="CN481" s="328" t="s">
        <v>126</v>
      </c>
      <c r="CO481" s="328" t="s">
        <v>127</v>
      </c>
      <c r="CP481" s="328" t="s">
        <v>128</v>
      </c>
      <c r="CQ481" s="314"/>
    </row>
    <row r="482" spans="1:95" ht="5.15" customHeight="1" thickBot="1" x14ac:dyDescent="0.3">
      <c r="A482" s="307"/>
      <c r="B482" s="68"/>
      <c r="C482" s="68"/>
      <c r="D482" s="68"/>
      <c r="E482" s="68"/>
      <c r="F482" s="68"/>
      <c r="G482" s="68"/>
      <c r="H482" s="76"/>
      <c r="I482" s="76"/>
      <c r="J482" s="76"/>
      <c r="K482" s="76"/>
      <c r="L482" s="76"/>
      <c r="M482" s="76"/>
      <c r="N482" s="76"/>
      <c r="O482" s="160"/>
      <c r="P482" s="109"/>
      <c r="Q482" s="312"/>
      <c r="R482" s="312"/>
      <c r="S482" s="287"/>
      <c r="T482" s="287"/>
      <c r="U482" s="287"/>
      <c r="V482" s="301"/>
      <c r="W482" s="314"/>
      <c r="X482" s="314"/>
      <c r="Y482" s="312"/>
      <c r="Z482" s="314"/>
      <c r="AA482" s="314"/>
      <c r="AB482" s="314"/>
      <c r="AC482" s="314"/>
      <c r="AD482" s="314"/>
      <c r="AE482" s="314"/>
      <c r="AF482" s="293"/>
      <c r="AG482" s="314"/>
      <c r="AH482" s="314"/>
      <c r="AI482" s="314"/>
      <c r="AJ482" s="335"/>
      <c r="AK482" s="335"/>
      <c r="AL482" s="326"/>
      <c r="AM482" s="326"/>
      <c r="AN482" s="326"/>
      <c r="AO482" s="326"/>
      <c r="AP482" s="326"/>
      <c r="AQ482" s="314"/>
      <c r="AR482" s="314"/>
      <c r="AS482" s="314"/>
      <c r="AT482" s="314"/>
      <c r="AU482" s="314"/>
      <c r="AV482" s="314"/>
      <c r="AW482" s="314"/>
      <c r="AX482" s="314"/>
      <c r="AY482" s="314"/>
      <c r="AZ482" s="314"/>
      <c r="BA482" s="314"/>
      <c r="BB482" s="314"/>
      <c r="BC482" s="314"/>
      <c r="BD482" s="314"/>
      <c r="BE482" s="314"/>
      <c r="BF482" s="314"/>
      <c r="BG482" s="314"/>
      <c r="BH482" s="314"/>
      <c r="BI482" s="314"/>
      <c r="BJ482" s="314"/>
      <c r="BK482" s="314"/>
      <c r="BL482" s="314"/>
      <c r="BM482" s="314"/>
      <c r="BN482" s="314"/>
      <c r="BO482" s="314"/>
      <c r="BP482" s="314"/>
      <c r="BQ482" s="314"/>
      <c r="BR482" s="314"/>
      <c r="BS482" s="314"/>
      <c r="BT482" s="314"/>
      <c r="BU482" s="314"/>
      <c r="BV482" s="314"/>
      <c r="BW482" s="314"/>
      <c r="BX482" s="314"/>
      <c r="BY482" s="314"/>
      <c r="BZ482" s="314"/>
      <c r="CA482" s="314"/>
      <c r="CB482" s="314"/>
      <c r="CC482" s="314"/>
      <c r="CD482" s="314"/>
      <c r="CE482" s="314"/>
      <c r="CF482" s="314"/>
      <c r="CG482" s="314"/>
      <c r="CH482" s="314"/>
      <c r="CI482" s="314"/>
      <c r="CJ482" s="314"/>
      <c r="CK482" s="314"/>
      <c r="CL482" s="314"/>
      <c r="CM482" s="314"/>
      <c r="CN482" s="314"/>
      <c r="CO482" s="314"/>
      <c r="CP482" s="314"/>
      <c r="CQ482" s="314"/>
    </row>
    <row r="483" spans="1:95" ht="12.75" customHeight="1" thickBot="1" x14ac:dyDescent="0.3">
      <c r="A483" s="307"/>
      <c r="B483" s="68"/>
      <c r="C483" s="68"/>
      <c r="D483" s="68"/>
      <c r="E483" s="1253" t="str">
        <f>IF(E480="","",HYPERLINK("#JUMP_E_Top",EUconst_FurtherGuidancePoint1))</f>
        <v/>
      </c>
      <c r="F483" s="1253"/>
      <c r="G483" s="1253"/>
      <c r="H483" s="1253"/>
      <c r="I483" s="1253"/>
      <c r="J483" s="1253"/>
      <c r="K483" s="1253"/>
      <c r="L483" s="1253"/>
      <c r="M483" s="1253"/>
      <c r="N483" s="76"/>
      <c r="O483" s="160"/>
      <c r="P483" s="109"/>
      <c r="Q483" s="325" t="str">
        <f>EUconst_SumNonSustBioCO2</f>
        <v>SUM_bioNonSustCO2</v>
      </c>
      <c r="R483" s="337" t="str">
        <f>IF(E481="","",BG489)</f>
        <v/>
      </c>
      <c r="S483" s="287"/>
      <c r="T483" s="287"/>
      <c r="U483" s="287"/>
      <c r="V483" s="314"/>
      <c r="W483" s="314"/>
      <c r="X483" s="314"/>
      <c r="Y483" s="293"/>
      <c r="Z483" s="314"/>
      <c r="AA483" s="314"/>
      <c r="AB483" s="314"/>
      <c r="AC483" s="314"/>
      <c r="AD483" s="314"/>
      <c r="AE483" s="314"/>
      <c r="AF483" s="293"/>
      <c r="AG483" s="314"/>
      <c r="AH483" s="314"/>
      <c r="AI483" s="314"/>
      <c r="AJ483" s="335"/>
      <c r="AK483" s="335"/>
      <c r="AL483" s="326"/>
      <c r="AM483" s="326"/>
      <c r="AN483" s="326"/>
      <c r="AO483" s="326"/>
      <c r="AP483" s="326"/>
      <c r="AQ483" s="314"/>
      <c r="AR483" s="314"/>
      <c r="AS483" s="314"/>
      <c r="AT483" s="314"/>
      <c r="AU483" s="314"/>
      <c r="AV483" s="314"/>
      <c r="AW483" s="314"/>
      <c r="AX483" s="314"/>
      <c r="AY483" s="314"/>
      <c r="AZ483" s="314"/>
      <c r="BA483" s="314"/>
      <c r="BB483" s="314"/>
      <c r="BC483" s="314"/>
      <c r="BD483" s="314"/>
      <c r="BE483" s="314"/>
      <c r="BF483" s="314"/>
      <c r="BG483" s="314"/>
      <c r="BH483" s="314"/>
      <c r="BI483" s="317" t="s">
        <v>129</v>
      </c>
      <c r="BJ483" s="336"/>
      <c r="BK483" s="327" t="str">
        <f>IF(G501="","",G501)</f>
        <v/>
      </c>
      <c r="BL483" s="327" t="str">
        <f>IF(I501="","",I501)</f>
        <v/>
      </c>
      <c r="BM483" s="327" t="str">
        <f>IF(K501="","",K501)</f>
        <v/>
      </c>
      <c r="BN483" s="314"/>
      <c r="BO483" s="314"/>
      <c r="BP483" s="314"/>
      <c r="BQ483" s="314"/>
      <c r="BR483" s="314"/>
      <c r="BS483" s="314"/>
      <c r="BT483" s="319"/>
      <c r="BU483" s="314"/>
      <c r="BV483" s="314"/>
      <c r="BW483" s="314"/>
      <c r="BX483" s="314"/>
      <c r="BY483" s="314"/>
      <c r="BZ483" s="314"/>
      <c r="CA483" s="314"/>
      <c r="CB483" s="314"/>
      <c r="CC483" s="314"/>
      <c r="CD483" s="314"/>
      <c r="CE483" s="314"/>
      <c r="CF483" s="314"/>
      <c r="CG483" s="314"/>
      <c r="CH483" s="314"/>
      <c r="CI483" s="314"/>
      <c r="CJ483" s="314"/>
      <c r="CK483" s="314"/>
      <c r="CL483" s="314"/>
      <c r="CM483" s="314"/>
      <c r="CN483" s="314"/>
      <c r="CO483" s="314"/>
      <c r="CP483" s="314"/>
      <c r="CQ483" s="314"/>
    </row>
    <row r="484" spans="1:95" ht="5.15" customHeight="1" thickBot="1" x14ac:dyDescent="0.3">
      <c r="A484" s="307"/>
      <c r="B484" s="68"/>
      <c r="C484" s="68"/>
      <c r="D484" s="68"/>
      <c r="E484" s="68"/>
      <c r="F484" s="68"/>
      <c r="G484" s="68"/>
      <c r="H484" s="76"/>
      <c r="I484" s="76"/>
      <c r="J484" s="76"/>
      <c r="K484" s="76"/>
      <c r="L484" s="76"/>
      <c r="M484" s="76"/>
      <c r="N484" s="76"/>
      <c r="O484" s="160"/>
      <c r="P484" s="111"/>
      <c r="Q484" s="287"/>
      <c r="R484" s="111"/>
      <c r="S484" s="287"/>
      <c r="T484" s="287"/>
      <c r="U484" s="287"/>
      <c r="V484" s="314"/>
      <c r="W484" s="314"/>
      <c r="X484" s="314"/>
      <c r="Y484" s="312"/>
      <c r="Z484" s="314"/>
      <c r="AA484" s="314"/>
      <c r="AB484" s="314"/>
      <c r="AC484" s="314"/>
      <c r="AD484" s="314"/>
      <c r="AE484" s="314"/>
      <c r="AF484" s="293"/>
      <c r="AG484" s="314"/>
      <c r="AH484" s="314"/>
      <c r="AI484" s="314"/>
      <c r="AJ484" s="335"/>
      <c r="AK484" s="335"/>
      <c r="AL484" s="326"/>
      <c r="AM484" s="326"/>
      <c r="AN484" s="326"/>
      <c r="AO484" s="326"/>
      <c r="AP484" s="326"/>
      <c r="AQ484" s="314"/>
      <c r="AR484" s="314"/>
      <c r="AS484" s="314"/>
      <c r="AT484" s="314"/>
      <c r="AU484" s="314"/>
      <c r="AV484" s="314"/>
      <c r="AW484" s="314"/>
      <c r="AX484" s="314"/>
      <c r="AY484" s="314"/>
      <c r="AZ484" s="314"/>
      <c r="BA484" s="314"/>
      <c r="BB484" s="314"/>
      <c r="BC484" s="314"/>
      <c r="BD484" s="314"/>
      <c r="BE484" s="314"/>
      <c r="BF484" s="314"/>
      <c r="BG484" s="314"/>
      <c r="BH484" s="314"/>
      <c r="BI484" s="314"/>
      <c r="BJ484" s="314"/>
      <c r="BK484" s="314"/>
      <c r="BL484" s="314"/>
      <c r="BM484" s="314"/>
      <c r="BN484" s="314"/>
      <c r="BO484" s="314"/>
      <c r="BP484" s="314"/>
      <c r="BQ484" s="314"/>
      <c r="BR484" s="314"/>
      <c r="BS484" s="314"/>
      <c r="BT484" s="314"/>
      <c r="BU484" s="314"/>
      <c r="BV484" s="314"/>
      <c r="BW484" s="314"/>
      <c r="BX484" s="314"/>
      <c r="BY484" s="314"/>
      <c r="BZ484" s="314"/>
      <c r="CA484" s="314"/>
      <c r="CB484" s="314"/>
      <c r="CC484" s="314"/>
      <c r="CD484" s="314"/>
      <c r="CE484" s="314"/>
      <c r="CF484" s="314"/>
      <c r="CG484" s="314"/>
      <c r="CH484" s="314"/>
      <c r="CI484" s="314"/>
      <c r="CJ484" s="314"/>
      <c r="CK484" s="314"/>
      <c r="CL484" s="314"/>
      <c r="CM484" s="314"/>
      <c r="CN484" s="314"/>
      <c r="CO484" s="314"/>
      <c r="CP484" s="314"/>
      <c r="CQ484" s="314"/>
    </row>
    <row r="485" spans="1:95" ht="12.75" customHeight="1" thickBot="1" x14ac:dyDescent="0.3">
      <c r="A485" s="307"/>
      <c r="B485" s="68"/>
      <c r="C485" s="68"/>
      <c r="D485" s="68"/>
      <c r="E485" s="68"/>
      <c r="F485" s="338" t="str">
        <f>Translations!$B$127</f>
        <v>Tier</v>
      </c>
      <c r="G485" s="1254" t="str">
        <f>Translations!$B$393</f>
        <v>tier description</v>
      </c>
      <c r="H485" s="1254"/>
      <c r="I485" s="1255" t="str">
        <f>Translations!$B$394</f>
        <v>Unit</v>
      </c>
      <c r="J485" s="1255"/>
      <c r="K485" s="1255" t="str">
        <f>Translations!$B$395</f>
        <v>Value</v>
      </c>
      <c r="L485" s="1255"/>
      <c r="M485" s="205" t="str">
        <f>Translations!$B$396</f>
        <v>error</v>
      </c>
      <c r="N485" s="76"/>
      <c r="O485" s="160"/>
      <c r="P485" s="339"/>
      <c r="Q485" s="325" t="str">
        <f>EUconst_SumEnergyIN</f>
        <v>SUM_EnergyIN</v>
      </c>
      <c r="R485" s="340" t="str">
        <f>IF(E481="","",BG494)</f>
        <v/>
      </c>
      <c r="S485" s="314"/>
      <c r="T485" s="314"/>
      <c r="U485" s="314"/>
      <c r="V485" s="341" t="s">
        <v>130</v>
      </c>
      <c r="W485" s="314"/>
      <c r="X485" s="314"/>
      <c r="Y485" s="312" t="s">
        <v>131</v>
      </c>
      <c r="Z485" s="312" t="s">
        <v>132</v>
      </c>
      <c r="AA485" s="314"/>
      <c r="AB485" s="314"/>
      <c r="AC485" s="336" t="s">
        <v>133</v>
      </c>
      <c r="AD485" s="314"/>
      <c r="AE485" s="314"/>
      <c r="AF485" s="314" t="s">
        <v>134</v>
      </c>
      <c r="AG485" s="314" t="s">
        <v>135</v>
      </c>
      <c r="AH485" s="312" t="s">
        <v>136</v>
      </c>
      <c r="AI485" s="335" t="s">
        <v>137</v>
      </c>
      <c r="AJ485" s="335" t="s">
        <v>138</v>
      </c>
      <c r="AK485" s="342" t="s">
        <v>139</v>
      </c>
      <c r="AL485" s="326"/>
      <c r="AM485" s="326"/>
      <c r="AN485" s="326"/>
      <c r="AO485" s="326"/>
      <c r="AP485" s="326"/>
      <c r="AQ485" s="314"/>
      <c r="AR485" s="314" t="s">
        <v>134</v>
      </c>
      <c r="AS485" s="314" t="s">
        <v>135</v>
      </c>
      <c r="AT485" s="343" t="s">
        <v>140</v>
      </c>
      <c r="AU485" s="335" t="s">
        <v>141</v>
      </c>
      <c r="AV485" s="335" t="s">
        <v>142</v>
      </c>
      <c r="AW485" s="342" t="s">
        <v>139</v>
      </c>
      <c r="AX485" s="342" t="s">
        <v>139</v>
      </c>
      <c r="AY485" s="314"/>
      <c r="AZ485" s="314"/>
      <c r="BA485" s="314"/>
      <c r="BB485" s="314" t="s">
        <v>143</v>
      </c>
      <c r="BC485" s="314"/>
      <c r="BD485" s="314"/>
      <c r="BE485" s="314"/>
      <c r="BF485" s="314"/>
      <c r="BG485" s="319" t="s">
        <v>144</v>
      </c>
      <c r="BH485" s="314" t="s">
        <v>145</v>
      </c>
      <c r="BI485" s="314"/>
      <c r="BJ485" s="314"/>
      <c r="BK485" s="314"/>
      <c r="BL485" s="314"/>
      <c r="BM485" s="314"/>
      <c r="BN485" s="314"/>
      <c r="BO485" s="314"/>
      <c r="BP485" s="314"/>
      <c r="BQ485" s="314"/>
      <c r="BR485" s="314"/>
      <c r="BS485" s="314"/>
      <c r="BT485" s="314"/>
      <c r="BU485" s="314"/>
      <c r="BV485" s="314"/>
      <c r="BW485" s="314"/>
      <c r="BX485" s="314"/>
      <c r="BY485" s="314"/>
      <c r="BZ485" s="314"/>
      <c r="CA485" s="314"/>
      <c r="CB485" s="314"/>
      <c r="CC485" s="314"/>
      <c r="CD485" s="314"/>
      <c r="CE485" s="314"/>
      <c r="CF485" s="314"/>
      <c r="CG485" s="314"/>
      <c r="CH485" s="314"/>
      <c r="CI485" s="314"/>
      <c r="CJ485" s="314"/>
      <c r="CK485" s="314"/>
      <c r="CL485" s="314"/>
      <c r="CM485" s="314"/>
      <c r="CN485" s="314"/>
      <c r="CO485" s="314"/>
      <c r="CP485" s="314"/>
      <c r="CQ485" s="319" t="s">
        <v>107</v>
      </c>
    </row>
    <row r="486" spans="1:95" ht="12.75" customHeight="1" thickBot="1" x14ac:dyDescent="0.3">
      <c r="A486" s="307"/>
      <c r="B486" s="68"/>
      <c r="C486" s="199" t="s">
        <v>12</v>
      </c>
      <c r="D486" s="344" t="str">
        <f>Translations!$B$356</f>
        <v>RFA:</v>
      </c>
      <c r="E486" s="345"/>
      <c r="F486" s="6"/>
      <c r="G486" s="1256" t="str">
        <f>IF(OR(ISBLANK(F486),F486=EUconst_NoTier),"",IF(Z486=0,EUconst_NA,IF(ISERROR(Z486),"",Z486)))</f>
        <v/>
      </c>
      <c r="H486" s="1257"/>
      <c r="I486" s="346" t="str">
        <f>IF(J486&lt;&gt;"","",AI486)</f>
        <v/>
      </c>
      <c r="J486" s="7"/>
      <c r="K486" s="1258"/>
      <c r="L486" s="1259"/>
      <c r="M486" s="347" t="str">
        <f>IF(AND(E481&lt;&gt;"",OR(F486="",COUNT(K486)=0),Y486&lt;&gt;EUconst_NA),EUconst_ERR_Incomplete,"")</f>
        <v/>
      </c>
      <c r="N486" s="76"/>
      <c r="O486" s="160"/>
      <c r="P486" s="348"/>
      <c r="Q486" s="325" t="str">
        <f>EUconst_SumBioEnergyIN</f>
        <v>SUM_BioEnergyIN</v>
      </c>
      <c r="R486" s="340" t="str">
        <f>IF(E481="","",BG495)</f>
        <v/>
      </c>
      <c r="S486" s="314"/>
      <c r="T486" s="349" t="str">
        <f>EUconst_CNTR_ActivityData&amp;E481</f>
        <v>ActivityData_</v>
      </c>
      <c r="U486" s="312"/>
      <c r="V486" s="349" t="str">
        <f>IF(E480="","",INDEX(B_IdentifyFuelStreams!$I$67:$I$116,MATCH(U479,B_IdentifyFuelStreams!$D$67:$D$116,0)))</f>
        <v/>
      </c>
      <c r="W486" s="335" t="s">
        <v>146</v>
      </c>
      <c r="X486" s="312"/>
      <c r="Y486" s="350" t="str">
        <f>IF(E481="","",INDEX(EUwideConstants!$P$164:$P$200,MATCH(T486,EUwideConstants!$S$164:$S$200,0)))</f>
        <v/>
      </c>
      <c r="Z486" s="351" t="str">
        <f>IF(ISBLANK(F486),"",IF(F486=EUconst_NA,"",INDEX(EUwideConstants!$H:$O,MATCH(T486,EUwideConstants!$S:$S,0),MATCH(F486,CNTR_TierList,0))))</f>
        <v/>
      </c>
      <c r="AA486" s="352" t="s">
        <v>136</v>
      </c>
      <c r="AB486" s="335"/>
      <c r="AC486" s="331" t="b">
        <f>E480&lt;&gt;""</f>
        <v>0</v>
      </c>
      <c r="AD486" s="314"/>
      <c r="AE486" s="353" t="str">
        <f>EUconst_CNTR_ActivityData&amp;EUconst_Unit</f>
        <v>ActivityData_Unit</v>
      </c>
      <c r="AF486" s="354" t="str">
        <f>IF(AC486=TRUE, IF(COUNTIF(MSPara_SourceStreamCategory,V486)=0,"",INDEX(MSPara_CalcFactorsMatrix,MATCH(V486,MSPara_SourceStreamCategory,0),MATCH(AE486&amp;"_"&amp;2,MSPara_CalcFactors,0))),"")</f>
        <v/>
      </c>
      <c r="AG486" s="355" t="str">
        <f>IF(AC486=TRUE, IF(COUNTIF(MSPara_SourceStreamCategory,V486)=0,"",INDEX(MSPara_CalcFactorsMatrix,MATCH(V486,MSPara_SourceStreamCategory,0),MATCH(AE486&amp;"_"&amp;1,MSPara_CalcFactors,0))),"")</f>
        <v/>
      </c>
      <c r="AH486" s="331" t="str">
        <f>IF(OR(AF486="",AF486=EUconst_NA),IF(OR(AG486=EUconst_NA,AG486=""),"",AG486),AF486)</f>
        <v/>
      </c>
      <c r="AI486" s="350" t="str">
        <f>IF(AC486=TRUE,IF(AH486="",EUconst_t,AH486),"")</f>
        <v/>
      </c>
      <c r="AJ486" s="356" t="str">
        <f>IF(J486="",AI486,J486)</f>
        <v/>
      </c>
      <c r="AK486" s="357" t="b">
        <f>AND(E480&lt;&gt;"",J486&lt;&gt;"")</f>
        <v>0</v>
      </c>
      <c r="AL486" s="326"/>
      <c r="AM486" s="358" t="s">
        <v>147</v>
      </c>
      <c r="AN486" s="359" t="str">
        <f>AJ486</f>
        <v/>
      </c>
      <c r="AO486" s="326"/>
      <c r="AP486" s="326"/>
      <c r="AQ486" s="349" t="str">
        <f>EUconst_CNTR_ActivityData&amp;EUconst_Value</f>
        <v>ActivityData_Value</v>
      </c>
      <c r="AR486" s="336"/>
      <c r="AS486" s="336"/>
      <c r="AT486" s="331" t="b">
        <f>AND(AND(AH486&lt;&gt;"",AJ486&lt;&gt;""),AJ486=AH486)</f>
        <v>0</v>
      </c>
      <c r="AU486" s="314"/>
      <c r="AV486" s="331">
        <f>IF(Y486=EUconst_NA,0,IF(COUNT(K486:K486)=0,0,IF(K486="",#REF!,K486)))</f>
        <v>0</v>
      </c>
      <c r="AW486" s="360" t="b">
        <f>AND(AC486=TRUE,OR(K486&lt;&gt;"",AU486=""))</f>
        <v>0</v>
      </c>
      <c r="AX486" s="360" t="b">
        <f>AND(AC486=TRUE,NOT(AW486))</f>
        <v>0</v>
      </c>
      <c r="AY486" s="314"/>
      <c r="AZ486" s="314" t="s">
        <v>148</v>
      </c>
      <c r="BA486" s="314" t="s">
        <v>149</v>
      </c>
      <c r="BB486" s="360"/>
      <c r="BC486" s="314" t="s">
        <v>150</v>
      </c>
      <c r="BD486" s="314"/>
      <c r="BE486" s="314"/>
      <c r="BF486" s="361" t="s">
        <v>119</v>
      </c>
      <c r="BG486" s="362" t="str">
        <f>IF(COUNTIF(AO489:AO490,TRUE)=0,"",BH486*AV497)</f>
        <v/>
      </c>
      <c r="BH486" s="362" t="str">
        <f>IF(COUNTIF(AO489:AO490,TRUE)=0,"",AV486*IF(AO489,1,AV488*AN490)*AV489-BH488-BH490-BH492)</f>
        <v/>
      </c>
      <c r="BI486" s="314"/>
      <c r="BJ486" s="314"/>
      <c r="BK486" s="314"/>
      <c r="BL486" s="314"/>
      <c r="BM486" s="314"/>
      <c r="BN486" s="314"/>
      <c r="BO486" s="314"/>
      <c r="BP486" s="314"/>
      <c r="BQ486" s="314"/>
      <c r="BR486" s="314"/>
      <c r="BS486" s="314"/>
      <c r="BT486" s="314"/>
      <c r="BU486" s="314"/>
      <c r="BV486" s="314"/>
      <c r="BW486" s="314"/>
      <c r="BX486" s="314"/>
      <c r="BY486" s="314"/>
      <c r="BZ486" s="314"/>
      <c r="CA486" s="314"/>
      <c r="CB486" s="314"/>
      <c r="CC486" s="314"/>
      <c r="CD486" s="314"/>
      <c r="CE486" s="314"/>
      <c r="CF486" s="314"/>
      <c r="CG486" s="314"/>
      <c r="CH486" s="314"/>
      <c r="CI486" s="314"/>
      <c r="CJ486" s="314"/>
      <c r="CK486" s="314"/>
      <c r="CL486" s="314"/>
      <c r="CM486" s="314"/>
      <c r="CN486" s="314"/>
      <c r="CO486" s="314"/>
      <c r="CP486" s="314"/>
      <c r="CQ486" s="360" t="b">
        <v>0</v>
      </c>
    </row>
    <row r="487" spans="1:95" ht="5.15" customHeight="1" thickBot="1" x14ac:dyDescent="0.3">
      <c r="A487" s="307"/>
      <c r="B487" s="68"/>
      <c r="C487" s="199"/>
      <c r="D487" s="202"/>
      <c r="E487" s="76"/>
      <c r="F487" s="76"/>
      <c r="G487" s="76"/>
      <c r="H487" s="76" t="str">
        <f>Translations!$B$397</f>
        <v xml:space="preserve"> </v>
      </c>
      <c r="I487" s="162"/>
      <c r="J487" s="162"/>
      <c r="K487" s="76"/>
      <c r="L487" s="76"/>
      <c r="M487" s="363"/>
      <c r="N487" s="76"/>
      <c r="O487" s="160"/>
      <c r="P487" s="109"/>
      <c r="Q487" s="312"/>
      <c r="R487" s="312"/>
      <c r="S487" s="314"/>
      <c r="T487" s="62"/>
      <c r="U487" s="312"/>
      <c r="V487" s="314"/>
      <c r="W487" s="314"/>
      <c r="X487" s="312"/>
      <c r="Y487" s="319"/>
      <c r="Z487" s="314"/>
      <c r="AA487" s="314"/>
      <c r="AB487" s="314"/>
      <c r="AC487" s="314"/>
      <c r="AD487" s="314"/>
      <c r="AE487" s="314"/>
      <c r="AF487" s="314"/>
      <c r="AG487" s="314"/>
      <c r="AH487" s="314"/>
      <c r="AI487" s="314"/>
      <c r="AJ487" s="314"/>
      <c r="AK487" s="314"/>
      <c r="AL487" s="326"/>
      <c r="AM487" s="326"/>
      <c r="AN487" s="326"/>
      <c r="AO487" s="326"/>
      <c r="AP487" s="326"/>
      <c r="AQ487" s="314"/>
      <c r="AR487" s="314"/>
      <c r="AS487" s="314"/>
      <c r="AT487" s="314"/>
      <c r="AU487" s="314"/>
      <c r="AV487" s="314"/>
      <c r="AW487" s="314"/>
      <c r="AX487" s="314"/>
      <c r="AY487" s="314"/>
      <c r="AZ487" s="314"/>
      <c r="BA487" s="314"/>
      <c r="BB487" s="314"/>
      <c r="BC487" s="314"/>
      <c r="BD487" s="314"/>
      <c r="BE487" s="314"/>
      <c r="BF487" s="314"/>
      <c r="BG487" s="364"/>
      <c r="BH487" s="364"/>
      <c r="BI487" s="314"/>
      <c r="BJ487" s="314"/>
      <c r="BK487" s="314"/>
      <c r="BL487" s="314"/>
      <c r="BM487" s="314"/>
      <c r="BN487" s="314"/>
      <c r="BO487" s="314"/>
      <c r="BP487" s="314"/>
      <c r="BQ487" s="314"/>
      <c r="BR487" s="314"/>
      <c r="BS487" s="314"/>
      <c r="BT487" s="314"/>
      <c r="BU487" s="314"/>
      <c r="BV487" s="314"/>
      <c r="BW487" s="314"/>
      <c r="BX487" s="314"/>
      <c r="BY487" s="314"/>
      <c r="BZ487" s="314"/>
      <c r="CA487" s="314"/>
      <c r="CB487" s="314"/>
      <c r="CC487" s="314"/>
      <c r="CD487" s="314"/>
      <c r="CE487" s="314"/>
      <c r="CF487" s="314"/>
      <c r="CG487" s="314"/>
      <c r="CH487" s="314"/>
      <c r="CI487" s="314"/>
      <c r="CJ487" s="314"/>
      <c r="CK487" s="314"/>
      <c r="CL487" s="314"/>
      <c r="CM487" s="314"/>
      <c r="CN487" s="314"/>
      <c r="CO487" s="314"/>
      <c r="CP487" s="314"/>
      <c r="CQ487" s="319"/>
    </row>
    <row r="488" spans="1:95" ht="12.75" customHeight="1" x14ac:dyDescent="0.25">
      <c r="A488" s="307"/>
      <c r="B488" s="68"/>
      <c r="C488" s="199" t="s">
        <v>13</v>
      </c>
      <c r="D488" s="344" t="str">
        <f>Translations!$B$360</f>
        <v>UCF:</v>
      </c>
      <c r="E488" s="345"/>
      <c r="F488" s="10"/>
      <c r="G488" s="1256" t="str">
        <f>IF(OR(ISBLANK(F488),F488=EUconst_NoTier),"",IF(Z488=0,EUconst_NotApplicable,IF(ISERROR(Z488),"",Z488)))</f>
        <v/>
      </c>
      <c r="H488" s="1257"/>
      <c r="I488" s="365" t="str">
        <f>IF(J488&lt;&gt;"","",AI488)</f>
        <v/>
      </c>
      <c r="J488" s="11"/>
      <c r="K488" s="366" t="str">
        <f>IF(L488="",AU488,"")</f>
        <v/>
      </c>
      <c r="L488" s="23"/>
      <c r="M488" s="347" t="str">
        <f>IF(AND(E481&lt;&gt;"",OR(F488="",COUNT(K488:L488)=0),Y488&lt;&gt;EUconst_NA),EUconst_ERR_Incomplete,IF(COUNTIF(BB488:BD488,TRUE)&gt;0,EUconst_ERR_Inconsistent,""))</f>
        <v/>
      </c>
      <c r="N488" s="367"/>
      <c r="O488" s="160"/>
      <c r="P488" s="109"/>
      <c r="Q488" s="312"/>
      <c r="R488" s="312"/>
      <c r="S488" s="314"/>
      <c r="T488" s="368" t="str">
        <f>EUconst_CNTR_UCF&amp;E481</f>
        <v>UCF_</v>
      </c>
      <c r="U488" s="312"/>
      <c r="V488" s="369" t="str">
        <f>V489</f>
        <v/>
      </c>
      <c r="W488" s="314"/>
      <c r="X488" s="312"/>
      <c r="Y488" s="370" t="str">
        <f>IF(E481="","",IF(OR(F488=EUconst_NA,W488=TRUE),EUconst_NA,INDEX(EUwideConstants!$P$164:$P$200,MATCH(T488,EUwideConstants!$S$164:$S$200,0))))</f>
        <v/>
      </c>
      <c r="Z488" s="371" t="str">
        <f>IF(ISBLANK(F488),"",IF(F488=EUconst_NA,"",INDEX(EUwideConstants!$H:$O,MATCH(T488,EUwideConstants!$S:$S,0),MATCH(F488,CNTR_TierList,0))))</f>
        <v/>
      </c>
      <c r="AA488" s="372" t="str">
        <f>IF(COUNTIF(EUconst_DefaultValues,Z488)&gt;0,MATCH(Z488,EUconst_DefaultValues,0),"")</f>
        <v/>
      </c>
      <c r="AB488" s="314"/>
      <c r="AC488" s="373" t="b">
        <f>AND(AC486,Y488&lt;&gt;EUconst_NA)</f>
        <v>0</v>
      </c>
      <c r="AD488" s="314"/>
      <c r="AE488" s="353" t="str">
        <f>EUconst_CNTR_UCF&amp;EUconst_Unit</f>
        <v>UCF_Unit</v>
      </c>
      <c r="AF488" s="374" t="str">
        <f>IF(AC488=TRUE, IF(COUNTIF(MSPara_SourceStreamCategory,V488)=0,"",INDEX(MSPara_CalcFactorsMatrix,MATCH(V488,MSPara_SourceStreamCategory,0),MATCH(AE488&amp;"_"&amp;2,MSPara_CalcFactors,0))),"")</f>
        <v/>
      </c>
      <c r="AG488" s="375" t="str">
        <f>IF(AC488=TRUE, IF(COUNTIF(MSPara_SourceStreamCategory,V488)=0,"",INDEX(MSPara_CalcFactorsMatrix,MATCH(V488,MSPara_SourceStreamCategory,0),MATCH(AE488&amp;"_"&amp;1,MSPara_CalcFactors,0))),"")</f>
        <v/>
      </c>
      <c r="AH488" s="373" t="str">
        <f>IF(AA488="","",INDEX(AF488:AG488,3-AA488))</f>
        <v/>
      </c>
      <c r="AI488" s="373" t="str">
        <f>IF(AC488=TRUE,IF(OR(AH488="",AH488=EUconst_NA),EUconst_GJ&amp;"/"&amp;AJ486,AH488),"")</f>
        <v/>
      </c>
      <c r="AJ488" s="373" t="str">
        <f>IF(J488="",AI488,J488)</f>
        <v/>
      </c>
      <c r="AK488" s="369" t="b">
        <f>AND(E480&lt;&gt;"",J488&lt;&gt;"")</f>
        <v>0</v>
      </c>
      <c r="AL488" s="326"/>
      <c r="AM488" s="358" t="s">
        <v>151</v>
      </c>
      <c r="AN488" s="359" t="str">
        <f>IF(AJ488="",EUconst_NA,IF(AN486=EUconst_TJ,EUconst_TJ,INDEX(EUwideConstants!$C$135:$G$139,MATCH(AN486,RFAUnits,0),MATCH(AJ488,UCFUnits,0))))</f>
        <v>n.a.</v>
      </c>
      <c r="AO488" s="326"/>
      <c r="AP488" s="326"/>
      <c r="AQ488" s="376" t="str">
        <f>EUconst_CNTR_UCF&amp;EUconst_Value</f>
        <v>UCF_Value</v>
      </c>
      <c r="AR488" s="377" t="str">
        <f>IF(AC488=TRUE,IF(COUNTIF(MSPara_SourceStreamCategory,V488)=0,"",INDEX(MSPara_CalcFactorsMatrix,MATCH(V488,MSPara_SourceStreamCategory,0),MATCH(AQ488&amp;"_"&amp;2,MSPara_CalcFactors,0))),"")</f>
        <v/>
      </c>
      <c r="AS488" s="378" t="str">
        <f>IF(AC488=TRUE,IF(COUNTIF(MSPara_SourceStreamCategory,V488)=0,"",INDEX(MSPara_CalcFactorsMatrix,MATCH(V488,MSPara_SourceStreamCategory,0),MATCH(AQ488&amp;"_"&amp;1,MSPara_CalcFactors,0))),"")</f>
        <v/>
      </c>
      <c r="AT488" s="379" t="b">
        <f>AND(AND(AH488&lt;&gt;"",AJ488&lt;&gt;""),AJ488=AH488)</f>
        <v>0</v>
      </c>
      <c r="AU488" s="380" t="str">
        <f>IF(AND(AA488&lt;&gt;"",AT488=TRUE),IF(OR(INDEX(AR488:AS488,3-AA488)=EUconst_NA,INDEX(AR488:AS488,3-AA488)=0),"",INDEX(AR488:AS488,3-AA488)),"")</f>
        <v/>
      </c>
      <c r="AV488" s="373">
        <f>IF(AC488=TRUE,IF(COUNT(K488:L488)=0,0,IF(L488="",K488,L488)),0)</f>
        <v>0</v>
      </c>
      <c r="AW488" s="369" t="b">
        <f t="shared" ref="AW488:AW495" si="135">AND(AC488=TRUE,OR(AND(F488&lt;&gt;"",NOT(ISNUMBER(AA488))),L488&lt;&gt;"",F488="",AU488=""))</f>
        <v>0</v>
      </c>
      <c r="AX488" s="381" t="b">
        <f t="shared" ref="AX488:AX495" si="136">AND(AC488=TRUE,NOT(AW488))</f>
        <v>0</v>
      </c>
      <c r="AY488" s="314"/>
      <c r="AZ488" s="382" t="b">
        <f t="shared" ref="AZ488:AZ495" si="137">AND(ISNUMBER(AA488),AU488="")</f>
        <v>0</v>
      </c>
      <c r="BA488" s="383" t="b">
        <f t="shared" ref="BA488:BA495" si="138">AND(ISNUMBER(AA488),AU488&lt;&gt;AV488)</f>
        <v>0</v>
      </c>
      <c r="BB488" s="369" t="b">
        <f>AND(E481&lt;&gt;"",F488&lt;&gt;EUconst_NA,AN488=EUconst_NA)</f>
        <v>0</v>
      </c>
      <c r="BC488" s="369" t="b">
        <f t="shared" ref="BC488:BC495" si="139">AND(L488&lt;&gt;"",Y488=EUconst_NA)</f>
        <v>0</v>
      </c>
      <c r="BD488" s="314"/>
      <c r="BE488" s="314"/>
      <c r="BF488" s="382" t="s">
        <v>152</v>
      </c>
      <c r="BG488" s="384" t="str">
        <f>IF(COUNTIF(AO489:AO490,TRUE)=0,"",BH488*AV497)</f>
        <v/>
      </c>
      <c r="BH488" s="384" t="str">
        <f>IF(COUNTIF(AO489:AO490,TRUE)=0,"",AV486*IF(AO489,1,AV488*AN490)*AV489*AV490)</f>
        <v/>
      </c>
      <c r="BI488" s="314"/>
      <c r="BJ488" s="314"/>
      <c r="BK488" s="314"/>
      <c r="BL488" s="314"/>
      <c r="BM488" s="314"/>
      <c r="BN488" s="314"/>
      <c r="BO488" s="314"/>
      <c r="BP488" s="314"/>
      <c r="BQ488" s="314"/>
      <c r="BR488" s="314"/>
      <c r="BS488" s="314"/>
      <c r="BT488" s="314"/>
      <c r="BU488" s="314"/>
      <c r="BV488" s="314"/>
      <c r="BW488" s="314"/>
      <c r="BX488" s="314"/>
      <c r="BY488" s="314"/>
      <c r="BZ488" s="314"/>
      <c r="CA488" s="314"/>
      <c r="CB488" s="314"/>
      <c r="CC488" s="314"/>
      <c r="CD488" s="314"/>
      <c r="CE488" s="314"/>
      <c r="CF488" s="314"/>
      <c r="CG488" s="314"/>
      <c r="CH488" s="314"/>
      <c r="CI488" s="314"/>
      <c r="CJ488" s="314"/>
      <c r="CK488" s="314"/>
      <c r="CL488" s="314"/>
      <c r="CM488" s="314"/>
      <c r="CN488" s="314"/>
      <c r="CO488" s="314"/>
      <c r="CP488" s="314"/>
      <c r="CQ488" s="369" t="b">
        <f>OR(CQ486,Y488=EUconst_NA)</f>
        <v>0</v>
      </c>
    </row>
    <row r="489" spans="1:95" ht="12.75" customHeight="1" thickBot="1" x14ac:dyDescent="0.3">
      <c r="A489" s="307"/>
      <c r="B489" s="68"/>
      <c r="C489" s="199" t="s">
        <v>14</v>
      </c>
      <c r="D489" s="344" t="str">
        <f>Translations!$B$358</f>
        <v>(prelim) EF:</v>
      </c>
      <c r="E489" s="345"/>
      <c r="F489" s="59"/>
      <c r="G489" s="1256" t="str">
        <f>IF(OR(ISBLANK(F489),F489=EUconst_NoTier),"",IF(Z489=0,EUconst_NotApplicable,IF(ISERROR(Z489),"",Z489)))</f>
        <v/>
      </c>
      <c r="H489" s="1260"/>
      <c r="I489" s="385" t="str">
        <f>IF(J489&lt;&gt;"","",AI489)</f>
        <v/>
      </c>
      <c r="J489" s="22"/>
      <c r="K489" s="386" t="str">
        <f>IF(L489="",AU489,"")</f>
        <v/>
      </c>
      <c r="L489" s="58"/>
      <c r="M489" s="347" t="str">
        <f>IF(AND(E481&lt;&gt;"",OR(F489="",COUNT(K489:L489)=0),Y489&lt;&gt;EUconst_NA),EUconst_ERR_Incomplete,IF(COUNTIF(BB489:BD489,TRUE)&gt;0,EUconst_ERR_Inconsistent,""))</f>
        <v/>
      </c>
      <c r="N489" s="387"/>
      <c r="O489" s="160"/>
      <c r="P489" s="109"/>
      <c r="Q489" s="312"/>
      <c r="R489" s="312"/>
      <c r="S489" s="314"/>
      <c r="T489" s="388" t="str">
        <f>EUconst_CNTR_EF&amp;E481</f>
        <v>EF_</v>
      </c>
      <c r="U489" s="312"/>
      <c r="V489" s="389" t="str">
        <f>V486</f>
        <v/>
      </c>
      <c r="W489" s="314"/>
      <c r="X489" s="312"/>
      <c r="Y489" s="390" t="str">
        <f>IF(E481="","",IF(OR(F489=EUconst_NA,W489=TRUE),EUconst_NA,INDEX(EUwideConstants!$P$164:$P$200,MATCH(T489,EUwideConstants!$S$164:$S$200,0))))</f>
        <v/>
      </c>
      <c r="Z489" s="391" t="str">
        <f>IF(ISBLANK(F489),"",IF(F489=EUconst_NA,"",INDEX(EUwideConstants!$H:$O,MATCH(T489,EUwideConstants!$S:$S,0),MATCH(F489,CNTR_TierList,0))))</f>
        <v/>
      </c>
      <c r="AA489" s="392" t="str">
        <f>IF(COUNTIF(EUconst_DefaultValues,Z489)&gt;0,MATCH(Z489,EUconst_DefaultValues,0),"")</f>
        <v/>
      </c>
      <c r="AB489" s="314"/>
      <c r="AC489" s="393" t="b">
        <f>AND(AC486,Y489&lt;&gt;EUconst_NA)</f>
        <v>0</v>
      </c>
      <c r="AD489" s="314"/>
      <c r="AE489" s="394" t="str">
        <f>EUconst_CNTR_EF&amp;EUconst_Unit</f>
        <v>EF_Unit</v>
      </c>
      <c r="AF489" s="395" t="str">
        <f>IF(AC489=TRUE, IF(COUNTIF(MSPara_SourceStreamCategory,V489)=0,"",INDEX(MSPara_CalcFactorsMatrix,MATCH(V489,MSPara_SourceStreamCategory,0),MATCH(AE489&amp;"_"&amp;2,MSPara_CalcFactors,0))),"")</f>
        <v/>
      </c>
      <c r="AG489" s="396" t="str">
        <f>IF(AC489=TRUE, IF(COUNTIF(MSPara_SourceStreamCategory,V489)=0,"",INDEX(MSPara_CalcFactorsMatrix,MATCH(V489,MSPara_SourceStreamCategory,0),MATCH(AE489&amp;"_"&amp;1,MSPara_CalcFactors,0))),"")</f>
        <v/>
      </c>
      <c r="AH489" s="397" t="str">
        <f>IF(AA489="","",INDEX(AF489:AG489,3-AA489))</f>
        <v/>
      </c>
      <c r="AI489" s="397" t="str">
        <f>IF(AC489=TRUE,IF(OR(AH489="",AH489=EUconst_NA),EUconst_tCO2&amp;"/"&amp;IF(AN488=EUconst_NA,AN486,IF(AN488=EUconst_GJ,EUconst_TJ,AN488)),AH489),"")</f>
        <v/>
      </c>
      <c r="AJ489" s="397" t="str">
        <f>IF(J489="",AI489,J489)</f>
        <v/>
      </c>
      <c r="AK489" s="398" t="b">
        <f>AND(E481&lt;&gt;"",J489&lt;&gt;"")</f>
        <v>0</v>
      </c>
      <c r="AL489" s="326"/>
      <c r="AM489" s="358" t="s">
        <v>153</v>
      </c>
      <c r="AN489" s="359" t="str">
        <f>IF(COUNTIF(RFAUnits,AN486)=0,EUconst_NA,INDEX(EUwideConstants!$C$150:$H$154,MATCH(AJ489,EFUnits,0),MATCH(AN486,EUwideConstants!$C$149:$H$149,0)))</f>
        <v>n.a.</v>
      </c>
      <c r="AO489" s="359" t="b">
        <f>AN489&lt;&gt;EUconst_NA</f>
        <v>0</v>
      </c>
      <c r="AP489" s="326"/>
      <c r="AQ489" s="399" t="str">
        <f>EUconst_CNTR_EF&amp;EUconst_Value</f>
        <v>EF_Value</v>
      </c>
      <c r="AR489" s="400" t="str">
        <f>IF(AC489=TRUE,IF(COUNTIF(MSPara_SourceStreamCategory,V489)=0,"",INDEX(MSPara_CalcFactorsMatrix,MATCH(V489,MSPara_SourceStreamCategory,0),MATCH(AQ489&amp;"_"&amp;2,MSPara_CalcFactors,0))),"")</f>
        <v/>
      </c>
      <c r="AS489" s="401" t="str">
        <f>IF(AC489=TRUE,IF(COUNTIF(MSPara_SourceStreamCategory,V489)=0,"",INDEX(MSPara_CalcFactorsMatrix,MATCH(V489,MSPara_SourceStreamCategory,0),MATCH(AQ489&amp;"_"&amp;1,MSPara_CalcFactors,0))),"")</f>
        <v/>
      </c>
      <c r="AT489" s="402" t="b">
        <f>AND(AND(AH489&lt;&gt;"",AJ489&lt;&gt;""),AJ489=AH489)</f>
        <v>0</v>
      </c>
      <c r="AU489" s="403" t="str">
        <f>IF(AND(AA489&lt;&gt;"",AT489=TRUE),IF(OR(INDEX(AR489:AS489,3-AA489)=EUconst_NA,INDEX(AR489:AS489,3-AA489)=0),"",INDEX(AR489:AS489,3-AA489)),"")</f>
        <v/>
      </c>
      <c r="AV489" s="393">
        <f>IF(AC489=TRUE,IF(COUNT(K489:L489)=0,0,IF(L489="",K489,L489)),0)</f>
        <v>0</v>
      </c>
      <c r="AW489" s="389" t="b">
        <f t="shared" si="135"/>
        <v>0</v>
      </c>
      <c r="AX489" s="404" t="b">
        <f t="shared" si="136"/>
        <v>0</v>
      </c>
      <c r="AY489" s="314"/>
      <c r="AZ489" s="405" t="b">
        <f t="shared" si="137"/>
        <v>0</v>
      </c>
      <c r="BA489" s="406" t="b">
        <f t="shared" si="138"/>
        <v>0</v>
      </c>
      <c r="BB489" s="407" t="b">
        <f>AND(E481&lt;&gt;"",COUNTIF(AO489:AO490,TRUE)=0)</f>
        <v>0</v>
      </c>
      <c r="BC489" s="389" t="b">
        <f t="shared" si="139"/>
        <v>0</v>
      </c>
      <c r="BD489" s="314"/>
      <c r="BE489" s="314"/>
      <c r="BF489" s="408" t="s">
        <v>154</v>
      </c>
      <c r="BG489" s="409" t="str">
        <f>IF(COUNTIF(AO489:AO490,TRUE)=0,"",BH489*AV497)</f>
        <v/>
      </c>
      <c r="BH489" s="409" t="str">
        <f>IF(COUNTIF(AO489:AO490,TRUE)=0,"",AV486*IF(AO489,1,AV488*AN490)*AV489*AV491)</f>
        <v/>
      </c>
      <c r="BI489" s="314"/>
      <c r="BJ489" s="314"/>
      <c r="BK489" s="314"/>
      <c r="BL489" s="314"/>
      <c r="BM489" s="314"/>
      <c r="BN489" s="314"/>
      <c r="BO489" s="314"/>
      <c r="BP489" s="314"/>
      <c r="BQ489" s="314"/>
      <c r="BR489" s="314"/>
      <c r="BS489" s="314"/>
      <c r="BT489" s="314"/>
      <c r="BU489" s="314"/>
      <c r="BV489" s="314"/>
      <c r="BW489" s="314"/>
      <c r="BX489" s="314"/>
      <c r="BY489" s="314"/>
      <c r="BZ489" s="314"/>
      <c r="CA489" s="314"/>
      <c r="CB489" s="314"/>
      <c r="CC489" s="314"/>
      <c r="CD489" s="314"/>
      <c r="CE489" s="314"/>
      <c r="CF489" s="314"/>
      <c r="CG489" s="314"/>
      <c r="CH489" s="314"/>
      <c r="CI489" s="314"/>
      <c r="CJ489" s="314"/>
      <c r="CK489" s="314"/>
      <c r="CL489" s="314"/>
      <c r="CM489" s="314"/>
      <c r="CN489" s="314"/>
      <c r="CO489" s="314"/>
      <c r="CP489" s="314"/>
      <c r="CQ489" s="407" t="b">
        <f>OR(CQ486,Y489=EUconst_NA)</f>
        <v>0</v>
      </c>
    </row>
    <row r="490" spans="1:95" ht="12.75" customHeight="1" x14ac:dyDescent="0.25">
      <c r="A490" s="307"/>
      <c r="B490" s="68"/>
      <c r="C490" s="199" t="s">
        <v>15</v>
      </c>
      <c r="D490" s="344" t="str">
        <f>Translations!$B$362</f>
        <v>BioF:</v>
      </c>
      <c r="E490" s="345"/>
      <c r="F490" s="10"/>
      <c r="G490" s="1256" t="str">
        <f>IF(OR(ISBLANK(F490),F490=EUconst_NoTier),"",IF(Z490=0,EUconst_NotApplicable,IF(ISERROR(Z490),"",Z490)))</f>
        <v/>
      </c>
      <c r="H490" s="1257"/>
      <c r="I490" s="410" t="str">
        <f t="shared" ref="I490:I495" si="140">IF(OR(AC490=FALSE,Y490=EUconst_NA),"","-")</f>
        <v/>
      </c>
      <c r="J490" s="411"/>
      <c r="K490" s="412" t="str">
        <f>IF(L490="",AU490,"")</f>
        <v/>
      </c>
      <c r="L490" s="60"/>
      <c r="M490" s="347" t="str">
        <f>IF(AND(E481&lt;&gt;"",OR(F490="",COUNT(K490:L490)=0),Y490&lt;&gt;EUconst_NA),EUconst_ERR_Incomplete,IF(COUNTIF(BB490:BD490,TRUE)&gt;0,EUconst_ERR_Inconsistent,""))</f>
        <v/>
      </c>
      <c r="O490" s="160"/>
      <c r="P490" s="348"/>
      <c r="Q490" s="413"/>
      <c r="R490" s="413"/>
      <c r="S490" s="314"/>
      <c r="T490" s="388" t="str">
        <f>EUconst_CNTR_BiomassContent&amp;E481</f>
        <v>BioC_</v>
      </c>
      <c r="U490" s="312"/>
      <c r="V490" s="369" t="str">
        <f>V488</f>
        <v/>
      </c>
      <c r="W490" s="369" t="str">
        <f>IF(OR(V490="",COUNTIF(MSPara_SourceStreamCategory,V490)=0),"",INDEX(MSPara_IsFossil,MATCH(V490,MSPara_SourceStreamCategory,0)))</f>
        <v/>
      </c>
      <c r="X490" s="312"/>
      <c r="Y490" s="370" t="str">
        <f>IF(E481="","",IF(OR(F490=EUconst_NA,W490=TRUE),EUconst_NA,INDEX(EUwideConstants!$P$164:$P$200,MATCH(T490,EUwideConstants!$S$164:$S$200,0))))</f>
        <v/>
      </c>
      <c r="Z490" s="371" t="str">
        <f>IF(ISBLANK(F490),"",IF(F490=EUconst_NA,"",INDEX(EUwideConstants!$H:$O,MATCH(T490,EUwideConstants!$S:$S,0),MATCH(F490,CNTR_TierList,0))))</f>
        <v/>
      </c>
      <c r="AA490" s="414" t="str">
        <f>IF(F490=1,1,"")</f>
        <v/>
      </c>
      <c r="AB490" s="314"/>
      <c r="AC490" s="373" t="b">
        <f>AND(AC486,Y490&lt;&gt;EUconst_NA)</f>
        <v>0</v>
      </c>
      <c r="AD490" s="314"/>
      <c r="AE490" s="415"/>
      <c r="AF490" s="416"/>
      <c r="AG490" s="417"/>
      <c r="AH490" s="418"/>
      <c r="AI490" s="418"/>
      <c r="AJ490" s="418"/>
      <c r="AK490" s="419"/>
      <c r="AL490" s="326"/>
      <c r="AM490" s="358" t="s">
        <v>155</v>
      </c>
      <c r="AN490" s="359" t="str">
        <f>IF(AN488=EUconst_NA,EUconst_NA,INDEX(EUwideConstants!$C$150:$H$154,MATCH(AJ489,EFUnits,0),MATCH(AN488,EUwideConstants!$C$149:$H$149,0)))</f>
        <v>n.a.</v>
      </c>
      <c r="AO490" s="359" t="b">
        <f>AN490&lt;&gt;EUconst_NA</f>
        <v>0</v>
      </c>
      <c r="AP490" s="326"/>
      <c r="AQ490" s="376" t="str">
        <f>EUconst_CNTR_BiomassContent&amp;EUconst_Value</f>
        <v>BioC_Value</v>
      </c>
      <c r="AR490" s="420"/>
      <c r="AS490" s="378" t="str">
        <f t="shared" ref="AS490:AS495" si="141">IF(AC490=TRUE,IF(COUNTIF(MSPara_SourceStreamCategory,V490)=0,"",INDEX(MSPara_CalcFactorsMatrix,MATCH(V490,MSPara_SourceStreamCategory,0),MATCH(AQ490&amp;"_"&amp;2,MSPara_CalcFactors,0))),"")</f>
        <v/>
      </c>
      <c r="AT490" s="421"/>
      <c r="AU490" s="380" t="str">
        <f t="shared" ref="AU490:AU495" si="142">IF(OR(AA490="",AS490=EUconst_NA),"",AS490)</f>
        <v/>
      </c>
      <c r="AV490" s="373">
        <f>IF(AC490=TRUE,IF(COUNT(K490:L490)=0,0,IF(L490="",K490,L490)),0)</f>
        <v>0</v>
      </c>
      <c r="AW490" s="369" t="b">
        <f t="shared" si="135"/>
        <v>0</v>
      </c>
      <c r="AX490" s="381" t="b">
        <f t="shared" si="136"/>
        <v>0</v>
      </c>
      <c r="AY490" s="314"/>
      <c r="AZ490" s="382" t="b">
        <f t="shared" si="137"/>
        <v>0</v>
      </c>
      <c r="BA490" s="383" t="b">
        <f t="shared" si="138"/>
        <v>0</v>
      </c>
      <c r="BB490" s="314"/>
      <c r="BC490" s="369" t="b">
        <f t="shared" si="139"/>
        <v>0</v>
      </c>
      <c r="BD490" s="369" t="b">
        <f>OR(AV490&gt;100%,(AV490+AV491)&gt;100%)</f>
        <v>0</v>
      </c>
      <c r="BE490" s="314"/>
      <c r="BF490" s="382" t="s">
        <v>156</v>
      </c>
      <c r="BG490" s="384" t="str">
        <f>IF(COUNTIF(AO489:AO490,TRUE)=0,"",BH490*AV497)</f>
        <v/>
      </c>
      <c r="BH490" s="384" t="str">
        <f>IF(COUNTIF(AO489:AO490,TRUE)=0,"",AV486*IF(AO489,1,AV488*AN490)*AV489*AV492)</f>
        <v/>
      </c>
      <c r="BJ490" s="314"/>
      <c r="BK490" s="314"/>
      <c r="BL490" s="314"/>
      <c r="BM490" s="314"/>
      <c r="BN490" s="314"/>
      <c r="BO490" s="314"/>
      <c r="BP490" s="314"/>
      <c r="BQ490" s="314"/>
      <c r="BR490" s="314"/>
      <c r="BS490" s="314"/>
      <c r="BT490" s="314"/>
      <c r="BU490" s="314"/>
      <c r="BV490" s="314"/>
      <c r="BW490" s="314"/>
      <c r="BX490" s="314"/>
      <c r="BY490" s="314"/>
      <c r="BZ490" s="314"/>
      <c r="CA490" s="314"/>
      <c r="CB490" s="314"/>
      <c r="CC490" s="314"/>
      <c r="CD490" s="314"/>
      <c r="CE490" s="314"/>
      <c r="CF490" s="314"/>
      <c r="CG490" s="314"/>
      <c r="CH490" s="314"/>
      <c r="CI490" s="314"/>
      <c r="CJ490" s="314"/>
      <c r="CK490" s="314"/>
      <c r="CL490" s="314"/>
      <c r="CM490" s="314"/>
      <c r="CN490" s="314"/>
      <c r="CO490" s="314"/>
      <c r="CP490" s="314"/>
      <c r="CQ490" s="369" t="b">
        <f>OR(CQ486,Y490=EUconst_NA)</f>
        <v>0</v>
      </c>
    </row>
    <row r="491" spans="1:95" ht="12.75" customHeight="1" thickBot="1" x14ac:dyDescent="0.3">
      <c r="A491" s="307"/>
      <c r="B491" s="68"/>
      <c r="C491" s="199" t="s">
        <v>16</v>
      </c>
      <c r="D491" s="344" t="str">
        <f>Translations!$B$368</f>
        <v>non-sust. BioF:</v>
      </c>
      <c r="E491" s="345"/>
      <c r="F491" s="20"/>
      <c r="G491" s="1256" t="str">
        <f>IF(OR(ISBLANK(F491),F491=EUconst_NoTier),"",IF(Z491=0,EUconst_NotApplicable,IF(ISERROR(Z491),"",Z491)))</f>
        <v/>
      </c>
      <c r="H491" s="1257"/>
      <c r="I491" s="422" t="str">
        <f t="shared" si="140"/>
        <v/>
      </c>
      <c r="J491" s="423"/>
      <c r="K491" s="424" t="str">
        <f>IF(L491="",AU491,"")</f>
        <v/>
      </c>
      <c r="L491" s="21"/>
      <c r="M491" s="347" t="str">
        <f>IF(AND(E481&lt;&gt;"",OR(F491="",COUNT(K491:L491)=0),Y491&lt;&gt;EUconst_NA),EUconst_ERR_Incomplete,IF(COUNTIF(BB491:BD491,TRUE)&gt;0,EUconst_ERR_Inconsistent,""))</f>
        <v/>
      </c>
      <c r="N491" s="76"/>
      <c r="O491" s="160"/>
      <c r="P491" s="348"/>
      <c r="Q491" s="413"/>
      <c r="R491" s="413"/>
      <c r="S491" s="314"/>
      <c r="T491" s="425" t="str">
        <f>EUconst_CNTR_BiomassContent&amp;E481</f>
        <v>BioC_</v>
      </c>
      <c r="U491" s="312"/>
      <c r="V491" s="407" t="str">
        <f>V490</f>
        <v/>
      </c>
      <c r="W491" s="407" t="str">
        <f>IF(OR(V490="",COUNTIF(MSPara_SourceStreamCategory,V491)=0),"",INDEX(MSPara_IsFossil,MATCH(V491,MSPara_SourceStreamCategory,0)))</f>
        <v/>
      </c>
      <c r="X491" s="312"/>
      <c r="Y491" s="426" t="str">
        <f>IF(E481="","",IF(OR(F491=EUconst_NA,W491=TRUE),EUconst_NA,INDEX(EUwideConstants!$P$164:$P$200,MATCH(T491,EUwideConstants!$S$164:$S$200,0))))</f>
        <v/>
      </c>
      <c r="Z491" s="427" t="str">
        <f>IF(ISBLANK(F491),"",IF(F491=EUconst_NA,"",INDEX(EUwideConstants!$H:$O,MATCH(T491,EUwideConstants!$S:$S,0),MATCH(F491,CNTR_TierList,0))))</f>
        <v/>
      </c>
      <c r="AA491" s="428" t="str">
        <f>IF(F491=1,1,"")</f>
        <v/>
      </c>
      <c r="AB491" s="314"/>
      <c r="AC491" s="429" t="b">
        <f>AND(AC486,Y491&lt;&gt;EUconst_NA)</f>
        <v>0</v>
      </c>
      <c r="AD491" s="314"/>
      <c r="AE491" s="430"/>
      <c r="AF491" s="431"/>
      <c r="AG491" s="432"/>
      <c r="AH491" s="433"/>
      <c r="AI491" s="433"/>
      <c r="AJ491" s="433"/>
      <c r="AK491" s="434"/>
      <c r="AL491" s="326"/>
      <c r="AM491" s="326"/>
      <c r="AN491" s="326"/>
      <c r="AO491" s="326"/>
      <c r="AP491" s="326"/>
      <c r="AQ491" s="435" t="str">
        <f>EUconst_CNTR_BiomassContent&amp;EUconst_Value</f>
        <v>BioC_Value</v>
      </c>
      <c r="AR491" s="430"/>
      <c r="AS491" s="436" t="str">
        <f t="shared" si="141"/>
        <v/>
      </c>
      <c r="AT491" s="437"/>
      <c r="AU491" s="438" t="str">
        <f t="shared" si="142"/>
        <v/>
      </c>
      <c r="AV491" s="429">
        <f>IF(AC491=TRUE,IF(COUNT(K491:L491)=0,0,IF(L491="",K491,L491)),0)</f>
        <v>0</v>
      </c>
      <c r="AW491" s="407" t="b">
        <f t="shared" si="135"/>
        <v>0</v>
      </c>
      <c r="AX491" s="439" t="b">
        <f t="shared" si="136"/>
        <v>0</v>
      </c>
      <c r="AY491" s="314"/>
      <c r="AZ491" s="408" t="b">
        <f t="shared" si="137"/>
        <v>0</v>
      </c>
      <c r="BA491" s="440" t="b">
        <f t="shared" si="138"/>
        <v>0</v>
      </c>
      <c r="BB491" s="314"/>
      <c r="BC491" s="407" t="b">
        <f t="shared" si="139"/>
        <v>0</v>
      </c>
      <c r="BD491" s="407" t="b">
        <f>OR(AV490&gt;100%,(AV490+AV491)&gt;100%)</f>
        <v>0</v>
      </c>
      <c r="BE491" s="314"/>
      <c r="BF491" s="408" t="s">
        <v>157</v>
      </c>
      <c r="BG491" s="409" t="str">
        <f>IF(COUNTIF(AO489:AO490,TRUE)=0,"",BH491*AV497)</f>
        <v/>
      </c>
      <c r="BH491" s="409" t="str">
        <f>IF(COUNTIF(AO489:AO490,TRUE)=0,"",AV486*IF(AO489,1,AV488*AN490)*AV489*AV493)</f>
        <v/>
      </c>
      <c r="BJ491" s="314"/>
      <c r="BK491" s="314"/>
      <c r="BL491" s="314"/>
      <c r="BM491" s="314"/>
      <c r="BN491" s="314"/>
      <c r="BO491" s="314"/>
      <c r="BP491" s="314"/>
      <c r="BQ491" s="314"/>
      <c r="BR491" s="314"/>
      <c r="BS491" s="314"/>
      <c r="BT491" s="314"/>
      <c r="BU491" s="314"/>
      <c r="BV491" s="314"/>
      <c r="BW491" s="314"/>
      <c r="BX491" s="314"/>
      <c r="BY491" s="314"/>
      <c r="BZ491" s="314"/>
      <c r="CA491" s="314"/>
      <c r="CB491" s="314"/>
      <c r="CC491" s="314"/>
      <c r="CD491" s="314"/>
      <c r="CE491" s="314"/>
      <c r="CF491" s="314"/>
      <c r="CG491" s="314"/>
      <c r="CH491" s="314"/>
      <c r="CI491" s="314"/>
      <c r="CJ491" s="314"/>
      <c r="CK491" s="314"/>
      <c r="CL491" s="314"/>
      <c r="CM491" s="314"/>
      <c r="CN491" s="314"/>
      <c r="CO491" s="314"/>
      <c r="CP491" s="314"/>
      <c r="CQ491" s="407" t="b">
        <f>OR(CQ486,Y491=EUconst_NA)</f>
        <v>0</v>
      </c>
    </row>
    <row r="492" spans="1:95" ht="12.75" customHeight="1" thickBot="1" x14ac:dyDescent="0.3">
      <c r="A492" s="307"/>
      <c r="B492" s="68"/>
      <c r="C492" s="199" t="s">
        <v>17</v>
      </c>
      <c r="D492" s="344" t="str">
        <f>Translations!$B$610</f>
        <v>sust. RFNBO/RCF:</v>
      </c>
      <c r="E492" s="441"/>
      <c r="F492" s="19" t="s">
        <v>158</v>
      </c>
      <c r="G492" s="1261"/>
      <c r="H492" s="1262"/>
      <c r="I492" s="442" t="str">
        <f t="shared" si="140"/>
        <v/>
      </c>
      <c r="J492" s="411"/>
      <c r="K492" s="443"/>
      <c r="L492" s="55"/>
      <c r="M492" s="347" t="str">
        <f>IF(AND(E481&lt;&gt;"",OR(F492="",COUNT(L492)=0),Y492&lt;&gt;EUconst_NA),EUconst_ERR_Incomplete,"")</f>
        <v/>
      </c>
      <c r="N492" s="76"/>
      <c r="O492" s="160"/>
      <c r="P492" s="348"/>
      <c r="Q492" s="413"/>
      <c r="R492" s="413"/>
      <c r="S492" s="314"/>
      <c r="T492" s="388" t="str">
        <f>EUconst_CNTR_RFNBOetcContent&amp;E481</f>
        <v>RNFBOC_</v>
      </c>
      <c r="U492" s="312"/>
      <c r="V492" s="312"/>
      <c r="W492" s="312"/>
      <c r="X492" s="312"/>
      <c r="Y492" s="380" t="str">
        <f>IF(E481="","",IF(OR(F492=EUconst_NA,W492=TRUE),EUconst_NA,INDEX(EUwideConstants!$P$164:$P$200,MATCH(T492,EUwideConstants!$S$164:$S$200,0))))</f>
        <v/>
      </c>
      <c r="Z492" s="314"/>
      <c r="AA492" s="314"/>
      <c r="AB492" s="314"/>
      <c r="AC492" s="397" t="b">
        <f>AND(AC488,Y492&lt;&gt;EUconst_NA)</f>
        <v>0</v>
      </c>
      <c r="AD492" s="314"/>
      <c r="AE492" s="415"/>
      <c r="AF492" s="416"/>
      <c r="AG492" s="417"/>
      <c r="AH492" s="418"/>
      <c r="AI492" s="418"/>
      <c r="AJ492" s="418"/>
      <c r="AK492" s="419"/>
      <c r="AL492" s="326"/>
      <c r="AM492" s="326"/>
      <c r="AN492" s="326"/>
      <c r="AO492" s="326"/>
      <c r="AP492" s="326"/>
      <c r="AQ492" s="444" t="s">
        <v>159</v>
      </c>
      <c r="AR492" s="415"/>
      <c r="AS492" s="445" t="str">
        <f t="shared" si="141"/>
        <v/>
      </c>
      <c r="AT492" s="446"/>
      <c r="AU492" s="447" t="str">
        <f t="shared" si="142"/>
        <v/>
      </c>
      <c r="AV492" s="397">
        <f>IF(L492&lt;&gt;0,L492,L492)</f>
        <v>0</v>
      </c>
      <c r="AW492" s="398" t="b">
        <f t="shared" si="135"/>
        <v>0</v>
      </c>
      <c r="AX492" s="448" t="b">
        <f t="shared" si="136"/>
        <v>0</v>
      </c>
      <c r="AY492" s="314"/>
      <c r="AZ492" s="449" t="b">
        <f t="shared" si="137"/>
        <v>0</v>
      </c>
      <c r="BA492" s="450" t="b">
        <f t="shared" si="138"/>
        <v>0</v>
      </c>
      <c r="BB492" s="314"/>
      <c r="BC492" s="398" t="b">
        <f t="shared" si="139"/>
        <v>0</v>
      </c>
      <c r="BD492" s="369" t="b">
        <f>OR(AV492&gt;100%,(AV492+AV493)&gt;100%)</f>
        <v>0</v>
      </c>
      <c r="BE492" s="314"/>
      <c r="BF492" s="451" t="s">
        <v>160</v>
      </c>
      <c r="BG492" s="452" t="str">
        <f>IF(COUNTIF(AO489:AO490,TRUE)=0,"",BH492*AV497)</f>
        <v/>
      </c>
      <c r="BH492" s="452" t="str">
        <f>IF(COUNTIF(AO489:AO490,TRUE)=0,"",AV486*IF(AO489,1,AV488*AN490)*AV489*AV494)</f>
        <v/>
      </c>
      <c r="BJ492" s="314"/>
      <c r="BK492" s="314"/>
      <c r="BL492" s="314"/>
      <c r="BM492" s="314"/>
      <c r="BN492" s="314"/>
      <c r="BO492" s="314"/>
      <c r="BP492" s="314"/>
      <c r="BQ492" s="314"/>
      <c r="BR492" s="314"/>
      <c r="BS492" s="314"/>
      <c r="BT492" s="314"/>
      <c r="BU492" s="314"/>
      <c r="BV492" s="314"/>
      <c r="BW492" s="314"/>
      <c r="BX492" s="314"/>
      <c r="BY492" s="314"/>
      <c r="BZ492" s="314"/>
      <c r="CA492" s="314"/>
      <c r="CB492" s="314"/>
      <c r="CC492" s="314"/>
      <c r="CD492" s="314"/>
      <c r="CE492" s="314"/>
      <c r="CF492" s="314"/>
      <c r="CG492" s="314"/>
      <c r="CH492" s="314"/>
      <c r="CI492" s="314"/>
      <c r="CJ492" s="314"/>
      <c r="CK492" s="314"/>
      <c r="CL492" s="314"/>
      <c r="CM492" s="314"/>
      <c r="CN492" s="314"/>
      <c r="CO492" s="314"/>
      <c r="CP492" s="314"/>
      <c r="CQ492" s="407" t="b">
        <f>OR(CQ486,Y492=EUconst_NA)</f>
        <v>0</v>
      </c>
    </row>
    <row r="493" spans="1:95" ht="12.75" customHeight="1" thickBot="1" x14ac:dyDescent="0.3">
      <c r="A493" s="307"/>
      <c r="B493" s="68"/>
      <c r="C493" s="199" t="s">
        <v>161</v>
      </c>
      <c r="D493" s="344" t="str">
        <f>Translations!$B$613</f>
        <v>non-sust. RFNBO/RCF:</v>
      </c>
      <c r="E493" s="441"/>
      <c r="F493" s="20" t="s">
        <v>158</v>
      </c>
      <c r="G493" s="1261"/>
      <c r="H493" s="1262"/>
      <c r="I493" s="422" t="str">
        <f t="shared" si="140"/>
        <v/>
      </c>
      <c r="J493" s="423"/>
      <c r="K493" s="443"/>
      <c r="L493" s="56"/>
      <c r="M493" s="347" t="str">
        <f>IF(AND(E481&lt;&gt;"",OR(F493="",COUNT(L493)=0),Y493&lt;&gt;EUconst_NA),EUconst_ERR_Incomplete,"")</f>
        <v/>
      </c>
      <c r="N493" s="76"/>
      <c r="O493" s="160"/>
      <c r="P493" s="348"/>
      <c r="Q493" s="413"/>
      <c r="R493" s="413"/>
      <c r="S493" s="314"/>
      <c r="T493" s="425" t="str">
        <f>EUconst_CNTR_RFNBOetcContent&amp;E481</f>
        <v>RNFBOC_</v>
      </c>
      <c r="U493" s="312"/>
      <c r="V493" s="312"/>
      <c r="W493" s="312"/>
      <c r="X493" s="312"/>
      <c r="Y493" s="438" t="str">
        <f>IF(E481="","",IF(OR(F493=EUconst_NA,W493=TRUE),EUconst_NA,INDEX(EUwideConstants!$P$164:$P$200,MATCH(T493,EUwideConstants!$S$164:$S$200,0))))</f>
        <v/>
      </c>
      <c r="Z493" s="314"/>
      <c r="AA493" s="314"/>
      <c r="AB493" s="314"/>
      <c r="AC493" s="429" t="b">
        <f>AND(AC488,Y493&lt;&gt;EUconst_NA)</f>
        <v>0</v>
      </c>
      <c r="AD493" s="314"/>
      <c r="AE493" s="430"/>
      <c r="AF493" s="431"/>
      <c r="AG493" s="432"/>
      <c r="AH493" s="433"/>
      <c r="AI493" s="433"/>
      <c r="AJ493" s="433"/>
      <c r="AK493" s="434"/>
      <c r="AL493" s="326"/>
      <c r="AM493" s="326"/>
      <c r="AN493" s="326"/>
      <c r="AO493" s="326"/>
      <c r="AP493" s="326"/>
      <c r="AQ493" s="435" t="s">
        <v>159</v>
      </c>
      <c r="AR493" s="430"/>
      <c r="AS493" s="436" t="str">
        <f t="shared" si="141"/>
        <v/>
      </c>
      <c r="AT493" s="437"/>
      <c r="AU493" s="438" t="str">
        <f t="shared" si="142"/>
        <v/>
      </c>
      <c r="AV493" s="429">
        <f t="shared" ref="AV493:AV495" si="143">IF(L493&lt;&gt;0,L493,L493)</f>
        <v>0</v>
      </c>
      <c r="AW493" s="407" t="b">
        <f t="shared" si="135"/>
        <v>0</v>
      </c>
      <c r="AX493" s="439" t="b">
        <f t="shared" si="136"/>
        <v>0</v>
      </c>
      <c r="AY493" s="314"/>
      <c r="AZ493" s="408" t="b">
        <f t="shared" si="137"/>
        <v>0</v>
      </c>
      <c r="BA493" s="440" t="b">
        <f t="shared" si="138"/>
        <v>0</v>
      </c>
      <c r="BB493" s="314"/>
      <c r="BC493" s="407" t="b">
        <f t="shared" si="139"/>
        <v>0</v>
      </c>
      <c r="BD493" s="407" t="b">
        <f>OR(AV492&gt;100%,(AV492+AV493)&gt;100%)</f>
        <v>0</v>
      </c>
      <c r="BE493" s="314"/>
      <c r="BF493" s="408" t="s">
        <v>162</v>
      </c>
      <c r="BG493" s="409" t="str">
        <f>IF(COUNTIF(AO489:AO490,TRUE)=0,"",BH493*AV497)</f>
        <v/>
      </c>
      <c r="BH493" s="409" t="str">
        <f>IF(COUNTIF(AO489:AO490,TRUE)=0,"",AV486*IF(AO489,1,AV488*AN490)*AV489*AV495)</f>
        <v/>
      </c>
      <c r="BJ493" s="314"/>
      <c r="BK493" s="314"/>
      <c r="BL493" s="314"/>
      <c r="BM493" s="314"/>
      <c r="BN493" s="314"/>
      <c r="BO493" s="314"/>
      <c r="BP493" s="314"/>
      <c r="BQ493" s="314"/>
      <c r="BR493" s="314"/>
      <c r="BS493" s="314"/>
      <c r="BT493" s="314"/>
      <c r="BU493" s="314"/>
      <c r="BV493" s="314"/>
      <c r="BW493" s="314"/>
      <c r="BX493" s="314"/>
      <c r="BY493" s="314"/>
      <c r="BZ493" s="314"/>
      <c r="CA493" s="314"/>
      <c r="CB493" s="314"/>
      <c r="CC493" s="314"/>
      <c r="CD493" s="314"/>
      <c r="CE493" s="314"/>
      <c r="CF493" s="314"/>
      <c r="CG493" s="314"/>
      <c r="CH493" s="314"/>
      <c r="CI493" s="314"/>
      <c r="CJ493" s="314"/>
      <c r="CK493" s="314"/>
      <c r="CL493" s="314"/>
      <c r="CM493" s="314"/>
      <c r="CN493" s="314"/>
      <c r="CO493" s="314"/>
      <c r="CP493" s="314"/>
      <c r="CQ493" s="407" t="b">
        <f>OR(CQ486,Y493=EUconst_NA)</f>
        <v>0</v>
      </c>
    </row>
    <row r="494" spans="1:95" ht="12.75" customHeight="1" thickBot="1" x14ac:dyDescent="0.3">
      <c r="A494" s="307"/>
      <c r="B494" s="68"/>
      <c r="C494" s="199" t="s">
        <v>163</v>
      </c>
      <c r="D494" s="344" t="str">
        <f>Translations!$B$615</f>
        <v>sust. SLCF:</v>
      </c>
      <c r="E494" s="441"/>
      <c r="F494" s="19" t="s">
        <v>158</v>
      </c>
      <c r="G494" s="1261"/>
      <c r="H494" s="1262"/>
      <c r="I494" s="442" t="str">
        <f t="shared" si="140"/>
        <v/>
      </c>
      <c r="J494" s="411"/>
      <c r="K494" s="443"/>
      <c r="L494" s="57"/>
      <c r="M494" s="347" t="str">
        <f>IF(AND(E481&lt;&gt;"",OR(F494="",COUNT(L494)=0),Y494&lt;&gt;EUconst_NA),EUconst_ERR_Incomplete,"")</f>
        <v/>
      </c>
      <c r="N494" s="76"/>
      <c r="O494" s="160"/>
      <c r="P494" s="348"/>
      <c r="Q494" s="413"/>
      <c r="R494" s="413"/>
      <c r="S494" s="314"/>
      <c r="T494" s="388" t="str">
        <f>EUconst_CNTR_RFNBOetcContent&amp;E481</f>
        <v>RNFBOC_</v>
      </c>
      <c r="U494" s="312"/>
      <c r="V494" s="312"/>
      <c r="W494" s="312"/>
      <c r="X494" s="312"/>
      <c r="Y494" s="447" t="str">
        <f>IF(E481="","",IF(OR(F494=EUconst_NA,W494=TRUE),EUconst_NA,INDEX(EUwideConstants!$P$164:$P$200,MATCH(T494,EUwideConstants!$S$164:$S$200,0))))</f>
        <v/>
      </c>
      <c r="Z494" s="314"/>
      <c r="AA494" s="314"/>
      <c r="AB494" s="314"/>
      <c r="AC494" s="397" t="b">
        <f>AND(AC490,Y494&lt;&gt;EUconst_NA)</f>
        <v>0</v>
      </c>
      <c r="AD494" s="314"/>
      <c r="AE494" s="415"/>
      <c r="AF494" s="416"/>
      <c r="AG494" s="417"/>
      <c r="AH494" s="418"/>
      <c r="AI494" s="418"/>
      <c r="AJ494" s="418"/>
      <c r="AK494" s="419"/>
      <c r="AL494" s="326"/>
      <c r="AM494" s="326"/>
      <c r="AN494" s="326"/>
      <c r="AO494" s="326"/>
      <c r="AP494" s="326"/>
      <c r="AQ494" s="444" t="s">
        <v>159</v>
      </c>
      <c r="AR494" s="415"/>
      <c r="AS494" s="445" t="str">
        <f t="shared" si="141"/>
        <v/>
      </c>
      <c r="AT494" s="446"/>
      <c r="AU494" s="447" t="str">
        <f t="shared" si="142"/>
        <v/>
      </c>
      <c r="AV494" s="397">
        <f t="shared" si="143"/>
        <v>0</v>
      </c>
      <c r="AW494" s="398" t="b">
        <f t="shared" si="135"/>
        <v>0</v>
      </c>
      <c r="AX494" s="448" t="b">
        <f t="shared" si="136"/>
        <v>0</v>
      </c>
      <c r="AY494" s="314"/>
      <c r="AZ494" s="449" t="b">
        <f t="shared" si="137"/>
        <v>0</v>
      </c>
      <c r="BA494" s="450" t="b">
        <f t="shared" si="138"/>
        <v>0</v>
      </c>
      <c r="BB494" s="314"/>
      <c r="BC494" s="398" t="b">
        <f t="shared" si="139"/>
        <v>0</v>
      </c>
      <c r="BD494" s="369" t="b">
        <f>OR(AV494&gt;100%,(AV494+AV495)&gt;100%)</f>
        <v>0</v>
      </c>
      <c r="BE494" s="314"/>
      <c r="BF494" s="451" t="s">
        <v>164</v>
      </c>
      <c r="BG494" s="452">
        <f>IF(AN486=EUconst_TJ,AV486*(1-AV490),IF(AN488=EUconst_GJ,AV486*AV488/1000,0))-SUM(BG495:BG501)</f>
        <v>0</v>
      </c>
      <c r="BH494" s="314"/>
      <c r="BI494" s="314"/>
      <c r="BJ494" s="314"/>
      <c r="BK494" s="314"/>
      <c r="BL494" s="314"/>
      <c r="BM494" s="314"/>
      <c r="BN494" s="314"/>
      <c r="BO494" s="314"/>
      <c r="BP494" s="314"/>
      <c r="BQ494" s="314"/>
      <c r="BR494" s="314"/>
      <c r="BS494" s="314"/>
      <c r="BT494" s="314"/>
      <c r="BU494" s="314"/>
      <c r="BV494" s="314"/>
      <c r="BW494" s="314"/>
      <c r="BX494" s="314"/>
      <c r="BY494" s="314"/>
      <c r="BZ494" s="314"/>
      <c r="CA494" s="314"/>
      <c r="CB494" s="314"/>
      <c r="CC494" s="314"/>
      <c r="CD494" s="314"/>
      <c r="CE494" s="314"/>
      <c r="CF494" s="314"/>
      <c r="CG494" s="314"/>
      <c r="CH494" s="314"/>
      <c r="CI494" s="314"/>
      <c r="CJ494" s="314"/>
      <c r="CK494" s="314"/>
      <c r="CL494" s="314"/>
      <c r="CM494" s="314"/>
      <c r="CN494" s="314"/>
      <c r="CO494" s="314"/>
      <c r="CP494" s="314"/>
      <c r="CQ494" s="407" t="b">
        <f>OR(CQ486,Y494=EUconst_NA)</f>
        <v>0</v>
      </c>
    </row>
    <row r="495" spans="1:95" ht="12.75" customHeight="1" thickBot="1" x14ac:dyDescent="0.3">
      <c r="A495" s="307"/>
      <c r="B495" s="68"/>
      <c r="C495" s="199" t="s">
        <v>165</v>
      </c>
      <c r="D495" s="344" t="str">
        <f>Translations!$B$618</f>
        <v>non-sust. SLCF:</v>
      </c>
      <c r="E495" s="441"/>
      <c r="F495" s="20" t="s">
        <v>158</v>
      </c>
      <c r="G495" s="1261"/>
      <c r="H495" s="1262"/>
      <c r="I495" s="422" t="str">
        <f t="shared" si="140"/>
        <v/>
      </c>
      <c r="J495" s="423"/>
      <c r="K495" s="443"/>
      <c r="L495" s="56"/>
      <c r="M495" s="347" t="str">
        <f>IF(AND(E481&lt;&gt;"",OR(F495="",COUNT(L495)=0),Y495&lt;&gt;EUconst_NA),EUconst_ERR_Incomplete,"")</f>
        <v/>
      </c>
      <c r="N495" s="76"/>
      <c r="O495" s="160"/>
      <c r="P495" s="348"/>
      <c r="Q495" s="413"/>
      <c r="R495" s="413"/>
      <c r="S495" s="314"/>
      <c r="T495" s="425" t="str">
        <f>EUconst_CNTR_RFNBOetcContent&amp;E481</f>
        <v>RNFBOC_</v>
      </c>
      <c r="U495" s="312"/>
      <c r="V495" s="312"/>
      <c r="W495" s="312"/>
      <c r="X495" s="312"/>
      <c r="Y495" s="438" t="str">
        <f>IF(E481="","",IF(OR(F495=EUconst_NA,W495=TRUE),EUconst_NA,INDEX(EUwideConstants!$P$164:$P$200,MATCH(T495,EUwideConstants!$S$164:$S$200,0))))</f>
        <v/>
      </c>
      <c r="Z495" s="314"/>
      <c r="AA495" s="314"/>
      <c r="AB495" s="314"/>
      <c r="AC495" s="429" t="b">
        <f>AND(AC490,Y495&lt;&gt;EUconst_NA)</f>
        <v>0</v>
      </c>
      <c r="AD495" s="314"/>
      <c r="AE495" s="430"/>
      <c r="AF495" s="431"/>
      <c r="AG495" s="432"/>
      <c r="AH495" s="433"/>
      <c r="AI495" s="433"/>
      <c r="AJ495" s="433"/>
      <c r="AK495" s="434"/>
      <c r="AL495" s="326"/>
      <c r="AM495" s="326"/>
      <c r="AN495" s="326"/>
      <c r="AO495" s="326"/>
      <c r="AP495" s="326"/>
      <c r="AQ495" s="435" t="s">
        <v>159</v>
      </c>
      <c r="AR495" s="430"/>
      <c r="AS495" s="436" t="str">
        <f t="shared" si="141"/>
        <v/>
      </c>
      <c r="AT495" s="437"/>
      <c r="AU495" s="438" t="str">
        <f t="shared" si="142"/>
        <v/>
      </c>
      <c r="AV495" s="429">
        <f t="shared" si="143"/>
        <v>0</v>
      </c>
      <c r="AW495" s="407" t="b">
        <f t="shared" si="135"/>
        <v>0</v>
      </c>
      <c r="AX495" s="439" t="b">
        <f t="shared" si="136"/>
        <v>0</v>
      </c>
      <c r="AY495" s="314"/>
      <c r="AZ495" s="408" t="b">
        <f t="shared" si="137"/>
        <v>0</v>
      </c>
      <c r="BA495" s="440" t="b">
        <f t="shared" si="138"/>
        <v>0</v>
      </c>
      <c r="BB495" s="314"/>
      <c r="BC495" s="407" t="b">
        <f t="shared" si="139"/>
        <v>0</v>
      </c>
      <c r="BD495" s="407" t="b">
        <f>OR(AV494&gt;100%,(AV494+AV495)&gt;100%)</f>
        <v>0</v>
      </c>
      <c r="BE495" s="314"/>
      <c r="BF495" s="408" t="s">
        <v>166</v>
      </c>
      <c r="BG495" s="409" t="str">
        <f>IF(AN486=EUconst_TJ,AV486*AV490,IF(AN488=EUconst_GJ,AV486*AV488/1000*AV490,""))</f>
        <v/>
      </c>
      <c r="BH495" s="314"/>
      <c r="BI495" s="314"/>
      <c r="BJ495" s="314"/>
      <c r="BK495" s="314"/>
      <c r="BL495" s="314"/>
      <c r="BM495" s="314"/>
      <c r="BN495" s="314"/>
      <c r="BO495" s="314"/>
      <c r="BP495" s="314"/>
      <c r="BQ495" s="314"/>
      <c r="BR495" s="314"/>
      <c r="BS495" s="314"/>
      <c r="BT495" s="314"/>
      <c r="BU495" s="314"/>
      <c r="BV495" s="314"/>
      <c r="BW495" s="314"/>
      <c r="BX495" s="314"/>
      <c r="BY495" s="314"/>
      <c r="BZ495" s="314"/>
      <c r="CA495" s="314"/>
      <c r="CB495" s="314"/>
      <c r="CC495" s="314"/>
      <c r="CD495" s="314"/>
      <c r="CE495" s="314"/>
      <c r="CF495" s="314"/>
      <c r="CG495" s="314"/>
      <c r="CH495" s="314"/>
      <c r="CI495" s="314"/>
      <c r="CJ495" s="314"/>
      <c r="CK495" s="314"/>
      <c r="CL495" s="314"/>
      <c r="CM495" s="314"/>
      <c r="CN495" s="314"/>
      <c r="CO495" s="314"/>
      <c r="CP495" s="314"/>
      <c r="CQ495" s="407" t="b">
        <f>OR(CQ486,Y495=EUconst_NA)</f>
        <v>0</v>
      </c>
    </row>
    <row r="496" spans="1:95" ht="5.15" customHeight="1" thickBot="1" x14ac:dyDescent="0.3">
      <c r="A496" s="307"/>
      <c r="B496" s="68"/>
      <c r="C496" s="68"/>
      <c r="D496" s="205"/>
      <c r="E496" s="76"/>
      <c r="F496" s="76"/>
      <c r="G496" s="76"/>
      <c r="H496" s="76"/>
      <c r="I496" s="76"/>
      <c r="J496" s="76"/>
      <c r="K496" s="76"/>
      <c r="L496" s="76"/>
      <c r="M496" s="453"/>
      <c r="N496" s="76"/>
      <c r="O496" s="160"/>
      <c r="P496" s="109"/>
      <c r="Q496" s="312"/>
      <c r="R496" s="312"/>
      <c r="S496" s="314"/>
      <c r="T496" s="314"/>
      <c r="U496" s="314"/>
      <c r="V496" s="314"/>
      <c r="W496" s="314"/>
      <c r="X496" s="314"/>
      <c r="Y496" s="314"/>
      <c r="Z496" s="314"/>
      <c r="AA496" s="314"/>
      <c r="AB496" s="314"/>
      <c r="AC496" s="314"/>
      <c r="AD496" s="314"/>
      <c r="AE496" s="314"/>
      <c r="AF496" s="314"/>
      <c r="AG496" s="314"/>
      <c r="AH496" s="314"/>
      <c r="AI496" s="314"/>
      <c r="AJ496" s="314"/>
      <c r="AK496" s="314"/>
      <c r="AL496" s="314"/>
      <c r="AM496" s="314"/>
      <c r="AN496" s="314"/>
      <c r="AO496" s="314"/>
      <c r="AP496" s="314"/>
      <c r="AQ496" s="314"/>
      <c r="AR496" s="314"/>
      <c r="AS496" s="314"/>
      <c r="AT496" s="314"/>
      <c r="AU496" s="314"/>
      <c r="AV496" s="314"/>
      <c r="AW496" s="314"/>
      <c r="AX496" s="314"/>
      <c r="AY496" s="314"/>
      <c r="AZ496" s="314"/>
      <c r="BA496" s="314"/>
      <c r="BB496" s="314"/>
      <c r="BC496" s="314"/>
      <c r="BD496" s="314"/>
      <c r="BE496" s="314"/>
      <c r="BF496" s="314"/>
      <c r="BG496" s="364"/>
      <c r="BH496" s="314"/>
      <c r="BI496" s="314"/>
      <c r="BJ496" s="314"/>
      <c r="BK496" s="314"/>
      <c r="BL496" s="314"/>
      <c r="BM496" s="314"/>
      <c r="BN496" s="314"/>
      <c r="BO496" s="314"/>
      <c r="BP496" s="314"/>
      <c r="BQ496" s="314"/>
      <c r="BR496" s="314"/>
      <c r="BS496" s="314"/>
      <c r="BT496" s="314"/>
      <c r="BU496" s="314"/>
      <c r="BV496" s="314"/>
      <c r="BW496" s="314"/>
      <c r="BX496" s="314"/>
      <c r="BY496" s="314"/>
      <c r="BZ496" s="314"/>
      <c r="CA496" s="314"/>
      <c r="CB496" s="314"/>
      <c r="CC496" s="314"/>
      <c r="CD496" s="314"/>
      <c r="CE496" s="314"/>
      <c r="CF496" s="314"/>
      <c r="CG496" s="314"/>
      <c r="CH496" s="314"/>
      <c r="CI496" s="314"/>
      <c r="CJ496" s="314"/>
      <c r="CK496" s="314"/>
      <c r="CL496" s="314"/>
      <c r="CM496" s="314"/>
      <c r="CN496" s="314"/>
      <c r="CO496" s="314"/>
      <c r="CP496" s="314"/>
      <c r="CQ496" s="314"/>
    </row>
    <row r="497" spans="1:95" ht="12.75" customHeight="1" thickBot="1" x14ac:dyDescent="0.3">
      <c r="A497" s="307"/>
      <c r="B497" s="68"/>
      <c r="C497" s="199" t="s">
        <v>167</v>
      </c>
      <c r="D497" s="344" t="str">
        <f>Translations!$B$398</f>
        <v>Scope factor:</v>
      </c>
      <c r="E497" s="454"/>
      <c r="F497" s="992"/>
      <c r="G497" s="1263"/>
      <c r="H497" s="1264"/>
      <c r="I497" s="455" t="s">
        <v>46</v>
      </c>
      <c r="J497" s="456"/>
      <c r="K497" s="457" t="str">
        <f>IF(L497="",AU497,"")</f>
        <v/>
      </c>
      <c r="L497" s="16"/>
      <c r="M497" s="458" t="str">
        <f>IF(AND(E481&lt;&gt;"",OR(F497="",G497="",COUNT(K497:L497)=0)),EUconst_ERR_Incomplete,IF(COUNTIF(BB497:BD497,TRUE)&gt;0,EUconst_ERR_Inconsistent,""))</f>
        <v/>
      </c>
      <c r="N497" s="76"/>
      <c r="O497" s="160"/>
      <c r="P497" s="109"/>
      <c r="Q497" s="312"/>
      <c r="R497" s="314"/>
      <c r="S497" s="297"/>
      <c r="T497" s="459" t="str">
        <f>EUconst_CNTR_ScopeFactor&amp;E481</f>
        <v>ScopeFactor_</v>
      </c>
      <c r="U497" s="231" t="str">
        <f>IF(F497="","",INDEX(ScopeAddress,MATCH(F497,ScopeTiers,0)))</f>
        <v/>
      </c>
      <c r="V497" s="360" t="str">
        <f>V486</f>
        <v/>
      </c>
      <c r="W497" s="314"/>
      <c r="X497" s="314"/>
      <c r="Y497" s="460" t="str">
        <f>IF(E481="","",IF(F497=EUconst_NA,EUconst_NA,INDEX(EUwideConstants!$P$164:$P$200,MATCH(T497,EUwideConstants!$S$164:$S$200,0))))</f>
        <v/>
      </c>
      <c r="Z497" s="461" t="str">
        <f>IF(ISBLANK(F497),"",IF(F497=EUconst_NA,"",INDEX(EUwideConstants!$H:$O,MATCH(T497,EUwideConstants!$S:$S,0),MATCH(F497,CNTR_TierList,0))))</f>
        <v/>
      </c>
      <c r="AA497" s="331" t="str">
        <f>IF(G497=EUwideConstants!$A$89,1,"")</f>
        <v/>
      </c>
      <c r="AB497" s="314"/>
      <c r="AC497" s="331" t="b">
        <f>AND(AC486,Y497&lt;&gt;EUconst_NA)</f>
        <v>0</v>
      </c>
      <c r="AD497" s="314"/>
      <c r="AE497" s="314"/>
      <c r="AF497" s="314"/>
      <c r="AG497" s="319"/>
      <c r="AH497" s="314"/>
      <c r="AI497" s="314"/>
      <c r="AJ497" s="314"/>
      <c r="AK497" s="314"/>
      <c r="AL497" s="314"/>
      <c r="AM497" s="314"/>
      <c r="AN497" s="314"/>
      <c r="AO497" s="314"/>
      <c r="AP497" s="314"/>
      <c r="AQ497" s="314"/>
      <c r="AR497" s="314"/>
      <c r="AS497" s="328">
        <v>1</v>
      </c>
      <c r="AT497" s="314"/>
      <c r="AU497" s="319" t="str">
        <f>IF(G497=EUwideConstants!$A$89,AS497,"")</f>
        <v/>
      </c>
      <c r="AV497" s="331">
        <f>IF(AC497=TRUE,IF(COUNT(K497:L497)=0,0,IF(L497="",K497,L497)),0)</f>
        <v>0</v>
      </c>
      <c r="AW497" s="360" t="b">
        <f>AND(AC497=TRUE,OR(AND(F497&lt;&gt;"",NOT(ISNUMBER(AA497))),L497&lt;&gt;"",F497="",AU497=""))</f>
        <v>0</v>
      </c>
      <c r="AX497" s="357" t="b">
        <f>AND(AC497=TRUE,NOT(AW497))</f>
        <v>0</v>
      </c>
      <c r="AY497" s="314"/>
      <c r="AZ497" s="361" t="b">
        <f>AND(ISNUMBER(AA497),AU497="")</f>
        <v>0</v>
      </c>
      <c r="BA497" s="351" t="b">
        <f>AND(ISNUMBER(AA497),AU497&lt;&gt;AV497)</f>
        <v>0</v>
      </c>
      <c r="BB497" s="314"/>
      <c r="BC497" s="360" t="b">
        <f>AND(F497&lt;&gt;"",OR(COUNTIF(INDEX(ScopeMethods,F497,),G497)=0,AND(AA497&lt;&gt;"",AU497&lt;&gt;AV497)))</f>
        <v>0</v>
      </c>
      <c r="BD497" s="314"/>
      <c r="BE497" s="314"/>
      <c r="BF497" s="361" t="s">
        <v>168</v>
      </c>
      <c r="BG497" s="362" t="str">
        <f>IF(AN486=EUconst_TJ,AV486*AV492,IF(AN488=EUconst_GJ,AV486*AV488/1000*AV492,""))</f>
        <v/>
      </c>
      <c r="BH497" s="314"/>
      <c r="BI497" s="314"/>
      <c r="BJ497" s="314"/>
      <c r="BK497" s="314"/>
      <c r="BL497" s="314"/>
      <c r="BM497" s="314"/>
      <c r="BN497" s="314"/>
      <c r="BO497" s="314"/>
      <c r="BP497" s="314"/>
      <c r="BQ497" s="314"/>
      <c r="BR497" s="314"/>
      <c r="BS497" s="314"/>
      <c r="BT497" s="314"/>
      <c r="BU497" s="314"/>
      <c r="BV497" s="314"/>
      <c r="BW497" s="314"/>
      <c r="BX497" s="314"/>
      <c r="BY497" s="314"/>
      <c r="BZ497" s="314"/>
      <c r="CA497" s="314"/>
      <c r="CB497" s="314"/>
      <c r="CC497" s="314"/>
      <c r="CD497" s="314"/>
      <c r="CE497" s="314"/>
      <c r="CF497" s="314"/>
      <c r="CG497" s="314"/>
      <c r="CH497" s="314"/>
      <c r="CI497" s="314"/>
      <c r="CJ497" s="314"/>
      <c r="CK497" s="314"/>
      <c r="CL497" s="314"/>
      <c r="CM497" s="314"/>
      <c r="CN497" s="314"/>
      <c r="CO497" s="314"/>
      <c r="CP497" s="314"/>
      <c r="CQ497" s="314"/>
    </row>
    <row r="498" spans="1:95" ht="12.75" customHeight="1" x14ac:dyDescent="0.25">
      <c r="A498" s="307"/>
      <c r="B498" s="68"/>
      <c r="C498" s="68"/>
      <c r="D498" s="68"/>
      <c r="E498" s="68"/>
      <c r="F498" s="68"/>
      <c r="G498" s="1265" t="str">
        <f>IF(G497="","",INDEX(ScopeMethodsDetails,MATCH(G497,INDEX(ScopeMethodsDetails,,1),0),2))</f>
        <v/>
      </c>
      <c r="H498" s="1266"/>
      <c r="I498" s="1266"/>
      <c r="J498" s="1266"/>
      <c r="K498" s="1266"/>
      <c r="L498" s="1266"/>
      <c r="M498" s="1267"/>
      <c r="N498" s="76"/>
      <c r="O498" s="160"/>
      <c r="P498" s="109"/>
      <c r="Q498" s="312"/>
      <c r="R498" s="312"/>
      <c r="S498" s="314"/>
      <c r="T498" s="314"/>
      <c r="U498" s="314"/>
      <c r="V498" s="314"/>
      <c r="W498" s="314"/>
      <c r="X498" s="314"/>
      <c r="Y498" s="314"/>
      <c r="Z498" s="314"/>
      <c r="AA498" s="314"/>
      <c r="AB498" s="314"/>
      <c r="AC498" s="314"/>
      <c r="AD498" s="314"/>
      <c r="AE498" s="314"/>
      <c r="AF498" s="314"/>
      <c r="AG498" s="314"/>
      <c r="AH498" s="314"/>
      <c r="AI498" s="314"/>
      <c r="AJ498" s="314"/>
      <c r="AK498" s="314"/>
      <c r="AL498" s="314"/>
      <c r="AM498" s="314"/>
      <c r="AN498" s="314"/>
      <c r="AO498" s="314"/>
      <c r="AP498" s="314"/>
      <c r="AQ498" s="314"/>
      <c r="AR498" s="314"/>
      <c r="AS498" s="314"/>
      <c r="AT498" s="314"/>
      <c r="AU498" s="314"/>
      <c r="AV498" s="314"/>
      <c r="AW498" s="314"/>
      <c r="AX498" s="314"/>
      <c r="AY498" s="314"/>
      <c r="AZ498" s="314"/>
      <c r="BA498" s="314"/>
      <c r="BB498" s="314"/>
      <c r="BC498" s="314"/>
      <c r="BD498" s="314"/>
      <c r="BE498" s="314"/>
      <c r="BG498" s="364"/>
      <c r="BH498" s="314"/>
      <c r="BI498" s="314"/>
      <c r="BJ498" s="314"/>
      <c r="BK498" s="314"/>
      <c r="BL498" s="314"/>
      <c r="BM498" s="314"/>
      <c r="BN498" s="314"/>
      <c r="BO498" s="314"/>
      <c r="BP498" s="314"/>
      <c r="BQ498" s="314"/>
      <c r="BR498" s="314"/>
      <c r="BS498" s="314"/>
      <c r="BT498" s="314"/>
      <c r="BU498" s="314"/>
      <c r="BV498" s="314"/>
      <c r="BW498" s="314"/>
      <c r="BX498" s="314"/>
      <c r="BY498" s="314"/>
      <c r="BZ498" s="314"/>
      <c r="CA498" s="314"/>
      <c r="CB498" s="314"/>
      <c r="CC498" s="314"/>
      <c r="CD498" s="314"/>
      <c r="CE498" s="314"/>
      <c r="CF498" s="314"/>
      <c r="CG498" s="314"/>
      <c r="CH498" s="314"/>
      <c r="CI498" s="314"/>
      <c r="CJ498" s="314"/>
      <c r="CK498" s="314"/>
      <c r="CL498" s="314"/>
      <c r="CM498" s="314"/>
      <c r="CN498" s="314"/>
      <c r="CO498" s="314"/>
      <c r="CP498" s="314"/>
      <c r="CQ498" s="314"/>
    </row>
    <row r="499" spans="1:95" ht="5.15" customHeight="1" x14ac:dyDescent="0.25">
      <c r="A499" s="307"/>
      <c r="C499" s="76"/>
      <c r="D499" s="76"/>
      <c r="E499" s="76"/>
      <c r="F499" s="76"/>
      <c r="G499" s="76"/>
      <c r="H499" s="76"/>
      <c r="I499" s="76"/>
      <c r="J499" s="76"/>
      <c r="K499" s="76"/>
      <c r="L499" s="76"/>
      <c r="O499" s="160"/>
      <c r="P499" s="109"/>
      <c r="Q499" s="312"/>
      <c r="R499" s="312"/>
      <c r="S499" s="314"/>
      <c r="T499" s="314"/>
      <c r="U499" s="314"/>
      <c r="V499" s="314"/>
      <c r="W499" s="314"/>
      <c r="X499" s="314"/>
      <c r="Y499" s="314"/>
      <c r="Z499" s="314"/>
      <c r="AA499" s="314"/>
      <c r="AB499" s="314"/>
      <c r="AC499" s="314"/>
      <c r="AD499" s="314"/>
      <c r="AE499" s="314"/>
      <c r="AF499" s="314"/>
      <c r="AG499" s="314"/>
      <c r="AH499" s="314"/>
      <c r="AI499" s="314"/>
      <c r="AJ499" s="314"/>
      <c r="AK499" s="314"/>
      <c r="AL499" s="314"/>
      <c r="AM499" s="314"/>
      <c r="AN499" s="314"/>
      <c r="AO499" s="314"/>
      <c r="AP499" s="314"/>
      <c r="AQ499" s="314"/>
      <c r="AR499" s="314"/>
      <c r="AS499" s="314"/>
      <c r="AT499" s="314"/>
      <c r="AU499" s="314"/>
      <c r="AV499" s="314"/>
      <c r="AW499" s="314"/>
      <c r="AX499" s="314"/>
      <c r="AY499" s="314"/>
      <c r="AZ499" s="314"/>
      <c r="BA499" s="314"/>
      <c r="BB499" s="314"/>
      <c r="BC499" s="314"/>
      <c r="BD499" s="314"/>
      <c r="BE499" s="314"/>
      <c r="BG499" s="364"/>
      <c r="BH499" s="314"/>
      <c r="BI499" s="314"/>
      <c r="BJ499" s="314"/>
      <c r="BK499" s="314"/>
      <c r="BL499" s="314"/>
      <c r="BM499" s="314"/>
      <c r="BN499" s="314"/>
      <c r="BO499" s="314"/>
      <c r="BP499" s="314"/>
      <c r="BQ499" s="314"/>
      <c r="BR499" s="314"/>
      <c r="BS499" s="314"/>
      <c r="BT499" s="314"/>
      <c r="BU499" s="314"/>
      <c r="BV499" s="314"/>
      <c r="BW499" s="314"/>
      <c r="BX499" s="314"/>
      <c r="BY499" s="314"/>
      <c r="BZ499" s="314"/>
      <c r="CA499" s="314"/>
      <c r="CB499" s="314"/>
      <c r="CC499" s="314"/>
      <c r="CD499" s="314"/>
      <c r="CE499" s="314"/>
      <c r="CF499" s="314"/>
      <c r="CG499" s="314"/>
      <c r="CH499" s="314"/>
      <c r="CI499" s="314"/>
      <c r="CJ499" s="314"/>
      <c r="CK499" s="314"/>
      <c r="CL499" s="314"/>
      <c r="CM499" s="314"/>
      <c r="CN499" s="314"/>
      <c r="CO499" s="314"/>
      <c r="CP499" s="314"/>
      <c r="CQ499" s="314"/>
    </row>
    <row r="500" spans="1:95" ht="12.75" customHeight="1" thickBot="1" x14ac:dyDescent="0.3">
      <c r="A500" s="307"/>
      <c r="C500" s="76"/>
      <c r="D500" s="76"/>
      <c r="E500" s="76"/>
      <c r="F500" s="76"/>
      <c r="G500" s="1268">
        <v>1</v>
      </c>
      <c r="H500" s="1268"/>
      <c r="I500" s="1268">
        <v>2</v>
      </c>
      <c r="J500" s="1268"/>
      <c r="K500" s="1268">
        <v>3</v>
      </c>
      <c r="L500" s="1268"/>
      <c r="O500" s="160"/>
      <c r="P500" s="109"/>
      <c r="Q500" s="312"/>
      <c r="R500" s="312"/>
      <c r="S500" s="314"/>
      <c r="T500" s="314"/>
      <c r="U500" s="314"/>
      <c r="V500" s="314"/>
      <c r="W500" s="314"/>
      <c r="X500" s="314"/>
      <c r="Y500" s="314"/>
      <c r="Z500" s="314"/>
      <c r="AA500" s="314"/>
      <c r="AB500" s="314"/>
      <c r="AC500" s="314"/>
      <c r="AD500" s="314"/>
      <c r="AE500" s="314"/>
      <c r="AF500" s="314"/>
      <c r="AG500" s="314"/>
      <c r="AH500" s="314"/>
      <c r="AI500" s="314"/>
      <c r="AJ500" s="314"/>
      <c r="AK500" s="314"/>
      <c r="AL500" s="314"/>
      <c r="AM500" s="314"/>
      <c r="AN500" s="314"/>
      <c r="AO500" s="314"/>
      <c r="AP500" s="314"/>
      <c r="AQ500" s="314"/>
      <c r="AR500" s="314"/>
      <c r="AS500" s="314"/>
      <c r="AT500" s="314"/>
      <c r="AU500" s="314"/>
      <c r="AV500" s="314"/>
      <c r="AW500" s="314"/>
      <c r="AX500" s="314"/>
      <c r="AY500" s="314"/>
      <c r="AZ500" s="314"/>
      <c r="BA500" s="314"/>
      <c r="BB500" s="314"/>
      <c r="BC500" s="314"/>
      <c r="BD500" s="314"/>
      <c r="BE500" s="314"/>
      <c r="BF500" s="314"/>
      <c r="BG500" s="364"/>
      <c r="BH500" s="314"/>
      <c r="BI500" s="314"/>
      <c r="BJ500" s="314"/>
      <c r="BK500" s="314"/>
      <c r="BL500" s="314"/>
      <c r="BM500" s="314"/>
      <c r="BN500" s="314"/>
      <c r="BO500" s="314"/>
      <c r="BP500" s="314"/>
      <c r="BQ500" s="314"/>
      <c r="BR500" s="314"/>
      <c r="BS500" s="314"/>
      <c r="BT500" s="314"/>
      <c r="BU500" s="314"/>
      <c r="BV500" s="314"/>
      <c r="BW500" s="314"/>
      <c r="BX500" s="314"/>
      <c r="BY500" s="314"/>
      <c r="BZ500" s="314"/>
      <c r="CA500" s="314"/>
      <c r="CB500" s="314"/>
      <c r="CC500" s="314"/>
      <c r="CD500" s="314"/>
      <c r="CE500" s="314"/>
      <c r="CF500" s="314"/>
      <c r="CG500" s="314"/>
      <c r="CH500" s="314"/>
      <c r="CI500" s="314"/>
      <c r="CJ500" s="314"/>
      <c r="CK500" s="314"/>
      <c r="CL500" s="314"/>
      <c r="CM500" s="314"/>
      <c r="CN500" s="314"/>
      <c r="CO500" s="314"/>
      <c r="CP500" s="314"/>
      <c r="CQ500" s="314"/>
    </row>
    <row r="501" spans="1:95" ht="12.75" customHeight="1" thickBot="1" x14ac:dyDescent="0.3">
      <c r="A501" s="462"/>
      <c r="B501" s="76"/>
      <c r="C501" s="76"/>
      <c r="D501" s="1246" t="str">
        <f>Translations!$B$372</f>
        <v>Consumers' CRF category:</v>
      </c>
      <c r="E501" s="1246"/>
      <c r="F501" s="1247"/>
      <c r="G501" s="1248"/>
      <c r="H501" s="1249"/>
      <c r="I501" s="1248"/>
      <c r="J501" s="1249"/>
      <c r="K501" s="1248"/>
      <c r="L501" s="1249"/>
      <c r="M501" s="463" t="str">
        <f>IF(AND(E480&lt;&gt;"",COUNTA(G501:L501)=0,AX501=FALSE),EUconst_ERR_Incomplete,"")</f>
        <v/>
      </c>
      <c r="N501" s="76"/>
      <c r="O501" s="160"/>
      <c r="P501" s="109"/>
      <c r="Q501" s="312"/>
      <c r="R501" s="312"/>
      <c r="S501" s="314"/>
      <c r="T501" s="314"/>
      <c r="U501" s="314"/>
      <c r="V501" s="314"/>
      <c r="W501" s="314"/>
      <c r="X501" s="314"/>
      <c r="Y501" s="314"/>
      <c r="Z501" s="314"/>
      <c r="AA501" s="314"/>
      <c r="AB501" s="314"/>
      <c r="AC501" s="314"/>
      <c r="AD501" s="314"/>
      <c r="AE501" s="314"/>
      <c r="AF501" s="314"/>
      <c r="AG501" s="314"/>
      <c r="AH501" s="314"/>
      <c r="AI501" s="314"/>
      <c r="AJ501" s="314"/>
      <c r="AK501" s="314"/>
      <c r="AL501" s="314"/>
      <c r="AM501" s="314"/>
      <c r="AN501" s="314"/>
      <c r="AO501" s="314"/>
      <c r="AP501" s="314"/>
      <c r="AQ501" s="314"/>
      <c r="AR501" s="314"/>
      <c r="AS501" s="314"/>
      <c r="AT501" s="314"/>
      <c r="AU501" s="314"/>
      <c r="AV501" s="314"/>
      <c r="AW501" s="314"/>
      <c r="AX501" s="464" t="b">
        <f>AND(AV497&lt;&gt;"",SUM(AV497=1))</f>
        <v>0</v>
      </c>
      <c r="AY501" s="314"/>
      <c r="AZ501" s="314"/>
      <c r="BA501" s="314"/>
      <c r="BB501" s="314"/>
      <c r="BC501" s="314"/>
      <c r="BD501" s="314"/>
      <c r="BE501" s="314"/>
      <c r="BF501" s="361" t="s">
        <v>169</v>
      </c>
      <c r="BG501" s="362" t="str">
        <f>IF(AN486=EUconst_TJ,AV486*AV494,IF(AN488=EUconst_GJ,AV486*AV488/1000*AV494,""))</f>
        <v/>
      </c>
      <c r="BH501" s="314"/>
      <c r="BI501" s="314"/>
      <c r="BJ501" s="314"/>
      <c r="BK501" s="314"/>
      <c r="BL501" s="314"/>
      <c r="BM501" s="314"/>
      <c r="BN501" s="314"/>
      <c r="BO501" s="314"/>
      <c r="BP501" s="314"/>
      <c r="BQ501" s="314"/>
      <c r="BR501" s="314"/>
      <c r="BS501" s="314"/>
      <c r="BT501" s="314"/>
      <c r="BU501" s="314"/>
      <c r="BV501" s="314"/>
      <c r="BW501" s="314"/>
      <c r="BX501" s="314"/>
      <c r="BY501" s="314"/>
      <c r="BZ501" s="314"/>
      <c r="CA501" s="314"/>
      <c r="CB501" s="314"/>
      <c r="CC501" s="314"/>
      <c r="CD501" s="314"/>
      <c r="CE501" s="314"/>
      <c r="CF501" s="314"/>
      <c r="CG501" s="314"/>
      <c r="CH501" s="314"/>
      <c r="CI501" s="314"/>
      <c r="CJ501" s="314"/>
      <c r="CK501" s="314"/>
      <c r="CL501" s="314"/>
      <c r="CM501" s="314"/>
      <c r="CN501" s="314"/>
      <c r="CO501" s="314"/>
      <c r="CP501" s="314"/>
      <c r="CQ501" s="314"/>
    </row>
    <row r="502" spans="1:95" ht="5.15" customHeight="1" x14ac:dyDescent="0.25">
      <c r="A502" s="307"/>
      <c r="B502" s="68"/>
      <c r="C502" s="68"/>
      <c r="D502" s="68"/>
      <c r="E502" s="68"/>
      <c r="F502" s="68"/>
      <c r="G502" s="76"/>
      <c r="H502" s="76"/>
      <c r="I502" s="76"/>
      <c r="J502" s="76"/>
      <c r="K502" s="76"/>
      <c r="L502" s="76"/>
      <c r="M502" s="76"/>
      <c r="N502" s="76"/>
      <c r="O502" s="160"/>
      <c r="P502" s="109"/>
      <c r="Q502" s="312"/>
      <c r="R502" s="312"/>
      <c r="S502" s="314"/>
      <c r="T502" s="314"/>
      <c r="U502" s="314"/>
      <c r="V502" s="314"/>
      <c r="W502" s="314"/>
      <c r="X502" s="314"/>
      <c r="Y502" s="314"/>
      <c r="Z502" s="314"/>
      <c r="AA502" s="314"/>
      <c r="AB502" s="314"/>
      <c r="AC502" s="314"/>
      <c r="AD502" s="314"/>
      <c r="AE502" s="314"/>
      <c r="AF502" s="314"/>
      <c r="AG502" s="314"/>
      <c r="AH502" s="314"/>
      <c r="AI502" s="314"/>
      <c r="AJ502" s="314"/>
      <c r="AK502" s="314"/>
      <c r="AL502" s="314"/>
      <c r="AM502" s="314"/>
      <c r="AN502" s="314"/>
      <c r="AO502" s="314"/>
      <c r="AP502" s="314"/>
      <c r="AQ502" s="314"/>
      <c r="AR502" s="314"/>
      <c r="AS502" s="314"/>
      <c r="AT502" s="314"/>
      <c r="AU502" s="314"/>
      <c r="AV502" s="314"/>
      <c r="AW502" s="314"/>
      <c r="AX502" s="314"/>
      <c r="AY502" s="314"/>
      <c r="AZ502" s="314"/>
      <c r="BA502" s="314"/>
      <c r="BB502" s="314"/>
      <c r="BC502" s="314"/>
      <c r="BD502" s="314"/>
      <c r="BE502" s="314"/>
      <c r="BF502" s="314"/>
      <c r="BG502" s="314"/>
      <c r="BH502" s="314"/>
      <c r="BI502" s="314"/>
      <c r="BJ502" s="314"/>
      <c r="BK502" s="314"/>
      <c r="BL502" s="314"/>
      <c r="BM502" s="314"/>
      <c r="BN502" s="314"/>
      <c r="BO502" s="314"/>
      <c r="BP502" s="314"/>
      <c r="BQ502" s="314"/>
      <c r="BR502" s="314"/>
      <c r="BS502" s="314"/>
      <c r="BT502" s="314"/>
      <c r="BU502" s="314"/>
      <c r="BV502" s="314"/>
      <c r="BW502" s="314"/>
      <c r="BX502" s="314"/>
      <c r="BY502" s="314"/>
      <c r="BZ502" s="314"/>
      <c r="CA502" s="314"/>
      <c r="CB502" s="314"/>
      <c r="CC502" s="314"/>
      <c r="CD502" s="314"/>
      <c r="CE502" s="314"/>
      <c r="CF502" s="314"/>
      <c r="CG502" s="314"/>
      <c r="CH502" s="314"/>
      <c r="CI502" s="314"/>
      <c r="CJ502" s="314"/>
      <c r="CK502" s="314"/>
      <c r="CL502" s="314"/>
      <c r="CM502" s="314"/>
      <c r="CN502" s="314"/>
      <c r="CO502" s="314"/>
      <c r="CP502" s="314"/>
      <c r="CQ502" s="314"/>
    </row>
    <row r="503" spans="1:95" ht="12.75" customHeight="1" x14ac:dyDescent="0.25">
      <c r="A503" s="307"/>
      <c r="B503" s="68"/>
      <c r="C503" s="68"/>
      <c r="D503" s="1246" t="str">
        <f>Translations!$B$399</f>
        <v>Tiers valid from:</v>
      </c>
      <c r="E503" s="1246"/>
      <c r="F503" s="1247"/>
      <c r="G503" s="8"/>
      <c r="H503" s="199" t="str">
        <f>Translations!$B$400</f>
        <v>until:</v>
      </c>
      <c r="I503" s="8"/>
      <c r="J503" s="76"/>
      <c r="K503" s="76"/>
      <c r="L503" s="76"/>
      <c r="M503" s="199" t="str">
        <f>Translations!$B$401</f>
        <v>ID used in the monitoring plan for this fuel stream:</v>
      </c>
      <c r="N503" s="9"/>
      <c r="O503" s="160"/>
      <c r="P503" s="109"/>
      <c r="Q503" s="312"/>
      <c r="R503" s="312"/>
      <c r="S503" s="465"/>
      <c r="T503" s="314"/>
      <c r="U503" s="314"/>
      <c r="V503" s="314"/>
      <c r="W503" s="314"/>
      <c r="X503" s="314"/>
      <c r="Y503" s="314"/>
      <c r="Z503" s="314"/>
      <c r="AA503" s="314"/>
      <c r="AB503" s="314"/>
      <c r="AC503" s="314"/>
      <c r="AD503" s="314"/>
      <c r="AE503" s="314"/>
      <c r="AF503" s="314"/>
      <c r="AG503" s="314"/>
      <c r="AH503" s="314"/>
      <c r="AI503" s="314"/>
      <c r="AJ503" s="314"/>
      <c r="AK503" s="314"/>
      <c r="AL503" s="314"/>
      <c r="AM503" s="314"/>
      <c r="AN503" s="314"/>
      <c r="AO503" s="314"/>
      <c r="AP503" s="314"/>
      <c r="AQ503" s="314"/>
      <c r="AR503" s="314"/>
      <c r="AS503" s="314"/>
      <c r="AT503" s="314"/>
      <c r="AU503" s="314"/>
      <c r="AV503" s="314"/>
      <c r="AW503" s="314"/>
      <c r="AX503" s="314"/>
      <c r="AY503" s="314"/>
      <c r="AZ503" s="314"/>
      <c r="BA503" s="314"/>
      <c r="BB503" s="314"/>
      <c r="BC503" s="314"/>
      <c r="BD503" s="314"/>
      <c r="BE503" s="314"/>
      <c r="BF503" s="314"/>
      <c r="BG503" s="314"/>
      <c r="BH503" s="314"/>
      <c r="BI503" s="314"/>
      <c r="BJ503" s="314"/>
      <c r="BK503" s="314"/>
      <c r="BL503" s="314"/>
      <c r="BM503" s="314"/>
      <c r="BN503" s="314"/>
      <c r="BO503" s="314"/>
      <c r="BP503" s="314"/>
      <c r="BQ503" s="314"/>
      <c r="BR503" s="314"/>
      <c r="BS503" s="314"/>
      <c r="BT503" s="314"/>
      <c r="BU503" s="314"/>
      <c r="BV503" s="314"/>
      <c r="BW503" s="314"/>
      <c r="BX503" s="314"/>
      <c r="BY503" s="314"/>
      <c r="BZ503" s="314"/>
      <c r="CA503" s="314"/>
      <c r="CB503" s="314"/>
      <c r="CC503" s="314"/>
      <c r="CD503" s="314"/>
      <c r="CE503" s="314"/>
      <c r="CF503" s="314"/>
      <c r="CG503" s="314"/>
      <c r="CH503" s="314"/>
      <c r="CI503" s="314"/>
      <c r="CJ503" s="314"/>
      <c r="CK503" s="314"/>
      <c r="CL503" s="314"/>
      <c r="CM503" s="314"/>
      <c r="CN503" s="314"/>
      <c r="CO503" s="314"/>
      <c r="CP503" s="314"/>
      <c r="CQ503" s="464" t="b">
        <f>CQ486</f>
        <v>0</v>
      </c>
    </row>
    <row r="504" spans="1:95" ht="5.15" customHeight="1" x14ac:dyDescent="0.25">
      <c r="A504" s="462"/>
      <c r="B504" s="76"/>
      <c r="C504" s="76"/>
      <c r="D504" s="76"/>
      <c r="E504" s="76"/>
      <c r="F504" s="76"/>
      <c r="G504" s="76"/>
      <c r="H504" s="76"/>
      <c r="I504" s="76"/>
      <c r="J504" s="76"/>
      <c r="K504" s="76"/>
      <c r="L504" s="76"/>
      <c r="M504" s="76"/>
      <c r="N504" s="76"/>
      <c r="O504" s="160"/>
      <c r="P504" s="109"/>
      <c r="Q504" s="312"/>
      <c r="R504" s="312"/>
      <c r="S504" s="314"/>
      <c r="T504" s="314"/>
      <c r="U504" s="314"/>
      <c r="V504" s="314"/>
      <c r="W504" s="314"/>
      <c r="X504" s="314"/>
      <c r="Y504" s="314"/>
      <c r="Z504" s="314"/>
      <c r="AA504" s="314"/>
      <c r="AB504" s="314"/>
      <c r="AC504" s="314"/>
      <c r="AD504" s="314"/>
      <c r="AE504" s="314"/>
      <c r="AF504" s="314"/>
      <c r="AG504" s="314"/>
      <c r="AH504" s="314"/>
      <c r="AI504" s="314"/>
      <c r="AJ504" s="314"/>
      <c r="AK504" s="314"/>
      <c r="AL504" s="314"/>
      <c r="AM504" s="314"/>
      <c r="AN504" s="314"/>
      <c r="AO504" s="314"/>
      <c r="AP504" s="314"/>
      <c r="AQ504" s="314"/>
      <c r="AR504" s="314"/>
      <c r="AS504" s="314"/>
      <c r="AT504" s="314"/>
      <c r="AU504" s="314"/>
      <c r="AV504" s="314"/>
      <c r="AW504" s="314"/>
      <c r="AX504" s="314"/>
      <c r="AY504" s="314"/>
      <c r="AZ504" s="314"/>
      <c r="BA504" s="314"/>
      <c r="BB504" s="314"/>
      <c r="BC504" s="314"/>
      <c r="BD504" s="314"/>
      <c r="BE504" s="314"/>
      <c r="BF504" s="314"/>
      <c r="BG504" s="314"/>
      <c r="BH504" s="314"/>
      <c r="BI504" s="314"/>
      <c r="BJ504" s="314"/>
      <c r="BK504" s="314"/>
      <c r="BL504" s="314"/>
      <c r="BM504" s="314"/>
      <c r="BN504" s="314"/>
      <c r="BO504" s="314"/>
      <c r="BP504" s="314"/>
      <c r="BQ504" s="314"/>
      <c r="BR504" s="314"/>
      <c r="BS504" s="314"/>
      <c r="BT504" s="314"/>
      <c r="BU504" s="314"/>
      <c r="BV504" s="314"/>
      <c r="BW504" s="314"/>
      <c r="BX504" s="314"/>
      <c r="BY504" s="314"/>
      <c r="BZ504" s="314"/>
      <c r="CA504" s="314"/>
      <c r="CB504" s="314"/>
      <c r="CC504" s="314"/>
      <c r="CD504" s="314"/>
      <c r="CE504" s="314"/>
      <c r="CF504" s="314"/>
      <c r="CG504" s="314"/>
      <c r="CH504" s="314"/>
      <c r="CI504" s="314"/>
      <c r="CJ504" s="314"/>
      <c r="CK504" s="314"/>
      <c r="CL504" s="314"/>
      <c r="CM504" s="314"/>
      <c r="CN504" s="314"/>
      <c r="CO504" s="314"/>
      <c r="CP504" s="314"/>
      <c r="CQ504" s="314"/>
    </row>
    <row r="505" spans="1:95" ht="12.75" customHeight="1" x14ac:dyDescent="0.25">
      <c r="A505" s="462"/>
      <c r="B505" s="76"/>
      <c r="C505" s="76"/>
      <c r="D505" s="115"/>
      <c r="E505" s="85"/>
      <c r="F505" s="466" t="str">
        <f>Translations!$B$304</f>
        <v>Comments:</v>
      </c>
      <c r="G505" s="1250"/>
      <c r="H505" s="1251"/>
      <c r="I505" s="1251"/>
      <c r="J505" s="1251"/>
      <c r="K505" s="1251"/>
      <c r="L505" s="1251"/>
      <c r="M505" s="1251"/>
      <c r="N505" s="1252"/>
      <c r="O505" s="160"/>
      <c r="P505" s="109"/>
      <c r="Q505" s="312"/>
      <c r="R505" s="312"/>
      <c r="S505" s="314"/>
      <c r="T505" s="314"/>
      <c r="U505" s="314"/>
      <c r="V505" s="314"/>
      <c r="W505" s="314"/>
      <c r="X505" s="314"/>
      <c r="Y505" s="314"/>
      <c r="Z505" s="314"/>
      <c r="AA505" s="314"/>
      <c r="AB505" s="314"/>
      <c r="AC505" s="314"/>
      <c r="AD505" s="314"/>
      <c r="AE505" s="314"/>
      <c r="AF505" s="314"/>
      <c r="AG505" s="314"/>
      <c r="AH505" s="314"/>
      <c r="AI505" s="314"/>
      <c r="AJ505" s="314"/>
      <c r="AK505" s="314"/>
      <c r="AL505" s="314"/>
      <c r="AM505" s="314"/>
      <c r="AN505" s="314"/>
      <c r="AO505" s="314"/>
      <c r="AP505" s="314"/>
      <c r="AQ505" s="314"/>
      <c r="AR505" s="314"/>
      <c r="AS505" s="314"/>
      <c r="AT505" s="314"/>
      <c r="AU505" s="314"/>
      <c r="AV505" s="314"/>
      <c r="AW505" s="314"/>
      <c r="AX505" s="314"/>
      <c r="AY505" s="314"/>
      <c r="AZ505" s="314"/>
      <c r="BA505" s="314"/>
      <c r="BB505" s="314"/>
      <c r="BC505" s="314"/>
      <c r="BD505" s="314"/>
      <c r="BE505" s="314"/>
      <c r="BF505" s="314"/>
      <c r="BG505" s="314"/>
      <c r="BH505" s="314"/>
      <c r="BI505" s="314"/>
      <c r="BJ505" s="314"/>
      <c r="BK505" s="314"/>
      <c r="BL505" s="314"/>
      <c r="BM505" s="314"/>
      <c r="BN505" s="314"/>
      <c r="BO505" s="314"/>
      <c r="BP505" s="314"/>
      <c r="BQ505" s="314"/>
      <c r="BR505" s="314"/>
      <c r="BS505" s="314"/>
      <c r="BT505" s="314"/>
      <c r="BU505" s="314"/>
      <c r="BV505" s="314"/>
      <c r="BW505" s="314"/>
      <c r="BX505" s="314"/>
      <c r="BY505" s="314"/>
      <c r="BZ505" s="314"/>
      <c r="CA505" s="314"/>
      <c r="CB505" s="314"/>
      <c r="CC505" s="314"/>
      <c r="CD505" s="314"/>
      <c r="CE505" s="314"/>
      <c r="CF505" s="314"/>
      <c r="CG505" s="314"/>
      <c r="CH505" s="314"/>
      <c r="CI505" s="314"/>
      <c r="CJ505" s="314"/>
      <c r="CK505" s="314"/>
      <c r="CL505" s="314"/>
      <c r="CM505" s="314"/>
      <c r="CN505" s="314"/>
      <c r="CO505" s="314"/>
      <c r="CP505" s="314"/>
      <c r="CQ505" s="464" t="b">
        <f>CQ503</f>
        <v>0</v>
      </c>
    </row>
    <row r="506" spans="1:95" ht="12.75" customHeight="1" thickBot="1" x14ac:dyDescent="0.3">
      <c r="A506" s="307"/>
      <c r="B506" s="76"/>
      <c r="C506" s="308"/>
      <c r="D506" s="309"/>
      <c r="E506" s="310"/>
      <c r="F506" s="308"/>
      <c r="G506" s="311"/>
      <c r="H506" s="311"/>
      <c r="I506" s="311"/>
      <c r="J506" s="311"/>
      <c r="K506" s="311"/>
      <c r="L506" s="311"/>
      <c r="M506" s="311"/>
      <c r="N506" s="311"/>
      <c r="O506" s="160"/>
      <c r="P506" s="109"/>
      <c r="Q506" s="312"/>
      <c r="R506" s="312"/>
      <c r="S506" s="293"/>
      <c r="T506" s="293"/>
      <c r="U506" s="313"/>
      <c r="V506" s="293"/>
      <c r="W506" s="293"/>
      <c r="X506" s="313"/>
      <c r="Y506" s="293"/>
      <c r="Z506" s="293"/>
      <c r="AA506" s="293"/>
      <c r="AB506" s="293"/>
      <c r="AC506" s="293"/>
      <c r="AD506" s="293"/>
      <c r="AE506" s="293"/>
      <c r="AF506" s="293"/>
      <c r="AG506" s="293"/>
      <c r="AH506" s="293"/>
      <c r="AI506" s="293"/>
      <c r="AJ506" s="293"/>
      <c r="AK506" s="293"/>
      <c r="AL506" s="293"/>
      <c r="AM506" s="293"/>
      <c r="AN506" s="293"/>
      <c r="AO506" s="293"/>
      <c r="AP506" s="293"/>
      <c r="AQ506" s="293"/>
      <c r="AR506" s="293"/>
      <c r="AS506" s="293"/>
      <c r="AT506" s="293"/>
      <c r="AU506" s="293"/>
      <c r="AV506" s="293"/>
      <c r="AW506" s="293"/>
      <c r="AX506" s="293"/>
      <c r="AY506" s="293"/>
      <c r="AZ506" s="293"/>
      <c r="BA506" s="293"/>
      <c r="BB506" s="293"/>
      <c r="BC506" s="293"/>
      <c r="BD506" s="293"/>
      <c r="BE506" s="293"/>
      <c r="BF506" s="293"/>
      <c r="BG506" s="293"/>
      <c r="BH506" s="293"/>
      <c r="BI506" s="293"/>
      <c r="BJ506" s="293"/>
      <c r="BK506" s="293"/>
      <c r="BL506" s="293"/>
      <c r="BM506" s="314"/>
      <c r="BN506" s="314"/>
      <c r="BO506" s="314"/>
      <c r="BP506" s="314"/>
      <c r="BQ506" s="314"/>
      <c r="BR506" s="314"/>
      <c r="BS506" s="314"/>
      <c r="BT506" s="314"/>
      <c r="BU506" s="293"/>
      <c r="BV506" s="293"/>
      <c r="BW506" s="293"/>
      <c r="BX506" s="293"/>
      <c r="BY506" s="293"/>
      <c r="BZ506" s="293"/>
      <c r="CA506" s="293"/>
      <c r="CB506" s="293"/>
      <c r="CC506" s="293"/>
      <c r="CD506" s="293"/>
      <c r="CE506" s="293"/>
      <c r="CF506" s="293"/>
      <c r="CG506" s="293"/>
      <c r="CH506" s="293"/>
      <c r="CI506" s="293"/>
      <c r="CJ506" s="293"/>
      <c r="CK506" s="293"/>
      <c r="CL506" s="293"/>
      <c r="CM506" s="293"/>
      <c r="CN506" s="293"/>
      <c r="CO506" s="293"/>
      <c r="CP506" s="293"/>
      <c r="CQ506" s="293"/>
    </row>
    <row r="507" spans="1:95" ht="12.75" customHeight="1" thickBot="1" x14ac:dyDescent="0.3">
      <c r="A507" s="315"/>
      <c r="B507" s="76"/>
      <c r="C507" s="76"/>
      <c r="D507" s="205"/>
      <c r="E507" s="316"/>
      <c r="F507" s="76"/>
      <c r="G507" s="96"/>
      <c r="H507" s="96"/>
      <c r="I507" s="96"/>
      <c r="J507" s="96"/>
      <c r="K507" s="76"/>
      <c r="L507" s="96"/>
      <c r="M507" s="96"/>
      <c r="N507" s="96"/>
      <c r="O507" s="160"/>
      <c r="P507" s="109"/>
      <c r="Q507" s="312"/>
      <c r="R507" s="312"/>
      <c r="S507" s="287"/>
      <c r="T507" s="317" t="str">
        <f>IF(ISBLANK(E508),"",MATCH(E508,CNTR_SourceStreamNames,0))</f>
        <v/>
      </c>
      <c r="U507" s="318" t="str">
        <f>IF(ISBLANK(E508),"",INDEX(B_IdentifyFuelStreams!$D$67:$D$116,MATCH(E508,CNTR_SourceStreamNames,0)))</f>
        <v/>
      </c>
      <c r="V507" s="301"/>
      <c r="W507" s="138"/>
      <c r="X507" s="138"/>
      <c r="Y507" s="138"/>
      <c r="Z507" s="293"/>
      <c r="AA507" s="293"/>
      <c r="AB507" s="293"/>
      <c r="AC507" s="293"/>
      <c r="AD507" s="293"/>
      <c r="AE507" s="293"/>
      <c r="AF507" s="293"/>
      <c r="AG507" s="293"/>
      <c r="AH507" s="293"/>
      <c r="AI507" s="293"/>
      <c r="AJ507" s="293"/>
      <c r="AK507" s="312"/>
      <c r="AL507" s="293"/>
      <c r="AM507" s="293"/>
      <c r="AN507" s="293"/>
      <c r="AO507" s="293"/>
      <c r="AP507" s="293"/>
      <c r="AQ507" s="293"/>
      <c r="AR507" s="293"/>
      <c r="AS507" s="293"/>
      <c r="AT507" s="293"/>
      <c r="AU507" s="293"/>
      <c r="AV507" s="293"/>
      <c r="AW507" s="293"/>
      <c r="AX507" s="293"/>
      <c r="AY507" s="293"/>
      <c r="AZ507" s="293"/>
      <c r="BA507" s="293"/>
      <c r="BB507" s="293"/>
      <c r="BC507" s="293"/>
      <c r="BD507" s="293"/>
      <c r="BE507" s="293"/>
      <c r="BF507" s="293"/>
      <c r="BG507" s="293"/>
      <c r="BH507" s="293"/>
      <c r="BI507" s="293"/>
      <c r="BJ507" s="138"/>
      <c r="BK507" s="138"/>
      <c r="BL507" s="138"/>
      <c r="BM507" s="138"/>
      <c r="BN507" s="138"/>
      <c r="BO507" s="138"/>
      <c r="BP507" s="138"/>
      <c r="BQ507" s="138"/>
      <c r="BR507" s="138"/>
      <c r="BS507" s="138"/>
      <c r="BT507" s="138"/>
      <c r="BU507" s="138"/>
      <c r="BV507" s="138"/>
      <c r="BW507" s="138"/>
      <c r="BX507" s="138"/>
      <c r="BY507" s="138"/>
      <c r="BZ507" s="138"/>
      <c r="CA507" s="138"/>
      <c r="CB507" s="138"/>
      <c r="CC507" s="138"/>
      <c r="CD507" s="138"/>
      <c r="CE507" s="138"/>
      <c r="CF507" s="138"/>
      <c r="CG507" s="138"/>
      <c r="CH507" s="138"/>
      <c r="CI507" s="138"/>
      <c r="CJ507" s="138"/>
      <c r="CK507" s="138"/>
      <c r="CL507" s="138"/>
      <c r="CM507" s="138"/>
      <c r="CN507" s="138"/>
      <c r="CO507" s="138"/>
      <c r="CP507" s="138"/>
      <c r="CQ507" s="319" t="s">
        <v>107</v>
      </c>
    </row>
    <row r="508" spans="1:95" ht="15" customHeight="1" thickBot="1" x14ac:dyDescent="0.3">
      <c r="A508" s="320">
        <f>C508</f>
        <v>17</v>
      </c>
      <c r="B508" s="68"/>
      <c r="C508" s="321">
        <f>C480+1</f>
        <v>17</v>
      </c>
      <c r="D508" s="68"/>
      <c r="E508" s="1269"/>
      <c r="F508" s="1270"/>
      <c r="G508" s="1270"/>
      <c r="H508" s="1270"/>
      <c r="I508" s="1270"/>
      <c r="J508" s="1271"/>
      <c r="K508" s="1272" t="str">
        <f>IF(INDEX(B_IdentifyFuelStreams!$K$125:$K$174,MATCH(U507,B_IdentifyFuelStreams!$D$125:$D$174,0))&gt;0,INDEX(B_IdentifyFuelStreams!$K$125:$K$174,MATCH(U507,B_IdentifyFuelStreams!$D$125:$D$174,0)),"")</f>
        <v/>
      </c>
      <c r="L508" s="1273"/>
      <c r="M508" s="316" t="str">
        <f>Translations!$B$621</f>
        <v>Emissions:</v>
      </c>
      <c r="N508" s="322" t="str">
        <f>IF(E509="","",BG514)</f>
        <v/>
      </c>
      <c r="O508" s="323" t="str">
        <f>EUconst_tCO2</f>
        <v>tCO2</v>
      </c>
      <c r="P508" s="324" t="str">
        <f>IF(AND(E508&lt;&gt;"",COUNTIF(P509:$P$1649,"PRINT")=0),"PRINT","")</f>
        <v/>
      </c>
      <c r="Q508" s="325" t="str">
        <f>EUconst_SumCO2</f>
        <v>SUM_CO2</v>
      </c>
      <c r="R508" s="312"/>
      <c r="S508" s="287"/>
      <c r="T508" s="287"/>
      <c r="U508" s="287"/>
      <c r="V508" s="301"/>
      <c r="W508" s="138"/>
      <c r="X508" s="293"/>
      <c r="Y508" s="293"/>
      <c r="Z508" s="293"/>
      <c r="AA508" s="293"/>
      <c r="AB508" s="293"/>
      <c r="AC508" s="293"/>
      <c r="AD508" s="293"/>
      <c r="AE508" s="293"/>
      <c r="AF508" s="293"/>
      <c r="AG508" s="293"/>
      <c r="AH508" s="293"/>
      <c r="AI508" s="326"/>
      <c r="AJ508" s="326"/>
      <c r="AK508" s="326"/>
      <c r="AL508" s="326"/>
      <c r="AM508" s="326"/>
      <c r="AN508" s="326"/>
      <c r="AO508" s="326"/>
      <c r="AP508" s="326"/>
      <c r="AQ508" s="326"/>
      <c r="AR508" s="326"/>
      <c r="AS508" s="326"/>
      <c r="AT508" s="326"/>
      <c r="AU508" s="326"/>
      <c r="AV508" s="326"/>
      <c r="AW508" s="326"/>
      <c r="AX508" s="326"/>
      <c r="AY508" s="326"/>
      <c r="AZ508" s="326"/>
      <c r="BA508" s="326"/>
      <c r="BB508" s="326"/>
      <c r="BC508" s="326"/>
      <c r="BD508" s="326"/>
      <c r="BE508" s="326"/>
      <c r="BF508" s="326"/>
      <c r="BG508" s="326"/>
      <c r="BH508" s="326"/>
      <c r="BI508" s="327" t="str">
        <f>IF(E508="","",E508)</f>
        <v/>
      </c>
      <c r="BJ508" s="328" t="str">
        <f>IF(F514="","",F514)</f>
        <v/>
      </c>
      <c r="BK508" s="329">
        <f>AV514</f>
        <v>0</v>
      </c>
      <c r="BL508" s="329">
        <f>IF(BK508="","",BK508*(1-BP508))</f>
        <v>0</v>
      </c>
      <c r="BM508" s="328" t="str">
        <f>AJ514</f>
        <v/>
      </c>
      <c r="BN508" s="328" t="str">
        <f>IF(F525="","",F525)</f>
        <v/>
      </c>
      <c r="BO508" s="327" t="str">
        <f>IF(G525="","",G525)</f>
        <v/>
      </c>
      <c r="BP508" s="330">
        <f>AV525</f>
        <v>0</v>
      </c>
      <c r="BQ508" s="328" t="str">
        <f>IF(F517="","",F517)</f>
        <v/>
      </c>
      <c r="BR508" s="330">
        <f>AV517</f>
        <v>0</v>
      </c>
      <c r="BS508" s="330" t="str">
        <f>AJ517</f>
        <v/>
      </c>
      <c r="BT508" s="328" t="str">
        <f>IF(F516="","",F516)</f>
        <v/>
      </c>
      <c r="BU508" s="330">
        <f>IF(F516=EUconst_NA,"",AV516)</f>
        <v>0</v>
      </c>
      <c r="BV508" s="330" t="str">
        <f>AJ516</f>
        <v/>
      </c>
      <c r="BW508" s="328" t="str">
        <f>IF(F518="","",F518)</f>
        <v/>
      </c>
      <c r="BX508" s="330">
        <f>AV518</f>
        <v>0</v>
      </c>
      <c r="BY508" s="328" t="str">
        <f>IF(F519="","",F519)</f>
        <v/>
      </c>
      <c r="BZ508" s="330">
        <f>AV519</f>
        <v>0</v>
      </c>
      <c r="CA508" s="330">
        <f>AV520</f>
        <v>0</v>
      </c>
      <c r="CB508" s="330">
        <f>AV521</f>
        <v>0</v>
      </c>
      <c r="CC508" s="330">
        <f>AV522</f>
        <v>0</v>
      </c>
      <c r="CD508" s="330">
        <f>AV523</f>
        <v>0</v>
      </c>
      <c r="CE508" s="329" t="str">
        <f>BG514</f>
        <v/>
      </c>
      <c r="CF508" s="329" t="str">
        <f>BG516</f>
        <v/>
      </c>
      <c r="CG508" s="329" t="str">
        <f>BG517</f>
        <v/>
      </c>
      <c r="CH508" s="329" t="str">
        <f>BG518</f>
        <v/>
      </c>
      <c r="CI508" s="329" t="str">
        <f>BG519</f>
        <v/>
      </c>
      <c r="CJ508" s="329" t="str">
        <f>BG520</f>
        <v/>
      </c>
      <c r="CK508" s="329" t="str">
        <f>BG521</f>
        <v/>
      </c>
      <c r="CL508" s="329">
        <f>BG522</f>
        <v>0</v>
      </c>
      <c r="CM508" s="329" t="str">
        <f>BG523</f>
        <v/>
      </c>
      <c r="CN508" s="329" t="str">
        <f>BG525</f>
        <v/>
      </c>
      <c r="CO508" s="329" t="str">
        <f>BG529</f>
        <v/>
      </c>
      <c r="CP508" s="329" t="str">
        <f>IF(COUNTIF(AO517:AO518,TRUE)=0,"",BH514)</f>
        <v/>
      </c>
      <c r="CQ508" s="331" t="b">
        <v>0</v>
      </c>
    </row>
    <row r="509" spans="1:95" ht="15" customHeight="1" thickBot="1" x14ac:dyDescent="0.3">
      <c r="A509" s="307"/>
      <c r="B509" s="68"/>
      <c r="C509" s="68"/>
      <c r="D509" s="68"/>
      <c r="E509" s="1274" t="str">
        <f>IF(ISBLANK(E508),"",IF(INDEX(B_IdentifyFuelStreams!$E$67:$E$116,MATCH(U507,B_IdentifyFuelStreams!$D$67:$D$116,0))&gt;0,INDEX(B_IdentifyFuelStreams!$E$67:$E$116,MATCH(U507,B_IdentifyFuelStreams!$D$67:$D$116,0)),""))</f>
        <v/>
      </c>
      <c r="F509" s="1275"/>
      <c r="G509" s="1275"/>
      <c r="H509" s="1275"/>
      <c r="I509" s="1275"/>
      <c r="J509" s="1276"/>
      <c r="K509" s="1272" t="str">
        <f>IF(INDEX(B_IdentifyFuelStreams!$M$125:$M$174,MATCH(U507,B_IdentifyFuelStreams!$D$125:$D$174,0))&gt;0,INDEX(B_IdentifyFuelStreams!$M$125:$M$174,MATCH(U507,B_IdentifyFuelStreams!$D$125:$D$174,0)),"")</f>
        <v/>
      </c>
      <c r="L509" s="1273"/>
      <c r="M509" s="332" t="str">
        <f>Translations!$B$622</f>
        <v>zero-rated:</v>
      </c>
      <c r="N509" s="333" t="str">
        <f>IF(E509="","",SUM(BG516,BG518,BG520))</f>
        <v/>
      </c>
      <c r="O509" s="334" t="str">
        <f>EUconst_tCO2</f>
        <v>tCO2</v>
      </c>
      <c r="P509" s="109"/>
      <c r="Q509" s="325" t="str">
        <f>EUconst_SumBioCO2</f>
        <v>SUM_bioCO2</v>
      </c>
      <c r="R509" s="312"/>
      <c r="S509" s="287"/>
      <c r="T509" s="287"/>
      <c r="U509" s="287"/>
      <c r="V509" s="301"/>
      <c r="W509" s="138"/>
      <c r="X509" s="293"/>
      <c r="Y509" s="317" t="str">
        <f>Translations!$B$143</f>
        <v>Tiers</v>
      </c>
      <c r="Z509" s="314"/>
      <c r="AA509" s="314"/>
      <c r="AB509" s="314"/>
      <c r="AC509" s="314"/>
      <c r="AD509" s="314"/>
      <c r="AE509" s="317" t="s">
        <v>108</v>
      </c>
      <c r="AF509" s="293"/>
      <c r="AG509" s="335"/>
      <c r="AH509" s="314"/>
      <c r="AI509" s="314"/>
      <c r="AJ509" s="335"/>
      <c r="AK509" s="335"/>
      <c r="AL509" s="326"/>
      <c r="AM509" s="326"/>
      <c r="AN509" s="326"/>
      <c r="AO509" s="326"/>
      <c r="AP509" s="326"/>
      <c r="AQ509" s="317" t="s">
        <v>109</v>
      </c>
      <c r="AR509" s="336"/>
      <c r="AS509" s="336"/>
      <c r="AT509" s="314"/>
      <c r="AU509" s="314"/>
      <c r="AV509" s="314"/>
      <c r="AW509" s="314"/>
      <c r="AX509" s="314"/>
      <c r="AY509" s="314"/>
      <c r="AZ509" s="317" t="s">
        <v>110</v>
      </c>
      <c r="BA509" s="314"/>
      <c r="BB509" s="314"/>
      <c r="BC509" s="314"/>
      <c r="BD509" s="314"/>
      <c r="BE509" s="314"/>
      <c r="BF509" s="317" t="s">
        <v>111</v>
      </c>
      <c r="BG509" s="314"/>
      <c r="BH509" s="314"/>
      <c r="BI509" s="317" t="s">
        <v>112</v>
      </c>
      <c r="BJ509" s="328" t="str">
        <f>Translations!$B$376</f>
        <v>RFA Tier</v>
      </c>
      <c r="BK509" s="328" t="str">
        <f>Translations!$B$377</f>
        <v>RFA</v>
      </c>
      <c r="BL509" s="328" t="str">
        <f>Translations!$B$378</f>
        <v>RFA (in scope)</v>
      </c>
      <c r="BM509" s="328" t="str">
        <f>Translations!$B$379</f>
        <v>RFA Unit</v>
      </c>
      <c r="BN509" s="328" t="str">
        <f>Translations!$B$380</f>
        <v>SF Tier</v>
      </c>
      <c r="BO509" s="328" t="str">
        <f>Translations!$B$380</f>
        <v>SF Tier</v>
      </c>
      <c r="BP509" s="328" t="str">
        <f>Translations!$B$381</f>
        <v>SF</v>
      </c>
      <c r="BQ509" s="328" t="str">
        <f>Translations!$B$382</f>
        <v>EF Tier</v>
      </c>
      <c r="BR509" s="328" t="str">
        <f>Translations!$B$383</f>
        <v>EF</v>
      </c>
      <c r="BS509" s="328" t="str">
        <f>Translations!$B$384</f>
        <v>EF Unit</v>
      </c>
      <c r="BT509" s="328" t="str">
        <f>Translations!$B$385</f>
        <v>UCF Tier</v>
      </c>
      <c r="BU509" s="328" t="str">
        <f>Translations!$B$386</f>
        <v>UCF</v>
      </c>
      <c r="BV509" s="328" t="str">
        <f>Translations!$B$387</f>
        <v>UCF Unit</v>
      </c>
      <c r="BW509" s="328" t="str">
        <f>Translations!$B$388</f>
        <v>Bio Tier</v>
      </c>
      <c r="BX509" s="328" t="s">
        <v>113</v>
      </c>
      <c r="BY509" s="328" t="str">
        <f>Translations!$B$389</f>
        <v>NonSustBio Tier</v>
      </c>
      <c r="BZ509" s="328" t="s">
        <v>114</v>
      </c>
      <c r="CA509" s="328" t="s">
        <v>115</v>
      </c>
      <c r="CB509" s="328" t="s">
        <v>116</v>
      </c>
      <c r="CC509" s="328" t="s">
        <v>117</v>
      </c>
      <c r="CD509" s="328" t="s">
        <v>118</v>
      </c>
      <c r="CE509" s="328" t="s">
        <v>119</v>
      </c>
      <c r="CF509" s="328" t="s">
        <v>120</v>
      </c>
      <c r="CG509" s="328" t="str">
        <f>Translations!$B$392</f>
        <v>CO2 non-sust</v>
      </c>
      <c r="CH509" s="328" t="s">
        <v>121</v>
      </c>
      <c r="CI509" s="328" t="s">
        <v>122</v>
      </c>
      <c r="CJ509" s="328" t="s">
        <v>123</v>
      </c>
      <c r="CK509" s="328" t="s">
        <v>124</v>
      </c>
      <c r="CL509" s="328" t="s">
        <v>125</v>
      </c>
      <c r="CM509" s="328" t="str">
        <f>Translations!$B$551</f>
        <v>Energy content (bio), TJ</v>
      </c>
      <c r="CN509" s="328" t="s">
        <v>126</v>
      </c>
      <c r="CO509" s="328" t="s">
        <v>127</v>
      </c>
      <c r="CP509" s="328" t="s">
        <v>128</v>
      </c>
      <c r="CQ509" s="314"/>
    </row>
    <row r="510" spans="1:95" ht="5.15" customHeight="1" thickBot="1" x14ac:dyDescent="0.3">
      <c r="A510" s="307"/>
      <c r="B510" s="68"/>
      <c r="C510" s="68"/>
      <c r="D510" s="68"/>
      <c r="E510" s="68"/>
      <c r="F510" s="68"/>
      <c r="G510" s="68"/>
      <c r="H510" s="76"/>
      <c r="I510" s="76"/>
      <c r="J510" s="76"/>
      <c r="K510" s="76"/>
      <c r="L510" s="76"/>
      <c r="M510" s="76"/>
      <c r="N510" s="76"/>
      <c r="O510" s="160"/>
      <c r="P510" s="109"/>
      <c r="Q510" s="312"/>
      <c r="R510" s="312"/>
      <c r="S510" s="287"/>
      <c r="T510" s="287"/>
      <c r="U510" s="287"/>
      <c r="V510" s="301"/>
      <c r="W510" s="314"/>
      <c r="X510" s="314"/>
      <c r="Y510" s="312"/>
      <c r="Z510" s="314"/>
      <c r="AA510" s="314"/>
      <c r="AB510" s="314"/>
      <c r="AC510" s="314"/>
      <c r="AD510" s="314"/>
      <c r="AE510" s="314"/>
      <c r="AF510" s="293"/>
      <c r="AG510" s="314"/>
      <c r="AH510" s="314"/>
      <c r="AI510" s="314"/>
      <c r="AJ510" s="335"/>
      <c r="AK510" s="335"/>
      <c r="AL510" s="326"/>
      <c r="AM510" s="326"/>
      <c r="AN510" s="326"/>
      <c r="AO510" s="326"/>
      <c r="AP510" s="326"/>
      <c r="AQ510" s="314"/>
      <c r="AR510" s="314"/>
      <c r="AS510" s="314"/>
      <c r="AT510" s="314"/>
      <c r="AU510" s="314"/>
      <c r="AV510" s="314"/>
      <c r="AW510" s="314"/>
      <c r="AX510" s="314"/>
      <c r="AY510" s="314"/>
      <c r="AZ510" s="314"/>
      <c r="BA510" s="314"/>
      <c r="BB510" s="314"/>
      <c r="BC510" s="314"/>
      <c r="BD510" s="314"/>
      <c r="BE510" s="314"/>
      <c r="BF510" s="314"/>
      <c r="BG510" s="314"/>
      <c r="BH510" s="314"/>
      <c r="BI510" s="314"/>
      <c r="BJ510" s="314"/>
      <c r="BK510" s="314"/>
      <c r="BL510" s="314"/>
      <c r="BM510" s="314"/>
      <c r="BN510" s="314"/>
      <c r="BO510" s="314"/>
      <c r="BP510" s="314"/>
      <c r="BQ510" s="314"/>
      <c r="BR510" s="314"/>
      <c r="BS510" s="314"/>
      <c r="BT510" s="314"/>
      <c r="BU510" s="314"/>
      <c r="BV510" s="314"/>
      <c r="BW510" s="314"/>
      <c r="BX510" s="314"/>
      <c r="BY510" s="314"/>
      <c r="BZ510" s="314"/>
      <c r="CA510" s="314"/>
      <c r="CB510" s="314"/>
      <c r="CC510" s="314"/>
      <c r="CD510" s="314"/>
      <c r="CE510" s="314"/>
      <c r="CF510" s="314"/>
      <c r="CG510" s="314"/>
      <c r="CH510" s="314"/>
      <c r="CI510" s="314"/>
      <c r="CJ510" s="314"/>
      <c r="CK510" s="314"/>
      <c r="CL510" s="314"/>
      <c r="CM510" s="314"/>
      <c r="CN510" s="314"/>
      <c r="CO510" s="314"/>
      <c r="CP510" s="314"/>
      <c r="CQ510" s="314"/>
    </row>
    <row r="511" spans="1:95" ht="12.75" customHeight="1" thickBot="1" x14ac:dyDescent="0.3">
      <c r="A511" s="307"/>
      <c r="B511" s="68"/>
      <c r="C511" s="68"/>
      <c r="D511" s="68"/>
      <c r="E511" s="1253" t="str">
        <f>IF(E508="","",HYPERLINK("#JUMP_E_Top",EUconst_FurtherGuidancePoint1))</f>
        <v/>
      </c>
      <c r="F511" s="1253"/>
      <c r="G511" s="1253"/>
      <c r="H511" s="1253"/>
      <c r="I511" s="1253"/>
      <c r="J511" s="1253"/>
      <c r="K511" s="1253"/>
      <c r="L511" s="1253"/>
      <c r="M511" s="1253"/>
      <c r="N511" s="76"/>
      <c r="O511" s="160"/>
      <c r="P511" s="109"/>
      <c r="Q511" s="325" t="str">
        <f>EUconst_SumNonSustBioCO2</f>
        <v>SUM_bioNonSustCO2</v>
      </c>
      <c r="R511" s="337" t="str">
        <f>IF(E509="","",BG517)</f>
        <v/>
      </c>
      <c r="S511" s="287"/>
      <c r="T511" s="287"/>
      <c r="U511" s="287"/>
      <c r="V511" s="314"/>
      <c r="W511" s="314"/>
      <c r="X511" s="314"/>
      <c r="Y511" s="293"/>
      <c r="Z511" s="314"/>
      <c r="AA511" s="314"/>
      <c r="AB511" s="314"/>
      <c r="AC511" s="314"/>
      <c r="AD511" s="314"/>
      <c r="AE511" s="314"/>
      <c r="AF511" s="293"/>
      <c r="AG511" s="314"/>
      <c r="AH511" s="314"/>
      <c r="AI511" s="314"/>
      <c r="AJ511" s="335"/>
      <c r="AK511" s="335"/>
      <c r="AL511" s="326"/>
      <c r="AM511" s="326"/>
      <c r="AN511" s="326"/>
      <c r="AO511" s="326"/>
      <c r="AP511" s="326"/>
      <c r="AQ511" s="314"/>
      <c r="AR511" s="314"/>
      <c r="AS511" s="314"/>
      <c r="AT511" s="314"/>
      <c r="AU511" s="314"/>
      <c r="AV511" s="314"/>
      <c r="AW511" s="314"/>
      <c r="AX511" s="314"/>
      <c r="AY511" s="314"/>
      <c r="AZ511" s="314"/>
      <c r="BA511" s="314"/>
      <c r="BB511" s="314"/>
      <c r="BC511" s="314"/>
      <c r="BD511" s="314"/>
      <c r="BE511" s="314"/>
      <c r="BF511" s="314"/>
      <c r="BG511" s="314"/>
      <c r="BH511" s="314"/>
      <c r="BI511" s="317" t="s">
        <v>129</v>
      </c>
      <c r="BJ511" s="336"/>
      <c r="BK511" s="327" t="str">
        <f>IF(G529="","",G529)</f>
        <v/>
      </c>
      <c r="BL511" s="327" t="str">
        <f>IF(I529="","",I529)</f>
        <v/>
      </c>
      <c r="BM511" s="327" t="str">
        <f>IF(K529="","",K529)</f>
        <v/>
      </c>
      <c r="BN511" s="314"/>
      <c r="BO511" s="314"/>
      <c r="BP511" s="314"/>
      <c r="BQ511" s="314"/>
      <c r="BR511" s="314"/>
      <c r="BS511" s="314"/>
      <c r="BT511" s="319"/>
      <c r="BU511" s="314"/>
      <c r="BV511" s="314"/>
      <c r="BW511" s="314"/>
      <c r="BX511" s="314"/>
      <c r="BY511" s="314"/>
      <c r="BZ511" s="314"/>
      <c r="CA511" s="314"/>
      <c r="CB511" s="314"/>
      <c r="CC511" s="314"/>
      <c r="CD511" s="314"/>
      <c r="CE511" s="314"/>
      <c r="CF511" s="314"/>
      <c r="CG511" s="314"/>
      <c r="CH511" s="314"/>
      <c r="CI511" s="314"/>
      <c r="CJ511" s="314"/>
      <c r="CK511" s="314"/>
      <c r="CL511" s="314"/>
      <c r="CM511" s="314"/>
      <c r="CN511" s="314"/>
      <c r="CO511" s="314"/>
      <c r="CP511" s="314"/>
      <c r="CQ511" s="314"/>
    </row>
    <row r="512" spans="1:95" ht="5.15" customHeight="1" thickBot="1" x14ac:dyDescent="0.3">
      <c r="A512" s="307"/>
      <c r="B512" s="68"/>
      <c r="C512" s="68"/>
      <c r="D512" s="68"/>
      <c r="E512" s="68"/>
      <c r="F512" s="68"/>
      <c r="G512" s="68"/>
      <c r="H512" s="76"/>
      <c r="I512" s="76"/>
      <c r="J512" s="76"/>
      <c r="K512" s="76"/>
      <c r="L512" s="76"/>
      <c r="M512" s="76"/>
      <c r="N512" s="76"/>
      <c r="O512" s="160"/>
      <c r="P512" s="111"/>
      <c r="Q512" s="287"/>
      <c r="R512" s="111"/>
      <c r="S512" s="287"/>
      <c r="T512" s="287"/>
      <c r="U512" s="287"/>
      <c r="V512" s="314"/>
      <c r="W512" s="314"/>
      <c r="X512" s="314"/>
      <c r="Y512" s="312"/>
      <c r="Z512" s="314"/>
      <c r="AA512" s="314"/>
      <c r="AB512" s="314"/>
      <c r="AC512" s="314"/>
      <c r="AD512" s="314"/>
      <c r="AE512" s="314"/>
      <c r="AF512" s="293"/>
      <c r="AG512" s="314"/>
      <c r="AH512" s="314"/>
      <c r="AI512" s="314"/>
      <c r="AJ512" s="335"/>
      <c r="AK512" s="335"/>
      <c r="AL512" s="326"/>
      <c r="AM512" s="326"/>
      <c r="AN512" s="326"/>
      <c r="AO512" s="326"/>
      <c r="AP512" s="326"/>
      <c r="AQ512" s="314"/>
      <c r="AR512" s="314"/>
      <c r="AS512" s="314"/>
      <c r="AT512" s="314"/>
      <c r="AU512" s="314"/>
      <c r="AV512" s="314"/>
      <c r="AW512" s="314"/>
      <c r="AX512" s="314"/>
      <c r="AY512" s="314"/>
      <c r="AZ512" s="314"/>
      <c r="BA512" s="314"/>
      <c r="BB512" s="314"/>
      <c r="BC512" s="314"/>
      <c r="BD512" s="314"/>
      <c r="BE512" s="314"/>
      <c r="BF512" s="314"/>
      <c r="BG512" s="314"/>
      <c r="BH512" s="314"/>
      <c r="BI512" s="314"/>
      <c r="BJ512" s="314"/>
      <c r="BK512" s="314"/>
      <c r="BL512" s="314"/>
      <c r="BM512" s="314"/>
      <c r="BN512" s="314"/>
      <c r="BO512" s="314"/>
      <c r="BP512" s="314"/>
      <c r="BQ512" s="314"/>
      <c r="BR512" s="314"/>
      <c r="BS512" s="314"/>
      <c r="BT512" s="314"/>
      <c r="BU512" s="314"/>
      <c r="BV512" s="314"/>
      <c r="BW512" s="314"/>
      <c r="BX512" s="314"/>
      <c r="BY512" s="314"/>
      <c r="BZ512" s="314"/>
      <c r="CA512" s="314"/>
      <c r="CB512" s="314"/>
      <c r="CC512" s="314"/>
      <c r="CD512" s="314"/>
      <c r="CE512" s="314"/>
      <c r="CF512" s="314"/>
      <c r="CG512" s="314"/>
      <c r="CH512" s="314"/>
      <c r="CI512" s="314"/>
      <c r="CJ512" s="314"/>
      <c r="CK512" s="314"/>
      <c r="CL512" s="314"/>
      <c r="CM512" s="314"/>
      <c r="CN512" s="314"/>
      <c r="CO512" s="314"/>
      <c r="CP512" s="314"/>
      <c r="CQ512" s="314"/>
    </row>
    <row r="513" spans="1:95" ht="12.75" customHeight="1" thickBot="1" x14ac:dyDescent="0.3">
      <c r="A513" s="307"/>
      <c r="B513" s="68"/>
      <c r="C513" s="68"/>
      <c r="D513" s="68"/>
      <c r="E513" s="68"/>
      <c r="F513" s="338" t="str">
        <f>Translations!$B$127</f>
        <v>Tier</v>
      </c>
      <c r="G513" s="1254" t="str">
        <f>Translations!$B$393</f>
        <v>tier description</v>
      </c>
      <c r="H513" s="1254"/>
      <c r="I513" s="1255" t="str">
        <f>Translations!$B$394</f>
        <v>Unit</v>
      </c>
      <c r="J513" s="1255"/>
      <c r="K513" s="1255" t="str">
        <f>Translations!$B$395</f>
        <v>Value</v>
      </c>
      <c r="L513" s="1255"/>
      <c r="M513" s="205" t="str">
        <f>Translations!$B$396</f>
        <v>error</v>
      </c>
      <c r="N513" s="76"/>
      <c r="O513" s="160"/>
      <c r="P513" s="339"/>
      <c r="Q513" s="325" t="str">
        <f>EUconst_SumEnergyIN</f>
        <v>SUM_EnergyIN</v>
      </c>
      <c r="R513" s="340" t="str">
        <f>IF(E509="","",BG522)</f>
        <v/>
      </c>
      <c r="S513" s="314"/>
      <c r="T513" s="314"/>
      <c r="U513" s="314"/>
      <c r="V513" s="341" t="s">
        <v>130</v>
      </c>
      <c r="W513" s="314"/>
      <c r="X513" s="314"/>
      <c r="Y513" s="312" t="s">
        <v>131</v>
      </c>
      <c r="Z513" s="312" t="s">
        <v>132</v>
      </c>
      <c r="AA513" s="314"/>
      <c r="AB513" s="314"/>
      <c r="AC513" s="336" t="s">
        <v>133</v>
      </c>
      <c r="AD513" s="314"/>
      <c r="AE513" s="314"/>
      <c r="AF513" s="314" t="s">
        <v>134</v>
      </c>
      <c r="AG513" s="314" t="s">
        <v>135</v>
      </c>
      <c r="AH513" s="312" t="s">
        <v>136</v>
      </c>
      <c r="AI513" s="335" t="s">
        <v>137</v>
      </c>
      <c r="AJ513" s="335" t="s">
        <v>138</v>
      </c>
      <c r="AK513" s="342" t="s">
        <v>139</v>
      </c>
      <c r="AL513" s="326"/>
      <c r="AM513" s="326"/>
      <c r="AN513" s="326"/>
      <c r="AO513" s="326"/>
      <c r="AP513" s="326"/>
      <c r="AQ513" s="314"/>
      <c r="AR513" s="314" t="s">
        <v>134</v>
      </c>
      <c r="AS513" s="314" t="s">
        <v>135</v>
      </c>
      <c r="AT513" s="343" t="s">
        <v>140</v>
      </c>
      <c r="AU513" s="335" t="s">
        <v>141</v>
      </c>
      <c r="AV513" s="335" t="s">
        <v>142</v>
      </c>
      <c r="AW513" s="342" t="s">
        <v>139</v>
      </c>
      <c r="AX513" s="342" t="s">
        <v>139</v>
      </c>
      <c r="AY513" s="314"/>
      <c r="AZ513" s="314"/>
      <c r="BA513" s="314"/>
      <c r="BB513" s="314" t="s">
        <v>143</v>
      </c>
      <c r="BC513" s="314"/>
      <c r="BD513" s="314"/>
      <c r="BE513" s="314"/>
      <c r="BF513" s="314"/>
      <c r="BG513" s="319" t="s">
        <v>144</v>
      </c>
      <c r="BH513" s="314" t="s">
        <v>145</v>
      </c>
      <c r="BI513" s="314"/>
      <c r="BJ513" s="314"/>
      <c r="BK513" s="314"/>
      <c r="BL513" s="314"/>
      <c r="BM513" s="314"/>
      <c r="BN513" s="314"/>
      <c r="BO513" s="314"/>
      <c r="BP513" s="314"/>
      <c r="BQ513" s="314"/>
      <c r="BR513" s="314"/>
      <c r="BS513" s="314"/>
      <c r="BT513" s="314"/>
      <c r="BU513" s="314"/>
      <c r="BV513" s="314"/>
      <c r="BW513" s="314"/>
      <c r="BX513" s="314"/>
      <c r="BY513" s="314"/>
      <c r="BZ513" s="314"/>
      <c r="CA513" s="314"/>
      <c r="CB513" s="314"/>
      <c r="CC513" s="314"/>
      <c r="CD513" s="314"/>
      <c r="CE513" s="314"/>
      <c r="CF513" s="314"/>
      <c r="CG513" s="314"/>
      <c r="CH513" s="314"/>
      <c r="CI513" s="314"/>
      <c r="CJ513" s="314"/>
      <c r="CK513" s="314"/>
      <c r="CL513" s="314"/>
      <c r="CM513" s="314"/>
      <c r="CN513" s="314"/>
      <c r="CO513" s="314"/>
      <c r="CP513" s="314"/>
      <c r="CQ513" s="319" t="s">
        <v>107</v>
      </c>
    </row>
    <row r="514" spans="1:95" ht="12.75" customHeight="1" thickBot="1" x14ac:dyDescent="0.3">
      <c r="A514" s="307"/>
      <c r="B514" s="68"/>
      <c r="C514" s="199" t="s">
        <v>12</v>
      </c>
      <c r="D514" s="344" t="str">
        <f>Translations!$B$356</f>
        <v>RFA:</v>
      </c>
      <c r="E514" s="345"/>
      <c r="F514" s="6"/>
      <c r="G514" s="1256" t="str">
        <f>IF(OR(ISBLANK(F514),F514=EUconst_NoTier),"",IF(Z514=0,EUconst_NA,IF(ISERROR(Z514),"",Z514)))</f>
        <v/>
      </c>
      <c r="H514" s="1257"/>
      <c r="I514" s="346" t="str">
        <f>IF(J514&lt;&gt;"","",AI514)</f>
        <v/>
      </c>
      <c r="J514" s="7"/>
      <c r="K514" s="1258"/>
      <c r="L514" s="1259"/>
      <c r="M514" s="347" t="str">
        <f>IF(AND(E509&lt;&gt;"",OR(F514="",COUNT(K514)=0),Y514&lt;&gt;EUconst_NA),EUconst_ERR_Incomplete,"")</f>
        <v/>
      </c>
      <c r="N514" s="76"/>
      <c r="O514" s="160"/>
      <c r="P514" s="348"/>
      <c r="Q514" s="325" t="str">
        <f>EUconst_SumBioEnergyIN</f>
        <v>SUM_BioEnergyIN</v>
      </c>
      <c r="R514" s="340" t="str">
        <f>IF(E509="","",BG523)</f>
        <v/>
      </c>
      <c r="S514" s="314"/>
      <c r="T514" s="349" t="str">
        <f>EUconst_CNTR_ActivityData&amp;E509</f>
        <v>ActivityData_</v>
      </c>
      <c r="U514" s="312"/>
      <c r="V514" s="349" t="str">
        <f>IF(E508="","",INDEX(B_IdentifyFuelStreams!$I$67:$I$116,MATCH(U507,B_IdentifyFuelStreams!$D$67:$D$116,0)))</f>
        <v/>
      </c>
      <c r="W514" s="335" t="s">
        <v>146</v>
      </c>
      <c r="X514" s="312"/>
      <c r="Y514" s="350" t="str">
        <f>IF(E509="","",INDEX(EUwideConstants!$P$164:$P$200,MATCH(T514,EUwideConstants!$S$164:$S$200,0)))</f>
        <v/>
      </c>
      <c r="Z514" s="351" t="str">
        <f>IF(ISBLANK(F514),"",IF(F514=EUconst_NA,"",INDEX(EUwideConstants!$H:$O,MATCH(T514,EUwideConstants!$S:$S,0),MATCH(F514,CNTR_TierList,0))))</f>
        <v/>
      </c>
      <c r="AA514" s="352" t="s">
        <v>136</v>
      </c>
      <c r="AB514" s="335"/>
      <c r="AC514" s="331" t="b">
        <f>E508&lt;&gt;""</f>
        <v>0</v>
      </c>
      <c r="AD514" s="314"/>
      <c r="AE514" s="353" t="str">
        <f>EUconst_CNTR_ActivityData&amp;EUconst_Unit</f>
        <v>ActivityData_Unit</v>
      </c>
      <c r="AF514" s="354" t="str">
        <f>IF(AC514=TRUE, IF(COUNTIF(MSPara_SourceStreamCategory,V514)=0,"",INDEX(MSPara_CalcFactorsMatrix,MATCH(V514,MSPara_SourceStreamCategory,0),MATCH(AE514&amp;"_"&amp;2,MSPara_CalcFactors,0))),"")</f>
        <v/>
      </c>
      <c r="AG514" s="355" t="str">
        <f>IF(AC514=TRUE, IF(COUNTIF(MSPara_SourceStreamCategory,V514)=0,"",INDEX(MSPara_CalcFactorsMatrix,MATCH(V514,MSPara_SourceStreamCategory,0),MATCH(AE514&amp;"_"&amp;1,MSPara_CalcFactors,0))),"")</f>
        <v/>
      </c>
      <c r="AH514" s="331" t="str">
        <f>IF(OR(AF514="",AF514=EUconst_NA),IF(OR(AG514=EUconst_NA,AG514=""),"",AG514),AF514)</f>
        <v/>
      </c>
      <c r="AI514" s="350" t="str">
        <f>IF(AC514=TRUE,IF(AH514="",EUconst_t,AH514),"")</f>
        <v/>
      </c>
      <c r="AJ514" s="356" t="str">
        <f>IF(J514="",AI514,J514)</f>
        <v/>
      </c>
      <c r="AK514" s="357" t="b">
        <f>AND(E508&lt;&gt;"",J514&lt;&gt;"")</f>
        <v>0</v>
      </c>
      <c r="AL514" s="326"/>
      <c r="AM514" s="358" t="s">
        <v>147</v>
      </c>
      <c r="AN514" s="359" t="str">
        <f>AJ514</f>
        <v/>
      </c>
      <c r="AO514" s="326"/>
      <c r="AP514" s="326"/>
      <c r="AQ514" s="349" t="str">
        <f>EUconst_CNTR_ActivityData&amp;EUconst_Value</f>
        <v>ActivityData_Value</v>
      </c>
      <c r="AR514" s="336"/>
      <c r="AS514" s="336"/>
      <c r="AT514" s="331" t="b">
        <f>AND(AND(AH514&lt;&gt;"",AJ514&lt;&gt;""),AJ514=AH514)</f>
        <v>0</v>
      </c>
      <c r="AU514" s="314"/>
      <c r="AV514" s="331">
        <f>IF(Y514=EUconst_NA,0,IF(COUNT(K514:K514)=0,0,IF(K514="",#REF!,K514)))</f>
        <v>0</v>
      </c>
      <c r="AW514" s="360" t="b">
        <f>AND(AC514=TRUE,OR(K514&lt;&gt;"",AU514=""))</f>
        <v>0</v>
      </c>
      <c r="AX514" s="360" t="b">
        <f>AND(AC514=TRUE,NOT(AW514))</f>
        <v>0</v>
      </c>
      <c r="AY514" s="314"/>
      <c r="AZ514" s="314" t="s">
        <v>148</v>
      </c>
      <c r="BA514" s="314" t="s">
        <v>149</v>
      </c>
      <c r="BB514" s="360"/>
      <c r="BC514" s="314" t="s">
        <v>150</v>
      </c>
      <c r="BD514" s="314"/>
      <c r="BE514" s="314"/>
      <c r="BF514" s="361" t="s">
        <v>119</v>
      </c>
      <c r="BG514" s="362" t="str">
        <f>IF(COUNTIF(AO517:AO518,TRUE)=0,"",BH514*AV525)</f>
        <v/>
      </c>
      <c r="BH514" s="362" t="str">
        <f>IF(COUNTIF(AO517:AO518,TRUE)=0,"",AV514*IF(AO517,1,AV516*AN518)*AV517-BH516-BH518-BH520)</f>
        <v/>
      </c>
      <c r="BI514" s="314"/>
      <c r="BJ514" s="314"/>
      <c r="BK514" s="314"/>
      <c r="BL514" s="314"/>
      <c r="BM514" s="314"/>
      <c r="BN514" s="314"/>
      <c r="BO514" s="314"/>
      <c r="BP514" s="314"/>
      <c r="BQ514" s="314"/>
      <c r="BR514" s="314"/>
      <c r="BS514" s="314"/>
      <c r="BT514" s="314"/>
      <c r="BU514" s="314"/>
      <c r="BV514" s="314"/>
      <c r="BW514" s="314"/>
      <c r="BX514" s="314"/>
      <c r="BY514" s="314"/>
      <c r="BZ514" s="314"/>
      <c r="CA514" s="314"/>
      <c r="CB514" s="314"/>
      <c r="CC514" s="314"/>
      <c r="CD514" s="314"/>
      <c r="CE514" s="314"/>
      <c r="CF514" s="314"/>
      <c r="CG514" s="314"/>
      <c r="CH514" s="314"/>
      <c r="CI514" s="314"/>
      <c r="CJ514" s="314"/>
      <c r="CK514" s="314"/>
      <c r="CL514" s="314"/>
      <c r="CM514" s="314"/>
      <c r="CN514" s="314"/>
      <c r="CO514" s="314"/>
      <c r="CP514" s="314"/>
      <c r="CQ514" s="360" t="b">
        <v>0</v>
      </c>
    </row>
    <row r="515" spans="1:95" ht="5.15" customHeight="1" thickBot="1" x14ac:dyDescent="0.3">
      <c r="A515" s="307"/>
      <c r="B515" s="68"/>
      <c r="C515" s="199"/>
      <c r="D515" s="202"/>
      <c r="E515" s="76"/>
      <c r="F515" s="76"/>
      <c r="G515" s="76"/>
      <c r="H515" s="76" t="str">
        <f>Translations!$B$397</f>
        <v xml:space="preserve"> </v>
      </c>
      <c r="I515" s="162"/>
      <c r="J515" s="162"/>
      <c r="K515" s="76"/>
      <c r="L515" s="76"/>
      <c r="M515" s="363"/>
      <c r="N515" s="76"/>
      <c r="O515" s="160"/>
      <c r="P515" s="109"/>
      <c r="Q515" s="312"/>
      <c r="R515" s="312"/>
      <c r="S515" s="314"/>
      <c r="T515" s="62"/>
      <c r="U515" s="312"/>
      <c r="V515" s="314"/>
      <c r="W515" s="314"/>
      <c r="X515" s="312"/>
      <c r="Y515" s="319"/>
      <c r="Z515" s="314"/>
      <c r="AA515" s="314"/>
      <c r="AB515" s="314"/>
      <c r="AC515" s="314"/>
      <c r="AD515" s="314"/>
      <c r="AE515" s="314"/>
      <c r="AF515" s="314"/>
      <c r="AG515" s="314"/>
      <c r="AH515" s="314"/>
      <c r="AI515" s="314"/>
      <c r="AJ515" s="314"/>
      <c r="AK515" s="314"/>
      <c r="AL515" s="326"/>
      <c r="AM515" s="326"/>
      <c r="AN515" s="326"/>
      <c r="AO515" s="326"/>
      <c r="AP515" s="326"/>
      <c r="AQ515" s="314"/>
      <c r="AR515" s="314"/>
      <c r="AS515" s="314"/>
      <c r="AT515" s="314"/>
      <c r="AU515" s="314"/>
      <c r="AV515" s="314"/>
      <c r="AW515" s="314"/>
      <c r="AX515" s="314"/>
      <c r="AY515" s="314"/>
      <c r="AZ515" s="314"/>
      <c r="BA515" s="314"/>
      <c r="BB515" s="314"/>
      <c r="BC515" s="314"/>
      <c r="BD515" s="314"/>
      <c r="BE515" s="314"/>
      <c r="BF515" s="314"/>
      <c r="BG515" s="364"/>
      <c r="BH515" s="364"/>
      <c r="BI515" s="314"/>
      <c r="BJ515" s="314"/>
      <c r="BK515" s="314"/>
      <c r="BL515" s="314"/>
      <c r="BM515" s="314"/>
      <c r="BN515" s="314"/>
      <c r="BO515" s="314"/>
      <c r="BP515" s="314"/>
      <c r="BQ515" s="314"/>
      <c r="BR515" s="314"/>
      <c r="BS515" s="314"/>
      <c r="BT515" s="314"/>
      <c r="BU515" s="314"/>
      <c r="BV515" s="314"/>
      <c r="BW515" s="314"/>
      <c r="BX515" s="314"/>
      <c r="BY515" s="314"/>
      <c r="BZ515" s="314"/>
      <c r="CA515" s="314"/>
      <c r="CB515" s="314"/>
      <c r="CC515" s="314"/>
      <c r="CD515" s="314"/>
      <c r="CE515" s="314"/>
      <c r="CF515" s="314"/>
      <c r="CG515" s="314"/>
      <c r="CH515" s="314"/>
      <c r="CI515" s="314"/>
      <c r="CJ515" s="314"/>
      <c r="CK515" s="314"/>
      <c r="CL515" s="314"/>
      <c r="CM515" s="314"/>
      <c r="CN515" s="314"/>
      <c r="CO515" s="314"/>
      <c r="CP515" s="314"/>
      <c r="CQ515" s="319"/>
    </row>
    <row r="516" spans="1:95" ht="12.75" customHeight="1" x14ac:dyDescent="0.25">
      <c r="A516" s="307"/>
      <c r="B516" s="68"/>
      <c r="C516" s="199" t="s">
        <v>13</v>
      </c>
      <c r="D516" s="344" t="str">
        <f>Translations!$B$360</f>
        <v>UCF:</v>
      </c>
      <c r="E516" s="345"/>
      <c r="F516" s="10"/>
      <c r="G516" s="1256" t="str">
        <f>IF(OR(ISBLANK(F516),F516=EUconst_NoTier),"",IF(Z516=0,EUconst_NotApplicable,IF(ISERROR(Z516),"",Z516)))</f>
        <v/>
      </c>
      <c r="H516" s="1257"/>
      <c r="I516" s="365" t="str">
        <f>IF(J516&lt;&gt;"","",AI516)</f>
        <v/>
      </c>
      <c r="J516" s="11"/>
      <c r="K516" s="366" t="str">
        <f>IF(L516="",AU516,"")</f>
        <v/>
      </c>
      <c r="L516" s="23"/>
      <c r="M516" s="347" t="str">
        <f>IF(AND(E509&lt;&gt;"",OR(F516="",COUNT(K516:L516)=0),Y516&lt;&gt;EUconst_NA),EUconst_ERR_Incomplete,IF(COUNTIF(BB516:BD516,TRUE)&gt;0,EUconst_ERR_Inconsistent,""))</f>
        <v/>
      </c>
      <c r="N516" s="367"/>
      <c r="O516" s="160"/>
      <c r="P516" s="109"/>
      <c r="Q516" s="312"/>
      <c r="R516" s="312"/>
      <c r="S516" s="314"/>
      <c r="T516" s="368" t="str">
        <f>EUconst_CNTR_UCF&amp;E509</f>
        <v>UCF_</v>
      </c>
      <c r="U516" s="312"/>
      <c r="V516" s="369" t="str">
        <f>V517</f>
        <v/>
      </c>
      <c r="W516" s="314"/>
      <c r="X516" s="312"/>
      <c r="Y516" s="370" t="str">
        <f>IF(E509="","",IF(OR(F516=EUconst_NA,W516=TRUE),EUconst_NA,INDEX(EUwideConstants!$P$164:$P$200,MATCH(T516,EUwideConstants!$S$164:$S$200,0))))</f>
        <v/>
      </c>
      <c r="Z516" s="371" t="str">
        <f>IF(ISBLANK(F516),"",IF(F516=EUconst_NA,"",INDEX(EUwideConstants!$H:$O,MATCH(T516,EUwideConstants!$S:$S,0),MATCH(F516,CNTR_TierList,0))))</f>
        <v/>
      </c>
      <c r="AA516" s="372" t="str">
        <f>IF(COUNTIF(EUconst_DefaultValues,Z516)&gt;0,MATCH(Z516,EUconst_DefaultValues,0),"")</f>
        <v/>
      </c>
      <c r="AB516" s="314"/>
      <c r="AC516" s="373" t="b">
        <f>AND(AC514,Y516&lt;&gt;EUconst_NA)</f>
        <v>0</v>
      </c>
      <c r="AD516" s="314"/>
      <c r="AE516" s="353" t="str">
        <f>EUconst_CNTR_UCF&amp;EUconst_Unit</f>
        <v>UCF_Unit</v>
      </c>
      <c r="AF516" s="374" t="str">
        <f>IF(AC516=TRUE, IF(COUNTIF(MSPara_SourceStreamCategory,V516)=0,"",INDEX(MSPara_CalcFactorsMatrix,MATCH(V516,MSPara_SourceStreamCategory,0),MATCH(AE516&amp;"_"&amp;2,MSPara_CalcFactors,0))),"")</f>
        <v/>
      </c>
      <c r="AG516" s="375" t="str">
        <f>IF(AC516=TRUE, IF(COUNTIF(MSPara_SourceStreamCategory,V516)=0,"",INDEX(MSPara_CalcFactorsMatrix,MATCH(V516,MSPara_SourceStreamCategory,0),MATCH(AE516&amp;"_"&amp;1,MSPara_CalcFactors,0))),"")</f>
        <v/>
      </c>
      <c r="AH516" s="373" t="str">
        <f>IF(AA516="","",INDEX(AF516:AG516,3-AA516))</f>
        <v/>
      </c>
      <c r="AI516" s="373" t="str">
        <f>IF(AC516=TRUE,IF(OR(AH516="",AH516=EUconst_NA),EUconst_GJ&amp;"/"&amp;AJ514,AH516),"")</f>
        <v/>
      </c>
      <c r="AJ516" s="373" t="str">
        <f>IF(J516="",AI516,J516)</f>
        <v/>
      </c>
      <c r="AK516" s="369" t="b">
        <f>AND(E508&lt;&gt;"",J516&lt;&gt;"")</f>
        <v>0</v>
      </c>
      <c r="AL516" s="326"/>
      <c r="AM516" s="358" t="s">
        <v>151</v>
      </c>
      <c r="AN516" s="359" t="str">
        <f>IF(AJ516="",EUconst_NA,IF(AN514=EUconst_TJ,EUconst_TJ,INDEX(EUwideConstants!$C$135:$G$139,MATCH(AN514,RFAUnits,0),MATCH(AJ516,UCFUnits,0))))</f>
        <v>n.a.</v>
      </c>
      <c r="AO516" s="326"/>
      <c r="AP516" s="326"/>
      <c r="AQ516" s="376" t="str">
        <f>EUconst_CNTR_UCF&amp;EUconst_Value</f>
        <v>UCF_Value</v>
      </c>
      <c r="AR516" s="377" t="str">
        <f>IF(AC516=TRUE,IF(COUNTIF(MSPara_SourceStreamCategory,V516)=0,"",INDEX(MSPara_CalcFactorsMatrix,MATCH(V516,MSPara_SourceStreamCategory,0),MATCH(AQ516&amp;"_"&amp;2,MSPara_CalcFactors,0))),"")</f>
        <v/>
      </c>
      <c r="AS516" s="378" t="str">
        <f>IF(AC516=TRUE,IF(COUNTIF(MSPara_SourceStreamCategory,V516)=0,"",INDEX(MSPara_CalcFactorsMatrix,MATCH(V516,MSPara_SourceStreamCategory,0),MATCH(AQ516&amp;"_"&amp;1,MSPara_CalcFactors,0))),"")</f>
        <v/>
      </c>
      <c r="AT516" s="379" t="b">
        <f>AND(AND(AH516&lt;&gt;"",AJ516&lt;&gt;""),AJ516=AH516)</f>
        <v>0</v>
      </c>
      <c r="AU516" s="380" t="str">
        <f>IF(AND(AA516&lt;&gt;"",AT516=TRUE),IF(OR(INDEX(AR516:AS516,3-AA516)=EUconst_NA,INDEX(AR516:AS516,3-AA516)=0),"",INDEX(AR516:AS516,3-AA516)),"")</f>
        <v/>
      </c>
      <c r="AV516" s="373">
        <f>IF(AC516=TRUE,IF(COUNT(K516:L516)=0,0,IF(L516="",K516,L516)),0)</f>
        <v>0</v>
      </c>
      <c r="AW516" s="369" t="b">
        <f t="shared" ref="AW516:AW523" si="144">AND(AC516=TRUE,OR(AND(F516&lt;&gt;"",NOT(ISNUMBER(AA516))),L516&lt;&gt;"",F516="",AU516=""))</f>
        <v>0</v>
      </c>
      <c r="AX516" s="381" t="b">
        <f t="shared" ref="AX516:AX523" si="145">AND(AC516=TRUE,NOT(AW516))</f>
        <v>0</v>
      </c>
      <c r="AY516" s="314"/>
      <c r="AZ516" s="382" t="b">
        <f t="shared" ref="AZ516:AZ523" si="146">AND(ISNUMBER(AA516),AU516="")</f>
        <v>0</v>
      </c>
      <c r="BA516" s="383" t="b">
        <f t="shared" ref="BA516:BA523" si="147">AND(ISNUMBER(AA516),AU516&lt;&gt;AV516)</f>
        <v>0</v>
      </c>
      <c r="BB516" s="369" t="b">
        <f>AND(E509&lt;&gt;"",F516&lt;&gt;EUconst_NA,AN516=EUconst_NA)</f>
        <v>0</v>
      </c>
      <c r="BC516" s="369" t="b">
        <f t="shared" ref="BC516:BC523" si="148">AND(L516&lt;&gt;"",Y516=EUconst_NA)</f>
        <v>0</v>
      </c>
      <c r="BD516" s="314"/>
      <c r="BE516" s="314"/>
      <c r="BF516" s="382" t="s">
        <v>152</v>
      </c>
      <c r="BG516" s="384" t="str">
        <f>IF(COUNTIF(AO517:AO518,TRUE)=0,"",BH516*AV525)</f>
        <v/>
      </c>
      <c r="BH516" s="384" t="str">
        <f>IF(COUNTIF(AO517:AO518,TRUE)=0,"",AV514*IF(AO517,1,AV516*AN518)*AV517*AV518)</f>
        <v/>
      </c>
      <c r="BI516" s="314"/>
      <c r="BJ516" s="314"/>
      <c r="BK516" s="314"/>
      <c r="BL516" s="314"/>
      <c r="BM516" s="314"/>
      <c r="BN516" s="314"/>
      <c r="BO516" s="314"/>
      <c r="BP516" s="314"/>
      <c r="BQ516" s="314"/>
      <c r="BR516" s="314"/>
      <c r="BS516" s="314"/>
      <c r="BT516" s="314"/>
      <c r="BU516" s="314"/>
      <c r="BV516" s="314"/>
      <c r="BW516" s="314"/>
      <c r="BX516" s="314"/>
      <c r="BY516" s="314"/>
      <c r="BZ516" s="314"/>
      <c r="CA516" s="314"/>
      <c r="CB516" s="314"/>
      <c r="CC516" s="314"/>
      <c r="CD516" s="314"/>
      <c r="CE516" s="314"/>
      <c r="CF516" s="314"/>
      <c r="CG516" s="314"/>
      <c r="CH516" s="314"/>
      <c r="CI516" s="314"/>
      <c r="CJ516" s="314"/>
      <c r="CK516" s="314"/>
      <c r="CL516" s="314"/>
      <c r="CM516" s="314"/>
      <c r="CN516" s="314"/>
      <c r="CO516" s="314"/>
      <c r="CP516" s="314"/>
      <c r="CQ516" s="369" t="b">
        <f>OR(CQ514,Y516=EUconst_NA)</f>
        <v>0</v>
      </c>
    </row>
    <row r="517" spans="1:95" ht="12.75" customHeight="1" thickBot="1" x14ac:dyDescent="0.3">
      <c r="A517" s="307"/>
      <c r="B517" s="68"/>
      <c r="C517" s="199" t="s">
        <v>14</v>
      </c>
      <c r="D517" s="344" t="str">
        <f>Translations!$B$358</f>
        <v>(prelim) EF:</v>
      </c>
      <c r="E517" s="345"/>
      <c r="F517" s="59"/>
      <c r="G517" s="1256" t="str">
        <f>IF(OR(ISBLANK(F517),F517=EUconst_NoTier),"",IF(Z517=0,EUconst_NotApplicable,IF(ISERROR(Z517),"",Z517)))</f>
        <v/>
      </c>
      <c r="H517" s="1260"/>
      <c r="I517" s="385" t="str">
        <f>IF(J517&lt;&gt;"","",AI517)</f>
        <v/>
      </c>
      <c r="J517" s="22"/>
      <c r="K517" s="386" t="str">
        <f>IF(L517="",AU517,"")</f>
        <v/>
      </c>
      <c r="L517" s="58"/>
      <c r="M517" s="347" t="str">
        <f>IF(AND(E509&lt;&gt;"",OR(F517="",COUNT(K517:L517)=0),Y517&lt;&gt;EUconst_NA),EUconst_ERR_Incomplete,IF(COUNTIF(BB517:BD517,TRUE)&gt;0,EUconst_ERR_Inconsistent,""))</f>
        <v/>
      </c>
      <c r="N517" s="387"/>
      <c r="O517" s="160"/>
      <c r="P517" s="109"/>
      <c r="Q517" s="312"/>
      <c r="R517" s="312"/>
      <c r="S517" s="314"/>
      <c r="T517" s="388" t="str">
        <f>EUconst_CNTR_EF&amp;E509</f>
        <v>EF_</v>
      </c>
      <c r="U517" s="312"/>
      <c r="V517" s="389" t="str">
        <f>V514</f>
        <v/>
      </c>
      <c r="W517" s="314"/>
      <c r="X517" s="312"/>
      <c r="Y517" s="390" t="str">
        <f>IF(E509="","",IF(OR(F517=EUconst_NA,W517=TRUE),EUconst_NA,INDEX(EUwideConstants!$P$164:$P$200,MATCH(T517,EUwideConstants!$S$164:$S$200,0))))</f>
        <v/>
      </c>
      <c r="Z517" s="391" t="str">
        <f>IF(ISBLANK(F517),"",IF(F517=EUconst_NA,"",INDEX(EUwideConstants!$H:$O,MATCH(T517,EUwideConstants!$S:$S,0),MATCH(F517,CNTR_TierList,0))))</f>
        <v/>
      </c>
      <c r="AA517" s="392" t="str">
        <f>IF(COUNTIF(EUconst_DefaultValues,Z517)&gt;0,MATCH(Z517,EUconst_DefaultValues,0),"")</f>
        <v/>
      </c>
      <c r="AB517" s="314"/>
      <c r="AC517" s="393" t="b">
        <f>AND(AC514,Y517&lt;&gt;EUconst_NA)</f>
        <v>0</v>
      </c>
      <c r="AD517" s="314"/>
      <c r="AE517" s="394" t="str">
        <f>EUconst_CNTR_EF&amp;EUconst_Unit</f>
        <v>EF_Unit</v>
      </c>
      <c r="AF517" s="395" t="str">
        <f>IF(AC517=TRUE, IF(COUNTIF(MSPara_SourceStreamCategory,V517)=0,"",INDEX(MSPara_CalcFactorsMatrix,MATCH(V517,MSPara_SourceStreamCategory,0),MATCH(AE517&amp;"_"&amp;2,MSPara_CalcFactors,0))),"")</f>
        <v/>
      </c>
      <c r="AG517" s="396" t="str">
        <f>IF(AC517=TRUE, IF(COUNTIF(MSPara_SourceStreamCategory,V517)=0,"",INDEX(MSPara_CalcFactorsMatrix,MATCH(V517,MSPara_SourceStreamCategory,0),MATCH(AE517&amp;"_"&amp;1,MSPara_CalcFactors,0))),"")</f>
        <v/>
      </c>
      <c r="AH517" s="397" t="str">
        <f>IF(AA517="","",INDEX(AF517:AG517,3-AA517))</f>
        <v/>
      </c>
      <c r="AI517" s="397" t="str">
        <f>IF(AC517=TRUE,IF(OR(AH517="",AH517=EUconst_NA),EUconst_tCO2&amp;"/"&amp;IF(AN516=EUconst_NA,AN514,IF(AN516=EUconst_GJ,EUconst_TJ,AN516)),AH517),"")</f>
        <v/>
      </c>
      <c r="AJ517" s="397" t="str">
        <f>IF(J517="",AI517,J517)</f>
        <v/>
      </c>
      <c r="AK517" s="398" t="b">
        <f>AND(E509&lt;&gt;"",J517&lt;&gt;"")</f>
        <v>0</v>
      </c>
      <c r="AL517" s="326"/>
      <c r="AM517" s="358" t="s">
        <v>153</v>
      </c>
      <c r="AN517" s="359" t="str">
        <f>IF(COUNTIF(RFAUnits,AN514)=0,EUconst_NA,INDEX(EUwideConstants!$C$150:$H$154,MATCH(AJ517,EFUnits,0),MATCH(AN514,EUwideConstants!$C$149:$H$149,0)))</f>
        <v>n.a.</v>
      </c>
      <c r="AO517" s="359" t="b">
        <f>AN517&lt;&gt;EUconst_NA</f>
        <v>0</v>
      </c>
      <c r="AP517" s="326"/>
      <c r="AQ517" s="399" t="str">
        <f>EUconst_CNTR_EF&amp;EUconst_Value</f>
        <v>EF_Value</v>
      </c>
      <c r="AR517" s="400" t="str">
        <f>IF(AC517=TRUE,IF(COUNTIF(MSPara_SourceStreamCategory,V517)=0,"",INDEX(MSPara_CalcFactorsMatrix,MATCH(V517,MSPara_SourceStreamCategory,0),MATCH(AQ517&amp;"_"&amp;2,MSPara_CalcFactors,0))),"")</f>
        <v/>
      </c>
      <c r="AS517" s="401" t="str">
        <f>IF(AC517=TRUE,IF(COUNTIF(MSPara_SourceStreamCategory,V517)=0,"",INDEX(MSPara_CalcFactorsMatrix,MATCH(V517,MSPara_SourceStreamCategory,0),MATCH(AQ517&amp;"_"&amp;1,MSPara_CalcFactors,0))),"")</f>
        <v/>
      </c>
      <c r="AT517" s="402" t="b">
        <f>AND(AND(AH517&lt;&gt;"",AJ517&lt;&gt;""),AJ517=AH517)</f>
        <v>0</v>
      </c>
      <c r="AU517" s="403" t="str">
        <f>IF(AND(AA517&lt;&gt;"",AT517=TRUE),IF(OR(INDEX(AR517:AS517,3-AA517)=EUconst_NA,INDEX(AR517:AS517,3-AA517)=0),"",INDEX(AR517:AS517,3-AA517)),"")</f>
        <v/>
      </c>
      <c r="AV517" s="393">
        <f>IF(AC517=TRUE,IF(COUNT(K517:L517)=0,0,IF(L517="",K517,L517)),0)</f>
        <v>0</v>
      </c>
      <c r="AW517" s="389" t="b">
        <f t="shared" si="144"/>
        <v>0</v>
      </c>
      <c r="AX517" s="404" t="b">
        <f t="shared" si="145"/>
        <v>0</v>
      </c>
      <c r="AY517" s="314"/>
      <c r="AZ517" s="405" t="b">
        <f t="shared" si="146"/>
        <v>0</v>
      </c>
      <c r="BA517" s="406" t="b">
        <f t="shared" si="147"/>
        <v>0</v>
      </c>
      <c r="BB517" s="407" t="b">
        <f>AND(E509&lt;&gt;"",COUNTIF(AO517:AO518,TRUE)=0)</f>
        <v>0</v>
      </c>
      <c r="BC517" s="389" t="b">
        <f t="shared" si="148"/>
        <v>0</v>
      </c>
      <c r="BD517" s="314"/>
      <c r="BE517" s="314"/>
      <c r="BF517" s="408" t="s">
        <v>154</v>
      </c>
      <c r="BG517" s="409" t="str">
        <f>IF(COUNTIF(AO517:AO518,TRUE)=0,"",BH517*AV525)</f>
        <v/>
      </c>
      <c r="BH517" s="409" t="str">
        <f>IF(COUNTIF(AO517:AO518,TRUE)=0,"",AV514*IF(AO517,1,AV516*AN518)*AV517*AV519)</f>
        <v/>
      </c>
      <c r="BI517" s="314"/>
      <c r="BJ517" s="314"/>
      <c r="BK517" s="314"/>
      <c r="BL517" s="314"/>
      <c r="BM517" s="314"/>
      <c r="BN517" s="314"/>
      <c r="BO517" s="314"/>
      <c r="BP517" s="314"/>
      <c r="BQ517" s="314"/>
      <c r="BR517" s="314"/>
      <c r="BS517" s="314"/>
      <c r="BT517" s="314"/>
      <c r="BU517" s="314"/>
      <c r="BV517" s="314"/>
      <c r="BW517" s="314"/>
      <c r="BX517" s="314"/>
      <c r="BY517" s="314"/>
      <c r="BZ517" s="314"/>
      <c r="CA517" s="314"/>
      <c r="CB517" s="314"/>
      <c r="CC517" s="314"/>
      <c r="CD517" s="314"/>
      <c r="CE517" s="314"/>
      <c r="CF517" s="314"/>
      <c r="CG517" s="314"/>
      <c r="CH517" s="314"/>
      <c r="CI517" s="314"/>
      <c r="CJ517" s="314"/>
      <c r="CK517" s="314"/>
      <c r="CL517" s="314"/>
      <c r="CM517" s="314"/>
      <c r="CN517" s="314"/>
      <c r="CO517" s="314"/>
      <c r="CP517" s="314"/>
      <c r="CQ517" s="407" t="b">
        <f>OR(CQ514,Y517=EUconst_NA)</f>
        <v>0</v>
      </c>
    </row>
    <row r="518" spans="1:95" ht="12.75" customHeight="1" x14ac:dyDescent="0.25">
      <c r="A518" s="307"/>
      <c r="B518" s="68"/>
      <c r="C518" s="199" t="s">
        <v>15</v>
      </c>
      <c r="D518" s="344" t="str">
        <f>Translations!$B$362</f>
        <v>BioF:</v>
      </c>
      <c r="E518" s="345"/>
      <c r="F518" s="10"/>
      <c r="G518" s="1256" t="str">
        <f>IF(OR(ISBLANK(F518),F518=EUconst_NoTier),"",IF(Z518=0,EUconst_NotApplicable,IF(ISERROR(Z518),"",Z518)))</f>
        <v/>
      </c>
      <c r="H518" s="1257"/>
      <c r="I518" s="410" t="str">
        <f t="shared" ref="I518:I523" si="149">IF(OR(AC518=FALSE,Y518=EUconst_NA),"","-")</f>
        <v/>
      </c>
      <c r="J518" s="411"/>
      <c r="K518" s="412" t="str">
        <f>IF(L518="",AU518,"")</f>
        <v/>
      </c>
      <c r="L518" s="60"/>
      <c r="M518" s="347" t="str">
        <f>IF(AND(E509&lt;&gt;"",OR(F518="",COUNT(K518:L518)=0),Y518&lt;&gt;EUconst_NA),EUconst_ERR_Incomplete,IF(COUNTIF(BB518:BD518,TRUE)&gt;0,EUconst_ERR_Inconsistent,""))</f>
        <v/>
      </c>
      <c r="O518" s="160"/>
      <c r="P518" s="348"/>
      <c r="Q518" s="413"/>
      <c r="R518" s="413"/>
      <c r="S518" s="314"/>
      <c r="T518" s="388" t="str">
        <f>EUconst_CNTR_BiomassContent&amp;E509</f>
        <v>BioC_</v>
      </c>
      <c r="U518" s="312"/>
      <c r="V518" s="369" t="str">
        <f>V516</f>
        <v/>
      </c>
      <c r="W518" s="369" t="str">
        <f>IF(OR(V518="",COUNTIF(MSPara_SourceStreamCategory,V518)=0),"",INDEX(MSPara_IsFossil,MATCH(V518,MSPara_SourceStreamCategory,0)))</f>
        <v/>
      </c>
      <c r="X518" s="312"/>
      <c r="Y518" s="370" t="str">
        <f>IF(E509="","",IF(OR(F518=EUconst_NA,W518=TRUE),EUconst_NA,INDEX(EUwideConstants!$P$164:$P$200,MATCH(T518,EUwideConstants!$S$164:$S$200,0))))</f>
        <v/>
      </c>
      <c r="Z518" s="371" t="str">
        <f>IF(ISBLANK(F518),"",IF(F518=EUconst_NA,"",INDEX(EUwideConstants!$H:$O,MATCH(T518,EUwideConstants!$S:$S,0),MATCH(F518,CNTR_TierList,0))))</f>
        <v/>
      </c>
      <c r="AA518" s="414" t="str">
        <f>IF(F518=1,1,"")</f>
        <v/>
      </c>
      <c r="AB518" s="314"/>
      <c r="AC518" s="373" t="b">
        <f>AND(AC514,Y518&lt;&gt;EUconst_NA)</f>
        <v>0</v>
      </c>
      <c r="AD518" s="314"/>
      <c r="AE518" s="415"/>
      <c r="AF518" s="416"/>
      <c r="AG518" s="417"/>
      <c r="AH518" s="418"/>
      <c r="AI518" s="418"/>
      <c r="AJ518" s="418"/>
      <c r="AK518" s="419"/>
      <c r="AL518" s="326"/>
      <c r="AM518" s="358" t="s">
        <v>155</v>
      </c>
      <c r="AN518" s="359" t="str">
        <f>IF(AN516=EUconst_NA,EUconst_NA,INDEX(EUwideConstants!$C$150:$H$154,MATCH(AJ517,EFUnits,0),MATCH(AN516,EUwideConstants!$C$149:$H$149,0)))</f>
        <v>n.a.</v>
      </c>
      <c r="AO518" s="359" t="b">
        <f>AN518&lt;&gt;EUconst_NA</f>
        <v>0</v>
      </c>
      <c r="AP518" s="326"/>
      <c r="AQ518" s="376" t="str">
        <f>EUconst_CNTR_BiomassContent&amp;EUconst_Value</f>
        <v>BioC_Value</v>
      </c>
      <c r="AR518" s="420"/>
      <c r="AS518" s="378" t="str">
        <f t="shared" ref="AS518:AS523" si="150">IF(AC518=TRUE,IF(COUNTIF(MSPara_SourceStreamCategory,V518)=0,"",INDEX(MSPara_CalcFactorsMatrix,MATCH(V518,MSPara_SourceStreamCategory,0),MATCH(AQ518&amp;"_"&amp;2,MSPara_CalcFactors,0))),"")</f>
        <v/>
      </c>
      <c r="AT518" s="421"/>
      <c r="AU518" s="380" t="str">
        <f t="shared" ref="AU518:AU523" si="151">IF(OR(AA518="",AS518=EUconst_NA),"",AS518)</f>
        <v/>
      </c>
      <c r="AV518" s="373">
        <f>IF(AC518=TRUE,IF(COUNT(K518:L518)=0,0,IF(L518="",K518,L518)),0)</f>
        <v>0</v>
      </c>
      <c r="AW518" s="369" t="b">
        <f t="shared" si="144"/>
        <v>0</v>
      </c>
      <c r="AX518" s="381" t="b">
        <f t="shared" si="145"/>
        <v>0</v>
      </c>
      <c r="AY518" s="314"/>
      <c r="AZ518" s="382" t="b">
        <f t="shared" si="146"/>
        <v>0</v>
      </c>
      <c r="BA518" s="383" t="b">
        <f t="shared" si="147"/>
        <v>0</v>
      </c>
      <c r="BB518" s="314"/>
      <c r="BC518" s="369" t="b">
        <f t="shared" si="148"/>
        <v>0</v>
      </c>
      <c r="BD518" s="369" t="b">
        <f>OR(AV518&gt;100%,(AV518+AV519)&gt;100%)</f>
        <v>0</v>
      </c>
      <c r="BE518" s="314"/>
      <c r="BF518" s="382" t="s">
        <v>156</v>
      </c>
      <c r="BG518" s="384" t="str">
        <f>IF(COUNTIF(AO517:AO518,TRUE)=0,"",BH518*AV525)</f>
        <v/>
      </c>
      <c r="BH518" s="384" t="str">
        <f>IF(COUNTIF(AO517:AO518,TRUE)=0,"",AV514*IF(AO517,1,AV516*AN518)*AV517*AV520)</f>
        <v/>
      </c>
      <c r="BJ518" s="314"/>
      <c r="BK518" s="314"/>
      <c r="BL518" s="314"/>
      <c r="BM518" s="314"/>
      <c r="BN518" s="314"/>
      <c r="BO518" s="314"/>
      <c r="BP518" s="314"/>
      <c r="BQ518" s="314"/>
      <c r="BR518" s="314"/>
      <c r="BS518" s="314"/>
      <c r="BT518" s="314"/>
      <c r="BU518" s="314"/>
      <c r="BV518" s="314"/>
      <c r="BW518" s="314"/>
      <c r="BX518" s="314"/>
      <c r="BY518" s="314"/>
      <c r="BZ518" s="314"/>
      <c r="CA518" s="314"/>
      <c r="CB518" s="314"/>
      <c r="CC518" s="314"/>
      <c r="CD518" s="314"/>
      <c r="CE518" s="314"/>
      <c r="CF518" s="314"/>
      <c r="CG518" s="314"/>
      <c r="CH518" s="314"/>
      <c r="CI518" s="314"/>
      <c r="CJ518" s="314"/>
      <c r="CK518" s="314"/>
      <c r="CL518" s="314"/>
      <c r="CM518" s="314"/>
      <c r="CN518" s="314"/>
      <c r="CO518" s="314"/>
      <c r="CP518" s="314"/>
      <c r="CQ518" s="369" t="b">
        <f>OR(CQ514,Y518=EUconst_NA)</f>
        <v>0</v>
      </c>
    </row>
    <row r="519" spans="1:95" ht="12.75" customHeight="1" thickBot="1" x14ac:dyDescent="0.3">
      <c r="A519" s="307"/>
      <c r="B519" s="68"/>
      <c r="C519" s="199" t="s">
        <v>16</v>
      </c>
      <c r="D519" s="344" t="str">
        <f>Translations!$B$368</f>
        <v>non-sust. BioF:</v>
      </c>
      <c r="E519" s="345"/>
      <c r="F519" s="20"/>
      <c r="G519" s="1256" t="str">
        <f>IF(OR(ISBLANK(F519),F519=EUconst_NoTier),"",IF(Z519=0,EUconst_NotApplicable,IF(ISERROR(Z519),"",Z519)))</f>
        <v/>
      </c>
      <c r="H519" s="1257"/>
      <c r="I519" s="422" t="str">
        <f t="shared" si="149"/>
        <v/>
      </c>
      <c r="J519" s="423"/>
      <c r="K519" s="424" t="str">
        <f>IF(L519="",AU519,"")</f>
        <v/>
      </c>
      <c r="L519" s="21"/>
      <c r="M519" s="347" t="str">
        <f>IF(AND(E509&lt;&gt;"",OR(F519="",COUNT(K519:L519)=0),Y519&lt;&gt;EUconst_NA),EUconst_ERR_Incomplete,IF(COUNTIF(BB519:BD519,TRUE)&gt;0,EUconst_ERR_Inconsistent,""))</f>
        <v/>
      </c>
      <c r="N519" s="76"/>
      <c r="O519" s="160"/>
      <c r="P519" s="348"/>
      <c r="Q519" s="413"/>
      <c r="R519" s="413"/>
      <c r="S519" s="314"/>
      <c r="T519" s="425" t="str">
        <f>EUconst_CNTR_BiomassContent&amp;E509</f>
        <v>BioC_</v>
      </c>
      <c r="U519" s="312"/>
      <c r="V519" s="407" t="str">
        <f>V518</f>
        <v/>
      </c>
      <c r="W519" s="407" t="str">
        <f>IF(OR(V518="",COUNTIF(MSPara_SourceStreamCategory,V519)=0),"",INDEX(MSPara_IsFossil,MATCH(V519,MSPara_SourceStreamCategory,0)))</f>
        <v/>
      </c>
      <c r="X519" s="312"/>
      <c r="Y519" s="426" t="str">
        <f>IF(E509="","",IF(OR(F519=EUconst_NA,W519=TRUE),EUconst_NA,INDEX(EUwideConstants!$P$164:$P$200,MATCH(T519,EUwideConstants!$S$164:$S$200,0))))</f>
        <v/>
      </c>
      <c r="Z519" s="427" t="str">
        <f>IF(ISBLANK(F519),"",IF(F519=EUconst_NA,"",INDEX(EUwideConstants!$H:$O,MATCH(T519,EUwideConstants!$S:$S,0),MATCH(F519,CNTR_TierList,0))))</f>
        <v/>
      </c>
      <c r="AA519" s="428" t="str">
        <f>IF(F519=1,1,"")</f>
        <v/>
      </c>
      <c r="AB519" s="314"/>
      <c r="AC519" s="429" t="b">
        <f>AND(AC514,Y519&lt;&gt;EUconst_NA)</f>
        <v>0</v>
      </c>
      <c r="AD519" s="314"/>
      <c r="AE519" s="430"/>
      <c r="AF519" s="431"/>
      <c r="AG519" s="432"/>
      <c r="AH519" s="433"/>
      <c r="AI519" s="433"/>
      <c r="AJ519" s="433"/>
      <c r="AK519" s="434"/>
      <c r="AL519" s="326"/>
      <c r="AM519" s="326"/>
      <c r="AN519" s="326"/>
      <c r="AO519" s="326"/>
      <c r="AP519" s="326"/>
      <c r="AQ519" s="435" t="str">
        <f>EUconst_CNTR_BiomassContent&amp;EUconst_Value</f>
        <v>BioC_Value</v>
      </c>
      <c r="AR519" s="430"/>
      <c r="AS519" s="436" t="str">
        <f t="shared" si="150"/>
        <v/>
      </c>
      <c r="AT519" s="437"/>
      <c r="AU519" s="438" t="str">
        <f t="shared" si="151"/>
        <v/>
      </c>
      <c r="AV519" s="429">
        <f>IF(AC519=TRUE,IF(COUNT(K519:L519)=0,0,IF(L519="",K519,L519)),0)</f>
        <v>0</v>
      </c>
      <c r="AW519" s="407" t="b">
        <f t="shared" si="144"/>
        <v>0</v>
      </c>
      <c r="AX519" s="439" t="b">
        <f t="shared" si="145"/>
        <v>0</v>
      </c>
      <c r="AY519" s="314"/>
      <c r="AZ519" s="408" t="b">
        <f t="shared" si="146"/>
        <v>0</v>
      </c>
      <c r="BA519" s="440" t="b">
        <f t="shared" si="147"/>
        <v>0</v>
      </c>
      <c r="BB519" s="314"/>
      <c r="BC519" s="407" t="b">
        <f t="shared" si="148"/>
        <v>0</v>
      </c>
      <c r="BD519" s="407" t="b">
        <f>OR(AV518&gt;100%,(AV518+AV519)&gt;100%)</f>
        <v>0</v>
      </c>
      <c r="BE519" s="314"/>
      <c r="BF519" s="408" t="s">
        <v>157</v>
      </c>
      <c r="BG519" s="409" t="str">
        <f>IF(COUNTIF(AO517:AO518,TRUE)=0,"",BH519*AV525)</f>
        <v/>
      </c>
      <c r="BH519" s="409" t="str">
        <f>IF(COUNTIF(AO517:AO518,TRUE)=0,"",AV514*IF(AO517,1,AV516*AN518)*AV517*AV521)</f>
        <v/>
      </c>
      <c r="BJ519" s="314"/>
      <c r="BK519" s="314"/>
      <c r="BL519" s="314"/>
      <c r="BM519" s="314"/>
      <c r="BN519" s="314"/>
      <c r="BO519" s="314"/>
      <c r="BP519" s="314"/>
      <c r="BQ519" s="314"/>
      <c r="BR519" s="314"/>
      <c r="BS519" s="314"/>
      <c r="BT519" s="314"/>
      <c r="BU519" s="314"/>
      <c r="BV519" s="314"/>
      <c r="BW519" s="314"/>
      <c r="BX519" s="314"/>
      <c r="BY519" s="314"/>
      <c r="BZ519" s="314"/>
      <c r="CA519" s="314"/>
      <c r="CB519" s="314"/>
      <c r="CC519" s="314"/>
      <c r="CD519" s="314"/>
      <c r="CE519" s="314"/>
      <c r="CF519" s="314"/>
      <c r="CG519" s="314"/>
      <c r="CH519" s="314"/>
      <c r="CI519" s="314"/>
      <c r="CJ519" s="314"/>
      <c r="CK519" s="314"/>
      <c r="CL519" s="314"/>
      <c r="CM519" s="314"/>
      <c r="CN519" s="314"/>
      <c r="CO519" s="314"/>
      <c r="CP519" s="314"/>
      <c r="CQ519" s="407" t="b">
        <f>OR(CQ514,Y519=EUconst_NA)</f>
        <v>0</v>
      </c>
    </row>
    <row r="520" spans="1:95" ht="12.75" customHeight="1" thickBot="1" x14ac:dyDescent="0.3">
      <c r="A520" s="307"/>
      <c r="B520" s="68"/>
      <c r="C520" s="199" t="s">
        <v>17</v>
      </c>
      <c r="D520" s="344" t="str">
        <f>Translations!$B$610</f>
        <v>sust. RFNBO/RCF:</v>
      </c>
      <c r="E520" s="441"/>
      <c r="F520" s="19" t="s">
        <v>158</v>
      </c>
      <c r="G520" s="1261"/>
      <c r="H520" s="1262"/>
      <c r="I520" s="442" t="str">
        <f t="shared" si="149"/>
        <v/>
      </c>
      <c r="J520" s="411"/>
      <c r="K520" s="443"/>
      <c r="L520" s="55"/>
      <c r="M520" s="347" t="str">
        <f>IF(AND(E509&lt;&gt;"",OR(F520="",COUNT(L520)=0),Y520&lt;&gt;EUconst_NA),EUconst_ERR_Incomplete,"")</f>
        <v/>
      </c>
      <c r="N520" s="76"/>
      <c r="O520" s="160"/>
      <c r="P520" s="348"/>
      <c r="Q520" s="413"/>
      <c r="R520" s="413"/>
      <c r="S520" s="314"/>
      <c r="T520" s="388" t="str">
        <f>EUconst_CNTR_RFNBOetcContent&amp;E509</f>
        <v>RNFBOC_</v>
      </c>
      <c r="U520" s="312"/>
      <c r="V520" s="312"/>
      <c r="W520" s="312"/>
      <c r="X520" s="312"/>
      <c r="Y520" s="380" t="str">
        <f>IF(E509="","",IF(OR(F520=EUconst_NA,W520=TRUE),EUconst_NA,INDEX(EUwideConstants!$P$164:$P$200,MATCH(T520,EUwideConstants!$S$164:$S$200,0))))</f>
        <v/>
      </c>
      <c r="Z520" s="314"/>
      <c r="AA520" s="314"/>
      <c r="AB520" s="314"/>
      <c r="AC520" s="397" t="b">
        <f>AND(AC516,Y520&lt;&gt;EUconst_NA)</f>
        <v>0</v>
      </c>
      <c r="AD520" s="314"/>
      <c r="AE520" s="415"/>
      <c r="AF520" s="416"/>
      <c r="AG520" s="417"/>
      <c r="AH520" s="418"/>
      <c r="AI520" s="418"/>
      <c r="AJ520" s="418"/>
      <c r="AK520" s="419"/>
      <c r="AL520" s="326"/>
      <c r="AM520" s="326"/>
      <c r="AN520" s="326"/>
      <c r="AO520" s="326"/>
      <c r="AP520" s="326"/>
      <c r="AQ520" s="444" t="s">
        <v>159</v>
      </c>
      <c r="AR520" s="415"/>
      <c r="AS520" s="445" t="str">
        <f t="shared" si="150"/>
        <v/>
      </c>
      <c r="AT520" s="446"/>
      <c r="AU520" s="447" t="str">
        <f t="shared" si="151"/>
        <v/>
      </c>
      <c r="AV520" s="397">
        <f>IF(L520&lt;&gt;0,L520,L520)</f>
        <v>0</v>
      </c>
      <c r="AW520" s="398" t="b">
        <f t="shared" si="144"/>
        <v>0</v>
      </c>
      <c r="AX520" s="448" t="b">
        <f t="shared" si="145"/>
        <v>0</v>
      </c>
      <c r="AY520" s="314"/>
      <c r="AZ520" s="449" t="b">
        <f t="shared" si="146"/>
        <v>0</v>
      </c>
      <c r="BA520" s="450" t="b">
        <f t="shared" si="147"/>
        <v>0</v>
      </c>
      <c r="BB520" s="314"/>
      <c r="BC520" s="398" t="b">
        <f t="shared" si="148"/>
        <v>0</v>
      </c>
      <c r="BD520" s="369" t="b">
        <f>OR(AV520&gt;100%,(AV520+AV521)&gt;100%)</f>
        <v>0</v>
      </c>
      <c r="BE520" s="314"/>
      <c r="BF520" s="451" t="s">
        <v>160</v>
      </c>
      <c r="BG520" s="452" t="str">
        <f>IF(COUNTIF(AO517:AO518,TRUE)=0,"",BH520*AV525)</f>
        <v/>
      </c>
      <c r="BH520" s="452" t="str">
        <f>IF(COUNTIF(AO517:AO518,TRUE)=0,"",AV514*IF(AO517,1,AV516*AN518)*AV517*AV522)</f>
        <v/>
      </c>
      <c r="BJ520" s="314"/>
      <c r="BK520" s="314"/>
      <c r="BL520" s="314"/>
      <c r="BM520" s="314"/>
      <c r="BN520" s="314"/>
      <c r="BO520" s="314"/>
      <c r="BP520" s="314"/>
      <c r="BQ520" s="314"/>
      <c r="BR520" s="314"/>
      <c r="BS520" s="314"/>
      <c r="BT520" s="314"/>
      <c r="BU520" s="314"/>
      <c r="BV520" s="314"/>
      <c r="BW520" s="314"/>
      <c r="BX520" s="314"/>
      <c r="BY520" s="314"/>
      <c r="BZ520" s="314"/>
      <c r="CA520" s="314"/>
      <c r="CB520" s="314"/>
      <c r="CC520" s="314"/>
      <c r="CD520" s="314"/>
      <c r="CE520" s="314"/>
      <c r="CF520" s="314"/>
      <c r="CG520" s="314"/>
      <c r="CH520" s="314"/>
      <c r="CI520" s="314"/>
      <c r="CJ520" s="314"/>
      <c r="CK520" s="314"/>
      <c r="CL520" s="314"/>
      <c r="CM520" s="314"/>
      <c r="CN520" s="314"/>
      <c r="CO520" s="314"/>
      <c r="CP520" s="314"/>
      <c r="CQ520" s="407" t="b">
        <f>OR(CQ514,Y520=EUconst_NA)</f>
        <v>0</v>
      </c>
    </row>
    <row r="521" spans="1:95" ht="12.75" customHeight="1" thickBot="1" x14ac:dyDescent="0.3">
      <c r="A521" s="307"/>
      <c r="B521" s="68"/>
      <c r="C521" s="199" t="s">
        <v>161</v>
      </c>
      <c r="D521" s="344" t="str">
        <f>Translations!$B$613</f>
        <v>non-sust. RFNBO/RCF:</v>
      </c>
      <c r="E521" s="441"/>
      <c r="F521" s="20" t="s">
        <v>158</v>
      </c>
      <c r="G521" s="1261"/>
      <c r="H521" s="1262"/>
      <c r="I521" s="422" t="str">
        <f t="shared" si="149"/>
        <v/>
      </c>
      <c r="J521" s="423"/>
      <c r="K521" s="443"/>
      <c r="L521" s="56"/>
      <c r="M521" s="347" t="str">
        <f>IF(AND(E509&lt;&gt;"",OR(F521="",COUNT(L521)=0),Y521&lt;&gt;EUconst_NA),EUconst_ERR_Incomplete,"")</f>
        <v/>
      </c>
      <c r="N521" s="76"/>
      <c r="O521" s="160"/>
      <c r="P521" s="348"/>
      <c r="Q521" s="413"/>
      <c r="R521" s="413"/>
      <c r="S521" s="314"/>
      <c r="T521" s="425" t="str">
        <f>EUconst_CNTR_RFNBOetcContent&amp;E509</f>
        <v>RNFBOC_</v>
      </c>
      <c r="U521" s="312"/>
      <c r="V521" s="312"/>
      <c r="W521" s="312"/>
      <c r="X521" s="312"/>
      <c r="Y521" s="438" t="str">
        <f>IF(E509="","",IF(OR(F521=EUconst_NA,W521=TRUE),EUconst_NA,INDEX(EUwideConstants!$P$164:$P$200,MATCH(T521,EUwideConstants!$S$164:$S$200,0))))</f>
        <v/>
      </c>
      <c r="Z521" s="314"/>
      <c r="AA521" s="314"/>
      <c r="AB521" s="314"/>
      <c r="AC521" s="429" t="b">
        <f>AND(AC516,Y521&lt;&gt;EUconst_NA)</f>
        <v>0</v>
      </c>
      <c r="AD521" s="314"/>
      <c r="AE521" s="430"/>
      <c r="AF521" s="431"/>
      <c r="AG521" s="432"/>
      <c r="AH521" s="433"/>
      <c r="AI521" s="433"/>
      <c r="AJ521" s="433"/>
      <c r="AK521" s="434"/>
      <c r="AL521" s="326"/>
      <c r="AM521" s="326"/>
      <c r="AN521" s="326"/>
      <c r="AO521" s="326"/>
      <c r="AP521" s="326"/>
      <c r="AQ521" s="435" t="s">
        <v>159</v>
      </c>
      <c r="AR521" s="430"/>
      <c r="AS521" s="436" t="str">
        <f t="shared" si="150"/>
        <v/>
      </c>
      <c r="AT521" s="437"/>
      <c r="AU521" s="438" t="str">
        <f t="shared" si="151"/>
        <v/>
      </c>
      <c r="AV521" s="429">
        <f t="shared" ref="AV521:AV523" si="152">IF(L521&lt;&gt;0,L521,L521)</f>
        <v>0</v>
      </c>
      <c r="AW521" s="407" t="b">
        <f t="shared" si="144"/>
        <v>0</v>
      </c>
      <c r="AX521" s="439" t="b">
        <f t="shared" si="145"/>
        <v>0</v>
      </c>
      <c r="AY521" s="314"/>
      <c r="AZ521" s="408" t="b">
        <f t="shared" si="146"/>
        <v>0</v>
      </c>
      <c r="BA521" s="440" t="b">
        <f t="shared" si="147"/>
        <v>0</v>
      </c>
      <c r="BB521" s="314"/>
      <c r="BC521" s="407" t="b">
        <f t="shared" si="148"/>
        <v>0</v>
      </c>
      <c r="BD521" s="407" t="b">
        <f>OR(AV520&gt;100%,(AV520+AV521)&gt;100%)</f>
        <v>0</v>
      </c>
      <c r="BE521" s="314"/>
      <c r="BF521" s="408" t="s">
        <v>162</v>
      </c>
      <c r="BG521" s="409" t="str">
        <f>IF(COUNTIF(AO517:AO518,TRUE)=0,"",BH521*AV525)</f>
        <v/>
      </c>
      <c r="BH521" s="409" t="str">
        <f>IF(COUNTIF(AO517:AO518,TRUE)=0,"",AV514*IF(AO517,1,AV516*AN518)*AV517*AV523)</f>
        <v/>
      </c>
      <c r="BJ521" s="314"/>
      <c r="BK521" s="314"/>
      <c r="BL521" s="314"/>
      <c r="BM521" s="314"/>
      <c r="BN521" s="314"/>
      <c r="BO521" s="314"/>
      <c r="BP521" s="314"/>
      <c r="BQ521" s="314"/>
      <c r="BR521" s="314"/>
      <c r="BS521" s="314"/>
      <c r="BT521" s="314"/>
      <c r="BU521" s="314"/>
      <c r="BV521" s="314"/>
      <c r="BW521" s="314"/>
      <c r="BX521" s="314"/>
      <c r="BY521" s="314"/>
      <c r="BZ521" s="314"/>
      <c r="CA521" s="314"/>
      <c r="CB521" s="314"/>
      <c r="CC521" s="314"/>
      <c r="CD521" s="314"/>
      <c r="CE521" s="314"/>
      <c r="CF521" s="314"/>
      <c r="CG521" s="314"/>
      <c r="CH521" s="314"/>
      <c r="CI521" s="314"/>
      <c r="CJ521" s="314"/>
      <c r="CK521" s="314"/>
      <c r="CL521" s="314"/>
      <c r="CM521" s="314"/>
      <c r="CN521" s="314"/>
      <c r="CO521" s="314"/>
      <c r="CP521" s="314"/>
      <c r="CQ521" s="407" t="b">
        <f>OR(CQ514,Y521=EUconst_NA)</f>
        <v>0</v>
      </c>
    </row>
    <row r="522" spans="1:95" ht="12.75" customHeight="1" thickBot="1" x14ac:dyDescent="0.3">
      <c r="A522" s="307"/>
      <c r="B522" s="68"/>
      <c r="C522" s="199" t="s">
        <v>163</v>
      </c>
      <c r="D522" s="344" t="str">
        <f>Translations!$B$615</f>
        <v>sust. SLCF:</v>
      </c>
      <c r="E522" s="441"/>
      <c r="F522" s="19" t="s">
        <v>158</v>
      </c>
      <c r="G522" s="1261"/>
      <c r="H522" s="1262"/>
      <c r="I522" s="442" t="str">
        <f t="shared" si="149"/>
        <v/>
      </c>
      <c r="J522" s="411"/>
      <c r="K522" s="443"/>
      <c r="L522" s="57"/>
      <c r="M522" s="347" t="str">
        <f>IF(AND(E509&lt;&gt;"",OR(F522="",COUNT(L522)=0),Y522&lt;&gt;EUconst_NA),EUconst_ERR_Incomplete,"")</f>
        <v/>
      </c>
      <c r="N522" s="76"/>
      <c r="O522" s="160"/>
      <c r="P522" s="348"/>
      <c r="Q522" s="413"/>
      <c r="R522" s="413"/>
      <c r="S522" s="314"/>
      <c r="T522" s="388" t="str">
        <f>EUconst_CNTR_RFNBOetcContent&amp;E509</f>
        <v>RNFBOC_</v>
      </c>
      <c r="U522" s="312"/>
      <c r="V522" s="312"/>
      <c r="W522" s="312"/>
      <c r="X522" s="312"/>
      <c r="Y522" s="447" t="str">
        <f>IF(E509="","",IF(OR(F522=EUconst_NA,W522=TRUE),EUconst_NA,INDEX(EUwideConstants!$P$164:$P$200,MATCH(T522,EUwideConstants!$S$164:$S$200,0))))</f>
        <v/>
      </c>
      <c r="Z522" s="314"/>
      <c r="AA522" s="314"/>
      <c r="AB522" s="314"/>
      <c r="AC522" s="397" t="b">
        <f>AND(AC518,Y522&lt;&gt;EUconst_NA)</f>
        <v>0</v>
      </c>
      <c r="AD522" s="314"/>
      <c r="AE522" s="415"/>
      <c r="AF522" s="416"/>
      <c r="AG522" s="417"/>
      <c r="AH522" s="418"/>
      <c r="AI522" s="418"/>
      <c r="AJ522" s="418"/>
      <c r="AK522" s="419"/>
      <c r="AL522" s="326"/>
      <c r="AM522" s="326"/>
      <c r="AN522" s="326"/>
      <c r="AO522" s="326"/>
      <c r="AP522" s="326"/>
      <c r="AQ522" s="444" t="s">
        <v>159</v>
      </c>
      <c r="AR522" s="415"/>
      <c r="AS522" s="445" t="str">
        <f t="shared" si="150"/>
        <v/>
      </c>
      <c r="AT522" s="446"/>
      <c r="AU522" s="447" t="str">
        <f t="shared" si="151"/>
        <v/>
      </c>
      <c r="AV522" s="397">
        <f t="shared" si="152"/>
        <v>0</v>
      </c>
      <c r="AW522" s="398" t="b">
        <f t="shared" si="144"/>
        <v>0</v>
      </c>
      <c r="AX522" s="448" t="b">
        <f t="shared" si="145"/>
        <v>0</v>
      </c>
      <c r="AY522" s="314"/>
      <c r="AZ522" s="449" t="b">
        <f t="shared" si="146"/>
        <v>0</v>
      </c>
      <c r="BA522" s="450" t="b">
        <f t="shared" si="147"/>
        <v>0</v>
      </c>
      <c r="BB522" s="314"/>
      <c r="BC522" s="398" t="b">
        <f t="shared" si="148"/>
        <v>0</v>
      </c>
      <c r="BD522" s="369" t="b">
        <f>OR(AV522&gt;100%,(AV522+AV523)&gt;100%)</f>
        <v>0</v>
      </c>
      <c r="BE522" s="314"/>
      <c r="BF522" s="451" t="s">
        <v>164</v>
      </c>
      <c r="BG522" s="452">
        <f>IF(AN514=EUconst_TJ,AV514*(1-AV518),IF(AN516=EUconst_GJ,AV514*AV516/1000,0))-SUM(BG523:BG529)</f>
        <v>0</v>
      </c>
      <c r="BH522" s="314"/>
      <c r="BI522" s="314"/>
      <c r="BJ522" s="314"/>
      <c r="BK522" s="314"/>
      <c r="BL522" s="314"/>
      <c r="BM522" s="314"/>
      <c r="BN522" s="314"/>
      <c r="BO522" s="314"/>
      <c r="BP522" s="314"/>
      <c r="BQ522" s="314"/>
      <c r="BR522" s="314"/>
      <c r="BS522" s="314"/>
      <c r="BT522" s="314"/>
      <c r="BU522" s="314"/>
      <c r="BV522" s="314"/>
      <c r="BW522" s="314"/>
      <c r="BX522" s="314"/>
      <c r="BY522" s="314"/>
      <c r="BZ522" s="314"/>
      <c r="CA522" s="314"/>
      <c r="CB522" s="314"/>
      <c r="CC522" s="314"/>
      <c r="CD522" s="314"/>
      <c r="CE522" s="314"/>
      <c r="CF522" s="314"/>
      <c r="CG522" s="314"/>
      <c r="CH522" s="314"/>
      <c r="CI522" s="314"/>
      <c r="CJ522" s="314"/>
      <c r="CK522" s="314"/>
      <c r="CL522" s="314"/>
      <c r="CM522" s="314"/>
      <c r="CN522" s="314"/>
      <c r="CO522" s="314"/>
      <c r="CP522" s="314"/>
      <c r="CQ522" s="407" t="b">
        <f>OR(CQ514,Y522=EUconst_NA)</f>
        <v>0</v>
      </c>
    </row>
    <row r="523" spans="1:95" ht="12.75" customHeight="1" thickBot="1" x14ac:dyDescent="0.3">
      <c r="A523" s="307"/>
      <c r="B523" s="68"/>
      <c r="C523" s="199" t="s">
        <v>165</v>
      </c>
      <c r="D523" s="344" t="str">
        <f>Translations!$B$618</f>
        <v>non-sust. SLCF:</v>
      </c>
      <c r="E523" s="441"/>
      <c r="F523" s="20" t="s">
        <v>158</v>
      </c>
      <c r="G523" s="1261"/>
      <c r="H523" s="1262"/>
      <c r="I523" s="422" t="str">
        <f t="shared" si="149"/>
        <v/>
      </c>
      <c r="J523" s="423"/>
      <c r="K523" s="443"/>
      <c r="L523" s="56"/>
      <c r="M523" s="347" t="str">
        <f>IF(AND(E509&lt;&gt;"",OR(F523="",COUNT(L523)=0),Y523&lt;&gt;EUconst_NA),EUconst_ERR_Incomplete,"")</f>
        <v/>
      </c>
      <c r="N523" s="76"/>
      <c r="O523" s="160"/>
      <c r="P523" s="348"/>
      <c r="Q523" s="413"/>
      <c r="R523" s="413"/>
      <c r="S523" s="314"/>
      <c r="T523" s="425" t="str">
        <f>EUconst_CNTR_RFNBOetcContent&amp;E509</f>
        <v>RNFBOC_</v>
      </c>
      <c r="U523" s="312"/>
      <c r="V523" s="312"/>
      <c r="W523" s="312"/>
      <c r="X523" s="312"/>
      <c r="Y523" s="438" t="str">
        <f>IF(E509="","",IF(OR(F523=EUconst_NA,W523=TRUE),EUconst_NA,INDEX(EUwideConstants!$P$164:$P$200,MATCH(T523,EUwideConstants!$S$164:$S$200,0))))</f>
        <v/>
      </c>
      <c r="Z523" s="314"/>
      <c r="AA523" s="314"/>
      <c r="AB523" s="314"/>
      <c r="AC523" s="429" t="b">
        <f>AND(AC518,Y523&lt;&gt;EUconst_NA)</f>
        <v>0</v>
      </c>
      <c r="AD523" s="314"/>
      <c r="AE523" s="430"/>
      <c r="AF523" s="431"/>
      <c r="AG523" s="432"/>
      <c r="AH523" s="433"/>
      <c r="AI523" s="433"/>
      <c r="AJ523" s="433"/>
      <c r="AK523" s="434"/>
      <c r="AL523" s="326"/>
      <c r="AM523" s="326"/>
      <c r="AN523" s="326"/>
      <c r="AO523" s="326"/>
      <c r="AP523" s="326"/>
      <c r="AQ523" s="435" t="s">
        <v>159</v>
      </c>
      <c r="AR523" s="430"/>
      <c r="AS523" s="436" t="str">
        <f t="shared" si="150"/>
        <v/>
      </c>
      <c r="AT523" s="437"/>
      <c r="AU523" s="438" t="str">
        <f t="shared" si="151"/>
        <v/>
      </c>
      <c r="AV523" s="429">
        <f t="shared" si="152"/>
        <v>0</v>
      </c>
      <c r="AW523" s="407" t="b">
        <f t="shared" si="144"/>
        <v>0</v>
      </c>
      <c r="AX523" s="439" t="b">
        <f t="shared" si="145"/>
        <v>0</v>
      </c>
      <c r="AY523" s="314"/>
      <c r="AZ523" s="408" t="b">
        <f t="shared" si="146"/>
        <v>0</v>
      </c>
      <c r="BA523" s="440" t="b">
        <f t="shared" si="147"/>
        <v>0</v>
      </c>
      <c r="BB523" s="314"/>
      <c r="BC523" s="407" t="b">
        <f t="shared" si="148"/>
        <v>0</v>
      </c>
      <c r="BD523" s="407" t="b">
        <f>OR(AV522&gt;100%,(AV522+AV523)&gt;100%)</f>
        <v>0</v>
      </c>
      <c r="BE523" s="314"/>
      <c r="BF523" s="408" t="s">
        <v>166</v>
      </c>
      <c r="BG523" s="409" t="str">
        <f>IF(AN514=EUconst_TJ,AV514*AV518,IF(AN516=EUconst_GJ,AV514*AV516/1000*AV518,""))</f>
        <v/>
      </c>
      <c r="BH523" s="314"/>
      <c r="BI523" s="314"/>
      <c r="BJ523" s="314"/>
      <c r="BK523" s="314"/>
      <c r="BL523" s="314"/>
      <c r="BM523" s="314"/>
      <c r="BN523" s="314"/>
      <c r="BO523" s="314"/>
      <c r="BP523" s="314"/>
      <c r="BQ523" s="314"/>
      <c r="BR523" s="314"/>
      <c r="BS523" s="314"/>
      <c r="BT523" s="314"/>
      <c r="BU523" s="314"/>
      <c r="BV523" s="314"/>
      <c r="BW523" s="314"/>
      <c r="BX523" s="314"/>
      <c r="BY523" s="314"/>
      <c r="BZ523" s="314"/>
      <c r="CA523" s="314"/>
      <c r="CB523" s="314"/>
      <c r="CC523" s="314"/>
      <c r="CD523" s="314"/>
      <c r="CE523" s="314"/>
      <c r="CF523" s="314"/>
      <c r="CG523" s="314"/>
      <c r="CH523" s="314"/>
      <c r="CI523" s="314"/>
      <c r="CJ523" s="314"/>
      <c r="CK523" s="314"/>
      <c r="CL523" s="314"/>
      <c r="CM523" s="314"/>
      <c r="CN523" s="314"/>
      <c r="CO523" s="314"/>
      <c r="CP523" s="314"/>
      <c r="CQ523" s="407" t="b">
        <f>OR(CQ514,Y523=EUconst_NA)</f>
        <v>0</v>
      </c>
    </row>
    <row r="524" spans="1:95" ht="5.15" customHeight="1" thickBot="1" x14ac:dyDescent="0.3">
      <c r="A524" s="307"/>
      <c r="B524" s="68"/>
      <c r="C524" s="68"/>
      <c r="D524" s="205"/>
      <c r="E524" s="76"/>
      <c r="F524" s="76"/>
      <c r="G524" s="76"/>
      <c r="H524" s="76"/>
      <c r="I524" s="76"/>
      <c r="J524" s="76"/>
      <c r="K524" s="76"/>
      <c r="L524" s="76"/>
      <c r="M524" s="453"/>
      <c r="N524" s="76"/>
      <c r="O524" s="160"/>
      <c r="P524" s="109"/>
      <c r="Q524" s="312"/>
      <c r="R524" s="312"/>
      <c r="S524" s="314"/>
      <c r="T524" s="314"/>
      <c r="U524" s="314"/>
      <c r="V524" s="314"/>
      <c r="W524" s="314"/>
      <c r="X524" s="314"/>
      <c r="Y524" s="314"/>
      <c r="Z524" s="314"/>
      <c r="AA524" s="314"/>
      <c r="AB524" s="314"/>
      <c r="AC524" s="314"/>
      <c r="AD524" s="314"/>
      <c r="AE524" s="314"/>
      <c r="AF524" s="314"/>
      <c r="AG524" s="314"/>
      <c r="AH524" s="314"/>
      <c r="AI524" s="314"/>
      <c r="AJ524" s="314"/>
      <c r="AK524" s="314"/>
      <c r="AL524" s="314"/>
      <c r="AM524" s="314"/>
      <c r="AN524" s="314"/>
      <c r="AO524" s="314"/>
      <c r="AP524" s="314"/>
      <c r="AQ524" s="314"/>
      <c r="AR524" s="314"/>
      <c r="AS524" s="314"/>
      <c r="AT524" s="314"/>
      <c r="AU524" s="314"/>
      <c r="AV524" s="314"/>
      <c r="AW524" s="314"/>
      <c r="AX524" s="314"/>
      <c r="AY524" s="314"/>
      <c r="AZ524" s="314"/>
      <c r="BA524" s="314"/>
      <c r="BB524" s="314"/>
      <c r="BC524" s="314"/>
      <c r="BD524" s="314"/>
      <c r="BE524" s="314"/>
      <c r="BF524" s="314"/>
      <c r="BG524" s="364"/>
      <c r="BH524" s="314"/>
      <c r="BI524" s="314"/>
      <c r="BJ524" s="314"/>
      <c r="BK524" s="314"/>
      <c r="BL524" s="314"/>
      <c r="BM524" s="314"/>
      <c r="BN524" s="314"/>
      <c r="BO524" s="314"/>
      <c r="BP524" s="314"/>
      <c r="BQ524" s="314"/>
      <c r="BR524" s="314"/>
      <c r="BS524" s="314"/>
      <c r="BT524" s="314"/>
      <c r="BU524" s="314"/>
      <c r="BV524" s="314"/>
      <c r="BW524" s="314"/>
      <c r="BX524" s="314"/>
      <c r="BY524" s="314"/>
      <c r="BZ524" s="314"/>
      <c r="CA524" s="314"/>
      <c r="CB524" s="314"/>
      <c r="CC524" s="314"/>
      <c r="CD524" s="314"/>
      <c r="CE524" s="314"/>
      <c r="CF524" s="314"/>
      <c r="CG524" s="314"/>
      <c r="CH524" s="314"/>
      <c r="CI524" s="314"/>
      <c r="CJ524" s="314"/>
      <c r="CK524" s="314"/>
      <c r="CL524" s="314"/>
      <c r="CM524" s="314"/>
      <c r="CN524" s="314"/>
      <c r="CO524" s="314"/>
      <c r="CP524" s="314"/>
      <c r="CQ524" s="314"/>
    </row>
    <row r="525" spans="1:95" ht="12.75" customHeight="1" thickBot="1" x14ac:dyDescent="0.3">
      <c r="A525" s="307"/>
      <c r="B525" s="68"/>
      <c r="C525" s="199" t="s">
        <v>167</v>
      </c>
      <c r="D525" s="344" t="str">
        <f>Translations!$B$398</f>
        <v>Scope factor:</v>
      </c>
      <c r="E525" s="454"/>
      <c r="F525" s="992"/>
      <c r="G525" s="1263"/>
      <c r="H525" s="1264"/>
      <c r="I525" s="455" t="s">
        <v>46</v>
      </c>
      <c r="J525" s="456"/>
      <c r="K525" s="457" t="str">
        <f>IF(L525="",AU525,"")</f>
        <v/>
      </c>
      <c r="L525" s="16"/>
      <c r="M525" s="458" t="str">
        <f>IF(AND(E509&lt;&gt;"",OR(F525="",G525="",COUNT(K525:L525)=0)),EUconst_ERR_Incomplete,IF(COUNTIF(BB525:BD525,TRUE)&gt;0,EUconst_ERR_Inconsistent,""))</f>
        <v/>
      </c>
      <c r="N525" s="76"/>
      <c r="O525" s="160"/>
      <c r="P525" s="109"/>
      <c r="Q525" s="312"/>
      <c r="R525" s="314"/>
      <c r="S525" s="297"/>
      <c r="T525" s="459" t="str">
        <f>EUconst_CNTR_ScopeFactor&amp;E509</f>
        <v>ScopeFactor_</v>
      </c>
      <c r="U525" s="231" t="str">
        <f>IF(F525="","",INDEX(ScopeAddress,MATCH(F525,ScopeTiers,0)))</f>
        <v/>
      </c>
      <c r="V525" s="360" t="str">
        <f>V514</f>
        <v/>
      </c>
      <c r="W525" s="314"/>
      <c r="X525" s="314"/>
      <c r="Y525" s="460" t="str">
        <f>IF(E509="","",IF(F525=EUconst_NA,EUconst_NA,INDEX(EUwideConstants!$P$164:$P$200,MATCH(T525,EUwideConstants!$S$164:$S$200,0))))</f>
        <v/>
      </c>
      <c r="Z525" s="461" t="str">
        <f>IF(ISBLANK(F525),"",IF(F525=EUconst_NA,"",INDEX(EUwideConstants!$H:$O,MATCH(T525,EUwideConstants!$S:$S,0),MATCH(F525,CNTR_TierList,0))))</f>
        <v/>
      </c>
      <c r="AA525" s="331" t="str">
        <f>IF(G525=EUwideConstants!$A$89,1,"")</f>
        <v/>
      </c>
      <c r="AB525" s="314"/>
      <c r="AC525" s="331" t="b">
        <f>AND(AC514,Y525&lt;&gt;EUconst_NA)</f>
        <v>0</v>
      </c>
      <c r="AD525" s="314"/>
      <c r="AE525" s="314"/>
      <c r="AF525" s="314"/>
      <c r="AG525" s="319"/>
      <c r="AH525" s="314"/>
      <c r="AI525" s="314"/>
      <c r="AJ525" s="314"/>
      <c r="AK525" s="314"/>
      <c r="AL525" s="314"/>
      <c r="AM525" s="314"/>
      <c r="AN525" s="314"/>
      <c r="AO525" s="314"/>
      <c r="AP525" s="314"/>
      <c r="AQ525" s="314"/>
      <c r="AR525" s="314"/>
      <c r="AS525" s="328">
        <v>1</v>
      </c>
      <c r="AT525" s="314"/>
      <c r="AU525" s="319" t="str">
        <f>IF(G525=EUwideConstants!$A$89,AS525,"")</f>
        <v/>
      </c>
      <c r="AV525" s="331">
        <f>IF(AC525=TRUE,IF(COUNT(K525:L525)=0,0,IF(L525="",K525,L525)),0)</f>
        <v>0</v>
      </c>
      <c r="AW525" s="360" t="b">
        <f>AND(AC525=TRUE,OR(AND(F525&lt;&gt;"",NOT(ISNUMBER(AA525))),L525&lt;&gt;"",F525="",AU525=""))</f>
        <v>0</v>
      </c>
      <c r="AX525" s="357" t="b">
        <f>AND(AC525=TRUE,NOT(AW525))</f>
        <v>0</v>
      </c>
      <c r="AY525" s="314"/>
      <c r="AZ525" s="361" t="b">
        <f>AND(ISNUMBER(AA525),AU525="")</f>
        <v>0</v>
      </c>
      <c r="BA525" s="351" t="b">
        <f>AND(ISNUMBER(AA525),AU525&lt;&gt;AV525)</f>
        <v>0</v>
      </c>
      <c r="BB525" s="314"/>
      <c r="BC525" s="360" t="b">
        <f>AND(F525&lt;&gt;"",OR(COUNTIF(INDEX(ScopeMethods,F525,),G525)=0,AND(AA525&lt;&gt;"",AU525&lt;&gt;AV525)))</f>
        <v>0</v>
      </c>
      <c r="BD525" s="314"/>
      <c r="BE525" s="314"/>
      <c r="BF525" s="361" t="s">
        <v>168</v>
      </c>
      <c r="BG525" s="362" t="str">
        <f>IF(AN514=EUconst_TJ,AV514*AV520,IF(AN516=EUconst_GJ,AV514*AV516/1000*AV520,""))</f>
        <v/>
      </c>
      <c r="BH525" s="314"/>
      <c r="BI525" s="314"/>
      <c r="BJ525" s="314"/>
      <c r="BK525" s="314"/>
      <c r="BL525" s="314"/>
      <c r="BM525" s="314"/>
      <c r="BN525" s="314"/>
      <c r="BO525" s="314"/>
      <c r="BP525" s="314"/>
      <c r="BQ525" s="314"/>
      <c r="BR525" s="314"/>
      <c r="BS525" s="314"/>
      <c r="BT525" s="314"/>
      <c r="BU525" s="314"/>
      <c r="BV525" s="314"/>
      <c r="BW525" s="314"/>
      <c r="BX525" s="314"/>
      <c r="BY525" s="314"/>
      <c r="BZ525" s="314"/>
      <c r="CA525" s="314"/>
      <c r="CB525" s="314"/>
      <c r="CC525" s="314"/>
      <c r="CD525" s="314"/>
      <c r="CE525" s="314"/>
      <c r="CF525" s="314"/>
      <c r="CG525" s="314"/>
      <c r="CH525" s="314"/>
      <c r="CI525" s="314"/>
      <c r="CJ525" s="314"/>
      <c r="CK525" s="314"/>
      <c r="CL525" s="314"/>
      <c r="CM525" s="314"/>
      <c r="CN525" s="314"/>
      <c r="CO525" s="314"/>
      <c r="CP525" s="314"/>
      <c r="CQ525" s="314"/>
    </row>
    <row r="526" spans="1:95" ht="12.75" customHeight="1" x14ac:dyDescent="0.25">
      <c r="A526" s="307"/>
      <c r="B526" s="68"/>
      <c r="C526" s="68"/>
      <c r="D526" s="68"/>
      <c r="E526" s="68"/>
      <c r="F526" s="68"/>
      <c r="G526" s="1265" t="str">
        <f>IF(G525="","",INDEX(ScopeMethodsDetails,MATCH(G525,INDEX(ScopeMethodsDetails,,1),0),2))</f>
        <v/>
      </c>
      <c r="H526" s="1266"/>
      <c r="I526" s="1266"/>
      <c r="J526" s="1266"/>
      <c r="K526" s="1266"/>
      <c r="L526" s="1266"/>
      <c r="M526" s="1267"/>
      <c r="N526" s="76"/>
      <c r="O526" s="160"/>
      <c r="P526" s="109"/>
      <c r="Q526" s="312"/>
      <c r="R526" s="312"/>
      <c r="S526" s="314"/>
      <c r="T526" s="314"/>
      <c r="U526" s="314"/>
      <c r="V526" s="314"/>
      <c r="W526" s="314"/>
      <c r="X526" s="314"/>
      <c r="Y526" s="314"/>
      <c r="Z526" s="314"/>
      <c r="AA526" s="314"/>
      <c r="AB526" s="314"/>
      <c r="AC526" s="314"/>
      <c r="AD526" s="314"/>
      <c r="AE526" s="314"/>
      <c r="AF526" s="314"/>
      <c r="AG526" s="314"/>
      <c r="AH526" s="314"/>
      <c r="AI526" s="314"/>
      <c r="AJ526" s="314"/>
      <c r="AK526" s="314"/>
      <c r="AL526" s="314"/>
      <c r="AM526" s="314"/>
      <c r="AN526" s="314"/>
      <c r="AO526" s="314"/>
      <c r="AP526" s="314"/>
      <c r="AQ526" s="314"/>
      <c r="AR526" s="314"/>
      <c r="AS526" s="314"/>
      <c r="AT526" s="314"/>
      <c r="AU526" s="314"/>
      <c r="AV526" s="314"/>
      <c r="AW526" s="314"/>
      <c r="AX526" s="314"/>
      <c r="AY526" s="314"/>
      <c r="AZ526" s="314"/>
      <c r="BA526" s="314"/>
      <c r="BB526" s="314"/>
      <c r="BC526" s="314"/>
      <c r="BD526" s="314"/>
      <c r="BE526" s="314"/>
      <c r="BG526" s="364"/>
      <c r="BH526" s="314"/>
      <c r="BI526" s="314"/>
      <c r="BJ526" s="314"/>
      <c r="BK526" s="314"/>
      <c r="BL526" s="314"/>
      <c r="BM526" s="314"/>
      <c r="BN526" s="314"/>
      <c r="BO526" s="314"/>
      <c r="BP526" s="314"/>
      <c r="BQ526" s="314"/>
      <c r="BR526" s="314"/>
      <c r="BS526" s="314"/>
      <c r="BT526" s="314"/>
      <c r="BU526" s="314"/>
      <c r="BV526" s="314"/>
      <c r="BW526" s="314"/>
      <c r="BX526" s="314"/>
      <c r="BY526" s="314"/>
      <c r="BZ526" s="314"/>
      <c r="CA526" s="314"/>
      <c r="CB526" s="314"/>
      <c r="CC526" s="314"/>
      <c r="CD526" s="314"/>
      <c r="CE526" s="314"/>
      <c r="CF526" s="314"/>
      <c r="CG526" s="314"/>
      <c r="CH526" s="314"/>
      <c r="CI526" s="314"/>
      <c r="CJ526" s="314"/>
      <c r="CK526" s="314"/>
      <c r="CL526" s="314"/>
      <c r="CM526" s="314"/>
      <c r="CN526" s="314"/>
      <c r="CO526" s="314"/>
      <c r="CP526" s="314"/>
      <c r="CQ526" s="314"/>
    </row>
    <row r="527" spans="1:95" ht="5.15" customHeight="1" x14ac:dyDescent="0.25">
      <c r="A527" s="307"/>
      <c r="C527" s="76"/>
      <c r="D527" s="76"/>
      <c r="E527" s="76"/>
      <c r="F527" s="76"/>
      <c r="G527" s="76"/>
      <c r="H527" s="76"/>
      <c r="I527" s="76"/>
      <c r="J527" s="76"/>
      <c r="K527" s="76"/>
      <c r="L527" s="76"/>
      <c r="O527" s="160"/>
      <c r="P527" s="109"/>
      <c r="Q527" s="312"/>
      <c r="R527" s="312"/>
      <c r="S527" s="314"/>
      <c r="T527" s="314"/>
      <c r="U527" s="314"/>
      <c r="V527" s="314"/>
      <c r="W527" s="314"/>
      <c r="X527" s="314"/>
      <c r="Y527" s="314"/>
      <c r="Z527" s="314"/>
      <c r="AA527" s="314"/>
      <c r="AB527" s="314"/>
      <c r="AC527" s="314"/>
      <c r="AD527" s="314"/>
      <c r="AE527" s="314"/>
      <c r="AF527" s="314"/>
      <c r="AG527" s="314"/>
      <c r="AH527" s="314"/>
      <c r="AI527" s="314"/>
      <c r="AJ527" s="314"/>
      <c r="AK527" s="314"/>
      <c r="AL527" s="314"/>
      <c r="AM527" s="314"/>
      <c r="AN527" s="314"/>
      <c r="AO527" s="314"/>
      <c r="AP527" s="314"/>
      <c r="AQ527" s="314"/>
      <c r="AR527" s="314"/>
      <c r="AS527" s="314"/>
      <c r="AT527" s="314"/>
      <c r="AU527" s="314"/>
      <c r="AV527" s="314"/>
      <c r="AW527" s="314"/>
      <c r="AX527" s="314"/>
      <c r="AY527" s="314"/>
      <c r="AZ527" s="314"/>
      <c r="BA527" s="314"/>
      <c r="BB527" s="314"/>
      <c r="BC527" s="314"/>
      <c r="BD527" s="314"/>
      <c r="BE527" s="314"/>
      <c r="BG527" s="364"/>
      <c r="BH527" s="314"/>
      <c r="BI527" s="314"/>
      <c r="BJ527" s="314"/>
      <c r="BK527" s="314"/>
      <c r="BL527" s="314"/>
      <c r="BM527" s="314"/>
      <c r="BN527" s="314"/>
      <c r="BO527" s="314"/>
      <c r="BP527" s="314"/>
      <c r="BQ527" s="314"/>
      <c r="BR527" s="314"/>
      <c r="BS527" s="314"/>
      <c r="BT527" s="314"/>
      <c r="BU527" s="314"/>
      <c r="BV527" s="314"/>
      <c r="BW527" s="314"/>
      <c r="BX527" s="314"/>
      <c r="BY527" s="314"/>
      <c r="BZ527" s="314"/>
      <c r="CA527" s="314"/>
      <c r="CB527" s="314"/>
      <c r="CC527" s="314"/>
      <c r="CD527" s="314"/>
      <c r="CE527" s="314"/>
      <c r="CF527" s="314"/>
      <c r="CG527" s="314"/>
      <c r="CH527" s="314"/>
      <c r="CI527" s="314"/>
      <c r="CJ527" s="314"/>
      <c r="CK527" s="314"/>
      <c r="CL527" s="314"/>
      <c r="CM527" s="314"/>
      <c r="CN527" s="314"/>
      <c r="CO527" s="314"/>
      <c r="CP527" s="314"/>
      <c r="CQ527" s="314"/>
    </row>
    <row r="528" spans="1:95" ht="12.75" customHeight="1" thickBot="1" x14ac:dyDescent="0.3">
      <c r="A528" s="307"/>
      <c r="C528" s="76"/>
      <c r="D528" s="76"/>
      <c r="E528" s="76"/>
      <c r="F528" s="76"/>
      <c r="G528" s="1268">
        <v>1</v>
      </c>
      <c r="H528" s="1268"/>
      <c r="I528" s="1268">
        <v>2</v>
      </c>
      <c r="J528" s="1268"/>
      <c r="K528" s="1268">
        <v>3</v>
      </c>
      <c r="L528" s="1268"/>
      <c r="O528" s="160"/>
      <c r="P528" s="109"/>
      <c r="Q528" s="312"/>
      <c r="R528" s="312"/>
      <c r="S528" s="314"/>
      <c r="T528" s="314"/>
      <c r="U528" s="314"/>
      <c r="V528" s="314"/>
      <c r="W528" s="314"/>
      <c r="X528" s="314"/>
      <c r="Y528" s="314"/>
      <c r="Z528" s="314"/>
      <c r="AA528" s="314"/>
      <c r="AB528" s="314"/>
      <c r="AC528" s="314"/>
      <c r="AD528" s="314"/>
      <c r="AE528" s="314"/>
      <c r="AF528" s="314"/>
      <c r="AG528" s="314"/>
      <c r="AH528" s="314"/>
      <c r="AI528" s="314"/>
      <c r="AJ528" s="314"/>
      <c r="AK528" s="314"/>
      <c r="AL528" s="314"/>
      <c r="AM528" s="314"/>
      <c r="AN528" s="314"/>
      <c r="AO528" s="314"/>
      <c r="AP528" s="314"/>
      <c r="AQ528" s="314"/>
      <c r="AR528" s="314"/>
      <c r="AS528" s="314"/>
      <c r="AT528" s="314"/>
      <c r="AU528" s="314"/>
      <c r="AV528" s="314"/>
      <c r="AW528" s="314"/>
      <c r="AX528" s="314"/>
      <c r="AY528" s="314"/>
      <c r="AZ528" s="314"/>
      <c r="BA528" s="314"/>
      <c r="BB528" s="314"/>
      <c r="BC528" s="314"/>
      <c r="BD528" s="314"/>
      <c r="BE528" s="314"/>
      <c r="BF528" s="314"/>
      <c r="BG528" s="364"/>
      <c r="BH528" s="314"/>
      <c r="BI528" s="314"/>
      <c r="BJ528" s="314"/>
      <c r="BK528" s="314"/>
      <c r="BL528" s="314"/>
      <c r="BM528" s="314"/>
      <c r="BN528" s="314"/>
      <c r="BO528" s="314"/>
      <c r="BP528" s="314"/>
      <c r="BQ528" s="314"/>
      <c r="BR528" s="314"/>
      <c r="BS528" s="314"/>
      <c r="BT528" s="314"/>
      <c r="BU528" s="314"/>
      <c r="BV528" s="314"/>
      <c r="BW528" s="314"/>
      <c r="BX528" s="314"/>
      <c r="BY528" s="314"/>
      <c r="BZ528" s="314"/>
      <c r="CA528" s="314"/>
      <c r="CB528" s="314"/>
      <c r="CC528" s="314"/>
      <c r="CD528" s="314"/>
      <c r="CE528" s="314"/>
      <c r="CF528" s="314"/>
      <c r="CG528" s="314"/>
      <c r="CH528" s="314"/>
      <c r="CI528" s="314"/>
      <c r="CJ528" s="314"/>
      <c r="CK528" s="314"/>
      <c r="CL528" s="314"/>
      <c r="CM528" s="314"/>
      <c r="CN528" s="314"/>
      <c r="CO528" s="314"/>
      <c r="CP528" s="314"/>
      <c r="CQ528" s="314"/>
    </row>
    <row r="529" spans="1:95" ht="12.75" customHeight="1" thickBot="1" x14ac:dyDescent="0.3">
      <c r="A529" s="462"/>
      <c r="B529" s="76"/>
      <c r="C529" s="76"/>
      <c r="D529" s="1246" t="str">
        <f>Translations!$B$372</f>
        <v>Consumers' CRF category:</v>
      </c>
      <c r="E529" s="1246"/>
      <c r="F529" s="1247"/>
      <c r="G529" s="1248"/>
      <c r="H529" s="1249"/>
      <c r="I529" s="1248"/>
      <c r="J529" s="1249"/>
      <c r="K529" s="1248"/>
      <c r="L529" s="1249"/>
      <c r="M529" s="463" t="str">
        <f>IF(AND(E508&lt;&gt;"",COUNTA(G529:L529)=0,AX529=FALSE),EUconst_ERR_Incomplete,"")</f>
        <v/>
      </c>
      <c r="N529" s="76"/>
      <c r="O529" s="160"/>
      <c r="P529" s="109"/>
      <c r="Q529" s="312"/>
      <c r="R529" s="312"/>
      <c r="S529" s="314"/>
      <c r="T529" s="314"/>
      <c r="U529" s="314"/>
      <c r="V529" s="314"/>
      <c r="W529" s="314"/>
      <c r="X529" s="314"/>
      <c r="Y529" s="314"/>
      <c r="Z529" s="314"/>
      <c r="AA529" s="314"/>
      <c r="AB529" s="314"/>
      <c r="AC529" s="314"/>
      <c r="AD529" s="314"/>
      <c r="AE529" s="314"/>
      <c r="AF529" s="314"/>
      <c r="AG529" s="314"/>
      <c r="AH529" s="314"/>
      <c r="AI529" s="314"/>
      <c r="AJ529" s="314"/>
      <c r="AK529" s="314"/>
      <c r="AL529" s="314"/>
      <c r="AM529" s="314"/>
      <c r="AN529" s="314"/>
      <c r="AO529" s="314"/>
      <c r="AP529" s="314"/>
      <c r="AQ529" s="314"/>
      <c r="AR529" s="314"/>
      <c r="AS529" s="314"/>
      <c r="AT529" s="314"/>
      <c r="AU529" s="314"/>
      <c r="AV529" s="314"/>
      <c r="AW529" s="314"/>
      <c r="AX529" s="464" t="b">
        <f>AND(AV525&lt;&gt;"",SUM(AV525=1))</f>
        <v>0</v>
      </c>
      <c r="AY529" s="314"/>
      <c r="AZ529" s="314"/>
      <c r="BA529" s="314"/>
      <c r="BB529" s="314"/>
      <c r="BC529" s="314"/>
      <c r="BD529" s="314"/>
      <c r="BE529" s="314"/>
      <c r="BF529" s="361" t="s">
        <v>169</v>
      </c>
      <c r="BG529" s="362" t="str">
        <f>IF(AN514=EUconst_TJ,AV514*AV522,IF(AN516=EUconst_GJ,AV514*AV516/1000*AV522,""))</f>
        <v/>
      </c>
      <c r="BH529" s="314"/>
      <c r="BI529" s="314"/>
      <c r="BJ529" s="314"/>
      <c r="BK529" s="314"/>
      <c r="BL529" s="314"/>
      <c r="BM529" s="314"/>
      <c r="BN529" s="314"/>
      <c r="BO529" s="314"/>
      <c r="BP529" s="314"/>
      <c r="BQ529" s="314"/>
      <c r="BR529" s="314"/>
      <c r="BS529" s="314"/>
      <c r="BT529" s="314"/>
      <c r="BU529" s="314"/>
      <c r="BV529" s="314"/>
      <c r="BW529" s="314"/>
      <c r="BX529" s="314"/>
      <c r="BY529" s="314"/>
      <c r="BZ529" s="314"/>
      <c r="CA529" s="314"/>
      <c r="CB529" s="314"/>
      <c r="CC529" s="314"/>
      <c r="CD529" s="314"/>
      <c r="CE529" s="314"/>
      <c r="CF529" s="314"/>
      <c r="CG529" s="314"/>
      <c r="CH529" s="314"/>
      <c r="CI529" s="314"/>
      <c r="CJ529" s="314"/>
      <c r="CK529" s="314"/>
      <c r="CL529" s="314"/>
      <c r="CM529" s="314"/>
      <c r="CN529" s="314"/>
      <c r="CO529" s="314"/>
      <c r="CP529" s="314"/>
      <c r="CQ529" s="314"/>
    </row>
    <row r="530" spans="1:95" ht="5.15" customHeight="1" x14ac:dyDescent="0.25">
      <c r="A530" s="307"/>
      <c r="B530" s="68"/>
      <c r="C530" s="68"/>
      <c r="D530" s="68"/>
      <c r="E530" s="68"/>
      <c r="F530" s="68"/>
      <c r="G530" s="76"/>
      <c r="H530" s="76"/>
      <c r="I530" s="76"/>
      <c r="J530" s="76"/>
      <c r="K530" s="76"/>
      <c r="L530" s="76"/>
      <c r="M530" s="76"/>
      <c r="N530" s="76"/>
      <c r="O530" s="160"/>
      <c r="P530" s="109"/>
      <c r="Q530" s="312"/>
      <c r="R530" s="312"/>
      <c r="S530" s="314"/>
      <c r="T530" s="314"/>
      <c r="U530" s="314"/>
      <c r="V530" s="314"/>
      <c r="W530" s="314"/>
      <c r="X530" s="314"/>
      <c r="Y530" s="314"/>
      <c r="Z530" s="314"/>
      <c r="AA530" s="314"/>
      <c r="AB530" s="314"/>
      <c r="AC530" s="314"/>
      <c r="AD530" s="314"/>
      <c r="AE530" s="314"/>
      <c r="AF530" s="314"/>
      <c r="AG530" s="314"/>
      <c r="AH530" s="314"/>
      <c r="AI530" s="314"/>
      <c r="AJ530" s="314"/>
      <c r="AK530" s="314"/>
      <c r="AL530" s="314"/>
      <c r="AM530" s="314"/>
      <c r="AN530" s="314"/>
      <c r="AO530" s="314"/>
      <c r="AP530" s="314"/>
      <c r="AQ530" s="314"/>
      <c r="AR530" s="314"/>
      <c r="AS530" s="314"/>
      <c r="AT530" s="314"/>
      <c r="AU530" s="314"/>
      <c r="AV530" s="314"/>
      <c r="AW530" s="314"/>
      <c r="AX530" s="314"/>
      <c r="AY530" s="314"/>
      <c r="AZ530" s="314"/>
      <c r="BA530" s="314"/>
      <c r="BB530" s="314"/>
      <c r="BC530" s="314"/>
      <c r="BD530" s="314"/>
      <c r="BE530" s="314"/>
      <c r="BF530" s="314"/>
      <c r="BG530" s="314"/>
      <c r="BH530" s="314"/>
      <c r="BI530" s="314"/>
      <c r="BJ530" s="314"/>
      <c r="BK530" s="314"/>
      <c r="BL530" s="314"/>
      <c r="BM530" s="314"/>
      <c r="BN530" s="314"/>
      <c r="BO530" s="314"/>
      <c r="BP530" s="314"/>
      <c r="BQ530" s="314"/>
      <c r="BR530" s="314"/>
      <c r="BS530" s="314"/>
      <c r="BT530" s="314"/>
      <c r="BU530" s="314"/>
      <c r="BV530" s="314"/>
      <c r="BW530" s="314"/>
      <c r="BX530" s="314"/>
      <c r="BY530" s="314"/>
      <c r="BZ530" s="314"/>
      <c r="CA530" s="314"/>
      <c r="CB530" s="314"/>
      <c r="CC530" s="314"/>
      <c r="CD530" s="314"/>
      <c r="CE530" s="314"/>
      <c r="CF530" s="314"/>
      <c r="CG530" s="314"/>
      <c r="CH530" s="314"/>
      <c r="CI530" s="314"/>
      <c r="CJ530" s="314"/>
      <c r="CK530" s="314"/>
      <c r="CL530" s="314"/>
      <c r="CM530" s="314"/>
      <c r="CN530" s="314"/>
      <c r="CO530" s="314"/>
      <c r="CP530" s="314"/>
      <c r="CQ530" s="314"/>
    </row>
    <row r="531" spans="1:95" ht="12.75" customHeight="1" x14ac:dyDescent="0.25">
      <c r="A531" s="307"/>
      <c r="B531" s="68"/>
      <c r="C531" s="68"/>
      <c r="D531" s="1246" t="str">
        <f>Translations!$B$399</f>
        <v>Tiers valid from:</v>
      </c>
      <c r="E531" s="1246"/>
      <c r="F531" s="1247"/>
      <c r="G531" s="8"/>
      <c r="H531" s="199" t="str">
        <f>Translations!$B$400</f>
        <v>until:</v>
      </c>
      <c r="I531" s="8"/>
      <c r="J531" s="76"/>
      <c r="K531" s="76"/>
      <c r="L531" s="76"/>
      <c r="M531" s="199" t="str">
        <f>Translations!$B$401</f>
        <v>ID used in the monitoring plan for this fuel stream:</v>
      </c>
      <c r="N531" s="9"/>
      <c r="O531" s="160"/>
      <c r="P531" s="109"/>
      <c r="Q531" s="312"/>
      <c r="R531" s="312"/>
      <c r="S531" s="465"/>
      <c r="T531" s="314"/>
      <c r="U531" s="314"/>
      <c r="V531" s="314"/>
      <c r="W531" s="314"/>
      <c r="X531" s="314"/>
      <c r="Y531" s="314"/>
      <c r="Z531" s="314"/>
      <c r="AA531" s="314"/>
      <c r="AB531" s="314"/>
      <c r="AC531" s="314"/>
      <c r="AD531" s="314"/>
      <c r="AE531" s="314"/>
      <c r="AF531" s="314"/>
      <c r="AG531" s="314"/>
      <c r="AH531" s="314"/>
      <c r="AI531" s="314"/>
      <c r="AJ531" s="314"/>
      <c r="AK531" s="314"/>
      <c r="AL531" s="314"/>
      <c r="AM531" s="314"/>
      <c r="AN531" s="314"/>
      <c r="AO531" s="314"/>
      <c r="AP531" s="314"/>
      <c r="AQ531" s="314"/>
      <c r="AR531" s="314"/>
      <c r="AS531" s="314"/>
      <c r="AT531" s="314"/>
      <c r="AU531" s="314"/>
      <c r="AV531" s="314"/>
      <c r="AW531" s="314"/>
      <c r="AX531" s="314"/>
      <c r="AY531" s="314"/>
      <c r="AZ531" s="314"/>
      <c r="BA531" s="314"/>
      <c r="BB531" s="314"/>
      <c r="BC531" s="314"/>
      <c r="BD531" s="314"/>
      <c r="BE531" s="314"/>
      <c r="BF531" s="314"/>
      <c r="BG531" s="314"/>
      <c r="BH531" s="314"/>
      <c r="BI531" s="314"/>
      <c r="BJ531" s="314"/>
      <c r="BK531" s="314"/>
      <c r="BL531" s="314"/>
      <c r="BM531" s="314"/>
      <c r="BN531" s="314"/>
      <c r="BO531" s="314"/>
      <c r="BP531" s="314"/>
      <c r="BQ531" s="314"/>
      <c r="BR531" s="314"/>
      <c r="BS531" s="314"/>
      <c r="BT531" s="314"/>
      <c r="BU531" s="314"/>
      <c r="BV531" s="314"/>
      <c r="BW531" s="314"/>
      <c r="BX531" s="314"/>
      <c r="BY531" s="314"/>
      <c r="BZ531" s="314"/>
      <c r="CA531" s="314"/>
      <c r="CB531" s="314"/>
      <c r="CC531" s="314"/>
      <c r="CD531" s="314"/>
      <c r="CE531" s="314"/>
      <c r="CF531" s="314"/>
      <c r="CG531" s="314"/>
      <c r="CH531" s="314"/>
      <c r="CI531" s="314"/>
      <c r="CJ531" s="314"/>
      <c r="CK531" s="314"/>
      <c r="CL531" s="314"/>
      <c r="CM531" s="314"/>
      <c r="CN531" s="314"/>
      <c r="CO531" s="314"/>
      <c r="CP531" s="314"/>
      <c r="CQ531" s="464" t="b">
        <f>CQ514</f>
        <v>0</v>
      </c>
    </row>
    <row r="532" spans="1:95" ht="5.15" customHeight="1" x14ac:dyDescent="0.25">
      <c r="A532" s="462"/>
      <c r="B532" s="76"/>
      <c r="C532" s="76"/>
      <c r="D532" s="76"/>
      <c r="E532" s="76"/>
      <c r="F532" s="76"/>
      <c r="G532" s="76"/>
      <c r="H532" s="76"/>
      <c r="I532" s="76"/>
      <c r="J532" s="76"/>
      <c r="K532" s="76"/>
      <c r="L532" s="76"/>
      <c r="M532" s="76"/>
      <c r="N532" s="76"/>
      <c r="O532" s="160"/>
      <c r="P532" s="109"/>
      <c r="Q532" s="312"/>
      <c r="R532" s="312"/>
      <c r="S532" s="314"/>
      <c r="T532" s="314"/>
      <c r="U532" s="314"/>
      <c r="V532" s="314"/>
      <c r="W532" s="314"/>
      <c r="X532" s="314"/>
      <c r="Y532" s="314"/>
      <c r="Z532" s="314"/>
      <c r="AA532" s="314"/>
      <c r="AB532" s="314"/>
      <c r="AC532" s="314"/>
      <c r="AD532" s="314"/>
      <c r="AE532" s="314"/>
      <c r="AF532" s="314"/>
      <c r="AG532" s="314"/>
      <c r="AH532" s="314"/>
      <c r="AI532" s="314"/>
      <c r="AJ532" s="314"/>
      <c r="AK532" s="314"/>
      <c r="AL532" s="314"/>
      <c r="AM532" s="314"/>
      <c r="AN532" s="314"/>
      <c r="AO532" s="314"/>
      <c r="AP532" s="314"/>
      <c r="AQ532" s="314"/>
      <c r="AR532" s="314"/>
      <c r="AS532" s="314"/>
      <c r="AT532" s="314"/>
      <c r="AU532" s="314"/>
      <c r="AV532" s="314"/>
      <c r="AW532" s="314"/>
      <c r="AX532" s="314"/>
      <c r="AY532" s="314"/>
      <c r="AZ532" s="314"/>
      <c r="BA532" s="314"/>
      <c r="BB532" s="314"/>
      <c r="BC532" s="314"/>
      <c r="BD532" s="314"/>
      <c r="BE532" s="314"/>
      <c r="BF532" s="314"/>
      <c r="BG532" s="314"/>
      <c r="BH532" s="314"/>
      <c r="BI532" s="314"/>
      <c r="BJ532" s="314"/>
      <c r="BK532" s="314"/>
      <c r="BL532" s="314"/>
      <c r="BM532" s="314"/>
      <c r="BN532" s="314"/>
      <c r="BO532" s="314"/>
      <c r="BP532" s="314"/>
      <c r="BQ532" s="314"/>
      <c r="BR532" s="314"/>
      <c r="BS532" s="314"/>
      <c r="BT532" s="314"/>
      <c r="BU532" s="314"/>
      <c r="BV532" s="314"/>
      <c r="BW532" s="314"/>
      <c r="BX532" s="314"/>
      <c r="BY532" s="314"/>
      <c r="BZ532" s="314"/>
      <c r="CA532" s="314"/>
      <c r="CB532" s="314"/>
      <c r="CC532" s="314"/>
      <c r="CD532" s="314"/>
      <c r="CE532" s="314"/>
      <c r="CF532" s="314"/>
      <c r="CG532" s="314"/>
      <c r="CH532" s="314"/>
      <c r="CI532" s="314"/>
      <c r="CJ532" s="314"/>
      <c r="CK532" s="314"/>
      <c r="CL532" s="314"/>
      <c r="CM532" s="314"/>
      <c r="CN532" s="314"/>
      <c r="CO532" s="314"/>
      <c r="CP532" s="314"/>
      <c r="CQ532" s="314"/>
    </row>
    <row r="533" spans="1:95" ht="12.75" customHeight="1" x14ac:dyDescent="0.25">
      <c r="A533" s="462"/>
      <c r="B533" s="76"/>
      <c r="C533" s="76"/>
      <c r="D533" s="115"/>
      <c r="E533" s="85"/>
      <c r="F533" s="466" t="str">
        <f>Translations!$B$304</f>
        <v>Comments:</v>
      </c>
      <c r="G533" s="1250"/>
      <c r="H533" s="1251"/>
      <c r="I533" s="1251"/>
      <c r="J533" s="1251"/>
      <c r="K533" s="1251"/>
      <c r="L533" s="1251"/>
      <c r="M533" s="1251"/>
      <c r="N533" s="1252"/>
      <c r="O533" s="160"/>
      <c r="P533" s="109"/>
      <c r="Q533" s="312"/>
      <c r="R533" s="312"/>
      <c r="S533" s="314"/>
      <c r="T533" s="314"/>
      <c r="U533" s="314"/>
      <c r="V533" s="314"/>
      <c r="W533" s="314"/>
      <c r="X533" s="314"/>
      <c r="Y533" s="314"/>
      <c r="Z533" s="314"/>
      <c r="AA533" s="314"/>
      <c r="AB533" s="314"/>
      <c r="AC533" s="314"/>
      <c r="AD533" s="314"/>
      <c r="AE533" s="314"/>
      <c r="AF533" s="314"/>
      <c r="AG533" s="314"/>
      <c r="AH533" s="314"/>
      <c r="AI533" s="314"/>
      <c r="AJ533" s="314"/>
      <c r="AK533" s="314"/>
      <c r="AL533" s="314"/>
      <c r="AM533" s="314"/>
      <c r="AN533" s="314"/>
      <c r="AO533" s="314"/>
      <c r="AP533" s="314"/>
      <c r="AQ533" s="314"/>
      <c r="AR533" s="314"/>
      <c r="AS533" s="314"/>
      <c r="AT533" s="314"/>
      <c r="AU533" s="314"/>
      <c r="AV533" s="314"/>
      <c r="AW533" s="314"/>
      <c r="AX533" s="314"/>
      <c r="AY533" s="314"/>
      <c r="AZ533" s="314"/>
      <c r="BA533" s="314"/>
      <c r="BB533" s="314"/>
      <c r="BC533" s="314"/>
      <c r="BD533" s="314"/>
      <c r="BE533" s="314"/>
      <c r="BF533" s="314"/>
      <c r="BG533" s="314"/>
      <c r="BH533" s="314"/>
      <c r="BI533" s="314"/>
      <c r="BJ533" s="314"/>
      <c r="BK533" s="314"/>
      <c r="BL533" s="314"/>
      <c r="BM533" s="314"/>
      <c r="BN533" s="314"/>
      <c r="BO533" s="314"/>
      <c r="BP533" s="314"/>
      <c r="BQ533" s="314"/>
      <c r="BR533" s="314"/>
      <c r="BS533" s="314"/>
      <c r="BT533" s="314"/>
      <c r="BU533" s="314"/>
      <c r="BV533" s="314"/>
      <c r="BW533" s="314"/>
      <c r="BX533" s="314"/>
      <c r="BY533" s="314"/>
      <c r="BZ533" s="314"/>
      <c r="CA533" s="314"/>
      <c r="CB533" s="314"/>
      <c r="CC533" s="314"/>
      <c r="CD533" s="314"/>
      <c r="CE533" s="314"/>
      <c r="CF533" s="314"/>
      <c r="CG533" s="314"/>
      <c r="CH533" s="314"/>
      <c r="CI533" s="314"/>
      <c r="CJ533" s="314"/>
      <c r="CK533" s="314"/>
      <c r="CL533" s="314"/>
      <c r="CM533" s="314"/>
      <c r="CN533" s="314"/>
      <c r="CO533" s="314"/>
      <c r="CP533" s="314"/>
      <c r="CQ533" s="464" t="b">
        <f>CQ531</f>
        <v>0</v>
      </c>
    </row>
    <row r="534" spans="1:95" ht="12.75" customHeight="1" thickBot="1" x14ac:dyDescent="0.3">
      <c r="A534" s="307"/>
      <c r="B534" s="76"/>
      <c r="C534" s="308"/>
      <c r="D534" s="309"/>
      <c r="E534" s="310"/>
      <c r="F534" s="308"/>
      <c r="G534" s="311"/>
      <c r="H534" s="311"/>
      <c r="I534" s="311"/>
      <c r="J534" s="311"/>
      <c r="K534" s="311"/>
      <c r="L534" s="311"/>
      <c r="M534" s="311"/>
      <c r="N534" s="311"/>
      <c r="O534" s="160"/>
      <c r="P534" s="109"/>
      <c r="Q534" s="312"/>
      <c r="R534" s="312"/>
      <c r="S534" s="293"/>
      <c r="T534" s="293"/>
      <c r="U534" s="313"/>
      <c r="V534" s="293"/>
      <c r="W534" s="293"/>
      <c r="X534" s="313"/>
      <c r="Y534" s="293"/>
      <c r="Z534" s="293"/>
      <c r="AA534" s="293"/>
      <c r="AB534" s="293"/>
      <c r="AC534" s="293"/>
      <c r="AD534" s="293"/>
      <c r="AE534" s="293"/>
      <c r="AF534" s="293"/>
      <c r="AG534" s="293"/>
      <c r="AH534" s="293"/>
      <c r="AI534" s="293"/>
      <c r="AJ534" s="293"/>
      <c r="AK534" s="293"/>
      <c r="AL534" s="293"/>
      <c r="AM534" s="293"/>
      <c r="AN534" s="293"/>
      <c r="AO534" s="293"/>
      <c r="AP534" s="293"/>
      <c r="AQ534" s="293"/>
      <c r="AR534" s="293"/>
      <c r="AS534" s="293"/>
      <c r="AT534" s="293"/>
      <c r="AU534" s="293"/>
      <c r="AV534" s="293"/>
      <c r="AW534" s="293"/>
      <c r="AX534" s="293"/>
      <c r="AY534" s="293"/>
      <c r="AZ534" s="293"/>
      <c r="BA534" s="293"/>
      <c r="BB534" s="293"/>
      <c r="BC534" s="293"/>
      <c r="BD534" s="293"/>
      <c r="BE534" s="293"/>
      <c r="BF534" s="293"/>
      <c r="BG534" s="293"/>
      <c r="BH534" s="293"/>
      <c r="BI534" s="293"/>
      <c r="BJ534" s="293"/>
      <c r="BK534" s="293"/>
      <c r="BL534" s="293"/>
      <c r="BM534" s="314"/>
      <c r="BN534" s="314"/>
      <c r="BO534" s="314"/>
      <c r="BP534" s="314"/>
      <c r="BQ534" s="314"/>
      <c r="BR534" s="314"/>
      <c r="BS534" s="314"/>
      <c r="BT534" s="314"/>
      <c r="BU534" s="293"/>
      <c r="BV534" s="293"/>
      <c r="BW534" s="293"/>
      <c r="BX534" s="293"/>
      <c r="BY534" s="293"/>
      <c r="BZ534" s="293"/>
      <c r="CA534" s="293"/>
      <c r="CB534" s="293"/>
      <c r="CC534" s="293"/>
      <c r="CD534" s="293"/>
      <c r="CE534" s="293"/>
      <c r="CF534" s="293"/>
      <c r="CG534" s="293"/>
      <c r="CH534" s="293"/>
      <c r="CI534" s="293"/>
      <c r="CJ534" s="293"/>
      <c r="CK534" s="293"/>
      <c r="CL534" s="293"/>
      <c r="CM534" s="293"/>
      <c r="CN534" s="293"/>
      <c r="CO534" s="293"/>
      <c r="CP534" s="293"/>
      <c r="CQ534" s="293"/>
    </row>
    <row r="535" spans="1:95" ht="12.75" customHeight="1" thickBot="1" x14ac:dyDescent="0.3">
      <c r="A535" s="315"/>
      <c r="B535" s="76"/>
      <c r="C535" s="76"/>
      <c r="D535" s="205"/>
      <c r="E535" s="316"/>
      <c r="F535" s="76"/>
      <c r="G535" s="96"/>
      <c r="H535" s="96"/>
      <c r="I535" s="96"/>
      <c r="J535" s="96"/>
      <c r="K535" s="76"/>
      <c r="L535" s="96"/>
      <c r="M535" s="96"/>
      <c r="N535" s="96"/>
      <c r="O535" s="160"/>
      <c r="P535" s="109"/>
      <c r="Q535" s="312"/>
      <c r="R535" s="312"/>
      <c r="S535" s="287"/>
      <c r="T535" s="317" t="str">
        <f>IF(ISBLANK(E536),"",MATCH(E536,CNTR_SourceStreamNames,0))</f>
        <v/>
      </c>
      <c r="U535" s="318" t="str">
        <f>IF(ISBLANK(E536),"",INDEX(B_IdentifyFuelStreams!$D$67:$D$116,MATCH(E536,CNTR_SourceStreamNames,0)))</f>
        <v/>
      </c>
      <c r="V535" s="301"/>
      <c r="W535" s="138"/>
      <c r="X535" s="138"/>
      <c r="Y535" s="138"/>
      <c r="Z535" s="293"/>
      <c r="AA535" s="293"/>
      <c r="AB535" s="293"/>
      <c r="AC535" s="293"/>
      <c r="AD535" s="293"/>
      <c r="AE535" s="293"/>
      <c r="AF535" s="293"/>
      <c r="AG535" s="293"/>
      <c r="AH535" s="293"/>
      <c r="AI535" s="293"/>
      <c r="AJ535" s="293"/>
      <c r="AK535" s="312"/>
      <c r="AL535" s="293"/>
      <c r="AM535" s="293"/>
      <c r="AN535" s="293"/>
      <c r="AO535" s="293"/>
      <c r="AP535" s="293"/>
      <c r="AQ535" s="293"/>
      <c r="AR535" s="293"/>
      <c r="AS535" s="293"/>
      <c r="AT535" s="293"/>
      <c r="AU535" s="293"/>
      <c r="AV535" s="293"/>
      <c r="AW535" s="293"/>
      <c r="AX535" s="293"/>
      <c r="AY535" s="293"/>
      <c r="AZ535" s="293"/>
      <c r="BA535" s="293"/>
      <c r="BB535" s="293"/>
      <c r="BC535" s="293"/>
      <c r="BD535" s="293"/>
      <c r="BE535" s="293"/>
      <c r="BF535" s="293"/>
      <c r="BG535" s="293"/>
      <c r="BH535" s="293"/>
      <c r="BI535" s="293"/>
      <c r="BJ535" s="138"/>
      <c r="BK535" s="138"/>
      <c r="BL535" s="138"/>
      <c r="BM535" s="138"/>
      <c r="BN535" s="138"/>
      <c r="BO535" s="138"/>
      <c r="BP535" s="138"/>
      <c r="BQ535" s="138"/>
      <c r="BR535" s="138"/>
      <c r="BS535" s="138"/>
      <c r="BT535" s="138"/>
      <c r="BU535" s="138"/>
      <c r="BV535" s="138"/>
      <c r="BW535" s="138"/>
      <c r="BX535" s="138"/>
      <c r="BY535" s="138"/>
      <c r="BZ535" s="138"/>
      <c r="CA535" s="138"/>
      <c r="CB535" s="138"/>
      <c r="CC535" s="138"/>
      <c r="CD535" s="138"/>
      <c r="CE535" s="138"/>
      <c r="CF535" s="138"/>
      <c r="CG535" s="138"/>
      <c r="CH535" s="138"/>
      <c r="CI535" s="138"/>
      <c r="CJ535" s="138"/>
      <c r="CK535" s="138"/>
      <c r="CL535" s="138"/>
      <c r="CM535" s="138"/>
      <c r="CN535" s="138"/>
      <c r="CO535" s="138"/>
      <c r="CP535" s="138"/>
      <c r="CQ535" s="319" t="s">
        <v>107</v>
      </c>
    </row>
    <row r="536" spans="1:95" ht="15" customHeight="1" thickBot="1" x14ac:dyDescent="0.3">
      <c r="A536" s="320">
        <f>C536</f>
        <v>18</v>
      </c>
      <c r="B536" s="68"/>
      <c r="C536" s="321">
        <f>C508+1</f>
        <v>18</v>
      </c>
      <c r="D536" s="68"/>
      <c r="E536" s="1269"/>
      <c r="F536" s="1270"/>
      <c r="G536" s="1270"/>
      <c r="H536" s="1270"/>
      <c r="I536" s="1270"/>
      <c r="J536" s="1271"/>
      <c r="K536" s="1272" t="str">
        <f>IF(INDEX(B_IdentifyFuelStreams!$K$125:$K$174,MATCH(U535,B_IdentifyFuelStreams!$D$125:$D$174,0))&gt;0,INDEX(B_IdentifyFuelStreams!$K$125:$K$174,MATCH(U535,B_IdentifyFuelStreams!$D$125:$D$174,0)),"")</f>
        <v/>
      </c>
      <c r="L536" s="1273"/>
      <c r="M536" s="316" t="str">
        <f>Translations!$B$621</f>
        <v>Emissions:</v>
      </c>
      <c r="N536" s="322" t="str">
        <f>IF(E537="","",BG542)</f>
        <v/>
      </c>
      <c r="O536" s="323" t="str">
        <f>EUconst_tCO2</f>
        <v>tCO2</v>
      </c>
      <c r="P536" s="324" t="str">
        <f>IF(AND(E536&lt;&gt;"",COUNTIF(P537:$P$1649,"PRINT")=0),"PRINT","")</f>
        <v/>
      </c>
      <c r="Q536" s="325" t="str">
        <f>EUconst_SumCO2</f>
        <v>SUM_CO2</v>
      </c>
      <c r="R536" s="312"/>
      <c r="S536" s="287"/>
      <c r="T536" s="287"/>
      <c r="U536" s="287"/>
      <c r="V536" s="301"/>
      <c r="W536" s="138"/>
      <c r="X536" s="293"/>
      <c r="Y536" s="293"/>
      <c r="Z536" s="293"/>
      <c r="AA536" s="293"/>
      <c r="AB536" s="293"/>
      <c r="AC536" s="293"/>
      <c r="AD536" s="293"/>
      <c r="AE536" s="293"/>
      <c r="AF536" s="293"/>
      <c r="AG536" s="293"/>
      <c r="AH536" s="293"/>
      <c r="AI536" s="326"/>
      <c r="AJ536" s="326"/>
      <c r="AK536" s="326"/>
      <c r="AL536" s="326"/>
      <c r="AM536" s="326"/>
      <c r="AN536" s="326"/>
      <c r="AO536" s="326"/>
      <c r="AP536" s="326"/>
      <c r="AQ536" s="326"/>
      <c r="AR536" s="326"/>
      <c r="AS536" s="326"/>
      <c r="AT536" s="326"/>
      <c r="AU536" s="326"/>
      <c r="AV536" s="326"/>
      <c r="AW536" s="326"/>
      <c r="AX536" s="326"/>
      <c r="AY536" s="326"/>
      <c r="AZ536" s="326"/>
      <c r="BA536" s="326"/>
      <c r="BB536" s="326"/>
      <c r="BC536" s="326"/>
      <c r="BD536" s="326"/>
      <c r="BE536" s="326"/>
      <c r="BF536" s="326"/>
      <c r="BG536" s="326"/>
      <c r="BH536" s="326"/>
      <c r="BI536" s="327" t="str">
        <f>IF(E536="","",E536)</f>
        <v/>
      </c>
      <c r="BJ536" s="328" t="str">
        <f>IF(F542="","",F542)</f>
        <v/>
      </c>
      <c r="BK536" s="329">
        <f>AV542</f>
        <v>0</v>
      </c>
      <c r="BL536" s="329">
        <f>IF(BK536="","",BK536*(1-BP536))</f>
        <v>0</v>
      </c>
      <c r="BM536" s="328" t="str">
        <f>AJ542</f>
        <v/>
      </c>
      <c r="BN536" s="328" t="str">
        <f>IF(F553="","",F553)</f>
        <v/>
      </c>
      <c r="BO536" s="327" t="str">
        <f>IF(G553="","",G553)</f>
        <v/>
      </c>
      <c r="BP536" s="330">
        <f>AV553</f>
        <v>0</v>
      </c>
      <c r="BQ536" s="328" t="str">
        <f>IF(F545="","",F545)</f>
        <v/>
      </c>
      <c r="BR536" s="330">
        <f>AV545</f>
        <v>0</v>
      </c>
      <c r="BS536" s="330" t="str">
        <f>AJ545</f>
        <v/>
      </c>
      <c r="BT536" s="328" t="str">
        <f>IF(F544="","",F544)</f>
        <v/>
      </c>
      <c r="BU536" s="330">
        <f>IF(F544=EUconst_NA,"",AV544)</f>
        <v>0</v>
      </c>
      <c r="BV536" s="330" t="str">
        <f>AJ544</f>
        <v/>
      </c>
      <c r="BW536" s="328" t="str">
        <f>IF(F546="","",F546)</f>
        <v/>
      </c>
      <c r="BX536" s="330">
        <f>AV546</f>
        <v>0</v>
      </c>
      <c r="BY536" s="328" t="str">
        <f>IF(F547="","",F547)</f>
        <v/>
      </c>
      <c r="BZ536" s="330">
        <f>AV547</f>
        <v>0</v>
      </c>
      <c r="CA536" s="330">
        <f>AV548</f>
        <v>0</v>
      </c>
      <c r="CB536" s="330">
        <f>AV549</f>
        <v>0</v>
      </c>
      <c r="CC536" s="330">
        <f>AV550</f>
        <v>0</v>
      </c>
      <c r="CD536" s="330">
        <f>AV551</f>
        <v>0</v>
      </c>
      <c r="CE536" s="329" t="str">
        <f>BG542</f>
        <v/>
      </c>
      <c r="CF536" s="329" t="str">
        <f>BG544</f>
        <v/>
      </c>
      <c r="CG536" s="329" t="str">
        <f>BG545</f>
        <v/>
      </c>
      <c r="CH536" s="329" t="str">
        <f>BG546</f>
        <v/>
      </c>
      <c r="CI536" s="329" t="str">
        <f>BG547</f>
        <v/>
      </c>
      <c r="CJ536" s="329" t="str">
        <f>BG548</f>
        <v/>
      </c>
      <c r="CK536" s="329" t="str">
        <f>BG549</f>
        <v/>
      </c>
      <c r="CL536" s="329">
        <f>BG550</f>
        <v>0</v>
      </c>
      <c r="CM536" s="329" t="str">
        <f>BG551</f>
        <v/>
      </c>
      <c r="CN536" s="329" t="str">
        <f>BG553</f>
        <v/>
      </c>
      <c r="CO536" s="329" t="str">
        <f>BG557</f>
        <v/>
      </c>
      <c r="CP536" s="329" t="str">
        <f>IF(COUNTIF(AO545:AO546,TRUE)=0,"",BH542)</f>
        <v/>
      </c>
      <c r="CQ536" s="331" t="b">
        <v>0</v>
      </c>
    </row>
    <row r="537" spans="1:95" ht="15" customHeight="1" thickBot="1" x14ac:dyDescent="0.3">
      <c r="A537" s="307"/>
      <c r="B537" s="68"/>
      <c r="C537" s="68"/>
      <c r="D537" s="68"/>
      <c r="E537" s="1274" t="str">
        <f>IF(ISBLANK(E536),"",IF(INDEX(B_IdentifyFuelStreams!$E$67:$E$116,MATCH(U535,B_IdentifyFuelStreams!$D$67:$D$116,0))&gt;0,INDEX(B_IdentifyFuelStreams!$E$67:$E$116,MATCH(U535,B_IdentifyFuelStreams!$D$67:$D$116,0)),""))</f>
        <v/>
      </c>
      <c r="F537" s="1275"/>
      <c r="G537" s="1275"/>
      <c r="H537" s="1275"/>
      <c r="I537" s="1275"/>
      <c r="J537" s="1276"/>
      <c r="K537" s="1272" t="str">
        <f>IF(INDEX(B_IdentifyFuelStreams!$M$125:$M$174,MATCH(U535,B_IdentifyFuelStreams!$D$125:$D$174,0))&gt;0,INDEX(B_IdentifyFuelStreams!$M$125:$M$174,MATCH(U535,B_IdentifyFuelStreams!$D$125:$D$174,0)),"")</f>
        <v/>
      </c>
      <c r="L537" s="1273"/>
      <c r="M537" s="332" t="str">
        <f>Translations!$B$622</f>
        <v>zero-rated:</v>
      </c>
      <c r="N537" s="333" t="str">
        <f>IF(E537="","",SUM(BG544,BG546,BG548))</f>
        <v/>
      </c>
      <c r="O537" s="334" t="str">
        <f>EUconst_tCO2</f>
        <v>tCO2</v>
      </c>
      <c r="P537" s="109"/>
      <c r="Q537" s="325" t="str">
        <f>EUconst_SumBioCO2</f>
        <v>SUM_bioCO2</v>
      </c>
      <c r="R537" s="312"/>
      <c r="S537" s="287"/>
      <c r="T537" s="287"/>
      <c r="U537" s="287"/>
      <c r="V537" s="301"/>
      <c r="W537" s="138"/>
      <c r="X537" s="293"/>
      <c r="Y537" s="317" t="str">
        <f>Translations!$B$143</f>
        <v>Tiers</v>
      </c>
      <c r="Z537" s="314"/>
      <c r="AA537" s="314"/>
      <c r="AB537" s="314"/>
      <c r="AC537" s="314"/>
      <c r="AD537" s="314"/>
      <c r="AE537" s="317" t="s">
        <v>108</v>
      </c>
      <c r="AF537" s="293"/>
      <c r="AG537" s="335"/>
      <c r="AH537" s="314"/>
      <c r="AI537" s="314"/>
      <c r="AJ537" s="335"/>
      <c r="AK537" s="335"/>
      <c r="AL537" s="326"/>
      <c r="AM537" s="326"/>
      <c r="AN537" s="326"/>
      <c r="AO537" s="326"/>
      <c r="AP537" s="326"/>
      <c r="AQ537" s="317" t="s">
        <v>109</v>
      </c>
      <c r="AR537" s="336"/>
      <c r="AS537" s="336"/>
      <c r="AT537" s="314"/>
      <c r="AU537" s="314"/>
      <c r="AV537" s="314"/>
      <c r="AW537" s="314"/>
      <c r="AX537" s="314"/>
      <c r="AY537" s="314"/>
      <c r="AZ537" s="317" t="s">
        <v>110</v>
      </c>
      <c r="BA537" s="314"/>
      <c r="BB537" s="314"/>
      <c r="BC537" s="314"/>
      <c r="BD537" s="314"/>
      <c r="BE537" s="314"/>
      <c r="BF537" s="317" t="s">
        <v>111</v>
      </c>
      <c r="BG537" s="314"/>
      <c r="BH537" s="314"/>
      <c r="BI537" s="317" t="s">
        <v>112</v>
      </c>
      <c r="BJ537" s="328" t="str">
        <f>Translations!$B$376</f>
        <v>RFA Tier</v>
      </c>
      <c r="BK537" s="328" t="str">
        <f>Translations!$B$377</f>
        <v>RFA</v>
      </c>
      <c r="BL537" s="328" t="str">
        <f>Translations!$B$378</f>
        <v>RFA (in scope)</v>
      </c>
      <c r="BM537" s="328" t="str">
        <f>Translations!$B$379</f>
        <v>RFA Unit</v>
      </c>
      <c r="BN537" s="328" t="str">
        <f>Translations!$B$380</f>
        <v>SF Tier</v>
      </c>
      <c r="BO537" s="328" t="str">
        <f>Translations!$B$380</f>
        <v>SF Tier</v>
      </c>
      <c r="BP537" s="328" t="str">
        <f>Translations!$B$381</f>
        <v>SF</v>
      </c>
      <c r="BQ537" s="328" t="str">
        <f>Translations!$B$382</f>
        <v>EF Tier</v>
      </c>
      <c r="BR537" s="328" t="str">
        <f>Translations!$B$383</f>
        <v>EF</v>
      </c>
      <c r="BS537" s="328" t="str">
        <f>Translations!$B$384</f>
        <v>EF Unit</v>
      </c>
      <c r="BT537" s="328" t="str">
        <f>Translations!$B$385</f>
        <v>UCF Tier</v>
      </c>
      <c r="BU537" s="328" t="str">
        <f>Translations!$B$386</f>
        <v>UCF</v>
      </c>
      <c r="BV537" s="328" t="str">
        <f>Translations!$B$387</f>
        <v>UCF Unit</v>
      </c>
      <c r="BW537" s="328" t="str">
        <f>Translations!$B$388</f>
        <v>Bio Tier</v>
      </c>
      <c r="BX537" s="328" t="s">
        <v>113</v>
      </c>
      <c r="BY537" s="328" t="str">
        <f>Translations!$B$389</f>
        <v>NonSustBio Tier</v>
      </c>
      <c r="BZ537" s="328" t="s">
        <v>114</v>
      </c>
      <c r="CA537" s="328" t="s">
        <v>115</v>
      </c>
      <c r="CB537" s="328" t="s">
        <v>116</v>
      </c>
      <c r="CC537" s="328" t="s">
        <v>117</v>
      </c>
      <c r="CD537" s="328" t="s">
        <v>118</v>
      </c>
      <c r="CE537" s="328" t="s">
        <v>119</v>
      </c>
      <c r="CF537" s="328" t="s">
        <v>120</v>
      </c>
      <c r="CG537" s="328" t="str">
        <f>Translations!$B$392</f>
        <v>CO2 non-sust</v>
      </c>
      <c r="CH537" s="328" t="s">
        <v>121</v>
      </c>
      <c r="CI537" s="328" t="s">
        <v>122</v>
      </c>
      <c r="CJ537" s="328" t="s">
        <v>123</v>
      </c>
      <c r="CK537" s="328" t="s">
        <v>124</v>
      </c>
      <c r="CL537" s="328" t="s">
        <v>125</v>
      </c>
      <c r="CM537" s="328" t="str">
        <f>Translations!$B$551</f>
        <v>Energy content (bio), TJ</v>
      </c>
      <c r="CN537" s="328" t="s">
        <v>126</v>
      </c>
      <c r="CO537" s="328" t="s">
        <v>127</v>
      </c>
      <c r="CP537" s="328" t="s">
        <v>128</v>
      </c>
      <c r="CQ537" s="314"/>
    </row>
    <row r="538" spans="1:95" ht="5.15" customHeight="1" thickBot="1" x14ac:dyDescent="0.3">
      <c r="A538" s="307"/>
      <c r="B538" s="68"/>
      <c r="C538" s="68"/>
      <c r="D538" s="68"/>
      <c r="E538" s="68"/>
      <c r="F538" s="68"/>
      <c r="G538" s="68"/>
      <c r="H538" s="76"/>
      <c r="I538" s="76"/>
      <c r="J538" s="76"/>
      <c r="K538" s="76"/>
      <c r="L538" s="76"/>
      <c r="M538" s="76"/>
      <c r="N538" s="76"/>
      <c r="O538" s="160"/>
      <c r="P538" s="109"/>
      <c r="Q538" s="312"/>
      <c r="R538" s="312"/>
      <c r="S538" s="287"/>
      <c r="T538" s="287"/>
      <c r="U538" s="287"/>
      <c r="V538" s="301"/>
      <c r="W538" s="314"/>
      <c r="X538" s="314"/>
      <c r="Y538" s="312"/>
      <c r="Z538" s="314"/>
      <c r="AA538" s="314"/>
      <c r="AB538" s="314"/>
      <c r="AC538" s="314"/>
      <c r="AD538" s="314"/>
      <c r="AE538" s="314"/>
      <c r="AF538" s="293"/>
      <c r="AG538" s="314"/>
      <c r="AH538" s="314"/>
      <c r="AI538" s="314"/>
      <c r="AJ538" s="335"/>
      <c r="AK538" s="335"/>
      <c r="AL538" s="326"/>
      <c r="AM538" s="326"/>
      <c r="AN538" s="326"/>
      <c r="AO538" s="326"/>
      <c r="AP538" s="326"/>
      <c r="AQ538" s="314"/>
      <c r="AR538" s="314"/>
      <c r="AS538" s="314"/>
      <c r="AT538" s="314"/>
      <c r="AU538" s="314"/>
      <c r="AV538" s="314"/>
      <c r="AW538" s="314"/>
      <c r="AX538" s="314"/>
      <c r="AY538" s="314"/>
      <c r="AZ538" s="314"/>
      <c r="BA538" s="314"/>
      <c r="BB538" s="314"/>
      <c r="BC538" s="314"/>
      <c r="BD538" s="314"/>
      <c r="BE538" s="314"/>
      <c r="BF538" s="314"/>
      <c r="BG538" s="314"/>
      <c r="BH538" s="314"/>
      <c r="BI538" s="314"/>
      <c r="BJ538" s="314"/>
      <c r="BK538" s="314"/>
      <c r="BL538" s="314"/>
      <c r="BM538" s="314"/>
      <c r="BN538" s="314"/>
      <c r="BO538" s="314"/>
      <c r="BP538" s="314"/>
      <c r="BQ538" s="314"/>
      <c r="BR538" s="314"/>
      <c r="BS538" s="314"/>
      <c r="BT538" s="314"/>
      <c r="BU538" s="314"/>
      <c r="BV538" s="314"/>
      <c r="BW538" s="314"/>
      <c r="BX538" s="314"/>
      <c r="BY538" s="314"/>
      <c r="BZ538" s="314"/>
      <c r="CA538" s="314"/>
      <c r="CB538" s="314"/>
      <c r="CC538" s="314"/>
      <c r="CD538" s="314"/>
      <c r="CE538" s="314"/>
      <c r="CF538" s="314"/>
      <c r="CG538" s="314"/>
      <c r="CH538" s="314"/>
      <c r="CI538" s="314"/>
      <c r="CJ538" s="314"/>
      <c r="CK538" s="314"/>
      <c r="CL538" s="314"/>
      <c r="CM538" s="314"/>
      <c r="CN538" s="314"/>
      <c r="CO538" s="314"/>
      <c r="CP538" s="314"/>
      <c r="CQ538" s="314"/>
    </row>
    <row r="539" spans="1:95" ht="12.75" customHeight="1" thickBot="1" x14ac:dyDescent="0.3">
      <c r="A539" s="307"/>
      <c r="B539" s="68"/>
      <c r="C539" s="68"/>
      <c r="D539" s="68"/>
      <c r="E539" s="1253" t="str">
        <f>IF(E536="","",HYPERLINK("#JUMP_E_Top",EUconst_FurtherGuidancePoint1))</f>
        <v/>
      </c>
      <c r="F539" s="1253"/>
      <c r="G539" s="1253"/>
      <c r="H539" s="1253"/>
      <c r="I539" s="1253"/>
      <c r="J539" s="1253"/>
      <c r="K539" s="1253"/>
      <c r="L539" s="1253"/>
      <c r="M539" s="1253"/>
      <c r="N539" s="76"/>
      <c r="O539" s="160"/>
      <c r="P539" s="109"/>
      <c r="Q539" s="325" t="str">
        <f>EUconst_SumNonSustBioCO2</f>
        <v>SUM_bioNonSustCO2</v>
      </c>
      <c r="R539" s="337" t="str">
        <f>IF(E537="","",BG545)</f>
        <v/>
      </c>
      <c r="S539" s="287"/>
      <c r="T539" s="287"/>
      <c r="U539" s="287"/>
      <c r="V539" s="314"/>
      <c r="W539" s="314"/>
      <c r="X539" s="314"/>
      <c r="Y539" s="293"/>
      <c r="Z539" s="314"/>
      <c r="AA539" s="314"/>
      <c r="AB539" s="314"/>
      <c r="AC539" s="314"/>
      <c r="AD539" s="314"/>
      <c r="AE539" s="314"/>
      <c r="AF539" s="293"/>
      <c r="AG539" s="314"/>
      <c r="AH539" s="314"/>
      <c r="AI539" s="314"/>
      <c r="AJ539" s="335"/>
      <c r="AK539" s="335"/>
      <c r="AL539" s="326"/>
      <c r="AM539" s="326"/>
      <c r="AN539" s="326"/>
      <c r="AO539" s="326"/>
      <c r="AP539" s="326"/>
      <c r="AQ539" s="314"/>
      <c r="AR539" s="314"/>
      <c r="AS539" s="314"/>
      <c r="AT539" s="314"/>
      <c r="AU539" s="314"/>
      <c r="AV539" s="314"/>
      <c r="AW539" s="314"/>
      <c r="AX539" s="314"/>
      <c r="AY539" s="314"/>
      <c r="AZ539" s="314"/>
      <c r="BA539" s="314"/>
      <c r="BB539" s="314"/>
      <c r="BC539" s="314"/>
      <c r="BD539" s="314"/>
      <c r="BE539" s="314"/>
      <c r="BF539" s="314"/>
      <c r="BG539" s="314"/>
      <c r="BH539" s="314"/>
      <c r="BI539" s="317" t="s">
        <v>129</v>
      </c>
      <c r="BJ539" s="336"/>
      <c r="BK539" s="327" t="str">
        <f>IF(G557="","",G557)</f>
        <v/>
      </c>
      <c r="BL539" s="327" t="str">
        <f>IF(I557="","",I557)</f>
        <v/>
      </c>
      <c r="BM539" s="327" t="str">
        <f>IF(K557="","",K557)</f>
        <v/>
      </c>
      <c r="BN539" s="314"/>
      <c r="BO539" s="314"/>
      <c r="BP539" s="314"/>
      <c r="BQ539" s="314"/>
      <c r="BR539" s="314"/>
      <c r="BS539" s="314"/>
      <c r="BT539" s="319"/>
      <c r="BU539" s="314"/>
      <c r="BV539" s="314"/>
      <c r="BW539" s="314"/>
      <c r="BX539" s="314"/>
      <c r="BY539" s="314"/>
      <c r="BZ539" s="314"/>
      <c r="CA539" s="314"/>
      <c r="CB539" s="314"/>
      <c r="CC539" s="314"/>
      <c r="CD539" s="314"/>
      <c r="CE539" s="314"/>
      <c r="CF539" s="314"/>
      <c r="CG539" s="314"/>
      <c r="CH539" s="314"/>
      <c r="CI539" s="314"/>
      <c r="CJ539" s="314"/>
      <c r="CK539" s="314"/>
      <c r="CL539" s="314"/>
      <c r="CM539" s="314"/>
      <c r="CN539" s="314"/>
      <c r="CO539" s="314"/>
      <c r="CP539" s="314"/>
      <c r="CQ539" s="314"/>
    </row>
    <row r="540" spans="1:95" ht="5.15" customHeight="1" thickBot="1" x14ac:dyDescent="0.3">
      <c r="A540" s="307"/>
      <c r="B540" s="68"/>
      <c r="C540" s="68"/>
      <c r="D540" s="68"/>
      <c r="E540" s="68"/>
      <c r="F540" s="68"/>
      <c r="G540" s="68"/>
      <c r="H540" s="76"/>
      <c r="I540" s="76"/>
      <c r="J540" s="76"/>
      <c r="K540" s="76"/>
      <c r="L540" s="76"/>
      <c r="M540" s="76"/>
      <c r="N540" s="76"/>
      <c r="O540" s="160"/>
      <c r="P540" s="111"/>
      <c r="Q540" s="287"/>
      <c r="R540" s="111"/>
      <c r="S540" s="287"/>
      <c r="T540" s="287"/>
      <c r="U540" s="287"/>
      <c r="V540" s="314"/>
      <c r="W540" s="314"/>
      <c r="X540" s="314"/>
      <c r="Y540" s="312"/>
      <c r="Z540" s="314"/>
      <c r="AA540" s="314"/>
      <c r="AB540" s="314"/>
      <c r="AC540" s="314"/>
      <c r="AD540" s="314"/>
      <c r="AE540" s="314"/>
      <c r="AF540" s="293"/>
      <c r="AG540" s="314"/>
      <c r="AH540" s="314"/>
      <c r="AI540" s="314"/>
      <c r="AJ540" s="335"/>
      <c r="AK540" s="335"/>
      <c r="AL540" s="326"/>
      <c r="AM540" s="326"/>
      <c r="AN540" s="326"/>
      <c r="AO540" s="326"/>
      <c r="AP540" s="326"/>
      <c r="AQ540" s="314"/>
      <c r="AR540" s="314"/>
      <c r="AS540" s="314"/>
      <c r="AT540" s="314"/>
      <c r="AU540" s="314"/>
      <c r="AV540" s="314"/>
      <c r="AW540" s="314"/>
      <c r="AX540" s="314"/>
      <c r="AY540" s="314"/>
      <c r="AZ540" s="314"/>
      <c r="BA540" s="314"/>
      <c r="BB540" s="314"/>
      <c r="BC540" s="314"/>
      <c r="BD540" s="314"/>
      <c r="BE540" s="314"/>
      <c r="BF540" s="314"/>
      <c r="BG540" s="314"/>
      <c r="BH540" s="314"/>
      <c r="BI540" s="314"/>
      <c r="BJ540" s="314"/>
      <c r="BK540" s="314"/>
      <c r="BL540" s="314"/>
      <c r="BM540" s="314"/>
      <c r="BN540" s="314"/>
      <c r="BO540" s="314"/>
      <c r="BP540" s="314"/>
      <c r="BQ540" s="314"/>
      <c r="BR540" s="314"/>
      <c r="BS540" s="314"/>
      <c r="BT540" s="314"/>
      <c r="BU540" s="314"/>
      <c r="BV540" s="314"/>
      <c r="BW540" s="314"/>
      <c r="BX540" s="314"/>
      <c r="BY540" s="314"/>
      <c r="BZ540" s="314"/>
      <c r="CA540" s="314"/>
      <c r="CB540" s="314"/>
      <c r="CC540" s="314"/>
      <c r="CD540" s="314"/>
      <c r="CE540" s="314"/>
      <c r="CF540" s="314"/>
      <c r="CG540" s="314"/>
      <c r="CH540" s="314"/>
      <c r="CI540" s="314"/>
      <c r="CJ540" s="314"/>
      <c r="CK540" s="314"/>
      <c r="CL540" s="314"/>
      <c r="CM540" s="314"/>
      <c r="CN540" s="314"/>
      <c r="CO540" s="314"/>
      <c r="CP540" s="314"/>
      <c r="CQ540" s="314"/>
    </row>
    <row r="541" spans="1:95" ht="12.75" customHeight="1" thickBot="1" x14ac:dyDescent="0.3">
      <c r="A541" s="307"/>
      <c r="B541" s="68"/>
      <c r="C541" s="68"/>
      <c r="D541" s="68"/>
      <c r="E541" s="68"/>
      <c r="F541" s="338" t="str">
        <f>Translations!$B$127</f>
        <v>Tier</v>
      </c>
      <c r="G541" s="1254" t="str">
        <f>Translations!$B$393</f>
        <v>tier description</v>
      </c>
      <c r="H541" s="1254"/>
      <c r="I541" s="1255" t="str">
        <f>Translations!$B$394</f>
        <v>Unit</v>
      </c>
      <c r="J541" s="1255"/>
      <c r="K541" s="1255" t="str">
        <f>Translations!$B$395</f>
        <v>Value</v>
      </c>
      <c r="L541" s="1255"/>
      <c r="M541" s="205" t="str">
        <f>Translations!$B$396</f>
        <v>error</v>
      </c>
      <c r="N541" s="76"/>
      <c r="O541" s="160"/>
      <c r="P541" s="339"/>
      <c r="Q541" s="325" t="str">
        <f>EUconst_SumEnergyIN</f>
        <v>SUM_EnergyIN</v>
      </c>
      <c r="R541" s="340" t="str">
        <f>IF(E537="","",BG550)</f>
        <v/>
      </c>
      <c r="S541" s="314"/>
      <c r="T541" s="314"/>
      <c r="U541" s="314"/>
      <c r="V541" s="341" t="s">
        <v>130</v>
      </c>
      <c r="W541" s="314"/>
      <c r="X541" s="314"/>
      <c r="Y541" s="312" t="s">
        <v>131</v>
      </c>
      <c r="Z541" s="312" t="s">
        <v>132</v>
      </c>
      <c r="AA541" s="314"/>
      <c r="AB541" s="314"/>
      <c r="AC541" s="336" t="s">
        <v>133</v>
      </c>
      <c r="AD541" s="314"/>
      <c r="AE541" s="314"/>
      <c r="AF541" s="314" t="s">
        <v>134</v>
      </c>
      <c r="AG541" s="314" t="s">
        <v>135</v>
      </c>
      <c r="AH541" s="312" t="s">
        <v>136</v>
      </c>
      <c r="AI541" s="335" t="s">
        <v>137</v>
      </c>
      <c r="AJ541" s="335" t="s">
        <v>138</v>
      </c>
      <c r="AK541" s="342" t="s">
        <v>139</v>
      </c>
      <c r="AL541" s="326"/>
      <c r="AM541" s="326"/>
      <c r="AN541" s="326"/>
      <c r="AO541" s="326"/>
      <c r="AP541" s="326"/>
      <c r="AQ541" s="314"/>
      <c r="AR541" s="314" t="s">
        <v>134</v>
      </c>
      <c r="AS541" s="314" t="s">
        <v>135</v>
      </c>
      <c r="AT541" s="343" t="s">
        <v>140</v>
      </c>
      <c r="AU541" s="335" t="s">
        <v>141</v>
      </c>
      <c r="AV541" s="335" t="s">
        <v>142</v>
      </c>
      <c r="AW541" s="342" t="s">
        <v>139</v>
      </c>
      <c r="AX541" s="342" t="s">
        <v>139</v>
      </c>
      <c r="AY541" s="314"/>
      <c r="AZ541" s="314"/>
      <c r="BA541" s="314"/>
      <c r="BB541" s="314" t="s">
        <v>143</v>
      </c>
      <c r="BC541" s="314"/>
      <c r="BD541" s="314"/>
      <c r="BE541" s="314"/>
      <c r="BF541" s="314"/>
      <c r="BG541" s="319" t="s">
        <v>144</v>
      </c>
      <c r="BH541" s="314" t="s">
        <v>145</v>
      </c>
      <c r="BI541" s="314"/>
      <c r="BJ541" s="314"/>
      <c r="BK541" s="314"/>
      <c r="BL541" s="314"/>
      <c r="BM541" s="314"/>
      <c r="BN541" s="314"/>
      <c r="BO541" s="314"/>
      <c r="BP541" s="314"/>
      <c r="BQ541" s="314"/>
      <c r="BR541" s="314"/>
      <c r="BS541" s="314"/>
      <c r="BT541" s="314"/>
      <c r="BU541" s="314"/>
      <c r="BV541" s="314"/>
      <c r="BW541" s="314"/>
      <c r="BX541" s="314"/>
      <c r="BY541" s="314"/>
      <c r="BZ541" s="314"/>
      <c r="CA541" s="314"/>
      <c r="CB541" s="314"/>
      <c r="CC541" s="314"/>
      <c r="CD541" s="314"/>
      <c r="CE541" s="314"/>
      <c r="CF541" s="314"/>
      <c r="CG541" s="314"/>
      <c r="CH541" s="314"/>
      <c r="CI541" s="314"/>
      <c r="CJ541" s="314"/>
      <c r="CK541" s="314"/>
      <c r="CL541" s="314"/>
      <c r="CM541" s="314"/>
      <c r="CN541" s="314"/>
      <c r="CO541" s="314"/>
      <c r="CP541" s="314"/>
      <c r="CQ541" s="319" t="s">
        <v>107</v>
      </c>
    </row>
    <row r="542" spans="1:95" ht="12.75" customHeight="1" thickBot="1" x14ac:dyDescent="0.3">
      <c r="A542" s="307"/>
      <c r="B542" s="68"/>
      <c r="C542" s="199" t="s">
        <v>12</v>
      </c>
      <c r="D542" s="344" t="str">
        <f>Translations!$B$356</f>
        <v>RFA:</v>
      </c>
      <c r="E542" s="345"/>
      <c r="F542" s="6"/>
      <c r="G542" s="1256" t="str">
        <f>IF(OR(ISBLANK(F542),F542=EUconst_NoTier),"",IF(Z542=0,EUconst_NA,IF(ISERROR(Z542),"",Z542)))</f>
        <v/>
      </c>
      <c r="H542" s="1257"/>
      <c r="I542" s="346" t="str">
        <f>IF(J542&lt;&gt;"","",AI542)</f>
        <v/>
      </c>
      <c r="J542" s="7"/>
      <c r="K542" s="1258"/>
      <c r="L542" s="1259"/>
      <c r="M542" s="347" t="str">
        <f>IF(AND(E537&lt;&gt;"",OR(F542="",COUNT(K542)=0),Y542&lt;&gt;EUconst_NA),EUconst_ERR_Incomplete,"")</f>
        <v/>
      </c>
      <c r="N542" s="76"/>
      <c r="O542" s="160"/>
      <c r="P542" s="348"/>
      <c r="Q542" s="325" t="str">
        <f>EUconst_SumBioEnergyIN</f>
        <v>SUM_BioEnergyIN</v>
      </c>
      <c r="R542" s="340" t="str">
        <f>IF(E537="","",BG551)</f>
        <v/>
      </c>
      <c r="S542" s="314"/>
      <c r="T542" s="349" t="str">
        <f>EUconst_CNTR_ActivityData&amp;E537</f>
        <v>ActivityData_</v>
      </c>
      <c r="U542" s="312"/>
      <c r="V542" s="349" t="str">
        <f>IF(E536="","",INDEX(B_IdentifyFuelStreams!$I$67:$I$116,MATCH(U535,B_IdentifyFuelStreams!$D$67:$D$116,0)))</f>
        <v/>
      </c>
      <c r="W542" s="335" t="s">
        <v>146</v>
      </c>
      <c r="X542" s="312"/>
      <c r="Y542" s="350" t="str">
        <f>IF(E537="","",INDEX(EUwideConstants!$P$164:$P$200,MATCH(T542,EUwideConstants!$S$164:$S$200,0)))</f>
        <v/>
      </c>
      <c r="Z542" s="351" t="str">
        <f>IF(ISBLANK(F542),"",IF(F542=EUconst_NA,"",INDEX(EUwideConstants!$H:$O,MATCH(T542,EUwideConstants!$S:$S,0),MATCH(F542,CNTR_TierList,0))))</f>
        <v/>
      </c>
      <c r="AA542" s="352" t="s">
        <v>136</v>
      </c>
      <c r="AB542" s="335"/>
      <c r="AC542" s="331" t="b">
        <f>E536&lt;&gt;""</f>
        <v>0</v>
      </c>
      <c r="AD542" s="314"/>
      <c r="AE542" s="353" t="str">
        <f>EUconst_CNTR_ActivityData&amp;EUconst_Unit</f>
        <v>ActivityData_Unit</v>
      </c>
      <c r="AF542" s="354" t="str">
        <f>IF(AC542=TRUE, IF(COUNTIF(MSPara_SourceStreamCategory,V542)=0,"",INDEX(MSPara_CalcFactorsMatrix,MATCH(V542,MSPara_SourceStreamCategory,0),MATCH(AE542&amp;"_"&amp;2,MSPara_CalcFactors,0))),"")</f>
        <v/>
      </c>
      <c r="AG542" s="355" t="str">
        <f>IF(AC542=TRUE, IF(COUNTIF(MSPara_SourceStreamCategory,V542)=0,"",INDEX(MSPara_CalcFactorsMatrix,MATCH(V542,MSPara_SourceStreamCategory,0),MATCH(AE542&amp;"_"&amp;1,MSPara_CalcFactors,0))),"")</f>
        <v/>
      </c>
      <c r="AH542" s="331" t="str">
        <f>IF(OR(AF542="",AF542=EUconst_NA),IF(OR(AG542=EUconst_NA,AG542=""),"",AG542),AF542)</f>
        <v/>
      </c>
      <c r="AI542" s="350" t="str">
        <f>IF(AC542=TRUE,IF(AH542="",EUconst_t,AH542),"")</f>
        <v/>
      </c>
      <c r="AJ542" s="356" t="str">
        <f>IF(J542="",AI542,J542)</f>
        <v/>
      </c>
      <c r="AK542" s="357" t="b">
        <f>AND(E536&lt;&gt;"",J542&lt;&gt;"")</f>
        <v>0</v>
      </c>
      <c r="AL542" s="326"/>
      <c r="AM542" s="358" t="s">
        <v>147</v>
      </c>
      <c r="AN542" s="359" t="str">
        <f>AJ542</f>
        <v/>
      </c>
      <c r="AO542" s="326"/>
      <c r="AP542" s="326"/>
      <c r="AQ542" s="349" t="str">
        <f>EUconst_CNTR_ActivityData&amp;EUconst_Value</f>
        <v>ActivityData_Value</v>
      </c>
      <c r="AR542" s="336"/>
      <c r="AS542" s="336"/>
      <c r="AT542" s="331" t="b">
        <f>AND(AND(AH542&lt;&gt;"",AJ542&lt;&gt;""),AJ542=AH542)</f>
        <v>0</v>
      </c>
      <c r="AU542" s="314"/>
      <c r="AV542" s="331">
        <f>IF(Y542=EUconst_NA,0,IF(COUNT(K542:K542)=0,0,IF(K542="",#REF!,K542)))</f>
        <v>0</v>
      </c>
      <c r="AW542" s="360" t="b">
        <f>AND(AC542=TRUE,OR(K542&lt;&gt;"",AU542=""))</f>
        <v>0</v>
      </c>
      <c r="AX542" s="360" t="b">
        <f>AND(AC542=TRUE,NOT(AW542))</f>
        <v>0</v>
      </c>
      <c r="AY542" s="314"/>
      <c r="AZ542" s="314" t="s">
        <v>148</v>
      </c>
      <c r="BA542" s="314" t="s">
        <v>149</v>
      </c>
      <c r="BB542" s="360"/>
      <c r="BC542" s="314" t="s">
        <v>150</v>
      </c>
      <c r="BD542" s="314"/>
      <c r="BE542" s="314"/>
      <c r="BF542" s="361" t="s">
        <v>119</v>
      </c>
      <c r="BG542" s="362" t="str">
        <f>IF(COUNTIF(AO545:AO546,TRUE)=0,"",BH542*AV553)</f>
        <v/>
      </c>
      <c r="BH542" s="362" t="str">
        <f>IF(COUNTIF(AO545:AO546,TRUE)=0,"",AV542*IF(AO545,1,AV544*AN546)*AV545-BH544-BH546-BH548)</f>
        <v/>
      </c>
      <c r="BI542" s="314"/>
      <c r="BJ542" s="314"/>
      <c r="BK542" s="314"/>
      <c r="BL542" s="314"/>
      <c r="BM542" s="314"/>
      <c r="BN542" s="314"/>
      <c r="BO542" s="314"/>
      <c r="BP542" s="314"/>
      <c r="BQ542" s="314"/>
      <c r="BR542" s="314"/>
      <c r="BS542" s="314"/>
      <c r="BT542" s="314"/>
      <c r="BU542" s="314"/>
      <c r="BV542" s="314"/>
      <c r="BW542" s="314"/>
      <c r="BX542" s="314"/>
      <c r="BY542" s="314"/>
      <c r="BZ542" s="314"/>
      <c r="CA542" s="314"/>
      <c r="CB542" s="314"/>
      <c r="CC542" s="314"/>
      <c r="CD542" s="314"/>
      <c r="CE542" s="314"/>
      <c r="CF542" s="314"/>
      <c r="CG542" s="314"/>
      <c r="CH542" s="314"/>
      <c r="CI542" s="314"/>
      <c r="CJ542" s="314"/>
      <c r="CK542" s="314"/>
      <c r="CL542" s="314"/>
      <c r="CM542" s="314"/>
      <c r="CN542" s="314"/>
      <c r="CO542" s="314"/>
      <c r="CP542" s="314"/>
      <c r="CQ542" s="360" t="b">
        <v>0</v>
      </c>
    </row>
    <row r="543" spans="1:95" ht="5.15" customHeight="1" thickBot="1" x14ac:dyDescent="0.3">
      <c r="A543" s="307"/>
      <c r="B543" s="68"/>
      <c r="C543" s="199"/>
      <c r="D543" s="202"/>
      <c r="E543" s="76"/>
      <c r="F543" s="76"/>
      <c r="G543" s="76"/>
      <c r="H543" s="76" t="str">
        <f>Translations!$B$397</f>
        <v xml:space="preserve"> </v>
      </c>
      <c r="I543" s="162"/>
      <c r="J543" s="162"/>
      <c r="K543" s="76"/>
      <c r="L543" s="76"/>
      <c r="M543" s="363"/>
      <c r="N543" s="76"/>
      <c r="O543" s="160"/>
      <c r="P543" s="109"/>
      <c r="Q543" s="312"/>
      <c r="R543" s="312"/>
      <c r="S543" s="314"/>
      <c r="T543" s="62"/>
      <c r="U543" s="312"/>
      <c r="V543" s="314"/>
      <c r="W543" s="314"/>
      <c r="X543" s="312"/>
      <c r="Y543" s="319"/>
      <c r="Z543" s="314"/>
      <c r="AA543" s="314"/>
      <c r="AB543" s="314"/>
      <c r="AC543" s="314"/>
      <c r="AD543" s="314"/>
      <c r="AE543" s="314"/>
      <c r="AF543" s="314"/>
      <c r="AG543" s="314"/>
      <c r="AH543" s="314"/>
      <c r="AI543" s="314"/>
      <c r="AJ543" s="314"/>
      <c r="AK543" s="314"/>
      <c r="AL543" s="326"/>
      <c r="AM543" s="326"/>
      <c r="AN543" s="326"/>
      <c r="AO543" s="326"/>
      <c r="AP543" s="326"/>
      <c r="AQ543" s="314"/>
      <c r="AR543" s="314"/>
      <c r="AS543" s="314"/>
      <c r="AT543" s="314"/>
      <c r="AU543" s="314"/>
      <c r="AV543" s="314"/>
      <c r="AW543" s="314"/>
      <c r="AX543" s="314"/>
      <c r="AY543" s="314"/>
      <c r="AZ543" s="314"/>
      <c r="BA543" s="314"/>
      <c r="BB543" s="314"/>
      <c r="BC543" s="314"/>
      <c r="BD543" s="314"/>
      <c r="BE543" s="314"/>
      <c r="BF543" s="314"/>
      <c r="BG543" s="364"/>
      <c r="BH543" s="364"/>
      <c r="BI543" s="314"/>
      <c r="BJ543" s="314"/>
      <c r="BK543" s="314"/>
      <c r="BL543" s="314"/>
      <c r="BM543" s="314"/>
      <c r="BN543" s="314"/>
      <c r="BO543" s="314"/>
      <c r="BP543" s="314"/>
      <c r="BQ543" s="314"/>
      <c r="BR543" s="314"/>
      <c r="BS543" s="314"/>
      <c r="BT543" s="314"/>
      <c r="BU543" s="314"/>
      <c r="BV543" s="314"/>
      <c r="BW543" s="314"/>
      <c r="BX543" s="314"/>
      <c r="BY543" s="314"/>
      <c r="BZ543" s="314"/>
      <c r="CA543" s="314"/>
      <c r="CB543" s="314"/>
      <c r="CC543" s="314"/>
      <c r="CD543" s="314"/>
      <c r="CE543" s="314"/>
      <c r="CF543" s="314"/>
      <c r="CG543" s="314"/>
      <c r="CH543" s="314"/>
      <c r="CI543" s="314"/>
      <c r="CJ543" s="314"/>
      <c r="CK543" s="314"/>
      <c r="CL543" s="314"/>
      <c r="CM543" s="314"/>
      <c r="CN543" s="314"/>
      <c r="CO543" s="314"/>
      <c r="CP543" s="314"/>
      <c r="CQ543" s="319"/>
    </row>
    <row r="544" spans="1:95" ht="12.75" customHeight="1" x14ac:dyDescent="0.25">
      <c r="A544" s="307"/>
      <c r="B544" s="68"/>
      <c r="C544" s="199" t="s">
        <v>13</v>
      </c>
      <c r="D544" s="344" t="str">
        <f>Translations!$B$360</f>
        <v>UCF:</v>
      </c>
      <c r="E544" s="345"/>
      <c r="F544" s="10"/>
      <c r="G544" s="1256" t="str">
        <f>IF(OR(ISBLANK(F544),F544=EUconst_NoTier),"",IF(Z544=0,EUconst_NotApplicable,IF(ISERROR(Z544),"",Z544)))</f>
        <v/>
      </c>
      <c r="H544" s="1257"/>
      <c r="I544" s="365" t="str">
        <f>IF(J544&lt;&gt;"","",AI544)</f>
        <v/>
      </c>
      <c r="J544" s="11"/>
      <c r="K544" s="366" t="str">
        <f>IF(L544="",AU544,"")</f>
        <v/>
      </c>
      <c r="L544" s="23"/>
      <c r="M544" s="347" t="str">
        <f>IF(AND(E537&lt;&gt;"",OR(F544="",COUNT(K544:L544)=0),Y544&lt;&gt;EUconst_NA),EUconst_ERR_Incomplete,IF(COUNTIF(BB544:BD544,TRUE)&gt;0,EUconst_ERR_Inconsistent,""))</f>
        <v/>
      </c>
      <c r="N544" s="367"/>
      <c r="O544" s="160"/>
      <c r="P544" s="109"/>
      <c r="Q544" s="312"/>
      <c r="R544" s="312"/>
      <c r="S544" s="314"/>
      <c r="T544" s="368" t="str">
        <f>EUconst_CNTR_UCF&amp;E537</f>
        <v>UCF_</v>
      </c>
      <c r="U544" s="312"/>
      <c r="V544" s="369" t="str">
        <f>V545</f>
        <v/>
      </c>
      <c r="W544" s="314"/>
      <c r="X544" s="312"/>
      <c r="Y544" s="370" t="str">
        <f>IF(E537="","",IF(OR(F544=EUconst_NA,W544=TRUE),EUconst_NA,INDEX(EUwideConstants!$P$164:$P$200,MATCH(T544,EUwideConstants!$S$164:$S$200,0))))</f>
        <v/>
      </c>
      <c r="Z544" s="371" t="str">
        <f>IF(ISBLANK(F544),"",IF(F544=EUconst_NA,"",INDEX(EUwideConstants!$H:$O,MATCH(T544,EUwideConstants!$S:$S,0),MATCH(F544,CNTR_TierList,0))))</f>
        <v/>
      </c>
      <c r="AA544" s="372" t="str">
        <f>IF(COUNTIF(EUconst_DefaultValues,Z544)&gt;0,MATCH(Z544,EUconst_DefaultValues,0),"")</f>
        <v/>
      </c>
      <c r="AB544" s="314"/>
      <c r="AC544" s="373" t="b">
        <f>AND(AC542,Y544&lt;&gt;EUconst_NA)</f>
        <v>0</v>
      </c>
      <c r="AD544" s="314"/>
      <c r="AE544" s="353" t="str">
        <f>EUconst_CNTR_UCF&amp;EUconst_Unit</f>
        <v>UCF_Unit</v>
      </c>
      <c r="AF544" s="374" t="str">
        <f>IF(AC544=TRUE, IF(COUNTIF(MSPara_SourceStreamCategory,V544)=0,"",INDEX(MSPara_CalcFactorsMatrix,MATCH(V544,MSPara_SourceStreamCategory,0),MATCH(AE544&amp;"_"&amp;2,MSPara_CalcFactors,0))),"")</f>
        <v/>
      </c>
      <c r="AG544" s="375" t="str">
        <f>IF(AC544=TRUE, IF(COUNTIF(MSPara_SourceStreamCategory,V544)=0,"",INDEX(MSPara_CalcFactorsMatrix,MATCH(V544,MSPara_SourceStreamCategory,0),MATCH(AE544&amp;"_"&amp;1,MSPara_CalcFactors,0))),"")</f>
        <v/>
      </c>
      <c r="AH544" s="373" t="str">
        <f>IF(AA544="","",INDEX(AF544:AG544,3-AA544))</f>
        <v/>
      </c>
      <c r="AI544" s="373" t="str">
        <f>IF(AC544=TRUE,IF(OR(AH544="",AH544=EUconst_NA),EUconst_GJ&amp;"/"&amp;AJ542,AH544),"")</f>
        <v/>
      </c>
      <c r="AJ544" s="373" t="str">
        <f>IF(J544="",AI544,J544)</f>
        <v/>
      </c>
      <c r="AK544" s="369" t="b">
        <f>AND(E536&lt;&gt;"",J544&lt;&gt;"")</f>
        <v>0</v>
      </c>
      <c r="AL544" s="326"/>
      <c r="AM544" s="358" t="s">
        <v>151</v>
      </c>
      <c r="AN544" s="359" t="str">
        <f>IF(AJ544="",EUconst_NA,IF(AN542=EUconst_TJ,EUconst_TJ,INDEX(EUwideConstants!$C$135:$G$139,MATCH(AN542,RFAUnits,0),MATCH(AJ544,UCFUnits,0))))</f>
        <v>n.a.</v>
      </c>
      <c r="AO544" s="326"/>
      <c r="AP544" s="326"/>
      <c r="AQ544" s="376" t="str">
        <f>EUconst_CNTR_UCF&amp;EUconst_Value</f>
        <v>UCF_Value</v>
      </c>
      <c r="AR544" s="377" t="str">
        <f>IF(AC544=TRUE,IF(COUNTIF(MSPara_SourceStreamCategory,V544)=0,"",INDEX(MSPara_CalcFactorsMatrix,MATCH(V544,MSPara_SourceStreamCategory,0),MATCH(AQ544&amp;"_"&amp;2,MSPara_CalcFactors,0))),"")</f>
        <v/>
      </c>
      <c r="AS544" s="378" t="str">
        <f>IF(AC544=TRUE,IF(COUNTIF(MSPara_SourceStreamCategory,V544)=0,"",INDEX(MSPara_CalcFactorsMatrix,MATCH(V544,MSPara_SourceStreamCategory,0),MATCH(AQ544&amp;"_"&amp;1,MSPara_CalcFactors,0))),"")</f>
        <v/>
      </c>
      <c r="AT544" s="379" t="b">
        <f>AND(AND(AH544&lt;&gt;"",AJ544&lt;&gt;""),AJ544=AH544)</f>
        <v>0</v>
      </c>
      <c r="AU544" s="380" t="str">
        <f>IF(AND(AA544&lt;&gt;"",AT544=TRUE),IF(OR(INDEX(AR544:AS544,3-AA544)=EUconst_NA,INDEX(AR544:AS544,3-AA544)=0),"",INDEX(AR544:AS544,3-AA544)),"")</f>
        <v/>
      </c>
      <c r="AV544" s="373">
        <f>IF(AC544=TRUE,IF(COUNT(K544:L544)=0,0,IF(L544="",K544,L544)),0)</f>
        <v>0</v>
      </c>
      <c r="AW544" s="369" t="b">
        <f t="shared" ref="AW544:AW551" si="153">AND(AC544=TRUE,OR(AND(F544&lt;&gt;"",NOT(ISNUMBER(AA544))),L544&lt;&gt;"",F544="",AU544=""))</f>
        <v>0</v>
      </c>
      <c r="AX544" s="381" t="b">
        <f t="shared" ref="AX544:AX551" si="154">AND(AC544=TRUE,NOT(AW544))</f>
        <v>0</v>
      </c>
      <c r="AY544" s="314"/>
      <c r="AZ544" s="382" t="b">
        <f t="shared" ref="AZ544:AZ551" si="155">AND(ISNUMBER(AA544),AU544="")</f>
        <v>0</v>
      </c>
      <c r="BA544" s="383" t="b">
        <f t="shared" ref="BA544:BA551" si="156">AND(ISNUMBER(AA544),AU544&lt;&gt;AV544)</f>
        <v>0</v>
      </c>
      <c r="BB544" s="369" t="b">
        <f>AND(E537&lt;&gt;"",F544&lt;&gt;EUconst_NA,AN544=EUconst_NA)</f>
        <v>0</v>
      </c>
      <c r="BC544" s="369" t="b">
        <f t="shared" ref="BC544:BC551" si="157">AND(L544&lt;&gt;"",Y544=EUconst_NA)</f>
        <v>0</v>
      </c>
      <c r="BD544" s="314"/>
      <c r="BE544" s="314"/>
      <c r="BF544" s="382" t="s">
        <v>152</v>
      </c>
      <c r="BG544" s="384" t="str">
        <f>IF(COUNTIF(AO545:AO546,TRUE)=0,"",BH544*AV553)</f>
        <v/>
      </c>
      <c r="BH544" s="384" t="str">
        <f>IF(COUNTIF(AO545:AO546,TRUE)=0,"",AV542*IF(AO545,1,AV544*AN546)*AV545*AV546)</f>
        <v/>
      </c>
      <c r="BI544" s="314"/>
      <c r="BJ544" s="314"/>
      <c r="BK544" s="314"/>
      <c r="BL544" s="314"/>
      <c r="BM544" s="314"/>
      <c r="BN544" s="314"/>
      <c r="BO544" s="314"/>
      <c r="BP544" s="314"/>
      <c r="BQ544" s="314"/>
      <c r="BR544" s="314"/>
      <c r="BS544" s="314"/>
      <c r="BT544" s="314"/>
      <c r="BU544" s="314"/>
      <c r="BV544" s="314"/>
      <c r="BW544" s="314"/>
      <c r="BX544" s="314"/>
      <c r="BY544" s="314"/>
      <c r="BZ544" s="314"/>
      <c r="CA544" s="314"/>
      <c r="CB544" s="314"/>
      <c r="CC544" s="314"/>
      <c r="CD544" s="314"/>
      <c r="CE544" s="314"/>
      <c r="CF544" s="314"/>
      <c r="CG544" s="314"/>
      <c r="CH544" s="314"/>
      <c r="CI544" s="314"/>
      <c r="CJ544" s="314"/>
      <c r="CK544" s="314"/>
      <c r="CL544" s="314"/>
      <c r="CM544" s="314"/>
      <c r="CN544" s="314"/>
      <c r="CO544" s="314"/>
      <c r="CP544" s="314"/>
      <c r="CQ544" s="369" t="b">
        <f>OR(CQ542,Y544=EUconst_NA)</f>
        <v>0</v>
      </c>
    </row>
    <row r="545" spans="1:95" ht="12.75" customHeight="1" thickBot="1" x14ac:dyDescent="0.3">
      <c r="A545" s="307"/>
      <c r="B545" s="68"/>
      <c r="C545" s="199" t="s">
        <v>14</v>
      </c>
      <c r="D545" s="344" t="str">
        <f>Translations!$B$358</f>
        <v>(prelim) EF:</v>
      </c>
      <c r="E545" s="345"/>
      <c r="F545" s="59"/>
      <c r="G545" s="1256" t="str">
        <f>IF(OR(ISBLANK(F545),F545=EUconst_NoTier),"",IF(Z545=0,EUconst_NotApplicable,IF(ISERROR(Z545),"",Z545)))</f>
        <v/>
      </c>
      <c r="H545" s="1260"/>
      <c r="I545" s="385" t="str">
        <f>IF(J545&lt;&gt;"","",AI545)</f>
        <v/>
      </c>
      <c r="J545" s="22"/>
      <c r="K545" s="386" t="str">
        <f>IF(L545="",AU545,"")</f>
        <v/>
      </c>
      <c r="L545" s="58"/>
      <c r="M545" s="347" t="str">
        <f>IF(AND(E537&lt;&gt;"",OR(F545="",COUNT(K545:L545)=0),Y545&lt;&gt;EUconst_NA),EUconst_ERR_Incomplete,IF(COUNTIF(BB545:BD545,TRUE)&gt;0,EUconst_ERR_Inconsistent,""))</f>
        <v/>
      </c>
      <c r="N545" s="387"/>
      <c r="O545" s="160"/>
      <c r="P545" s="109"/>
      <c r="Q545" s="312"/>
      <c r="R545" s="312"/>
      <c r="S545" s="314"/>
      <c r="T545" s="388" t="str">
        <f>EUconst_CNTR_EF&amp;E537</f>
        <v>EF_</v>
      </c>
      <c r="U545" s="312"/>
      <c r="V545" s="389" t="str">
        <f>V542</f>
        <v/>
      </c>
      <c r="W545" s="314"/>
      <c r="X545" s="312"/>
      <c r="Y545" s="390" t="str">
        <f>IF(E537="","",IF(OR(F545=EUconst_NA,W545=TRUE),EUconst_NA,INDEX(EUwideConstants!$P$164:$P$200,MATCH(T545,EUwideConstants!$S$164:$S$200,0))))</f>
        <v/>
      </c>
      <c r="Z545" s="391" t="str">
        <f>IF(ISBLANK(F545),"",IF(F545=EUconst_NA,"",INDEX(EUwideConstants!$H:$O,MATCH(T545,EUwideConstants!$S:$S,0),MATCH(F545,CNTR_TierList,0))))</f>
        <v/>
      </c>
      <c r="AA545" s="392" t="str">
        <f>IF(COUNTIF(EUconst_DefaultValues,Z545)&gt;0,MATCH(Z545,EUconst_DefaultValues,0),"")</f>
        <v/>
      </c>
      <c r="AB545" s="314"/>
      <c r="AC545" s="393" t="b">
        <f>AND(AC542,Y545&lt;&gt;EUconst_NA)</f>
        <v>0</v>
      </c>
      <c r="AD545" s="314"/>
      <c r="AE545" s="394" t="str">
        <f>EUconst_CNTR_EF&amp;EUconst_Unit</f>
        <v>EF_Unit</v>
      </c>
      <c r="AF545" s="395" t="str">
        <f>IF(AC545=TRUE, IF(COUNTIF(MSPara_SourceStreamCategory,V545)=0,"",INDEX(MSPara_CalcFactorsMatrix,MATCH(V545,MSPara_SourceStreamCategory,0),MATCH(AE545&amp;"_"&amp;2,MSPara_CalcFactors,0))),"")</f>
        <v/>
      </c>
      <c r="AG545" s="396" t="str">
        <f>IF(AC545=TRUE, IF(COUNTIF(MSPara_SourceStreamCategory,V545)=0,"",INDEX(MSPara_CalcFactorsMatrix,MATCH(V545,MSPara_SourceStreamCategory,0),MATCH(AE545&amp;"_"&amp;1,MSPara_CalcFactors,0))),"")</f>
        <v/>
      </c>
      <c r="AH545" s="397" t="str">
        <f>IF(AA545="","",INDEX(AF545:AG545,3-AA545))</f>
        <v/>
      </c>
      <c r="AI545" s="397" t="str">
        <f>IF(AC545=TRUE,IF(OR(AH545="",AH545=EUconst_NA),EUconst_tCO2&amp;"/"&amp;IF(AN544=EUconst_NA,AN542,IF(AN544=EUconst_GJ,EUconst_TJ,AN544)),AH545),"")</f>
        <v/>
      </c>
      <c r="AJ545" s="397" t="str">
        <f>IF(J545="",AI545,J545)</f>
        <v/>
      </c>
      <c r="AK545" s="398" t="b">
        <f>AND(E537&lt;&gt;"",J545&lt;&gt;"")</f>
        <v>0</v>
      </c>
      <c r="AL545" s="326"/>
      <c r="AM545" s="358" t="s">
        <v>153</v>
      </c>
      <c r="AN545" s="359" t="str">
        <f>IF(COUNTIF(RFAUnits,AN542)=0,EUconst_NA,INDEX(EUwideConstants!$C$150:$H$154,MATCH(AJ545,EFUnits,0),MATCH(AN542,EUwideConstants!$C$149:$H$149,0)))</f>
        <v>n.a.</v>
      </c>
      <c r="AO545" s="359" t="b">
        <f>AN545&lt;&gt;EUconst_NA</f>
        <v>0</v>
      </c>
      <c r="AP545" s="326"/>
      <c r="AQ545" s="399" t="str">
        <f>EUconst_CNTR_EF&amp;EUconst_Value</f>
        <v>EF_Value</v>
      </c>
      <c r="AR545" s="400" t="str">
        <f>IF(AC545=TRUE,IF(COUNTIF(MSPara_SourceStreamCategory,V545)=0,"",INDEX(MSPara_CalcFactorsMatrix,MATCH(V545,MSPara_SourceStreamCategory,0),MATCH(AQ545&amp;"_"&amp;2,MSPara_CalcFactors,0))),"")</f>
        <v/>
      </c>
      <c r="AS545" s="401" t="str">
        <f>IF(AC545=TRUE,IF(COUNTIF(MSPara_SourceStreamCategory,V545)=0,"",INDEX(MSPara_CalcFactorsMatrix,MATCH(V545,MSPara_SourceStreamCategory,0),MATCH(AQ545&amp;"_"&amp;1,MSPara_CalcFactors,0))),"")</f>
        <v/>
      </c>
      <c r="AT545" s="402" t="b">
        <f>AND(AND(AH545&lt;&gt;"",AJ545&lt;&gt;""),AJ545=AH545)</f>
        <v>0</v>
      </c>
      <c r="AU545" s="403" t="str">
        <f>IF(AND(AA545&lt;&gt;"",AT545=TRUE),IF(OR(INDEX(AR545:AS545,3-AA545)=EUconst_NA,INDEX(AR545:AS545,3-AA545)=0),"",INDEX(AR545:AS545,3-AA545)),"")</f>
        <v/>
      </c>
      <c r="AV545" s="393">
        <f>IF(AC545=TRUE,IF(COUNT(K545:L545)=0,0,IF(L545="",K545,L545)),0)</f>
        <v>0</v>
      </c>
      <c r="AW545" s="389" t="b">
        <f t="shared" si="153"/>
        <v>0</v>
      </c>
      <c r="AX545" s="404" t="b">
        <f t="shared" si="154"/>
        <v>0</v>
      </c>
      <c r="AY545" s="314"/>
      <c r="AZ545" s="405" t="b">
        <f t="shared" si="155"/>
        <v>0</v>
      </c>
      <c r="BA545" s="406" t="b">
        <f t="shared" si="156"/>
        <v>0</v>
      </c>
      <c r="BB545" s="407" t="b">
        <f>AND(E537&lt;&gt;"",COUNTIF(AO545:AO546,TRUE)=0)</f>
        <v>0</v>
      </c>
      <c r="BC545" s="389" t="b">
        <f t="shared" si="157"/>
        <v>0</v>
      </c>
      <c r="BD545" s="314"/>
      <c r="BE545" s="314"/>
      <c r="BF545" s="408" t="s">
        <v>154</v>
      </c>
      <c r="BG545" s="409" t="str">
        <f>IF(COUNTIF(AO545:AO546,TRUE)=0,"",BH545*AV553)</f>
        <v/>
      </c>
      <c r="BH545" s="409" t="str">
        <f>IF(COUNTIF(AO545:AO546,TRUE)=0,"",AV542*IF(AO545,1,AV544*AN546)*AV545*AV547)</f>
        <v/>
      </c>
      <c r="BI545" s="314"/>
      <c r="BJ545" s="314"/>
      <c r="BK545" s="314"/>
      <c r="BL545" s="314"/>
      <c r="BM545" s="314"/>
      <c r="BN545" s="314"/>
      <c r="BO545" s="314"/>
      <c r="BP545" s="314"/>
      <c r="BQ545" s="314"/>
      <c r="BR545" s="314"/>
      <c r="BS545" s="314"/>
      <c r="BT545" s="314"/>
      <c r="BU545" s="314"/>
      <c r="BV545" s="314"/>
      <c r="BW545" s="314"/>
      <c r="BX545" s="314"/>
      <c r="BY545" s="314"/>
      <c r="BZ545" s="314"/>
      <c r="CA545" s="314"/>
      <c r="CB545" s="314"/>
      <c r="CC545" s="314"/>
      <c r="CD545" s="314"/>
      <c r="CE545" s="314"/>
      <c r="CF545" s="314"/>
      <c r="CG545" s="314"/>
      <c r="CH545" s="314"/>
      <c r="CI545" s="314"/>
      <c r="CJ545" s="314"/>
      <c r="CK545" s="314"/>
      <c r="CL545" s="314"/>
      <c r="CM545" s="314"/>
      <c r="CN545" s="314"/>
      <c r="CO545" s="314"/>
      <c r="CP545" s="314"/>
      <c r="CQ545" s="407" t="b">
        <f>OR(CQ542,Y545=EUconst_NA)</f>
        <v>0</v>
      </c>
    </row>
    <row r="546" spans="1:95" ht="12.75" customHeight="1" x14ac:dyDescent="0.25">
      <c r="A546" s="307"/>
      <c r="B546" s="68"/>
      <c r="C546" s="199" t="s">
        <v>15</v>
      </c>
      <c r="D546" s="344" t="str">
        <f>Translations!$B$362</f>
        <v>BioF:</v>
      </c>
      <c r="E546" s="345"/>
      <c r="F546" s="10"/>
      <c r="G546" s="1256" t="str">
        <f>IF(OR(ISBLANK(F546),F546=EUconst_NoTier),"",IF(Z546=0,EUconst_NotApplicable,IF(ISERROR(Z546),"",Z546)))</f>
        <v/>
      </c>
      <c r="H546" s="1257"/>
      <c r="I546" s="410" t="str">
        <f t="shared" ref="I546:I551" si="158">IF(OR(AC546=FALSE,Y546=EUconst_NA),"","-")</f>
        <v/>
      </c>
      <c r="J546" s="411"/>
      <c r="K546" s="412" t="str">
        <f>IF(L546="",AU546,"")</f>
        <v/>
      </c>
      <c r="L546" s="60"/>
      <c r="M546" s="347" t="str">
        <f>IF(AND(E537&lt;&gt;"",OR(F546="",COUNT(K546:L546)=0),Y546&lt;&gt;EUconst_NA),EUconst_ERR_Incomplete,IF(COUNTIF(BB546:BD546,TRUE)&gt;0,EUconst_ERR_Inconsistent,""))</f>
        <v/>
      </c>
      <c r="O546" s="160"/>
      <c r="P546" s="348"/>
      <c r="Q546" s="413"/>
      <c r="R546" s="413"/>
      <c r="S546" s="314"/>
      <c r="T546" s="388" t="str">
        <f>EUconst_CNTR_BiomassContent&amp;E537</f>
        <v>BioC_</v>
      </c>
      <c r="U546" s="312"/>
      <c r="V546" s="369" t="str">
        <f>V544</f>
        <v/>
      </c>
      <c r="W546" s="369" t="str">
        <f>IF(OR(V546="",COUNTIF(MSPara_SourceStreamCategory,V546)=0),"",INDEX(MSPara_IsFossil,MATCH(V546,MSPara_SourceStreamCategory,0)))</f>
        <v/>
      </c>
      <c r="X546" s="312"/>
      <c r="Y546" s="370" t="str">
        <f>IF(E537="","",IF(OR(F546=EUconst_NA,W546=TRUE),EUconst_NA,INDEX(EUwideConstants!$P$164:$P$200,MATCH(T546,EUwideConstants!$S$164:$S$200,0))))</f>
        <v/>
      </c>
      <c r="Z546" s="371" t="str">
        <f>IF(ISBLANK(F546),"",IF(F546=EUconst_NA,"",INDEX(EUwideConstants!$H:$O,MATCH(T546,EUwideConstants!$S:$S,0),MATCH(F546,CNTR_TierList,0))))</f>
        <v/>
      </c>
      <c r="AA546" s="414" t="str">
        <f>IF(F546=1,1,"")</f>
        <v/>
      </c>
      <c r="AB546" s="314"/>
      <c r="AC546" s="373" t="b">
        <f>AND(AC542,Y546&lt;&gt;EUconst_NA)</f>
        <v>0</v>
      </c>
      <c r="AD546" s="314"/>
      <c r="AE546" s="415"/>
      <c r="AF546" s="416"/>
      <c r="AG546" s="417"/>
      <c r="AH546" s="418"/>
      <c r="AI546" s="418"/>
      <c r="AJ546" s="418"/>
      <c r="AK546" s="419"/>
      <c r="AL546" s="326"/>
      <c r="AM546" s="358" t="s">
        <v>155</v>
      </c>
      <c r="AN546" s="359" t="str">
        <f>IF(AN544=EUconst_NA,EUconst_NA,INDEX(EUwideConstants!$C$150:$H$154,MATCH(AJ545,EFUnits,0),MATCH(AN544,EUwideConstants!$C$149:$H$149,0)))</f>
        <v>n.a.</v>
      </c>
      <c r="AO546" s="359" t="b">
        <f>AN546&lt;&gt;EUconst_NA</f>
        <v>0</v>
      </c>
      <c r="AP546" s="326"/>
      <c r="AQ546" s="376" t="str">
        <f>EUconst_CNTR_BiomassContent&amp;EUconst_Value</f>
        <v>BioC_Value</v>
      </c>
      <c r="AR546" s="420"/>
      <c r="AS546" s="378" t="str">
        <f t="shared" ref="AS546:AS551" si="159">IF(AC546=TRUE,IF(COUNTIF(MSPara_SourceStreamCategory,V546)=0,"",INDEX(MSPara_CalcFactorsMatrix,MATCH(V546,MSPara_SourceStreamCategory,0),MATCH(AQ546&amp;"_"&amp;2,MSPara_CalcFactors,0))),"")</f>
        <v/>
      </c>
      <c r="AT546" s="421"/>
      <c r="AU546" s="380" t="str">
        <f t="shared" ref="AU546:AU551" si="160">IF(OR(AA546="",AS546=EUconst_NA),"",AS546)</f>
        <v/>
      </c>
      <c r="AV546" s="373">
        <f>IF(AC546=TRUE,IF(COUNT(K546:L546)=0,0,IF(L546="",K546,L546)),0)</f>
        <v>0</v>
      </c>
      <c r="AW546" s="369" t="b">
        <f t="shared" si="153"/>
        <v>0</v>
      </c>
      <c r="AX546" s="381" t="b">
        <f t="shared" si="154"/>
        <v>0</v>
      </c>
      <c r="AY546" s="314"/>
      <c r="AZ546" s="382" t="b">
        <f t="shared" si="155"/>
        <v>0</v>
      </c>
      <c r="BA546" s="383" t="b">
        <f t="shared" si="156"/>
        <v>0</v>
      </c>
      <c r="BB546" s="314"/>
      <c r="BC546" s="369" t="b">
        <f t="shared" si="157"/>
        <v>0</v>
      </c>
      <c r="BD546" s="369" t="b">
        <f>OR(AV546&gt;100%,(AV546+AV547)&gt;100%)</f>
        <v>0</v>
      </c>
      <c r="BE546" s="314"/>
      <c r="BF546" s="382" t="s">
        <v>156</v>
      </c>
      <c r="BG546" s="384" t="str">
        <f>IF(COUNTIF(AO545:AO546,TRUE)=0,"",BH546*AV553)</f>
        <v/>
      </c>
      <c r="BH546" s="384" t="str">
        <f>IF(COUNTIF(AO545:AO546,TRUE)=0,"",AV542*IF(AO545,1,AV544*AN546)*AV545*AV548)</f>
        <v/>
      </c>
      <c r="BJ546" s="314"/>
      <c r="BK546" s="314"/>
      <c r="BL546" s="314"/>
      <c r="BM546" s="314"/>
      <c r="BN546" s="314"/>
      <c r="BO546" s="314"/>
      <c r="BP546" s="314"/>
      <c r="BQ546" s="314"/>
      <c r="BR546" s="314"/>
      <c r="BS546" s="314"/>
      <c r="BT546" s="314"/>
      <c r="BU546" s="314"/>
      <c r="BV546" s="314"/>
      <c r="BW546" s="314"/>
      <c r="BX546" s="314"/>
      <c r="BY546" s="314"/>
      <c r="BZ546" s="314"/>
      <c r="CA546" s="314"/>
      <c r="CB546" s="314"/>
      <c r="CC546" s="314"/>
      <c r="CD546" s="314"/>
      <c r="CE546" s="314"/>
      <c r="CF546" s="314"/>
      <c r="CG546" s="314"/>
      <c r="CH546" s="314"/>
      <c r="CI546" s="314"/>
      <c r="CJ546" s="314"/>
      <c r="CK546" s="314"/>
      <c r="CL546" s="314"/>
      <c r="CM546" s="314"/>
      <c r="CN546" s="314"/>
      <c r="CO546" s="314"/>
      <c r="CP546" s="314"/>
      <c r="CQ546" s="369" t="b">
        <f>OR(CQ542,Y546=EUconst_NA)</f>
        <v>0</v>
      </c>
    </row>
    <row r="547" spans="1:95" ht="12.75" customHeight="1" thickBot="1" x14ac:dyDescent="0.3">
      <c r="A547" s="307"/>
      <c r="B547" s="68"/>
      <c r="C547" s="199" t="s">
        <v>16</v>
      </c>
      <c r="D547" s="344" t="str">
        <f>Translations!$B$368</f>
        <v>non-sust. BioF:</v>
      </c>
      <c r="E547" s="345"/>
      <c r="F547" s="20"/>
      <c r="G547" s="1256" t="str">
        <f>IF(OR(ISBLANK(F547),F547=EUconst_NoTier),"",IF(Z547=0,EUconst_NotApplicable,IF(ISERROR(Z547),"",Z547)))</f>
        <v/>
      </c>
      <c r="H547" s="1257"/>
      <c r="I547" s="422" t="str">
        <f t="shared" si="158"/>
        <v/>
      </c>
      <c r="J547" s="423"/>
      <c r="K547" s="424" t="str">
        <f>IF(L547="",AU547,"")</f>
        <v/>
      </c>
      <c r="L547" s="21"/>
      <c r="M547" s="347" t="str">
        <f>IF(AND(E537&lt;&gt;"",OR(F547="",COUNT(K547:L547)=0),Y547&lt;&gt;EUconst_NA),EUconst_ERR_Incomplete,IF(COUNTIF(BB547:BD547,TRUE)&gt;0,EUconst_ERR_Inconsistent,""))</f>
        <v/>
      </c>
      <c r="N547" s="76"/>
      <c r="O547" s="160"/>
      <c r="P547" s="348"/>
      <c r="Q547" s="413"/>
      <c r="R547" s="413"/>
      <c r="S547" s="314"/>
      <c r="T547" s="425" t="str">
        <f>EUconst_CNTR_BiomassContent&amp;E537</f>
        <v>BioC_</v>
      </c>
      <c r="U547" s="312"/>
      <c r="V547" s="407" t="str">
        <f>V546</f>
        <v/>
      </c>
      <c r="W547" s="407" t="str">
        <f>IF(OR(V546="",COUNTIF(MSPara_SourceStreamCategory,V547)=0),"",INDEX(MSPara_IsFossil,MATCH(V547,MSPara_SourceStreamCategory,0)))</f>
        <v/>
      </c>
      <c r="X547" s="312"/>
      <c r="Y547" s="426" t="str">
        <f>IF(E537="","",IF(OR(F547=EUconst_NA,W547=TRUE),EUconst_NA,INDEX(EUwideConstants!$P$164:$P$200,MATCH(T547,EUwideConstants!$S$164:$S$200,0))))</f>
        <v/>
      </c>
      <c r="Z547" s="427" t="str">
        <f>IF(ISBLANK(F547),"",IF(F547=EUconst_NA,"",INDEX(EUwideConstants!$H:$O,MATCH(T547,EUwideConstants!$S:$S,0),MATCH(F547,CNTR_TierList,0))))</f>
        <v/>
      </c>
      <c r="AA547" s="428" t="str">
        <f>IF(F547=1,1,"")</f>
        <v/>
      </c>
      <c r="AB547" s="314"/>
      <c r="AC547" s="429" t="b">
        <f>AND(AC542,Y547&lt;&gt;EUconst_NA)</f>
        <v>0</v>
      </c>
      <c r="AD547" s="314"/>
      <c r="AE547" s="430"/>
      <c r="AF547" s="431"/>
      <c r="AG547" s="432"/>
      <c r="AH547" s="433"/>
      <c r="AI547" s="433"/>
      <c r="AJ547" s="433"/>
      <c r="AK547" s="434"/>
      <c r="AL547" s="326"/>
      <c r="AM547" s="326"/>
      <c r="AN547" s="326"/>
      <c r="AO547" s="326"/>
      <c r="AP547" s="326"/>
      <c r="AQ547" s="435" t="str">
        <f>EUconst_CNTR_BiomassContent&amp;EUconst_Value</f>
        <v>BioC_Value</v>
      </c>
      <c r="AR547" s="430"/>
      <c r="AS547" s="436" t="str">
        <f t="shared" si="159"/>
        <v/>
      </c>
      <c r="AT547" s="437"/>
      <c r="AU547" s="438" t="str">
        <f t="shared" si="160"/>
        <v/>
      </c>
      <c r="AV547" s="429">
        <f>IF(AC547=TRUE,IF(COUNT(K547:L547)=0,0,IF(L547="",K547,L547)),0)</f>
        <v>0</v>
      </c>
      <c r="AW547" s="407" t="b">
        <f t="shared" si="153"/>
        <v>0</v>
      </c>
      <c r="AX547" s="439" t="b">
        <f t="shared" si="154"/>
        <v>0</v>
      </c>
      <c r="AY547" s="314"/>
      <c r="AZ547" s="408" t="b">
        <f t="shared" si="155"/>
        <v>0</v>
      </c>
      <c r="BA547" s="440" t="b">
        <f t="shared" si="156"/>
        <v>0</v>
      </c>
      <c r="BB547" s="314"/>
      <c r="BC547" s="407" t="b">
        <f t="shared" si="157"/>
        <v>0</v>
      </c>
      <c r="BD547" s="407" t="b">
        <f>OR(AV546&gt;100%,(AV546+AV547)&gt;100%)</f>
        <v>0</v>
      </c>
      <c r="BE547" s="314"/>
      <c r="BF547" s="408" t="s">
        <v>157</v>
      </c>
      <c r="BG547" s="409" t="str">
        <f>IF(COUNTIF(AO545:AO546,TRUE)=0,"",BH547*AV553)</f>
        <v/>
      </c>
      <c r="BH547" s="409" t="str">
        <f>IF(COUNTIF(AO545:AO546,TRUE)=0,"",AV542*IF(AO545,1,AV544*AN546)*AV545*AV549)</f>
        <v/>
      </c>
      <c r="BJ547" s="314"/>
      <c r="BK547" s="314"/>
      <c r="BL547" s="314"/>
      <c r="BM547" s="314"/>
      <c r="BN547" s="314"/>
      <c r="BO547" s="314"/>
      <c r="BP547" s="314"/>
      <c r="BQ547" s="314"/>
      <c r="BR547" s="314"/>
      <c r="BS547" s="314"/>
      <c r="BT547" s="314"/>
      <c r="BU547" s="314"/>
      <c r="BV547" s="314"/>
      <c r="BW547" s="314"/>
      <c r="BX547" s="314"/>
      <c r="BY547" s="314"/>
      <c r="BZ547" s="314"/>
      <c r="CA547" s="314"/>
      <c r="CB547" s="314"/>
      <c r="CC547" s="314"/>
      <c r="CD547" s="314"/>
      <c r="CE547" s="314"/>
      <c r="CF547" s="314"/>
      <c r="CG547" s="314"/>
      <c r="CH547" s="314"/>
      <c r="CI547" s="314"/>
      <c r="CJ547" s="314"/>
      <c r="CK547" s="314"/>
      <c r="CL547" s="314"/>
      <c r="CM547" s="314"/>
      <c r="CN547" s="314"/>
      <c r="CO547" s="314"/>
      <c r="CP547" s="314"/>
      <c r="CQ547" s="407" t="b">
        <f>OR(CQ542,Y547=EUconst_NA)</f>
        <v>0</v>
      </c>
    </row>
    <row r="548" spans="1:95" ht="12.75" customHeight="1" thickBot="1" x14ac:dyDescent="0.3">
      <c r="A548" s="307"/>
      <c r="B548" s="68"/>
      <c r="C548" s="199" t="s">
        <v>17</v>
      </c>
      <c r="D548" s="344" t="str">
        <f>Translations!$B$610</f>
        <v>sust. RFNBO/RCF:</v>
      </c>
      <c r="E548" s="441"/>
      <c r="F548" s="19" t="s">
        <v>158</v>
      </c>
      <c r="G548" s="1261"/>
      <c r="H548" s="1262"/>
      <c r="I548" s="442" t="str">
        <f t="shared" si="158"/>
        <v/>
      </c>
      <c r="J548" s="411"/>
      <c r="K548" s="443"/>
      <c r="L548" s="55"/>
      <c r="M548" s="347" t="str">
        <f>IF(AND(E537&lt;&gt;"",OR(F548="",COUNT(L548)=0),Y548&lt;&gt;EUconst_NA),EUconst_ERR_Incomplete,"")</f>
        <v/>
      </c>
      <c r="N548" s="76"/>
      <c r="O548" s="160"/>
      <c r="P548" s="348"/>
      <c r="Q548" s="413"/>
      <c r="R548" s="413"/>
      <c r="S548" s="314"/>
      <c r="T548" s="388" t="str">
        <f>EUconst_CNTR_RFNBOetcContent&amp;E537</f>
        <v>RNFBOC_</v>
      </c>
      <c r="U548" s="312"/>
      <c r="V548" s="312"/>
      <c r="W548" s="312"/>
      <c r="X548" s="312"/>
      <c r="Y548" s="380" t="str">
        <f>IF(E537="","",IF(OR(F548=EUconst_NA,W548=TRUE),EUconst_NA,INDEX(EUwideConstants!$P$164:$P$200,MATCH(T548,EUwideConstants!$S$164:$S$200,0))))</f>
        <v/>
      </c>
      <c r="Z548" s="314"/>
      <c r="AA548" s="314"/>
      <c r="AB548" s="314"/>
      <c r="AC548" s="397" t="b">
        <f>AND(AC544,Y548&lt;&gt;EUconst_NA)</f>
        <v>0</v>
      </c>
      <c r="AD548" s="314"/>
      <c r="AE548" s="415"/>
      <c r="AF548" s="416"/>
      <c r="AG548" s="417"/>
      <c r="AH548" s="418"/>
      <c r="AI548" s="418"/>
      <c r="AJ548" s="418"/>
      <c r="AK548" s="419"/>
      <c r="AL548" s="326"/>
      <c r="AM548" s="326"/>
      <c r="AN548" s="326"/>
      <c r="AO548" s="326"/>
      <c r="AP548" s="326"/>
      <c r="AQ548" s="444" t="s">
        <v>159</v>
      </c>
      <c r="AR548" s="415"/>
      <c r="AS548" s="445" t="str">
        <f t="shared" si="159"/>
        <v/>
      </c>
      <c r="AT548" s="446"/>
      <c r="AU548" s="447" t="str">
        <f t="shared" si="160"/>
        <v/>
      </c>
      <c r="AV548" s="397">
        <f>IF(L548&lt;&gt;0,L548,L548)</f>
        <v>0</v>
      </c>
      <c r="AW548" s="398" t="b">
        <f t="shared" si="153"/>
        <v>0</v>
      </c>
      <c r="AX548" s="448" t="b">
        <f t="shared" si="154"/>
        <v>0</v>
      </c>
      <c r="AY548" s="314"/>
      <c r="AZ548" s="449" t="b">
        <f t="shared" si="155"/>
        <v>0</v>
      </c>
      <c r="BA548" s="450" t="b">
        <f t="shared" si="156"/>
        <v>0</v>
      </c>
      <c r="BB548" s="314"/>
      <c r="BC548" s="398" t="b">
        <f t="shared" si="157"/>
        <v>0</v>
      </c>
      <c r="BD548" s="369" t="b">
        <f>OR(AV548&gt;100%,(AV548+AV549)&gt;100%)</f>
        <v>0</v>
      </c>
      <c r="BE548" s="314"/>
      <c r="BF548" s="451" t="s">
        <v>160</v>
      </c>
      <c r="BG548" s="452" t="str">
        <f>IF(COUNTIF(AO545:AO546,TRUE)=0,"",BH548*AV553)</f>
        <v/>
      </c>
      <c r="BH548" s="452" t="str">
        <f>IF(COUNTIF(AO545:AO546,TRUE)=0,"",AV542*IF(AO545,1,AV544*AN546)*AV545*AV550)</f>
        <v/>
      </c>
      <c r="BJ548" s="314"/>
      <c r="BK548" s="314"/>
      <c r="BL548" s="314"/>
      <c r="BM548" s="314"/>
      <c r="BN548" s="314"/>
      <c r="BO548" s="314"/>
      <c r="BP548" s="314"/>
      <c r="BQ548" s="314"/>
      <c r="BR548" s="314"/>
      <c r="BS548" s="314"/>
      <c r="BT548" s="314"/>
      <c r="BU548" s="314"/>
      <c r="BV548" s="314"/>
      <c r="BW548" s="314"/>
      <c r="BX548" s="314"/>
      <c r="BY548" s="314"/>
      <c r="BZ548" s="314"/>
      <c r="CA548" s="314"/>
      <c r="CB548" s="314"/>
      <c r="CC548" s="314"/>
      <c r="CD548" s="314"/>
      <c r="CE548" s="314"/>
      <c r="CF548" s="314"/>
      <c r="CG548" s="314"/>
      <c r="CH548" s="314"/>
      <c r="CI548" s="314"/>
      <c r="CJ548" s="314"/>
      <c r="CK548" s="314"/>
      <c r="CL548" s="314"/>
      <c r="CM548" s="314"/>
      <c r="CN548" s="314"/>
      <c r="CO548" s="314"/>
      <c r="CP548" s="314"/>
      <c r="CQ548" s="407" t="b">
        <f>OR(CQ542,Y548=EUconst_NA)</f>
        <v>0</v>
      </c>
    </row>
    <row r="549" spans="1:95" ht="12.75" customHeight="1" thickBot="1" x14ac:dyDescent="0.3">
      <c r="A549" s="307"/>
      <c r="B549" s="68"/>
      <c r="C549" s="199" t="s">
        <v>161</v>
      </c>
      <c r="D549" s="344" t="str">
        <f>Translations!$B$613</f>
        <v>non-sust. RFNBO/RCF:</v>
      </c>
      <c r="E549" s="441"/>
      <c r="F549" s="20" t="s">
        <v>158</v>
      </c>
      <c r="G549" s="1261"/>
      <c r="H549" s="1262"/>
      <c r="I549" s="422" t="str">
        <f t="shared" si="158"/>
        <v/>
      </c>
      <c r="J549" s="423"/>
      <c r="K549" s="443"/>
      <c r="L549" s="56"/>
      <c r="M549" s="347" t="str">
        <f>IF(AND(E537&lt;&gt;"",OR(F549="",COUNT(L549)=0),Y549&lt;&gt;EUconst_NA),EUconst_ERR_Incomplete,"")</f>
        <v/>
      </c>
      <c r="N549" s="76"/>
      <c r="O549" s="160"/>
      <c r="P549" s="348"/>
      <c r="Q549" s="413"/>
      <c r="R549" s="413"/>
      <c r="S549" s="314"/>
      <c r="T549" s="425" t="str">
        <f>EUconst_CNTR_RFNBOetcContent&amp;E537</f>
        <v>RNFBOC_</v>
      </c>
      <c r="U549" s="312"/>
      <c r="V549" s="312"/>
      <c r="W549" s="312"/>
      <c r="X549" s="312"/>
      <c r="Y549" s="438" t="str">
        <f>IF(E537="","",IF(OR(F549=EUconst_NA,W549=TRUE),EUconst_NA,INDEX(EUwideConstants!$P$164:$P$200,MATCH(T549,EUwideConstants!$S$164:$S$200,0))))</f>
        <v/>
      </c>
      <c r="Z549" s="314"/>
      <c r="AA549" s="314"/>
      <c r="AB549" s="314"/>
      <c r="AC549" s="429" t="b">
        <f>AND(AC544,Y549&lt;&gt;EUconst_NA)</f>
        <v>0</v>
      </c>
      <c r="AD549" s="314"/>
      <c r="AE549" s="430"/>
      <c r="AF549" s="431"/>
      <c r="AG549" s="432"/>
      <c r="AH549" s="433"/>
      <c r="AI549" s="433"/>
      <c r="AJ549" s="433"/>
      <c r="AK549" s="434"/>
      <c r="AL549" s="326"/>
      <c r="AM549" s="326"/>
      <c r="AN549" s="326"/>
      <c r="AO549" s="326"/>
      <c r="AP549" s="326"/>
      <c r="AQ549" s="435" t="s">
        <v>159</v>
      </c>
      <c r="AR549" s="430"/>
      <c r="AS549" s="436" t="str">
        <f t="shared" si="159"/>
        <v/>
      </c>
      <c r="AT549" s="437"/>
      <c r="AU549" s="438" t="str">
        <f t="shared" si="160"/>
        <v/>
      </c>
      <c r="AV549" s="429">
        <f t="shared" ref="AV549:AV551" si="161">IF(L549&lt;&gt;0,L549,L549)</f>
        <v>0</v>
      </c>
      <c r="AW549" s="407" t="b">
        <f t="shared" si="153"/>
        <v>0</v>
      </c>
      <c r="AX549" s="439" t="b">
        <f t="shared" si="154"/>
        <v>0</v>
      </c>
      <c r="AY549" s="314"/>
      <c r="AZ549" s="408" t="b">
        <f t="shared" si="155"/>
        <v>0</v>
      </c>
      <c r="BA549" s="440" t="b">
        <f t="shared" si="156"/>
        <v>0</v>
      </c>
      <c r="BB549" s="314"/>
      <c r="BC549" s="407" t="b">
        <f t="shared" si="157"/>
        <v>0</v>
      </c>
      <c r="BD549" s="407" t="b">
        <f>OR(AV548&gt;100%,(AV548+AV549)&gt;100%)</f>
        <v>0</v>
      </c>
      <c r="BE549" s="314"/>
      <c r="BF549" s="408" t="s">
        <v>162</v>
      </c>
      <c r="BG549" s="409" t="str">
        <f>IF(COUNTIF(AO545:AO546,TRUE)=0,"",BH549*AV553)</f>
        <v/>
      </c>
      <c r="BH549" s="409" t="str">
        <f>IF(COUNTIF(AO545:AO546,TRUE)=0,"",AV542*IF(AO545,1,AV544*AN546)*AV545*AV551)</f>
        <v/>
      </c>
      <c r="BJ549" s="314"/>
      <c r="BK549" s="314"/>
      <c r="BL549" s="314"/>
      <c r="BM549" s="314"/>
      <c r="BN549" s="314"/>
      <c r="BO549" s="314"/>
      <c r="BP549" s="314"/>
      <c r="BQ549" s="314"/>
      <c r="BR549" s="314"/>
      <c r="BS549" s="314"/>
      <c r="BT549" s="314"/>
      <c r="BU549" s="314"/>
      <c r="BV549" s="314"/>
      <c r="BW549" s="314"/>
      <c r="BX549" s="314"/>
      <c r="BY549" s="314"/>
      <c r="BZ549" s="314"/>
      <c r="CA549" s="314"/>
      <c r="CB549" s="314"/>
      <c r="CC549" s="314"/>
      <c r="CD549" s="314"/>
      <c r="CE549" s="314"/>
      <c r="CF549" s="314"/>
      <c r="CG549" s="314"/>
      <c r="CH549" s="314"/>
      <c r="CI549" s="314"/>
      <c r="CJ549" s="314"/>
      <c r="CK549" s="314"/>
      <c r="CL549" s="314"/>
      <c r="CM549" s="314"/>
      <c r="CN549" s="314"/>
      <c r="CO549" s="314"/>
      <c r="CP549" s="314"/>
      <c r="CQ549" s="407" t="b">
        <f>OR(CQ542,Y549=EUconst_NA)</f>
        <v>0</v>
      </c>
    </row>
    <row r="550" spans="1:95" ht="12.75" customHeight="1" thickBot="1" x14ac:dyDescent="0.3">
      <c r="A550" s="307"/>
      <c r="B550" s="68"/>
      <c r="C550" s="199" t="s">
        <v>163</v>
      </c>
      <c r="D550" s="344" t="str">
        <f>Translations!$B$615</f>
        <v>sust. SLCF:</v>
      </c>
      <c r="E550" s="441"/>
      <c r="F550" s="19" t="s">
        <v>158</v>
      </c>
      <c r="G550" s="1261"/>
      <c r="H550" s="1262"/>
      <c r="I550" s="442" t="str">
        <f t="shared" si="158"/>
        <v/>
      </c>
      <c r="J550" s="411"/>
      <c r="K550" s="443"/>
      <c r="L550" s="57"/>
      <c r="M550" s="347" t="str">
        <f>IF(AND(E537&lt;&gt;"",OR(F550="",COUNT(L550)=0),Y550&lt;&gt;EUconst_NA),EUconst_ERR_Incomplete,"")</f>
        <v/>
      </c>
      <c r="N550" s="76"/>
      <c r="O550" s="160"/>
      <c r="P550" s="348"/>
      <c r="Q550" s="413"/>
      <c r="R550" s="413"/>
      <c r="S550" s="314"/>
      <c r="T550" s="388" t="str">
        <f>EUconst_CNTR_RFNBOetcContent&amp;E537</f>
        <v>RNFBOC_</v>
      </c>
      <c r="U550" s="312"/>
      <c r="V550" s="312"/>
      <c r="W550" s="312"/>
      <c r="X550" s="312"/>
      <c r="Y550" s="447" t="str">
        <f>IF(E537="","",IF(OR(F550=EUconst_NA,W550=TRUE),EUconst_NA,INDEX(EUwideConstants!$P$164:$P$200,MATCH(T550,EUwideConstants!$S$164:$S$200,0))))</f>
        <v/>
      </c>
      <c r="Z550" s="314"/>
      <c r="AA550" s="314"/>
      <c r="AB550" s="314"/>
      <c r="AC550" s="397" t="b">
        <f>AND(AC546,Y550&lt;&gt;EUconst_NA)</f>
        <v>0</v>
      </c>
      <c r="AD550" s="314"/>
      <c r="AE550" s="415"/>
      <c r="AF550" s="416"/>
      <c r="AG550" s="417"/>
      <c r="AH550" s="418"/>
      <c r="AI550" s="418"/>
      <c r="AJ550" s="418"/>
      <c r="AK550" s="419"/>
      <c r="AL550" s="326"/>
      <c r="AM550" s="326"/>
      <c r="AN550" s="326"/>
      <c r="AO550" s="326"/>
      <c r="AP550" s="326"/>
      <c r="AQ550" s="444" t="s">
        <v>159</v>
      </c>
      <c r="AR550" s="415"/>
      <c r="AS550" s="445" t="str">
        <f t="shared" si="159"/>
        <v/>
      </c>
      <c r="AT550" s="446"/>
      <c r="AU550" s="447" t="str">
        <f t="shared" si="160"/>
        <v/>
      </c>
      <c r="AV550" s="397">
        <f t="shared" si="161"/>
        <v>0</v>
      </c>
      <c r="AW550" s="398" t="b">
        <f t="shared" si="153"/>
        <v>0</v>
      </c>
      <c r="AX550" s="448" t="b">
        <f t="shared" si="154"/>
        <v>0</v>
      </c>
      <c r="AY550" s="314"/>
      <c r="AZ550" s="449" t="b">
        <f t="shared" si="155"/>
        <v>0</v>
      </c>
      <c r="BA550" s="450" t="b">
        <f t="shared" si="156"/>
        <v>0</v>
      </c>
      <c r="BB550" s="314"/>
      <c r="BC550" s="398" t="b">
        <f t="shared" si="157"/>
        <v>0</v>
      </c>
      <c r="BD550" s="369" t="b">
        <f>OR(AV550&gt;100%,(AV550+AV551)&gt;100%)</f>
        <v>0</v>
      </c>
      <c r="BE550" s="314"/>
      <c r="BF550" s="451" t="s">
        <v>164</v>
      </c>
      <c r="BG550" s="452">
        <f>IF(AN542=EUconst_TJ,AV542*(1-AV546),IF(AN544=EUconst_GJ,AV542*AV544/1000,0))-SUM(BG551:BG557)</f>
        <v>0</v>
      </c>
      <c r="BH550" s="314"/>
      <c r="BI550" s="314"/>
      <c r="BJ550" s="314"/>
      <c r="BK550" s="314"/>
      <c r="BL550" s="314"/>
      <c r="BM550" s="314"/>
      <c r="BN550" s="314"/>
      <c r="BO550" s="314"/>
      <c r="BP550" s="314"/>
      <c r="BQ550" s="314"/>
      <c r="BR550" s="314"/>
      <c r="BS550" s="314"/>
      <c r="BT550" s="314"/>
      <c r="BU550" s="314"/>
      <c r="BV550" s="314"/>
      <c r="BW550" s="314"/>
      <c r="BX550" s="314"/>
      <c r="BY550" s="314"/>
      <c r="BZ550" s="314"/>
      <c r="CA550" s="314"/>
      <c r="CB550" s="314"/>
      <c r="CC550" s="314"/>
      <c r="CD550" s="314"/>
      <c r="CE550" s="314"/>
      <c r="CF550" s="314"/>
      <c r="CG550" s="314"/>
      <c r="CH550" s="314"/>
      <c r="CI550" s="314"/>
      <c r="CJ550" s="314"/>
      <c r="CK550" s="314"/>
      <c r="CL550" s="314"/>
      <c r="CM550" s="314"/>
      <c r="CN550" s="314"/>
      <c r="CO550" s="314"/>
      <c r="CP550" s="314"/>
      <c r="CQ550" s="407" t="b">
        <f>OR(CQ542,Y550=EUconst_NA)</f>
        <v>0</v>
      </c>
    </row>
    <row r="551" spans="1:95" ht="12.75" customHeight="1" thickBot="1" x14ac:dyDescent="0.3">
      <c r="A551" s="307"/>
      <c r="B551" s="68"/>
      <c r="C551" s="199" t="s">
        <v>165</v>
      </c>
      <c r="D551" s="344" t="str">
        <f>Translations!$B$618</f>
        <v>non-sust. SLCF:</v>
      </c>
      <c r="E551" s="441"/>
      <c r="F551" s="20" t="s">
        <v>158</v>
      </c>
      <c r="G551" s="1261"/>
      <c r="H551" s="1262"/>
      <c r="I551" s="422" t="str">
        <f t="shared" si="158"/>
        <v/>
      </c>
      <c r="J551" s="423"/>
      <c r="K551" s="443"/>
      <c r="L551" s="56"/>
      <c r="M551" s="347" t="str">
        <f>IF(AND(E537&lt;&gt;"",OR(F551="",COUNT(L551)=0),Y551&lt;&gt;EUconst_NA),EUconst_ERR_Incomplete,"")</f>
        <v/>
      </c>
      <c r="N551" s="76"/>
      <c r="O551" s="160"/>
      <c r="P551" s="348"/>
      <c r="Q551" s="413"/>
      <c r="R551" s="413"/>
      <c r="S551" s="314"/>
      <c r="T551" s="425" t="str">
        <f>EUconst_CNTR_RFNBOetcContent&amp;E537</f>
        <v>RNFBOC_</v>
      </c>
      <c r="U551" s="312"/>
      <c r="V551" s="312"/>
      <c r="W551" s="312"/>
      <c r="X551" s="312"/>
      <c r="Y551" s="438" t="str">
        <f>IF(E537="","",IF(OR(F551=EUconst_NA,W551=TRUE),EUconst_NA,INDEX(EUwideConstants!$P$164:$P$200,MATCH(T551,EUwideConstants!$S$164:$S$200,0))))</f>
        <v/>
      </c>
      <c r="Z551" s="314"/>
      <c r="AA551" s="314"/>
      <c r="AB551" s="314"/>
      <c r="AC551" s="429" t="b">
        <f>AND(AC546,Y551&lt;&gt;EUconst_NA)</f>
        <v>0</v>
      </c>
      <c r="AD551" s="314"/>
      <c r="AE551" s="430"/>
      <c r="AF551" s="431"/>
      <c r="AG551" s="432"/>
      <c r="AH551" s="433"/>
      <c r="AI551" s="433"/>
      <c r="AJ551" s="433"/>
      <c r="AK551" s="434"/>
      <c r="AL551" s="326"/>
      <c r="AM551" s="326"/>
      <c r="AN551" s="326"/>
      <c r="AO551" s="326"/>
      <c r="AP551" s="326"/>
      <c r="AQ551" s="435" t="s">
        <v>159</v>
      </c>
      <c r="AR551" s="430"/>
      <c r="AS551" s="436" t="str">
        <f t="shared" si="159"/>
        <v/>
      </c>
      <c r="AT551" s="437"/>
      <c r="AU551" s="438" t="str">
        <f t="shared" si="160"/>
        <v/>
      </c>
      <c r="AV551" s="429">
        <f t="shared" si="161"/>
        <v>0</v>
      </c>
      <c r="AW551" s="407" t="b">
        <f t="shared" si="153"/>
        <v>0</v>
      </c>
      <c r="AX551" s="439" t="b">
        <f t="shared" si="154"/>
        <v>0</v>
      </c>
      <c r="AY551" s="314"/>
      <c r="AZ551" s="408" t="b">
        <f t="shared" si="155"/>
        <v>0</v>
      </c>
      <c r="BA551" s="440" t="b">
        <f t="shared" si="156"/>
        <v>0</v>
      </c>
      <c r="BB551" s="314"/>
      <c r="BC551" s="407" t="b">
        <f t="shared" si="157"/>
        <v>0</v>
      </c>
      <c r="BD551" s="407" t="b">
        <f>OR(AV550&gt;100%,(AV550+AV551)&gt;100%)</f>
        <v>0</v>
      </c>
      <c r="BE551" s="314"/>
      <c r="BF551" s="408" t="s">
        <v>166</v>
      </c>
      <c r="BG551" s="409" t="str">
        <f>IF(AN542=EUconst_TJ,AV542*AV546,IF(AN544=EUconst_GJ,AV542*AV544/1000*AV546,""))</f>
        <v/>
      </c>
      <c r="BH551" s="314"/>
      <c r="BI551" s="314"/>
      <c r="BJ551" s="314"/>
      <c r="BK551" s="314"/>
      <c r="BL551" s="314"/>
      <c r="BM551" s="314"/>
      <c r="BN551" s="314"/>
      <c r="BO551" s="314"/>
      <c r="BP551" s="314"/>
      <c r="BQ551" s="314"/>
      <c r="BR551" s="314"/>
      <c r="BS551" s="314"/>
      <c r="BT551" s="314"/>
      <c r="BU551" s="314"/>
      <c r="BV551" s="314"/>
      <c r="BW551" s="314"/>
      <c r="BX551" s="314"/>
      <c r="BY551" s="314"/>
      <c r="BZ551" s="314"/>
      <c r="CA551" s="314"/>
      <c r="CB551" s="314"/>
      <c r="CC551" s="314"/>
      <c r="CD551" s="314"/>
      <c r="CE551" s="314"/>
      <c r="CF551" s="314"/>
      <c r="CG551" s="314"/>
      <c r="CH551" s="314"/>
      <c r="CI551" s="314"/>
      <c r="CJ551" s="314"/>
      <c r="CK551" s="314"/>
      <c r="CL551" s="314"/>
      <c r="CM551" s="314"/>
      <c r="CN551" s="314"/>
      <c r="CO551" s="314"/>
      <c r="CP551" s="314"/>
      <c r="CQ551" s="407" t="b">
        <f>OR(CQ542,Y551=EUconst_NA)</f>
        <v>0</v>
      </c>
    </row>
    <row r="552" spans="1:95" ht="5.15" customHeight="1" thickBot="1" x14ac:dyDescent="0.3">
      <c r="A552" s="307"/>
      <c r="B552" s="68"/>
      <c r="C552" s="68"/>
      <c r="D552" s="205"/>
      <c r="E552" s="76"/>
      <c r="F552" s="76"/>
      <c r="G552" s="76"/>
      <c r="H552" s="76"/>
      <c r="I552" s="76"/>
      <c r="J552" s="76"/>
      <c r="K552" s="76"/>
      <c r="L552" s="76"/>
      <c r="M552" s="453"/>
      <c r="N552" s="76"/>
      <c r="O552" s="160"/>
      <c r="P552" s="109"/>
      <c r="Q552" s="312"/>
      <c r="R552" s="312"/>
      <c r="S552" s="314"/>
      <c r="T552" s="314"/>
      <c r="U552" s="314"/>
      <c r="V552" s="314"/>
      <c r="W552" s="314"/>
      <c r="X552" s="314"/>
      <c r="Y552" s="314"/>
      <c r="Z552" s="314"/>
      <c r="AA552" s="314"/>
      <c r="AB552" s="314"/>
      <c r="AC552" s="314"/>
      <c r="AD552" s="314"/>
      <c r="AE552" s="314"/>
      <c r="AF552" s="314"/>
      <c r="AG552" s="314"/>
      <c r="AH552" s="314"/>
      <c r="AI552" s="314"/>
      <c r="AJ552" s="314"/>
      <c r="AK552" s="314"/>
      <c r="AL552" s="314"/>
      <c r="AM552" s="314"/>
      <c r="AN552" s="314"/>
      <c r="AO552" s="314"/>
      <c r="AP552" s="314"/>
      <c r="AQ552" s="314"/>
      <c r="AR552" s="314"/>
      <c r="AS552" s="314"/>
      <c r="AT552" s="314"/>
      <c r="AU552" s="314"/>
      <c r="AV552" s="314"/>
      <c r="AW552" s="314"/>
      <c r="AX552" s="314"/>
      <c r="AY552" s="314"/>
      <c r="AZ552" s="314"/>
      <c r="BA552" s="314"/>
      <c r="BB552" s="314"/>
      <c r="BC552" s="314"/>
      <c r="BD552" s="314"/>
      <c r="BE552" s="314"/>
      <c r="BF552" s="314"/>
      <c r="BG552" s="364"/>
      <c r="BH552" s="314"/>
      <c r="BI552" s="314"/>
      <c r="BJ552" s="314"/>
      <c r="BK552" s="314"/>
      <c r="BL552" s="314"/>
      <c r="BM552" s="314"/>
      <c r="BN552" s="314"/>
      <c r="BO552" s="314"/>
      <c r="BP552" s="314"/>
      <c r="BQ552" s="314"/>
      <c r="BR552" s="314"/>
      <c r="BS552" s="314"/>
      <c r="BT552" s="314"/>
      <c r="BU552" s="314"/>
      <c r="BV552" s="314"/>
      <c r="BW552" s="314"/>
      <c r="BX552" s="314"/>
      <c r="BY552" s="314"/>
      <c r="BZ552" s="314"/>
      <c r="CA552" s="314"/>
      <c r="CB552" s="314"/>
      <c r="CC552" s="314"/>
      <c r="CD552" s="314"/>
      <c r="CE552" s="314"/>
      <c r="CF552" s="314"/>
      <c r="CG552" s="314"/>
      <c r="CH552" s="314"/>
      <c r="CI552" s="314"/>
      <c r="CJ552" s="314"/>
      <c r="CK552" s="314"/>
      <c r="CL552" s="314"/>
      <c r="CM552" s="314"/>
      <c r="CN552" s="314"/>
      <c r="CO552" s="314"/>
      <c r="CP552" s="314"/>
      <c r="CQ552" s="314"/>
    </row>
    <row r="553" spans="1:95" ht="12.75" customHeight="1" thickBot="1" x14ac:dyDescent="0.3">
      <c r="A553" s="307"/>
      <c r="B553" s="68"/>
      <c r="C553" s="199" t="s">
        <v>167</v>
      </c>
      <c r="D553" s="344" t="str">
        <f>Translations!$B$398</f>
        <v>Scope factor:</v>
      </c>
      <c r="E553" s="454"/>
      <c r="F553" s="992"/>
      <c r="G553" s="1263"/>
      <c r="H553" s="1264"/>
      <c r="I553" s="455" t="s">
        <v>46</v>
      </c>
      <c r="J553" s="456"/>
      <c r="K553" s="457" t="str">
        <f>IF(L553="",AU553,"")</f>
        <v/>
      </c>
      <c r="L553" s="16"/>
      <c r="M553" s="458" t="str">
        <f>IF(AND(E537&lt;&gt;"",OR(F553="",G553="",COUNT(K553:L553)=0)),EUconst_ERR_Incomplete,IF(COUNTIF(BB553:BD553,TRUE)&gt;0,EUconst_ERR_Inconsistent,""))</f>
        <v/>
      </c>
      <c r="N553" s="76"/>
      <c r="O553" s="160"/>
      <c r="P553" s="109"/>
      <c r="Q553" s="312"/>
      <c r="R553" s="314"/>
      <c r="S553" s="297"/>
      <c r="T553" s="459" t="str">
        <f>EUconst_CNTR_ScopeFactor&amp;E537</f>
        <v>ScopeFactor_</v>
      </c>
      <c r="U553" s="231" t="str">
        <f>IF(F553="","",INDEX(ScopeAddress,MATCH(F553,ScopeTiers,0)))</f>
        <v/>
      </c>
      <c r="V553" s="360" t="str">
        <f>V542</f>
        <v/>
      </c>
      <c r="W553" s="314"/>
      <c r="X553" s="314"/>
      <c r="Y553" s="460" t="str">
        <f>IF(E537="","",IF(F553=EUconst_NA,EUconst_NA,INDEX(EUwideConstants!$P$164:$P$200,MATCH(T553,EUwideConstants!$S$164:$S$200,0))))</f>
        <v/>
      </c>
      <c r="Z553" s="461" t="str">
        <f>IF(ISBLANK(F553),"",IF(F553=EUconst_NA,"",INDEX(EUwideConstants!$H:$O,MATCH(T553,EUwideConstants!$S:$S,0),MATCH(F553,CNTR_TierList,0))))</f>
        <v/>
      </c>
      <c r="AA553" s="331" t="str">
        <f>IF(G553=EUwideConstants!$A$89,1,"")</f>
        <v/>
      </c>
      <c r="AB553" s="314"/>
      <c r="AC553" s="331" t="b">
        <f>AND(AC542,Y553&lt;&gt;EUconst_NA)</f>
        <v>0</v>
      </c>
      <c r="AD553" s="314"/>
      <c r="AE553" s="314"/>
      <c r="AF553" s="314"/>
      <c r="AG553" s="319"/>
      <c r="AH553" s="314"/>
      <c r="AI553" s="314"/>
      <c r="AJ553" s="314"/>
      <c r="AK553" s="314"/>
      <c r="AL553" s="314"/>
      <c r="AM553" s="314"/>
      <c r="AN553" s="314"/>
      <c r="AO553" s="314"/>
      <c r="AP553" s="314"/>
      <c r="AQ553" s="314"/>
      <c r="AR553" s="314"/>
      <c r="AS553" s="328">
        <v>1</v>
      </c>
      <c r="AT553" s="314"/>
      <c r="AU553" s="319" t="str">
        <f>IF(G553=EUwideConstants!$A$89,AS553,"")</f>
        <v/>
      </c>
      <c r="AV553" s="331">
        <f>IF(AC553=TRUE,IF(COUNT(K553:L553)=0,0,IF(L553="",K553,L553)),0)</f>
        <v>0</v>
      </c>
      <c r="AW553" s="360" t="b">
        <f>AND(AC553=TRUE,OR(AND(F553&lt;&gt;"",NOT(ISNUMBER(AA553))),L553&lt;&gt;"",F553="",AU553=""))</f>
        <v>0</v>
      </c>
      <c r="AX553" s="357" t="b">
        <f>AND(AC553=TRUE,NOT(AW553))</f>
        <v>0</v>
      </c>
      <c r="AY553" s="314"/>
      <c r="AZ553" s="361" t="b">
        <f>AND(ISNUMBER(AA553),AU553="")</f>
        <v>0</v>
      </c>
      <c r="BA553" s="351" t="b">
        <f>AND(ISNUMBER(AA553),AU553&lt;&gt;AV553)</f>
        <v>0</v>
      </c>
      <c r="BB553" s="314"/>
      <c r="BC553" s="360" t="b">
        <f>AND(F553&lt;&gt;"",OR(COUNTIF(INDEX(ScopeMethods,F553,),G553)=0,AND(AA553&lt;&gt;"",AU553&lt;&gt;AV553)))</f>
        <v>0</v>
      </c>
      <c r="BD553" s="314"/>
      <c r="BE553" s="314"/>
      <c r="BF553" s="361" t="s">
        <v>168</v>
      </c>
      <c r="BG553" s="362" t="str">
        <f>IF(AN542=EUconst_TJ,AV542*AV548,IF(AN544=EUconst_GJ,AV542*AV544/1000*AV548,""))</f>
        <v/>
      </c>
      <c r="BH553" s="314"/>
      <c r="BI553" s="314"/>
      <c r="BJ553" s="314"/>
      <c r="BK553" s="314"/>
      <c r="BL553" s="314"/>
      <c r="BM553" s="314"/>
      <c r="BN553" s="314"/>
      <c r="BO553" s="314"/>
      <c r="BP553" s="314"/>
      <c r="BQ553" s="314"/>
      <c r="BR553" s="314"/>
      <c r="BS553" s="314"/>
      <c r="BT553" s="314"/>
      <c r="BU553" s="314"/>
      <c r="BV553" s="314"/>
      <c r="BW553" s="314"/>
      <c r="BX553" s="314"/>
      <c r="BY553" s="314"/>
      <c r="BZ553" s="314"/>
      <c r="CA553" s="314"/>
      <c r="CB553" s="314"/>
      <c r="CC553" s="314"/>
      <c r="CD553" s="314"/>
      <c r="CE553" s="314"/>
      <c r="CF553" s="314"/>
      <c r="CG553" s="314"/>
      <c r="CH553" s="314"/>
      <c r="CI553" s="314"/>
      <c r="CJ553" s="314"/>
      <c r="CK553" s="314"/>
      <c r="CL553" s="314"/>
      <c r="CM553" s="314"/>
      <c r="CN553" s="314"/>
      <c r="CO553" s="314"/>
      <c r="CP553" s="314"/>
      <c r="CQ553" s="314"/>
    </row>
    <row r="554" spans="1:95" ht="12.75" customHeight="1" x14ac:dyDescent="0.25">
      <c r="A554" s="307"/>
      <c r="B554" s="68"/>
      <c r="C554" s="68"/>
      <c r="D554" s="68"/>
      <c r="E554" s="68"/>
      <c r="F554" s="68"/>
      <c r="G554" s="1265" t="str">
        <f>IF(G553="","",INDEX(ScopeMethodsDetails,MATCH(G553,INDEX(ScopeMethodsDetails,,1),0),2))</f>
        <v/>
      </c>
      <c r="H554" s="1266"/>
      <c r="I554" s="1266"/>
      <c r="J554" s="1266"/>
      <c r="K554" s="1266"/>
      <c r="L554" s="1266"/>
      <c r="M554" s="1267"/>
      <c r="N554" s="76"/>
      <c r="O554" s="160"/>
      <c r="P554" s="109"/>
      <c r="Q554" s="312"/>
      <c r="R554" s="312"/>
      <c r="S554" s="314"/>
      <c r="T554" s="314"/>
      <c r="U554" s="314"/>
      <c r="V554" s="314"/>
      <c r="W554" s="314"/>
      <c r="X554" s="314"/>
      <c r="Y554" s="314"/>
      <c r="Z554" s="314"/>
      <c r="AA554" s="314"/>
      <c r="AB554" s="314"/>
      <c r="AC554" s="314"/>
      <c r="AD554" s="314"/>
      <c r="AE554" s="314"/>
      <c r="AF554" s="314"/>
      <c r="AG554" s="314"/>
      <c r="AH554" s="314"/>
      <c r="AI554" s="314"/>
      <c r="AJ554" s="314"/>
      <c r="AK554" s="314"/>
      <c r="AL554" s="314"/>
      <c r="AM554" s="314"/>
      <c r="AN554" s="314"/>
      <c r="AO554" s="314"/>
      <c r="AP554" s="314"/>
      <c r="AQ554" s="314"/>
      <c r="AR554" s="314"/>
      <c r="AS554" s="314"/>
      <c r="AT554" s="314"/>
      <c r="AU554" s="314"/>
      <c r="AV554" s="314"/>
      <c r="AW554" s="314"/>
      <c r="AX554" s="314"/>
      <c r="AY554" s="314"/>
      <c r="AZ554" s="314"/>
      <c r="BA554" s="314"/>
      <c r="BB554" s="314"/>
      <c r="BC554" s="314"/>
      <c r="BD554" s="314"/>
      <c r="BE554" s="314"/>
      <c r="BG554" s="364"/>
      <c r="BH554" s="314"/>
      <c r="BI554" s="314"/>
      <c r="BJ554" s="314"/>
      <c r="BK554" s="314"/>
      <c r="BL554" s="314"/>
      <c r="BM554" s="314"/>
      <c r="BN554" s="314"/>
      <c r="BO554" s="314"/>
      <c r="BP554" s="314"/>
      <c r="BQ554" s="314"/>
      <c r="BR554" s="314"/>
      <c r="BS554" s="314"/>
      <c r="BT554" s="314"/>
      <c r="BU554" s="314"/>
      <c r="BV554" s="314"/>
      <c r="BW554" s="314"/>
      <c r="BX554" s="314"/>
      <c r="BY554" s="314"/>
      <c r="BZ554" s="314"/>
      <c r="CA554" s="314"/>
      <c r="CB554" s="314"/>
      <c r="CC554" s="314"/>
      <c r="CD554" s="314"/>
      <c r="CE554" s="314"/>
      <c r="CF554" s="314"/>
      <c r="CG554" s="314"/>
      <c r="CH554" s="314"/>
      <c r="CI554" s="314"/>
      <c r="CJ554" s="314"/>
      <c r="CK554" s="314"/>
      <c r="CL554" s="314"/>
      <c r="CM554" s="314"/>
      <c r="CN554" s="314"/>
      <c r="CO554" s="314"/>
      <c r="CP554" s="314"/>
      <c r="CQ554" s="314"/>
    </row>
    <row r="555" spans="1:95" ht="5.15" customHeight="1" x14ac:dyDescent="0.25">
      <c r="A555" s="307"/>
      <c r="C555" s="76"/>
      <c r="D555" s="76"/>
      <c r="E555" s="76"/>
      <c r="F555" s="76"/>
      <c r="G555" s="76"/>
      <c r="H555" s="76"/>
      <c r="I555" s="76"/>
      <c r="J555" s="76"/>
      <c r="K555" s="76"/>
      <c r="L555" s="76"/>
      <c r="O555" s="160"/>
      <c r="P555" s="109"/>
      <c r="Q555" s="312"/>
      <c r="R555" s="312"/>
      <c r="S555" s="314"/>
      <c r="T555" s="314"/>
      <c r="U555" s="314"/>
      <c r="V555" s="314"/>
      <c r="W555" s="314"/>
      <c r="X555" s="314"/>
      <c r="Y555" s="314"/>
      <c r="Z555" s="314"/>
      <c r="AA555" s="314"/>
      <c r="AB555" s="314"/>
      <c r="AC555" s="314"/>
      <c r="AD555" s="314"/>
      <c r="AE555" s="314"/>
      <c r="AF555" s="314"/>
      <c r="AG555" s="314"/>
      <c r="AH555" s="314"/>
      <c r="AI555" s="314"/>
      <c r="AJ555" s="314"/>
      <c r="AK555" s="314"/>
      <c r="AL555" s="314"/>
      <c r="AM555" s="314"/>
      <c r="AN555" s="314"/>
      <c r="AO555" s="314"/>
      <c r="AP555" s="314"/>
      <c r="AQ555" s="314"/>
      <c r="AR555" s="314"/>
      <c r="AS555" s="314"/>
      <c r="AT555" s="314"/>
      <c r="AU555" s="314"/>
      <c r="AV555" s="314"/>
      <c r="AW555" s="314"/>
      <c r="AX555" s="314"/>
      <c r="AY555" s="314"/>
      <c r="AZ555" s="314"/>
      <c r="BA555" s="314"/>
      <c r="BB555" s="314"/>
      <c r="BC555" s="314"/>
      <c r="BD555" s="314"/>
      <c r="BE555" s="314"/>
      <c r="BG555" s="364"/>
      <c r="BH555" s="314"/>
      <c r="BI555" s="314"/>
      <c r="BJ555" s="314"/>
      <c r="BK555" s="314"/>
      <c r="BL555" s="314"/>
      <c r="BM555" s="314"/>
      <c r="BN555" s="314"/>
      <c r="BO555" s="314"/>
      <c r="BP555" s="314"/>
      <c r="BQ555" s="314"/>
      <c r="BR555" s="314"/>
      <c r="BS555" s="314"/>
      <c r="BT555" s="314"/>
      <c r="BU555" s="314"/>
      <c r="BV555" s="314"/>
      <c r="BW555" s="314"/>
      <c r="BX555" s="314"/>
      <c r="BY555" s="314"/>
      <c r="BZ555" s="314"/>
      <c r="CA555" s="314"/>
      <c r="CB555" s="314"/>
      <c r="CC555" s="314"/>
      <c r="CD555" s="314"/>
      <c r="CE555" s="314"/>
      <c r="CF555" s="314"/>
      <c r="CG555" s="314"/>
      <c r="CH555" s="314"/>
      <c r="CI555" s="314"/>
      <c r="CJ555" s="314"/>
      <c r="CK555" s="314"/>
      <c r="CL555" s="314"/>
      <c r="CM555" s="314"/>
      <c r="CN555" s="314"/>
      <c r="CO555" s="314"/>
      <c r="CP555" s="314"/>
      <c r="CQ555" s="314"/>
    </row>
    <row r="556" spans="1:95" ht="12.75" customHeight="1" thickBot="1" x14ac:dyDescent="0.3">
      <c r="A556" s="307"/>
      <c r="C556" s="76"/>
      <c r="D556" s="76"/>
      <c r="E556" s="76"/>
      <c r="F556" s="76"/>
      <c r="G556" s="1268">
        <v>1</v>
      </c>
      <c r="H556" s="1268"/>
      <c r="I556" s="1268">
        <v>2</v>
      </c>
      <c r="J556" s="1268"/>
      <c r="K556" s="1268">
        <v>3</v>
      </c>
      <c r="L556" s="1268"/>
      <c r="O556" s="160"/>
      <c r="P556" s="109"/>
      <c r="Q556" s="312"/>
      <c r="R556" s="312"/>
      <c r="S556" s="314"/>
      <c r="T556" s="314"/>
      <c r="U556" s="314"/>
      <c r="V556" s="314"/>
      <c r="W556" s="314"/>
      <c r="X556" s="314"/>
      <c r="Y556" s="314"/>
      <c r="Z556" s="314"/>
      <c r="AA556" s="314"/>
      <c r="AB556" s="314"/>
      <c r="AC556" s="314"/>
      <c r="AD556" s="314"/>
      <c r="AE556" s="314"/>
      <c r="AF556" s="314"/>
      <c r="AG556" s="314"/>
      <c r="AH556" s="314"/>
      <c r="AI556" s="314"/>
      <c r="AJ556" s="314"/>
      <c r="AK556" s="314"/>
      <c r="AL556" s="314"/>
      <c r="AM556" s="314"/>
      <c r="AN556" s="314"/>
      <c r="AO556" s="314"/>
      <c r="AP556" s="314"/>
      <c r="AQ556" s="314"/>
      <c r="AR556" s="314"/>
      <c r="AS556" s="314"/>
      <c r="AT556" s="314"/>
      <c r="AU556" s="314"/>
      <c r="AV556" s="314"/>
      <c r="AW556" s="314"/>
      <c r="AX556" s="314"/>
      <c r="AY556" s="314"/>
      <c r="AZ556" s="314"/>
      <c r="BA556" s="314"/>
      <c r="BB556" s="314"/>
      <c r="BC556" s="314"/>
      <c r="BD556" s="314"/>
      <c r="BE556" s="314"/>
      <c r="BF556" s="314"/>
      <c r="BG556" s="364"/>
      <c r="BH556" s="314"/>
      <c r="BI556" s="314"/>
      <c r="BJ556" s="314"/>
      <c r="BK556" s="314"/>
      <c r="BL556" s="314"/>
      <c r="BM556" s="314"/>
      <c r="BN556" s="314"/>
      <c r="BO556" s="314"/>
      <c r="BP556" s="314"/>
      <c r="BQ556" s="314"/>
      <c r="BR556" s="314"/>
      <c r="BS556" s="314"/>
      <c r="BT556" s="314"/>
      <c r="BU556" s="314"/>
      <c r="BV556" s="314"/>
      <c r="BW556" s="314"/>
      <c r="BX556" s="314"/>
      <c r="BY556" s="314"/>
      <c r="BZ556" s="314"/>
      <c r="CA556" s="314"/>
      <c r="CB556" s="314"/>
      <c r="CC556" s="314"/>
      <c r="CD556" s="314"/>
      <c r="CE556" s="314"/>
      <c r="CF556" s="314"/>
      <c r="CG556" s="314"/>
      <c r="CH556" s="314"/>
      <c r="CI556" s="314"/>
      <c r="CJ556" s="314"/>
      <c r="CK556" s="314"/>
      <c r="CL556" s="314"/>
      <c r="CM556" s="314"/>
      <c r="CN556" s="314"/>
      <c r="CO556" s="314"/>
      <c r="CP556" s="314"/>
      <c r="CQ556" s="314"/>
    </row>
    <row r="557" spans="1:95" ht="12.75" customHeight="1" thickBot="1" x14ac:dyDescent="0.3">
      <c r="A557" s="462"/>
      <c r="B557" s="76"/>
      <c r="C557" s="76"/>
      <c r="D557" s="1246" t="str">
        <f>Translations!$B$372</f>
        <v>Consumers' CRF category:</v>
      </c>
      <c r="E557" s="1246"/>
      <c r="F557" s="1247"/>
      <c r="G557" s="1248"/>
      <c r="H557" s="1249"/>
      <c r="I557" s="1248"/>
      <c r="J557" s="1249"/>
      <c r="K557" s="1248"/>
      <c r="L557" s="1249"/>
      <c r="M557" s="463" t="str">
        <f>IF(AND(E536&lt;&gt;"",COUNTA(G557:L557)=0,AX557=FALSE),EUconst_ERR_Incomplete,"")</f>
        <v/>
      </c>
      <c r="N557" s="76"/>
      <c r="O557" s="160"/>
      <c r="P557" s="109"/>
      <c r="Q557" s="312"/>
      <c r="R557" s="312"/>
      <c r="S557" s="314"/>
      <c r="T557" s="314"/>
      <c r="U557" s="314"/>
      <c r="V557" s="314"/>
      <c r="W557" s="314"/>
      <c r="X557" s="314"/>
      <c r="Y557" s="314"/>
      <c r="Z557" s="314"/>
      <c r="AA557" s="314"/>
      <c r="AB557" s="314"/>
      <c r="AC557" s="314"/>
      <c r="AD557" s="314"/>
      <c r="AE557" s="314"/>
      <c r="AF557" s="314"/>
      <c r="AG557" s="314"/>
      <c r="AH557" s="314"/>
      <c r="AI557" s="314"/>
      <c r="AJ557" s="314"/>
      <c r="AK557" s="314"/>
      <c r="AL557" s="314"/>
      <c r="AM557" s="314"/>
      <c r="AN557" s="314"/>
      <c r="AO557" s="314"/>
      <c r="AP557" s="314"/>
      <c r="AQ557" s="314"/>
      <c r="AR557" s="314"/>
      <c r="AS557" s="314"/>
      <c r="AT557" s="314"/>
      <c r="AU557" s="314"/>
      <c r="AV557" s="314"/>
      <c r="AW557" s="314"/>
      <c r="AX557" s="464" t="b">
        <f>AND(AV553&lt;&gt;"",SUM(AV553=1))</f>
        <v>0</v>
      </c>
      <c r="AY557" s="314"/>
      <c r="AZ557" s="314"/>
      <c r="BA557" s="314"/>
      <c r="BB557" s="314"/>
      <c r="BC557" s="314"/>
      <c r="BD557" s="314"/>
      <c r="BE557" s="314"/>
      <c r="BF557" s="361" t="s">
        <v>169</v>
      </c>
      <c r="BG557" s="362" t="str">
        <f>IF(AN542=EUconst_TJ,AV542*AV550,IF(AN544=EUconst_GJ,AV542*AV544/1000*AV550,""))</f>
        <v/>
      </c>
      <c r="BH557" s="314"/>
      <c r="BI557" s="314"/>
      <c r="BJ557" s="314"/>
      <c r="BK557" s="314"/>
      <c r="BL557" s="314"/>
      <c r="BM557" s="314"/>
      <c r="BN557" s="314"/>
      <c r="BO557" s="314"/>
      <c r="BP557" s="314"/>
      <c r="BQ557" s="314"/>
      <c r="BR557" s="314"/>
      <c r="BS557" s="314"/>
      <c r="BT557" s="314"/>
      <c r="BU557" s="314"/>
      <c r="BV557" s="314"/>
      <c r="BW557" s="314"/>
      <c r="BX557" s="314"/>
      <c r="BY557" s="314"/>
      <c r="BZ557" s="314"/>
      <c r="CA557" s="314"/>
      <c r="CB557" s="314"/>
      <c r="CC557" s="314"/>
      <c r="CD557" s="314"/>
      <c r="CE557" s="314"/>
      <c r="CF557" s="314"/>
      <c r="CG557" s="314"/>
      <c r="CH557" s="314"/>
      <c r="CI557" s="314"/>
      <c r="CJ557" s="314"/>
      <c r="CK557" s="314"/>
      <c r="CL557" s="314"/>
      <c r="CM557" s="314"/>
      <c r="CN557" s="314"/>
      <c r="CO557" s="314"/>
      <c r="CP557" s="314"/>
      <c r="CQ557" s="314"/>
    </row>
    <row r="558" spans="1:95" ht="5.15" customHeight="1" x14ac:dyDescent="0.25">
      <c r="A558" s="307"/>
      <c r="B558" s="68"/>
      <c r="C558" s="68"/>
      <c r="D558" s="68"/>
      <c r="E558" s="68"/>
      <c r="F558" s="68"/>
      <c r="G558" s="76"/>
      <c r="H558" s="76"/>
      <c r="I558" s="76"/>
      <c r="J558" s="76"/>
      <c r="K558" s="76"/>
      <c r="L558" s="76"/>
      <c r="M558" s="76"/>
      <c r="N558" s="76"/>
      <c r="O558" s="160"/>
      <c r="P558" s="109"/>
      <c r="Q558" s="312"/>
      <c r="R558" s="312"/>
      <c r="S558" s="314"/>
      <c r="T558" s="314"/>
      <c r="U558" s="314"/>
      <c r="V558" s="314"/>
      <c r="W558" s="314"/>
      <c r="X558" s="314"/>
      <c r="Y558" s="314"/>
      <c r="Z558" s="314"/>
      <c r="AA558" s="314"/>
      <c r="AB558" s="314"/>
      <c r="AC558" s="314"/>
      <c r="AD558" s="314"/>
      <c r="AE558" s="314"/>
      <c r="AF558" s="314"/>
      <c r="AG558" s="314"/>
      <c r="AH558" s="314"/>
      <c r="AI558" s="314"/>
      <c r="AJ558" s="314"/>
      <c r="AK558" s="314"/>
      <c r="AL558" s="314"/>
      <c r="AM558" s="314"/>
      <c r="AN558" s="314"/>
      <c r="AO558" s="314"/>
      <c r="AP558" s="314"/>
      <c r="AQ558" s="314"/>
      <c r="AR558" s="314"/>
      <c r="AS558" s="314"/>
      <c r="AT558" s="314"/>
      <c r="AU558" s="314"/>
      <c r="AV558" s="314"/>
      <c r="AW558" s="314"/>
      <c r="AX558" s="314"/>
      <c r="AY558" s="314"/>
      <c r="AZ558" s="314"/>
      <c r="BA558" s="314"/>
      <c r="BB558" s="314"/>
      <c r="BC558" s="314"/>
      <c r="BD558" s="314"/>
      <c r="BE558" s="314"/>
      <c r="BF558" s="314"/>
      <c r="BG558" s="314"/>
      <c r="BH558" s="314"/>
      <c r="BI558" s="314"/>
      <c r="BJ558" s="314"/>
      <c r="BK558" s="314"/>
      <c r="BL558" s="314"/>
      <c r="BM558" s="314"/>
      <c r="BN558" s="314"/>
      <c r="BO558" s="314"/>
      <c r="BP558" s="314"/>
      <c r="BQ558" s="314"/>
      <c r="BR558" s="314"/>
      <c r="BS558" s="314"/>
      <c r="BT558" s="314"/>
      <c r="BU558" s="314"/>
      <c r="BV558" s="314"/>
      <c r="BW558" s="314"/>
      <c r="BX558" s="314"/>
      <c r="BY558" s="314"/>
      <c r="BZ558" s="314"/>
      <c r="CA558" s="314"/>
      <c r="CB558" s="314"/>
      <c r="CC558" s="314"/>
      <c r="CD558" s="314"/>
      <c r="CE558" s="314"/>
      <c r="CF558" s="314"/>
      <c r="CG558" s="314"/>
      <c r="CH558" s="314"/>
      <c r="CI558" s="314"/>
      <c r="CJ558" s="314"/>
      <c r="CK558" s="314"/>
      <c r="CL558" s="314"/>
      <c r="CM558" s="314"/>
      <c r="CN558" s="314"/>
      <c r="CO558" s="314"/>
      <c r="CP558" s="314"/>
      <c r="CQ558" s="314"/>
    </row>
    <row r="559" spans="1:95" ht="12.75" customHeight="1" x14ac:dyDescent="0.25">
      <c r="A559" s="307"/>
      <c r="B559" s="68"/>
      <c r="C559" s="68"/>
      <c r="D559" s="1246" t="str">
        <f>Translations!$B$399</f>
        <v>Tiers valid from:</v>
      </c>
      <c r="E559" s="1246"/>
      <c r="F559" s="1247"/>
      <c r="G559" s="8"/>
      <c r="H559" s="199" t="str">
        <f>Translations!$B$400</f>
        <v>until:</v>
      </c>
      <c r="I559" s="8"/>
      <c r="J559" s="76"/>
      <c r="K559" s="76"/>
      <c r="L559" s="76"/>
      <c r="M559" s="199" t="str">
        <f>Translations!$B$401</f>
        <v>ID used in the monitoring plan for this fuel stream:</v>
      </c>
      <c r="N559" s="9"/>
      <c r="O559" s="160"/>
      <c r="P559" s="109"/>
      <c r="Q559" s="312"/>
      <c r="R559" s="312"/>
      <c r="S559" s="465"/>
      <c r="T559" s="314"/>
      <c r="U559" s="314"/>
      <c r="V559" s="314"/>
      <c r="W559" s="314"/>
      <c r="X559" s="314"/>
      <c r="Y559" s="314"/>
      <c r="Z559" s="314"/>
      <c r="AA559" s="314"/>
      <c r="AB559" s="314"/>
      <c r="AC559" s="314"/>
      <c r="AD559" s="314"/>
      <c r="AE559" s="314"/>
      <c r="AF559" s="314"/>
      <c r="AG559" s="314"/>
      <c r="AH559" s="314"/>
      <c r="AI559" s="314"/>
      <c r="AJ559" s="314"/>
      <c r="AK559" s="314"/>
      <c r="AL559" s="314"/>
      <c r="AM559" s="314"/>
      <c r="AN559" s="314"/>
      <c r="AO559" s="314"/>
      <c r="AP559" s="314"/>
      <c r="AQ559" s="314"/>
      <c r="AR559" s="314"/>
      <c r="AS559" s="314"/>
      <c r="AT559" s="314"/>
      <c r="AU559" s="314"/>
      <c r="AV559" s="314"/>
      <c r="AW559" s="314"/>
      <c r="AX559" s="314"/>
      <c r="AY559" s="314"/>
      <c r="AZ559" s="314"/>
      <c r="BA559" s="314"/>
      <c r="BB559" s="314"/>
      <c r="BC559" s="314"/>
      <c r="BD559" s="314"/>
      <c r="BE559" s="314"/>
      <c r="BF559" s="314"/>
      <c r="BG559" s="314"/>
      <c r="BH559" s="314"/>
      <c r="BI559" s="314"/>
      <c r="BJ559" s="314"/>
      <c r="BK559" s="314"/>
      <c r="BL559" s="314"/>
      <c r="BM559" s="314"/>
      <c r="BN559" s="314"/>
      <c r="BO559" s="314"/>
      <c r="BP559" s="314"/>
      <c r="BQ559" s="314"/>
      <c r="BR559" s="314"/>
      <c r="BS559" s="314"/>
      <c r="BT559" s="314"/>
      <c r="BU559" s="314"/>
      <c r="BV559" s="314"/>
      <c r="BW559" s="314"/>
      <c r="BX559" s="314"/>
      <c r="BY559" s="314"/>
      <c r="BZ559" s="314"/>
      <c r="CA559" s="314"/>
      <c r="CB559" s="314"/>
      <c r="CC559" s="314"/>
      <c r="CD559" s="314"/>
      <c r="CE559" s="314"/>
      <c r="CF559" s="314"/>
      <c r="CG559" s="314"/>
      <c r="CH559" s="314"/>
      <c r="CI559" s="314"/>
      <c r="CJ559" s="314"/>
      <c r="CK559" s="314"/>
      <c r="CL559" s="314"/>
      <c r="CM559" s="314"/>
      <c r="CN559" s="314"/>
      <c r="CO559" s="314"/>
      <c r="CP559" s="314"/>
      <c r="CQ559" s="464" t="b">
        <f>CQ542</f>
        <v>0</v>
      </c>
    </row>
    <row r="560" spans="1:95" ht="5.15" customHeight="1" x14ac:dyDescent="0.25">
      <c r="A560" s="462"/>
      <c r="B560" s="76"/>
      <c r="C560" s="76"/>
      <c r="D560" s="76"/>
      <c r="E560" s="76"/>
      <c r="F560" s="76"/>
      <c r="G560" s="76"/>
      <c r="H560" s="76"/>
      <c r="I560" s="76"/>
      <c r="J560" s="76"/>
      <c r="K560" s="76"/>
      <c r="L560" s="76"/>
      <c r="M560" s="76"/>
      <c r="N560" s="76"/>
      <c r="O560" s="160"/>
      <c r="P560" s="109"/>
      <c r="Q560" s="312"/>
      <c r="R560" s="312"/>
      <c r="S560" s="314"/>
      <c r="T560" s="314"/>
      <c r="U560" s="314"/>
      <c r="V560" s="314"/>
      <c r="W560" s="314"/>
      <c r="X560" s="314"/>
      <c r="Y560" s="314"/>
      <c r="Z560" s="314"/>
      <c r="AA560" s="314"/>
      <c r="AB560" s="314"/>
      <c r="AC560" s="314"/>
      <c r="AD560" s="314"/>
      <c r="AE560" s="314"/>
      <c r="AF560" s="314"/>
      <c r="AG560" s="314"/>
      <c r="AH560" s="314"/>
      <c r="AI560" s="314"/>
      <c r="AJ560" s="314"/>
      <c r="AK560" s="314"/>
      <c r="AL560" s="314"/>
      <c r="AM560" s="314"/>
      <c r="AN560" s="314"/>
      <c r="AO560" s="314"/>
      <c r="AP560" s="314"/>
      <c r="AQ560" s="314"/>
      <c r="AR560" s="314"/>
      <c r="AS560" s="314"/>
      <c r="AT560" s="314"/>
      <c r="AU560" s="314"/>
      <c r="AV560" s="314"/>
      <c r="AW560" s="314"/>
      <c r="AX560" s="314"/>
      <c r="AY560" s="314"/>
      <c r="AZ560" s="314"/>
      <c r="BA560" s="314"/>
      <c r="BB560" s="314"/>
      <c r="BC560" s="314"/>
      <c r="BD560" s="314"/>
      <c r="BE560" s="314"/>
      <c r="BF560" s="314"/>
      <c r="BG560" s="314"/>
      <c r="BH560" s="314"/>
      <c r="BI560" s="314"/>
      <c r="BJ560" s="314"/>
      <c r="BK560" s="314"/>
      <c r="BL560" s="314"/>
      <c r="BM560" s="314"/>
      <c r="BN560" s="314"/>
      <c r="BO560" s="314"/>
      <c r="BP560" s="314"/>
      <c r="BQ560" s="314"/>
      <c r="BR560" s="314"/>
      <c r="BS560" s="314"/>
      <c r="BT560" s="314"/>
      <c r="BU560" s="314"/>
      <c r="BV560" s="314"/>
      <c r="BW560" s="314"/>
      <c r="BX560" s="314"/>
      <c r="BY560" s="314"/>
      <c r="BZ560" s="314"/>
      <c r="CA560" s="314"/>
      <c r="CB560" s="314"/>
      <c r="CC560" s="314"/>
      <c r="CD560" s="314"/>
      <c r="CE560" s="314"/>
      <c r="CF560" s="314"/>
      <c r="CG560" s="314"/>
      <c r="CH560" s="314"/>
      <c r="CI560" s="314"/>
      <c r="CJ560" s="314"/>
      <c r="CK560" s="314"/>
      <c r="CL560" s="314"/>
      <c r="CM560" s="314"/>
      <c r="CN560" s="314"/>
      <c r="CO560" s="314"/>
      <c r="CP560" s="314"/>
      <c r="CQ560" s="314"/>
    </row>
    <row r="561" spans="1:95" ht="12.75" customHeight="1" x14ac:dyDescent="0.25">
      <c r="A561" s="462"/>
      <c r="B561" s="76"/>
      <c r="C561" s="76"/>
      <c r="D561" s="115"/>
      <c r="E561" s="85"/>
      <c r="F561" s="466" t="str">
        <f>Translations!$B$304</f>
        <v>Comments:</v>
      </c>
      <c r="G561" s="1250"/>
      <c r="H561" s="1251"/>
      <c r="I561" s="1251"/>
      <c r="J561" s="1251"/>
      <c r="K561" s="1251"/>
      <c r="L561" s="1251"/>
      <c r="M561" s="1251"/>
      <c r="N561" s="1252"/>
      <c r="O561" s="160"/>
      <c r="P561" s="109"/>
      <c r="Q561" s="312"/>
      <c r="R561" s="312"/>
      <c r="S561" s="314"/>
      <c r="T561" s="314"/>
      <c r="U561" s="314"/>
      <c r="V561" s="314"/>
      <c r="W561" s="314"/>
      <c r="X561" s="314"/>
      <c r="Y561" s="314"/>
      <c r="Z561" s="314"/>
      <c r="AA561" s="314"/>
      <c r="AB561" s="314"/>
      <c r="AC561" s="314"/>
      <c r="AD561" s="314"/>
      <c r="AE561" s="314"/>
      <c r="AF561" s="314"/>
      <c r="AG561" s="314"/>
      <c r="AH561" s="314"/>
      <c r="AI561" s="314"/>
      <c r="AJ561" s="314"/>
      <c r="AK561" s="314"/>
      <c r="AL561" s="314"/>
      <c r="AM561" s="314"/>
      <c r="AN561" s="314"/>
      <c r="AO561" s="314"/>
      <c r="AP561" s="314"/>
      <c r="AQ561" s="314"/>
      <c r="AR561" s="314"/>
      <c r="AS561" s="314"/>
      <c r="AT561" s="314"/>
      <c r="AU561" s="314"/>
      <c r="AV561" s="314"/>
      <c r="AW561" s="314"/>
      <c r="AX561" s="314"/>
      <c r="AY561" s="314"/>
      <c r="AZ561" s="314"/>
      <c r="BA561" s="314"/>
      <c r="BB561" s="314"/>
      <c r="BC561" s="314"/>
      <c r="BD561" s="314"/>
      <c r="BE561" s="314"/>
      <c r="BF561" s="314"/>
      <c r="BG561" s="314"/>
      <c r="BH561" s="314"/>
      <c r="BI561" s="314"/>
      <c r="BJ561" s="314"/>
      <c r="BK561" s="314"/>
      <c r="BL561" s="314"/>
      <c r="BM561" s="314"/>
      <c r="BN561" s="314"/>
      <c r="BO561" s="314"/>
      <c r="BP561" s="314"/>
      <c r="BQ561" s="314"/>
      <c r="BR561" s="314"/>
      <c r="BS561" s="314"/>
      <c r="BT561" s="314"/>
      <c r="BU561" s="314"/>
      <c r="BV561" s="314"/>
      <c r="BW561" s="314"/>
      <c r="BX561" s="314"/>
      <c r="BY561" s="314"/>
      <c r="BZ561" s="314"/>
      <c r="CA561" s="314"/>
      <c r="CB561" s="314"/>
      <c r="CC561" s="314"/>
      <c r="CD561" s="314"/>
      <c r="CE561" s="314"/>
      <c r="CF561" s="314"/>
      <c r="CG561" s="314"/>
      <c r="CH561" s="314"/>
      <c r="CI561" s="314"/>
      <c r="CJ561" s="314"/>
      <c r="CK561" s="314"/>
      <c r="CL561" s="314"/>
      <c r="CM561" s="314"/>
      <c r="CN561" s="314"/>
      <c r="CO561" s="314"/>
      <c r="CP561" s="314"/>
      <c r="CQ561" s="464" t="b">
        <f>CQ559</f>
        <v>0</v>
      </c>
    </row>
    <row r="562" spans="1:95" ht="12.75" customHeight="1" thickBot="1" x14ac:dyDescent="0.3">
      <c r="A562" s="307"/>
      <c r="B562" s="76"/>
      <c r="C562" s="308"/>
      <c r="D562" s="309"/>
      <c r="E562" s="310"/>
      <c r="F562" s="308"/>
      <c r="G562" s="311"/>
      <c r="H562" s="311"/>
      <c r="I562" s="311"/>
      <c r="J562" s="311"/>
      <c r="K562" s="311"/>
      <c r="L562" s="311"/>
      <c r="M562" s="311"/>
      <c r="N562" s="311"/>
      <c r="O562" s="160"/>
      <c r="P562" s="109"/>
      <c r="Q562" s="312"/>
      <c r="R562" s="312"/>
      <c r="S562" s="293"/>
      <c r="T562" s="293"/>
      <c r="U562" s="313"/>
      <c r="V562" s="293"/>
      <c r="W562" s="293"/>
      <c r="X562" s="313"/>
      <c r="Y562" s="293"/>
      <c r="Z562" s="293"/>
      <c r="AA562" s="293"/>
      <c r="AB562" s="293"/>
      <c r="AC562" s="293"/>
      <c r="AD562" s="293"/>
      <c r="AE562" s="293"/>
      <c r="AF562" s="293"/>
      <c r="AG562" s="293"/>
      <c r="AH562" s="293"/>
      <c r="AI562" s="293"/>
      <c r="AJ562" s="293"/>
      <c r="AK562" s="293"/>
      <c r="AL562" s="293"/>
      <c r="AM562" s="293"/>
      <c r="AN562" s="293"/>
      <c r="AO562" s="293"/>
      <c r="AP562" s="293"/>
      <c r="AQ562" s="293"/>
      <c r="AR562" s="293"/>
      <c r="AS562" s="293"/>
      <c r="AT562" s="293"/>
      <c r="AU562" s="293"/>
      <c r="AV562" s="293"/>
      <c r="AW562" s="293"/>
      <c r="AX562" s="293"/>
      <c r="AY562" s="293"/>
      <c r="AZ562" s="293"/>
      <c r="BA562" s="293"/>
      <c r="BB562" s="293"/>
      <c r="BC562" s="293"/>
      <c r="BD562" s="293"/>
      <c r="BE562" s="293"/>
      <c r="BF562" s="293"/>
      <c r="BG562" s="293"/>
      <c r="BH562" s="293"/>
      <c r="BI562" s="293"/>
      <c r="BJ562" s="293"/>
      <c r="BK562" s="293"/>
      <c r="BL562" s="293"/>
      <c r="BM562" s="314"/>
      <c r="BN562" s="314"/>
      <c r="BO562" s="314"/>
      <c r="BP562" s="314"/>
      <c r="BQ562" s="314"/>
      <c r="BR562" s="314"/>
      <c r="BS562" s="314"/>
      <c r="BT562" s="314"/>
      <c r="BU562" s="293"/>
      <c r="BV562" s="293"/>
      <c r="BW562" s="293"/>
      <c r="BX562" s="293"/>
      <c r="BY562" s="293"/>
      <c r="BZ562" s="293"/>
      <c r="CA562" s="293"/>
      <c r="CB562" s="293"/>
      <c r="CC562" s="293"/>
      <c r="CD562" s="293"/>
      <c r="CE562" s="293"/>
      <c r="CF562" s="293"/>
      <c r="CG562" s="293"/>
      <c r="CH562" s="293"/>
      <c r="CI562" s="293"/>
      <c r="CJ562" s="293"/>
      <c r="CK562" s="293"/>
      <c r="CL562" s="293"/>
      <c r="CM562" s="293"/>
      <c r="CN562" s="293"/>
      <c r="CO562" s="293"/>
      <c r="CP562" s="293"/>
      <c r="CQ562" s="293"/>
    </row>
    <row r="563" spans="1:95" ht="12.75" customHeight="1" thickBot="1" x14ac:dyDescent="0.3">
      <c r="A563" s="315"/>
      <c r="B563" s="76"/>
      <c r="C563" s="76"/>
      <c r="D563" s="205"/>
      <c r="E563" s="316"/>
      <c r="F563" s="76"/>
      <c r="G563" s="96"/>
      <c r="H563" s="96"/>
      <c r="I563" s="96"/>
      <c r="J563" s="96"/>
      <c r="K563" s="76"/>
      <c r="L563" s="96"/>
      <c r="M563" s="96"/>
      <c r="N563" s="96"/>
      <c r="O563" s="160"/>
      <c r="P563" s="109"/>
      <c r="Q563" s="312"/>
      <c r="R563" s="312"/>
      <c r="S563" s="287"/>
      <c r="T563" s="317" t="str">
        <f>IF(ISBLANK(E564),"",MATCH(E564,CNTR_SourceStreamNames,0))</f>
        <v/>
      </c>
      <c r="U563" s="318" t="str">
        <f>IF(ISBLANK(E564),"",INDEX(B_IdentifyFuelStreams!$D$67:$D$116,MATCH(E564,CNTR_SourceStreamNames,0)))</f>
        <v/>
      </c>
      <c r="V563" s="301"/>
      <c r="W563" s="138"/>
      <c r="X563" s="138"/>
      <c r="Y563" s="138"/>
      <c r="Z563" s="293"/>
      <c r="AA563" s="293"/>
      <c r="AB563" s="293"/>
      <c r="AC563" s="293"/>
      <c r="AD563" s="293"/>
      <c r="AE563" s="293"/>
      <c r="AF563" s="293"/>
      <c r="AG563" s="293"/>
      <c r="AH563" s="293"/>
      <c r="AI563" s="293"/>
      <c r="AJ563" s="293"/>
      <c r="AK563" s="312"/>
      <c r="AL563" s="293"/>
      <c r="AM563" s="293"/>
      <c r="AN563" s="293"/>
      <c r="AO563" s="293"/>
      <c r="AP563" s="293"/>
      <c r="AQ563" s="293"/>
      <c r="AR563" s="293"/>
      <c r="AS563" s="293"/>
      <c r="AT563" s="293"/>
      <c r="AU563" s="293"/>
      <c r="AV563" s="293"/>
      <c r="AW563" s="293"/>
      <c r="AX563" s="293"/>
      <c r="AY563" s="293"/>
      <c r="AZ563" s="293"/>
      <c r="BA563" s="293"/>
      <c r="BB563" s="293"/>
      <c r="BC563" s="293"/>
      <c r="BD563" s="293"/>
      <c r="BE563" s="293"/>
      <c r="BF563" s="293"/>
      <c r="BG563" s="293"/>
      <c r="BH563" s="293"/>
      <c r="BI563" s="293"/>
      <c r="BJ563" s="138"/>
      <c r="BK563" s="138"/>
      <c r="BL563" s="138"/>
      <c r="BM563" s="138"/>
      <c r="BN563" s="138"/>
      <c r="BO563" s="138"/>
      <c r="BP563" s="138"/>
      <c r="BQ563" s="138"/>
      <c r="BR563" s="138"/>
      <c r="BS563" s="138"/>
      <c r="BT563" s="138"/>
      <c r="BU563" s="138"/>
      <c r="BV563" s="138"/>
      <c r="BW563" s="138"/>
      <c r="BX563" s="138"/>
      <c r="BY563" s="138"/>
      <c r="BZ563" s="138"/>
      <c r="CA563" s="138"/>
      <c r="CB563" s="138"/>
      <c r="CC563" s="138"/>
      <c r="CD563" s="138"/>
      <c r="CE563" s="138"/>
      <c r="CF563" s="138"/>
      <c r="CG563" s="138"/>
      <c r="CH563" s="138"/>
      <c r="CI563" s="138"/>
      <c r="CJ563" s="138"/>
      <c r="CK563" s="138"/>
      <c r="CL563" s="138"/>
      <c r="CM563" s="138"/>
      <c r="CN563" s="138"/>
      <c r="CO563" s="138"/>
      <c r="CP563" s="138"/>
      <c r="CQ563" s="319" t="s">
        <v>107</v>
      </c>
    </row>
    <row r="564" spans="1:95" ht="15" customHeight="1" thickBot="1" x14ac:dyDescent="0.3">
      <c r="A564" s="320">
        <f>C564</f>
        <v>19</v>
      </c>
      <c r="B564" s="68"/>
      <c r="C564" s="321">
        <f>C536+1</f>
        <v>19</v>
      </c>
      <c r="D564" s="68"/>
      <c r="E564" s="1269"/>
      <c r="F564" s="1270"/>
      <c r="G564" s="1270"/>
      <c r="H564" s="1270"/>
      <c r="I564" s="1270"/>
      <c r="J564" s="1271"/>
      <c r="K564" s="1272" t="str">
        <f>IF(INDEX(B_IdentifyFuelStreams!$K$125:$K$174,MATCH(U563,B_IdentifyFuelStreams!$D$125:$D$174,0))&gt;0,INDEX(B_IdentifyFuelStreams!$K$125:$K$174,MATCH(U563,B_IdentifyFuelStreams!$D$125:$D$174,0)),"")</f>
        <v/>
      </c>
      <c r="L564" s="1273"/>
      <c r="M564" s="316" t="str">
        <f>Translations!$B$621</f>
        <v>Emissions:</v>
      </c>
      <c r="N564" s="322" t="str">
        <f>IF(E565="","",BG570)</f>
        <v/>
      </c>
      <c r="O564" s="323" t="str">
        <f>EUconst_tCO2</f>
        <v>tCO2</v>
      </c>
      <c r="P564" s="324" t="str">
        <f>IF(AND(E564&lt;&gt;"",COUNTIF(P565:$P$1649,"PRINT")=0),"PRINT","")</f>
        <v/>
      </c>
      <c r="Q564" s="325" t="str">
        <f>EUconst_SumCO2</f>
        <v>SUM_CO2</v>
      </c>
      <c r="R564" s="312"/>
      <c r="S564" s="287"/>
      <c r="T564" s="287"/>
      <c r="U564" s="287"/>
      <c r="V564" s="301"/>
      <c r="W564" s="138"/>
      <c r="X564" s="293"/>
      <c r="Y564" s="293"/>
      <c r="Z564" s="293"/>
      <c r="AA564" s="293"/>
      <c r="AB564" s="293"/>
      <c r="AC564" s="293"/>
      <c r="AD564" s="293"/>
      <c r="AE564" s="293"/>
      <c r="AF564" s="293"/>
      <c r="AG564" s="293"/>
      <c r="AH564" s="293"/>
      <c r="AI564" s="326"/>
      <c r="AJ564" s="326"/>
      <c r="AK564" s="326"/>
      <c r="AL564" s="326"/>
      <c r="AM564" s="326"/>
      <c r="AN564" s="326"/>
      <c r="AO564" s="326"/>
      <c r="AP564" s="326"/>
      <c r="AQ564" s="326"/>
      <c r="AR564" s="326"/>
      <c r="AS564" s="326"/>
      <c r="AT564" s="326"/>
      <c r="AU564" s="326"/>
      <c r="AV564" s="326"/>
      <c r="AW564" s="326"/>
      <c r="AX564" s="326"/>
      <c r="AY564" s="326"/>
      <c r="AZ564" s="326"/>
      <c r="BA564" s="326"/>
      <c r="BB564" s="326"/>
      <c r="BC564" s="326"/>
      <c r="BD564" s="326"/>
      <c r="BE564" s="326"/>
      <c r="BF564" s="326"/>
      <c r="BG564" s="326"/>
      <c r="BH564" s="326"/>
      <c r="BI564" s="327" t="str">
        <f>IF(E564="","",E564)</f>
        <v/>
      </c>
      <c r="BJ564" s="328" t="str">
        <f>IF(F570="","",F570)</f>
        <v/>
      </c>
      <c r="BK564" s="329">
        <f>AV570</f>
        <v>0</v>
      </c>
      <c r="BL564" s="329">
        <f>IF(BK564="","",BK564*(1-BP564))</f>
        <v>0</v>
      </c>
      <c r="BM564" s="328" t="str">
        <f>AJ570</f>
        <v/>
      </c>
      <c r="BN564" s="328" t="str">
        <f>IF(F581="","",F581)</f>
        <v/>
      </c>
      <c r="BO564" s="327" t="str">
        <f>IF(G581="","",G581)</f>
        <v/>
      </c>
      <c r="BP564" s="330">
        <f>AV581</f>
        <v>0</v>
      </c>
      <c r="BQ564" s="328" t="str">
        <f>IF(F573="","",F573)</f>
        <v/>
      </c>
      <c r="BR564" s="330">
        <f>AV573</f>
        <v>0</v>
      </c>
      <c r="BS564" s="330" t="str">
        <f>AJ573</f>
        <v/>
      </c>
      <c r="BT564" s="328" t="str">
        <f>IF(F572="","",F572)</f>
        <v/>
      </c>
      <c r="BU564" s="330">
        <f>IF(F572=EUconst_NA,"",AV572)</f>
        <v>0</v>
      </c>
      <c r="BV564" s="330" t="str">
        <f>AJ572</f>
        <v/>
      </c>
      <c r="BW564" s="328" t="str">
        <f>IF(F574="","",F574)</f>
        <v/>
      </c>
      <c r="BX564" s="330">
        <f>AV574</f>
        <v>0</v>
      </c>
      <c r="BY564" s="328" t="str">
        <f>IF(F575="","",F575)</f>
        <v/>
      </c>
      <c r="BZ564" s="330">
        <f>AV575</f>
        <v>0</v>
      </c>
      <c r="CA564" s="330">
        <f>AV576</f>
        <v>0</v>
      </c>
      <c r="CB564" s="330">
        <f>AV577</f>
        <v>0</v>
      </c>
      <c r="CC564" s="330">
        <f>AV578</f>
        <v>0</v>
      </c>
      <c r="CD564" s="330">
        <f>AV579</f>
        <v>0</v>
      </c>
      <c r="CE564" s="329" t="str">
        <f>BG570</f>
        <v/>
      </c>
      <c r="CF564" s="329" t="str">
        <f>BG572</f>
        <v/>
      </c>
      <c r="CG564" s="329" t="str">
        <f>BG573</f>
        <v/>
      </c>
      <c r="CH564" s="329" t="str">
        <f>BG574</f>
        <v/>
      </c>
      <c r="CI564" s="329" t="str">
        <f>BG575</f>
        <v/>
      </c>
      <c r="CJ564" s="329" t="str">
        <f>BG576</f>
        <v/>
      </c>
      <c r="CK564" s="329" t="str">
        <f>BG577</f>
        <v/>
      </c>
      <c r="CL564" s="329">
        <f>BG578</f>
        <v>0</v>
      </c>
      <c r="CM564" s="329" t="str">
        <f>BG579</f>
        <v/>
      </c>
      <c r="CN564" s="329" t="str">
        <f>BG581</f>
        <v/>
      </c>
      <c r="CO564" s="329" t="str">
        <f>BG585</f>
        <v/>
      </c>
      <c r="CP564" s="329" t="str">
        <f>IF(COUNTIF(AO573:AO574,TRUE)=0,"",BH570)</f>
        <v/>
      </c>
      <c r="CQ564" s="331" t="b">
        <v>0</v>
      </c>
    </row>
    <row r="565" spans="1:95" ht="15" customHeight="1" thickBot="1" x14ac:dyDescent="0.3">
      <c r="A565" s="307"/>
      <c r="B565" s="68"/>
      <c r="C565" s="68"/>
      <c r="D565" s="68"/>
      <c r="E565" s="1274" t="str">
        <f>IF(ISBLANK(E564),"",IF(INDEX(B_IdentifyFuelStreams!$E$67:$E$116,MATCH(U563,B_IdentifyFuelStreams!$D$67:$D$116,0))&gt;0,INDEX(B_IdentifyFuelStreams!$E$67:$E$116,MATCH(U563,B_IdentifyFuelStreams!$D$67:$D$116,0)),""))</f>
        <v/>
      </c>
      <c r="F565" s="1275"/>
      <c r="G565" s="1275"/>
      <c r="H565" s="1275"/>
      <c r="I565" s="1275"/>
      <c r="J565" s="1276"/>
      <c r="K565" s="1272" t="str">
        <f>IF(INDEX(B_IdentifyFuelStreams!$M$125:$M$174,MATCH(U563,B_IdentifyFuelStreams!$D$125:$D$174,0))&gt;0,INDEX(B_IdentifyFuelStreams!$M$125:$M$174,MATCH(U563,B_IdentifyFuelStreams!$D$125:$D$174,0)),"")</f>
        <v/>
      </c>
      <c r="L565" s="1273"/>
      <c r="M565" s="332" t="str">
        <f>Translations!$B$622</f>
        <v>zero-rated:</v>
      </c>
      <c r="N565" s="333" t="str">
        <f>IF(E565="","",SUM(BG572,BG574,BG576))</f>
        <v/>
      </c>
      <c r="O565" s="334" t="str">
        <f>EUconst_tCO2</f>
        <v>tCO2</v>
      </c>
      <c r="P565" s="109"/>
      <c r="Q565" s="325" t="str">
        <f>EUconst_SumBioCO2</f>
        <v>SUM_bioCO2</v>
      </c>
      <c r="R565" s="312"/>
      <c r="S565" s="287"/>
      <c r="T565" s="287"/>
      <c r="U565" s="287"/>
      <c r="V565" s="301"/>
      <c r="W565" s="138"/>
      <c r="X565" s="293"/>
      <c r="Y565" s="317" t="str">
        <f>Translations!$B$143</f>
        <v>Tiers</v>
      </c>
      <c r="Z565" s="314"/>
      <c r="AA565" s="314"/>
      <c r="AB565" s="314"/>
      <c r="AC565" s="314"/>
      <c r="AD565" s="314"/>
      <c r="AE565" s="317" t="s">
        <v>108</v>
      </c>
      <c r="AF565" s="293"/>
      <c r="AG565" s="335"/>
      <c r="AH565" s="314"/>
      <c r="AI565" s="314"/>
      <c r="AJ565" s="335"/>
      <c r="AK565" s="335"/>
      <c r="AL565" s="326"/>
      <c r="AM565" s="326"/>
      <c r="AN565" s="326"/>
      <c r="AO565" s="326"/>
      <c r="AP565" s="326"/>
      <c r="AQ565" s="317" t="s">
        <v>109</v>
      </c>
      <c r="AR565" s="336"/>
      <c r="AS565" s="336"/>
      <c r="AT565" s="314"/>
      <c r="AU565" s="314"/>
      <c r="AV565" s="314"/>
      <c r="AW565" s="314"/>
      <c r="AX565" s="314"/>
      <c r="AY565" s="314"/>
      <c r="AZ565" s="317" t="s">
        <v>110</v>
      </c>
      <c r="BA565" s="314"/>
      <c r="BB565" s="314"/>
      <c r="BC565" s="314"/>
      <c r="BD565" s="314"/>
      <c r="BE565" s="314"/>
      <c r="BF565" s="317" t="s">
        <v>111</v>
      </c>
      <c r="BG565" s="314"/>
      <c r="BH565" s="314"/>
      <c r="BI565" s="317" t="s">
        <v>112</v>
      </c>
      <c r="BJ565" s="328" t="str">
        <f>Translations!$B$376</f>
        <v>RFA Tier</v>
      </c>
      <c r="BK565" s="328" t="str">
        <f>Translations!$B$377</f>
        <v>RFA</v>
      </c>
      <c r="BL565" s="328" t="str">
        <f>Translations!$B$378</f>
        <v>RFA (in scope)</v>
      </c>
      <c r="BM565" s="328" t="str">
        <f>Translations!$B$379</f>
        <v>RFA Unit</v>
      </c>
      <c r="BN565" s="328" t="str">
        <f>Translations!$B$380</f>
        <v>SF Tier</v>
      </c>
      <c r="BO565" s="328" t="str">
        <f>Translations!$B$380</f>
        <v>SF Tier</v>
      </c>
      <c r="BP565" s="328" t="str">
        <f>Translations!$B$381</f>
        <v>SF</v>
      </c>
      <c r="BQ565" s="328" t="str">
        <f>Translations!$B$382</f>
        <v>EF Tier</v>
      </c>
      <c r="BR565" s="328" t="str">
        <f>Translations!$B$383</f>
        <v>EF</v>
      </c>
      <c r="BS565" s="328" t="str">
        <f>Translations!$B$384</f>
        <v>EF Unit</v>
      </c>
      <c r="BT565" s="328" t="str">
        <f>Translations!$B$385</f>
        <v>UCF Tier</v>
      </c>
      <c r="BU565" s="328" t="str">
        <f>Translations!$B$386</f>
        <v>UCF</v>
      </c>
      <c r="BV565" s="328" t="str">
        <f>Translations!$B$387</f>
        <v>UCF Unit</v>
      </c>
      <c r="BW565" s="328" t="str">
        <f>Translations!$B$388</f>
        <v>Bio Tier</v>
      </c>
      <c r="BX565" s="328" t="s">
        <v>113</v>
      </c>
      <c r="BY565" s="328" t="str">
        <f>Translations!$B$389</f>
        <v>NonSustBio Tier</v>
      </c>
      <c r="BZ565" s="328" t="s">
        <v>114</v>
      </c>
      <c r="CA565" s="328" t="s">
        <v>115</v>
      </c>
      <c r="CB565" s="328" t="s">
        <v>116</v>
      </c>
      <c r="CC565" s="328" t="s">
        <v>117</v>
      </c>
      <c r="CD565" s="328" t="s">
        <v>118</v>
      </c>
      <c r="CE565" s="328" t="s">
        <v>119</v>
      </c>
      <c r="CF565" s="328" t="s">
        <v>120</v>
      </c>
      <c r="CG565" s="328" t="str">
        <f>Translations!$B$392</f>
        <v>CO2 non-sust</v>
      </c>
      <c r="CH565" s="328" t="s">
        <v>121</v>
      </c>
      <c r="CI565" s="328" t="s">
        <v>122</v>
      </c>
      <c r="CJ565" s="328" t="s">
        <v>123</v>
      </c>
      <c r="CK565" s="328" t="s">
        <v>124</v>
      </c>
      <c r="CL565" s="328" t="s">
        <v>125</v>
      </c>
      <c r="CM565" s="328" t="str">
        <f>Translations!$B$551</f>
        <v>Energy content (bio), TJ</v>
      </c>
      <c r="CN565" s="328" t="s">
        <v>126</v>
      </c>
      <c r="CO565" s="328" t="s">
        <v>127</v>
      </c>
      <c r="CP565" s="328" t="s">
        <v>128</v>
      </c>
      <c r="CQ565" s="314"/>
    </row>
    <row r="566" spans="1:95" ht="5.15" customHeight="1" thickBot="1" x14ac:dyDescent="0.3">
      <c r="A566" s="307"/>
      <c r="B566" s="68"/>
      <c r="C566" s="68"/>
      <c r="D566" s="68"/>
      <c r="E566" s="68"/>
      <c r="F566" s="68"/>
      <c r="G566" s="68"/>
      <c r="H566" s="76"/>
      <c r="I566" s="76"/>
      <c r="J566" s="76"/>
      <c r="K566" s="76"/>
      <c r="L566" s="76"/>
      <c r="M566" s="76"/>
      <c r="N566" s="76"/>
      <c r="O566" s="160"/>
      <c r="P566" s="109"/>
      <c r="Q566" s="312"/>
      <c r="R566" s="312"/>
      <c r="S566" s="287"/>
      <c r="T566" s="287"/>
      <c r="U566" s="287"/>
      <c r="V566" s="301"/>
      <c r="W566" s="314"/>
      <c r="X566" s="314"/>
      <c r="Y566" s="312"/>
      <c r="Z566" s="314"/>
      <c r="AA566" s="314"/>
      <c r="AB566" s="314"/>
      <c r="AC566" s="314"/>
      <c r="AD566" s="314"/>
      <c r="AE566" s="314"/>
      <c r="AF566" s="293"/>
      <c r="AG566" s="314"/>
      <c r="AH566" s="314"/>
      <c r="AI566" s="314"/>
      <c r="AJ566" s="335"/>
      <c r="AK566" s="335"/>
      <c r="AL566" s="326"/>
      <c r="AM566" s="326"/>
      <c r="AN566" s="326"/>
      <c r="AO566" s="326"/>
      <c r="AP566" s="326"/>
      <c r="AQ566" s="314"/>
      <c r="AR566" s="314"/>
      <c r="AS566" s="314"/>
      <c r="AT566" s="314"/>
      <c r="AU566" s="314"/>
      <c r="AV566" s="314"/>
      <c r="AW566" s="314"/>
      <c r="AX566" s="314"/>
      <c r="AY566" s="314"/>
      <c r="AZ566" s="314"/>
      <c r="BA566" s="314"/>
      <c r="BB566" s="314"/>
      <c r="BC566" s="314"/>
      <c r="BD566" s="314"/>
      <c r="BE566" s="314"/>
      <c r="BF566" s="314"/>
      <c r="BG566" s="314"/>
      <c r="BH566" s="314"/>
      <c r="BI566" s="314"/>
      <c r="BJ566" s="314"/>
      <c r="BK566" s="314"/>
      <c r="BL566" s="314"/>
      <c r="BM566" s="314"/>
      <c r="BN566" s="314"/>
      <c r="BO566" s="314"/>
      <c r="BP566" s="314"/>
      <c r="BQ566" s="314"/>
      <c r="BR566" s="314"/>
      <c r="BS566" s="314"/>
      <c r="BT566" s="314"/>
      <c r="BU566" s="314"/>
      <c r="BV566" s="314"/>
      <c r="BW566" s="314"/>
      <c r="BX566" s="314"/>
      <c r="BY566" s="314"/>
      <c r="BZ566" s="314"/>
      <c r="CA566" s="314"/>
      <c r="CB566" s="314"/>
      <c r="CC566" s="314"/>
      <c r="CD566" s="314"/>
      <c r="CE566" s="314"/>
      <c r="CF566" s="314"/>
      <c r="CG566" s="314"/>
      <c r="CH566" s="314"/>
      <c r="CI566" s="314"/>
      <c r="CJ566" s="314"/>
      <c r="CK566" s="314"/>
      <c r="CL566" s="314"/>
      <c r="CM566" s="314"/>
      <c r="CN566" s="314"/>
      <c r="CO566" s="314"/>
      <c r="CP566" s="314"/>
      <c r="CQ566" s="314"/>
    </row>
    <row r="567" spans="1:95" ht="12.75" customHeight="1" thickBot="1" x14ac:dyDescent="0.3">
      <c r="A567" s="307"/>
      <c r="B567" s="68"/>
      <c r="C567" s="68"/>
      <c r="D567" s="68"/>
      <c r="E567" s="1253" t="str">
        <f>IF(E564="","",HYPERLINK("#JUMP_E_Top",EUconst_FurtherGuidancePoint1))</f>
        <v/>
      </c>
      <c r="F567" s="1253"/>
      <c r="G567" s="1253"/>
      <c r="H567" s="1253"/>
      <c r="I567" s="1253"/>
      <c r="J567" s="1253"/>
      <c r="K567" s="1253"/>
      <c r="L567" s="1253"/>
      <c r="M567" s="1253"/>
      <c r="N567" s="76"/>
      <c r="O567" s="160"/>
      <c r="P567" s="109"/>
      <c r="Q567" s="325" t="str">
        <f>EUconst_SumNonSustBioCO2</f>
        <v>SUM_bioNonSustCO2</v>
      </c>
      <c r="R567" s="337" t="str">
        <f>IF(E565="","",BG573)</f>
        <v/>
      </c>
      <c r="S567" s="287"/>
      <c r="T567" s="287"/>
      <c r="U567" s="287"/>
      <c r="V567" s="314"/>
      <c r="W567" s="314"/>
      <c r="X567" s="314"/>
      <c r="Y567" s="293"/>
      <c r="Z567" s="314"/>
      <c r="AA567" s="314"/>
      <c r="AB567" s="314"/>
      <c r="AC567" s="314"/>
      <c r="AD567" s="314"/>
      <c r="AE567" s="314"/>
      <c r="AF567" s="293"/>
      <c r="AG567" s="314"/>
      <c r="AH567" s="314"/>
      <c r="AI567" s="314"/>
      <c r="AJ567" s="335"/>
      <c r="AK567" s="335"/>
      <c r="AL567" s="326"/>
      <c r="AM567" s="326"/>
      <c r="AN567" s="326"/>
      <c r="AO567" s="326"/>
      <c r="AP567" s="326"/>
      <c r="AQ567" s="314"/>
      <c r="AR567" s="314"/>
      <c r="AS567" s="314"/>
      <c r="AT567" s="314"/>
      <c r="AU567" s="314"/>
      <c r="AV567" s="314"/>
      <c r="AW567" s="314"/>
      <c r="AX567" s="314"/>
      <c r="AY567" s="314"/>
      <c r="AZ567" s="314"/>
      <c r="BA567" s="314"/>
      <c r="BB567" s="314"/>
      <c r="BC567" s="314"/>
      <c r="BD567" s="314"/>
      <c r="BE567" s="314"/>
      <c r="BF567" s="314"/>
      <c r="BG567" s="314"/>
      <c r="BH567" s="314"/>
      <c r="BI567" s="317" t="s">
        <v>129</v>
      </c>
      <c r="BJ567" s="336"/>
      <c r="BK567" s="327" t="str">
        <f>IF(G585="","",G585)</f>
        <v/>
      </c>
      <c r="BL567" s="327" t="str">
        <f>IF(I585="","",I585)</f>
        <v/>
      </c>
      <c r="BM567" s="327" t="str">
        <f>IF(K585="","",K585)</f>
        <v/>
      </c>
      <c r="BN567" s="314"/>
      <c r="BO567" s="314"/>
      <c r="BP567" s="314"/>
      <c r="BQ567" s="314"/>
      <c r="BR567" s="314"/>
      <c r="BS567" s="314"/>
      <c r="BT567" s="319"/>
      <c r="BU567" s="314"/>
      <c r="BV567" s="314"/>
      <c r="BW567" s="314"/>
      <c r="BX567" s="314"/>
      <c r="BY567" s="314"/>
      <c r="BZ567" s="314"/>
      <c r="CA567" s="314"/>
      <c r="CB567" s="314"/>
      <c r="CC567" s="314"/>
      <c r="CD567" s="314"/>
      <c r="CE567" s="314"/>
      <c r="CF567" s="314"/>
      <c r="CG567" s="314"/>
      <c r="CH567" s="314"/>
      <c r="CI567" s="314"/>
      <c r="CJ567" s="314"/>
      <c r="CK567" s="314"/>
      <c r="CL567" s="314"/>
      <c r="CM567" s="314"/>
      <c r="CN567" s="314"/>
      <c r="CO567" s="314"/>
      <c r="CP567" s="314"/>
      <c r="CQ567" s="314"/>
    </row>
    <row r="568" spans="1:95" ht="5.15" customHeight="1" thickBot="1" x14ac:dyDescent="0.3">
      <c r="A568" s="307"/>
      <c r="B568" s="68"/>
      <c r="C568" s="68"/>
      <c r="D568" s="68"/>
      <c r="E568" s="68"/>
      <c r="F568" s="68"/>
      <c r="G568" s="68"/>
      <c r="H568" s="76"/>
      <c r="I568" s="76"/>
      <c r="J568" s="76"/>
      <c r="K568" s="76"/>
      <c r="L568" s="76"/>
      <c r="M568" s="76"/>
      <c r="N568" s="76"/>
      <c r="O568" s="160"/>
      <c r="P568" s="111"/>
      <c r="Q568" s="287"/>
      <c r="R568" s="111"/>
      <c r="S568" s="287"/>
      <c r="T568" s="287"/>
      <c r="U568" s="287"/>
      <c r="V568" s="314"/>
      <c r="W568" s="314"/>
      <c r="X568" s="314"/>
      <c r="Y568" s="312"/>
      <c r="Z568" s="314"/>
      <c r="AA568" s="314"/>
      <c r="AB568" s="314"/>
      <c r="AC568" s="314"/>
      <c r="AD568" s="314"/>
      <c r="AE568" s="314"/>
      <c r="AF568" s="293"/>
      <c r="AG568" s="314"/>
      <c r="AH568" s="314"/>
      <c r="AI568" s="314"/>
      <c r="AJ568" s="335"/>
      <c r="AK568" s="335"/>
      <c r="AL568" s="326"/>
      <c r="AM568" s="326"/>
      <c r="AN568" s="326"/>
      <c r="AO568" s="326"/>
      <c r="AP568" s="326"/>
      <c r="AQ568" s="314"/>
      <c r="AR568" s="314"/>
      <c r="AS568" s="314"/>
      <c r="AT568" s="314"/>
      <c r="AU568" s="314"/>
      <c r="AV568" s="314"/>
      <c r="AW568" s="314"/>
      <c r="AX568" s="314"/>
      <c r="AY568" s="314"/>
      <c r="AZ568" s="314"/>
      <c r="BA568" s="314"/>
      <c r="BB568" s="314"/>
      <c r="BC568" s="314"/>
      <c r="BD568" s="314"/>
      <c r="BE568" s="314"/>
      <c r="BF568" s="314"/>
      <c r="BG568" s="314"/>
      <c r="BH568" s="314"/>
      <c r="BI568" s="314"/>
      <c r="BJ568" s="314"/>
      <c r="BK568" s="314"/>
      <c r="BL568" s="314"/>
      <c r="BM568" s="314"/>
      <c r="BN568" s="314"/>
      <c r="BO568" s="314"/>
      <c r="BP568" s="314"/>
      <c r="BQ568" s="314"/>
      <c r="BR568" s="314"/>
      <c r="BS568" s="314"/>
      <c r="BT568" s="314"/>
      <c r="BU568" s="314"/>
      <c r="BV568" s="314"/>
      <c r="BW568" s="314"/>
      <c r="BX568" s="314"/>
      <c r="BY568" s="314"/>
      <c r="BZ568" s="314"/>
      <c r="CA568" s="314"/>
      <c r="CB568" s="314"/>
      <c r="CC568" s="314"/>
      <c r="CD568" s="314"/>
      <c r="CE568" s="314"/>
      <c r="CF568" s="314"/>
      <c r="CG568" s="314"/>
      <c r="CH568" s="314"/>
      <c r="CI568" s="314"/>
      <c r="CJ568" s="314"/>
      <c r="CK568" s="314"/>
      <c r="CL568" s="314"/>
      <c r="CM568" s="314"/>
      <c r="CN568" s="314"/>
      <c r="CO568" s="314"/>
      <c r="CP568" s="314"/>
      <c r="CQ568" s="314"/>
    </row>
    <row r="569" spans="1:95" ht="12.75" customHeight="1" thickBot="1" x14ac:dyDescent="0.3">
      <c r="A569" s="307"/>
      <c r="B569" s="68"/>
      <c r="C569" s="68"/>
      <c r="D569" s="68"/>
      <c r="E569" s="68"/>
      <c r="F569" s="338" t="str">
        <f>Translations!$B$127</f>
        <v>Tier</v>
      </c>
      <c r="G569" s="1254" t="str">
        <f>Translations!$B$393</f>
        <v>tier description</v>
      </c>
      <c r="H569" s="1254"/>
      <c r="I569" s="1255" t="str">
        <f>Translations!$B$394</f>
        <v>Unit</v>
      </c>
      <c r="J569" s="1255"/>
      <c r="K569" s="1255" t="str">
        <f>Translations!$B$395</f>
        <v>Value</v>
      </c>
      <c r="L569" s="1255"/>
      <c r="M569" s="205" t="str">
        <f>Translations!$B$396</f>
        <v>error</v>
      </c>
      <c r="N569" s="76"/>
      <c r="O569" s="160"/>
      <c r="P569" s="339"/>
      <c r="Q569" s="325" t="str">
        <f>EUconst_SumEnergyIN</f>
        <v>SUM_EnergyIN</v>
      </c>
      <c r="R569" s="340" t="str">
        <f>IF(E565="","",BG578)</f>
        <v/>
      </c>
      <c r="S569" s="314"/>
      <c r="T569" s="314"/>
      <c r="U569" s="314"/>
      <c r="V569" s="341" t="s">
        <v>130</v>
      </c>
      <c r="W569" s="314"/>
      <c r="X569" s="314"/>
      <c r="Y569" s="312" t="s">
        <v>131</v>
      </c>
      <c r="Z569" s="312" t="s">
        <v>132</v>
      </c>
      <c r="AA569" s="314"/>
      <c r="AB569" s="314"/>
      <c r="AC569" s="336" t="s">
        <v>133</v>
      </c>
      <c r="AD569" s="314"/>
      <c r="AE569" s="314"/>
      <c r="AF569" s="314" t="s">
        <v>134</v>
      </c>
      <c r="AG569" s="314" t="s">
        <v>135</v>
      </c>
      <c r="AH569" s="312" t="s">
        <v>136</v>
      </c>
      <c r="AI569" s="335" t="s">
        <v>137</v>
      </c>
      <c r="AJ569" s="335" t="s">
        <v>138</v>
      </c>
      <c r="AK569" s="342" t="s">
        <v>139</v>
      </c>
      <c r="AL569" s="326"/>
      <c r="AM569" s="326"/>
      <c r="AN569" s="326"/>
      <c r="AO569" s="326"/>
      <c r="AP569" s="326"/>
      <c r="AQ569" s="314"/>
      <c r="AR569" s="314" t="s">
        <v>134</v>
      </c>
      <c r="AS569" s="314" t="s">
        <v>135</v>
      </c>
      <c r="AT569" s="343" t="s">
        <v>140</v>
      </c>
      <c r="AU569" s="335" t="s">
        <v>141</v>
      </c>
      <c r="AV569" s="335" t="s">
        <v>142</v>
      </c>
      <c r="AW569" s="342" t="s">
        <v>139</v>
      </c>
      <c r="AX569" s="342" t="s">
        <v>139</v>
      </c>
      <c r="AY569" s="314"/>
      <c r="AZ569" s="314"/>
      <c r="BA569" s="314"/>
      <c r="BB569" s="314" t="s">
        <v>143</v>
      </c>
      <c r="BC569" s="314"/>
      <c r="BD569" s="314"/>
      <c r="BE569" s="314"/>
      <c r="BF569" s="314"/>
      <c r="BG569" s="319" t="s">
        <v>144</v>
      </c>
      <c r="BH569" s="314" t="s">
        <v>145</v>
      </c>
      <c r="BI569" s="314"/>
      <c r="BJ569" s="314"/>
      <c r="BK569" s="314"/>
      <c r="BL569" s="314"/>
      <c r="BM569" s="314"/>
      <c r="BN569" s="314"/>
      <c r="BO569" s="314"/>
      <c r="BP569" s="314"/>
      <c r="BQ569" s="314"/>
      <c r="BR569" s="314"/>
      <c r="BS569" s="314"/>
      <c r="BT569" s="314"/>
      <c r="BU569" s="314"/>
      <c r="BV569" s="314"/>
      <c r="BW569" s="314"/>
      <c r="BX569" s="314"/>
      <c r="BY569" s="314"/>
      <c r="BZ569" s="314"/>
      <c r="CA569" s="314"/>
      <c r="CB569" s="314"/>
      <c r="CC569" s="314"/>
      <c r="CD569" s="314"/>
      <c r="CE569" s="314"/>
      <c r="CF569" s="314"/>
      <c r="CG569" s="314"/>
      <c r="CH569" s="314"/>
      <c r="CI569" s="314"/>
      <c r="CJ569" s="314"/>
      <c r="CK569" s="314"/>
      <c r="CL569" s="314"/>
      <c r="CM569" s="314"/>
      <c r="CN569" s="314"/>
      <c r="CO569" s="314"/>
      <c r="CP569" s="314"/>
      <c r="CQ569" s="319" t="s">
        <v>107</v>
      </c>
    </row>
    <row r="570" spans="1:95" ht="12.75" customHeight="1" thickBot="1" x14ac:dyDescent="0.3">
      <c r="A570" s="307"/>
      <c r="B570" s="68"/>
      <c r="C570" s="199" t="s">
        <v>12</v>
      </c>
      <c r="D570" s="344" t="str">
        <f>Translations!$B$356</f>
        <v>RFA:</v>
      </c>
      <c r="E570" s="345"/>
      <c r="F570" s="6"/>
      <c r="G570" s="1256" t="str">
        <f>IF(OR(ISBLANK(F570),F570=EUconst_NoTier),"",IF(Z570=0,EUconst_NA,IF(ISERROR(Z570),"",Z570)))</f>
        <v/>
      </c>
      <c r="H570" s="1257"/>
      <c r="I570" s="346" t="str">
        <f>IF(J570&lt;&gt;"","",AI570)</f>
        <v/>
      </c>
      <c r="J570" s="7"/>
      <c r="K570" s="1258"/>
      <c r="L570" s="1259"/>
      <c r="M570" s="347" t="str">
        <f>IF(AND(E565&lt;&gt;"",OR(F570="",COUNT(K570)=0),Y570&lt;&gt;EUconst_NA),EUconst_ERR_Incomplete,"")</f>
        <v/>
      </c>
      <c r="N570" s="76"/>
      <c r="O570" s="160"/>
      <c r="P570" s="348"/>
      <c r="Q570" s="325" t="str">
        <f>EUconst_SumBioEnergyIN</f>
        <v>SUM_BioEnergyIN</v>
      </c>
      <c r="R570" s="340" t="str">
        <f>IF(E565="","",BG579)</f>
        <v/>
      </c>
      <c r="S570" s="314"/>
      <c r="T570" s="349" t="str">
        <f>EUconst_CNTR_ActivityData&amp;E565</f>
        <v>ActivityData_</v>
      </c>
      <c r="U570" s="312"/>
      <c r="V570" s="349" t="str">
        <f>IF(E564="","",INDEX(B_IdentifyFuelStreams!$I$67:$I$116,MATCH(U563,B_IdentifyFuelStreams!$D$67:$D$116,0)))</f>
        <v/>
      </c>
      <c r="W570" s="335" t="s">
        <v>146</v>
      </c>
      <c r="X570" s="312"/>
      <c r="Y570" s="350" t="str">
        <f>IF(E565="","",INDEX(EUwideConstants!$P$164:$P$200,MATCH(T570,EUwideConstants!$S$164:$S$200,0)))</f>
        <v/>
      </c>
      <c r="Z570" s="351" t="str">
        <f>IF(ISBLANK(F570),"",IF(F570=EUconst_NA,"",INDEX(EUwideConstants!$H:$O,MATCH(T570,EUwideConstants!$S:$S,0),MATCH(F570,CNTR_TierList,0))))</f>
        <v/>
      </c>
      <c r="AA570" s="352" t="s">
        <v>136</v>
      </c>
      <c r="AB570" s="335"/>
      <c r="AC570" s="331" t="b">
        <f>E564&lt;&gt;""</f>
        <v>0</v>
      </c>
      <c r="AD570" s="314"/>
      <c r="AE570" s="353" t="str">
        <f>EUconst_CNTR_ActivityData&amp;EUconst_Unit</f>
        <v>ActivityData_Unit</v>
      </c>
      <c r="AF570" s="354" t="str">
        <f>IF(AC570=TRUE, IF(COUNTIF(MSPara_SourceStreamCategory,V570)=0,"",INDEX(MSPara_CalcFactorsMatrix,MATCH(V570,MSPara_SourceStreamCategory,0),MATCH(AE570&amp;"_"&amp;2,MSPara_CalcFactors,0))),"")</f>
        <v/>
      </c>
      <c r="AG570" s="355" t="str">
        <f>IF(AC570=TRUE, IF(COUNTIF(MSPara_SourceStreamCategory,V570)=0,"",INDEX(MSPara_CalcFactorsMatrix,MATCH(V570,MSPara_SourceStreamCategory,0),MATCH(AE570&amp;"_"&amp;1,MSPara_CalcFactors,0))),"")</f>
        <v/>
      </c>
      <c r="AH570" s="331" t="str">
        <f>IF(OR(AF570="",AF570=EUconst_NA),IF(OR(AG570=EUconst_NA,AG570=""),"",AG570),AF570)</f>
        <v/>
      </c>
      <c r="AI570" s="350" t="str">
        <f>IF(AC570=TRUE,IF(AH570="",EUconst_t,AH570),"")</f>
        <v/>
      </c>
      <c r="AJ570" s="356" t="str">
        <f>IF(J570="",AI570,J570)</f>
        <v/>
      </c>
      <c r="AK570" s="357" t="b">
        <f>AND(E564&lt;&gt;"",J570&lt;&gt;"")</f>
        <v>0</v>
      </c>
      <c r="AL570" s="326"/>
      <c r="AM570" s="358" t="s">
        <v>147</v>
      </c>
      <c r="AN570" s="359" t="str">
        <f>AJ570</f>
        <v/>
      </c>
      <c r="AO570" s="326"/>
      <c r="AP570" s="326"/>
      <c r="AQ570" s="349" t="str">
        <f>EUconst_CNTR_ActivityData&amp;EUconst_Value</f>
        <v>ActivityData_Value</v>
      </c>
      <c r="AR570" s="336"/>
      <c r="AS570" s="336"/>
      <c r="AT570" s="331" t="b">
        <f>AND(AND(AH570&lt;&gt;"",AJ570&lt;&gt;""),AJ570=AH570)</f>
        <v>0</v>
      </c>
      <c r="AU570" s="314"/>
      <c r="AV570" s="331">
        <f>IF(Y570=EUconst_NA,0,IF(COUNT(K570:K570)=0,0,IF(K570="",#REF!,K570)))</f>
        <v>0</v>
      </c>
      <c r="AW570" s="360" t="b">
        <f>AND(AC570=TRUE,OR(K570&lt;&gt;"",AU570=""))</f>
        <v>0</v>
      </c>
      <c r="AX570" s="360" t="b">
        <f>AND(AC570=TRUE,NOT(AW570))</f>
        <v>0</v>
      </c>
      <c r="AY570" s="314"/>
      <c r="AZ570" s="314" t="s">
        <v>148</v>
      </c>
      <c r="BA570" s="314" t="s">
        <v>149</v>
      </c>
      <c r="BB570" s="360"/>
      <c r="BC570" s="314" t="s">
        <v>150</v>
      </c>
      <c r="BD570" s="314"/>
      <c r="BE570" s="314"/>
      <c r="BF570" s="361" t="s">
        <v>119</v>
      </c>
      <c r="BG570" s="362" t="str">
        <f>IF(COUNTIF(AO573:AO574,TRUE)=0,"",BH570*AV581)</f>
        <v/>
      </c>
      <c r="BH570" s="362" t="str">
        <f>IF(COUNTIF(AO573:AO574,TRUE)=0,"",AV570*IF(AO573,1,AV572*AN574)*AV573-BH572-BH574-BH576)</f>
        <v/>
      </c>
      <c r="BI570" s="314"/>
      <c r="BJ570" s="314"/>
      <c r="BK570" s="314"/>
      <c r="BL570" s="314"/>
      <c r="BM570" s="314"/>
      <c r="BN570" s="314"/>
      <c r="BO570" s="314"/>
      <c r="BP570" s="314"/>
      <c r="BQ570" s="314"/>
      <c r="BR570" s="314"/>
      <c r="BS570" s="314"/>
      <c r="BT570" s="314"/>
      <c r="BU570" s="314"/>
      <c r="BV570" s="314"/>
      <c r="BW570" s="314"/>
      <c r="BX570" s="314"/>
      <c r="BY570" s="314"/>
      <c r="BZ570" s="314"/>
      <c r="CA570" s="314"/>
      <c r="CB570" s="314"/>
      <c r="CC570" s="314"/>
      <c r="CD570" s="314"/>
      <c r="CE570" s="314"/>
      <c r="CF570" s="314"/>
      <c r="CG570" s="314"/>
      <c r="CH570" s="314"/>
      <c r="CI570" s="314"/>
      <c r="CJ570" s="314"/>
      <c r="CK570" s="314"/>
      <c r="CL570" s="314"/>
      <c r="CM570" s="314"/>
      <c r="CN570" s="314"/>
      <c r="CO570" s="314"/>
      <c r="CP570" s="314"/>
      <c r="CQ570" s="360" t="b">
        <v>0</v>
      </c>
    </row>
    <row r="571" spans="1:95" ht="5.15" customHeight="1" thickBot="1" x14ac:dyDescent="0.3">
      <c r="A571" s="307"/>
      <c r="B571" s="68"/>
      <c r="C571" s="199"/>
      <c r="D571" s="202"/>
      <c r="E571" s="76"/>
      <c r="F571" s="76"/>
      <c r="G571" s="76"/>
      <c r="H571" s="76" t="str">
        <f>Translations!$B$397</f>
        <v xml:space="preserve"> </v>
      </c>
      <c r="I571" s="162"/>
      <c r="J571" s="162"/>
      <c r="K571" s="76"/>
      <c r="L571" s="76"/>
      <c r="M571" s="363"/>
      <c r="N571" s="76"/>
      <c r="O571" s="160"/>
      <c r="P571" s="109"/>
      <c r="Q571" s="312"/>
      <c r="R571" s="312"/>
      <c r="S571" s="314"/>
      <c r="T571" s="62"/>
      <c r="U571" s="312"/>
      <c r="V571" s="314"/>
      <c r="W571" s="314"/>
      <c r="X571" s="312"/>
      <c r="Y571" s="319"/>
      <c r="Z571" s="314"/>
      <c r="AA571" s="314"/>
      <c r="AB571" s="314"/>
      <c r="AC571" s="314"/>
      <c r="AD571" s="314"/>
      <c r="AE571" s="314"/>
      <c r="AF571" s="314"/>
      <c r="AG571" s="314"/>
      <c r="AH571" s="314"/>
      <c r="AI571" s="314"/>
      <c r="AJ571" s="314"/>
      <c r="AK571" s="314"/>
      <c r="AL571" s="326"/>
      <c r="AM571" s="326"/>
      <c r="AN571" s="326"/>
      <c r="AO571" s="326"/>
      <c r="AP571" s="326"/>
      <c r="AQ571" s="314"/>
      <c r="AR571" s="314"/>
      <c r="AS571" s="314"/>
      <c r="AT571" s="314"/>
      <c r="AU571" s="314"/>
      <c r="AV571" s="314"/>
      <c r="AW571" s="314"/>
      <c r="AX571" s="314"/>
      <c r="AY571" s="314"/>
      <c r="AZ571" s="314"/>
      <c r="BA571" s="314"/>
      <c r="BB571" s="314"/>
      <c r="BC571" s="314"/>
      <c r="BD571" s="314"/>
      <c r="BE571" s="314"/>
      <c r="BF571" s="314"/>
      <c r="BG571" s="364"/>
      <c r="BH571" s="364"/>
      <c r="BI571" s="314"/>
      <c r="BJ571" s="314"/>
      <c r="BK571" s="314"/>
      <c r="BL571" s="314"/>
      <c r="BM571" s="314"/>
      <c r="BN571" s="314"/>
      <c r="BO571" s="314"/>
      <c r="BP571" s="314"/>
      <c r="BQ571" s="314"/>
      <c r="BR571" s="314"/>
      <c r="BS571" s="314"/>
      <c r="BT571" s="314"/>
      <c r="BU571" s="314"/>
      <c r="BV571" s="314"/>
      <c r="BW571" s="314"/>
      <c r="BX571" s="314"/>
      <c r="BY571" s="314"/>
      <c r="BZ571" s="314"/>
      <c r="CA571" s="314"/>
      <c r="CB571" s="314"/>
      <c r="CC571" s="314"/>
      <c r="CD571" s="314"/>
      <c r="CE571" s="314"/>
      <c r="CF571" s="314"/>
      <c r="CG571" s="314"/>
      <c r="CH571" s="314"/>
      <c r="CI571" s="314"/>
      <c r="CJ571" s="314"/>
      <c r="CK571" s="314"/>
      <c r="CL571" s="314"/>
      <c r="CM571" s="314"/>
      <c r="CN571" s="314"/>
      <c r="CO571" s="314"/>
      <c r="CP571" s="314"/>
      <c r="CQ571" s="319"/>
    </row>
    <row r="572" spans="1:95" ht="12.75" customHeight="1" x14ac:dyDescent="0.25">
      <c r="A572" s="307"/>
      <c r="B572" s="68"/>
      <c r="C572" s="199" t="s">
        <v>13</v>
      </c>
      <c r="D572" s="344" t="str">
        <f>Translations!$B$360</f>
        <v>UCF:</v>
      </c>
      <c r="E572" s="345"/>
      <c r="F572" s="10"/>
      <c r="G572" s="1256" t="str">
        <f>IF(OR(ISBLANK(F572),F572=EUconst_NoTier),"",IF(Z572=0,EUconst_NotApplicable,IF(ISERROR(Z572),"",Z572)))</f>
        <v/>
      </c>
      <c r="H572" s="1257"/>
      <c r="I572" s="365" t="str">
        <f>IF(J572&lt;&gt;"","",AI572)</f>
        <v/>
      </c>
      <c r="J572" s="11"/>
      <c r="K572" s="366" t="str">
        <f>IF(L572="",AU572,"")</f>
        <v/>
      </c>
      <c r="L572" s="23"/>
      <c r="M572" s="347" t="str">
        <f>IF(AND(E565&lt;&gt;"",OR(F572="",COUNT(K572:L572)=0),Y572&lt;&gt;EUconst_NA),EUconst_ERR_Incomplete,IF(COUNTIF(BB572:BD572,TRUE)&gt;0,EUconst_ERR_Inconsistent,""))</f>
        <v/>
      </c>
      <c r="N572" s="367"/>
      <c r="O572" s="160"/>
      <c r="P572" s="109"/>
      <c r="Q572" s="312"/>
      <c r="R572" s="312"/>
      <c r="S572" s="314"/>
      <c r="T572" s="368" t="str">
        <f>EUconst_CNTR_UCF&amp;E565</f>
        <v>UCF_</v>
      </c>
      <c r="U572" s="312"/>
      <c r="V572" s="369" t="str">
        <f>V573</f>
        <v/>
      </c>
      <c r="W572" s="314"/>
      <c r="X572" s="312"/>
      <c r="Y572" s="370" t="str">
        <f>IF(E565="","",IF(OR(F572=EUconst_NA,W572=TRUE),EUconst_NA,INDEX(EUwideConstants!$P$164:$P$200,MATCH(T572,EUwideConstants!$S$164:$S$200,0))))</f>
        <v/>
      </c>
      <c r="Z572" s="371" t="str">
        <f>IF(ISBLANK(F572),"",IF(F572=EUconst_NA,"",INDEX(EUwideConstants!$H:$O,MATCH(T572,EUwideConstants!$S:$S,0),MATCH(F572,CNTR_TierList,0))))</f>
        <v/>
      </c>
      <c r="AA572" s="372" t="str">
        <f>IF(COUNTIF(EUconst_DefaultValues,Z572)&gt;0,MATCH(Z572,EUconst_DefaultValues,0),"")</f>
        <v/>
      </c>
      <c r="AB572" s="314"/>
      <c r="AC572" s="373" t="b">
        <f>AND(AC570,Y572&lt;&gt;EUconst_NA)</f>
        <v>0</v>
      </c>
      <c r="AD572" s="314"/>
      <c r="AE572" s="353" t="str">
        <f>EUconst_CNTR_UCF&amp;EUconst_Unit</f>
        <v>UCF_Unit</v>
      </c>
      <c r="AF572" s="374" t="str">
        <f>IF(AC572=TRUE, IF(COUNTIF(MSPara_SourceStreamCategory,V572)=0,"",INDEX(MSPara_CalcFactorsMatrix,MATCH(V572,MSPara_SourceStreamCategory,0),MATCH(AE572&amp;"_"&amp;2,MSPara_CalcFactors,0))),"")</f>
        <v/>
      </c>
      <c r="AG572" s="375" t="str">
        <f>IF(AC572=TRUE, IF(COUNTIF(MSPara_SourceStreamCategory,V572)=0,"",INDEX(MSPara_CalcFactorsMatrix,MATCH(V572,MSPara_SourceStreamCategory,0),MATCH(AE572&amp;"_"&amp;1,MSPara_CalcFactors,0))),"")</f>
        <v/>
      </c>
      <c r="AH572" s="373" t="str">
        <f>IF(AA572="","",INDEX(AF572:AG572,3-AA572))</f>
        <v/>
      </c>
      <c r="AI572" s="373" t="str">
        <f>IF(AC572=TRUE,IF(OR(AH572="",AH572=EUconst_NA),EUconst_GJ&amp;"/"&amp;AJ570,AH572),"")</f>
        <v/>
      </c>
      <c r="AJ572" s="373" t="str">
        <f>IF(J572="",AI572,J572)</f>
        <v/>
      </c>
      <c r="AK572" s="369" t="b">
        <f>AND(E564&lt;&gt;"",J572&lt;&gt;"")</f>
        <v>0</v>
      </c>
      <c r="AL572" s="326"/>
      <c r="AM572" s="358" t="s">
        <v>151</v>
      </c>
      <c r="AN572" s="359" t="str">
        <f>IF(AJ572="",EUconst_NA,IF(AN570=EUconst_TJ,EUconst_TJ,INDEX(EUwideConstants!$C$135:$G$139,MATCH(AN570,RFAUnits,0),MATCH(AJ572,UCFUnits,0))))</f>
        <v>n.a.</v>
      </c>
      <c r="AO572" s="326"/>
      <c r="AP572" s="326"/>
      <c r="AQ572" s="376" t="str">
        <f>EUconst_CNTR_UCF&amp;EUconst_Value</f>
        <v>UCF_Value</v>
      </c>
      <c r="AR572" s="377" t="str">
        <f>IF(AC572=TRUE,IF(COUNTIF(MSPara_SourceStreamCategory,V572)=0,"",INDEX(MSPara_CalcFactorsMatrix,MATCH(V572,MSPara_SourceStreamCategory,0),MATCH(AQ572&amp;"_"&amp;2,MSPara_CalcFactors,0))),"")</f>
        <v/>
      </c>
      <c r="AS572" s="378" t="str">
        <f>IF(AC572=TRUE,IF(COUNTIF(MSPara_SourceStreamCategory,V572)=0,"",INDEX(MSPara_CalcFactorsMatrix,MATCH(V572,MSPara_SourceStreamCategory,0),MATCH(AQ572&amp;"_"&amp;1,MSPara_CalcFactors,0))),"")</f>
        <v/>
      </c>
      <c r="AT572" s="379" t="b">
        <f>AND(AND(AH572&lt;&gt;"",AJ572&lt;&gt;""),AJ572=AH572)</f>
        <v>0</v>
      </c>
      <c r="AU572" s="380" t="str">
        <f>IF(AND(AA572&lt;&gt;"",AT572=TRUE),IF(OR(INDEX(AR572:AS572,3-AA572)=EUconst_NA,INDEX(AR572:AS572,3-AA572)=0),"",INDEX(AR572:AS572,3-AA572)),"")</f>
        <v/>
      </c>
      <c r="AV572" s="373">
        <f>IF(AC572=TRUE,IF(COUNT(K572:L572)=0,0,IF(L572="",K572,L572)),0)</f>
        <v>0</v>
      </c>
      <c r="AW572" s="369" t="b">
        <f t="shared" ref="AW572:AW579" si="162">AND(AC572=TRUE,OR(AND(F572&lt;&gt;"",NOT(ISNUMBER(AA572))),L572&lt;&gt;"",F572="",AU572=""))</f>
        <v>0</v>
      </c>
      <c r="AX572" s="381" t="b">
        <f t="shared" ref="AX572:AX579" si="163">AND(AC572=TRUE,NOT(AW572))</f>
        <v>0</v>
      </c>
      <c r="AY572" s="314"/>
      <c r="AZ572" s="382" t="b">
        <f t="shared" ref="AZ572:AZ579" si="164">AND(ISNUMBER(AA572),AU572="")</f>
        <v>0</v>
      </c>
      <c r="BA572" s="383" t="b">
        <f t="shared" ref="BA572:BA579" si="165">AND(ISNUMBER(AA572),AU572&lt;&gt;AV572)</f>
        <v>0</v>
      </c>
      <c r="BB572" s="369" t="b">
        <f>AND(E565&lt;&gt;"",F572&lt;&gt;EUconst_NA,AN572=EUconst_NA)</f>
        <v>0</v>
      </c>
      <c r="BC572" s="369" t="b">
        <f t="shared" ref="BC572:BC579" si="166">AND(L572&lt;&gt;"",Y572=EUconst_NA)</f>
        <v>0</v>
      </c>
      <c r="BD572" s="314"/>
      <c r="BE572" s="314"/>
      <c r="BF572" s="382" t="s">
        <v>152</v>
      </c>
      <c r="BG572" s="384" t="str">
        <f>IF(COUNTIF(AO573:AO574,TRUE)=0,"",BH572*AV581)</f>
        <v/>
      </c>
      <c r="BH572" s="384" t="str">
        <f>IF(COUNTIF(AO573:AO574,TRUE)=0,"",AV570*IF(AO573,1,AV572*AN574)*AV573*AV574)</f>
        <v/>
      </c>
      <c r="BI572" s="314"/>
      <c r="BJ572" s="314"/>
      <c r="BK572" s="314"/>
      <c r="BL572" s="314"/>
      <c r="BM572" s="314"/>
      <c r="BN572" s="314"/>
      <c r="BO572" s="314"/>
      <c r="BP572" s="314"/>
      <c r="BQ572" s="314"/>
      <c r="BR572" s="314"/>
      <c r="BS572" s="314"/>
      <c r="BT572" s="314"/>
      <c r="BU572" s="314"/>
      <c r="BV572" s="314"/>
      <c r="BW572" s="314"/>
      <c r="BX572" s="314"/>
      <c r="BY572" s="314"/>
      <c r="BZ572" s="314"/>
      <c r="CA572" s="314"/>
      <c r="CB572" s="314"/>
      <c r="CC572" s="314"/>
      <c r="CD572" s="314"/>
      <c r="CE572" s="314"/>
      <c r="CF572" s="314"/>
      <c r="CG572" s="314"/>
      <c r="CH572" s="314"/>
      <c r="CI572" s="314"/>
      <c r="CJ572" s="314"/>
      <c r="CK572" s="314"/>
      <c r="CL572" s="314"/>
      <c r="CM572" s="314"/>
      <c r="CN572" s="314"/>
      <c r="CO572" s="314"/>
      <c r="CP572" s="314"/>
      <c r="CQ572" s="369" t="b">
        <f>OR(CQ570,Y572=EUconst_NA)</f>
        <v>0</v>
      </c>
    </row>
    <row r="573" spans="1:95" ht="12.75" customHeight="1" thickBot="1" x14ac:dyDescent="0.3">
      <c r="A573" s="307"/>
      <c r="B573" s="68"/>
      <c r="C573" s="199" t="s">
        <v>14</v>
      </c>
      <c r="D573" s="344" t="str">
        <f>Translations!$B$358</f>
        <v>(prelim) EF:</v>
      </c>
      <c r="E573" s="345"/>
      <c r="F573" s="59"/>
      <c r="G573" s="1256" t="str">
        <f>IF(OR(ISBLANK(F573),F573=EUconst_NoTier),"",IF(Z573=0,EUconst_NotApplicable,IF(ISERROR(Z573),"",Z573)))</f>
        <v/>
      </c>
      <c r="H573" s="1260"/>
      <c r="I573" s="385" t="str">
        <f>IF(J573&lt;&gt;"","",AI573)</f>
        <v/>
      </c>
      <c r="J573" s="22"/>
      <c r="K573" s="386" t="str">
        <f>IF(L573="",AU573,"")</f>
        <v/>
      </c>
      <c r="L573" s="58"/>
      <c r="M573" s="347" t="str">
        <f>IF(AND(E565&lt;&gt;"",OR(F573="",COUNT(K573:L573)=0),Y573&lt;&gt;EUconst_NA),EUconst_ERR_Incomplete,IF(COUNTIF(BB573:BD573,TRUE)&gt;0,EUconst_ERR_Inconsistent,""))</f>
        <v/>
      </c>
      <c r="N573" s="387"/>
      <c r="O573" s="160"/>
      <c r="P573" s="109"/>
      <c r="Q573" s="312"/>
      <c r="R573" s="312"/>
      <c r="S573" s="314"/>
      <c r="T573" s="388" t="str">
        <f>EUconst_CNTR_EF&amp;E565</f>
        <v>EF_</v>
      </c>
      <c r="U573" s="312"/>
      <c r="V573" s="389" t="str">
        <f>V570</f>
        <v/>
      </c>
      <c r="W573" s="314"/>
      <c r="X573" s="312"/>
      <c r="Y573" s="390" t="str">
        <f>IF(E565="","",IF(OR(F573=EUconst_NA,W573=TRUE),EUconst_NA,INDEX(EUwideConstants!$P$164:$P$200,MATCH(T573,EUwideConstants!$S$164:$S$200,0))))</f>
        <v/>
      </c>
      <c r="Z573" s="391" t="str">
        <f>IF(ISBLANK(F573),"",IF(F573=EUconst_NA,"",INDEX(EUwideConstants!$H:$O,MATCH(T573,EUwideConstants!$S:$S,0),MATCH(F573,CNTR_TierList,0))))</f>
        <v/>
      </c>
      <c r="AA573" s="392" t="str">
        <f>IF(COUNTIF(EUconst_DefaultValues,Z573)&gt;0,MATCH(Z573,EUconst_DefaultValues,0),"")</f>
        <v/>
      </c>
      <c r="AB573" s="314"/>
      <c r="AC573" s="393" t="b">
        <f>AND(AC570,Y573&lt;&gt;EUconst_NA)</f>
        <v>0</v>
      </c>
      <c r="AD573" s="314"/>
      <c r="AE573" s="394" t="str">
        <f>EUconst_CNTR_EF&amp;EUconst_Unit</f>
        <v>EF_Unit</v>
      </c>
      <c r="AF573" s="395" t="str">
        <f>IF(AC573=TRUE, IF(COUNTIF(MSPara_SourceStreamCategory,V573)=0,"",INDEX(MSPara_CalcFactorsMatrix,MATCH(V573,MSPara_SourceStreamCategory,0),MATCH(AE573&amp;"_"&amp;2,MSPara_CalcFactors,0))),"")</f>
        <v/>
      </c>
      <c r="AG573" s="396" t="str">
        <f>IF(AC573=TRUE, IF(COUNTIF(MSPara_SourceStreamCategory,V573)=0,"",INDEX(MSPara_CalcFactorsMatrix,MATCH(V573,MSPara_SourceStreamCategory,0),MATCH(AE573&amp;"_"&amp;1,MSPara_CalcFactors,0))),"")</f>
        <v/>
      </c>
      <c r="AH573" s="397" t="str">
        <f>IF(AA573="","",INDEX(AF573:AG573,3-AA573))</f>
        <v/>
      </c>
      <c r="AI573" s="397" t="str">
        <f>IF(AC573=TRUE,IF(OR(AH573="",AH573=EUconst_NA),EUconst_tCO2&amp;"/"&amp;IF(AN572=EUconst_NA,AN570,IF(AN572=EUconst_GJ,EUconst_TJ,AN572)),AH573),"")</f>
        <v/>
      </c>
      <c r="AJ573" s="397" t="str">
        <f>IF(J573="",AI573,J573)</f>
        <v/>
      </c>
      <c r="AK573" s="398" t="b">
        <f>AND(E565&lt;&gt;"",J573&lt;&gt;"")</f>
        <v>0</v>
      </c>
      <c r="AL573" s="326"/>
      <c r="AM573" s="358" t="s">
        <v>153</v>
      </c>
      <c r="AN573" s="359" t="str">
        <f>IF(COUNTIF(RFAUnits,AN570)=0,EUconst_NA,INDEX(EUwideConstants!$C$150:$H$154,MATCH(AJ573,EFUnits,0),MATCH(AN570,EUwideConstants!$C$149:$H$149,0)))</f>
        <v>n.a.</v>
      </c>
      <c r="AO573" s="359" t="b">
        <f>AN573&lt;&gt;EUconst_NA</f>
        <v>0</v>
      </c>
      <c r="AP573" s="326"/>
      <c r="AQ573" s="399" t="str">
        <f>EUconst_CNTR_EF&amp;EUconst_Value</f>
        <v>EF_Value</v>
      </c>
      <c r="AR573" s="400" t="str">
        <f>IF(AC573=TRUE,IF(COUNTIF(MSPara_SourceStreamCategory,V573)=0,"",INDEX(MSPara_CalcFactorsMatrix,MATCH(V573,MSPara_SourceStreamCategory,0),MATCH(AQ573&amp;"_"&amp;2,MSPara_CalcFactors,0))),"")</f>
        <v/>
      </c>
      <c r="AS573" s="401" t="str">
        <f>IF(AC573=TRUE,IF(COUNTIF(MSPara_SourceStreamCategory,V573)=0,"",INDEX(MSPara_CalcFactorsMatrix,MATCH(V573,MSPara_SourceStreamCategory,0),MATCH(AQ573&amp;"_"&amp;1,MSPara_CalcFactors,0))),"")</f>
        <v/>
      </c>
      <c r="AT573" s="402" t="b">
        <f>AND(AND(AH573&lt;&gt;"",AJ573&lt;&gt;""),AJ573=AH573)</f>
        <v>0</v>
      </c>
      <c r="AU573" s="403" t="str">
        <f>IF(AND(AA573&lt;&gt;"",AT573=TRUE),IF(OR(INDEX(AR573:AS573,3-AA573)=EUconst_NA,INDEX(AR573:AS573,3-AA573)=0),"",INDEX(AR573:AS573,3-AA573)),"")</f>
        <v/>
      </c>
      <c r="AV573" s="393">
        <f>IF(AC573=TRUE,IF(COUNT(K573:L573)=0,0,IF(L573="",K573,L573)),0)</f>
        <v>0</v>
      </c>
      <c r="AW573" s="389" t="b">
        <f t="shared" si="162"/>
        <v>0</v>
      </c>
      <c r="AX573" s="404" t="b">
        <f t="shared" si="163"/>
        <v>0</v>
      </c>
      <c r="AY573" s="314"/>
      <c r="AZ573" s="405" t="b">
        <f t="shared" si="164"/>
        <v>0</v>
      </c>
      <c r="BA573" s="406" t="b">
        <f t="shared" si="165"/>
        <v>0</v>
      </c>
      <c r="BB573" s="407" t="b">
        <f>AND(E565&lt;&gt;"",COUNTIF(AO573:AO574,TRUE)=0)</f>
        <v>0</v>
      </c>
      <c r="BC573" s="389" t="b">
        <f t="shared" si="166"/>
        <v>0</v>
      </c>
      <c r="BD573" s="314"/>
      <c r="BE573" s="314"/>
      <c r="BF573" s="408" t="s">
        <v>154</v>
      </c>
      <c r="BG573" s="409" t="str">
        <f>IF(COUNTIF(AO573:AO574,TRUE)=0,"",BH573*AV581)</f>
        <v/>
      </c>
      <c r="BH573" s="409" t="str">
        <f>IF(COUNTIF(AO573:AO574,TRUE)=0,"",AV570*IF(AO573,1,AV572*AN574)*AV573*AV575)</f>
        <v/>
      </c>
      <c r="BI573" s="314"/>
      <c r="BJ573" s="314"/>
      <c r="BK573" s="314"/>
      <c r="BL573" s="314"/>
      <c r="BM573" s="314"/>
      <c r="BN573" s="314"/>
      <c r="BO573" s="314"/>
      <c r="BP573" s="314"/>
      <c r="BQ573" s="314"/>
      <c r="BR573" s="314"/>
      <c r="BS573" s="314"/>
      <c r="BT573" s="314"/>
      <c r="BU573" s="314"/>
      <c r="BV573" s="314"/>
      <c r="BW573" s="314"/>
      <c r="BX573" s="314"/>
      <c r="BY573" s="314"/>
      <c r="BZ573" s="314"/>
      <c r="CA573" s="314"/>
      <c r="CB573" s="314"/>
      <c r="CC573" s="314"/>
      <c r="CD573" s="314"/>
      <c r="CE573" s="314"/>
      <c r="CF573" s="314"/>
      <c r="CG573" s="314"/>
      <c r="CH573" s="314"/>
      <c r="CI573" s="314"/>
      <c r="CJ573" s="314"/>
      <c r="CK573" s="314"/>
      <c r="CL573" s="314"/>
      <c r="CM573" s="314"/>
      <c r="CN573" s="314"/>
      <c r="CO573" s="314"/>
      <c r="CP573" s="314"/>
      <c r="CQ573" s="407" t="b">
        <f>OR(CQ570,Y573=EUconst_NA)</f>
        <v>0</v>
      </c>
    </row>
    <row r="574" spans="1:95" ht="12.75" customHeight="1" x14ac:dyDescent="0.25">
      <c r="A574" s="307"/>
      <c r="B574" s="68"/>
      <c r="C574" s="199" t="s">
        <v>15</v>
      </c>
      <c r="D574" s="344" t="str">
        <f>Translations!$B$362</f>
        <v>BioF:</v>
      </c>
      <c r="E574" s="345"/>
      <c r="F574" s="10"/>
      <c r="G574" s="1256" t="str">
        <f>IF(OR(ISBLANK(F574),F574=EUconst_NoTier),"",IF(Z574=0,EUconst_NotApplicable,IF(ISERROR(Z574),"",Z574)))</f>
        <v/>
      </c>
      <c r="H574" s="1257"/>
      <c r="I574" s="410" t="str">
        <f t="shared" ref="I574:I579" si="167">IF(OR(AC574=FALSE,Y574=EUconst_NA),"","-")</f>
        <v/>
      </c>
      <c r="J574" s="411"/>
      <c r="K574" s="412" t="str">
        <f>IF(L574="",AU574,"")</f>
        <v/>
      </c>
      <c r="L574" s="60"/>
      <c r="M574" s="347" t="str">
        <f>IF(AND(E565&lt;&gt;"",OR(F574="",COUNT(K574:L574)=0),Y574&lt;&gt;EUconst_NA),EUconst_ERR_Incomplete,IF(COUNTIF(BB574:BD574,TRUE)&gt;0,EUconst_ERR_Inconsistent,""))</f>
        <v/>
      </c>
      <c r="O574" s="160"/>
      <c r="P574" s="348"/>
      <c r="Q574" s="413"/>
      <c r="R574" s="413"/>
      <c r="S574" s="314"/>
      <c r="T574" s="388" t="str">
        <f>EUconst_CNTR_BiomassContent&amp;E565</f>
        <v>BioC_</v>
      </c>
      <c r="U574" s="312"/>
      <c r="V574" s="369" t="str">
        <f>V572</f>
        <v/>
      </c>
      <c r="W574" s="369" t="str">
        <f>IF(OR(V574="",COUNTIF(MSPara_SourceStreamCategory,V574)=0),"",INDEX(MSPara_IsFossil,MATCH(V574,MSPara_SourceStreamCategory,0)))</f>
        <v/>
      </c>
      <c r="X574" s="312"/>
      <c r="Y574" s="370" t="str">
        <f>IF(E565="","",IF(OR(F574=EUconst_NA,W574=TRUE),EUconst_NA,INDEX(EUwideConstants!$P$164:$P$200,MATCH(T574,EUwideConstants!$S$164:$S$200,0))))</f>
        <v/>
      </c>
      <c r="Z574" s="371" t="str">
        <f>IF(ISBLANK(F574),"",IF(F574=EUconst_NA,"",INDEX(EUwideConstants!$H:$O,MATCH(T574,EUwideConstants!$S:$S,0),MATCH(F574,CNTR_TierList,0))))</f>
        <v/>
      </c>
      <c r="AA574" s="414" t="str">
        <f>IF(F574=1,1,"")</f>
        <v/>
      </c>
      <c r="AB574" s="314"/>
      <c r="AC574" s="373" t="b">
        <f>AND(AC570,Y574&lt;&gt;EUconst_NA)</f>
        <v>0</v>
      </c>
      <c r="AD574" s="314"/>
      <c r="AE574" s="415"/>
      <c r="AF574" s="416"/>
      <c r="AG574" s="417"/>
      <c r="AH574" s="418"/>
      <c r="AI574" s="418"/>
      <c r="AJ574" s="418"/>
      <c r="AK574" s="419"/>
      <c r="AL574" s="326"/>
      <c r="AM574" s="358" t="s">
        <v>155</v>
      </c>
      <c r="AN574" s="359" t="str">
        <f>IF(AN572=EUconst_NA,EUconst_NA,INDEX(EUwideConstants!$C$150:$H$154,MATCH(AJ573,EFUnits,0),MATCH(AN572,EUwideConstants!$C$149:$H$149,0)))</f>
        <v>n.a.</v>
      </c>
      <c r="AO574" s="359" t="b">
        <f>AN574&lt;&gt;EUconst_NA</f>
        <v>0</v>
      </c>
      <c r="AP574" s="326"/>
      <c r="AQ574" s="376" t="str">
        <f>EUconst_CNTR_BiomassContent&amp;EUconst_Value</f>
        <v>BioC_Value</v>
      </c>
      <c r="AR574" s="420"/>
      <c r="AS574" s="378" t="str">
        <f t="shared" ref="AS574:AS579" si="168">IF(AC574=TRUE,IF(COUNTIF(MSPara_SourceStreamCategory,V574)=0,"",INDEX(MSPara_CalcFactorsMatrix,MATCH(V574,MSPara_SourceStreamCategory,0),MATCH(AQ574&amp;"_"&amp;2,MSPara_CalcFactors,0))),"")</f>
        <v/>
      </c>
      <c r="AT574" s="421"/>
      <c r="AU574" s="380" t="str">
        <f t="shared" ref="AU574:AU579" si="169">IF(OR(AA574="",AS574=EUconst_NA),"",AS574)</f>
        <v/>
      </c>
      <c r="AV574" s="373">
        <f>IF(AC574=TRUE,IF(COUNT(K574:L574)=0,0,IF(L574="",K574,L574)),0)</f>
        <v>0</v>
      </c>
      <c r="AW574" s="369" t="b">
        <f t="shared" si="162"/>
        <v>0</v>
      </c>
      <c r="AX574" s="381" t="b">
        <f t="shared" si="163"/>
        <v>0</v>
      </c>
      <c r="AY574" s="314"/>
      <c r="AZ574" s="382" t="b">
        <f t="shared" si="164"/>
        <v>0</v>
      </c>
      <c r="BA574" s="383" t="b">
        <f t="shared" si="165"/>
        <v>0</v>
      </c>
      <c r="BB574" s="314"/>
      <c r="BC574" s="369" t="b">
        <f t="shared" si="166"/>
        <v>0</v>
      </c>
      <c r="BD574" s="369" t="b">
        <f>OR(AV574&gt;100%,(AV574+AV575)&gt;100%)</f>
        <v>0</v>
      </c>
      <c r="BE574" s="314"/>
      <c r="BF574" s="382" t="s">
        <v>156</v>
      </c>
      <c r="BG574" s="384" t="str">
        <f>IF(COUNTIF(AO573:AO574,TRUE)=0,"",BH574*AV581)</f>
        <v/>
      </c>
      <c r="BH574" s="384" t="str">
        <f>IF(COUNTIF(AO573:AO574,TRUE)=0,"",AV570*IF(AO573,1,AV572*AN574)*AV573*AV576)</f>
        <v/>
      </c>
      <c r="BJ574" s="314"/>
      <c r="BK574" s="314"/>
      <c r="BL574" s="314"/>
      <c r="BM574" s="314"/>
      <c r="BN574" s="314"/>
      <c r="BO574" s="314"/>
      <c r="BP574" s="314"/>
      <c r="BQ574" s="314"/>
      <c r="BR574" s="314"/>
      <c r="BS574" s="314"/>
      <c r="BT574" s="314"/>
      <c r="BU574" s="314"/>
      <c r="BV574" s="314"/>
      <c r="BW574" s="314"/>
      <c r="BX574" s="314"/>
      <c r="BY574" s="314"/>
      <c r="BZ574" s="314"/>
      <c r="CA574" s="314"/>
      <c r="CB574" s="314"/>
      <c r="CC574" s="314"/>
      <c r="CD574" s="314"/>
      <c r="CE574" s="314"/>
      <c r="CF574" s="314"/>
      <c r="CG574" s="314"/>
      <c r="CH574" s="314"/>
      <c r="CI574" s="314"/>
      <c r="CJ574" s="314"/>
      <c r="CK574" s="314"/>
      <c r="CL574" s="314"/>
      <c r="CM574" s="314"/>
      <c r="CN574" s="314"/>
      <c r="CO574" s="314"/>
      <c r="CP574" s="314"/>
      <c r="CQ574" s="369" t="b">
        <f>OR(CQ570,Y574=EUconst_NA)</f>
        <v>0</v>
      </c>
    </row>
    <row r="575" spans="1:95" ht="12.75" customHeight="1" thickBot="1" x14ac:dyDescent="0.3">
      <c r="A575" s="307"/>
      <c r="B575" s="68"/>
      <c r="C575" s="199" t="s">
        <v>16</v>
      </c>
      <c r="D575" s="344" t="str">
        <f>Translations!$B$368</f>
        <v>non-sust. BioF:</v>
      </c>
      <c r="E575" s="345"/>
      <c r="F575" s="20"/>
      <c r="G575" s="1256" t="str">
        <f>IF(OR(ISBLANK(F575),F575=EUconst_NoTier),"",IF(Z575=0,EUconst_NotApplicable,IF(ISERROR(Z575),"",Z575)))</f>
        <v/>
      </c>
      <c r="H575" s="1257"/>
      <c r="I575" s="422" t="str">
        <f t="shared" si="167"/>
        <v/>
      </c>
      <c r="J575" s="423"/>
      <c r="K575" s="424" t="str">
        <f>IF(L575="",AU575,"")</f>
        <v/>
      </c>
      <c r="L575" s="21"/>
      <c r="M575" s="347" t="str">
        <f>IF(AND(E565&lt;&gt;"",OR(F575="",COUNT(K575:L575)=0),Y575&lt;&gt;EUconst_NA),EUconst_ERR_Incomplete,IF(COUNTIF(BB575:BD575,TRUE)&gt;0,EUconst_ERR_Inconsistent,""))</f>
        <v/>
      </c>
      <c r="N575" s="76"/>
      <c r="O575" s="160"/>
      <c r="P575" s="348"/>
      <c r="Q575" s="413"/>
      <c r="R575" s="413"/>
      <c r="S575" s="314"/>
      <c r="T575" s="425" t="str">
        <f>EUconst_CNTR_BiomassContent&amp;E565</f>
        <v>BioC_</v>
      </c>
      <c r="U575" s="312"/>
      <c r="V575" s="407" t="str">
        <f>V574</f>
        <v/>
      </c>
      <c r="W575" s="407" t="str">
        <f>IF(OR(V574="",COUNTIF(MSPara_SourceStreamCategory,V575)=0),"",INDEX(MSPara_IsFossil,MATCH(V575,MSPara_SourceStreamCategory,0)))</f>
        <v/>
      </c>
      <c r="X575" s="312"/>
      <c r="Y575" s="426" t="str">
        <f>IF(E565="","",IF(OR(F575=EUconst_NA,W575=TRUE),EUconst_NA,INDEX(EUwideConstants!$P$164:$P$200,MATCH(T575,EUwideConstants!$S$164:$S$200,0))))</f>
        <v/>
      </c>
      <c r="Z575" s="427" t="str">
        <f>IF(ISBLANK(F575),"",IF(F575=EUconst_NA,"",INDEX(EUwideConstants!$H:$O,MATCH(T575,EUwideConstants!$S:$S,0),MATCH(F575,CNTR_TierList,0))))</f>
        <v/>
      </c>
      <c r="AA575" s="428" t="str">
        <f>IF(F575=1,1,"")</f>
        <v/>
      </c>
      <c r="AB575" s="314"/>
      <c r="AC575" s="429" t="b">
        <f>AND(AC570,Y575&lt;&gt;EUconst_NA)</f>
        <v>0</v>
      </c>
      <c r="AD575" s="314"/>
      <c r="AE575" s="430"/>
      <c r="AF575" s="431"/>
      <c r="AG575" s="432"/>
      <c r="AH575" s="433"/>
      <c r="AI575" s="433"/>
      <c r="AJ575" s="433"/>
      <c r="AK575" s="434"/>
      <c r="AL575" s="326"/>
      <c r="AM575" s="326"/>
      <c r="AN575" s="326"/>
      <c r="AO575" s="326"/>
      <c r="AP575" s="326"/>
      <c r="AQ575" s="435" t="str">
        <f>EUconst_CNTR_BiomassContent&amp;EUconst_Value</f>
        <v>BioC_Value</v>
      </c>
      <c r="AR575" s="430"/>
      <c r="AS575" s="436" t="str">
        <f t="shared" si="168"/>
        <v/>
      </c>
      <c r="AT575" s="437"/>
      <c r="AU575" s="438" t="str">
        <f t="shared" si="169"/>
        <v/>
      </c>
      <c r="AV575" s="429">
        <f>IF(AC575=TRUE,IF(COUNT(K575:L575)=0,0,IF(L575="",K575,L575)),0)</f>
        <v>0</v>
      </c>
      <c r="AW575" s="407" t="b">
        <f t="shared" si="162"/>
        <v>0</v>
      </c>
      <c r="AX575" s="439" t="b">
        <f t="shared" si="163"/>
        <v>0</v>
      </c>
      <c r="AY575" s="314"/>
      <c r="AZ575" s="408" t="b">
        <f t="shared" si="164"/>
        <v>0</v>
      </c>
      <c r="BA575" s="440" t="b">
        <f t="shared" si="165"/>
        <v>0</v>
      </c>
      <c r="BB575" s="314"/>
      <c r="BC575" s="407" t="b">
        <f t="shared" si="166"/>
        <v>0</v>
      </c>
      <c r="BD575" s="407" t="b">
        <f>OR(AV574&gt;100%,(AV574+AV575)&gt;100%)</f>
        <v>0</v>
      </c>
      <c r="BE575" s="314"/>
      <c r="BF575" s="408" t="s">
        <v>157</v>
      </c>
      <c r="BG575" s="409" t="str">
        <f>IF(COUNTIF(AO573:AO574,TRUE)=0,"",BH575*AV581)</f>
        <v/>
      </c>
      <c r="BH575" s="409" t="str">
        <f>IF(COUNTIF(AO573:AO574,TRUE)=0,"",AV570*IF(AO573,1,AV572*AN574)*AV573*AV577)</f>
        <v/>
      </c>
      <c r="BJ575" s="314"/>
      <c r="BK575" s="314"/>
      <c r="BL575" s="314"/>
      <c r="BM575" s="314"/>
      <c r="BN575" s="314"/>
      <c r="BO575" s="314"/>
      <c r="BP575" s="314"/>
      <c r="BQ575" s="314"/>
      <c r="BR575" s="314"/>
      <c r="BS575" s="314"/>
      <c r="BT575" s="314"/>
      <c r="BU575" s="314"/>
      <c r="BV575" s="314"/>
      <c r="BW575" s="314"/>
      <c r="BX575" s="314"/>
      <c r="BY575" s="314"/>
      <c r="BZ575" s="314"/>
      <c r="CA575" s="314"/>
      <c r="CB575" s="314"/>
      <c r="CC575" s="314"/>
      <c r="CD575" s="314"/>
      <c r="CE575" s="314"/>
      <c r="CF575" s="314"/>
      <c r="CG575" s="314"/>
      <c r="CH575" s="314"/>
      <c r="CI575" s="314"/>
      <c r="CJ575" s="314"/>
      <c r="CK575" s="314"/>
      <c r="CL575" s="314"/>
      <c r="CM575" s="314"/>
      <c r="CN575" s="314"/>
      <c r="CO575" s="314"/>
      <c r="CP575" s="314"/>
      <c r="CQ575" s="407" t="b">
        <f>OR(CQ570,Y575=EUconst_NA)</f>
        <v>0</v>
      </c>
    </row>
    <row r="576" spans="1:95" ht="12.75" customHeight="1" thickBot="1" x14ac:dyDescent="0.3">
      <c r="A576" s="307"/>
      <c r="B576" s="68"/>
      <c r="C576" s="199" t="s">
        <v>17</v>
      </c>
      <c r="D576" s="344" t="str">
        <f>Translations!$B$610</f>
        <v>sust. RFNBO/RCF:</v>
      </c>
      <c r="E576" s="441"/>
      <c r="F576" s="19" t="s">
        <v>158</v>
      </c>
      <c r="G576" s="1261"/>
      <c r="H576" s="1262"/>
      <c r="I576" s="442" t="str">
        <f t="shared" si="167"/>
        <v/>
      </c>
      <c r="J576" s="411"/>
      <c r="K576" s="443"/>
      <c r="L576" s="55"/>
      <c r="M576" s="347" t="str">
        <f>IF(AND(E565&lt;&gt;"",OR(F576="",COUNT(L576)=0),Y576&lt;&gt;EUconst_NA),EUconst_ERR_Incomplete,"")</f>
        <v/>
      </c>
      <c r="N576" s="76"/>
      <c r="O576" s="160"/>
      <c r="P576" s="348"/>
      <c r="Q576" s="413"/>
      <c r="R576" s="413"/>
      <c r="S576" s="314"/>
      <c r="T576" s="388" t="str">
        <f>EUconst_CNTR_RFNBOetcContent&amp;E565</f>
        <v>RNFBOC_</v>
      </c>
      <c r="U576" s="312"/>
      <c r="V576" s="312"/>
      <c r="W576" s="312"/>
      <c r="X576" s="312"/>
      <c r="Y576" s="380" t="str">
        <f>IF(E565="","",IF(OR(F576=EUconst_NA,W576=TRUE),EUconst_NA,INDEX(EUwideConstants!$P$164:$P$200,MATCH(T576,EUwideConstants!$S$164:$S$200,0))))</f>
        <v/>
      </c>
      <c r="Z576" s="314"/>
      <c r="AA576" s="314"/>
      <c r="AB576" s="314"/>
      <c r="AC576" s="397" t="b">
        <f>AND(AC572,Y576&lt;&gt;EUconst_NA)</f>
        <v>0</v>
      </c>
      <c r="AD576" s="314"/>
      <c r="AE576" s="415"/>
      <c r="AF576" s="416"/>
      <c r="AG576" s="417"/>
      <c r="AH576" s="418"/>
      <c r="AI576" s="418"/>
      <c r="AJ576" s="418"/>
      <c r="AK576" s="419"/>
      <c r="AL576" s="326"/>
      <c r="AM576" s="326"/>
      <c r="AN576" s="326"/>
      <c r="AO576" s="326"/>
      <c r="AP576" s="326"/>
      <c r="AQ576" s="444" t="s">
        <v>159</v>
      </c>
      <c r="AR576" s="415"/>
      <c r="AS576" s="445" t="str">
        <f t="shared" si="168"/>
        <v/>
      </c>
      <c r="AT576" s="446"/>
      <c r="AU576" s="447" t="str">
        <f t="shared" si="169"/>
        <v/>
      </c>
      <c r="AV576" s="397">
        <f>IF(L576&lt;&gt;0,L576,L576)</f>
        <v>0</v>
      </c>
      <c r="AW576" s="398" t="b">
        <f t="shared" si="162"/>
        <v>0</v>
      </c>
      <c r="AX576" s="448" t="b">
        <f t="shared" si="163"/>
        <v>0</v>
      </c>
      <c r="AY576" s="314"/>
      <c r="AZ576" s="449" t="b">
        <f t="shared" si="164"/>
        <v>0</v>
      </c>
      <c r="BA576" s="450" t="b">
        <f t="shared" si="165"/>
        <v>0</v>
      </c>
      <c r="BB576" s="314"/>
      <c r="BC576" s="398" t="b">
        <f t="shared" si="166"/>
        <v>0</v>
      </c>
      <c r="BD576" s="369" t="b">
        <f>OR(AV576&gt;100%,(AV576+AV577)&gt;100%)</f>
        <v>0</v>
      </c>
      <c r="BE576" s="314"/>
      <c r="BF576" s="451" t="s">
        <v>160</v>
      </c>
      <c r="BG576" s="452" t="str">
        <f>IF(COUNTIF(AO573:AO574,TRUE)=0,"",BH576*AV581)</f>
        <v/>
      </c>
      <c r="BH576" s="452" t="str">
        <f>IF(COUNTIF(AO573:AO574,TRUE)=0,"",AV570*IF(AO573,1,AV572*AN574)*AV573*AV578)</f>
        <v/>
      </c>
      <c r="BJ576" s="314"/>
      <c r="BK576" s="314"/>
      <c r="BL576" s="314"/>
      <c r="BM576" s="314"/>
      <c r="BN576" s="314"/>
      <c r="BO576" s="314"/>
      <c r="BP576" s="314"/>
      <c r="BQ576" s="314"/>
      <c r="BR576" s="314"/>
      <c r="BS576" s="314"/>
      <c r="BT576" s="314"/>
      <c r="BU576" s="314"/>
      <c r="BV576" s="314"/>
      <c r="BW576" s="314"/>
      <c r="BX576" s="314"/>
      <c r="BY576" s="314"/>
      <c r="BZ576" s="314"/>
      <c r="CA576" s="314"/>
      <c r="CB576" s="314"/>
      <c r="CC576" s="314"/>
      <c r="CD576" s="314"/>
      <c r="CE576" s="314"/>
      <c r="CF576" s="314"/>
      <c r="CG576" s="314"/>
      <c r="CH576" s="314"/>
      <c r="CI576" s="314"/>
      <c r="CJ576" s="314"/>
      <c r="CK576" s="314"/>
      <c r="CL576" s="314"/>
      <c r="CM576" s="314"/>
      <c r="CN576" s="314"/>
      <c r="CO576" s="314"/>
      <c r="CP576" s="314"/>
      <c r="CQ576" s="407" t="b">
        <f>OR(CQ570,Y576=EUconst_NA)</f>
        <v>0</v>
      </c>
    </row>
    <row r="577" spans="1:95" ht="12.75" customHeight="1" thickBot="1" x14ac:dyDescent="0.3">
      <c r="A577" s="307"/>
      <c r="B577" s="68"/>
      <c r="C577" s="199" t="s">
        <v>161</v>
      </c>
      <c r="D577" s="344" t="str">
        <f>Translations!$B$613</f>
        <v>non-sust. RFNBO/RCF:</v>
      </c>
      <c r="E577" s="441"/>
      <c r="F577" s="20" t="s">
        <v>158</v>
      </c>
      <c r="G577" s="1261"/>
      <c r="H577" s="1262"/>
      <c r="I577" s="422" t="str">
        <f t="shared" si="167"/>
        <v/>
      </c>
      <c r="J577" s="423"/>
      <c r="K577" s="443"/>
      <c r="L577" s="56"/>
      <c r="M577" s="347" t="str">
        <f>IF(AND(E565&lt;&gt;"",OR(F577="",COUNT(L577)=0),Y577&lt;&gt;EUconst_NA),EUconst_ERR_Incomplete,"")</f>
        <v/>
      </c>
      <c r="N577" s="76"/>
      <c r="O577" s="160"/>
      <c r="P577" s="348"/>
      <c r="Q577" s="413"/>
      <c r="R577" s="413"/>
      <c r="S577" s="314"/>
      <c r="T577" s="425" t="str">
        <f>EUconst_CNTR_RFNBOetcContent&amp;E565</f>
        <v>RNFBOC_</v>
      </c>
      <c r="U577" s="312"/>
      <c r="V577" s="312"/>
      <c r="W577" s="312"/>
      <c r="X577" s="312"/>
      <c r="Y577" s="438" t="str">
        <f>IF(E565="","",IF(OR(F577=EUconst_NA,W577=TRUE),EUconst_NA,INDEX(EUwideConstants!$P$164:$P$200,MATCH(T577,EUwideConstants!$S$164:$S$200,0))))</f>
        <v/>
      </c>
      <c r="Z577" s="314"/>
      <c r="AA577" s="314"/>
      <c r="AB577" s="314"/>
      <c r="AC577" s="429" t="b">
        <f>AND(AC572,Y577&lt;&gt;EUconst_NA)</f>
        <v>0</v>
      </c>
      <c r="AD577" s="314"/>
      <c r="AE577" s="430"/>
      <c r="AF577" s="431"/>
      <c r="AG577" s="432"/>
      <c r="AH577" s="433"/>
      <c r="AI577" s="433"/>
      <c r="AJ577" s="433"/>
      <c r="AK577" s="434"/>
      <c r="AL577" s="326"/>
      <c r="AM577" s="326"/>
      <c r="AN577" s="326"/>
      <c r="AO577" s="326"/>
      <c r="AP577" s="326"/>
      <c r="AQ577" s="435" t="s">
        <v>159</v>
      </c>
      <c r="AR577" s="430"/>
      <c r="AS577" s="436" t="str">
        <f t="shared" si="168"/>
        <v/>
      </c>
      <c r="AT577" s="437"/>
      <c r="AU577" s="438" t="str">
        <f t="shared" si="169"/>
        <v/>
      </c>
      <c r="AV577" s="429">
        <f t="shared" ref="AV577:AV579" si="170">IF(L577&lt;&gt;0,L577,L577)</f>
        <v>0</v>
      </c>
      <c r="AW577" s="407" t="b">
        <f t="shared" si="162"/>
        <v>0</v>
      </c>
      <c r="AX577" s="439" t="b">
        <f t="shared" si="163"/>
        <v>0</v>
      </c>
      <c r="AY577" s="314"/>
      <c r="AZ577" s="408" t="b">
        <f t="shared" si="164"/>
        <v>0</v>
      </c>
      <c r="BA577" s="440" t="b">
        <f t="shared" si="165"/>
        <v>0</v>
      </c>
      <c r="BB577" s="314"/>
      <c r="BC577" s="407" t="b">
        <f t="shared" si="166"/>
        <v>0</v>
      </c>
      <c r="BD577" s="407" t="b">
        <f>OR(AV576&gt;100%,(AV576+AV577)&gt;100%)</f>
        <v>0</v>
      </c>
      <c r="BE577" s="314"/>
      <c r="BF577" s="408" t="s">
        <v>162</v>
      </c>
      <c r="BG577" s="409" t="str">
        <f>IF(COUNTIF(AO573:AO574,TRUE)=0,"",BH577*AV581)</f>
        <v/>
      </c>
      <c r="BH577" s="409" t="str">
        <f>IF(COUNTIF(AO573:AO574,TRUE)=0,"",AV570*IF(AO573,1,AV572*AN574)*AV573*AV579)</f>
        <v/>
      </c>
      <c r="BJ577" s="314"/>
      <c r="BK577" s="314"/>
      <c r="BL577" s="314"/>
      <c r="BM577" s="314"/>
      <c r="BN577" s="314"/>
      <c r="BO577" s="314"/>
      <c r="BP577" s="314"/>
      <c r="BQ577" s="314"/>
      <c r="BR577" s="314"/>
      <c r="BS577" s="314"/>
      <c r="BT577" s="314"/>
      <c r="BU577" s="314"/>
      <c r="BV577" s="314"/>
      <c r="BW577" s="314"/>
      <c r="BX577" s="314"/>
      <c r="BY577" s="314"/>
      <c r="BZ577" s="314"/>
      <c r="CA577" s="314"/>
      <c r="CB577" s="314"/>
      <c r="CC577" s="314"/>
      <c r="CD577" s="314"/>
      <c r="CE577" s="314"/>
      <c r="CF577" s="314"/>
      <c r="CG577" s="314"/>
      <c r="CH577" s="314"/>
      <c r="CI577" s="314"/>
      <c r="CJ577" s="314"/>
      <c r="CK577" s="314"/>
      <c r="CL577" s="314"/>
      <c r="CM577" s="314"/>
      <c r="CN577" s="314"/>
      <c r="CO577" s="314"/>
      <c r="CP577" s="314"/>
      <c r="CQ577" s="407" t="b">
        <f>OR(CQ570,Y577=EUconst_NA)</f>
        <v>0</v>
      </c>
    </row>
    <row r="578" spans="1:95" ht="12.75" customHeight="1" thickBot="1" x14ac:dyDescent="0.3">
      <c r="A578" s="307"/>
      <c r="B578" s="68"/>
      <c r="C578" s="199" t="s">
        <v>163</v>
      </c>
      <c r="D578" s="344" t="str">
        <f>Translations!$B$615</f>
        <v>sust. SLCF:</v>
      </c>
      <c r="E578" s="441"/>
      <c r="F578" s="19" t="s">
        <v>158</v>
      </c>
      <c r="G578" s="1261"/>
      <c r="H578" s="1262"/>
      <c r="I578" s="442" t="str">
        <f t="shared" si="167"/>
        <v/>
      </c>
      <c r="J578" s="411"/>
      <c r="K578" s="443"/>
      <c r="L578" s="57"/>
      <c r="M578" s="347" t="str">
        <f>IF(AND(E565&lt;&gt;"",OR(F578="",COUNT(L578)=0),Y578&lt;&gt;EUconst_NA),EUconst_ERR_Incomplete,"")</f>
        <v/>
      </c>
      <c r="N578" s="76"/>
      <c r="O578" s="160"/>
      <c r="P578" s="348"/>
      <c r="Q578" s="413"/>
      <c r="R578" s="413"/>
      <c r="S578" s="314"/>
      <c r="T578" s="388" t="str">
        <f>EUconst_CNTR_RFNBOetcContent&amp;E565</f>
        <v>RNFBOC_</v>
      </c>
      <c r="U578" s="312"/>
      <c r="V578" s="312"/>
      <c r="W578" s="312"/>
      <c r="X578" s="312"/>
      <c r="Y578" s="447" t="str">
        <f>IF(E565="","",IF(OR(F578=EUconst_NA,W578=TRUE),EUconst_NA,INDEX(EUwideConstants!$P$164:$P$200,MATCH(T578,EUwideConstants!$S$164:$S$200,0))))</f>
        <v/>
      </c>
      <c r="Z578" s="314"/>
      <c r="AA578" s="314"/>
      <c r="AB578" s="314"/>
      <c r="AC578" s="397" t="b">
        <f>AND(AC574,Y578&lt;&gt;EUconst_NA)</f>
        <v>0</v>
      </c>
      <c r="AD578" s="314"/>
      <c r="AE578" s="415"/>
      <c r="AF578" s="416"/>
      <c r="AG578" s="417"/>
      <c r="AH578" s="418"/>
      <c r="AI578" s="418"/>
      <c r="AJ578" s="418"/>
      <c r="AK578" s="419"/>
      <c r="AL578" s="326"/>
      <c r="AM578" s="326"/>
      <c r="AN578" s="326"/>
      <c r="AO578" s="326"/>
      <c r="AP578" s="326"/>
      <c r="AQ578" s="444" t="s">
        <v>159</v>
      </c>
      <c r="AR578" s="415"/>
      <c r="AS578" s="445" t="str">
        <f t="shared" si="168"/>
        <v/>
      </c>
      <c r="AT578" s="446"/>
      <c r="AU578" s="447" t="str">
        <f t="shared" si="169"/>
        <v/>
      </c>
      <c r="AV578" s="397">
        <f t="shared" si="170"/>
        <v>0</v>
      </c>
      <c r="AW578" s="398" t="b">
        <f t="shared" si="162"/>
        <v>0</v>
      </c>
      <c r="AX578" s="448" t="b">
        <f t="shared" si="163"/>
        <v>0</v>
      </c>
      <c r="AY578" s="314"/>
      <c r="AZ578" s="449" t="b">
        <f t="shared" si="164"/>
        <v>0</v>
      </c>
      <c r="BA578" s="450" t="b">
        <f t="shared" si="165"/>
        <v>0</v>
      </c>
      <c r="BB578" s="314"/>
      <c r="BC578" s="398" t="b">
        <f t="shared" si="166"/>
        <v>0</v>
      </c>
      <c r="BD578" s="369" t="b">
        <f>OR(AV578&gt;100%,(AV578+AV579)&gt;100%)</f>
        <v>0</v>
      </c>
      <c r="BE578" s="314"/>
      <c r="BF578" s="451" t="s">
        <v>164</v>
      </c>
      <c r="BG578" s="452">
        <f>IF(AN570=EUconst_TJ,AV570*(1-AV574),IF(AN572=EUconst_GJ,AV570*AV572/1000,0))-SUM(BG579:BG585)</f>
        <v>0</v>
      </c>
      <c r="BH578" s="314"/>
      <c r="BI578" s="314"/>
      <c r="BJ578" s="314"/>
      <c r="BK578" s="314"/>
      <c r="BL578" s="314"/>
      <c r="BM578" s="314"/>
      <c r="BN578" s="314"/>
      <c r="BO578" s="314"/>
      <c r="BP578" s="314"/>
      <c r="BQ578" s="314"/>
      <c r="BR578" s="314"/>
      <c r="BS578" s="314"/>
      <c r="BT578" s="314"/>
      <c r="BU578" s="314"/>
      <c r="BV578" s="314"/>
      <c r="BW578" s="314"/>
      <c r="BX578" s="314"/>
      <c r="BY578" s="314"/>
      <c r="BZ578" s="314"/>
      <c r="CA578" s="314"/>
      <c r="CB578" s="314"/>
      <c r="CC578" s="314"/>
      <c r="CD578" s="314"/>
      <c r="CE578" s="314"/>
      <c r="CF578" s="314"/>
      <c r="CG578" s="314"/>
      <c r="CH578" s="314"/>
      <c r="CI578" s="314"/>
      <c r="CJ578" s="314"/>
      <c r="CK578" s="314"/>
      <c r="CL578" s="314"/>
      <c r="CM578" s="314"/>
      <c r="CN578" s="314"/>
      <c r="CO578" s="314"/>
      <c r="CP578" s="314"/>
      <c r="CQ578" s="407" t="b">
        <f>OR(CQ570,Y578=EUconst_NA)</f>
        <v>0</v>
      </c>
    </row>
    <row r="579" spans="1:95" ht="12.75" customHeight="1" thickBot="1" x14ac:dyDescent="0.3">
      <c r="A579" s="307"/>
      <c r="B579" s="68"/>
      <c r="C579" s="199" t="s">
        <v>165</v>
      </c>
      <c r="D579" s="344" t="str">
        <f>Translations!$B$618</f>
        <v>non-sust. SLCF:</v>
      </c>
      <c r="E579" s="441"/>
      <c r="F579" s="20" t="s">
        <v>158</v>
      </c>
      <c r="G579" s="1261"/>
      <c r="H579" s="1262"/>
      <c r="I579" s="422" t="str">
        <f t="shared" si="167"/>
        <v/>
      </c>
      <c r="J579" s="423"/>
      <c r="K579" s="443"/>
      <c r="L579" s="56"/>
      <c r="M579" s="347" t="str">
        <f>IF(AND(E565&lt;&gt;"",OR(F579="",COUNT(L579)=0),Y579&lt;&gt;EUconst_NA),EUconst_ERR_Incomplete,"")</f>
        <v/>
      </c>
      <c r="N579" s="76"/>
      <c r="O579" s="160"/>
      <c r="P579" s="348"/>
      <c r="Q579" s="413"/>
      <c r="R579" s="413"/>
      <c r="S579" s="314"/>
      <c r="T579" s="425" t="str">
        <f>EUconst_CNTR_RFNBOetcContent&amp;E565</f>
        <v>RNFBOC_</v>
      </c>
      <c r="U579" s="312"/>
      <c r="V579" s="312"/>
      <c r="W579" s="312"/>
      <c r="X579" s="312"/>
      <c r="Y579" s="438" t="str">
        <f>IF(E565="","",IF(OR(F579=EUconst_NA,W579=TRUE),EUconst_NA,INDEX(EUwideConstants!$P$164:$P$200,MATCH(T579,EUwideConstants!$S$164:$S$200,0))))</f>
        <v/>
      </c>
      <c r="Z579" s="314"/>
      <c r="AA579" s="314"/>
      <c r="AB579" s="314"/>
      <c r="AC579" s="429" t="b">
        <f>AND(AC574,Y579&lt;&gt;EUconst_NA)</f>
        <v>0</v>
      </c>
      <c r="AD579" s="314"/>
      <c r="AE579" s="430"/>
      <c r="AF579" s="431"/>
      <c r="AG579" s="432"/>
      <c r="AH579" s="433"/>
      <c r="AI579" s="433"/>
      <c r="AJ579" s="433"/>
      <c r="AK579" s="434"/>
      <c r="AL579" s="326"/>
      <c r="AM579" s="326"/>
      <c r="AN579" s="326"/>
      <c r="AO579" s="326"/>
      <c r="AP579" s="326"/>
      <c r="AQ579" s="435" t="s">
        <v>159</v>
      </c>
      <c r="AR579" s="430"/>
      <c r="AS579" s="436" t="str">
        <f t="shared" si="168"/>
        <v/>
      </c>
      <c r="AT579" s="437"/>
      <c r="AU579" s="438" t="str">
        <f t="shared" si="169"/>
        <v/>
      </c>
      <c r="AV579" s="429">
        <f t="shared" si="170"/>
        <v>0</v>
      </c>
      <c r="AW579" s="407" t="b">
        <f t="shared" si="162"/>
        <v>0</v>
      </c>
      <c r="AX579" s="439" t="b">
        <f t="shared" si="163"/>
        <v>0</v>
      </c>
      <c r="AY579" s="314"/>
      <c r="AZ579" s="408" t="b">
        <f t="shared" si="164"/>
        <v>0</v>
      </c>
      <c r="BA579" s="440" t="b">
        <f t="shared" si="165"/>
        <v>0</v>
      </c>
      <c r="BB579" s="314"/>
      <c r="BC579" s="407" t="b">
        <f t="shared" si="166"/>
        <v>0</v>
      </c>
      <c r="BD579" s="407" t="b">
        <f>OR(AV578&gt;100%,(AV578+AV579)&gt;100%)</f>
        <v>0</v>
      </c>
      <c r="BE579" s="314"/>
      <c r="BF579" s="408" t="s">
        <v>166</v>
      </c>
      <c r="BG579" s="409" t="str">
        <f>IF(AN570=EUconst_TJ,AV570*AV574,IF(AN572=EUconst_GJ,AV570*AV572/1000*AV574,""))</f>
        <v/>
      </c>
      <c r="BH579" s="314"/>
      <c r="BI579" s="314"/>
      <c r="BJ579" s="314"/>
      <c r="BK579" s="314"/>
      <c r="BL579" s="314"/>
      <c r="BM579" s="314"/>
      <c r="BN579" s="314"/>
      <c r="BO579" s="314"/>
      <c r="BP579" s="314"/>
      <c r="BQ579" s="314"/>
      <c r="BR579" s="314"/>
      <c r="BS579" s="314"/>
      <c r="BT579" s="314"/>
      <c r="BU579" s="314"/>
      <c r="BV579" s="314"/>
      <c r="BW579" s="314"/>
      <c r="BX579" s="314"/>
      <c r="BY579" s="314"/>
      <c r="BZ579" s="314"/>
      <c r="CA579" s="314"/>
      <c r="CB579" s="314"/>
      <c r="CC579" s="314"/>
      <c r="CD579" s="314"/>
      <c r="CE579" s="314"/>
      <c r="CF579" s="314"/>
      <c r="CG579" s="314"/>
      <c r="CH579" s="314"/>
      <c r="CI579" s="314"/>
      <c r="CJ579" s="314"/>
      <c r="CK579" s="314"/>
      <c r="CL579" s="314"/>
      <c r="CM579" s="314"/>
      <c r="CN579" s="314"/>
      <c r="CO579" s="314"/>
      <c r="CP579" s="314"/>
      <c r="CQ579" s="407" t="b">
        <f>OR(CQ570,Y579=EUconst_NA)</f>
        <v>0</v>
      </c>
    </row>
    <row r="580" spans="1:95" ht="5.15" customHeight="1" thickBot="1" x14ac:dyDescent="0.3">
      <c r="A580" s="307"/>
      <c r="B580" s="68"/>
      <c r="C580" s="68"/>
      <c r="D580" s="205"/>
      <c r="E580" s="76"/>
      <c r="F580" s="76"/>
      <c r="G580" s="76"/>
      <c r="H580" s="76"/>
      <c r="I580" s="76"/>
      <c r="J580" s="76"/>
      <c r="K580" s="76"/>
      <c r="L580" s="76"/>
      <c r="M580" s="453"/>
      <c r="N580" s="76"/>
      <c r="O580" s="160"/>
      <c r="P580" s="109"/>
      <c r="Q580" s="312"/>
      <c r="R580" s="312"/>
      <c r="S580" s="314"/>
      <c r="T580" s="314"/>
      <c r="U580" s="314"/>
      <c r="V580" s="314"/>
      <c r="W580" s="314"/>
      <c r="X580" s="314"/>
      <c r="Y580" s="314"/>
      <c r="Z580" s="314"/>
      <c r="AA580" s="314"/>
      <c r="AB580" s="314"/>
      <c r="AC580" s="314"/>
      <c r="AD580" s="314"/>
      <c r="AE580" s="314"/>
      <c r="AF580" s="314"/>
      <c r="AG580" s="314"/>
      <c r="AH580" s="314"/>
      <c r="AI580" s="314"/>
      <c r="AJ580" s="314"/>
      <c r="AK580" s="314"/>
      <c r="AL580" s="314"/>
      <c r="AM580" s="314"/>
      <c r="AN580" s="314"/>
      <c r="AO580" s="314"/>
      <c r="AP580" s="314"/>
      <c r="AQ580" s="314"/>
      <c r="AR580" s="314"/>
      <c r="AS580" s="314"/>
      <c r="AT580" s="314"/>
      <c r="AU580" s="314"/>
      <c r="AV580" s="314"/>
      <c r="AW580" s="314"/>
      <c r="AX580" s="314"/>
      <c r="AY580" s="314"/>
      <c r="AZ580" s="314"/>
      <c r="BA580" s="314"/>
      <c r="BB580" s="314"/>
      <c r="BC580" s="314"/>
      <c r="BD580" s="314"/>
      <c r="BE580" s="314"/>
      <c r="BF580" s="314"/>
      <c r="BG580" s="364"/>
      <c r="BH580" s="314"/>
      <c r="BI580" s="314"/>
      <c r="BJ580" s="314"/>
      <c r="BK580" s="314"/>
      <c r="BL580" s="314"/>
      <c r="BM580" s="314"/>
      <c r="BN580" s="314"/>
      <c r="BO580" s="314"/>
      <c r="BP580" s="314"/>
      <c r="BQ580" s="314"/>
      <c r="BR580" s="314"/>
      <c r="BS580" s="314"/>
      <c r="BT580" s="314"/>
      <c r="BU580" s="314"/>
      <c r="BV580" s="314"/>
      <c r="BW580" s="314"/>
      <c r="BX580" s="314"/>
      <c r="BY580" s="314"/>
      <c r="BZ580" s="314"/>
      <c r="CA580" s="314"/>
      <c r="CB580" s="314"/>
      <c r="CC580" s="314"/>
      <c r="CD580" s="314"/>
      <c r="CE580" s="314"/>
      <c r="CF580" s="314"/>
      <c r="CG580" s="314"/>
      <c r="CH580" s="314"/>
      <c r="CI580" s="314"/>
      <c r="CJ580" s="314"/>
      <c r="CK580" s="314"/>
      <c r="CL580" s="314"/>
      <c r="CM580" s="314"/>
      <c r="CN580" s="314"/>
      <c r="CO580" s="314"/>
      <c r="CP580" s="314"/>
      <c r="CQ580" s="314"/>
    </row>
    <row r="581" spans="1:95" ht="12.75" customHeight="1" thickBot="1" x14ac:dyDescent="0.3">
      <c r="A581" s="307"/>
      <c r="B581" s="68"/>
      <c r="C581" s="199" t="s">
        <v>167</v>
      </c>
      <c r="D581" s="344" t="str">
        <f>Translations!$B$398</f>
        <v>Scope factor:</v>
      </c>
      <c r="E581" s="454"/>
      <c r="F581" s="992"/>
      <c r="G581" s="1263"/>
      <c r="H581" s="1264"/>
      <c r="I581" s="455" t="s">
        <v>46</v>
      </c>
      <c r="J581" s="456"/>
      <c r="K581" s="457" t="str">
        <f>IF(L581="",AU581,"")</f>
        <v/>
      </c>
      <c r="L581" s="16"/>
      <c r="M581" s="458" t="str">
        <f>IF(AND(E565&lt;&gt;"",OR(F581="",G581="",COUNT(K581:L581)=0)),EUconst_ERR_Incomplete,IF(COUNTIF(BB581:BD581,TRUE)&gt;0,EUconst_ERR_Inconsistent,""))</f>
        <v/>
      </c>
      <c r="N581" s="76"/>
      <c r="O581" s="160"/>
      <c r="P581" s="109"/>
      <c r="Q581" s="312"/>
      <c r="R581" s="314"/>
      <c r="S581" s="297"/>
      <c r="T581" s="459" t="str">
        <f>EUconst_CNTR_ScopeFactor&amp;E565</f>
        <v>ScopeFactor_</v>
      </c>
      <c r="U581" s="231" t="str">
        <f>IF(F581="","",INDEX(ScopeAddress,MATCH(F581,ScopeTiers,0)))</f>
        <v/>
      </c>
      <c r="V581" s="360" t="str">
        <f>V570</f>
        <v/>
      </c>
      <c r="W581" s="314"/>
      <c r="X581" s="314"/>
      <c r="Y581" s="460" t="str">
        <f>IF(E565="","",IF(F581=EUconst_NA,EUconst_NA,INDEX(EUwideConstants!$P$164:$P$200,MATCH(T581,EUwideConstants!$S$164:$S$200,0))))</f>
        <v/>
      </c>
      <c r="Z581" s="461" t="str">
        <f>IF(ISBLANK(F581),"",IF(F581=EUconst_NA,"",INDEX(EUwideConstants!$H:$O,MATCH(T581,EUwideConstants!$S:$S,0),MATCH(F581,CNTR_TierList,0))))</f>
        <v/>
      </c>
      <c r="AA581" s="331" t="str">
        <f>IF(G581=EUwideConstants!$A$89,1,"")</f>
        <v/>
      </c>
      <c r="AB581" s="314"/>
      <c r="AC581" s="331" t="b">
        <f>AND(AC570,Y581&lt;&gt;EUconst_NA)</f>
        <v>0</v>
      </c>
      <c r="AD581" s="314"/>
      <c r="AE581" s="314"/>
      <c r="AF581" s="314"/>
      <c r="AG581" s="319"/>
      <c r="AH581" s="314"/>
      <c r="AI581" s="314"/>
      <c r="AJ581" s="314"/>
      <c r="AK581" s="314"/>
      <c r="AL581" s="314"/>
      <c r="AM581" s="314"/>
      <c r="AN581" s="314"/>
      <c r="AO581" s="314"/>
      <c r="AP581" s="314"/>
      <c r="AQ581" s="314"/>
      <c r="AR581" s="314"/>
      <c r="AS581" s="328">
        <v>1</v>
      </c>
      <c r="AT581" s="314"/>
      <c r="AU581" s="319" t="str">
        <f>IF(G581=EUwideConstants!$A$89,AS581,"")</f>
        <v/>
      </c>
      <c r="AV581" s="331">
        <f>IF(AC581=TRUE,IF(COUNT(K581:L581)=0,0,IF(L581="",K581,L581)),0)</f>
        <v>0</v>
      </c>
      <c r="AW581" s="360" t="b">
        <f>AND(AC581=TRUE,OR(AND(F581&lt;&gt;"",NOT(ISNUMBER(AA581))),L581&lt;&gt;"",F581="",AU581=""))</f>
        <v>0</v>
      </c>
      <c r="AX581" s="357" t="b">
        <f>AND(AC581=TRUE,NOT(AW581))</f>
        <v>0</v>
      </c>
      <c r="AY581" s="314"/>
      <c r="AZ581" s="361" t="b">
        <f>AND(ISNUMBER(AA581),AU581="")</f>
        <v>0</v>
      </c>
      <c r="BA581" s="351" t="b">
        <f>AND(ISNUMBER(AA581),AU581&lt;&gt;AV581)</f>
        <v>0</v>
      </c>
      <c r="BB581" s="314"/>
      <c r="BC581" s="360" t="b">
        <f>AND(F581&lt;&gt;"",OR(COUNTIF(INDEX(ScopeMethods,F581,),G581)=0,AND(AA581&lt;&gt;"",AU581&lt;&gt;AV581)))</f>
        <v>0</v>
      </c>
      <c r="BD581" s="314"/>
      <c r="BE581" s="314"/>
      <c r="BF581" s="361" t="s">
        <v>168</v>
      </c>
      <c r="BG581" s="362" t="str">
        <f>IF(AN570=EUconst_TJ,AV570*AV576,IF(AN572=EUconst_GJ,AV570*AV572/1000*AV576,""))</f>
        <v/>
      </c>
      <c r="BH581" s="314"/>
      <c r="BI581" s="314"/>
      <c r="BJ581" s="314"/>
      <c r="BK581" s="314"/>
      <c r="BL581" s="314"/>
      <c r="BM581" s="314"/>
      <c r="BN581" s="314"/>
      <c r="BO581" s="314"/>
      <c r="BP581" s="314"/>
      <c r="BQ581" s="314"/>
      <c r="BR581" s="314"/>
      <c r="BS581" s="314"/>
      <c r="BT581" s="314"/>
      <c r="BU581" s="314"/>
      <c r="BV581" s="314"/>
      <c r="BW581" s="314"/>
      <c r="BX581" s="314"/>
      <c r="BY581" s="314"/>
      <c r="BZ581" s="314"/>
      <c r="CA581" s="314"/>
      <c r="CB581" s="314"/>
      <c r="CC581" s="314"/>
      <c r="CD581" s="314"/>
      <c r="CE581" s="314"/>
      <c r="CF581" s="314"/>
      <c r="CG581" s="314"/>
      <c r="CH581" s="314"/>
      <c r="CI581" s="314"/>
      <c r="CJ581" s="314"/>
      <c r="CK581" s="314"/>
      <c r="CL581" s="314"/>
      <c r="CM581" s="314"/>
      <c r="CN581" s="314"/>
      <c r="CO581" s="314"/>
      <c r="CP581" s="314"/>
      <c r="CQ581" s="314"/>
    </row>
    <row r="582" spans="1:95" ht="12.75" customHeight="1" x14ac:dyDescent="0.25">
      <c r="A582" s="307"/>
      <c r="B582" s="68"/>
      <c r="C582" s="68"/>
      <c r="D582" s="68"/>
      <c r="E582" s="68"/>
      <c r="F582" s="68"/>
      <c r="G582" s="1265" t="str">
        <f>IF(G581="","",INDEX(ScopeMethodsDetails,MATCH(G581,INDEX(ScopeMethodsDetails,,1),0),2))</f>
        <v/>
      </c>
      <c r="H582" s="1266"/>
      <c r="I582" s="1266"/>
      <c r="J582" s="1266"/>
      <c r="K582" s="1266"/>
      <c r="L582" s="1266"/>
      <c r="M582" s="1267"/>
      <c r="N582" s="76"/>
      <c r="O582" s="160"/>
      <c r="P582" s="109"/>
      <c r="Q582" s="312"/>
      <c r="R582" s="312"/>
      <c r="S582" s="314"/>
      <c r="T582" s="314"/>
      <c r="U582" s="314"/>
      <c r="V582" s="314"/>
      <c r="W582" s="314"/>
      <c r="X582" s="314"/>
      <c r="Y582" s="314"/>
      <c r="Z582" s="314"/>
      <c r="AA582" s="314"/>
      <c r="AB582" s="314"/>
      <c r="AC582" s="314"/>
      <c r="AD582" s="314"/>
      <c r="AE582" s="314"/>
      <c r="AF582" s="314"/>
      <c r="AG582" s="314"/>
      <c r="AH582" s="314"/>
      <c r="AI582" s="314"/>
      <c r="AJ582" s="314"/>
      <c r="AK582" s="314"/>
      <c r="AL582" s="314"/>
      <c r="AM582" s="314"/>
      <c r="AN582" s="314"/>
      <c r="AO582" s="314"/>
      <c r="AP582" s="314"/>
      <c r="AQ582" s="314"/>
      <c r="AR582" s="314"/>
      <c r="AS582" s="314"/>
      <c r="AT582" s="314"/>
      <c r="AU582" s="314"/>
      <c r="AV582" s="314"/>
      <c r="AW582" s="314"/>
      <c r="AX582" s="314"/>
      <c r="AY582" s="314"/>
      <c r="AZ582" s="314"/>
      <c r="BA582" s="314"/>
      <c r="BB582" s="314"/>
      <c r="BC582" s="314"/>
      <c r="BD582" s="314"/>
      <c r="BE582" s="314"/>
      <c r="BG582" s="364"/>
      <c r="BH582" s="314"/>
      <c r="BI582" s="314"/>
      <c r="BJ582" s="314"/>
      <c r="BK582" s="314"/>
      <c r="BL582" s="314"/>
      <c r="BM582" s="314"/>
      <c r="BN582" s="314"/>
      <c r="BO582" s="314"/>
      <c r="BP582" s="314"/>
      <c r="BQ582" s="314"/>
      <c r="BR582" s="314"/>
      <c r="BS582" s="314"/>
      <c r="BT582" s="314"/>
      <c r="BU582" s="314"/>
      <c r="BV582" s="314"/>
      <c r="BW582" s="314"/>
      <c r="BX582" s="314"/>
      <c r="BY582" s="314"/>
      <c r="BZ582" s="314"/>
      <c r="CA582" s="314"/>
      <c r="CB582" s="314"/>
      <c r="CC582" s="314"/>
      <c r="CD582" s="314"/>
      <c r="CE582" s="314"/>
      <c r="CF582" s="314"/>
      <c r="CG582" s="314"/>
      <c r="CH582" s="314"/>
      <c r="CI582" s="314"/>
      <c r="CJ582" s="314"/>
      <c r="CK582" s="314"/>
      <c r="CL582" s="314"/>
      <c r="CM582" s="314"/>
      <c r="CN582" s="314"/>
      <c r="CO582" s="314"/>
      <c r="CP582" s="314"/>
      <c r="CQ582" s="314"/>
    </row>
    <row r="583" spans="1:95" ht="5.15" customHeight="1" x14ac:dyDescent="0.25">
      <c r="A583" s="307"/>
      <c r="C583" s="76"/>
      <c r="D583" s="76"/>
      <c r="E583" s="76"/>
      <c r="F583" s="76"/>
      <c r="G583" s="76"/>
      <c r="H583" s="76"/>
      <c r="I583" s="76"/>
      <c r="J583" s="76"/>
      <c r="K583" s="76"/>
      <c r="L583" s="76"/>
      <c r="O583" s="160"/>
      <c r="P583" s="109"/>
      <c r="Q583" s="312"/>
      <c r="R583" s="312"/>
      <c r="S583" s="314"/>
      <c r="T583" s="314"/>
      <c r="U583" s="314"/>
      <c r="V583" s="314"/>
      <c r="W583" s="314"/>
      <c r="X583" s="314"/>
      <c r="Y583" s="314"/>
      <c r="Z583" s="314"/>
      <c r="AA583" s="314"/>
      <c r="AB583" s="314"/>
      <c r="AC583" s="314"/>
      <c r="AD583" s="314"/>
      <c r="AE583" s="314"/>
      <c r="AF583" s="314"/>
      <c r="AG583" s="314"/>
      <c r="AH583" s="314"/>
      <c r="AI583" s="314"/>
      <c r="AJ583" s="314"/>
      <c r="AK583" s="314"/>
      <c r="AL583" s="314"/>
      <c r="AM583" s="314"/>
      <c r="AN583" s="314"/>
      <c r="AO583" s="314"/>
      <c r="AP583" s="314"/>
      <c r="AQ583" s="314"/>
      <c r="AR583" s="314"/>
      <c r="AS583" s="314"/>
      <c r="AT583" s="314"/>
      <c r="AU583" s="314"/>
      <c r="AV583" s="314"/>
      <c r="AW583" s="314"/>
      <c r="AX583" s="314"/>
      <c r="AY583" s="314"/>
      <c r="AZ583" s="314"/>
      <c r="BA583" s="314"/>
      <c r="BB583" s="314"/>
      <c r="BC583" s="314"/>
      <c r="BD583" s="314"/>
      <c r="BE583" s="314"/>
      <c r="BG583" s="364"/>
      <c r="BH583" s="314"/>
      <c r="BI583" s="314"/>
      <c r="BJ583" s="314"/>
      <c r="BK583" s="314"/>
      <c r="BL583" s="314"/>
      <c r="BM583" s="314"/>
      <c r="BN583" s="314"/>
      <c r="BO583" s="314"/>
      <c r="BP583" s="314"/>
      <c r="BQ583" s="314"/>
      <c r="BR583" s="314"/>
      <c r="BS583" s="314"/>
      <c r="BT583" s="314"/>
      <c r="BU583" s="314"/>
      <c r="BV583" s="314"/>
      <c r="BW583" s="314"/>
      <c r="BX583" s="314"/>
      <c r="BY583" s="314"/>
      <c r="BZ583" s="314"/>
      <c r="CA583" s="314"/>
      <c r="CB583" s="314"/>
      <c r="CC583" s="314"/>
      <c r="CD583" s="314"/>
      <c r="CE583" s="314"/>
      <c r="CF583" s="314"/>
      <c r="CG583" s="314"/>
      <c r="CH583" s="314"/>
      <c r="CI583" s="314"/>
      <c r="CJ583" s="314"/>
      <c r="CK583" s="314"/>
      <c r="CL583" s="314"/>
      <c r="CM583" s="314"/>
      <c r="CN583" s="314"/>
      <c r="CO583" s="314"/>
      <c r="CP583" s="314"/>
      <c r="CQ583" s="314"/>
    </row>
    <row r="584" spans="1:95" ht="12.75" customHeight="1" thickBot="1" x14ac:dyDescent="0.3">
      <c r="A584" s="307"/>
      <c r="C584" s="76"/>
      <c r="D584" s="76"/>
      <c r="E584" s="76"/>
      <c r="F584" s="76"/>
      <c r="G584" s="1268">
        <v>1</v>
      </c>
      <c r="H584" s="1268"/>
      <c r="I584" s="1268">
        <v>2</v>
      </c>
      <c r="J584" s="1268"/>
      <c r="K584" s="1268">
        <v>3</v>
      </c>
      <c r="L584" s="1268"/>
      <c r="O584" s="160"/>
      <c r="P584" s="109"/>
      <c r="Q584" s="312"/>
      <c r="R584" s="312"/>
      <c r="S584" s="314"/>
      <c r="T584" s="314"/>
      <c r="U584" s="314"/>
      <c r="V584" s="314"/>
      <c r="W584" s="314"/>
      <c r="X584" s="314"/>
      <c r="Y584" s="314"/>
      <c r="Z584" s="314"/>
      <c r="AA584" s="314"/>
      <c r="AB584" s="314"/>
      <c r="AC584" s="314"/>
      <c r="AD584" s="314"/>
      <c r="AE584" s="314"/>
      <c r="AF584" s="314"/>
      <c r="AG584" s="314"/>
      <c r="AH584" s="314"/>
      <c r="AI584" s="314"/>
      <c r="AJ584" s="314"/>
      <c r="AK584" s="314"/>
      <c r="AL584" s="314"/>
      <c r="AM584" s="314"/>
      <c r="AN584" s="314"/>
      <c r="AO584" s="314"/>
      <c r="AP584" s="314"/>
      <c r="AQ584" s="314"/>
      <c r="AR584" s="314"/>
      <c r="AS584" s="314"/>
      <c r="AT584" s="314"/>
      <c r="AU584" s="314"/>
      <c r="AV584" s="314"/>
      <c r="AW584" s="314"/>
      <c r="AX584" s="314"/>
      <c r="AY584" s="314"/>
      <c r="AZ584" s="314"/>
      <c r="BA584" s="314"/>
      <c r="BB584" s="314"/>
      <c r="BC584" s="314"/>
      <c r="BD584" s="314"/>
      <c r="BE584" s="314"/>
      <c r="BF584" s="314"/>
      <c r="BG584" s="364"/>
      <c r="BH584" s="314"/>
      <c r="BI584" s="314"/>
      <c r="BJ584" s="314"/>
      <c r="BK584" s="314"/>
      <c r="BL584" s="314"/>
      <c r="BM584" s="314"/>
      <c r="BN584" s="314"/>
      <c r="BO584" s="314"/>
      <c r="BP584" s="314"/>
      <c r="BQ584" s="314"/>
      <c r="BR584" s="314"/>
      <c r="BS584" s="314"/>
      <c r="BT584" s="314"/>
      <c r="BU584" s="314"/>
      <c r="BV584" s="314"/>
      <c r="BW584" s="314"/>
      <c r="BX584" s="314"/>
      <c r="BY584" s="314"/>
      <c r="BZ584" s="314"/>
      <c r="CA584" s="314"/>
      <c r="CB584" s="314"/>
      <c r="CC584" s="314"/>
      <c r="CD584" s="314"/>
      <c r="CE584" s="314"/>
      <c r="CF584" s="314"/>
      <c r="CG584" s="314"/>
      <c r="CH584" s="314"/>
      <c r="CI584" s="314"/>
      <c r="CJ584" s="314"/>
      <c r="CK584" s="314"/>
      <c r="CL584" s="314"/>
      <c r="CM584" s="314"/>
      <c r="CN584" s="314"/>
      <c r="CO584" s="314"/>
      <c r="CP584" s="314"/>
      <c r="CQ584" s="314"/>
    </row>
    <row r="585" spans="1:95" ht="12.75" customHeight="1" thickBot="1" x14ac:dyDescent="0.3">
      <c r="A585" s="462"/>
      <c r="B585" s="76"/>
      <c r="C585" s="76"/>
      <c r="D585" s="1246" t="str">
        <f>Translations!$B$372</f>
        <v>Consumers' CRF category:</v>
      </c>
      <c r="E585" s="1246"/>
      <c r="F585" s="1247"/>
      <c r="G585" s="1248"/>
      <c r="H585" s="1249"/>
      <c r="I585" s="1248"/>
      <c r="J585" s="1249"/>
      <c r="K585" s="1248"/>
      <c r="L585" s="1249"/>
      <c r="M585" s="463" t="str">
        <f>IF(AND(E564&lt;&gt;"",COUNTA(G585:L585)=0,AX585=FALSE),EUconst_ERR_Incomplete,"")</f>
        <v/>
      </c>
      <c r="N585" s="76"/>
      <c r="O585" s="160"/>
      <c r="P585" s="109"/>
      <c r="Q585" s="312"/>
      <c r="R585" s="312"/>
      <c r="S585" s="314"/>
      <c r="T585" s="314"/>
      <c r="U585" s="314"/>
      <c r="V585" s="314"/>
      <c r="W585" s="314"/>
      <c r="X585" s="314"/>
      <c r="Y585" s="314"/>
      <c r="Z585" s="314"/>
      <c r="AA585" s="314"/>
      <c r="AB585" s="314"/>
      <c r="AC585" s="314"/>
      <c r="AD585" s="314"/>
      <c r="AE585" s="314"/>
      <c r="AF585" s="314"/>
      <c r="AG585" s="314"/>
      <c r="AH585" s="314"/>
      <c r="AI585" s="314"/>
      <c r="AJ585" s="314"/>
      <c r="AK585" s="314"/>
      <c r="AL585" s="314"/>
      <c r="AM585" s="314"/>
      <c r="AN585" s="314"/>
      <c r="AO585" s="314"/>
      <c r="AP585" s="314"/>
      <c r="AQ585" s="314"/>
      <c r="AR585" s="314"/>
      <c r="AS585" s="314"/>
      <c r="AT585" s="314"/>
      <c r="AU585" s="314"/>
      <c r="AV585" s="314"/>
      <c r="AW585" s="314"/>
      <c r="AX585" s="464" t="b">
        <f>AND(AV581&lt;&gt;"",SUM(AV581=1))</f>
        <v>0</v>
      </c>
      <c r="AY585" s="314"/>
      <c r="AZ585" s="314"/>
      <c r="BA585" s="314"/>
      <c r="BB585" s="314"/>
      <c r="BC585" s="314"/>
      <c r="BD585" s="314"/>
      <c r="BE585" s="314"/>
      <c r="BF585" s="361" t="s">
        <v>169</v>
      </c>
      <c r="BG585" s="362" t="str">
        <f>IF(AN570=EUconst_TJ,AV570*AV578,IF(AN572=EUconst_GJ,AV570*AV572/1000*AV578,""))</f>
        <v/>
      </c>
      <c r="BH585" s="314"/>
      <c r="BI585" s="314"/>
      <c r="BJ585" s="314"/>
      <c r="BK585" s="314"/>
      <c r="BL585" s="314"/>
      <c r="BM585" s="314"/>
      <c r="BN585" s="314"/>
      <c r="BO585" s="314"/>
      <c r="BP585" s="314"/>
      <c r="BQ585" s="314"/>
      <c r="BR585" s="314"/>
      <c r="BS585" s="314"/>
      <c r="BT585" s="314"/>
      <c r="BU585" s="314"/>
      <c r="BV585" s="314"/>
      <c r="BW585" s="314"/>
      <c r="BX585" s="314"/>
      <c r="BY585" s="314"/>
      <c r="BZ585" s="314"/>
      <c r="CA585" s="314"/>
      <c r="CB585" s="314"/>
      <c r="CC585" s="314"/>
      <c r="CD585" s="314"/>
      <c r="CE585" s="314"/>
      <c r="CF585" s="314"/>
      <c r="CG585" s="314"/>
      <c r="CH585" s="314"/>
      <c r="CI585" s="314"/>
      <c r="CJ585" s="314"/>
      <c r="CK585" s="314"/>
      <c r="CL585" s="314"/>
      <c r="CM585" s="314"/>
      <c r="CN585" s="314"/>
      <c r="CO585" s="314"/>
      <c r="CP585" s="314"/>
      <c r="CQ585" s="314"/>
    </row>
    <row r="586" spans="1:95" ht="5.15" customHeight="1" x14ac:dyDescent="0.25">
      <c r="A586" s="307"/>
      <c r="B586" s="68"/>
      <c r="C586" s="68"/>
      <c r="D586" s="68"/>
      <c r="E586" s="68"/>
      <c r="F586" s="68"/>
      <c r="G586" s="76"/>
      <c r="H586" s="76"/>
      <c r="I586" s="76"/>
      <c r="J586" s="76"/>
      <c r="K586" s="76"/>
      <c r="L586" s="76"/>
      <c r="M586" s="76"/>
      <c r="N586" s="76"/>
      <c r="O586" s="160"/>
      <c r="P586" s="109"/>
      <c r="Q586" s="312"/>
      <c r="R586" s="312"/>
      <c r="S586" s="314"/>
      <c r="T586" s="314"/>
      <c r="U586" s="314"/>
      <c r="V586" s="314"/>
      <c r="W586" s="314"/>
      <c r="X586" s="314"/>
      <c r="Y586" s="314"/>
      <c r="Z586" s="314"/>
      <c r="AA586" s="314"/>
      <c r="AB586" s="314"/>
      <c r="AC586" s="314"/>
      <c r="AD586" s="314"/>
      <c r="AE586" s="314"/>
      <c r="AF586" s="314"/>
      <c r="AG586" s="314"/>
      <c r="AH586" s="314"/>
      <c r="AI586" s="314"/>
      <c r="AJ586" s="314"/>
      <c r="AK586" s="314"/>
      <c r="AL586" s="314"/>
      <c r="AM586" s="314"/>
      <c r="AN586" s="314"/>
      <c r="AO586" s="314"/>
      <c r="AP586" s="314"/>
      <c r="AQ586" s="314"/>
      <c r="AR586" s="314"/>
      <c r="AS586" s="314"/>
      <c r="AT586" s="314"/>
      <c r="AU586" s="314"/>
      <c r="AV586" s="314"/>
      <c r="AW586" s="314"/>
      <c r="AX586" s="314"/>
      <c r="AY586" s="314"/>
      <c r="AZ586" s="314"/>
      <c r="BA586" s="314"/>
      <c r="BB586" s="314"/>
      <c r="BC586" s="314"/>
      <c r="BD586" s="314"/>
      <c r="BE586" s="314"/>
      <c r="BF586" s="314"/>
      <c r="BG586" s="314"/>
      <c r="BH586" s="314"/>
      <c r="BI586" s="314"/>
      <c r="BJ586" s="314"/>
      <c r="BK586" s="314"/>
      <c r="BL586" s="314"/>
      <c r="BM586" s="314"/>
      <c r="BN586" s="314"/>
      <c r="BO586" s="314"/>
      <c r="BP586" s="314"/>
      <c r="BQ586" s="314"/>
      <c r="BR586" s="314"/>
      <c r="BS586" s="314"/>
      <c r="BT586" s="314"/>
      <c r="BU586" s="314"/>
      <c r="BV586" s="314"/>
      <c r="BW586" s="314"/>
      <c r="BX586" s="314"/>
      <c r="BY586" s="314"/>
      <c r="BZ586" s="314"/>
      <c r="CA586" s="314"/>
      <c r="CB586" s="314"/>
      <c r="CC586" s="314"/>
      <c r="CD586" s="314"/>
      <c r="CE586" s="314"/>
      <c r="CF586" s="314"/>
      <c r="CG586" s="314"/>
      <c r="CH586" s="314"/>
      <c r="CI586" s="314"/>
      <c r="CJ586" s="314"/>
      <c r="CK586" s="314"/>
      <c r="CL586" s="314"/>
      <c r="CM586" s="314"/>
      <c r="CN586" s="314"/>
      <c r="CO586" s="314"/>
      <c r="CP586" s="314"/>
      <c r="CQ586" s="314"/>
    </row>
    <row r="587" spans="1:95" ht="12.75" customHeight="1" x14ac:dyDescent="0.25">
      <c r="A587" s="307"/>
      <c r="B587" s="68"/>
      <c r="C587" s="68"/>
      <c r="D587" s="1246" t="str">
        <f>Translations!$B$399</f>
        <v>Tiers valid from:</v>
      </c>
      <c r="E587" s="1246"/>
      <c r="F587" s="1247"/>
      <c r="G587" s="8"/>
      <c r="H587" s="199" t="str">
        <f>Translations!$B$400</f>
        <v>until:</v>
      </c>
      <c r="I587" s="8"/>
      <c r="J587" s="76"/>
      <c r="K587" s="76"/>
      <c r="L587" s="76"/>
      <c r="M587" s="199" t="str">
        <f>Translations!$B$401</f>
        <v>ID used in the monitoring plan for this fuel stream:</v>
      </c>
      <c r="N587" s="9"/>
      <c r="O587" s="160"/>
      <c r="P587" s="109"/>
      <c r="Q587" s="312"/>
      <c r="R587" s="312"/>
      <c r="S587" s="465"/>
      <c r="T587" s="314"/>
      <c r="U587" s="314"/>
      <c r="V587" s="314"/>
      <c r="W587" s="314"/>
      <c r="X587" s="314"/>
      <c r="Y587" s="314"/>
      <c r="Z587" s="314"/>
      <c r="AA587" s="314"/>
      <c r="AB587" s="314"/>
      <c r="AC587" s="314"/>
      <c r="AD587" s="314"/>
      <c r="AE587" s="314"/>
      <c r="AF587" s="314"/>
      <c r="AG587" s="314"/>
      <c r="AH587" s="314"/>
      <c r="AI587" s="314"/>
      <c r="AJ587" s="314"/>
      <c r="AK587" s="314"/>
      <c r="AL587" s="314"/>
      <c r="AM587" s="314"/>
      <c r="AN587" s="314"/>
      <c r="AO587" s="314"/>
      <c r="AP587" s="314"/>
      <c r="AQ587" s="314"/>
      <c r="AR587" s="314"/>
      <c r="AS587" s="314"/>
      <c r="AT587" s="314"/>
      <c r="AU587" s="314"/>
      <c r="AV587" s="314"/>
      <c r="AW587" s="314"/>
      <c r="AX587" s="314"/>
      <c r="AY587" s="314"/>
      <c r="AZ587" s="314"/>
      <c r="BA587" s="314"/>
      <c r="BB587" s="314"/>
      <c r="BC587" s="314"/>
      <c r="BD587" s="314"/>
      <c r="BE587" s="314"/>
      <c r="BF587" s="314"/>
      <c r="BG587" s="314"/>
      <c r="BH587" s="314"/>
      <c r="BI587" s="314"/>
      <c r="BJ587" s="314"/>
      <c r="BK587" s="314"/>
      <c r="BL587" s="314"/>
      <c r="BM587" s="314"/>
      <c r="BN587" s="314"/>
      <c r="BO587" s="314"/>
      <c r="BP587" s="314"/>
      <c r="BQ587" s="314"/>
      <c r="BR587" s="314"/>
      <c r="BS587" s="314"/>
      <c r="BT587" s="314"/>
      <c r="BU587" s="314"/>
      <c r="BV587" s="314"/>
      <c r="BW587" s="314"/>
      <c r="BX587" s="314"/>
      <c r="BY587" s="314"/>
      <c r="BZ587" s="314"/>
      <c r="CA587" s="314"/>
      <c r="CB587" s="314"/>
      <c r="CC587" s="314"/>
      <c r="CD587" s="314"/>
      <c r="CE587" s="314"/>
      <c r="CF587" s="314"/>
      <c r="CG587" s="314"/>
      <c r="CH587" s="314"/>
      <c r="CI587" s="314"/>
      <c r="CJ587" s="314"/>
      <c r="CK587" s="314"/>
      <c r="CL587" s="314"/>
      <c r="CM587" s="314"/>
      <c r="CN587" s="314"/>
      <c r="CO587" s="314"/>
      <c r="CP587" s="314"/>
      <c r="CQ587" s="464" t="b">
        <f>CQ570</f>
        <v>0</v>
      </c>
    </row>
    <row r="588" spans="1:95" ht="5.15" customHeight="1" x14ac:dyDescent="0.25">
      <c r="A588" s="462"/>
      <c r="B588" s="76"/>
      <c r="C588" s="76"/>
      <c r="D588" s="76"/>
      <c r="E588" s="76"/>
      <c r="F588" s="76"/>
      <c r="G588" s="76"/>
      <c r="H588" s="76"/>
      <c r="I588" s="76"/>
      <c r="J588" s="76"/>
      <c r="K588" s="76"/>
      <c r="L588" s="76"/>
      <c r="M588" s="76"/>
      <c r="N588" s="76"/>
      <c r="O588" s="160"/>
      <c r="P588" s="109"/>
      <c r="Q588" s="312"/>
      <c r="R588" s="312"/>
      <c r="S588" s="314"/>
      <c r="T588" s="314"/>
      <c r="U588" s="314"/>
      <c r="V588" s="314"/>
      <c r="W588" s="314"/>
      <c r="X588" s="314"/>
      <c r="Y588" s="314"/>
      <c r="Z588" s="314"/>
      <c r="AA588" s="314"/>
      <c r="AB588" s="314"/>
      <c r="AC588" s="314"/>
      <c r="AD588" s="314"/>
      <c r="AE588" s="314"/>
      <c r="AF588" s="314"/>
      <c r="AG588" s="314"/>
      <c r="AH588" s="314"/>
      <c r="AI588" s="314"/>
      <c r="AJ588" s="314"/>
      <c r="AK588" s="314"/>
      <c r="AL588" s="314"/>
      <c r="AM588" s="314"/>
      <c r="AN588" s="314"/>
      <c r="AO588" s="314"/>
      <c r="AP588" s="314"/>
      <c r="AQ588" s="314"/>
      <c r="AR588" s="314"/>
      <c r="AS588" s="314"/>
      <c r="AT588" s="314"/>
      <c r="AU588" s="314"/>
      <c r="AV588" s="314"/>
      <c r="AW588" s="314"/>
      <c r="AX588" s="314"/>
      <c r="AY588" s="314"/>
      <c r="AZ588" s="314"/>
      <c r="BA588" s="314"/>
      <c r="BB588" s="314"/>
      <c r="BC588" s="314"/>
      <c r="BD588" s="314"/>
      <c r="BE588" s="314"/>
      <c r="BF588" s="314"/>
      <c r="BG588" s="314"/>
      <c r="BH588" s="314"/>
      <c r="BI588" s="314"/>
      <c r="BJ588" s="314"/>
      <c r="BK588" s="314"/>
      <c r="BL588" s="314"/>
      <c r="BM588" s="314"/>
      <c r="BN588" s="314"/>
      <c r="BO588" s="314"/>
      <c r="BP588" s="314"/>
      <c r="BQ588" s="314"/>
      <c r="BR588" s="314"/>
      <c r="BS588" s="314"/>
      <c r="BT588" s="314"/>
      <c r="BU588" s="314"/>
      <c r="BV588" s="314"/>
      <c r="BW588" s="314"/>
      <c r="BX588" s="314"/>
      <c r="BY588" s="314"/>
      <c r="BZ588" s="314"/>
      <c r="CA588" s="314"/>
      <c r="CB588" s="314"/>
      <c r="CC588" s="314"/>
      <c r="CD588" s="314"/>
      <c r="CE588" s="314"/>
      <c r="CF588" s="314"/>
      <c r="CG588" s="314"/>
      <c r="CH588" s="314"/>
      <c r="CI588" s="314"/>
      <c r="CJ588" s="314"/>
      <c r="CK588" s="314"/>
      <c r="CL588" s="314"/>
      <c r="CM588" s="314"/>
      <c r="CN588" s="314"/>
      <c r="CO588" s="314"/>
      <c r="CP588" s="314"/>
      <c r="CQ588" s="314"/>
    </row>
    <row r="589" spans="1:95" ht="12.75" customHeight="1" x14ac:dyDescent="0.25">
      <c r="A589" s="462"/>
      <c r="B589" s="76"/>
      <c r="C589" s="76"/>
      <c r="D589" s="115"/>
      <c r="E589" s="85"/>
      <c r="F589" s="466" t="str">
        <f>Translations!$B$304</f>
        <v>Comments:</v>
      </c>
      <c r="G589" s="1250"/>
      <c r="H589" s="1251"/>
      <c r="I589" s="1251"/>
      <c r="J589" s="1251"/>
      <c r="K589" s="1251"/>
      <c r="L589" s="1251"/>
      <c r="M589" s="1251"/>
      <c r="N589" s="1252"/>
      <c r="O589" s="160"/>
      <c r="P589" s="109"/>
      <c r="Q589" s="312"/>
      <c r="R589" s="312"/>
      <c r="S589" s="314"/>
      <c r="T589" s="314"/>
      <c r="U589" s="314"/>
      <c r="V589" s="314"/>
      <c r="W589" s="314"/>
      <c r="X589" s="314"/>
      <c r="Y589" s="314"/>
      <c r="Z589" s="314"/>
      <c r="AA589" s="314"/>
      <c r="AB589" s="314"/>
      <c r="AC589" s="314"/>
      <c r="AD589" s="314"/>
      <c r="AE589" s="314"/>
      <c r="AF589" s="314"/>
      <c r="AG589" s="314"/>
      <c r="AH589" s="314"/>
      <c r="AI589" s="314"/>
      <c r="AJ589" s="314"/>
      <c r="AK589" s="314"/>
      <c r="AL589" s="314"/>
      <c r="AM589" s="314"/>
      <c r="AN589" s="314"/>
      <c r="AO589" s="314"/>
      <c r="AP589" s="314"/>
      <c r="AQ589" s="314"/>
      <c r="AR589" s="314"/>
      <c r="AS589" s="314"/>
      <c r="AT589" s="314"/>
      <c r="AU589" s="314"/>
      <c r="AV589" s="314"/>
      <c r="AW589" s="314"/>
      <c r="AX589" s="314"/>
      <c r="AY589" s="314"/>
      <c r="AZ589" s="314"/>
      <c r="BA589" s="314"/>
      <c r="BB589" s="314"/>
      <c r="BC589" s="314"/>
      <c r="BD589" s="314"/>
      <c r="BE589" s="314"/>
      <c r="BF589" s="314"/>
      <c r="BG589" s="314"/>
      <c r="BH589" s="314"/>
      <c r="BI589" s="314"/>
      <c r="BJ589" s="314"/>
      <c r="BK589" s="314"/>
      <c r="BL589" s="314"/>
      <c r="BM589" s="314"/>
      <c r="BN589" s="314"/>
      <c r="BO589" s="314"/>
      <c r="BP589" s="314"/>
      <c r="BQ589" s="314"/>
      <c r="BR589" s="314"/>
      <c r="BS589" s="314"/>
      <c r="BT589" s="314"/>
      <c r="BU589" s="314"/>
      <c r="BV589" s="314"/>
      <c r="BW589" s="314"/>
      <c r="BX589" s="314"/>
      <c r="BY589" s="314"/>
      <c r="BZ589" s="314"/>
      <c r="CA589" s="314"/>
      <c r="CB589" s="314"/>
      <c r="CC589" s="314"/>
      <c r="CD589" s="314"/>
      <c r="CE589" s="314"/>
      <c r="CF589" s="314"/>
      <c r="CG589" s="314"/>
      <c r="CH589" s="314"/>
      <c r="CI589" s="314"/>
      <c r="CJ589" s="314"/>
      <c r="CK589" s="314"/>
      <c r="CL589" s="314"/>
      <c r="CM589" s="314"/>
      <c r="CN589" s="314"/>
      <c r="CO589" s="314"/>
      <c r="CP589" s="314"/>
      <c r="CQ589" s="464" t="b">
        <f>CQ587</f>
        <v>0</v>
      </c>
    </row>
    <row r="590" spans="1:95" ht="12.75" customHeight="1" thickBot="1" x14ac:dyDescent="0.3">
      <c r="A590" s="307"/>
      <c r="B590" s="76"/>
      <c r="C590" s="308"/>
      <c r="D590" s="309"/>
      <c r="E590" s="310"/>
      <c r="F590" s="308"/>
      <c r="G590" s="311"/>
      <c r="H590" s="311"/>
      <c r="I590" s="311"/>
      <c r="J590" s="311"/>
      <c r="K590" s="311"/>
      <c r="L590" s="311"/>
      <c r="M590" s="311"/>
      <c r="N590" s="311"/>
      <c r="O590" s="160"/>
      <c r="P590" s="109"/>
      <c r="Q590" s="312"/>
      <c r="R590" s="312"/>
      <c r="S590" s="293"/>
      <c r="T590" s="293"/>
      <c r="U590" s="313"/>
      <c r="V590" s="293"/>
      <c r="W590" s="293"/>
      <c r="X590" s="313"/>
      <c r="Y590" s="293"/>
      <c r="Z590" s="293"/>
      <c r="AA590" s="293"/>
      <c r="AB590" s="293"/>
      <c r="AC590" s="293"/>
      <c r="AD590" s="293"/>
      <c r="AE590" s="293"/>
      <c r="AF590" s="293"/>
      <c r="AG590" s="293"/>
      <c r="AH590" s="293"/>
      <c r="AI590" s="293"/>
      <c r="AJ590" s="293"/>
      <c r="AK590" s="293"/>
      <c r="AL590" s="293"/>
      <c r="AM590" s="293"/>
      <c r="AN590" s="293"/>
      <c r="AO590" s="293"/>
      <c r="AP590" s="293"/>
      <c r="AQ590" s="293"/>
      <c r="AR590" s="293"/>
      <c r="AS590" s="293"/>
      <c r="AT590" s="293"/>
      <c r="AU590" s="293"/>
      <c r="AV590" s="293"/>
      <c r="AW590" s="293"/>
      <c r="AX590" s="293"/>
      <c r="AY590" s="293"/>
      <c r="AZ590" s="293"/>
      <c r="BA590" s="293"/>
      <c r="BB590" s="293"/>
      <c r="BC590" s="293"/>
      <c r="BD590" s="293"/>
      <c r="BE590" s="293"/>
      <c r="BF590" s="293"/>
      <c r="BG590" s="293"/>
      <c r="BH590" s="293"/>
      <c r="BI590" s="293"/>
      <c r="BJ590" s="293"/>
      <c r="BK590" s="293"/>
      <c r="BL590" s="293"/>
      <c r="BM590" s="314"/>
      <c r="BN590" s="314"/>
      <c r="BO590" s="314"/>
      <c r="BP590" s="314"/>
      <c r="BQ590" s="314"/>
      <c r="BR590" s="314"/>
      <c r="BS590" s="314"/>
      <c r="BT590" s="314"/>
      <c r="BU590" s="293"/>
      <c r="BV590" s="293"/>
      <c r="BW590" s="293"/>
      <c r="BX590" s="293"/>
      <c r="BY590" s="293"/>
      <c r="BZ590" s="293"/>
      <c r="CA590" s="293"/>
      <c r="CB590" s="293"/>
      <c r="CC590" s="293"/>
      <c r="CD590" s="293"/>
      <c r="CE590" s="293"/>
      <c r="CF590" s="293"/>
      <c r="CG590" s="293"/>
      <c r="CH590" s="293"/>
      <c r="CI590" s="293"/>
      <c r="CJ590" s="293"/>
      <c r="CK590" s="293"/>
      <c r="CL590" s="293"/>
      <c r="CM590" s="293"/>
      <c r="CN590" s="293"/>
      <c r="CO590" s="293"/>
      <c r="CP590" s="293"/>
      <c r="CQ590" s="293"/>
    </row>
    <row r="591" spans="1:95" ht="12.75" customHeight="1" thickBot="1" x14ac:dyDescent="0.3">
      <c r="A591" s="315"/>
      <c r="B591" s="76"/>
      <c r="C591" s="76"/>
      <c r="D591" s="205"/>
      <c r="E591" s="316"/>
      <c r="F591" s="76"/>
      <c r="G591" s="96"/>
      <c r="H591" s="96"/>
      <c r="I591" s="96"/>
      <c r="J591" s="96"/>
      <c r="K591" s="76"/>
      <c r="L591" s="96"/>
      <c r="M591" s="96"/>
      <c r="N591" s="96"/>
      <c r="O591" s="160"/>
      <c r="P591" s="109"/>
      <c r="Q591" s="312"/>
      <c r="R591" s="312"/>
      <c r="S591" s="287"/>
      <c r="T591" s="317" t="str">
        <f>IF(ISBLANK(E592),"",MATCH(E592,CNTR_SourceStreamNames,0))</f>
        <v/>
      </c>
      <c r="U591" s="318" t="str">
        <f>IF(ISBLANK(E592),"",INDEX(B_IdentifyFuelStreams!$D$67:$D$116,MATCH(E592,CNTR_SourceStreamNames,0)))</f>
        <v/>
      </c>
      <c r="V591" s="301"/>
      <c r="W591" s="138"/>
      <c r="X591" s="138"/>
      <c r="Y591" s="138"/>
      <c r="Z591" s="293"/>
      <c r="AA591" s="293"/>
      <c r="AB591" s="293"/>
      <c r="AC591" s="293"/>
      <c r="AD591" s="293"/>
      <c r="AE591" s="293"/>
      <c r="AF591" s="293"/>
      <c r="AG591" s="293"/>
      <c r="AH591" s="293"/>
      <c r="AI591" s="293"/>
      <c r="AJ591" s="293"/>
      <c r="AK591" s="312"/>
      <c r="AL591" s="293"/>
      <c r="AM591" s="293"/>
      <c r="AN591" s="293"/>
      <c r="AO591" s="293"/>
      <c r="AP591" s="293"/>
      <c r="AQ591" s="293"/>
      <c r="AR591" s="293"/>
      <c r="AS591" s="293"/>
      <c r="AT591" s="293"/>
      <c r="AU591" s="293"/>
      <c r="AV591" s="293"/>
      <c r="AW591" s="293"/>
      <c r="AX591" s="293"/>
      <c r="AY591" s="293"/>
      <c r="AZ591" s="293"/>
      <c r="BA591" s="293"/>
      <c r="BB591" s="293"/>
      <c r="BC591" s="293"/>
      <c r="BD591" s="293"/>
      <c r="BE591" s="293"/>
      <c r="BF591" s="293"/>
      <c r="BG591" s="293"/>
      <c r="BH591" s="293"/>
      <c r="BI591" s="293"/>
      <c r="BJ591" s="138"/>
      <c r="BK591" s="138"/>
      <c r="BL591" s="138"/>
      <c r="BM591" s="138"/>
      <c r="BN591" s="138"/>
      <c r="BO591" s="138"/>
      <c r="BP591" s="138"/>
      <c r="BQ591" s="138"/>
      <c r="BR591" s="138"/>
      <c r="BS591" s="138"/>
      <c r="BT591" s="138"/>
      <c r="BU591" s="138"/>
      <c r="BV591" s="138"/>
      <c r="BW591" s="138"/>
      <c r="BX591" s="138"/>
      <c r="BY591" s="138"/>
      <c r="BZ591" s="138"/>
      <c r="CA591" s="138"/>
      <c r="CB591" s="138"/>
      <c r="CC591" s="138"/>
      <c r="CD591" s="138"/>
      <c r="CE591" s="138"/>
      <c r="CF591" s="138"/>
      <c r="CG591" s="138"/>
      <c r="CH591" s="138"/>
      <c r="CI591" s="138"/>
      <c r="CJ591" s="138"/>
      <c r="CK591" s="138"/>
      <c r="CL591" s="138"/>
      <c r="CM591" s="138"/>
      <c r="CN591" s="138"/>
      <c r="CO591" s="138"/>
      <c r="CP591" s="138"/>
      <c r="CQ591" s="319" t="s">
        <v>107</v>
      </c>
    </row>
    <row r="592" spans="1:95" ht="15" customHeight="1" thickBot="1" x14ac:dyDescent="0.3">
      <c r="A592" s="320">
        <f>C592</f>
        <v>20</v>
      </c>
      <c r="B592" s="68"/>
      <c r="C592" s="321">
        <f>C564+1</f>
        <v>20</v>
      </c>
      <c r="D592" s="68"/>
      <c r="E592" s="1269"/>
      <c r="F592" s="1270"/>
      <c r="G592" s="1270"/>
      <c r="H592" s="1270"/>
      <c r="I592" s="1270"/>
      <c r="J592" s="1271"/>
      <c r="K592" s="1272" t="str">
        <f>IF(INDEX(B_IdentifyFuelStreams!$K$125:$K$174,MATCH(U591,B_IdentifyFuelStreams!$D$125:$D$174,0))&gt;0,INDEX(B_IdentifyFuelStreams!$K$125:$K$174,MATCH(U591,B_IdentifyFuelStreams!$D$125:$D$174,0)),"")</f>
        <v/>
      </c>
      <c r="L592" s="1273"/>
      <c r="M592" s="316" t="str">
        <f>Translations!$B$621</f>
        <v>Emissions:</v>
      </c>
      <c r="N592" s="322" t="str">
        <f>IF(E593="","",BG598)</f>
        <v/>
      </c>
      <c r="O592" s="323" t="str">
        <f>EUconst_tCO2</f>
        <v>tCO2</v>
      </c>
      <c r="P592" s="324" t="str">
        <f>IF(AND(E592&lt;&gt;"",COUNTIF(P593:$P$1649,"PRINT")=0),"PRINT","")</f>
        <v/>
      </c>
      <c r="Q592" s="325" t="str">
        <f>EUconst_SumCO2</f>
        <v>SUM_CO2</v>
      </c>
      <c r="R592" s="312"/>
      <c r="S592" s="287"/>
      <c r="T592" s="287"/>
      <c r="U592" s="287"/>
      <c r="V592" s="301"/>
      <c r="W592" s="138"/>
      <c r="X592" s="293"/>
      <c r="Y592" s="293"/>
      <c r="Z592" s="293"/>
      <c r="AA592" s="293"/>
      <c r="AB592" s="293"/>
      <c r="AC592" s="293"/>
      <c r="AD592" s="293"/>
      <c r="AE592" s="293"/>
      <c r="AF592" s="293"/>
      <c r="AG592" s="293"/>
      <c r="AH592" s="293"/>
      <c r="AI592" s="326"/>
      <c r="AJ592" s="326"/>
      <c r="AK592" s="326"/>
      <c r="AL592" s="326"/>
      <c r="AM592" s="326"/>
      <c r="AN592" s="326"/>
      <c r="AO592" s="326"/>
      <c r="AP592" s="326"/>
      <c r="AQ592" s="326"/>
      <c r="AR592" s="326"/>
      <c r="AS592" s="326"/>
      <c r="AT592" s="326"/>
      <c r="AU592" s="326"/>
      <c r="AV592" s="326"/>
      <c r="AW592" s="326"/>
      <c r="AX592" s="326"/>
      <c r="AY592" s="326"/>
      <c r="AZ592" s="326"/>
      <c r="BA592" s="326"/>
      <c r="BB592" s="326"/>
      <c r="BC592" s="326"/>
      <c r="BD592" s="326"/>
      <c r="BE592" s="326"/>
      <c r="BF592" s="326"/>
      <c r="BG592" s="326"/>
      <c r="BH592" s="326"/>
      <c r="BI592" s="327" t="str">
        <f>IF(E592="","",E592)</f>
        <v/>
      </c>
      <c r="BJ592" s="328" t="str">
        <f>IF(F598="","",F598)</f>
        <v/>
      </c>
      <c r="BK592" s="329">
        <f>AV598</f>
        <v>0</v>
      </c>
      <c r="BL592" s="329">
        <f>IF(BK592="","",BK592*(1-BP592))</f>
        <v>0</v>
      </c>
      <c r="BM592" s="328" t="str">
        <f>AJ598</f>
        <v/>
      </c>
      <c r="BN592" s="328" t="str">
        <f>IF(F609="","",F609)</f>
        <v/>
      </c>
      <c r="BO592" s="327" t="str">
        <f>IF(G609="","",G609)</f>
        <v/>
      </c>
      <c r="BP592" s="330">
        <f>AV609</f>
        <v>0</v>
      </c>
      <c r="BQ592" s="328" t="str">
        <f>IF(F601="","",F601)</f>
        <v/>
      </c>
      <c r="BR592" s="330">
        <f>AV601</f>
        <v>0</v>
      </c>
      <c r="BS592" s="330" t="str">
        <f>AJ601</f>
        <v/>
      </c>
      <c r="BT592" s="328" t="str">
        <f>IF(F600="","",F600)</f>
        <v/>
      </c>
      <c r="BU592" s="330">
        <f>IF(F600=EUconst_NA,"",AV600)</f>
        <v>0</v>
      </c>
      <c r="BV592" s="330" t="str">
        <f>AJ600</f>
        <v/>
      </c>
      <c r="BW592" s="328" t="str">
        <f>IF(F602="","",F602)</f>
        <v/>
      </c>
      <c r="BX592" s="330">
        <f>AV602</f>
        <v>0</v>
      </c>
      <c r="BY592" s="328" t="str">
        <f>IF(F603="","",F603)</f>
        <v/>
      </c>
      <c r="BZ592" s="330">
        <f>AV603</f>
        <v>0</v>
      </c>
      <c r="CA592" s="330">
        <f>AV604</f>
        <v>0</v>
      </c>
      <c r="CB592" s="330">
        <f>AV605</f>
        <v>0</v>
      </c>
      <c r="CC592" s="330">
        <f>AV606</f>
        <v>0</v>
      </c>
      <c r="CD592" s="330">
        <f>AV607</f>
        <v>0</v>
      </c>
      <c r="CE592" s="329" t="str">
        <f>BG598</f>
        <v/>
      </c>
      <c r="CF592" s="329" t="str">
        <f>BG600</f>
        <v/>
      </c>
      <c r="CG592" s="329" t="str">
        <f>BG601</f>
        <v/>
      </c>
      <c r="CH592" s="329" t="str">
        <f>BG602</f>
        <v/>
      </c>
      <c r="CI592" s="329" t="str">
        <f>BG603</f>
        <v/>
      </c>
      <c r="CJ592" s="329" t="str">
        <f>BG604</f>
        <v/>
      </c>
      <c r="CK592" s="329" t="str">
        <f>BG605</f>
        <v/>
      </c>
      <c r="CL592" s="329">
        <f>BG606</f>
        <v>0</v>
      </c>
      <c r="CM592" s="329" t="str">
        <f>BG607</f>
        <v/>
      </c>
      <c r="CN592" s="329" t="str">
        <f>BG609</f>
        <v/>
      </c>
      <c r="CO592" s="329" t="str">
        <f>BG613</f>
        <v/>
      </c>
      <c r="CP592" s="329" t="str">
        <f>IF(COUNTIF(AO601:AO602,TRUE)=0,"",BH598)</f>
        <v/>
      </c>
      <c r="CQ592" s="331" t="b">
        <v>0</v>
      </c>
    </row>
    <row r="593" spans="1:95" ht="15" customHeight="1" thickBot="1" x14ac:dyDescent="0.3">
      <c r="A593" s="307"/>
      <c r="B593" s="68"/>
      <c r="C593" s="68"/>
      <c r="D593" s="68"/>
      <c r="E593" s="1274" t="str">
        <f>IF(ISBLANK(E592),"",IF(INDEX(B_IdentifyFuelStreams!$E$67:$E$116,MATCH(U591,B_IdentifyFuelStreams!$D$67:$D$116,0))&gt;0,INDEX(B_IdentifyFuelStreams!$E$67:$E$116,MATCH(U591,B_IdentifyFuelStreams!$D$67:$D$116,0)),""))</f>
        <v/>
      </c>
      <c r="F593" s="1275"/>
      <c r="G593" s="1275"/>
      <c r="H593" s="1275"/>
      <c r="I593" s="1275"/>
      <c r="J593" s="1276"/>
      <c r="K593" s="1272" t="str">
        <f>IF(INDEX(B_IdentifyFuelStreams!$M$125:$M$174,MATCH(U591,B_IdentifyFuelStreams!$D$125:$D$174,0))&gt;0,INDEX(B_IdentifyFuelStreams!$M$125:$M$174,MATCH(U591,B_IdentifyFuelStreams!$D$125:$D$174,0)),"")</f>
        <v/>
      </c>
      <c r="L593" s="1273"/>
      <c r="M593" s="332" t="str">
        <f>Translations!$B$622</f>
        <v>zero-rated:</v>
      </c>
      <c r="N593" s="333" t="str">
        <f>IF(E593="","",SUM(BG600,BG602,BG604))</f>
        <v/>
      </c>
      <c r="O593" s="334" t="str">
        <f>EUconst_tCO2</f>
        <v>tCO2</v>
      </c>
      <c r="P593" s="109"/>
      <c r="Q593" s="325" t="str">
        <f>EUconst_SumBioCO2</f>
        <v>SUM_bioCO2</v>
      </c>
      <c r="R593" s="312"/>
      <c r="S593" s="287"/>
      <c r="T593" s="287"/>
      <c r="U593" s="287"/>
      <c r="V593" s="301"/>
      <c r="W593" s="138"/>
      <c r="X593" s="293"/>
      <c r="Y593" s="317" t="str">
        <f>Translations!$B$143</f>
        <v>Tiers</v>
      </c>
      <c r="Z593" s="314"/>
      <c r="AA593" s="314"/>
      <c r="AB593" s="314"/>
      <c r="AC593" s="314"/>
      <c r="AD593" s="314"/>
      <c r="AE593" s="317" t="s">
        <v>108</v>
      </c>
      <c r="AF593" s="293"/>
      <c r="AG593" s="335"/>
      <c r="AH593" s="314"/>
      <c r="AI593" s="314"/>
      <c r="AJ593" s="335"/>
      <c r="AK593" s="335"/>
      <c r="AL593" s="326"/>
      <c r="AM593" s="326"/>
      <c r="AN593" s="326"/>
      <c r="AO593" s="326"/>
      <c r="AP593" s="326"/>
      <c r="AQ593" s="317" t="s">
        <v>109</v>
      </c>
      <c r="AR593" s="336"/>
      <c r="AS593" s="336"/>
      <c r="AT593" s="314"/>
      <c r="AU593" s="314"/>
      <c r="AV593" s="314"/>
      <c r="AW593" s="314"/>
      <c r="AX593" s="314"/>
      <c r="AY593" s="314"/>
      <c r="AZ593" s="317" t="s">
        <v>110</v>
      </c>
      <c r="BA593" s="314"/>
      <c r="BB593" s="314"/>
      <c r="BC593" s="314"/>
      <c r="BD593" s="314"/>
      <c r="BE593" s="314"/>
      <c r="BF593" s="317" t="s">
        <v>111</v>
      </c>
      <c r="BG593" s="314"/>
      <c r="BH593" s="314"/>
      <c r="BI593" s="317" t="s">
        <v>112</v>
      </c>
      <c r="BJ593" s="328" t="str">
        <f>Translations!$B$376</f>
        <v>RFA Tier</v>
      </c>
      <c r="BK593" s="328" t="str">
        <f>Translations!$B$377</f>
        <v>RFA</v>
      </c>
      <c r="BL593" s="328" t="str">
        <f>Translations!$B$378</f>
        <v>RFA (in scope)</v>
      </c>
      <c r="BM593" s="328" t="str">
        <f>Translations!$B$379</f>
        <v>RFA Unit</v>
      </c>
      <c r="BN593" s="328" t="str">
        <f>Translations!$B$380</f>
        <v>SF Tier</v>
      </c>
      <c r="BO593" s="328" t="str">
        <f>Translations!$B$380</f>
        <v>SF Tier</v>
      </c>
      <c r="BP593" s="328" t="str">
        <f>Translations!$B$381</f>
        <v>SF</v>
      </c>
      <c r="BQ593" s="328" t="str">
        <f>Translations!$B$382</f>
        <v>EF Tier</v>
      </c>
      <c r="BR593" s="328" t="str">
        <f>Translations!$B$383</f>
        <v>EF</v>
      </c>
      <c r="BS593" s="328" t="str">
        <f>Translations!$B$384</f>
        <v>EF Unit</v>
      </c>
      <c r="BT593" s="328" t="str">
        <f>Translations!$B$385</f>
        <v>UCF Tier</v>
      </c>
      <c r="BU593" s="328" t="str">
        <f>Translations!$B$386</f>
        <v>UCF</v>
      </c>
      <c r="BV593" s="328" t="str">
        <f>Translations!$B$387</f>
        <v>UCF Unit</v>
      </c>
      <c r="BW593" s="328" t="str">
        <f>Translations!$B$388</f>
        <v>Bio Tier</v>
      </c>
      <c r="BX593" s="328" t="s">
        <v>113</v>
      </c>
      <c r="BY593" s="328" t="str">
        <f>Translations!$B$389</f>
        <v>NonSustBio Tier</v>
      </c>
      <c r="BZ593" s="328" t="s">
        <v>114</v>
      </c>
      <c r="CA593" s="328" t="s">
        <v>115</v>
      </c>
      <c r="CB593" s="328" t="s">
        <v>116</v>
      </c>
      <c r="CC593" s="328" t="s">
        <v>117</v>
      </c>
      <c r="CD593" s="328" t="s">
        <v>118</v>
      </c>
      <c r="CE593" s="328" t="s">
        <v>119</v>
      </c>
      <c r="CF593" s="328" t="s">
        <v>120</v>
      </c>
      <c r="CG593" s="328" t="str">
        <f>Translations!$B$392</f>
        <v>CO2 non-sust</v>
      </c>
      <c r="CH593" s="328" t="s">
        <v>121</v>
      </c>
      <c r="CI593" s="328" t="s">
        <v>122</v>
      </c>
      <c r="CJ593" s="328" t="s">
        <v>123</v>
      </c>
      <c r="CK593" s="328" t="s">
        <v>124</v>
      </c>
      <c r="CL593" s="328" t="s">
        <v>125</v>
      </c>
      <c r="CM593" s="328" t="str">
        <f>Translations!$B$551</f>
        <v>Energy content (bio), TJ</v>
      </c>
      <c r="CN593" s="328" t="s">
        <v>126</v>
      </c>
      <c r="CO593" s="328" t="s">
        <v>127</v>
      </c>
      <c r="CP593" s="328" t="s">
        <v>128</v>
      </c>
      <c r="CQ593" s="314"/>
    </row>
    <row r="594" spans="1:95" ht="5.15" customHeight="1" thickBot="1" x14ac:dyDescent="0.3">
      <c r="A594" s="307"/>
      <c r="B594" s="68"/>
      <c r="C594" s="68"/>
      <c r="D594" s="68"/>
      <c r="E594" s="68"/>
      <c r="F594" s="68"/>
      <c r="G594" s="68"/>
      <c r="H594" s="76"/>
      <c r="I594" s="76"/>
      <c r="J594" s="76"/>
      <c r="K594" s="76"/>
      <c r="L594" s="76"/>
      <c r="M594" s="76"/>
      <c r="N594" s="76"/>
      <c r="O594" s="160"/>
      <c r="P594" s="109"/>
      <c r="Q594" s="312"/>
      <c r="R594" s="312"/>
      <c r="S594" s="287"/>
      <c r="T594" s="287"/>
      <c r="U594" s="287"/>
      <c r="V594" s="301"/>
      <c r="W594" s="314"/>
      <c r="X594" s="314"/>
      <c r="Y594" s="312"/>
      <c r="Z594" s="314"/>
      <c r="AA594" s="314"/>
      <c r="AB594" s="314"/>
      <c r="AC594" s="314"/>
      <c r="AD594" s="314"/>
      <c r="AE594" s="314"/>
      <c r="AF594" s="293"/>
      <c r="AG594" s="314"/>
      <c r="AH594" s="314"/>
      <c r="AI594" s="314"/>
      <c r="AJ594" s="335"/>
      <c r="AK594" s="335"/>
      <c r="AL594" s="326"/>
      <c r="AM594" s="326"/>
      <c r="AN594" s="326"/>
      <c r="AO594" s="326"/>
      <c r="AP594" s="326"/>
      <c r="AQ594" s="314"/>
      <c r="AR594" s="314"/>
      <c r="AS594" s="314"/>
      <c r="AT594" s="314"/>
      <c r="AU594" s="314"/>
      <c r="AV594" s="314"/>
      <c r="AW594" s="314"/>
      <c r="AX594" s="314"/>
      <c r="AY594" s="314"/>
      <c r="AZ594" s="314"/>
      <c r="BA594" s="314"/>
      <c r="BB594" s="314"/>
      <c r="BC594" s="314"/>
      <c r="BD594" s="314"/>
      <c r="BE594" s="314"/>
      <c r="BF594" s="314"/>
      <c r="BG594" s="314"/>
      <c r="BH594" s="314"/>
      <c r="BI594" s="314"/>
      <c r="BJ594" s="314"/>
      <c r="BK594" s="314"/>
      <c r="BL594" s="314"/>
      <c r="BM594" s="314"/>
      <c r="BN594" s="314"/>
      <c r="BO594" s="314"/>
      <c r="BP594" s="314"/>
      <c r="BQ594" s="314"/>
      <c r="BR594" s="314"/>
      <c r="BS594" s="314"/>
      <c r="BT594" s="314"/>
      <c r="BU594" s="314"/>
      <c r="BV594" s="314"/>
      <c r="BW594" s="314"/>
      <c r="BX594" s="314"/>
      <c r="BY594" s="314"/>
      <c r="BZ594" s="314"/>
      <c r="CA594" s="314"/>
      <c r="CB594" s="314"/>
      <c r="CC594" s="314"/>
      <c r="CD594" s="314"/>
      <c r="CE594" s="314"/>
      <c r="CF594" s="314"/>
      <c r="CG594" s="314"/>
      <c r="CH594" s="314"/>
      <c r="CI594" s="314"/>
      <c r="CJ594" s="314"/>
      <c r="CK594" s="314"/>
      <c r="CL594" s="314"/>
      <c r="CM594" s="314"/>
      <c r="CN594" s="314"/>
      <c r="CO594" s="314"/>
      <c r="CP594" s="314"/>
      <c r="CQ594" s="314"/>
    </row>
    <row r="595" spans="1:95" ht="12.75" customHeight="1" thickBot="1" x14ac:dyDescent="0.3">
      <c r="A595" s="307"/>
      <c r="B595" s="68"/>
      <c r="C595" s="68"/>
      <c r="D595" s="68"/>
      <c r="E595" s="1253" t="str">
        <f>IF(E592="","",HYPERLINK("#JUMP_E_Top",EUconst_FurtherGuidancePoint1))</f>
        <v/>
      </c>
      <c r="F595" s="1253"/>
      <c r="G595" s="1253"/>
      <c r="H595" s="1253"/>
      <c r="I595" s="1253"/>
      <c r="J595" s="1253"/>
      <c r="K595" s="1253"/>
      <c r="L595" s="1253"/>
      <c r="M595" s="1253"/>
      <c r="N595" s="76"/>
      <c r="O595" s="160"/>
      <c r="P595" s="109"/>
      <c r="Q595" s="325" t="str">
        <f>EUconst_SumNonSustBioCO2</f>
        <v>SUM_bioNonSustCO2</v>
      </c>
      <c r="R595" s="337" t="str">
        <f>IF(E593="","",BG601)</f>
        <v/>
      </c>
      <c r="S595" s="287"/>
      <c r="T595" s="287"/>
      <c r="U595" s="287"/>
      <c r="V595" s="314"/>
      <c r="W595" s="314"/>
      <c r="X595" s="314"/>
      <c r="Y595" s="293"/>
      <c r="Z595" s="314"/>
      <c r="AA595" s="314"/>
      <c r="AB595" s="314"/>
      <c r="AC595" s="314"/>
      <c r="AD595" s="314"/>
      <c r="AE595" s="314"/>
      <c r="AF595" s="293"/>
      <c r="AG595" s="314"/>
      <c r="AH595" s="314"/>
      <c r="AI595" s="314"/>
      <c r="AJ595" s="335"/>
      <c r="AK595" s="335"/>
      <c r="AL595" s="326"/>
      <c r="AM595" s="326"/>
      <c r="AN595" s="326"/>
      <c r="AO595" s="326"/>
      <c r="AP595" s="326"/>
      <c r="AQ595" s="314"/>
      <c r="AR595" s="314"/>
      <c r="AS595" s="314"/>
      <c r="AT595" s="314"/>
      <c r="AU595" s="314"/>
      <c r="AV595" s="314"/>
      <c r="AW595" s="314"/>
      <c r="AX595" s="314"/>
      <c r="AY595" s="314"/>
      <c r="AZ595" s="314"/>
      <c r="BA595" s="314"/>
      <c r="BB595" s="314"/>
      <c r="BC595" s="314"/>
      <c r="BD595" s="314"/>
      <c r="BE595" s="314"/>
      <c r="BF595" s="314"/>
      <c r="BG595" s="314"/>
      <c r="BH595" s="314"/>
      <c r="BI595" s="317" t="s">
        <v>129</v>
      </c>
      <c r="BJ595" s="336"/>
      <c r="BK595" s="327" t="str">
        <f>IF(G613="","",G613)</f>
        <v/>
      </c>
      <c r="BL595" s="327" t="str">
        <f>IF(I613="","",I613)</f>
        <v/>
      </c>
      <c r="BM595" s="327" t="str">
        <f>IF(K613="","",K613)</f>
        <v/>
      </c>
      <c r="BN595" s="314"/>
      <c r="BO595" s="314"/>
      <c r="BP595" s="314"/>
      <c r="BQ595" s="314"/>
      <c r="BR595" s="314"/>
      <c r="BS595" s="314"/>
      <c r="BT595" s="319"/>
      <c r="BU595" s="314"/>
      <c r="BV595" s="314"/>
      <c r="BW595" s="314"/>
      <c r="BX595" s="314"/>
      <c r="BY595" s="314"/>
      <c r="BZ595" s="314"/>
      <c r="CA595" s="314"/>
      <c r="CB595" s="314"/>
      <c r="CC595" s="314"/>
      <c r="CD595" s="314"/>
      <c r="CE595" s="314"/>
      <c r="CF595" s="314"/>
      <c r="CG595" s="314"/>
      <c r="CH595" s="314"/>
      <c r="CI595" s="314"/>
      <c r="CJ595" s="314"/>
      <c r="CK595" s="314"/>
      <c r="CL595" s="314"/>
      <c r="CM595" s="314"/>
      <c r="CN595" s="314"/>
      <c r="CO595" s="314"/>
      <c r="CP595" s="314"/>
      <c r="CQ595" s="314"/>
    </row>
    <row r="596" spans="1:95" ht="5.15" customHeight="1" thickBot="1" x14ac:dyDescent="0.3">
      <c r="A596" s="307"/>
      <c r="B596" s="68"/>
      <c r="C596" s="68"/>
      <c r="D596" s="68"/>
      <c r="E596" s="68"/>
      <c r="F596" s="68"/>
      <c r="G596" s="68"/>
      <c r="H596" s="76"/>
      <c r="I596" s="76"/>
      <c r="J596" s="76"/>
      <c r="K596" s="76"/>
      <c r="L596" s="76"/>
      <c r="M596" s="76"/>
      <c r="N596" s="76"/>
      <c r="O596" s="160"/>
      <c r="P596" s="111"/>
      <c r="Q596" s="287"/>
      <c r="R596" s="111"/>
      <c r="S596" s="287"/>
      <c r="T596" s="287"/>
      <c r="U596" s="287"/>
      <c r="V596" s="314"/>
      <c r="W596" s="314"/>
      <c r="X596" s="314"/>
      <c r="Y596" s="312"/>
      <c r="Z596" s="314"/>
      <c r="AA596" s="314"/>
      <c r="AB596" s="314"/>
      <c r="AC596" s="314"/>
      <c r="AD596" s="314"/>
      <c r="AE596" s="314"/>
      <c r="AF596" s="293"/>
      <c r="AG596" s="314"/>
      <c r="AH596" s="314"/>
      <c r="AI596" s="314"/>
      <c r="AJ596" s="335"/>
      <c r="AK596" s="335"/>
      <c r="AL596" s="326"/>
      <c r="AM596" s="326"/>
      <c r="AN596" s="326"/>
      <c r="AO596" s="326"/>
      <c r="AP596" s="326"/>
      <c r="AQ596" s="314"/>
      <c r="AR596" s="314"/>
      <c r="AS596" s="314"/>
      <c r="AT596" s="314"/>
      <c r="AU596" s="314"/>
      <c r="AV596" s="314"/>
      <c r="AW596" s="314"/>
      <c r="AX596" s="314"/>
      <c r="AY596" s="314"/>
      <c r="AZ596" s="314"/>
      <c r="BA596" s="314"/>
      <c r="BB596" s="314"/>
      <c r="BC596" s="314"/>
      <c r="BD596" s="314"/>
      <c r="BE596" s="314"/>
      <c r="BF596" s="314"/>
      <c r="BG596" s="314"/>
      <c r="BH596" s="314"/>
      <c r="BI596" s="314"/>
      <c r="BJ596" s="314"/>
      <c r="BK596" s="314"/>
      <c r="BL596" s="314"/>
      <c r="BM596" s="314"/>
      <c r="BN596" s="314"/>
      <c r="BO596" s="314"/>
      <c r="BP596" s="314"/>
      <c r="BQ596" s="314"/>
      <c r="BR596" s="314"/>
      <c r="BS596" s="314"/>
      <c r="BT596" s="314"/>
      <c r="BU596" s="314"/>
      <c r="BV596" s="314"/>
      <c r="BW596" s="314"/>
      <c r="BX596" s="314"/>
      <c r="BY596" s="314"/>
      <c r="BZ596" s="314"/>
      <c r="CA596" s="314"/>
      <c r="CB596" s="314"/>
      <c r="CC596" s="314"/>
      <c r="CD596" s="314"/>
      <c r="CE596" s="314"/>
      <c r="CF596" s="314"/>
      <c r="CG596" s="314"/>
      <c r="CH596" s="314"/>
      <c r="CI596" s="314"/>
      <c r="CJ596" s="314"/>
      <c r="CK596" s="314"/>
      <c r="CL596" s="314"/>
      <c r="CM596" s="314"/>
      <c r="CN596" s="314"/>
      <c r="CO596" s="314"/>
      <c r="CP596" s="314"/>
      <c r="CQ596" s="314"/>
    </row>
    <row r="597" spans="1:95" ht="12.75" customHeight="1" thickBot="1" x14ac:dyDescent="0.3">
      <c r="A597" s="307"/>
      <c r="B597" s="68"/>
      <c r="C597" s="68"/>
      <c r="D597" s="68"/>
      <c r="E597" s="68"/>
      <c r="F597" s="338" t="str">
        <f>Translations!$B$127</f>
        <v>Tier</v>
      </c>
      <c r="G597" s="1254" t="str">
        <f>Translations!$B$393</f>
        <v>tier description</v>
      </c>
      <c r="H597" s="1254"/>
      <c r="I597" s="1255" t="str">
        <f>Translations!$B$394</f>
        <v>Unit</v>
      </c>
      <c r="J597" s="1255"/>
      <c r="K597" s="1255" t="str">
        <f>Translations!$B$395</f>
        <v>Value</v>
      </c>
      <c r="L597" s="1255"/>
      <c r="M597" s="205" t="str">
        <f>Translations!$B$396</f>
        <v>error</v>
      </c>
      <c r="N597" s="76"/>
      <c r="O597" s="160"/>
      <c r="P597" s="339"/>
      <c r="Q597" s="325" t="str">
        <f>EUconst_SumEnergyIN</f>
        <v>SUM_EnergyIN</v>
      </c>
      <c r="R597" s="340" t="str">
        <f>IF(E593="","",BG606)</f>
        <v/>
      </c>
      <c r="S597" s="314"/>
      <c r="T597" s="314"/>
      <c r="U597" s="314"/>
      <c r="V597" s="341" t="s">
        <v>130</v>
      </c>
      <c r="W597" s="314"/>
      <c r="X597" s="314"/>
      <c r="Y597" s="312" t="s">
        <v>131</v>
      </c>
      <c r="Z597" s="312" t="s">
        <v>132</v>
      </c>
      <c r="AA597" s="314"/>
      <c r="AB597" s="314"/>
      <c r="AC597" s="336" t="s">
        <v>133</v>
      </c>
      <c r="AD597" s="314"/>
      <c r="AE597" s="314"/>
      <c r="AF597" s="314" t="s">
        <v>134</v>
      </c>
      <c r="AG597" s="314" t="s">
        <v>135</v>
      </c>
      <c r="AH597" s="312" t="s">
        <v>136</v>
      </c>
      <c r="AI597" s="335" t="s">
        <v>137</v>
      </c>
      <c r="AJ597" s="335" t="s">
        <v>138</v>
      </c>
      <c r="AK597" s="342" t="s">
        <v>139</v>
      </c>
      <c r="AL597" s="326"/>
      <c r="AM597" s="326"/>
      <c r="AN597" s="326"/>
      <c r="AO597" s="326"/>
      <c r="AP597" s="326"/>
      <c r="AQ597" s="314"/>
      <c r="AR597" s="314" t="s">
        <v>134</v>
      </c>
      <c r="AS597" s="314" t="s">
        <v>135</v>
      </c>
      <c r="AT597" s="343" t="s">
        <v>140</v>
      </c>
      <c r="AU597" s="335" t="s">
        <v>141</v>
      </c>
      <c r="AV597" s="335" t="s">
        <v>142</v>
      </c>
      <c r="AW597" s="342" t="s">
        <v>139</v>
      </c>
      <c r="AX597" s="342" t="s">
        <v>139</v>
      </c>
      <c r="AY597" s="314"/>
      <c r="AZ597" s="314"/>
      <c r="BA597" s="314"/>
      <c r="BB597" s="314" t="s">
        <v>143</v>
      </c>
      <c r="BC597" s="314"/>
      <c r="BD597" s="314"/>
      <c r="BE597" s="314"/>
      <c r="BF597" s="314"/>
      <c r="BG597" s="319" t="s">
        <v>144</v>
      </c>
      <c r="BH597" s="314" t="s">
        <v>145</v>
      </c>
      <c r="BI597" s="314"/>
      <c r="BJ597" s="314"/>
      <c r="BK597" s="314"/>
      <c r="BL597" s="314"/>
      <c r="BM597" s="314"/>
      <c r="BN597" s="314"/>
      <c r="BO597" s="314"/>
      <c r="BP597" s="314"/>
      <c r="BQ597" s="314"/>
      <c r="BR597" s="314"/>
      <c r="BS597" s="314"/>
      <c r="BT597" s="314"/>
      <c r="BU597" s="314"/>
      <c r="BV597" s="314"/>
      <c r="BW597" s="314"/>
      <c r="BX597" s="314"/>
      <c r="BY597" s="314"/>
      <c r="BZ597" s="314"/>
      <c r="CA597" s="314"/>
      <c r="CB597" s="314"/>
      <c r="CC597" s="314"/>
      <c r="CD597" s="314"/>
      <c r="CE597" s="314"/>
      <c r="CF597" s="314"/>
      <c r="CG597" s="314"/>
      <c r="CH597" s="314"/>
      <c r="CI597" s="314"/>
      <c r="CJ597" s="314"/>
      <c r="CK597" s="314"/>
      <c r="CL597" s="314"/>
      <c r="CM597" s="314"/>
      <c r="CN597" s="314"/>
      <c r="CO597" s="314"/>
      <c r="CP597" s="314"/>
      <c r="CQ597" s="319" t="s">
        <v>107</v>
      </c>
    </row>
    <row r="598" spans="1:95" ht="12.75" customHeight="1" thickBot="1" x14ac:dyDescent="0.3">
      <c r="A598" s="307"/>
      <c r="B598" s="68"/>
      <c r="C598" s="199" t="s">
        <v>12</v>
      </c>
      <c r="D598" s="344" t="str">
        <f>Translations!$B$356</f>
        <v>RFA:</v>
      </c>
      <c r="E598" s="345"/>
      <c r="F598" s="6"/>
      <c r="G598" s="1256" t="str">
        <f>IF(OR(ISBLANK(F598),F598=EUconst_NoTier),"",IF(Z598=0,EUconst_NA,IF(ISERROR(Z598),"",Z598)))</f>
        <v/>
      </c>
      <c r="H598" s="1257"/>
      <c r="I598" s="346" t="str">
        <f>IF(J598&lt;&gt;"","",AI598)</f>
        <v/>
      </c>
      <c r="J598" s="7"/>
      <c r="K598" s="1258"/>
      <c r="L598" s="1259"/>
      <c r="M598" s="347" t="str">
        <f>IF(AND(E593&lt;&gt;"",OR(F598="",COUNT(K598)=0),Y598&lt;&gt;EUconst_NA),EUconst_ERR_Incomplete,"")</f>
        <v/>
      </c>
      <c r="N598" s="76"/>
      <c r="O598" s="160"/>
      <c r="P598" s="348"/>
      <c r="Q598" s="325" t="str">
        <f>EUconst_SumBioEnergyIN</f>
        <v>SUM_BioEnergyIN</v>
      </c>
      <c r="R598" s="340" t="str">
        <f>IF(E593="","",BG607)</f>
        <v/>
      </c>
      <c r="S598" s="314"/>
      <c r="T598" s="349" t="str">
        <f>EUconst_CNTR_ActivityData&amp;E593</f>
        <v>ActivityData_</v>
      </c>
      <c r="U598" s="312"/>
      <c r="V598" s="349" t="str">
        <f>IF(E592="","",INDEX(B_IdentifyFuelStreams!$I$67:$I$116,MATCH(U591,B_IdentifyFuelStreams!$D$67:$D$116,0)))</f>
        <v/>
      </c>
      <c r="W598" s="335" t="s">
        <v>146</v>
      </c>
      <c r="X598" s="312"/>
      <c r="Y598" s="350" t="str">
        <f>IF(E593="","",INDEX(EUwideConstants!$P$164:$P$200,MATCH(T598,EUwideConstants!$S$164:$S$200,0)))</f>
        <v/>
      </c>
      <c r="Z598" s="351" t="str">
        <f>IF(ISBLANK(F598),"",IF(F598=EUconst_NA,"",INDEX(EUwideConstants!$H:$O,MATCH(T598,EUwideConstants!$S:$S,0),MATCH(F598,CNTR_TierList,0))))</f>
        <v/>
      </c>
      <c r="AA598" s="352" t="s">
        <v>136</v>
      </c>
      <c r="AB598" s="335"/>
      <c r="AC598" s="331" t="b">
        <f>E592&lt;&gt;""</f>
        <v>0</v>
      </c>
      <c r="AD598" s="314"/>
      <c r="AE598" s="353" t="str">
        <f>EUconst_CNTR_ActivityData&amp;EUconst_Unit</f>
        <v>ActivityData_Unit</v>
      </c>
      <c r="AF598" s="354" t="str">
        <f>IF(AC598=TRUE, IF(COUNTIF(MSPara_SourceStreamCategory,V598)=0,"",INDEX(MSPara_CalcFactorsMatrix,MATCH(V598,MSPara_SourceStreamCategory,0),MATCH(AE598&amp;"_"&amp;2,MSPara_CalcFactors,0))),"")</f>
        <v/>
      </c>
      <c r="AG598" s="355" t="str">
        <f>IF(AC598=TRUE, IF(COUNTIF(MSPara_SourceStreamCategory,V598)=0,"",INDEX(MSPara_CalcFactorsMatrix,MATCH(V598,MSPara_SourceStreamCategory,0),MATCH(AE598&amp;"_"&amp;1,MSPara_CalcFactors,0))),"")</f>
        <v/>
      </c>
      <c r="AH598" s="331" t="str">
        <f>IF(OR(AF598="",AF598=EUconst_NA),IF(OR(AG598=EUconst_NA,AG598=""),"",AG598),AF598)</f>
        <v/>
      </c>
      <c r="AI598" s="350" t="str">
        <f>IF(AC598=TRUE,IF(AH598="",EUconst_t,AH598),"")</f>
        <v/>
      </c>
      <c r="AJ598" s="356" t="str">
        <f>IF(J598="",AI598,J598)</f>
        <v/>
      </c>
      <c r="AK598" s="357" t="b">
        <f>AND(E592&lt;&gt;"",J598&lt;&gt;"")</f>
        <v>0</v>
      </c>
      <c r="AL598" s="326"/>
      <c r="AM598" s="358" t="s">
        <v>147</v>
      </c>
      <c r="AN598" s="359" t="str">
        <f>AJ598</f>
        <v/>
      </c>
      <c r="AO598" s="326"/>
      <c r="AP598" s="326"/>
      <c r="AQ598" s="349" t="str">
        <f>EUconst_CNTR_ActivityData&amp;EUconst_Value</f>
        <v>ActivityData_Value</v>
      </c>
      <c r="AR598" s="336"/>
      <c r="AS598" s="336"/>
      <c r="AT598" s="331" t="b">
        <f>AND(AND(AH598&lt;&gt;"",AJ598&lt;&gt;""),AJ598=AH598)</f>
        <v>0</v>
      </c>
      <c r="AU598" s="314"/>
      <c r="AV598" s="331">
        <f>IF(Y598=EUconst_NA,0,IF(COUNT(K598:K598)=0,0,IF(K598="",#REF!,K598)))</f>
        <v>0</v>
      </c>
      <c r="AW598" s="360" t="b">
        <f>AND(AC598=TRUE,OR(K598&lt;&gt;"",AU598=""))</f>
        <v>0</v>
      </c>
      <c r="AX598" s="360" t="b">
        <f>AND(AC598=TRUE,NOT(AW598))</f>
        <v>0</v>
      </c>
      <c r="AY598" s="314"/>
      <c r="AZ598" s="314" t="s">
        <v>148</v>
      </c>
      <c r="BA598" s="314" t="s">
        <v>149</v>
      </c>
      <c r="BB598" s="360"/>
      <c r="BC598" s="314" t="s">
        <v>150</v>
      </c>
      <c r="BD598" s="314"/>
      <c r="BE598" s="314"/>
      <c r="BF598" s="361" t="s">
        <v>119</v>
      </c>
      <c r="BG598" s="362" t="str">
        <f>IF(COUNTIF(AO601:AO602,TRUE)=0,"",BH598*AV609)</f>
        <v/>
      </c>
      <c r="BH598" s="362" t="str">
        <f>IF(COUNTIF(AO601:AO602,TRUE)=0,"",AV598*IF(AO601,1,AV600*AN602)*AV601-BH600-BH602-BH604)</f>
        <v/>
      </c>
      <c r="BI598" s="314"/>
      <c r="BJ598" s="314"/>
      <c r="BK598" s="314"/>
      <c r="BL598" s="314"/>
      <c r="BM598" s="314"/>
      <c r="BN598" s="314"/>
      <c r="BO598" s="314"/>
      <c r="BP598" s="314"/>
      <c r="BQ598" s="314"/>
      <c r="BR598" s="314"/>
      <c r="BS598" s="314"/>
      <c r="BT598" s="314"/>
      <c r="BU598" s="314"/>
      <c r="BV598" s="314"/>
      <c r="BW598" s="314"/>
      <c r="BX598" s="314"/>
      <c r="BY598" s="314"/>
      <c r="BZ598" s="314"/>
      <c r="CA598" s="314"/>
      <c r="CB598" s="314"/>
      <c r="CC598" s="314"/>
      <c r="CD598" s="314"/>
      <c r="CE598" s="314"/>
      <c r="CF598" s="314"/>
      <c r="CG598" s="314"/>
      <c r="CH598" s="314"/>
      <c r="CI598" s="314"/>
      <c r="CJ598" s="314"/>
      <c r="CK598" s="314"/>
      <c r="CL598" s="314"/>
      <c r="CM598" s="314"/>
      <c r="CN598" s="314"/>
      <c r="CO598" s="314"/>
      <c r="CP598" s="314"/>
      <c r="CQ598" s="360" t="b">
        <v>0</v>
      </c>
    </row>
    <row r="599" spans="1:95" ht="5.15" customHeight="1" thickBot="1" x14ac:dyDescent="0.3">
      <c r="A599" s="307"/>
      <c r="B599" s="68"/>
      <c r="C599" s="199"/>
      <c r="D599" s="202"/>
      <c r="E599" s="76"/>
      <c r="F599" s="76"/>
      <c r="G599" s="76"/>
      <c r="H599" s="76" t="str">
        <f>Translations!$B$397</f>
        <v xml:space="preserve"> </v>
      </c>
      <c r="I599" s="162"/>
      <c r="J599" s="162"/>
      <c r="K599" s="76"/>
      <c r="L599" s="76"/>
      <c r="M599" s="363"/>
      <c r="N599" s="76"/>
      <c r="O599" s="160"/>
      <c r="P599" s="109"/>
      <c r="Q599" s="312"/>
      <c r="R599" s="312"/>
      <c r="S599" s="314"/>
      <c r="T599" s="62"/>
      <c r="U599" s="312"/>
      <c r="V599" s="314"/>
      <c r="W599" s="314"/>
      <c r="X599" s="312"/>
      <c r="Y599" s="319"/>
      <c r="Z599" s="314"/>
      <c r="AA599" s="314"/>
      <c r="AB599" s="314"/>
      <c r="AC599" s="314"/>
      <c r="AD599" s="314"/>
      <c r="AE599" s="314"/>
      <c r="AF599" s="314"/>
      <c r="AG599" s="314"/>
      <c r="AH599" s="314"/>
      <c r="AI599" s="314"/>
      <c r="AJ599" s="314"/>
      <c r="AK599" s="314"/>
      <c r="AL599" s="326"/>
      <c r="AM599" s="326"/>
      <c r="AN599" s="326"/>
      <c r="AO599" s="326"/>
      <c r="AP599" s="326"/>
      <c r="AQ599" s="314"/>
      <c r="AR599" s="314"/>
      <c r="AS599" s="314"/>
      <c r="AT599" s="314"/>
      <c r="AU599" s="314"/>
      <c r="AV599" s="314"/>
      <c r="AW599" s="314"/>
      <c r="AX599" s="314"/>
      <c r="AY599" s="314"/>
      <c r="AZ599" s="314"/>
      <c r="BA599" s="314"/>
      <c r="BB599" s="314"/>
      <c r="BC599" s="314"/>
      <c r="BD599" s="314"/>
      <c r="BE599" s="314"/>
      <c r="BF599" s="314"/>
      <c r="BG599" s="364"/>
      <c r="BH599" s="364"/>
      <c r="BI599" s="314"/>
      <c r="BJ599" s="314"/>
      <c r="BK599" s="314"/>
      <c r="BL599" s="314"/>
      <c r="BM599" s="314"/>
      <c r="BN599" s="314"/>
      <c r="BO599" s="314"/>
      <c r="BP599" s="314"/>
      <c r="BQ599" s="314"/>
      <c r="BR599" s="314"/>
      <c r="BS599" s="314"/>
      <c r="BT599" s="314"/>
      <c r="BU599" s="314"/>
      <c r="BV599" s="314"/>
      <c r="BW599" s="314"/>
      <c r="BX599" s="314"/>
      <c r="BY599" s="314"/>
      <c r="BZ599" s="314"/>
      <c r="CA599" s="314"/>
      <c r="CB599" s="314"/>
      <c r="CC599" s="314"/>
      <c r="CD599" s="314"/>
      <c r="CE599" s="314"/>
      <c r="CF599" s="314"/>
      <c r="CG599" s="314"/>
      <c r="CH599" s="314"/>
      <c r="CI599" s="314"/>
      <c r="CJ599" s="314"/>
      <c r="CK599" s="314"/>
      <c r="CL599" s="314"/>
      <c r="CM599" s="314"/>
      <c r="CN599" s="314"/>
      <c r="CO599" s="314"/>
      <c r="CP599" s="314"/>
      <c r="CQ599" s="319"/>
    </row>
    <row r="600" spans="1:95" ht="12.75" customHeight="1" x14ac:dyDescent="0.25">
      <c r="A600" s="307"/>
      <c r="B600" s="68"/>
      <c r="C600" s="199" t="s">
        <v>13</v>
      </c>
      <c r="D600" s="344" t="str">
        <f>Translations!$B$360</f>
        <v>UCF:</v>
      </c>
      <c r="E600" s="345"/>
      <c r="F600" s="10"/>
      <c r="G600" s="1256" t="str">
        <f>IF(OR(ISBLANK(F600),F600=EUconst_NoTier),"",IF(Z600=0,EUconst_NotApplicable,IF(ISERROR(Z600),"",Z600)))</f>
        <v/>
      </c>
      <c r="H600" s="1257"/>
      <c r="I600" s="365" t="str">
        <f>IF(J600&lt;&gt;"","",AI600)</f>
        <v/>
      </c>
      <c r="J600" s="11"/>
      <c r="K600" s="366" t="str">
        <f>IF(L600="",AU600,"")</f>
        <v/>
      </c>
      <c r="L600" s="23"/>
      <c r="M600" s="347" t="str">
        <f>IF(AND(E593&lt;&gt;"",OR(F600="",COUNT(K600:L600)=0),Y600&lt;&gt;EUconst_NA),EUconst_ERR_Incomplete,IF(COUNTIF(BB600:BD600,TRUE)&gt;0,EUconst_ERR_Inconsistent,""))</f>
        <v/>
      </c>
      <c r="N600" s="367"/>
      <c r="O600" s="160"/>
      <c r="P600" s="109"/>
      <c r="Q600" s="312"/>
      <c r="R600" s="312"/>
      <c r="S600" s="314"/>
      <c r="T600" s="368" t="str">
        <f>EUconst_CNTR_UCF&amp;E593</f>
        <v>UCF_</v>
      </c>
      <c r="U600" s="312"/>
      <c r="V600" s="369" t="str">
        <f>V601</f>
        <v/>
      </c>
      <c r="W600" s="314"/>
      <c r="X600" s="312"/>
      <c r="Y600" s="370" t="str">
        <f>IF(E593="","",IF(OR(F600=EUconst_NA,W600=TRUE),EUconst_NA,INDEX(EUwideConstants!$P$164:$P$200,MATCH(T600,EUwideConstants!$S$164:$S$200,0))))</f>
        <v/>
      </c>
      <c r="Z600" s="371" t="str">
        <f>IF(ISBLANK(F600),"",IF(F600=EUconst_NA,"",INDEX(EUwideConstants!$H:$O,MATCH(T600,EUwideConstants!$S:$S,0),MATCH(F600,CNTR_TierList,0))))</f>
        <v/>
      </c>
      <c r="AA600" s="372" t="str">
        <f>IF(COUNTIF(EUconst_DefaultValues,Z600)&gt;0,MATCH(Z600,EUconst_DefaultValues,0),"")</f>
        <v/>
      </c>
      <c r="AB600" s="314"/>
      <c r="AC600" s="373" t="b">
        <f>AND(AC598,Y600&lt;&gt;EUconst_NA)</f>
        <v>0</v>
      </c>
      <c r="AD600" s="314"/>
      <c r="AE600" s="353" t="str">
        <f>EUconst_CNTR_UCF&amp;EUconst_Unit</f>
        <v>UCF_Unit</v>
      </c>
      <c r="AF600" s="374" t="str">
        <f>IF(AC600=TRUE, IF(COUNTIF(MSPara_SourceStreamCategory,V600)=0,"",INDEX(MSPara_CalcFactorsMatrix,MATCH(V600,MSPara_SourceStreamCategory,0),MATCH(AE600&amp;"_"&amp;2,MSPara_CalcFactors,0))),"")</f>
        <v/>
      </c>
      <c r="AG600" s="375" t="str">
        <f>IF(AC600=TRUE, IF(COUNTIF(MSPara_SourceStreamCategory,V600)=0,"",INDEX(MSPara_CalcFactorsMatrix,MATCH(V600,MSPara_SourceStreamCategory,0),MATCH(AE600&amp;"_"&amp;1,MSPara_CalcFactors,0))),"")</f>
        <v/>
      </c>
      <c r="AH600" s="373" t="str">
        <f>IF(AA600="","",INDEX(AF600:AG600,3-AA600))</f>
        <v/>
      </c>
      <c r="AI600" s="373" t="str">
        <f>IF(AC600=TRUE,IF(OR(AH600="",AH600=EUconst_NA),EUconst_GJ&amp;"/"&amp;AJ598,AH600),"")</f>
        <v/>
      </c>
      <c r="AJ600" s="373" t="str">
        <f>IF(J600="",AI600,J600)</f>
        <v/>
      </c>
      <c r="AK600" s="369" t="b">
        <f>AND(E592&lt;&gt;"",J600&lt;&gt;"")</f>
        <v>0</v>
      </c>
      <c r="AL600" s="326"/>
      <c r="AM600" s="358" t="s">
        <v>151</v>
      </c>
      <c r="AN600" s="359" t="str">
        <f>IF(AJ600="",EUconst_NA,IF(AN598=EUconst_TJ,EUconst_TJ,INDEX(EUwideConstants!$C$135:$G$139,MATCH(AN598,RFAUnits,0),MATCH(AJ600,UCFUnits,0))))</f>
        <v>n.a.</v>
      </c>
      <c r="AO600" s="326"/>
      <c r="AP600" s="326"/>
      <c r="AQ600" s="376" t="str">
        <f>EUconst_CNTR_UCF&amp;EUconst_Value</f>
        <v>UCF_Value</v>
      </c>
      <c r="AR600" s="377" t="str">
        <f>IF(AC600=TRUE,IF(COUNTIF(MSPara_SourceStreamCategory,V600)=0,"",INDEX(MSPara_CalcFactorsMatrix,MATCH(V600,MSPara_SourceStreamCategory,0),MATCH(AQ600&amp;"_"&amp;2,MSPara_CalcFactors,0))),"")</f>
        <v/>
      </c>
      <c r="AS600" s="378" t="str">
        <f>IF(AC600=TRUE,IF(COUNTIF(MSPara_SourceStreamCategory,V600)=0,"",INDEX(MSPara_CalcFactorsMatrix,MATCH(V600,MSPara_SourceStreamCategory,0),MATCH(AQ600&amp;"_"&amp;1,MSPara_CalcFactors,0))),"")</f>
        <v/>
      </c>
      <c r="AT600" s="379" t="b">
        <f>AND(AND(AH600&lt;&gt;"",AJ600&lt;&gt;""),AJ600=AH600)</f>
        <v>0</v>
      </c>
      <c r="AU600" s="380" t="str">
        <f>IF(AND(AA600&lt;&gt;"",AT600=TRUE),IF(OR(INDEX(AR600:AS600,3-AA600)=EUconst_NA,INDEX(AR600:AS600,3-AA600)=0),"",INDEX(AR600:AS600,3-AA600)),"")</f>
        <v/>
      </c>
      <c r="AV600" s="373">
        <f>IF(AC600=TRUE,IF(COUNT(K600:L600)=0,0,IF(L600="",K600,L600)),0)</f>
        <v>0</v>
      </c>
      <c r="AW600" s="369" t="b">
        <f t="shared" ref="AW600:AW607" si="171">AND(AC600=TRUE,OR(AND(F600&lt;&gt;"",NOT(ISNUMBER(AA600))),L600&lt;&gt;"",F600="",AU600=""))</f>
        <v>0</v>
      </c>
      <c r="AX600" s="381" t="b">
        <f t="shared" ref="AX600:AX607" si="172">AND(AC600=TRUE,NOT(AW600))</f>
        <v>0</v>
      </c>
      <c r="AY600" s="314"/>
      <c r="AZ600" s="382" t="b">
        <f t="shared" ref="AZ600:AZ607" si="173">AND(ISNUMBER(AA600),AU600="")</f>
        <v>0</v>
      </c>
      <c r="BA600" s="383" t="b">
        <f t="shared" ref="BA600:BA607" si="174">AND(ISNUMBER(AA600),AU600&lt;&gt;AV600)</f>
        <v>0</v>
      </c>
      <c r="BB600" s="369" t="b">
        <f>AND(E593&lt;&gt;"",F600&lt;&gt;EUconst_NA,AN600=EUconst_NA)</f>
        <v>0</v>
      </c>
      <c r="BC600" s="369" t="b">
        <f t="shared" ref="BC600:BC607" si="175">AND(L600&lt;&gt;"",Y600=EUconst_NA)</f>
        <v>0</v>
      </c>
      <c r="BD600" s="314"/>
      <c r="BE600" s="314"/>
      <c r="BF600" s="382" t="s">
        <v>152</v>
      </c>
      <c r="BG600" s="384" t="str">
        <f>IF(COUNTIF(AO601:AO602,TRUE)=0,"",BH600*AV609)</f>
        <v/>
      </c>
      <c r="BH600" s="384" t="str">
        <f>IF(COUNTIF(AO601:AO602,TRUE)=0,"",AV598*IF(AO601,1,AV600*AN602)*AV601*AV602)</f>
        <v/>
      </c>
      <c r="BI600" s="314"/>
      <c r="BJ600" s="314"/>
      <c r="BK600" s="314"/>
      <c r="BL600" s="314"/>
      <c r="BM600" s="314"/>
      <c r="BN600" s="314"/>
      <c r="BO600" s="314"/>
      <c r="BP600" s="314"/>
      <c r="BQ600" s="314"/>
      <c r="BR600" s="314"/>
      <c r="BS600" s="314"/>
      <c r="BT600" s="314"/>
      <c r="BU600" s="314"/>
      <c r="BV600" s="314"/>
      <c r="BW600" s="314"/>
      <c r="BX600" s="314"/>
      <c r="BY600" s="314"/>
      <c r="BZ600" s="314"/>
      <c r="CA600" s="314"/>
      <c r="CB600" s="314"/>
      <c r="CC600" s="314"/>
      <c r="CD600" s="314"/>
      <c r="CE600" s="314"/>
      <c r="CF600" s="314"/>
      <c r="CG600" s="314"/>
      <c r="CH600" s="314"/>
      <c r="CI600" s="314"/>
      <c r="CJ600" s="314"/>
      <c r="CK600" s="314"/>
      <c r="CL600" s="314"/>
      <c r="CM600" s="314"/>
      <c r="CN600" s="314"/>
      <c r="CO600" s="314"/>
      <c r="CP600" s="314"/>
      <c r="CQ600" s="369" t="b">
        <f>OR(CQ598,Y600=EUconst_NA)</f>
        <v>0</v>
      </c>
    </row>
    <row r="601" spans="1:95" ht="12.75" customHeight="1" thickBot="1" x14ac:dyDescent="0.3">
      <c r="A601" s="307"/>
      <c r="B601" s="68"/>
      <c r="C601" s="199" t="s">
        <v>14</v>
      </c>
      <c r="D601" s="344" t="str">
        <f>Translations!$B$358</f>
        <v>(prelim) EF:</v>
      </c>
      <c r="E601" s="345"/>
      <c r="F601" s="59"/>
      <c r="G601" s="1256" t="str">
        <f>IF(OR(ISBLANK(F601),F601=EUconst_NoTier),"",IF(Z601=0,EUconst_NotApplicable,IF(ISERROR(Z601),"",Z601)))</f>
        <v/>
      </c>
      <c r="H601" s="1260"/>
      <c r="I601" s="385" t="str">
        <f>IF(J601&lt;&gt;"","",AI601)</f>
        <v/>
      </c>
      <c r="J601" s="22"/>
      <c r="K601" s="386" t="str">
        <f>IF(L601="",AU601,"")</f>
        <v/>
      </c>
      <c r="L601" s="58"/>
      <c r="M601" s="347" t="str">
        <f>IF(AND(E593&lt;&gt;"",OR(F601="",COUNT(K601:L601)=0),Y601&lt;&gt;EUconst_NA),EUconst_ERR_Incomplete,IF(COUNTIF(BB601:BD601,TRUE)&gt;0,EUconst_ERR_Inconsistent,""))</f>
        <v/>
      </c>
      <c r="N601" s="387"/>
      <c r="O601" s="160"/>
      <c r="P601" s="109"/>
      <c r="Q601" s="312"/>
      <c r="R601" s="312"/>
      <c r="S601" s="314"/>
      <c r="T601" s="388" t="str">
        <f>EUconst_CNTR_EF&amp;E593</f>
        <v>EF_</v>
      </c>
      <c r="U601" s="312"/>
      <c r="V601" s="389" t="str">
        <f>V598</f>
        <v/>
      </c>
      <c r="W601" s="314"/>
      <c r="X601" s="312"/>
      <c r="Y601" s="390" t="str">
        <f>IF(E593="","",IF(OR(F601=EUconst_NA,W601=TRUE),EUconst_NA,INDEX(EUwideConstants!$P$164:$P$200,MATCH(T601,EUwideConstants!$S$164:$S$200,0))))</f>
        <v/>
      </c>
      <c r="Z601" s="391" t="str">
        <f>IF(ISBLANK(F601),"",IF(F601=EUconst_NA,"",INDEX(EUwideConstants!$H:$O,MATCH(T601,EUwideConstants!$S:$S,0),MATCH(F601,CNTR_TierList,0))))</f>
        <v/>
      </c>
      <c r="AA601" s="392" t="str">
        <f>IF(COUNTIF(EUconst_DefaultValues,Z601)&gt;0,MATCH(Z601,EUconst_DefaultValues,0),"")</f>
        <v/>
      </c>
      <c r="AB601" s="314"/>
      <c r="AC601" s="393" t="b">
        <f>AND(AC598,Y601&lt;&gt;EUconst_NA)</f>
        <v>0</v>
      </c>
      <c r="AD601" s="314"/>
      <c r="AE601" s="394" t="str">
        <f>EUconst_CNTR_EF&amp;EUconst_Unit</f>
        <v>EF_Unit</v>
      </c>
      <c r="AF601" s="395" t="str">
        <f>IF(AC601=TRUE, IF(COUNTIF(MSPara_SourceStreamCategory,V601)=0,"",INDEX(MSPara_CalcFactorsMatrix,MATCH(V601,MSPara_SourceStreamCategory,0),MATCH(AE601&amp;"_"&amp;2,MSPara_CalcFactors,0))),"")</f>
        <v/>
      </c>
      <c r="AG601" s="396" t="str">
        <f>IF(AC601=TRUE, IF(COUNTIF(MSPara_SourceStreamCategory,V601)=0,"",INDEX(MSPara_CalcFactorsMatrix,MATCH(V601,MSPara_SourceStreamCategory,0),MATCH(AE601&amp;"_"&amp;1,MSPara_CalcFactors,0))),"")</f>
        <v/>
      </c>
      <c r="AH601" s="397" t="str">
        <f>IF(AA601="","",INDEX(AF601:AG601,3-AA601))</f>
        <v/>
      </c>
      <c r="AI601" s="397" t="str">
        <f>IF(AC601=TRUE,IF(OR(AH601="",AH601=EUconst_NA),EUconst_tCO2&amp;"/"&amp;IF(AN600=EUconst_NA,AN598,IF(AN600=EUconst_GJ,EUconst_TJ,AN600)),AH601),"")</f>
        <v/>
      </c>
      <c r="AJ601" s="397" t="str">
        <f>IF(J601="",AI601,J601)</f>
        <v/>
      </c>
      <c r="AK601" s="398" t="b">
        <f>AND(E593&lt;&gt;"",J601&lt;&gt;"")</f>
        <v>0</v>
      </c>
      <c r="AL601" s="326"/>
      <c r="AM601" s="358" t="s">
        <v>153</v>
      </c>
      <c r="AN601" s="359" t="str">
        <f>IF(COUNTIF(RFAUnits,AN598)=0,EUconst_NA,INDEX(EUwideConstants!$C$150:$H$154,MATCH(AJ601,EFUnits,0),MATCH(AN598,EUwideConstants!$C$149:$H$149,0)))</f>
        <v>n.a.</v>
      </c>
      <c r="AO601" s="359" t="b">
        <f>AN601&lt;&gt;EUconst_NA</f>
        <v>0</v>
      </c>
      <c r="AP601" s="326"/>
      <c r="AQ601" s="399" t="str">
        <f>EUconst_CNTR_EF&amp;EUconst_Value</f>
        <v>EF_Value</v>
      </c>
      <c r="AR601" s="400" t="str">
        <f>IF(AC601=TRUE,IF(COUNTIF(MSPara_SourceStreamCategory,V601)=0,"",INDEX(MSPara_CalcFactorsMatrix,MATCH(V601,MSPara_SourceStreamCategory,0),MATCH(AQ601&amp;"_"&amp;2,MSPara_CalcFactors,0))),"")</f>
        <v/>
      </c>
      <c r="AS601" s="401" t="str">
        <f>IF(AC601=TRUE,IF(COUNTIF(MSPara_SourceStreamCategory,V601)=0,"",INDEX(MSPara_CalcFactorsMatrix,MATCH(V601,MSPara_SourceStreamCategory,0),MATCH(AQ601&amp;"_"&amp;1,MSPara_CalcFactors,0))),"")</f>
        <v/>
      </c>
      <c r="AT601" s="402" t="b">
        <f>AND(AND(AH601&lt;&gt;"",AJ601&lt;&gt;""),AJ601=AH601)</f>
        <v>0</v>
      </c>
      <c r="AU601" s="403" t="str">
        <f>IF(AND(AA601&lt;&gt;"",AT601=TRUE),IF(OR(INDEX(AR601:AS601,3-AA601)=EUconst_NA,INDEX(AR601:AS601,3-AA601)=0),"",INDEX(AR601:AS601,3-AA601)),"")</f>
        <v/>
      </c>
      <c r="AV601" s="393">
        <f>IF(AC601=TRUE,IF(COUNT(K601:L601)=0,0,IF(L601="",K601,L601)),0)</f>
        <v>0</v>
      </c>
      <c r="AW601" s="389" t="b">
        <f t="shared" si="171"/>
        <v>0</v>
      </c>
      <c r="AX601" s="404" t="b">
        <f t="shared" si="172"/>
        <v>0</v>
      </c>
      <c r="AY601" s="314"/>
      <c r="AZ601" s="405" t="b">
        <f t="shared" si="173"/>
        <v>0</v>
      </c>
      <c r="BA601" s="406" t="b">
        <f t="shared" si="174"/>
        <v>0</v>
      </c>
      <c r="BB601" s="407" t="b">
        <f>AND(E593&lt;&gt;"",COUNTIF(AO601:AO602,TRUE)=0)</f>
        <v>0</v>
      </c>
      <c r="BC601" s="389" t="b">
        <f t="shared" si="175"/>
        <v>0</v>
      </c>
      <c r="BD601" s="314"/>
      <c r="BE601" s="314"/>
      <c r="BF601" s="408" t="s">
        <v>154</v>
      </c>
      <c r="BG601" s="409" t="str">
        <f>IF(COUNTIF(AO601:AO602,TRUE)=0,"",BH601*AV609)</f>
        <v/>
      </c>
      <c r="BH601" s="409" t="str">
        <f>IF(COUNTIF(AO601:AO602,TRUE)=0,"",AV598*IF(AO601,1,AV600*AN602)*AV601*AV603)</f>
        <v/>
      </c>
      <c r="BI601" s="314"/>
      <c r="BJ601" s="314"/>
      <c r="BK601" s="314"/>
      <c r="BL601" s="314"/>
      <c r="BM601" s="314"/>
      <c r="BN601" s="314"/>
      <c r="BO601" s="314"/>
      <c r="BP601" s="314"/>
      <c r="BQ601" s="314"/>
      <c r="BR601" s="314"/>
      <c r="BS601" s="314"/>
      <c r="BT601" s="314"/>
      <c r="BU601" s="314"/>
      <c r="BV601" s="314"/>
      <c r="BW601" s="314"/>
      <c r="BX601" s="314"/>
      <c r="BY601" s="314"/>
      <c r="BZ601" s="314"/>
      <c r="CA601" s="314"/>
      <c r="CB601" s="314"/>
      <c r="CC601" s="314"/>
      <c r="CD601" s="314"/>
      <c r="CE601" s="314"/>
      <c r="CF601" s="314"/>
      <c r="CG601" s="314"/>
      <c r="CH601" s="314"/>
      <c r="CI601" s="314"/>
      <c r="CJ601" s="314"/>
      <c r="CK601" s="314"/>
      <c r="CL601" s="314"/>
      <c r="CM601" s="314"/>
      <c r="CN601" s="314"/>
      <c r="CO601" s="314"/>
      <c r="CP601" s="314"/>
      <c r="CQ601" s="407" t="b">
        <f>OR(CQ598,Y601=EUconst_NA)</f>
        <v>0</v>
      </c>
    </row>
    <row r="602" spans="1:95" ht="12.75" customHeight="1" x14ac:dyDescent="0.25">
      <c r="A602" s="307"/>
      <c r="B602" s="68"/>
      <c r="C602" s="199" t="s">
        <v>15</v>
      </c>
      <c r="D602" s="344" t="str">
        <f>Translations!$B$362</f>
        <v>BioF:</v>
      </c>
      <c r="E602" s="345"/>
      <c r="F602" s="10"/>
      <c r="G602" s="1256" t="str">
        <f>IF(OR(ISBLANK(F602),F602=EUconst_NoTier),"",IF(Z602=0,EUconst_NotApplicable,IF(ISERROR(Z602),"",Z602)))</f>
        <v/>
      </c>
      <c r="H602" s="1257"/>
      <c r="I602" s="410" t="str">
        <f t="shared" ref="I602:I607" si="176">IF(OR(AC602=FALSE,Y602=EUconst_NA),"","-")</f>
        <v/>
      </c>
      <c r="J602" s="411"/>
      <c r="K602" s="412" t="str">
        <f>IF(L602="",AU602,"")</f>
        <v/>
      </c>
      <c r="L602" s="60"/>
      <c r="M602" s="347" t="str">
        <f>IF(AND(E593&lt;&gt;"",OR(F602="",COUNT(K602:L602)=0),Y602&lt;&gt;EUconst_NA),EUconst_ERR_Incomplete,IF(COUNTIF(BB602:BD602,TRUE)&gt;0,EUconst_ERR_Inconsistent,""))</f>
        <v/>
      </c>
      <c r="O602" s="160"/>
      <c r="P602" s="348"/>
      <c r="Q602" s="413"/>
      <c r="R602" s="413"/>
      <c r="S602" s="314"/>
      <c r="T602" s="388" t="str">
        <f>EUconst_CNTR_BiomassContent&amp;E593</f>
        <v>BioC_</v>
      </c>
      <c r="U602" s="312"/>
      <c r="V602" s="369" t="str">
        <f>V600</f>
        <v/>
      </c>
      <c r="W602" s="369" t="str">
        <f>IF(OR(V602="",COUNTIF(MSPara_SourceStreamCategory,V602)=0),"",INDEX(MSPara_IsFossil,MATCH(V602,MSPara_SourceStreamCategory,0)))</f>
        <v/>
      </c>
      <c r="X602" s="312"/>
      <c r="Y602" s="370" t="str">
        <f>IF(E593="","",IF(OR(F602=EUconst_NA,W602=TRUE),EUconst_NA,INDEX(EUwideConstants!$P$164:$P$200,MATCH(T602,EUwideConstants!$S$164:$S$200,0))))</f>
        <v/>
      </c>
      <c r="Z602" s="371" t="str">
        <f>IF(ISBLANK(F602),"",IF(F602=EUconst_NA,"",INDEX(EUwideConstants!$H:$O,MATCH(T602,EUwideConstants!$S:$S,0),MATCH(F602,CNTR_TierList,0))))</f>
        <v/>
      </c>
      <c r="AA602" s="414" t="str">
        <f>IF(F602=1,1,"")</f>
        <v/>
      </c>
      <c r="AB602" s="314"/>
      <c r="AC602" s="373" t="b">
        <f>AND(AC598,Y602&lt;&gt;EUconst_NA)</f>
        <v>0</v>
      </c>
      <c r="AD602" s="314"/>
      <c r="AE602" s="415"/>
      <c r="AF602" s="416"/>
      <c r="AG602" s="417"/>
      <c r="AH602" s="418"/>
      <c r="AI602" s="418"/>
      <c r="AJ602" s="418"/>
      <c r="AK602" s="419"/>
      <c r="AL602" s="326"/>
      <c r="AM602" s="358" t="s">
        <v>155</v>
      </c>
      <c r="AN602" s="359" t="str">
        <f>IF(AN600=EUconst_NA,EUconst_NA,INDEX(EUwideConstants!$C$150:$H$154,MATCH(AJ601,EFUnits,0),MATCH(AN600,EUwideConstants!$C$149:$H$149,0)))</f>
        <v>n.a.</v>
      </c>
      <c r="AO602" s="359" t="b">
        <f>AN602&lt;&gt;EUconst_NA</f>
        <v>0</v>
      </c>
      <c r="AP602" s="326"/>
      <c r="AQ602" s="376" t="str">
        <f>EUconst_CNTR_BiomassContent&amp;EUconst_Value</f>
        <v>BioC_Value</v>
      </c>
      <c r="AR602" s="420"/>
      <c r="AS602" s="378" t="str">
        <f t="shared" ref="AS602:AS607" si="177">IF(AC602=TRUE,IF(COUNTIF(MSPara_SourceStreamCategory,V602)=0,"",INDEX(MSPara_CalcFactorsMatrix,MATCH(V602,MSPara_SourceStreamCategory,0),MATCH(AQ602&amp;"_"&amp;2,MSPara_CalcFactors,0))),"")</f>
        <v/>
      </c>
      <c r="AT602" s="421"/>
      <c r="AU602" s="380" t="str">
        <f t="shared" ref="AU602:AU607" si="178">IF(OR(AA602="",AS602=EUconst_NA),"",AS602)</f>
        <v/>
      </c>
      <c r="AV602" s="373">
        <f>IF(AC602=TRUE,IF(COUNT(K602:L602)=0,0,IF(L602="",K602,L602)),0)</f>
        <v>0</v>
      </c>
      <c r="AW602" s="369" t="b">
        <f t="shared" si="171"/>
        <v>0</v>
      </c>
      <c r="AX602" s="381" t="b">
        <f t="shared" si="172"/>
        <v>0</v>
      </c>
      <c r="AY602" s="314"/>
      <c r="AZ602" s="382" t="b">
        <f t="shared" si="173"/>
        <v>0</v>
      </c>
      <c r="BA602" s="383" t="b">
        <f t="shared" si="174"/>
        <v>0</v>
      </c>
      <c r="BB602" s="314"/>
      <c r="BC602" s="369" t="b">
        <f t="shared" si="175"/>
        <v>0</v>
      </c>
      <c r="BD602" s="369" t="b">
        <f>OR(AV602&gt;100%,(AV602+AV603)&gt;100%)</f>
        <v>0</v>
      </c>
      <c r="BE602" s="314"/>
      <c r="BF602" s="382" t="s">
        <v>156</v>
      </c>
      <c r="BG602" s="384" t="str">
        <f>IF(COUNTIF(AO601:AO602,TRUE)=0,"",BH602*AV609)</f>
        <v/>
      </c>
      <c r="BH602" s="384" t="str">
        <f>IF(COUNTIF(AO601:AO602,TRUE)=0,"",AV598*IF(AO601,1,AV600*AN602)*AV601*AV604)</f>
        <v/>
      </c>
      <c r="BJ602" s="314"/>
      <c r="BK602" s="314"/>
      <c r="BL602" s="314"/>
      <c r="BM602" s="314"/>
      <c r="BN602" s="314"/>
      <c r="BO602" s="314"/>
      <c r="BP602" s="314"/>
      <c r="BQ602" s="314"/>
      <c r="BR602" s="314"/>
      <c r="BS602" s="314"/>
      <c r="BT602" s="314"/>
      <c r="BU602" s="314"/>
      <c r="BV602" s="314"/>
      <c r="BW602" s="314"/>
      <c r="BX602" s="314"/>
      <c r="BY602" s="314"/>
      <c r="BZ602" s="314"/>
      <c r="CA602" s="314"/>
      <c r="CB602" s="314"/>
      <c r="CC602" s="314"/>
      <c r="CD602" s="314"/>
      <c r="CE602" s="314"/>
      <c r="CF602" s="314"/>
      <c r="CG602" s="314"/>
      <c r="CH602" s="314"/>
      <c r="CI602" s="314"/>
      <c r="CJ602" s="314"/>
      <c r="CK602" s="314"/>
      <c r="CL602" s="314"/>
      <c r="CM602" s="314"/>
      <c r="CN602" s="314"/>
      <c r="CO602" s="314"/>
      <c r="CP602" s="314"/>
      <c r="CQ602" s="369" t="b">
        <f>OR(CQ598,Y602=EUconst_NA)</f>
        <v>0</v>
      </c>
    </row>
    <row r="603" spans="1:95" ht="12.75" customHeight="1" thickBot="1" x14ac:dyDescent="0.3">
      <c r="A603" s="307"/>
      <c r="B603" s="68"/>
      <c r="C603" s="199" t="s">
        <v>16</v>
      </c>
      <c r="D603" s="344" t="str">
        <f>Translations!$B$368</f>
        <v>non-sust. BioF:</v>
      </c>
      <c r="E603" s="345"/>
      <c r="F603" s="20"/>
      <c r="G603" s="1256" t="str">
        <f>IF(OR(ISBLANK(F603),F603=EUconst_NoTier),"",IF(Z603=0,EUconst_NotApplicable,IF(ISERROR(Z603),"",Z603)))</f>
        <v/>
      </c>
      <c r="H603" s="1257"/>
      <c r="I603" s="422" t="str">
        <f t="shared" si="176"/>
        <v/>
      </c>
      <c r="J603" s="423"/>
      <c r="K603" s="424" t="str">
        <f>IF(L603="",AU603,"")</f>
        <v/>
      </c>
      <c r="L603" s="21"/>
      <c r="M603" s="347" t="str">
        <f>IF(AND(E593&lt;&gt;"",OR(F603="",COUNT(K603:L603)=0),Y603&lt;&gt;EUconst_NA),EUconst_ERR_Incomplete,IF(COUNTIF(BB603:BD603,TRUE)&gt;0,EUconst_ERR_Inconsistent,""))</f>
        <v/>
      </c>
      <c r="N603" s="76"/>
      <c r="O603" s="160"/>
      <c r="P603" s="348"/>
      <c r="Q603" s="413"/>
      <c r="R603" s="413"/>
      <c r="S603" s="314"/>
      <c r="T603" s="425" t="str">
        <f>EUconst_CNTR_BiomassContent&amp;E593</f>
        <v>BioC_</v>
      </c>
      <c r="U603" s="312"/>
      <c r="V603" s="407" t="str">
        <f>V602</f>
        <v/>
      </c>
      <c r="W603" s="407" t="str">
        <f>IF(OR(V602="",COUNTIF(MSPara_SourceStreamCategory,V603)=0),"",INDEX(MSPara_IsFossil,MATCH(V603,MSPara_SourceStreamCategory,0)))</f>
        <v/>
      </c>
      <c r="X603" s="312"/>
      <c r="Y603" s="426" t="str">
        <f>IF(E593="","",IF(OR(F603=EUconst_NA,W603=TRUE),EUconst_NA,INDEX(EUwideConstants!$P$164:$P$200,MATCH(T603,EUwideConstants!$S$164:$S$200,0))))</f>
        <v/>
      </c>
      <c r="Z603" s="427" t="str">
        <f>IF(ISBLANK(F603),"",IF(F603=EUconst_NA,"",INDEX(EUwideConstants!$H:$O,MATCH(T603,EUwideConstants!$S:$S,0),MATCH(F603,CNTR_TierList,0))))</f>
        <v/>
      </c>
      <c r="AA603" s="428" t="str">
        <f>IF(F603=1,1,"")</f>
        <v/>
      </c>
      <c r="AB603" s="314"/>
      <c r="AC603" s="429" t="b">
        <f>AND(AC598,Y603&lt;&gt;EUconst_NA)</f>
        <v>0</v>
      </c>
      <c r="AD603" s="314"/>
      <c r="AE603" s="430"/>
      <c r="AF603" s="431"/>
      <c r="AG603" s="432"/>
      <c r="AH603" s="433"/>
      <c r="AI603" s="433"/>
      <c r="AJ603" s="433"/>
      <c r="AK603" s="434"/>
      <c r="AL603" s="326"/>
      <c r="AM603" s="326"/>
      <c r="AN603" s="326"/>
      <c r="AO603" s="326"/>
      <c r="AP603" s="326"/>
      <c r="AQ603" s="435" t="str">
        <f>EUconst_CNTR_BiomassContent&amp;EUconst_Value</f>
        <v>BioC_Value</v>
      </c>
      <c r="AR603" s="430"/>
      <c r="AS603" s="436" t="str">
        <f t="shared" si="177"/>
        <v/>
      </c>
      <c r="AT603" s="437"/>
      <c r="AU603" s="438" t="str">
        <f t="shared" si="178"/>
        <v/>
      </c>
      <c r="AV603" s="429">
        <f>IF(AC603=TRUE,IF(COUNT(K603:L603)=0,0,IF(L603="",K603,L603)),0)</f>
        <v>0</v>
      </c>
      <c r="AW603" s="407" t="b">
        <f t="shared" si="171"/>
        <v>0</v>
      </c>
      <c r="AX603" s="439" t="b">
        <f t="shared" si="172"/>
        <v>0</v>
      </c>
      <c r="AY603" s="314"/>
      <c r="AZ603" s="408" t="b">
        <f t="shared" si="173"/>
        <v>0</v>
      </c>
      <c r="BA603" s="440" t="b">
        <f t="shared" si="174"/>
        <v>0</v>
      </c>
      <c r="BB603" s="314"/>
      <c r="BC603" s="407" t="b">
        <f t="shared" si="175"/>
        <v>0</v>
      </c>
      <c r="BD603" s="407" t="b">
        <f>OR(AV602&gt;100%,(AV602+AV603)&gt;100%)</f>
        <v>0</v>
      </c>
      <c r="BE603" s="314"/>
      <c r="BF603" s="408" t="s">
        <v>157</v>
      </c>
      <c r="BG603" s="409" t="str">
        <f>IF(COUNTIF(AO601:AO602,TRUE)=0,"",BH603*AV609)</f>
        <v/>
      </c>
      <c r="BH603" s="409" t="str">
        <f>IF(COUNTIF(AO601:AO602,TRUE)=0,"",AV598*IF(AO601,1,AV600*AN602)*AV601*AV605)</f>
        <v/>
      </c>
      <c r="BJ603" s="314"/>
      <c r="BK603" s="314"/>
      <c r="BL603" s="314"/>
      <c r="BM603" s="314"/>
      <c r="BN603" s="314"/>
      <c r="BO603" s="314"/>
      <c r="BP603" s="314"/>
      <c r="BQ603" s="314"/>
      <c r="BR603" s="314"/>
      <c r="BS603" s="314"/>
      <c r="BT603" s="314"/>
      <c r="BU603" s="314"/>
      <c r="BV603" s="314"/>
      <c r="BW603" s="314"/>
      <c r="BX603" s="314"/>
      <c r="BY603" s="314"/>
      <c r="BZ603" s="314"/>
      <c r="CA603" s="314"/>
      <c r="CB603" s="314"/>
      <c r="CC603" s="314"/>
      <c r="CD603" s="314"/>
      <c r="CE603" s="314"/>
      <c r="CF603" s="314"/>
      <c r="CG603" s="314"/>
      <c r="CH603" s="314"/>
      <c r="CI603" s="314"/>
      <c r="CJ603" s="314"/>
      <c r="CK603" s="314"/>
      <c r="CL603" s="314"/>
      <c r="CM603" s="314"/>
      <c r="CN603" s="314"/>
      <c r="CO603" s="314"/>
      <c r="CP603" s="314"/>
      <c r="CQ603" s="407" t="b">
        <f>OR(CQ598,Y603=EUconst_NA)</f>
        <v>0</v>
      </c>
    </row>
    <row r="604" spans="1:95" ht="12.75" customHeight="1" thickBot="1" x14ac:dyDescent="0.3">
      <c r="A604" s="307"/>
      <c r="B604" s="68"/>
      <c r="C604" s="199" t="s">
        <v>17</v>
      </c>
      <c r="D604" s="344" t="str">
        <f>Translations!$B$610</f>
        <v>sust. RFNBO/RCF:</v>
      </c>
      <c r="E604" s="441"/>
      <c r="F604" s="19" t="s">
        <v>158</v>
      </c>
      <c r="G604" s="1261"/>
      <c r="H604" s="1262"/>
      <c r="I604" s="442" t="str">
        <f t="shared" si="176"/>
        <v/>
      </c>
      <c r="J604" s="411"/>
      <c r="K604" s="443"/>
      <c r="L604" s="55"/>
      <c r="M604" s="347" t="str">
        <f>IF(AND(E593&lt;&gt;"",OR(F604="",COUNT(L604)=0),Y604&lt;&gt;EUconst_NA),EUconst_ERR_Incomplete,"")</f>
        <v/>
      </c>
      <c r="N604" s="76"/>
      <c r="O604" s="160"/>
      <c r="P604" s="348"/>
      <c r="Q604" s="413"/>
      <c r="R604" s="413"/>
      <c r="S604" s="314"/>
      <c r="T604" s="388" t="str">
        <f>EUconst_CNTR_RFNBOetcContent&amp;E593</f>
        <v>RNFBOC_</v>
      </c>
      <c r="U604" s="312"/>
      <c r="V604" s="312"/>
      <c r="W604" s="312"/>
      <c r="X604" s="312"/>
      <c r="Y604" s="380" t="str">
        <f>IF(E593="","",IF(OR(F604=EUconst_NA,W604=TRUE),EUconst_NA,INDEX(EUwideConstants!$P$164:$P$200,MATCH(T604,EUwideConstants!$S$164:$S$200,0))))</f>
        <v/>
      </c>
      <c r="Z604" s="314"/>
      <c r="AA604" s="314"/>
      <c r="AB604" s="314"/>
      <c r="AC604" s="397" t="b">
        <f>AND(AC600,Y604&lt;&gt;EUconst_NA)</f>
        <v>0</v>
      </c>
      <c r="AD604" s="314"/>
      <c r="AE604" s="415"/>
      <c r="AF604" s="416"/>
      <c r="AG604" s="417"/>
      <c r="AH604" s="418"/>
      <c r="AI604" s="418"/>
      <c r="AJ604" s="418"/>
      <c r="AK604" s="419"/>
      <c r="AL604" s="326"/>
      <c r="AM604" s="326"/>
      <c r="AN604" s="326"/>
      <c r="AO604" s="326"/>
      <c r="AP604" s="326"/>
      <c r="AQ604" s="444" t="s">
        <v>159</v>
      </c>
      <c r="AR604" s="415"/>
      <c r="AS604" s="445" t="str">
        <f t="shared" si="177"/>
        <v/>
      </c>
      <c r="AT604" s="446"/>
      <c r="AU604" s="447" t="str">
        <f t="shared" si="178"/>
        <v/>
      </c>
      <c r="AV604" s="397">
        <f>IF(L604&lt;&gt;0,L604,L604)</f>
        <v>0</v>
      </c>
      <c r="AW604" s="398" t="b">
        <f t="shared" si="171"/>
        <v>0</v>
      </c>
      <c r="AX604" s="448" t="b">
        <f t="shared" si="172"/>
        <v>0</v>
      </c>
      <c r="AY604" s="314"/>
      <c r="AZ604" s="449" t="b">
        <f t="shared" si="173"/>
        <v>0</v>
      </c>
      <c r="BA604" s="450" t="b">
        <f t="shared" si="174"/>
        <v>0</v>
      </c>
      <c r="BB604" s="314"/>
      <c r="BC604" s="398" t="b">
        <f t="shared" si="175"/>
        <v>0</v>
      </c>
      <c r="BD604" s="369" t="b">
        <f>OR(AV604&gt;100%,(AV604+AV605)&gt;100%)</f>
        <v>0</v>
      </c>
      <c r="BE604" s="314"/>
      <c r="BF604" s="451" t="s">
        <v>160</v>
      </c>
      <c r="BG604" s="452" t="str">
        <f>IF(COUNTIF(AO601:AO602,TRUE)=0,"",BH604*AV609)</f>
        <v/>
      </c>
      <c r="BH604" s="452" t="str">
        <f>IF(COUNTIF(AO601:AO602,TRUE)=0,"",AV598*IF(AO601,1,AV600*AN602)*AV601*AV606)</f>
        <v/>
      </c>
      <c r="BJ604" s="314"/>
      <c r="BK604" s="314"/>
      <c r="BL604" s="314"/>
      <c r="BM604" s="314"/>
      <c r="BN604" s="314"/>
      <c r="BO604" s="314"/>
      <c r="BP604" s="314"/>
      <c r="BQ604" s="314"/>
      <c r="BR604" s="314"/>
      <c r="BS604" s="314"/>
      <c r="BT604" s="314"/>
      <c r="BU604" s="314"/>
      <c r="BV604" s="314"/>
      <c r="BW604" s="314"/>
      <c r="BX604" s="314"/>
      <c r="BY604" s="314"/>
      <c r="BZ604" s="314"/>
      <c r="CA604" s="314"/>
      <c r="CB604" s="314"/>
      <c r="CC604" s="314"/>
      <c r="CD604" s="314"/>
      <c r="CE604" s="314"/>
      <c r="CF604" s="314"/>
      <c r="CG604" s="314"/>
      <c r="CH604" s="314"/>
      <c r="CI604" s="314"/>
      <c r="CJ604" s="314"/>
      <c r="CK604" s="314"/>
      <c r="CL604" s="314"/>
      <c r="CM604" s="314"/>
      <c r="CN604" s="314"/>
      <c r="CO604" s="314"/>
      <c r="CP604" s="314"/>
      <c r="CQ604" s="407" t="b">
        <f>OR(CQ598,Y604=EUconst_NA)</f>
        <v>0</v>
      </c>
    </row>
    <row r="605" spans="1:95" ht="12.75" customHeight="1" thickBot="1" x14ac:dyDescent="0.3">
      <c r="A605" s="307"/>
      <c r="B605" s="68"/>
      <c r="C605" s="199" t="s">
        <v>161</v>
      </c>
      <c r="D605" s="344" t="str">
        <f>Translations!$B$613</f>
        <v>non-sust. RFNBO/RCF:</v>
      </c>
      <c r="E605" s="441"/>
      <c r="F605" s="20" t="s">
        <v>158</v>
      </c>
      <c r="G605" s="1261"/>
      <c r="H605" s="1262"/>
      <c r="I605" s="422" t="str">
        <f t="shared" si="176"/>
        <v/>
      </c>
      <c r="J605" s="423"/>
      <c r="K605" s="443"/>
      <c r="L605" s="56"/>
      <c r="M605" s="347" t="str">
        <f>IF(AND(E593&lt;&gt;"",OR(F605="",COUNT(L605)=0),Y605&lt;&gt;EUconst_NA),EUconst_ERR_Incomplete,"")</f>
        <v/>
      </c>
      <c r="N605" s="76"/>
      <c r="O605" s="160"/>
      <c r="P605" s="348"/>
      <c r="Q605" s="413"/>
      <c r="R605" s="413"/>
      <c r="S605" s="314"/>
      <c r="T605" s="425" t="str">
        <f>EUconst_CNTR_RFNBOetcContent&amp;E593</f>
        <v>RNFBOC_</v>
      </c>
      <c r="U605" s="312"/>
      <c r="V605" s="312"/>
      <c r="W605" s="312"/>
      <c r="X605" s="312"/>
      <c r="Y605" s="438" t="str">
        <f>IF(E593="","",IF(OR(F605=EUconst_NA,W605=TRUE),EUconst_NA,INDEX(EUwideConstants!$P$164:$P$200,MATCH(T605,EUwideConstants!$S$164:$S$200,0))))</f>
        <v/>
      </c>
      <c r="Z605" s="314"/>
      <c r="AA605" s="314"/>
      <c r="AB605" s="314"/>
      <c r="AC605" s="429" t="b">
        <f>AND(AC600,Y605&lt;&gt;EUconst_NA)</f>
        <v>0</v>
      </c>
      <c r="AD605" s="314"/>
      <c r="AE605" s="430"/>
      <c r="AF605" s="431"/>
      <c r="AG605" s="432"/>
      <c r="AH605" s="433"/>
      <c r="AI605" s="433"/>
      <c r="AJ605" s="433"/>
      <c r="AK605" s="434"/>
      <c r="AL605" s="326"/>
      <c r="AM605" s="326"/>
      <c r="AN605" s="326"/>
      <c r="AO605" s="326"/>
      <c r="AP605" s="326"/>
      <c r="AQ605" s="435" t="s">
        <v>159</v>
      </c>
      <c r="AR605" s="430"/>
      <c r="AS605" s="436" t="str">
        <f t="shared" si="177"/>
        <v/>
      </c>
      <c r="AT605" s="437"/>
      <c r="AU605" s="438" t="str">
        <f t="shared" si="178"/>
        <v/>
      </c>
      <c r="AV605" s="429">
        <f t="shared" ref="AV605:AV607" si="179">IF(L605&lt;&gt;0,L605,L605)</f>
        <v>0</v>
      </c>
      <c r="AW605" s="407" t="b">
        <f t="shared" si="171"/>
        <v>0</v>
      </c>
      <c r="AX605" s="439" t="b">
        <f t="shared" si="172"/>
        <v>0</v>
      </c>
      <c r="AY605" s="314"/>
      <c r="AZ605" s="408" t="b">
        <f t="shared" si="173"/>
        <v>0</v>
      </c>
      <c r="BA605" s="440" t="b">
        <f t="shared" si="174"/>
        <v>0</v>
      </c>
      <c r="BB605" s="314"/>
      <c r="BC605" s="407" t="b">
        <f t="shared" si="175"/>
        <v>0</v>
      </c>
      <c r="BD605" s="407" t="b">
        <f>OR(AV604&gt;100%,(AV604+AV605)&gt;100%)</f>
        <v>0</v>
      </c>
      <c r="BE605" s="314"/>
      <c r="BF605" s="408" t="s">
        <v>162</v>
      </c>
      <c r="BG605" s="409" t="str">
        <f>IF(COUNTIF(AO601:AO602,TRUE)=0,"",BH605*AV609)</f>
        <v/>
      </c>
      <c r="BH605" s="409" t="str">
        <f>IF(COUNTIF(AO601:AO602,TRUE)=0,"",AV598*IF(AO601,1,AV600*AN602)*AV601*AV607)</f>
        <v/>
      </c>
      <c r="BJ605" s="314"/>
      <c r="BK605" s="314"/>
      <c r="BL605" s="314"/>
      <c r="BM605" s="314"/>
      <c r="BN605" s="314"/>
      <c r="BO605" s="314"/>
      <c r="BP605" s="314"/>
      <c r="BQ605" s="314"/>
      <c r="BR605" s="314"/>
      <c r="BS605" s="314"/>
      <c r="BT605" s="314"/>
      <c r="BU605" s="314"/>
      <c r="BV605" s="314"/>
      <c r="BW605" s="314"/>
      <c r="BX605" s="314"/>
      <c r="BY605" s="314"/>
      <c r="BZ605" s="314"/>
      <c r="CA605" s="314"/>
      <c r="CB605" s="314"/>
      <c r="CC605" s="314"/>
      <c r="CD605" s="314"/>
      <c r="CE605" s="314"/>
      <c r="CF605" s="314"/>
      <c r="CG605" s="314"/>
      <c r="CH605" s="314"/>
      <c r="CI605" s="314"/>
      <c r="CJ605" s="314"/>
      <c r="CK605" s="314"/>
      <c r="CL605" s="314"/>
      <c r="CM605" s="314"/>
      <c r="CN605" s="314"/>
      <c r="CO605" s="314"/>
      <c r="CP605" s="314"/>
      <c r="CQ605" s="407" t="b">
        <f>OR(CQ598,Y605=EUconst_NA)</f>
        <v>0</v>
      </c>
    </row>
    <row r="606" spans="1:95" ht="12.75" customHeight="1" thickBot="1" x14ac:dyDescent="0.3">
      <c r="A606" s="307"/>
      <c r="B606" s="68"/>
      <c r="C606" s="199" t="s">
        <v>163</v>
      </c>
      <c r="D606" s="344" t="str">
        <f>Translations!$B$615</f>
        <v>sust. SLCF:</v>
      </c>
      <c r="E606" s="441"/>
      <c r="F606" s="19" t="s">
        <v>158</v>
      </c>
      <c r="G606" s="1261"/>
      <c r="H606" s="1262"/>
      <c r="I606" s="442" t="str">
        <f t="shared" si="176"/>
        <v/>
      </c>
      <c r="J606" s="411"/>
      <c r="K606" s="443"/>
      <c r="L606" s="57"/>
      <c r="M606" s="347" t="str">
        <f>IF(AND(E593&lt;&gt;"",OR(F606="",COUNT(L606)=0),Y606&lt;&gt;EUconst_NA),EUconst_ERR_Incomplete,"")</f>
        <v/>
      </c>
      <c r="N606" s="76"/>
      <c r="O606" s="160"/>
      <c r="P606" s="348"/>
      <c r="Q606" s="413"/>
      <c r="R606" s="413"/>
      <c r="S606" s="314"/>
      <c r="T606" s="388" t="str">
        <f>EUconst_CNTR_RFNBOetcContent&amp;E593</f>
        <v>RNFBOC_</v>
      </c>
      <c r="U606" s="312"/>
      <c r="V606" s="312"/>
      <c r="W606" s="312"/>
      <c r="X606" s="312"/>
      <c r="Y606" s="447" t="str">
        <f>IF(E593="","",IF(OR(F606=EUconst_NA,W606=TRUE),EUconst_NA,INDEX(EUwideConstants!$P$164:$P$200,MATCH(T606,EUwideConstants!$S$164:$S$200,0))))</f>
        <v/>
      </c>
      <c r="Z606" s="314"/>
      <c r="AA606" s="314"/>
      <c r="AB606" s="314"/>
      <c r="AC606" s="397" t="b">
        <f>AND(AC602,Y606&lt;&gt;EUconst_NA)</f>
        <v>0</v>
      </c>
      <c r="AD606" s="314"/>
      <c r="AE606" s="415"/>
      <c r="AF606" s="416"/>
      <c r="AG606" s="417"/>
      <c r="AH606" s="418"/>
      <c r="AI606" s="418"/>
      <c r="AJ606" s="418"/>
      <c r="AK606" s="419"/>
      <c r="AL606" s="326"/>
      <c r="AM606" s="326"/>
      <c r="AN606" s="326"/>
      <c r="AO606" s="326"/>
      <c r="AP606" s="326"/>
      <c r="AQ606" s="444" t="s">
        <v>159</v>
      </c>
      <c r="AR606" s="415"/>
      <c r="AS606" s="445" t="str">
        <f t="shared" si="177"/>
        <v/>
      </c>
      <c r="AT606" s="446"/>
      <c r="AU606" s="447" t="str">
        <f t="shared" si="178"/>
        <v/>
      </c>
      <c r="AV606" s="397">
        <f t="shared" si="179"/>
        <v>0</v>
      </c>
      <c r="AW606" s="398" t="b">
        <f t="shared" si="171"/>
        <v>0</v>
      </c>
      <c r="AX606" s="448" t="b">
        <f t="shared" si="172"/>
        <v>0</v>
      </c>
      <c r="AY606" s="314"/>
      <c r="AZ606" s="449" t="b">
        <f t="shared" si="173"/>
        <v>0</v>
      </c>
      <c r="BA606" s="450" t="b">
        <f t="shared" si="174"/>
        <v>0</v>
      </c>
      <c r="BB606" s="314"/>
      <c r="BC606" s="398" t="b">
        <f t="shared" si="175"/>
        <v>0</v>
      </c>
      <c r="BD606" s="369" t="b">
        <f>OR(AV606&gt;100%,(AV606+AV607)&gt;100%)</f>
        <v>0</v>
      </c>
      <c r="BE606" s="314"/>
      <c r="BF606" s="451" t="s">
        <v>164</v>
      </c>
      <c r="BG606" s="452">
        <f>IF(AN598=EUconst_TJ,AV598*(1-AV602),IF(AN600=EUconst_GJ,AV598*AV600/1000,0))-SUM(BG607:BG613)</f>
        <v>0</v>
      </c>
      <c r="BH606" s="314"/>
      <c r="BI606" s="314"/>
      <c r="BJ606" s="314"/>
      <c r="BK606" s="314"/>
      <c r="BL606" s="314"/>
      <c r="BM606" s="314"/>
      <c r="BN606" s="314"/>
      <c r="BO606" s="314"/>
      <c r="BP606" s="314"/>
      <c r="BQ606" s="314"/>
      <c r="BR606" s="314"/>
      <c r="BS606" s="314"/>
      <c r="BT606" s="314"/>
      <c r="BU606" s="314"/>
      <c r="BV606" s="314"/>
      <c r="BW606" s="314"/>
      <c r="BX606" s="314"/>
      <c r="BY606" s="314"/>
      <c r="BZ606" s="314"/>
      <c r="CA606" s="314"/>
      <c r="CB606" s="314"/>
      <c r="CC606" s="314"/>
      <c r="CD606" s="314"/>
      <c r="CE606" s="314"/>
      <c r="CF606" s="314"/>
      <c r="CG606" s="314"/>
      <c r="CH606" s="314"/>
      <c r="CI606" s="314"/>
      <c r="CJ606" s="314"/>
      <c r="CK606" s="314"/>
      <c r="CL606" s="314"/>
      <c r="CM606" s="314"/>
      <c r="CN606" s="314"/>
      <c r="CO606" s="314"/>
      <c r="CP606" s="314"/>
      <c r="CQ606" s="407" t="b">
        <f>OR(CQ598,Y606=EUconst_NA)</f>
        <v>0</v>
      </c>
    </row>
    <row r="607" spans="1:95" ht="12.75" customHeight="1" thickBot="1" x14ac:dyDescent="0.3">
      <c r="A607" s="307"/>
      <c r="B607" s="68"/>
      <c r="C607" s="199" t="s">
        <v>165</v>
      </c>
      <c r="D607" s="344" t="str">
        <f>Translations!$B$618</f>
        <v>non-sust. SLCF:</v>
      </c>
      <c r="E607" s="441"/>
      <c r="F607" s="20" t="s">
        <v>158</v>
      </c>
      <c r="G607" s="1261"/>
      <c r="H607" s="1262"/>
      <c r="I607" s="422" t="str">
        <f t="shared" si="176"/>
        <v/>
      </c>
      <c r="J607" s="423"/>
      <c r="K607" s="443"/>
      <c r="L607" s="56"/>
      <c r="M607" s="347" t="str">
        <f>IF(AND(E593&lt;&gt;"",OR(F607="",COUNT(L607)=0),Y607&lt;&gt;EUconst_NA),EUconst_ERR_Incomplete,"")</f>
        <v/>
      </c>
      <c r="N607" s="76"/>
      <c r="O607" s="160"/>
      <c r="P607" s="348"/>
      <c r="Q607" s="413"/>
      <c r="R607" s="413"/>
      <c r="S607" s="314"/>
      <c r="T607" s="425" t="str">
        <f>EUconst_CNTR_RFNBOetcContent&amp;E593</f>
        <v>RNFBOC_</v>
      </c>
      <c r="U607" s="312"/>
      <c r="V607" s="312"/>
      <c r="W607" s="312"/>
      <c r="X607" s="312"/>
      <c r="Y607" s="438" t="str">
        <f>IF(E593="","",IF(OR(F607=EUconst_NA,W607=TRUE),EUconst_NA,INDEX(EUwideConstants!$P$164:$P$200,MATCH(T607,EUwideConstants!$S$164:$S$200,0))))</f>
        <v/>
      </c>
      <c r="Z607" s="314"/>
      <c r="AA607" s="314"/>
      <c r="AB607" s="314"/>
      <c r="AC607" s="429" t="b">
        <f>AND(AC602,Y607&lt;&gt;EUconst_NA)</f>
        <v>0</v>
      </c>
      <c r="AD607" s="314"/>
      <c r="AE607" s="430"/>
      <c r="AF607" s="431"/>
      <c r="AG607" s="432"/>
      <c r="AH607" s="433"/>
      <c r="AI607" s="433"/>
      <c r="AJ607" s="433"/>
      <c r="AK607" s="434"/>
      <c r="AL607" s="326"/>
      <c r="AM607" s="326"/>
      <c r="AN607" s="326"/>
      <c r="AO607" s="326"/>
      <c r="AP607" s="326"/>
      <c r="AQ607" s="435" t="s">
        <v>159</v>
      </c>
      <c r="AR607" s="430"/>
      <c r="AS607" s="436" t="str">
        <f t="shared" si="177"/>
        <v/>
      </c>
      <c r="AT607" s="437"/>
      <c r="AU607" s="438" t="str">
        <f t="shared" si="178"/>
        <v/>
      </c>
      <c r="AV607" s="429">
        <f t="shared" si="179"/>
        <v>0</v>
      </c>
      <c r="AW607" s="407" t="b">
        <f t="shared" si="171"/>
        <v>0</v>
      </c>
      <c r="AX607" s="439" t="b">
        <f t="shared" si="172"/>
        <v>0</v>
      </c>
      <c r="AY607" s="314"/>
      <c r="AZ607" s="408" t="b">
        <f t="shared" si="173"/>
        <v>0</v>
      </c>
      <c r="BA607" s="440" t="b">
        <f t="shared" si="174"/>
        <v>0</v>
      </c>
      <c r="BB607" s="314"/>
      <c r="BC607" s="407" t="b">
        <f t="shared" si="175"/>
        <v>0</v>
      </c>
      <c r="BD607" s="407" t="b">
        <f>OR(AV606&gt;100%,(AV606+AV607)&gt;100%)</f>
        <v>0</v>
      </c>
      <c r="BE607" s="314"/>
      <c r="BF607" s="408" t="s">
        <v>166</v>
      </c>
      <c r="BG607" s="409" t="str">
        <f>IF(AN598=EUconst_TJ,AV598*AV602,IF(AN600=EUconst_GJ,AV598*AV600/1000*AV602,""))</f>
        <v/>
      </c>
      <c r="BH607" s="314"/>
      <c r="BI607" s="314"/>
      <c r="BJ607" s="314"/>
      <c r="BK607" s="314"/>
      <c r="BL607" s="314"/>
      <c r="BM607" s="314"/>
      <c r="BN607" s="314"/>
      <c r="BO607" s="314"/>
      <c r="BP607" s="314"/>
      <c r="BQ607" s="314"/>
      <c r="BR607" s="314"/>
      <c r="BS607" s="314"/>
      <c r="BT607" s="314"/>
      <c r="BU607" s="314"/>
      <c r="BV607" s="314"/>
      <c r="BW607" s="314"/>
      <c r="BX607" s="314"/>
      <c r="BY607" s="314"/>
      <c r="BZ607" s="314"/>
      <c r="CA607" s="314"/>
      <c r="CB607" s="314"/>
      <c r="CC607" s="314"/>
      <c r="CD607" s="314"/>
      <c r="CE607" s="314"/>
      <c r="CF607" s="314"/>
      <c r="CG607" s="314"/>
      <c r="CH607" s="314"/>
      <c r="CI607" s="314"/>
      <c r="CJ607" s="314"/>
      <c r="CK607" s="314"/>
      <c r="CL607" s="314"/>
      <c r="CM607" s="314"/>
      <c r="CN607" s="314"/>
      <c r="CO607" s="314"/>
      <c r="CP607" s="314"/>
      <c r="CQ607" s="407" t="b">
        <f>OR(CQ598,Y607=EUconst_NA)</f>
        <v>0</v>
      </c>
    </row>
    <row r="608" spans="1:95" ht="5.15" customHeight="1" thickBot="1" x14ac:dyDescent="0.3">
      <c r="A608" s="307"/>
      <c r="B608" s="68"/>
      <c r="C608" s="68"/>
      <c r="D608" s="205"/>
      <c r="E608" s="76"/>
      <c r="F608" s="76"/>
      <c r="G608" s="76"/>
      <c r="H608" s="76"/>
      <c r="I608" s="76"/>
      <c r="J608" s="76"/>
      <c r="K608" s="76"/>
      <c r="L608" s="76"/>
      <c r="M608" s="453"/>
      <c r="N608" s="76"/>
      <c r="O608" s="160"/>
      <c r="P608" s="109"/>
      <c r="Q608" s="312"/>
      <c r="R608" s="312"/>
      <c r="S608" s="314"/>
      <c r="T608" s="314"/>
      <c r="U608" s="314"/>
      <c r="V608" s="314"/>
      <c r="W608" s="314"/>
      <c r="X608" s="314"/>
      <c r="Y608" s="314"/>
      <c r="Z608" s="314"/>
      <c r="AA608" s="314"/>
      <c r="AB608" s="314"/>
      <c r="AC608" s="314"/>
      <c r="AD608" s="314"/>
      <c r="AE608" s="314"/>
      <c r="AF608" s="314"/>
      <c r="AG608" s="314"/>
      <c r="AH608" s="314"/>
      <c r="AI608" s="314"/>
      <c r="AJ608" s="314"/>
      <c r="AK608" s="314"/>
      <c r="AL608" s="314"/>
      <c r="AM608" s="314"/>
      <c r="AN608" s="314"/>
      <c r="AO608" s="314"/>
      <c r="AP608" s="314"/>
      <c r="AQ608" s="314"/>
      <c r="AR608" s="314"/>
      <c r="AS608" s="314"/>
      <c r="AT608" s="314"/>
      <c r="AU608" s="314"/>
      <c r="AV608" s="314"/>
      <c r="AW608" s="314"/>
      <c r="AX608" s="314"/>
      <c r="AY608" s="314"/>
      <c r="AZ608" s="314"/>
      <c r="BA608" s="314"/>
      <c r="BB608" s="314"/>
      <c r="BC608" s="314"/>
      <c r="BD608" s="314"/>
      <c r="BE608" s="314"/>
      <c r="BF608" s="314"/>
      <c r="BG608" s="364"/>
      <c r="BH608" s="314"/>
      <c r="BI608" s="314"/>
      <c r="BJ608" s="314"/>
      <c r="BK608" s="314"/>
      <c r="BL608" s="314"/>
      <c r="BM608" s="314"/>
      <c r="BN608" s="314"/>
      <c r="BO608" s="314"/>
      <c r="BP608" s="314"/>
      <c r="BQ608" s="314"/>
      <c r="BR608" s="314"/>
      <c r="BS608" s="314"/>
      <c r="BT608" s="314"/>
      <c r="BU608" s="314"/>
      <c r="BV608" s="314"/>
      <c r="BW608" s="314"/>
      <c r="BX608" s="314"/>
      <c r="BY608" s="314"/>
      <c r="BZ608" s="314"/>
      <c r="CA608" s="314"/>
      <c r="CB608" s="314"/>
      <c r="CC608" s="314"/>
      <c r="CD608" s="314"/>
      <c r="CE608" s="314"/>
      <c r="CF608" s="314"/>
      <c r="CG608" s="314"/>
      <c r="CH608" s="314"/>
      <c r="CI608" s="314"/>
      <c r="CJ608" s="314"/>
      <c r="CK608" s="314"/>
      <c r="CL608" s="314"/>
      <c r="CM608" s="314"/>
      <c r="CN608" s="314"/>
      <c r="CO608" s="314"/>
      <c r="CP608" s="314"/>
      <c r="CQ608" s="314"/>
    </row>
    <row r="609" spans="1:95" ht="12.75" customHeight="1" thickBot="1" x14ac:dyDescent="0.3">
      <c r="A609" s="307"/>
      <c r="B609" s="68"/>
      <c r="C609" s="199" t="s">
        <v>167</v>
      </c>
      <c r="D609" s="344" t="str">
        <f>Translations!$B$398</f>
        <v>Scope factor:</v>
      </c>
      <c r="E609" s="454"/>
      <c r="F609" s="992"/>
      <c r="G609" s="1263"/>
      <c r="H609" s="1264"/>
      <c r="I609" s="455" t="s">
        <v>46</v>
      </c>
      <c r="J609" s="456"/>
      <c r="K609" s="457" t="str">
        <f>IF(L609="",AU609,"")</f>
        <v/>
      </c>
      <c r="L609" s="16"/>
      <c r="M609" s="458" t="str">
        <f>IF(AND(E593&lt;&gt;"",OR(F609="",G609="",COUNT(K609:L609)=0)),EUconst_ERR_Incomplete,IF(COUNTIF(BB609:BD609,TRUE)&gt;0,EUconst_ERR_Inconsistent,""))</f>
        <v/>
      </c>
      <c r="N609" s="76"/>
      <c r="O609" s="160"/>
      <c r="P609" s="109"/>
      <c r="Q609" s="312"/>
      <c r="R609" s="314"/>
      <c r="S609" s="297"/>
      <c r="T609" s="459" t="str">
        <f>EUconst_CNTR_ScopeFactor&amp;E593</f>
        <v>ScopeFactor_</v>
      </c>
      <c r="U609" s="231" t="str">
        <f>IF(F609="","",INDEX(ScopeAddress,MATCH(F609,ScopeTiers,0)))</f>
        <v/>
      </c>
      <c r="V609" s="360" t="str">
        <f>V598</f>
        <v/>
      </c>
      <c r="W609" s="314"/>
      <c r="X609" s="314"/>
      <c r="Y609" s="460" t="str">
        <f>IF(E593="","",IF(F609=EUconst_NA,EUconst_NA,INDEX(EUwideConstants!$P$164:$P$200,MATCH(T609,EUwideConstants!$S$164:$S$200,0))))</f>
        <v/>
      </c>
      <c r="Z609" s="461" t="str">
        <f>IF(ISBLANK(F609),"",IF(F609=EUconst_NA,"",INDEX(EUwideConstants!$H:$O,MATCH(T609,EUwideConstants!$S:$S,0),MATCH(F609,CNTR_TierList,0))))</f>
        <v/>
      </c>
      <c r="AA609" s="331" t="str">
        <f>IF(G609=EUwideConstants!$A$89,1,"")</f>
        <v/>
      </c>
      <c r="AB609" s="314"/>
      <c r="AC609" s="331" t="b">
        <f>AND(AC598,Y609&lt;&gt;EUconst_NA)</f>
        <v>0</v>
      </c>
      <c r="AD609" s="314"/>
      <c r="AE609" s="314"/>
      <c r="AF609" s="314"/>
      <c r="AG609" s="319"/>
      <c r="AH609" s="314"/>
      <c r="AI609" s="314"/>
      <c r="AJ609" s="314"/>
      <c r="AK609" s="314"/>
      <c r="AL609" s="314"/>
      <c r="AM609" s="314"/>
      <c r="AN609" s="314"/>
      <c r="AO609" s="314"/>
      <c r="AP609" s="314"/>
      <c r="AQ609" s="314"/>
      <c r="AR609" s="314"/>
      <c r="AS609" s="328">
        <v>1</v>
      </c>
      <c r="AT609" s="314"/>
      <c r="AU609" s="319" t="str">
        <f>IF(G609=EUwideConstants!$A$89,AS609,"")</f>
        <v/>
      </c>
      <c r="AV609" s="331">
        <f>IF(AC609=TRUE,IF(COUNT(K609:L609)=0,0,IF(L609="",K609,L609)),0)</f>
        <v>0</v>
      </c>
      <c r="AW609" s="360" t="b">
        <f>AND(AC609=TRUE,OR(AND(F609&lt;&gt;"",NOT(ISNUMBER(AA609))),L609&lt;&gt;"",F609="",AU609=""))</f>
        <v>0</v>
      </c>
      <c r="AX609" s="357" t="b">
        <f>AND(AC609=TRUE,NOT(AW609))</f>
        <v>0</v>
      </c>
      <c r="AY609" s="314"/>
      <c r="AZ609" s="361" t="b">
        <f>AND(ISNUMBER(AA609),AU609="")</f>
        <v>0</v>
      </c>
      <c r="BA609" s="351" t="b">
        <f>AND(ISNUMBER(AA609),AU609&lt;&gt;AV609)</f>
        <v>0</v>
      </c>
      <c r="BB609" s="314"/>
      <c r="BC609" s="360" t="b">
        <f>AND(F609&lt;&gt;"",OR(COUNTIF(INDEX(ScopeMethods,F609,),G609)=0,AND(AA609&lt;&gt;"",AU609&lt;&gt;AV609)))</f>
        <v>0</v>
      </c>
      <c r="BD609" s="314"/>
      <c r="BE609" s="314"/>
      <c r="BF609" s="361" t="s">
        <v>168</v>
      </c>
      <c r="BG609" s="362" t="str">
        <f>IF(AN598=EUconst_TJ,AV598*AV604,IF(AN600=EUconst_GJ,AV598*AV600/1000*AV604,""))</f>
        <v/>
      </c>
      <c r="BH609" s="314"/>
      <c r="BI609" s="314"/>
      <c r="BJ609" s="314"/>
      <c r="BK609" s="314"/>
      <c r="BL609" s="314"/>
      <c r="BM609" s="314"/>
      <c r="BN609" s="314"/>
      <c r="BO609" s="314"/>
      <c r="BP609" s="314"/>
      <c r="BQ609" s="314"/>
      <c r="BR609" s="314"/>
      <c r="BS609" s="314"/>
      <c r="BT609" s="314"/>
      <c r="BU609" s="314"/>
      <c r="BV609" s="314"/>
      <c r="BW609" s="314"/>
      <c r="BX609" s="314"/>
      <c r="BY609" s="314"/>
      <c r="BZ609" s="314"/>
      <c r="CA609" s="314"/>
      <c r="CB609" s="314"/>
      <c r="CC609" s="314"/>
      <c r="CD609" s="314"/>
      <c r="CE609" s="314"/>
      <c r="CF609" s="314"/>
      <c r="CG609" s="314"/>
      <c r="CH609" s="314"/>
      <c r="CI609" s="314"/>
      <c r="CJ609" s="314"/>
      <c r="CK609" s="314"/>
      <c r="CL609" s="314"/>
      <c r="CM609" s="314"/>
      <c r="CN609" s="314"/>
      <c r="CO609" s="314"/>
      <c r="CP609" s="314"/>
      <c r="CQ609" s="314"/>
    </row>
    <row r="610" spans="1:95" ht="12.75" customHeight="1" x14ac:dyDescent="0.25">
      <c r="A610" s="307"/>
      <c r="B610" s="68"/>
      <c r="C610" s="68"/>
      <c r="D610" s="68"/>
      <c r="E610" s="68"/>
      <c r="F610" s="68"/>
      <c r="G610" s="1265" t="str">
        <f>IF(G609="","",INDEX(ScopeMethodsDetails,MATCH(G609,INDEX(ScopeMethodsDetails,,1),0),2))</f>
        <v/>
      </c>
      <c r="H610" s="1266"/>
      <c r="I610" s="1266"/>
      <c r="J610" s="1266"/>
      <c r="K610" s="1266"/>
      <c r="L610" s="1266"/>
      <c r="M610" s="1267"/>
      <c r="N610" s="76"/>
      <c r="O610" s="160"/>
      <c r="P610" s="109"/>
      <c r="Q610" s="312"/>
      <c r="R610" s="312"/>
      <c r="S610" s="314"/>
      <c r="T610" s="314"/>
      <c r="U610" s="314"/>
      <c r="V610" s="314"/>
      <c r="W610" s="314"/>
      <c r="X610" s="314"/>
      <c r="Y610" s="314"/>
      <c r="Z610" s="314"/>
      <c r="AA610" s="314"/>
      <c r="AB610" s="314"/>
      <c r="AC610" s="314"/>
      <c r="AD610" s="314"/>
      <c r="AE610" s="314"/>
      <c r="AF610" s="314"/>
      <c r="AG610" s="314"/>
      <c r="AH610" s="314"/>
      <c r="AI610" s="314"/>
      <c r="AJ610" s="314"/>
      <c r="AK610" s="314"/>
      <c r="AL610" s="314"/>
      <c r="AM610" s="314"/>
      <c r="AN610" s="314"/>
      <c r="AO610" s="314"/>
      <c r="AP610" s="314"/>
      <c r="AQ610" s="314"/>
      <c r="AR610" s="314"/>
      <c r="AS610" s="314"/>
      <c r="AT610" s="314"/>
      <c r="AU610" s="314"/>
      <c r="AV610" s="314"/>
      <c r="AW610" s="314"/>
      <c r="AX610" s="314"/>
      <c r="AY610" s="314"/>
      <c r="AZ610" s="314"/>
      <c r="BA610" s="314"/>
      <c r="BB610" s="314"/>
      <c r="BC610" s="314"/>
      <c r="BD610" s="314"/>
      <c r="BE610" s="314"/>
      <c r="BG610" s="364"/>
      <c r="BH610" s="314"/>
      <c r="BI610" s="314"/>
      <c r="BJ610" s="314"/>
      <c r="BK610" s="314"/>
      <c r="BL610" s="314"/>
      <c r="BM610" s="314"/>
      <c r="BN610" s="314"/>
      <c r="BO610" s="314"/>
      <c r="BP610" s="314"/>
      <c r="BQ610" s="314"/>
      <c r="BR610" s="314"/>
      <c r="BS610" s="314"/>
      <c r="BT610" s="314"/>
      <c r="BU610" s="314"/>
      <c r="BV610" s="314"/>
      <c r="BW610" s="314"/>
      <c r="BX610" s="314"/>
      <c r="BY610" s="314"/>
      <c r="BZ610" s="314"/>
      <c r="CA610" s="314"/>
      <c r="CB610" s="314"/>
      <c r="CC610" s="314"/>
      <c r="CD610" s="314"/>
      <c r="CE610" s="314"/>
      <c r="CF610" s="314"/>
      <c r="CG610" s="314"/>
      <c r="CH610" s="314"/>
      <c r="CI610" s="314"/>
      <c r="CJ610" s="314"/>
      <c r="CK610" s="314"/>
      <c r="CL610" s="314"/>
      <c r="CM610" s="314"/>
      <c r="CN610" s="314"/>
      <c r="CO610" s="314"/>
      <c r="CP610" s="314"/>
      <c r="CQ610" s="314"/>
    </row>
    <row r="611" spans="1:95" ht="5.15" customHeight="1" x14ac:dyDescent="0.25">
      <c r="A611" s="307"/>
      <c r="C611" s="76"/>
      <c r="D611" s="76"/>
      <c r="E611" s="76"/>
      <c r="F611" s="76"/>
      <c r="G611" s="76"/>
      <c r="H611" s="76"/>
      <c r="I611" s="76"/>
      <c r="J611" s="76"/>
      <c r="K611" s="76"/>
      <c r="L611" s="76"/>
      <c r="O611" s="160"/>
      <c r="P611" s="109"/>
      <c r="Q611" s="312"/>
      <c r="R611" s="312"/>
      <c r="S611" s="314"/>
      <c r="T611" s="314"/>
      <c r="U611" s="314"/>
      <c r="V611" s="314"/>
      <c r="W611" s="314"/>
      <c r="X611" s="314"/>
      <c r="Y611" s="314"/>
      <c r="Z611" s="314"/>
      <c r="AA611" s="314"/>
      <c r="AB611" s="314"/>
      <c r="AC611" s="314"/>
      <c r="AD611" s="314"/>
      <c r="AE611" s="314"/>
      <c r="AF611" s="314"/>
      <c r="AG611" s="314"/>
      <c r="AH611" s="314"/>
      <c r="AI611" s="314"/>
      <c r="AJ611" s="314"/>
      <c r="AK611" s="314"/>
      <c r="AL611" s="314"/>
      <c r="AM611" s="314"/>
      <c r="AN611" s="314"/>
      <c r="AO611" s="314"/>
      <c r="AP611" s="314"/>
      <c r="AQ611" s="314"/>
      <c r="AR611" s="314"/>
      <c r="AS611" s="314"/>
      <c r="AT611" s="314"/>
      <c r="AU611" s="314"/>
      <c r="AV611" s="314"/>
      <c r="AW611" s="314"/>
      <c r="AX611" s="314"/>
      <c r="AY611" s="314"/>
      <c r="AZ611" s="314"/>
      <c r="BA611" s="314"/>
      <c r="BB611" s="314"/>
      <c r="BC611" s="314"/>
      <c r="BD611" s="314"/>
      <c r="BE611" s="314"/>
      <c r="BG611" s="364"/>
      <c r="BH611" s="314"/>
      <c r="BI611" s="314"/>
      <c r="BJ611" s="314"/>
      <c r="BK611" s="314"/>
      <c r="BL611" s="314"/>
      <c r="BM611" s="314"/>
      <c r="BN611" s="314"/>
      <c r="BO611" s="314"/>
      <c r="BP611" s="314"/>
      <c r="BQ611" s="314"/>
      <c r="BR611" s="314"/>
      <c r="BS611" s="314"/>
      <c r="BT611" s="314"/>
      <c r="BU611" s="314"/>
      <c r="BV611" s="314"/>
      <c r="BW611" s="314"/>
      <c r="BX611" s="314"/>
      <c r="BY611" s="314"/>
      <c r="BZ611" s="314"/>
      <c r="CA611" s="314"/>
      <c r="CB611" s="314"/>
      <c r="CC611" s="314"/>
      <c r="CD611" s="314"/>
      <c r="CE611" s="314"/>
      <c r="CF611" s="314"/>
      <c r="CG611" s="314"/>
      <c r="CH611" s="314"/>
      <c r="CI611" s="314"/>
      <c r="CJ611" s="314"/>
      <c r="CK611" s="314"/>
      <c r="CL611" s="314"/>
      <c r="CM611" s="314"/>
      <c r="CN611" s="314"/>
      <c r="CO611" s="314"/>
      <c r="CP611" s="314"/>
      <c r="CQ611" s="314"/>
    </row>
    <row r="612" spans="1:95" ht="12.75" customHeight="1" thickBot="1" x14ac:dyDescent="0.3">
      <c r="A612" s="307"/>
      <c r="C612" s="76"/>
      <c r="D612" s="76"/>
      <c r="E612" s="76"/>
      <c r="F612" s="76"/>
      <c r="G612" s="1268">
        <v>1</v>
      </c>
      <c r="H612" s="1268"/>
      <c r="I612" s="1268">
        <v>2</v>
      </c>
      <c r="J612" s="1268"/>
      <c r="K612" s="1268">
        <v>3</v>
      </c>
      <c r="L612" s="1268"/>
      <c r="O612" s="160"/>
      <c r="P612" s="109"/>
      <c r="Q612" s="312"/>
      <c r="R612" s="312"/>
      <c r="S612" s="314"/>
      <c r="T612" s="314"/>
      <c r="U612" s="314"/>
      <c r="V612" s="314"/>
      <c r="W612" s="314"/>
      <c r="X612" s="314"/>
      <c r="Y612" s="314"/>
      <c r="Z612" s="314"/>
      <c r="AA612" s="314"/>
      <c r="AB612" s="314"/>
      <c r="AC612" s="314"/>
      <c r="AD612" s="314"/>
      <c r="AE612" s="314"/>
      <c r="AF612" s="314"/>
      <c r="AG612" s="314"/>
      <c r="AH612" s="314"/>
      <c r="AI612" s="314"/>
      <c r="AJ612" s="314"/>
      <c r="AK612" s="314"/>
      <c r="AL612" s="314"/>
      <c r="AM612" s="314"/>
      <c r="AN612" s="314"/>
      <c r="AO612" s="314"/>
      <c r="AP612" s="314"/>
      <c r="AQ612" s="314"/>
      <c r="AR612" s="314"/>
      <c r="AS612" s="314"/>
      <c r="AT612" s="314"/>
      <c r="AU612" s="314"/>
      <c r="AV612" s="314"/>
      <c r="AW612" s="314"/>
      <c r="AX612" s="314"/>
      <c r="AY612" s="314"/>
      <c r="AZ612" s="314"/>
      <c r="BA612" s="314"/>
      <c r="BB612" s="314"/>
      <c r="BC612" s="314"/>
      <c r="BD612" s="314"/>
      <c r="BE612" s="314"/>
      <c r="BF612" s="314"/>
      <c r="BG612" s="364"/>
      <c r="BH612" s="314"/>
      <c r="BI612" s="314"/>
      <c r="BJ612" s="314"/>
      <c r="BK612" s="314"/>
      <c r="BL612" s="314"/>
      <c r="BM612" s="314"/>
      <c r="BN612" s="314"/>
      <c r="BO612" s="314"/>
      <c r="BP612" s="314"/>
      <c r="BQ612" s="314"/>
      <c r="BR612" s="314"/>
      <c r="BS612" s="314"/>
      <c r="BT612" s="314"/>
      <c r="BU612" s="314"/>
      <c r="BV612" s="314"/>
      <c r="BW612" s="314"/>
      <c r="BX612" s="314"/>
      <c r="BY612" s="314"/>
      <c r="BZ612" s="314"/>
      <c r="CA612" s="314"/>
      <c r="CB612" s="314"/>
      <c r="CC612" s="314"/>
      <c r="CD612" s="314"/>
      <c r="CE612" s="314"/>
      <c r="CF612" s="314"/>
      <c r="CG612" s="314"/>
      <c r="CH612" s="314"/>
      <c r="CI612" s="314"/>
      <c r="CJ612" s="314"/>
      <c r="CK612" s="314"/>
      <c r="CL612" s="314"/>
      <c r="CM612" s="314"/>
      <c r="CN612" s="314"/>
      <c r="CO612" s="314"/>
      <c r="CP612" s="314"/>
      <c r="CQ612" s="314"/>
    </row>
    <row r="613" spans="1:95" ht="12.75" customHeight="1" thickBot="1" x14ac:dyDescent="0.3">
      <c r="A613" s="462"/>
      <c r="B613" s="76"/>
      <c r="C613" s="76"/>
      <c r="D613" s="1246" t="str">
        <f>Translations!$B$372</f>
        <v>Consumers' CRF category:</v>
      </c>
      <c r="E613" s="1246"/>
      <c r="F613" s="1247"/>
      <c r="G613" s="1248"/>
      <c r="H613" s="1249"/>
      <c r="I613" s="1248"/>
      <c r="J613" s="1249"/>
      <c r="K613" s="1248"/>
      <c r="L613" s="1249"/>
      <c r="M613" s="463" t="str">
        <f>IF(AND(E592&lt;&gt;"",COUNTA(G613:L613)=0,AX613=FALSE),EUconst_ERR_Incomplete,"")</f>
        <v/>
      </c>
      <c r="N613" s="76"/>
      <c r="O613" s="160"/>
      <c r="P613" s="109"/>
      <c r="Q613" s="312"/>
      <c r="R613" s="312"/>
      <c r="S613" s="314"/>
      <c r="T613" s="314"/>
      <c r="U613" s="314"/>
      <c r="V613" s="314"/>
      <c r="W613" s="314"/>
      <c r="X613" s="314"/>
      <c r="Y613" s="314"/>
      <c r="Z613" s="314"/>
      <c r="AA613" s="314"/>
      <c r="AB613" s="314"/>
      <c r="AC613" s="314"/>
      <c r="AD613" s="314"/>
      <c r="AE613" s="314"/>
      <c r="AF613" s="314"/>
      <c r="AG613" s="314"/>
      <c r="AH613" s="314"/>
      <c r="AI613" s="314"/>
      <c r="AJ613" s="314"/>
      <c r="AK613" s="314"/>
      <c r="AL613" s="314"/>
      <c r="AM613" s="314"/>
      <c r="AN613" s="314"/>
      <c r="AO613" s="314"/>
      <c r="AP613" s="314"/>
      <c r="AQ613" s="314"/>
      <c r="AR613" s="314"/>
      <c r="AS613" s="314"/>
      <c r="AT613" s="314"/>
      <c r="AU613" s="314"/>
      <c r="AV613" s="314"/>
      <c r="AW613" s="314"/>
      <c r="AX613" s="464" t="b">
        <f>AND(AV609&lt;&gt;"",SUM(AV609=1))</f>
        <v>0</v>
      </c>
      <c r="AY613" s="314"/>
      <c r="AZ613" s="314"/>
      <c r="BA613" s="314"/>
      <c r="BB613" s="314"/>
      <c r="BC613" s="314"/>
      <c r="BD613" s="314"/>
      <c r="BE613" s="314"/>
      <c r="BF613" s="361" t="s">
        <v>169</v>
      </c>
      <c r="BG613" s="362" t="str">
        <f>IF(AN598=EUconst_TJ,AV598*AV606,IF(AN600=EUconst_GJ,AV598*AV600/1000*AV606,""))</f>
        <v/>
      </c>
      <c r="BH613" s="314"/>
      <c r="BI613" s="314"/>
      <c r="BJ613" s="314"/>
      <c r="BK613" s="314"/>
      <c r="BL613" s="314"/>
      <c r="BM613" s="314"/>
      <c r="BN613" s="314"/>
      <c r="BO613" s="314"/>
      <c r="BP613" s="314"/>
      <c r="BQ613" s="314"/>
      <c r="BR613" s="314"/>
      <c r="BS613" s="314"/>
      <c r="BT613" s="314"/>
      <c r="BU613" s="314"/>
      <c r="BV613" s="314"/>
      <c r="BW613" s="314"/>
      <c r="BX613" s="314"/>
      <c r="BY613" s="314"/>
      <c r="BZ613" s="314"/>
      <c r="CA613" s="314"/>
      <c r="CB613" s="314"/>
      <c r="CC613" s="314"/>
      <c r="CD613" s="314"/>
      <c r="CE613" s="314"/>
      <c r="CF613" s="314"/>
      <c r="CG613" s="314"/>
      <c r="CH613" s="314"/>
      <c r="CI613" s="314"/>
      <c r="CJ613" s="314"/>
      <c r="CK613" s="314"/>
      <c r="CL613" s="314"/>
      <c r="CM613" s="314"/>
      <c r="CN613" s="314"/>
      <c r="CO613" s="314"/>
      <c r="CP613" s="314"/>
      <c r="CQ613" s="314"/>
    </row>
    <row r="614" spans="1:95" ht="5.15" customHeight="1" x14ac:dyDescent="0.25">
      <c r="A614" s="307"/>
      <c r="B614" s="68"/>
      <c r="C614" s="68"/>
      <c r="D614" s="68"/>
      <c r="E614" s="68"/>
      <c r="F614" s="68"/>
      <c r="G614" s="76"/>
      <c r="H614" s="76"/>
      <c r="I614" s="76"/>
      <c r="J614" s="76"/>
      <c r="K614" s="76"/>
      <c r="L614" s="76"/>
      <c r="M614" s="76"/>
      <c r="N614" s="76"/>
      <c r="O614" s="160"/>
      <c r="P614" s="109"/>
      <c r="Q614" s="312"/>
      <c r="R614" s="312"/>
      <c r="S614" s="314"/>
      <c r="T614" s="314"/>
      <c r="U614" s="314"/>
      <c r="V614" s="314"/>
      <c r="W614" s="314"/>
      <c r="X614" s="314"/>
      <c r="Y614" s="314"/>
      <c r="Z614" s="314"/>
      <c r="AA614" s="314"/>
      <c r="AB614" s="314"/>
      <c r="AC614" s="314"/>
      <c r="AD614" s="314"/>
      <c r="AE614" s="314"/>
      <c r="AF614" s="314"/>
      <c r="AG614" s="314"/>
      <c r="AH614" s="314"/>
      <c r="AI614" s="314"/>
      <c r="AJ614" s="314"/>
      <c r="AK614" s="314"/>
      <c r="AL614" s="314"/>
      <c r="AM614" s="314"/>
      <c r="AN614" s="314"/>
      <c r="AO614" s="314"/>
      <c r="AP614" s="314"/>
      <c r="AQ614" s="314"/>
      <c r="AR614" s="314"/>
      <c r="AS614" s="314"/>
      <c r="AT614" s="314"/>
      <c r="AU614" s="314"/>
      <c r="AV614" s="314"/>
      <c r="AW614" s="314"/>
      <c r="AX614" s="314"/>
      <c r="AY614" s="314"/>
      <c r="AZ614" s="314"/>
      <c r="BA614" s="314"/>
      <c r="BB614" s="314"/>
      <c r="BC614" s="314"/>
      <c r="BD614" s="314"/>
      <c r="BE614" s="314"/>
      <c r="BF614" s="314"/>
      <c r="BG614" s="314"/>
      <c r="BH614" s="314"/>
      <c r="BI614" s="314"/>
      <c r="BJ614" s="314"/>
      <c r="BK614" s="314"/>
      <c r="BL614" s="314"/>
      <c r="BM614" s="314"/>
      <c r="BN614" s="314"/>
      <c r="BO614" s="314"/>
      <c r="BP614" s="314"/>
      <c r="BQ614" s="314"/>
      <c r="BR614" s="314"/>
      <c r="BS614" s="314"/>
      <c r="BT614" s="314"/>
      <c r="BU614" s="314"/>
      <c r="BV614" s="314"/>
      <c r="BW614" s="314"/>
      <c r="BX614" s="314"/>
      <c r="BY614" s="314"/>
      <c r="BZ614" s="314"/>
      <c r="CA614" s="314"/>
      <c r="CB614" s="314"/>
      <c r="CC614" s="314"/>
      <c r="CD614" s="314"/>
      <c r="CE614" s="314"/>
      <c r="CF614" s="314"/>
      <c r="CG614" s="314"/>
      <c r="CH614" s="314"/>
      <c r="CI614" s="314"/>
      <c r="CJ614" s="314"/>
      <c r="CK614" s="314"/>
      <c r="CL614" s="314"/>
      <c r="CM614" s="314"/>
      <c r="CN614" s="314"/>
      <c r="CO614" s="314"/>
      <c r="CP614" s="314"/>
      <c r="CQ614" s="314"/>
    </row>
    <row r="615" spans="1:95" ht="12.75" customHeight="1" x14ac:dyDescent="0.25">
      <c r="A615" s="307"/>
      <c r="B615" s="68"/>
      <c r="C615" s="68"/>
      <c r="D615" s="1246" t="str">
        <f>Translations!$B$399</f>
        <v>Tiers valid from:</v>
      </c>
      <c r="E615" s="1246"/>
      <c r="F615" s="1247"/>
      <c r="G615" s="8"/>
      <c r="H615" s="199" t="str">
        <f>Translations!$B$400</f>
        <v>until:</v>
      </c>
      <c r="I615" s="8"/>
      <c r="J615" s="76"/>
      <c r="K615" s="76"/>
      <c r="L615" s="76"/>
      <c r="M615" s="199" t="str">
        <f>Translations!$B$401</f>
        <v>ID used in the monitoring plan for this fuel stream:</v>
      </c>
      <c r="N615" s="9"/>
      <c r="O615" s="160"/>
      <c r="P615" s="109"/>
      <c r="Q615" s="312"/>
      <c r="R615" s="312"/>
      <c r="S615" s="465"/>
      <c r="T615" s="314"/>
      <c r="U615" s="314"/>
      <c r="V615" s="314"/>
      <c r="W615" s="314"/>
      <c r="X615" s="314"/>
      <c r="Y615" s="314"/>
      <c r="Z615" s="314"/>
      <c r="AA615" s="314"/>
      <c r="AB615" s="314"/>
      <c r="AC615" s="314"/>
      <c r="AD615" s="314"/>
      <c r="AE615" s="314"/>
      <c r="AF615" s="314"/>
      <c r="AG615" s="314"/>
      <c r="AH615" s="314"/>
      <c r="AI615" s="314"/>
      <c r="AJ615" s="314"/>
      <c r="AK615" s="314"/>
      <c r="AL615" s="314"/>
      <c r="AM615" s="314"/>
      <c r="AN615" s="314"/>
      <c r="AO615" s="314"/>
      <c r="AP615" s="314"/>
      <c r="AQ615" s="314"/>
      <c r="AR615" s="314"/>
      <c r="AS615" s="314"/>
      <c r="AT615" s="314"/>
      <c r="AU615" s="314"/>
      <c r="AV615" s="314"/>
      <c r="AW615" s="314"/>
      <c r="AX615" s="314"/>
      <c r="AY615" s="314"/>
      <c r="AZ615" s="314"/>
      <c r="BA615" s="314"/>
      <c r="BB615" s="314"/>
      <c r="BC615" s="314"/>
      <c r="BD615" s="314"/>
      <c r="BE615" s="314"/>
      <c r="BF615" s="314"/>
      <c r="BG615" s="314"/>
      <c r="BH615" s="314"/>
      <c r="BI615" s="314"/>
      <c r="BJ615" s="314"/>
      <c r="BK615" s="314"/>
      <c r="BL615" s="314"/>
      <c r="BM615" s="314"/>
      <c r="BN615" s="314"/>
      <c r="BO615" s="314"/>
      <c r="BP615" s="314"/>
      <c r="BQ615" s="314"/>
      <c r="BR615" s="314"/>
      <c r="BS615" s="314"/>
      <c r="BT615" s="314"/>
      <c r="BU615" s="314"/>
      <c r="BV615" s="314"/>
      <c r="BW615" s="314"/>
      <c r="BX615" s="314"/>
      <c r="BY615" s="314"/>
      <c r="BZ615" s="314"/>
      <c r="CA615" s="314"/>
      <c r="CB615" s="314"/>
      <c r="CC615" s="314"/>
      <c r="CD615" s="314"/>
      <c r="CE615" s="314"/>
      <c r="CF615" s="314"/>
      <c r="CG615" s="314"/>
      <c r="CH615" s="314"/>
      <c r="CI615" s="314"/>
      <c r="CJ615" s="314"/>
      <c r="CK615" s="314"/>
      <c r="CL615" s="314"/>
      <c r="CM615" s="314"/>
      <c r="CN615" s="314"/>
      <c r="CO615" s="314"/>
      <c r="CP615" s="314"/>
      <c r="CQ615" s="464" t="b">
        <f>CQ598</f>
        <v>0</v>
      </c>
    </row>
    <row r="616" spans="1:95" ht="5.15" customHeight="1" x14ac:dyDescent="0.25">
      <c r="A616" s="462"/>
      <c r="B616" s="76"/>
      <c r="C616" s="76"/>
      <c r="D616" s="76"/>
      <c r="E616" s="76"/>
      <c r="F616" s="76"/>
      <c r="G616" s="76"/>
      <c r="H616" s="76"/>
      <c r="I616" s="76"/>
      <c r="J616" s="76"/>
      <c r="K616" s="76"/>
      <c r="L616" s="76"/>
      <c r="M616" s="76"/>
      <c r="N616" s="76"/>
      <c r="O616" s="160"/>
      <c r="P616" s="109"/>
      <c r="Q616" s="312"/>
      <c r="R616" s="312"/>
      <c r="S616" s="314"/>
      <c r="T616" s="314"/>
      <c r="U616" s="314"/>
      <c r="V616" s="314"/>
      <c r="W616" s="314"/>
      <c r="X616" s="314"/>
      <c r="Y616" s="314"/>
      <c r="Z616" s="314"/>
      <c r="AA616" s="314"/>
      <c r="AB616" s="314"/>
      <c r="AC616" s="314"/>
      <c r="AD616" s="314"/>
      <c r="AE616" s="314"/>
      <c r="AF616" s="314"/>
      <c r="AG616" s="314"/>
      <c r="AH616" s="314"/>
      <c r="AI616" s="314"/>
      <c r="AJ616" s="314"/>
      <c r="AK616" s="314"/>
      <c r="AL616" s="314"/>
      <c r="AM616" s="314"/>
      <c r="AN616" s="314"/>
      <c r="AO616" s="314"/>
      <c r="AP616" s="314"/>
      <c r="AQ616" s="314"/>
      <c r="AR616" s="314"/>
      <c r="AS616" s="314"/>
      <c r="AT616" s="314"/>
      <c r="AU616" s="314"/>
      <c r="AV616" s="314"/>
      <c r="AW616" s="314"/>
      <c r="AX616" s="314"/>
      <c r="AY616" s="314"/>
      <c r="AZ616" s="314"/>
      <c r="BA616" s="314"/>
      <c r="BB616" s="314"/>
      <c r="BC616" s="314"/>
      <c r="BD616" s="314"/>
      <c r="BE616" s="314"/>
      <c r="BF616" s="314"/>
      <c r="BG616" s="314"/>
      <c r="BH616" s="314"/>
      <c r="BI616" s="314"/>
      <c r="BJ616" s="314"/>
      <c r="BK616" s="314"/>
      <c r="BL616" s="314"/>
      <c r="BM616" s="314"/>
      <c r="BN616" s="314"/>
      <c r="BO616" s="314"/>
      <c r="BP616" s="314"/>
      <c r="BQ616" s="314"/>
      <c r="BR616" s="314"/>
      <c r="BS616" s="314"/>
      <c r="BT616" s="314"/>
      <c r="BU616" s="314"/>
      <c r="BV616" s="314"/>
      <c r="BW616" s="314"/>
      <c r="BX616" s="314"/>
      <c r="BY616" s="314"/>
      <c r="BZ616" s="314"/>
      <c r="CA616" s="314"/>
      <c r="CB616" s="314"/>
      <c r="CC616" s="314"/>
      <c r="CD616" s="314"/>
      <c r="CE616" s="314"/>
      <c r="CF616" s="314"/>
      <c r="CG616" s="314"/>
      <c r="CH616" s="314"/>
      <c r="CI616" s="314"/>
      <c r="CJ616" s="314"/>
      <c r="CK616" s="314"/>
      <c r="CL616" s="314"/>
      <c r="CM616" s="314"/>
      <c r="CN616" s="314"/>
      <c r="CO616" s="314"/>
      <c r="CP616" s="314"/>
      <c r="CQ616" s="314"/>
    </row>
    <row r="617" spans="1:95" ht="12.75" customHeight="1" x14ac:dyDescent="0.25">
      <c r="A617" s="462"/>
      <c r="B617" s="76"/>
      <c r="C617" s="76"/>
      <c r="D617" s="115"/>
      <c r="E617" s="85"/>
      <c r="F617" s="466" t="str">
        <f>Translations!$B$304</f>
        <v>Comments:</v>
      </c>
      <c r="G617" s="1250"/>
      <c r="H617" s="1251"/>
      <c r="I617" s="1251"/>
      <c r="J617" s="1251"/>
      <c r="K617" s="1251"/>
      <c r="L617" s="1251"/>
      <c r="M617" s="1251"/>
      <c r="N617" s="1252"/>
      <c r="O617" s="160"/>
      <c r="P617" s="109"/>
      <c r="Q617" s="312"/>
      <c r="R617" s="312"/>
      <c r="S617" s="314"/>
      <c r="T617" s="314"/>
      <c r="U617" s="314"/>
      <c r="V617" s="314"/>
      <c r="W617" s="314"/>
      <c r="X617" s="314"/>
      <c r="Y617" s="314"/>
      <c r="Z617" s="314"/>
      <c r="AA617" s="314"/>
      <c r="AB617" s="314"/>
      <c r="AC617" s="314"/>
      <c r="AD617" s="314"/>
      <c r="AE617" s="314"/>
      <c r="AF617" s="314"/>
      <c r="AG617" s="314"/>
      <c r="AH617" s="314"/>
      <c r="AI617" s="314"/>
      <c r="AJ617" s="314"/>
      <c r="AK617" s="314"/>
      <c r="AL617" s="314"/>
      <c r="AM617" s="314"/>
      <c r="AN617" s="314"/>
      <c r="AO617" s="314"/>
      <c r="AP617" s="314"/>
      <c r="AQ617" s="314"/>
      <c r="AR617" s="314"/>
      <c r="AS617" s="314"/>
      <c r="AT617" s="314"/>
      <c r="AU617" s="314"/>
      <c r="AV617" s="314"/>
      <c r="AW617" s="314"/>
      <c r="AX617" s="314"/>
      <c r="AY617" s="314"/>
      <c r="AZ617" s="314"/>
      <c r="BA617" s="314"/>
      <c r="BB617" s="314"/>
      <c r="BC617" s="314"/>
      <c r="BD617" s="314"/>
      <c r="BE617" s="314"/>
      <c r="BF617" s="314"/>
      <c r="BG617" s="314"/>
      <c r="BH617" s="314"/>
      <c r="BI617" s="314"/>
      <c r="BJ617" s="314"/>
      <c r="BK617" s="314"/>
      <c r="BL617" s="314"/>
      <c r="BM617" s="314"/>
      <c r="BN617" s="314"/>
      <c r="BO617" s="314"/>
      <c r="BP617" s="314"/>
      <c r="BQ617" s="314"/>
      <c r="BR617" s="314"/>
      <c r="BS617" s="314"/>
      <c r="BT617" s="314"/>
      <c r="BU617" s="314"/>
      <c r="BV617" s="314"/>
      <c r="BW617" s="314"/>
      <c r="BX617" s="314"/>
      <c r="BY617" s="314"/>
      <c r="BZ617" s="314"/>
      <c r="CA617" s="314"/>
      <c r="CB617" s="314"/>
      <c r="CC617" s="314"/>
      <c r="CD617" s="314"/>
      <c r="CE617" s="314"/>
      <c r="CF617" s="314"/>
      <c r="CG617" s="314"/>
      <c r="CH617" s="314"/>
      <c r="CI617" s="314"/>
      <c r="CJ617" s="314"/>
      <c r="CK617" s="314"/>
      <c r="CL617" s="314"/>
      <c r="CM617" s="314"/>
      <c r="CN617" s="314"/>
      <c r="CO617" s="314"/>
      <c r="CP617" s="314"/>
      <c r="CQ617" s="464" t="b">
        <f>CQ615</f>
        <v>0</v>
      </c>
    </row>
    <row r="618" spans="1:95" ht="12.75" customHeight="1" thickBot="1" x14ac:dyDescent="0.3">
      <c r="A618" s="307"/>
      <c r="B618" s="76"/>
      <c r="C618" s="308"/>
      <c r="D618" s="309"/>
      <c r="E618" s="310"/>
      <c r="F618" s="308"/>
      <c r="G618" s="311"/>
      <c r="H618" s="311"/>
      <c r="I618" s="311"/>
      <c r="J618" s="311"/>
      <c r="K618" s="311"/>
      <c r="L618" s="311"/>
      <c r="M618" s="311"/>
      <c r="N618" s="311"/>
      <c r="O618" s="160"/>
      <c r="P618" s="109"/>
      <c r="Q618" s="312"/>
      <c r="R618" s="312"/>
      <c r="S618" s="293"/>
      <c r="T618" s="293"/>
      <c r="U618" s="313"/>
      <c r="V618" s="293"/>
      <c r="W618" s="293"/>
      <c r="X618" s="313"/>
      <c r="Y618" s="293"/>
      <c r="Z618" s="293"/>
      <c r="AA618" s="293"/>
      <c r="AB618" s="293"/>
      <c r="AC618" s="293"/>
      <c r="AD618" s="293"/>
      <c r="AE618" s="293"/>
      <c r="AF618" s="293"/>
      <c r="AG618" s="293"/>
      <c r="AH618" s="293"/>
      <c r="AI618" s="293"/>
      <c r="AJ618" s="293"/>
      <c r="AK618" s="293"/>
      <c r="AL618" s="293"/>
      <c r="AM618" s="293"/>
      <c r="AN618" s="293"/>
      <c r="AO618" s="293"/>
      <c r="AP618" s="293"/>
      <c r="AQ618" s="293"/>
      <c r="AR618" s="293"/>
      <c r="AS618" s="293"/>
      <c r="AT618" s="293"/>
      <c r="AU618" s="293"/>
      <c r="AV618" s="293"/>
      <c r="AW618" s="293"/>
      <c r="AX618" s="293"/>
      <c r="AY618" s="293"/>
      <c r="AZ618" s="293"/>
      <c r="BA618" s="293"/>
      <c r="BB618" s="293"/>
      <c r="BC618" s="293"/>
      <c r="BD618" s="293"/>
      <c r="BE618" s="293"/>
      <c r="BF618" s="293"/>
      <c r="BG618" s="293"/>
      <c r="BH618" s="293"/>
      <c r="BI618" s="293"/>
      <c r="BJ618" s="293"/>
      <c r="BK618" s="293"/>
      <c r="BL618" s="293"/>
      <c r="BM618" s="314"/>
      <c r="BN618" s="314"/>
      <c r="BO618" s="314"/>
      <c r="BP618" s="314"/>
      <c r="BQ618" s="314"/>
      <c r="BR618" s="314"/>
      <c r="BS618" s="314"/>
      <c r="BT618" s="314"/>
      <c r="BU618" s="293"/>
      <c r="BV618" s="293"/>
      <c r="BW618" s="293"/>
      <c r="BX618" s="293"/>
      <c r="BY618" s="293"/>
      <c r="BZ618" s="293"/>
      <c r="CA618" s="293"/>
      <c r="CB618" s="293"/>
      <c r="CC618" s="293"/>
      <c r="CD618" s="293"/>
      <c r="CE618" s="293"/>
      <c r="CF618" s="293"/>
      <c r="CG618" s="293"/>
      <c r="CH618" s="293"/>
      <c r="CI618" s="293"/>
      <c r="CJ618" s="293"/>
      <c r="CK618" s="293"/>
      <c r="CL618" s="293"/>
      <c r="CM618" s="293"/>
      <c r="CN618" s="293"/>
      <c r="CO618" s="293"/>
      <c r="CP618" s="293"/>
      <c r="CQ618" s="293"/>
    </row>
    <row r="619" spans="1:95" ht="12.75" customHeight="1" thickBot="1" x14ac:dyDescent="0.3">
      <c r="A619" s="315"/>
      <c r="B619" s="76"/>
      <c r="C619" s="76"/>
      <c r="D619" s="205"/>
      <c r="E619" s="316"/>
      <c r="F619" s="76"/>
      <c r="G619" s="96"/>
      <c r="H619" s="96"/>
      <c r="I619" s="96"/>
      <c r="J619" s="96"/>
      <c r="K619" s="76"/>
      <c r="L619" s="96"/>
      <c r="M619" s="96"/>
      <c r="N619" s="96"/>
      <c r="O619" s="160"/>
      <c r="P619" s="109"/>
      <c r="Q619" s="312"/>
      <c r="R619" s="312"/>
      <c r="S619" s="287"/>
      <c r="T619" s="317" t="str">
        <f>IF(ISBLANK(E620),"",MATCH(E620,CNTR_SourceStreamNames,0))</f>
        <v/>
      </c>
      <c r="U619" s="318" t="str">
        <f>IF(ISBLANK(E620),"",INDEX(B_IdentifyFuelStreams!$D$67:$D$116,MATCH(E620,CNTR_SourceStreamNames,0)))</f>
        <v/>
      </c>
      <c r="V619" s="301"/>
      <c r="W619" s="138"/>
      <c r="X619" s="138"/>
      <c r="Y619" s="138"/>
      <c r="Z619" s="293"/>
      <c r="AA619" s="293"/>
      <c r="AB619" s="293"/>
      <c r="AC619" s="293"/>
      <c r="AD619" s="293"/>
      <c r="AE619" s="293"/>
      <c r="AF619" s="293"/>
      <c r="AG619" s="293"/>
      <c r="AH619" s="293"/>
      <c r="AI619" s="293"/>
      <c r="AJ619" s="293"/>
      <c r="AK619" s="312"/>
      <c r="AL619" s="293"/>
      <c r="AM619" s="293"/>
      <c r="AN619" s="293"/>
      <c r="AO619" s="293"/>
      <c r="AP619" s="293"/>
      <c r="AQ619" s="293"/>
      <c r="AR619" s="293"/>
      <c r="AS619" s="293"/>
      <c r="AT619" s="293"/>
      <c r="AU619" s="293"/>
      <c r="AV619" s="293"/>
      <c r="AW619" s="293"/>
      <c r="AX619" s="293"/>
      <c r="AY619" s="293"/>
      <c r="AZ619" s="293"/>
      <c r="BA619" s="293"/>
      <c r="BB619" s="293"/>
      <c r="BC619" s="293"/>
      <c r="BD619" s="293"/>
      <c r="BE619" s="293"/>
      <c r="BF619" s="293"/>
      <c r="BG619" s="293"/>
      <c r="BH619" s="293"/>
      <c r="BI619" s="293"/>
      <c r="BJ619" s="138"/>
      <c r="BK619" s="138"/>
      <c r="BL619" s="138"/>
      <c r="BM619" s="138"/>
      <c r="BN619" s="138"/>
      <c r="BO619" s="138"/>
      <c r="BP619" s="138"/>
      <c r="BQ619" s="138"/>
      <c r="BR619" s="138"/>
      <c r="BS619" s="138"/>
      <c r="BT619" s="138"/>
      <c r="BU619" s="138"/>
      <c r="BV619" s="138"/>
      <c r="BW619" s="138"/>
      <c r="BX619" s="138"/>
      <c r="BY619" s="138"/>
      <c r="BZ619" s="138"/>
      <c r="CA619" s="138"/>
      <c r="CB619" s="138"/>
      <c r="CC619" s="138"/>
      <c r="CD619" s="138"/>
      <c r="CE619" s="138"/>
      <c r="CF619" s="138"/>
      <c r="CG619" s="138"/>
      <c r="CH619" s="138"/>
      <c r="CI619" s="138"/>
      <c r="CJ619" s="138"/>
      <c r="CK619" s="138"/>
      <c r="CL619" s="138"/>
      <c r="CM619" s="138"/>
      <c r="CN619" s="138"/>
      <c r="CO619" s="138"/>
      <c r="CP619" s="138"/>
      <c r="CQ619" s="319" t="s">
        <v>107</v>
      </c>
    </row>
    <row r="620" spans="1:95" ht="15" customHeight="1" thickBot="1" x14ac:dyDescent="0.3">
      <c r="A620" s="320">
        <f>C620</f>
        <v>21</v>
      </c>
      <c r="B620" s="68"/>
      <c r="C620" s="321">
        <f>C592+1</f>
        <v>21</v>
      </c>
      <c r="D620" s="68"/>
      <c r="E620" s="1269"/>
      <c r="F620" s="1270"/>
      <c r="G620" s="1270"/>
      <c r="H620" s="1270"/>
      <c r="I620" s="1270"/>
      <c r="J620" s="1271"/>
      <c r="K620" s="1272" t="str">
        <f>IF(INDEX(B_IdentifyFuelStreams!$K$125:$K$174,MATCH(U619,B_IdentifyFuelStreams!$D$125:$D$174,0))&gt;0,INDEX(B_IdentifyFuelStreams!$K$125:$K$174,MATCH(U619,B_IdentifyFuelStreams!$D$125:$D$174,0)),"")</f>
        <v/>
      </c>
      <c r="L620" s="1273"/>
      <c r="M620" s="316" t="str">
        <f>Translations!$B$621</f>
        <v>Emissions:</v>
      </c>
      <c r="N620" s="322" t="str">
        <f>IF(E621="","",BG626)</f>
        <v/>
      </c>
      <c r="O620" s="323" t="str">
        <f>EUconst_tCO2</f>
        <v>tCO2</v>
      </c>
      <c r="P620" s="324" t="str">
        <f>IF(AND(E620&lt;&gt;"",COUNTIF(P621:$P$1649,"PRINT")=0),"PRINT","")</f>
        <v/>
      </c>
      <c r="Q620" s="325" t="str">
        <f>EUconst_SumCO2</f>
        <v>SUM_CO2</v>
      </c>
      <c r="R620" s="312"/>
      <c r="S620" s="287"/>
      <c r="T620" s="287"/>
      <c r="U620" s="287"/>
      <c r="V620" s="301"/>
      <c r="W620" s="138"/>
      <c r="X620" s="293"/>
      <c r="Y620" s="293"/>
      <c r="Z620" s="293"/>
      <c r="AA620" s="293"/>
      <c r="AB620" s="293"/>
      <c r="AC620" s="293"/>
      <c r="AD620" s="293"/>
      <c r="AE620" s="293"/>
      <c r="AF620" s="293"/>
      <c r="AG620" s="293"/>
      <c r="AH620" s="293"/>
      <c r="AI620" s="326"/>
      <c r="AJ620" s="326"/>
      <c r="AK620" s="326"/>
      <c r="AL620" s="326"/>
      <c r="AM620" s="326"/>
      <c r="AN620" s="326"/>
      <c r="AO620" s="326"/>
      <c r="AP620" s="326"/>
      <c r="AQ620" s="326"/>
      <c r="AR620" s="326"/>
      <c r="AS620" s="326"/>
      <c r="AT620" s="326"/>
      <c r="AU620" s="326"/>
      <c r="AV620" s="326"/>
      <c r="AW620" s="326"/>
      <c r="AX620" s="326"/>
      <c r="AY620" s="326"/>
      <c r="AZ620" s="326"/>
      <c r="BA620" s="326"/>
      <c r="BB620" s="326"/>
      <c r="BC620" s="326"/>
      <c r="BD620" s="326"/>
      <c r="BE620" s="326"/>
      <c r="BF620" s="326"/>
      <c r="BG620" s="326"/>
      <c r="BH620" s="326"/>
      <c r="BI620" s="327" t="str">
        <f>IF(E620="","",E620)</f>
        <v/>
      </c>
      <c r="BJ620" s="328" t="str">
        <f>IF(F626="","",F626)</f>
        <v/>
      </c>
      <c r="BK620" s="329">
        <f>AV626</f>
        <v>0</v>
      </c>
      <c r="BL620" s="329">
        <f>IF(BK620="","",BK620*(1-BP620))</f>
        <v>0</v>
      </c>
      <c r="BM620" s="328" t="str">
        <f>AJ626</f>
        <v/>
      </c>
      <c r="BN620" s="328" t="str">
        <f>IF(F637="","",F637)</f>
        <v/>
      </c>
      <c r="BO620" s="327" t="str">
        <f>IF(G637="","",G637)</f>
        <v/>
      </c>
      <c r="BP620" s="330">
        <f>AV637</f>
        <v>0</v>
      </c>
      <c r="BQ620" s="328" t="str">
        <f>IF(F629="","",F629)</f>
        <v/>
      </c>
      <c r="BR620" s="330">
        <f>AV629</f>
        <v>0</v>
      </c>
      <c r="BS620" s="330" t="str">
        <f>AJ629</f>
        <v/>
      </c>
      <c r="BT620" s="328" t="str">
        <f>IF(F628="","",F628)</f>
        <v/>
      </c>
      <c r="BU620" s="330">
        <f>IF(F628=EUconst_NA,"",AV628)</f>
        <v>0</v>
      </c>
      <c r="BV620" s="330" t="str">
        <f>AJ628</f>
        <v/>
      </c>
      <c r="BW620" s="328" t="str">
        <f>IF(F630="","",F630)</f>
        <v/>
      </c>
      <c r="BX620" s="330">
        <f>AV630</f>
        <v>0</v>
      </c>
      <c r="BY620" s="328" t="str">
        <f>IF(F631="","",F631)</f>
        <v/>
      </c>
      <c r="BZ620" s="330">
        <f>AV631</f>
        <v>0</v>
      </c>
      <c r="CA620" s="330">
        <f>AV632</f>
        <v>0</v>
      </c>
      <c r="CB620" s="330">
        <f>AV633</f>
        <v>0</v>
      </c>
      <c r="CC620" s="330">
        <f>AV634</f>
        <v>0</v>
      </c>
      <c r="CD620" s="330">
        <f>AV635</f>
        <v>0</v>
      </c>
      <c r="CE620" s="329" t="str">
        <f>BG626</f>
        <v/>
      </c>
      <c r="CF620" s="329" t="str">
        <f>BG628</f>
        <v/>
      </c>
      <c r="CG620" s="329" t="str">
        <f>BG629</f>
        <v/>
      </c>
      <c r="CH620" s="329" t="str">
        <f>BG630</f>
        <v/>
      </c>
      <c r="CI620" s="329" t="str">
        <f>BG631</f>
        <v/>
      </c>
      <c r="CJ620" s="329" t="str">
        <f>BG632</f>
        <v/>
      </c>
      <c r="CK620" s="329" t="str">
        <f>BG633</f>
        <v/>
      </c>
      <c r="CL620" s="329">
        <f>BG634</f>
        <v>0</v>
      </c>
      <c r="CM620" s="329" t="str">
        <f>BG635</f>
        <v/>
      </c>
      <c r="CN620" s="329" t="str">
        <f>BG637</f>
        <v/>
      </c>
      <c r="CO620" s="329" t="str">
        <f>BG641</f>
        <v/>
      </c>
      <c r="CP620" s="329" t="str">
        <f>IF(COUNTIF(AO629:AO630,TRUE)=0,"",BH626)</f>
        <v/>
      </c>
      <c r="CQ620" s="331" t="b">
        <v>0</v>
      </c>
    </row>
    <row r="621" spans="1:95" ht="15" customHeight="1" thickBot="1" x14ac:dyDescent="0.3">
      <c r="A621" s="307"/>
      <c r="B621" s="68"/>
      <c r="C621" s="68"/>
      <c r="D621" s="68"/>
      <c r="E621" s="1274" t="str">
        <f>IF(ISBLANK(E620),"",IF(INDEX(B_IdentifyFuelStreams!$E$67:$E$116,MATCH(U619,B_IdentifyFuelStreams!$D$67:$D$116,0))&gt;0,INDEX(B_IdentifyFuelStreams!$E$67:$E$116,MATCH(U619,B_IdentifyFuelStreams!$D$67:$D$116,0)),""))</f>
        <v/>
      </c>
      <c r="F621" s="1275"/>
      <c r="G621" s="1275"/>
      <c r="H621" s="1275"/>
      <c r="I621" s="1275"/>
      <c r="J621" s="1276"/>
      <c r="K621" s="1272" t="str">
        <f>IF(INDEX(B_IdentifyFuelStreams!$M$125:$M$174,MATCH(U619,B_IdentifyFuelStreams!$D$125:$D$174,0))&gt;0,INDEX(B_IdentifyFuelStreams!$M$125:$M$174,MATCH(U619,B_IdentifyFuelStreams!$D$125:$D$174,0)),"")</f>
        <v/>
      </c>
      <c r="L621" s="1273"/>
      <c r="M621" s="332" t="str">
        <f>Translations!$B$622</f>
        <v>zero-rated:</v>
      </c>
      <c r="N621" s="333" t="str">
        <f>IF(E621="","",SUM(BG628,BG630,BG632))</f>
        <v/>
      </c>
      <c r="O621" s="334" t="str">
        <f>EUconst_tCO2</f>
        <v>tCO2</v>
      </c>
      <c r="P621" s="109"/>
      <c r="Q621" s="325" t="str">
        <f>EUconst_SumBioCO2</f>
        <v>SUM_bioCO2</v>
      </c>
      <c r="R621" s="312"/>
      <c r="S621" s="287"/>
      <c r="T621" s="287"/>
      <c r="U621" s="287"/>
      <c r="V621" s="301"/>
      <c r="W621" s="138"/>
      <c r="X621" s="293"/>
      <c r="Y621" s="317" t="str">
        <f>Translations!$B$143</f>
        <v>Tiers</v>
      </c>
      <c r="Z621" s="314"/>
      <c r="AA621" s="314"/>
      <c r="AB621" s="314"/>
      <c r="AC621" s="314"/>
      <c r="AD621" s="314"/>
      <c r="AE621" s="317" t="s">
        <v>108</v>
      </c>
      <c r="AF621" s="293"/>
      <c r="AG621" s="335"/>
      <c r="AH621" s="314"/>
      <c r="AI621" s="314"/>
      <c r="AJ621" s="335"/>
      <c r="AK621" s="335"/>
      <c r="AL621" s="326"/>
      <c r="AM621" s="326"/>
      <c r="AN621" s="326"/>
      <c r="AO621" s="326"/>
      <c r="AP621" s="326"/>
      <c r="AQ621" s="317" t="s">
        <v>109</v>
      </c>
      <c r="AR621" s="336"/>
      <c r="AS621" s="336"/>
      <c r="AT621" s="314"/>
      <c r="AU621" s="314"/>
      <c r="AV621" s="314"/>
      <c r="AW621" s="314"/>
      <c r="AX621" s="314"/>
      <c r="AY621" s="314"/>
      <c r="AZ621" s="317" t="s">
        <v>110</v>
      </c>
      <c r="BA621" s="314"/>
      <c r="BB621" s="314"/>
      <c r="BC621" s="314"/>
      <c r="BD621" s="314"/>
      <c r="BE621" s="314"/>
      <c r="BF621" s="317" t="s">
        <v>111</v>
      </c>
      <c r="BG621" s="314"/>
      <c r="BH621" s="314"/>
      <c r="BI621" s="317" t="s">
        <v>112</v>
      </c>
      <c r="BJ621" s="328" t="str">
        <f>Translations!$B$376</f>
        <v>RFA Tier</v>
      </c>
      <c r="BK621" s="328" t="str">
        <f>Translations!$B$377</f>
        <v>RFA</v>
      </c>
      <c r="BL621" s="328" t="str">
        <f>Translations!$B$378</f>
        <v>RFA (in scope)</v>
      </c>
      <c r="BM621" s="328" t="str">
        <f>Translations!$B$379</f>
        <v>RFA Unit</v>
      </c>
      <c r="BN621" s="328" t="str">
        <f>Translations!$B$380</f>
        <v>SF Tier</v>
      </c>
      <c r="BO621" s="328" t="str">
        <f>Translations!$B$380</f>
        <v>SF Tier</v>
      </c>
      <c r="BP621" s="328" t="str">
        <f>Translations!$B$381</f>
        <v>SF</v>
      </c>
      <c r="BQ621" s="328" t="str">
        <f>Translations!$B$382</f>
        <v>EF Tier</v>
      </c>
      <c r="BR621" s="328" t="str">
        <f>Translations!$B$383</f>
        <v>EF</v>
      </c>
      <c r="BS621" s="328" t="str">
        <f>Translations!$B$384</f>
        <v>EF Unit</v>
      </c>
      <c r="BT621" s="328" t="str">
        <f>Translations!$B$385</f>
        <v>UCF Tier</v>
      </c>
      <c r="BU621" s="328" t="str">
        <f>Translations!$B$386</f>
        <v>UCF</v>
      </c>
      <c r="BV621" s="328" t="str">
        <f>Translations!$B$387</f>
        <v>UCF Unit</v>
      </c>
      <c r="BW621" s="328" t="str">
        <f>Translations!$B$388</f>
        <v>Bio Tier</v>
      </c>
      <c r="BX621" s="328" t="s">
        <v>113</v>
      </c>
      <c r="BY621" s="328" t="str">
        <f>Translations!$B$389</f>
        <v>NonSustBio Tier</v>
      </c>
      <c r="BZ621" s="328" t="s">
        <v>114</v>
      </c>
      <c r="CA621" s="328" t="s">
        <v>115</v>
      </c>
      <c r="CB621" s="328" t="s">
        <v>116</v>
      </c>
      <c r="CC621" s="328" t="s">
        <v>117</v>
      </c>
      <c r="CD621" s="328" t="s">
        <v>118</v>
      </c>
      <c r="CE621" s="328" t="s">
        <v>119</v>
      </c>
      <c r="CF621" s="328" t="s">
        <v>120</v>
      </c>
      <c r="CG621" s="328" t="str">
        <f>Translations!$B$392</f>
        <v>CO2 non-sust</v>
      </c>
      <c r="CH621" s="328" t="s">
        <v>121</v>
      </c>
      <c r="CI621" s="328" t="s">
        <v>122</v>
      </c>
      <c r="CJ621" s="328" t="s">
        <v>123</v>
      </c>
      <c r="CK621" s="328" t="s">
        <v>124</v>
      </c>
      <c r="CL621" s="328" t="s">
        <v>125</v>
      </c>
      <c r="CM621" s="328" t="str">
        <f>Translations!$B$551</f>
        <v>Energy content (bio), TJ</v>
      </c>
      <c r="CN621" s="328" t="s">
        <v>126</v>
      </c>
      <c r="CO621" s="328" t="s">
        <v>127</v>
      </c>
      <c r="CP621" s="328" t="s">
        <v>128</v>
      </c>
      <c r="CQ621" s="314"/>
    </row>
    <row r="622" spans="1:95" ht="5.15" customHeight="1" thickBot="1" x14ac:dyDescent="0.3">
      <c r="A622" s="307"/>
      <c r="B622" s="68"/>
      <c r="C622" s="68"/>
      <c r="D622" s="68"/>
      <c r="E622" s="68"/>
      <c r="F622" s="68"/>
      <c r="G622" s="68"/>
      <c r="H622" s="76"/>
      <c r="I622" s="76"/>
      <c r="J622" s="76"/>
      <c r="K622" s="76"/>
      <c r="L622" s="76"/>
      <c r="M622" s="76"/>
      <c r="N622" s="76"/>
      <c r="O622" s="160"/>
      <c r="P622" s="109"/>
      <c r="Q622" s="312"/>
      <c r="R622" s="312"/>
      <c r="S622" s="287"/>
      <c r="T622" s="287"/>
      <c r="U622" s="287"/>
      <c r="V622" s="301"/>
      <c r="W622" s="314"/>
      <c r="X622" s="314"/>
      <c r="Y622" s="312"/>
      <c r="Z622" s="314"/>
      <c r="AA622" s="314"/>
      <c r="AB622" s="314"/>
      <c r="AC622" s="314"/>
      <c r="AD622" s="314"/>
      <c r="AE622" s="314"/>
      <c r="AF622" s="293"/>
      <c r="AG622" s="314"/>
      <c r="AH622" s="314"/>
      <c r="AI622" s="314"/>
      <c r="AJ622" s="335"/>
      <c r="AK622" s="335"/>
      <c r="AL622" s="326"/>
      <c r="AM622" s="326"/>
      <c r="AN622" s="326"/>
      <c r="AO622" s="326"/>
      <c r="AP622" s="326"/>
      <c r="AQ622" s="314"/>
      <c r="AR622" s="314"/>
      <c r="AS622" s="314"/>
      <c r="AT622" s="314"/>
      <c r="AU622" s="314"/>
      <c r="AV622" s="314"/>
      <c r="AW622" s="314"/>
      <c r="AX622" s="314"/>
      <c r="AY622" s="314"/>
      <c r="AZ622" s="314"/>
      <c r="BA622" s="314"/>
      <c r="BB622" s="314"/>
      <c r="BC622" s="314"/>
      <c r="BD622" s="314"/>
      <c r="BE622" s="314"/>
      <c r="BF622" s="314"/>
      <c r="BG622" s="314"/>
      <c r="BH622" s="314"/>
      <c r="BI622" s="314"/>
      <c r="BJ622" s="314"/>
      <c r="BK622" s="314"/>
      <c r="BL622" s="314"/>
      <c r="BM622" s="314"/>
      <c r="BN622" s="314"/>
      <c r="BO622" s="314"/>
      <c r="BP622" s="314"/>
      <c r="BQ622" s="314"/>
      <c r="BR622" s="314"/>
      <c r="BS622" s="314"/>
      <c r="BT622" s="314"/>
      <c r="BU622" s="314"/>
      <c r="BV622" s="314"/>
      <c r="BW622" s="314"/>
      <c r="BX622" s="314"/>
      <c r="BY622" s="314"/>
      <c r="BZ622" s="314"/>
      <c r="CA622" s="314"/>
      <c r="CB622" s="314"/>
      <c r="CC622" s="314"/>
      <c r="CD622" s="314"/>
      <c r="CE622" s="314"/>
      <c r="CF622" s="314"/>
      <c r="CG622" s="314"/>
      <c r="CH622" s="314"/>
      <c r="CI622" s="314"/>
      <c r="CJ622" s="314"/>
      <c r="CK622" s="314"/>
      <c r="CL622" s="314"/>
      <c r="CM622" s="314"/>
      <c r="CN622" s="314"/>
      <c r="CO622" s="314"/>
      <c r="CP622" s="314"/>
      <c r="CQ622" s="314"/>
    </row>
    <row r="623" spans="1:95" ht="12.75" customHeight="1" thickBot="1" x14ac:dyDescent="0.3">
      <c r="A623" s="307"/>
      <c r="B623" s="68"/>
      <c r="C623" s="68"/>
      <c r="D623" s="68"/>
      <c r="E623" s="1253" t="str">
        <f>IF(E620="","",HYPERLINK("#JUMP_E_Top",EUconst_FurtherGuidancePoint1))</f>
        <v/>
      </c>
      <c r="F623" s="1253"/>
      <c r="G623" s="1253"/>
      <c r="H623" s="1253"/>
      <c r="I623" s="1253"/>
      <c r="J623" s="1253"/>
      <c r="K623" s="1253"/>
      <c r="L623" s="1253"/>
      <c r="M623" s="1253"/>
      <c r="N623" s="76"/>
      <c r="O623" s="160"/>
      <c r="P623" s="109"/>
      <c r="Q623" s="325" t="str">
        <f>EUconst_SumNonSustBioCO2</f>
        <v>SUM_bioNonSustCO2</v>
      </c>
      <c r="R623" s="337" t="str">
        <f>IF(E621="","",BG629)</f>
        <v/>
      </c>
      <c r="S623" s="287"/>
      <c r="T623" s="287"/>
      <c r="U623" s="287"/>
      <c r="V623" s="314"/>
      <c r="W623" s="314"/>
      <c r="X623" s="314"/>
      <c r="Y623" s="293"/>
      <c r="Z623" s="314"/>
      <c r="AA623" s="314"/>
      <c r="AB623" s="314"/>
      <c r="AC623" s="314"/>
      <c r="AD623" s="314"/>
      <c r="AE623" s="314"/>
      <c r="AF623" s="293"/>
      <c r="AG623" s="314"/>
      <c r="AH623" s="314"/>
      <c r="AI623" s="314"/>
      <c r="AJ623" s="335"/>
      <c r="AK623" s="335"/>
      <c r="AL623" s="326"/>
      <c r="AM623" s="326"/>
      <c r="AN623" s="326"/>
      <c r="AO623" s="326"/>
      <c r="AP623" s="326"/>
      <c r="AQ623" s="314"/>
      <c r="AR623" s="314"/>
      <c r="AS623" s="314"/>
      <c r="AT623" s="314"/>
      <c r="AU623" s="314"/>
      <c r="AV623" s="314"/>
      <c r="AW623" s="314"/>
      <c r="AX623" s="314"/>
      <c r="AY623" s="314"/>
      <c r="AZ623" s="314"/>
      <c r="BA623" s="314"/>
      <c r="BB623" s="314"/>
      <c r="BC623" s="314"/>
      <c r="BD623" s="314"/>
      <c r="BE623" s="314"/>
      <c r="BF623" s="314"/>
      <c r="BG623" s="314"/>
      <c r="BH623" s="314"/>
      <c r="BI623" s="317" t="s">
        <v>129</v>
      </c>
      <c r="BJ623" s="336"/>
      <c r="BK623" s="327" t="str">
        <f>IF(G641="","",G641)</f>
        <v/>
      </c>
      <c r="BL623" s="327" t="str">
        <f>IF(I641="","",I641)</f>
        <v/>
      </c>
      <c r="BM623" s="327" t="str">
        <f>IF(K641="","",K641)</f>
        <v/>
      </c>
      <c r="BN623" s="314"/>
      <c r="BO623" s="314"/>
      <c r="BP623" s="314"/>
      <c r="BQ623" s="314"/>
      <c r="BR623" s="314"/>
      <c r="BS623" s="314"/>
      <c r="BT623" s="319"/>
      <c r="BU623" s="314"/>
      <c r="BV623" s="314"/>
      <c r="BW623" s="314"/>
      <c r="BX623" s="314"/>
      <c r="BY623" s="314"/>
      <c r="BZ623" s="314"/>
      <c r="CA623" s="314"/>
      <c r="CB623" s="314"/>
      <c r="CC623" s="314"/>
      <c r="CD623" s="314"/>
      <c r="CE623" s="314"/>
      <c r="CF623" s="314"/>
      <c r="CG623" s="314"/>
      <c r="CH623" s="314"/>
      <c r="CI623" s="314"/>
      <c r="CJ623" s="314"/>
      <c r="CK623" s="314"/>
      <c r="CL623" s="314"/>
      <c r="CM623" s="314"/>
      <c r="CN623" s="314"/>
      <c r="CO623" s="314"/>
      <c r="CP623" s="314"/>
      <c r="CQ623" s="314"/>
    </row>
    <row r="624" spans="1:95" ht="5.15" customHeight="1" thickBot="1" x14ac:dyDescent="0.3">
      <c r="A624" s="307"/>
      <c r="B624" s="68"/>
      <c r="C624" s="68"/>
      <c r="D624" s="68"/>
      <c r="E624" s="68"/>
      <c r="F624" s="68"/>
      <c r="G624" s="68"/>
      <c r="H624" s="76"/>
      <c r="I624" s="76"/>
      <c r="J624" s="76"/>
      <c r="K624" s="76"/>
      <c r="L624" s="76"/>
      <c r="M624" s="76"/>
      <c r="N624" s="76"/>
      <c r="O624" s="160"/>
      <c r="P624" s="111"/>
      <c r="Q624" s="287"/>
      <c r="R624" s="111"/>
      <c r="S624" s="287"/>
      <c r="T624" s="287"/>
      <c r="U624" s="287"/>
      <c r="V624" s="314"/>
      <c r="W624" s="314"/>
      <c r="X624" s="314"/>
      <c r="Y624" s="312"/>
      <c r="Z624" s="314"/>
      <c r="AA624" s="314"/>
      <c r="AB624" s="314"/>
      <c r="AC624" s="314"/>
      <c r="AD624" s="314"/>
      <c r="AE624" s="314"/>
      <c r="AF624" s="293"/>
      <c r="AG624" s="314"/>
      <c r="AH624" s="314"/>
      <c r="AI624" s="314"/>
      <c r="AJ624" s="335"/>
      <c r="AK624" s="335"/>
      <c r="AL624" s="326"/>
      <c r="AM624" s="326"/>
      <c r="AN624" s="326"/>
      <c r="AO624" s="326"/>
      <c r="AP624" s="326"/>
      <c r="AQ624" s="314"/>
      <c r="AR624" s="314"/>
      <c r="AS624" s="314"/>
      <c r="AT624" s="314"/>
      <c r="AU624" s="314"/>
      <c r="AV624" s="314"/>
      <c r="AW624" s="314"/>
      <c r="AX624" s="314"/>
      <c r="AY624" s="314"/>
      <c r="AZ624" s="314"/>
      <c r="BA624" s="314"/>
      <c r="BB624" s="314"/>
      <c r="BC624" s="314"/>
      <c r="BD624" s="314"/>
      <c r="BE624" s="314"/>
      <c r="BF624" s="314"/>
      <c r="BG624" s="314"/>
      <c r="BH624" s="314"/>
      <c r="BI624" s="314"/>
      <c r="BJ624" s="314"/>
      <c r="BK624" s="314"/>
      <c r="BL624" s="314"/>
      <c r="BM624" s="314"/>
      <c r="BN624" s="314"/>
      <c r="BO624" s="314"/>
      <c r="BP624" s="314"/>
      <c r="BQ624" s="314"/>
      <c r="BR624" s="314"/>
      <c r="BS624" s="314"/>
      <c r="BT624" s="314"/>
      <c r="BU624" s="314"/>
      <c r="BV624" s="314"/>
      <c r="BW624" s="314"/>
      <c r="BX624" s="314"/>
      <c r="BY624" s="314"/>
      <c r="BZ624" s="314"/>
      <c r="CA624" s="314"/>
      <c r="CB624" s="314"/>
      <c r="CC624" s="314"/>
      <c r="CD624" s="314"/>
      <c r="CE624" s="314"/>
      <c r="CF624" s="314"/>
      <c r="CG624" s="314"/>
      <c r="CH624" s="314"/>
      <c r="CI624" s="314"/>
      <c r="CJ624" s="314"/>
      <c r="CK624" s="314"/>
      <c r="CL624" s="314"/>
      <c r="CM624" s="314"/>
      <c r="CN624" s="314"/>
      <c r="CO624" s="314"/>
      <c r="CP624" s="314"/>
      <c r="CQ624" s="314"/>
    </row>
    <row r="625" spans="1:95" ht="12.75" customHeight="1" thickBot="1" x14ac:dyDescent="0.3">
      <c r="A625" s="307"/>
      <c r="B625" s="68"/>
      <c r="C625" s="68"/>
      <c r="D625" s="68"/>
      <c r="E625" s="68"/>
      <c r="F625" s="338" t="str">
        <f>Translations!$B$127</f>
        <v>Tier</v>
      </c>
      <c r="G625" s="1254" t="str">
        <f>Translations!$B$393</f>
        <v>tier description</v>
      </c>
      <c r="H625" s="1254"/>
      <c r="I625" s="1255" t="str">
        <f>Translations!$B$394</f>
        <v>Unit</v>
      </c>
      <c r="J625" s="1255"/>
      <c r="K625" s="1255" t="str">
        <f>Translations!$B$395</f>
        <v>Value</v>
      </c>
      <c r="L625" s="1255"/>
      <c r="M625" s="205" t="str">
        <f>Translations!$B$396</f>
        <v>error</v>
      </c>
      <c r="N625" s="76"/>
      <c r="O625" s="160"/>
      <c r="P625" s="339"/>
      <c r="Q625" s="325" t="str">
        <f>EUconst_SumEnergyIN</f>
        <v>SUM_EnergyIN</v>
      </c>
      <c r="R625" s="340" t="str">
        <f>IF(E621="","",BG634)</f>
        <v/>
      </c>
      <c r="S625" s="314"/>
      <c r="T625" s="314"/>
      <c r="U625" s="314"/>
      <c r="V625" s="341" t="s">
        <v>130</v>
      </c>
      <c r="W625" s="314"/>
      <c r="X625" s="314"/>
      <c r="Y625" s="312" t="s">
        <v>131</v>
      </c>
      <c r="Z625" s="312" t="s">
        <v>132</v>
      </c>
      <c r="AA625" s="314"/>
      <c r="AB625" s="314"/>
      <c r="AC625" s="336" t="s">
        <v>133</v>
      </c>
      <c r="AD625" s="314"/>
      <c r="AE625" s="314"/>
      <c r="AF625" s="314" t="s">
        <v>134</v>
      </c>
      <c r="AG625" s="314" t="s">
        <v>135</v>
      </c>
      <c r="AH625" s="312" t="s">
        <v>136</v>
      </c>
      <c r="AI625" s="335" t="s">
        <v>137</v>
      </c>
      <c r="AJ625" s="335" t="s">
        <v>138</v>
      </c>
      <c r="AK625" s="342" t="s">
        <v>139</v>
      </c>
      <c r="AL625" s="326"/>
      <c r="AM625" s="326"/>
      <c r="AN625" s="326"/>
      <c r="AO625" s="326"/>
      <c r="AP625" s="326"/>
      <c r="AQ625" s="314"/>
      <c r="AR625" s="314" t="s">
        <v>134</v>
      </c>
      <c r="AS625" s="314" t="s">
        <v>135</v>
      </c>
      <c r="AT625" s="343" t="s">
        <v>140</v>
      </c>
      <c r="AU625" s="335" t="s">
        <v>141</v>
      </c>
      <c r="AV625" s="335" t="s">
        <v>142</v>
      </c>
      <c r="AW625" s="342" t="s">
        <v>139</v>
      </c>
      <c r="AX625" s="342" t="s">
        <v>139</v>
      </c>
      <c r="AY625" s="314"/>
      <c r="AZ625" s="314"/>
      <c r="BA625" s="314"/>
      <c r="BB625" s="314" t="s">
        <v>143</v>
      </c>
      <c r="BC625" s="314"/>
      <c r="BD625" s="314"/>
      <c r="BE625" s="314"/>
      <c r="BF625" s="314"/>
      <c r="BG625" s="319" t="s">
        <v>144</v>
      </c>
      <c r="BH625" s="314" t="s">
        <v>145</v>
      </c>
      <c r="BI625" s="314"/>
      <c r="BJ625" s="314"/>
      <c r="BK625" s="314"/>
      <c r="BL625" s="314"/>
      <c r="BM625" s="314"/>
      <c r="BN625" s="314"/>
      <c r="BO625" s="314"/>
      <c r="BP625" s="314"/>
      <c r="BQ625" s="314"/>
      <c r="BR625" s="314"/>
      <c r="BS625" s="314"/>
      <c r="BT625" s="314"/>
      <c r="BU625" s="314"/>
      <c r="BV625" s="314"/>
      <c r="BW625" s="314"/>
      <c r="BX625" s="314"/>
      <c r="BY625" s="314"/>
      <c r="BZ625" s="314"/>
      <c r="CA625" s="314"/>
      <c r="CB625" s="314"/>
      <c r="CC625" s="314"/>
      <c r="CD625" s="314"/>
      <c r="CE625" s="314"/>
      <c r="CF625" s="314"/>
      <c r="CG625" s="314"/>
      <c r="CH625" s="314"/>
      <c r="CI625" s="314"/>
      <c r="CJ625" s="314"/>
      <c r="CK625" s="314"/>
      <c r="CL625" s="314"/>
      <c r="CM625" s="314"/>
      <c r="CN625" s="314"/>
      <c r="CO625" s="314"/>
      <c r="CP625" s="314"/>
      <c r="CQ625" s="319" t="s">
        <v>107</v>
      </c>
    </row>
    <row r="626" spans="1:95" ht="12.75" customHeight="1" thickBot="1" x14ac:dyDescent="0.3">
      <c r="A626" s="307"/>
      <c r="B626" s="68"/>
      <c r="C626" s="199" t="s">
        <v>12</v>
      </c>
      <c r="D626" s="344" t="str">
        <f>Translations!$B$356</f>
        <v>RFA:</v>
      </c>
      <c r="E626" s="345"/>
      <c r="F626" s="6"/>
      <c r="G626" s="1256" t="str">
        <f>IF(OR(ISBLANK(F626),F626=EUconst_NoTier),"",IF(Z626=0,EUconst_NA,IF(ISERROR(Z626),"",Z626)))</f>
        <v/>
      </c>
      <c r="H626" s="1257"/>
      <c r="I626" s="346" t="str">
        <f>IF(J626&lt;&gt;"","",AI626)</f>
        <v/>
      </c>
      <c r="J626" s="7"/>
      <c r="K626" s="1258"/>
      <c r="L626" s="1259"/>
      <c r="M626" s="347" t="str">
        <f>IF(AND(E621&lt;&gt;"",OR(F626="",COUNT(K626)=0),Y626&lt;&gt;EUconst_NA),EUconst_ERR_Incomplete,"")</f>
        <v/>
      </c>
      <c r="N626" s="76"/>
      <c r="O626" s="160"/>
      <c r="P626" s="348"/>
      <c r="Q626" s="325" t="str">
        <f>EUconst_SumBioEnergyIN</f>
        <v>SUM_BioEnergyIN</v>
      </c>
      <c r="R626" s="340" t="str">
        <f>IF(E621="","",BG635)</f>
        <v/>
      </c>
      <c r="S626" s="314"/>
      <c r="T626" s="349" t="str">
        <f>EUconst_CNTR_ActivityData&amp;E621</f>
        <v>ActivityData_</v>
      </c>
      <c r="U626" s="312"/>
      <c r="V626" s="349" t="str">
        <f>IF(E620="","",INDEX(B_IdentifyFuelStreams!$I$67:$I$116,MATCH(U619,B_IdentifyFuelStreams!$D$67:$D$116,0)))</f>
        <v/>
      </c>
      <c r="W626" s="335" t="s">
        <v>146</v>
      </c>
      <c r="X626" s="312"/>
      <c r="Y626" s="350" t="str">
        <f>IF(E621="","",INDEX(EUwideConstants!$P$164:$P$200,MATCH(T626,EUwideConstants!$S$164:$S$200,0)))</f>
        <v/>
      </c>
      <c r="Z626" s="351" t="str">
        <f>IF(ISBLANK(F626),"",IF(F626=EUconst_NA,"",INDEX(EUwideConstants!$H:$O,MATCH(T626,EUwideConstants!$S:$S,0),MATCH(F626,CNTR_TierList,0))))</f>
        <v/>
      </c>
      <c r="AA626" s="352" t="s">
        <v>136</v>
      </c>
      <c r="AB626" s="335"/>
      <c r="AC626" s="331" t="b">
        <f>E620&lt;&gt;""</f>
        <v>0</v>
      </c>
      <c r="AD626" s="314"/>
      <c r="AE626" s="353" t="str">
        <f>EUconst_CNTR_ActivityData&amp;EUconst_Unit</f>
        <v>ActivityData_Unit</v>
      </c>
      <c r="AF626" s="354" t="str">
        <f>IF(AC626=TRUE, IF(COUNTIF(MSPara_SourceStreamCategory,V626)=0,"",INDEX(MSPara_CalcFactorsMatrix,MATCH(V626,MSPara_SourceStreamCategory,0),MATCH(AE626&amp;"_"&amp;2,MSPara_CalcFactors,0))),"")</f>
        <v/>
      </c>
      <c r="AG626" s="355" t="str">
        <f>IF(AC626=TRUE, IF(COUNTIF(MSPara_SourceStreamCategory,V626)=0,"",INDEX(MSPara_CalcFactorsMatrix,MATCH(V626,MSPara_SourceStreamCategory,0),MATCH(AE626&amp;"_"&amp;1,MSPara_CalcFactors,0))),"")</f>
        <v/>
      </c>
      <c r="AH626" s="331" t="str">
        <f>IF(OR(AF626="",AF626=EUconst_NA),IF(OR(AG626=EUconst_NA,AG626=""),"",AG626),AF626)</f>
        <v/>
      </c>
      <c r="AI626" s="350" t="str">
        <f>IF(AC626=TRUE,IF(AH626="",EUconst_t,AH626),"")</f>
        <v/>
      </c>
      <c r="AJ626" s="356" t="str">
        <f>IF(J626="",AI626,J626)</f>
        <v/>
      </c>
      <c r="AK626" s="357" t="b">
        <f>AND(E620&lt;&gt;"",J626&lt;&gt;"")</f>
        <v>0</v>
      </c>
      <c r="AL626" s="326"/>
      <c r="AM626" s="358" t="s">
        <v>147</v>
      </c>
      <c r="AN626" s="359" t="str">
        <f>AJ626</f>
        <v/>
      </c>
      <c r="AO626" s="326"/>
      <c r="AP626" s="326"/>
      <c r="AQ626" s="349" t="str">
        <f>EUconst_CNTR_ActivityData&amp;EUconst_Value</f>
        <v>ActivityData_Value</v>
      </c>
      <c r="AR626" s="336"/>
      <c r="AS626" s="336"/>
      <c r="AT626" s="331" t="b">
        <f>AND(AND(AH626&lt;&gt;"",AJ626&lt;&gt;""),AJ626=AH626)</f>
        <v>0</v>
      </c>
      <c r="AU626" s="314"/>
      <c r="AV626" s="331">
        <f>IF(Y626=EUconst_NA,0,IF(COUNT(K626:K626)=0,0,IF(K626="",#REF!,K626)))</f>
        <v>0</v>
      </c>
      <c r="AW626" s="360" t="b">
        <f>AND(AC626=TRUE,OR(K626&lt;&gt;"",AU626=""))</f>
        <v>0</v>
      </c>
      <c r="AX626" s="360" t="b">
        <f>AND(AC626=TRUE,NOT(AW626))</f>
        <v>0</v>
      </c>
      <c r="AY626" s="314"/>
      <c r="AZ626" s="314" t="s">
        <v>148</v>
      </c>
      <c r="BA626" s="314" t="s">
        <v>149</v>
      </c>
      <c r="BB626" s="360"/>
      <c r="BC626" s="314" t="s">
        <v>150</v>
      </c>
      <c r="BD626" s="314"/>
      <c r="BE626" s="314"/>
      <c r="BF626" s="361" t="s">
        <v>119</v>
      </c>
      <c r="BG626" s="362" t="str">
        <f>IF(COUNTIF(AO629:AO630,TRUE)=0,"",BH626*AV637)</f>
        <v/>
      </c>
      <c r="BH626" s="362" t="str">
        <f>IF(COUNTIF(AO629:AO630,TRUE)=0,"",AV626*IF(AO629,1,AV628*AN630)*AV629-BH628-BH630-BH632)</f>
        <v/>
      </c>
      <c r="BI626" s="314"/>
      <c r="BJ626" s="314"/>
      <c r="BK626" s="314"/>
      <c r="BL626" s="314"/>
      <c r="BM626" s="314"/>
      <c r="BN626" s="314"/>
      <c r="BO626" s="314"/>
      <c r="BP626" s="314"/>
      <c r="BQ626" s="314"/>
      <c r="BR626" s="314"/>
      <c r="BS626" s="314"/>
      <c r="BT626" s="314"/>
      <c r="BU626" s="314"/>
      <c r="BV626" s="314"/>
      <c r="BW626" s="314"/>
      <c r="BX626" s="314"/>
      <c r="BY626" s="314"/>
      <c r="BZ626" s="314"/>
      <c r="CA626" s="314"/>
      <c r="CB626" s="314"/>
      <c r="CC626" s="314"/>
      <c r="CD626" s="314"/>
      <c r="CE626" s="314"/>
      <c r="CF626" s="314"/>
      <c r="CG626" s="314"/>
      <c r="CH626" s="314"/>
      <c r="CI626" s="314"/>
      <c r="CJ626" s="314"/>
      <c r="CK626" s="314"/>
      <c r="CL626" s="314"/>
      <c r="CM626" s="314"/>
      <c r="CN626" s="314"/>
      <c r="CO626" s="314"/>
      <c r="CP626" s="314"/>
      <c r="CQ626" s="360" t="b">
        <v>0</v>
      </c>
    </row>
    <row r="627" spans="1:95" ht="5.15" customHeight="1" thickBot="1" x14ac:dyDescent="0.3">
      <c r="A627" s="307"/>
      <c r="B627" s="68"/>
      <c r="C627" s="199"/>
      <c r="D627" s="202"/>
      <c r="E627" s="76"/>
      <c r="F627" s="76"/>
      <c r="G627" s="76"/>
      <c r="H627" s="76" t="str">
        <f>Translations!$B$397</f>
        <v xml:space="preserve"> </v>
      </c>
      <c r="I627" s="162"/>
      <c r="J627" s="162"/>
      <c r="K627" s="76"/>
      <c r="L627" s="76"/>
      <c r="M627" s="363"/>
      <c r="N627" s="76"/>
      <c r="O627" s="160"/>
      <c r="P627" s="109"/>
      <c r="Q627" s="312"/>
      <c r="R627" s="312"/>
      <c r="S627" s="314"/>
      <c r="T627" s="62"/>
      <c r="U627" s="312"/>
      <c r="V627" s="314"/>
      <c r="W627" s="314"/>
      <c r="X627" s="312"/>
      <c r="Y627" s="319"/>
      <c r="Z627" s="314"/>
      <c r="AA627" s="314"/>
      <c r="AB627" s="314"/>
      <c r="AC627" s="314"/>
      <c r="AD627" s="314"/>
      <c r="AE627" s="314"/>
      <c r="AF627" s="314"/>
      <c r="AG627" s="314"/>
      <c r="AH627" s="314"/>
      <c r="AI627" s="314"/>
      <c r="AJ627" s="314"/>
      <c r="AK627" s="314"/>
      <c r="AL627" s="326"/>
      <c r="AM627" s="326"/>
      <c r="AN627" s="326"/>
      <c r="AO627" s="326"/>
      <c r="AP627" s="326"/>
      <c r="AQ627" s="314"/>
      <c r="AR627" s="314"/>
      <c r="AS627" s="314"/>
      <c r="AT627" s="314"/>
      <c r="AU627" s="314"/>
      <c r="AV627" s="314"/>
      <c r="AW627" s="314"/>
      <c r="AX627" s="314"/>
      <c r="AY627" s="314"/>
      <c r="AZ627" s="314"/>
      <c r="BA627" s="314"/>
      <c r="BB627" s="314"/>
      <c r="BC627" s="314"/>
      <c r="BD627" s="314"/>
      <c r="BE627" s="314"/>
      <c r="BF627" s="314"/>
      <c r="BG627" s="364"/>
      <c r="BH627" s="364"/>
      <c r="BI627" s="314"/>
      <c r="BJ627" s="314"/>
      <c r="BK627" s="314"/>
      <c r="BL627" s="314"/>
      <c r="BM627" s="314"/>
      <c r="BN627" s="314"/>
      <c r="BO627" s="314"/>
      <c r="BP627" s="314"/>
      <c r="BQ627" s="314"/>
      <c r="BR627" s="314"/>
      <c r="BS627" s="314"/>
      <c r="BT627" s="314"/>
      <c r="BU627" s="314"/>
      <c r="BV627" s="314"/>
      <c r="BW627" s="314"/>
      <c r="BX627" s="314"/>
      <c r="BY627" s="314"/>
      <c r="BZ627" s="314"/>
      <c r="CA627" s="314"/>
      <c r="CB627" s="314"/>
      <c r="CC627" s="314"/>
      <c r="CD627" s="314"/>
      <c r="CE627" s="314"/>
      <c r="CF627" s="314"/>
      <c r="CG627" s="314"/>
      <c r="CH627" s="314"/>
      <c r="CI627" s="314"/>
      <c r="CJ627" s="314"/>
      <c r="CK627" s="314"/>
      <c r="CL627" s="314"/>
      <c r="CM627" s="314"/>
      <c r="CN627" s="314"/>
      <c r="CO627" s="314"/>
      <c r="CP627" s="314"/>
      <c r="CQ627" s="319"/>
    </row>
    <row r="628" spans="1:95" ht="12.75" customHeight="1" x14ac:dyDescent="0.25">
      <c r="A628" s="307"/>
      <c r="B628" s="68"/>
      <c r="C628" s="199" t="s">
        <v>13</v>
      </c>
      <c r="D628" s="344" t="str">
        <f>Translations!$B$360</f>
        <v>UCF:</v>
      </c>
      <c r="E628" s="345"/>
      <c r="F628" s="10"/>
      <c r="G628" s="1256" t="str">
        <f>IF(OR(ISBLANK(F628),F628=EUconst_NoTier),"",IF(Z628=0,EUconst_NotApplicable,IF(ISERROR(Z628),"",Z628)))</f>
        <v/>
      </c>
      <c r="H628" s="1257"/>
      <c r="I628" s="365" t="str">
        <f>IF(J628&lt;&gt;"","",AI628)</f>
        <v/>
      </c>
      <c r="J628" s="11"/>
      <c r="K628" s="366" t="str">
        <f>IF(L628="",AU628,"")</f>
        <v/>
      </c>
      <c r="L628" s="23"/>
      <c r="M628" s="347" t="str">
        <f>IF(AND(E621&lt;&gt;"",OR(F628="",COUNT(K628:L628)=0),Y628&lt;&gt;EUconst_NA),EUconst_ERR_Incomplete,IF(COUNTIF(BB628:BD628,TRUE)&gt;0,EUconst_ERR_Inconsistent,""))</f>
        <v/>
      </c>
      <c r="N628" s="367"/>
      <c r="O628" s="160"/>
      <c r="P628" s="109"/>
      <c r="Q628" s="312"/>
      <c r="R628" s="312"/>
      <c r="S628" s="314"/>
      <c r="T628" s="368" t="str">
        <f>EUconst_CNTR_UCF&amp;E621</f>
        <v>UCF_</v>
      </c>
      <c r="U628" s="312"/>
      <c r="V628" s="369" t="str">
        <f>V629</f>
        <v/>
      </c>
      <c r="W628" s="314"/>
      <c r="X628" s="312"/>
      <c r="Y628" s="370" t="str">
        <f>IF(E621="","",IF(OR(F628=EUconst_NA,W628=TRUE),EUconst_NA,INDEX(EUwideConstants!$P$164:$P$200,MATCH(T628,EUwideConstants!$S$164:$S$200,0))))</f>
        <v/>
      </c>
      <c r="Z628" s="371" t="str">
        <f>IF(ISBLANK(F628),"",IF(F628=EUconst_NA,"",INDEX(EUwideConstants!$H:$O,MATCH(T628,EUwideConstants!$S:$S,0),MATCH(F628,CNTR_TierList,0))))</f>
        <v/>
      </c>
      <c r="AA628" s="372" t="str">
        <f>IF(COUNTIF(EUconst_DefaultValues,Z628)&gt;0,MATCH(Z628,EUconst_DefaultValues,0),"")</f>
        <v/>
      </c>
      <c r="AB628" s="314"/>
      <c r="AC628" s="373" t="b">
        <f>AND(AC626,Y628&lt;&gt;EUconst_NA)</f>
        <v>0</v>
      </c>
      <c r="AD628" s="314"/>
      <c r="AE628" s="353" t="str">
        <f>EUconst_CNTR_UCF&amp;EUconst_Unit</f>
        <v>UCF_Unit</v>
      </c>
      <c r="AF628" s="374" t="str">
        <f>IF(AC628=TRUE, IF(COUNTIF(MSPara_SourceStreamCategory,V628)=0,"",INDEX(MSPara_CalcFactorsMatrix,MATCH(V628,MSPara_SourceStreamCategory,0),MATCH(AE628&amp;"_"&amp;2,MSPara_CalcFactors,0))),"")</f>
        <v/>
      </c>
      <c r="AG628" s="375" t="str">
        <f>IF(AC628=TRUE, IF(COUNTIF(MSPara_SourceStreamCategory,V628)=0,"",INDEX(MSPara_CalcFactorsMatrix,MATCH(V628,MSPara_SourceStreamCategory,0),MATCH(AE628&amp;"_"&amp;1,MSPara_CalcFactors,0))),"")</f>
        <v/>
      </c>
      <c r="AH628" s="373" t="str">
        <f>IF(AA628="","",INDEX(AF628:AG628,3-AA628))</f>
        <v/>
      </c>
      <c r="AI628" s="373" t="str">
        <f>IF(AC628=TRUE,IF(OR(AH628="",AH628=EUconst_NA),EUconst_GJ&amp;"/"&amp;AJ626,AH628),"")</f>
        <v/>
      </c>
      <c r="AJ628" s="373" t="str">
        <f>IF(J628="",AI628,J628)</f>
        <v/>
      </c>
      <c r="AK628" s="369" t="b">
        <f>AND(E620&lt;&gt;"",J628&lt;&gt;"")</f>
        <v>0</v>
      </c>
      <c r="AL628" s="326"/>
      <c r="AM628" s="358" t="s">
        <v>151</v>
      </c>
      <c r="AN628" s="359" t="str">
        <f>IF(AJ628="",EUconst_NA,IF(AN626=EUconst_TJ,EUconst_TJ,INDEX(EUwideConstants!$C$135:$G$139,MATCH(AN626,RFAUnits,0),MATCH(AJ628,UCFUnits,0))))</f>
        <v>n.a.</v>
      </c>
      <c r="AO628" s="326"/>
      <c r="AP628" s="326"/>
      <c r="AQ628" s="376" t="str">
        <f>EUconst_CNTR_UCF&amp;EUconst_Value</f>
        <v>UCF_Value</v>
      </c>
      <c r="AR628" s="377" t="str">
        <f>IF(AC628=TRUE,IF(COUNTIF(MSPara_SourceStreamCategory,V628)=0,"",INDEX(MSPara_CalcFactorsMatrix,MATCH(V628,MSPara_SourceStreamCategory,0),MATCH(AQ628&amp;"_"&amp;2,MSPara_CalcFactors,0))),"")</f>
        <v/>
      </c>
      <c r="AS628" s="378" t="str">
        <f>IF(AC628=TRUE,IF(COUNTIF(MSPara_SourceStreamCategory,V628)=0,"",INDEX(MSPara_CalcFactorsMatrix,MATCH(V628,MSPara_SourceStreamCategory,0),MATCH(AQ628&amp;"_"&amp;1,MSPara_CalcFactors,0))),"")</f>
        <v/>
      </c>
      <c r="AT628" s="379" t="b">
        <f>AND(AND(AH628&lt;&gt;"",AJ628&lt;&gt;""),AJ628=AH628)</f>
        <v>0</v>
      </c>
      <c r="AU628" s="380" t="str">
        <f>IF(AND(AA628&lt;&gt;"",AT628=TRUE),IF(OR(INDEX(AR628:AS628,3-AA628)=EUconst_NA,INDEX(AR628:AS628,3-AA628)=0),"",INDEX(AR628:AS628,3-AA628)),"")</f>
        <v/>
      </c>
      <c r="AV628" s="373">
        <f>IF(AC628=TRUE,IF(COUNT(K628:L628)=0,0,IF(L628="",K628,L628)),0)</f>
        <v>0</v>
      </c>
      <c r="AW628" s="369" t="b">
        <f t="shared" ref="AW628:AW635" si="180">AND(AC628=TRUE,OR(AND(F628&lt;&gt;"",NOT(ISNUMBER(AA628))),L628&lt;&gt;"",F628="",AU628=""))</f>
        <v>0</v>
      </c>
      <c r="AX628" s="381" t="b">
        <f t="shared" ref="AX628:AX635" si="181">AND(AC628=TRUE,NOT(AW628))</f>
        <v>0</v>
      </c>
      <c r="AY628" s="314"/>
      <c r="AZ628" s="382" t="b">
        <f t="shared" ref="AZ628:AZ635" si="182">AND(ISNUMBER(AA628),AU628="")</f>
        <v>0</v>
      </c>
      <c r="BA628" s="383" t="b">
        <f t="shared" ref="BA628:BA635" si="183">AND(ISNUMBER(AA628),AU628&lt;&gt;AV628)</f>
        <v>0</v>
      </c>
      <c r="BB628" s="369" t="b">
        <f>AND(E621&lt;&gt;"",F628&lt;&gt;EUconst_NA,AN628=EUconst_NA)</f>
        <v>0</v>
      </c>
      <c r="BC628" s="369" t="b">
        <f t="shared" ref="BC628:BC635" si="184">AND(L628&lt;&gt;"",Y628=EUconst_NA)</f>
        <v>0</v>
      </c>
      <c r="BD628" s="314"/>
      <c r="BE628" s="314"/>
      <c r="BF628" s="382" t="s">
        <v>152</v>
      </c>
      <c r="BG628" s="384" t="str">
        <f>IF(COUNTIF(AO629:AO630,TRUE)=0,"",BH628*AV637)</f>
        <v/>
      </c>
      <c r="BH628" s="384" t="str">
        <f>IF(COUNTIF(AO629:AO630,TRUE)=0,"",AV626*IF(AO629,1,AV628*AN630)*AV629*AV630)</f>
        <v/>
      </c>
      <c r="BI628" s="314"/>
      <c r="BJ628" s="314"/>
      <c r="BK628" s="314"/>
      <c r="BL628" s="314"/>
      <c r="BM628" s="314"/>
      <c r="BN628" s="314"/>
      <c r="BO628" s="314"/>
      <c r="BP628" s="314"/>
      <c r="BQ628" s="314"/>
      <c r="BR628" s="314"/>
      <c r="BS628" s="314"/>
      <c r="BT628" s="314"/>
      <c r="BU628" s="314"/>
      <c r="BV628" s="314"/>
      <c r="BW628" s="314"/>
      <c r="BX628" s="314"/>
      <c r="BY628" s="314"/>
      <c r="BZ628" s="314"/>
      <c r="CA628" s="314"/>
      <c r="CB628" s="314"/>
      <c r="CC628" s="314"/>
      <c r="CD628" s="314"/>
      <c r="CE628" s="314"/>
      <c r="CF628" s="314"/>
      <c r="CG628" s="314"/>
      <c r="CH628" s="314"/>
      <c r="CI628" s="314"/>
      <c r="CJ628" s="314"/>
      <c r="CK628" s="314"/>
      <c r="CL628" s="314"/>
      <c r="CM628" s="314"/>
      <c r="CN628" s="314"/>
      <c r="CO628" s="314"/>
      <c r="CP628" s="314"/>
      <c r="CQ628" s="369" t="b">
        <f>OR(CQ626,Y628=EUconst_NA)</f>
        <v>0</v>
      </c>
    </row>
    <row r="629" spans="1:95" ht="12.75" customHeight="1" thickBot="1" x14ac:dyDescent="0.3">
      <c r="A629" s="307"/>
      <c r="B629" s="68"/>
      <c r="C629" s="199" t="s">
        <v>14</v>
      </c>
      <c r="D629" s="344" t="str">
        <f>Translations!$B$358</f>
        <v>(prelim) EF:</v>
      </c>
      <c r="E629" s="345"/>
      <c r="F629" s="59"/>
      <c r="G629" s="1256" t="str">
        <f>IF(OR(ISBLANK(F629),F629=EUconst_NoTier),"",IF(Z629=0,EUconst_NotApplicable,IF(ISERROR(Z629),"",Z629)))</f>
        <v/>
      </c>
      <c r="H629" s="1260"/>
      <c r="I629" s="385" t="str">
        <f>IF(J629&lt;&gt;"","",AI629)</f>
        <v/>
      </c>
      <c r="J629" s="22"/>
      <c r="K629" s="386" t="str">
        <f>IF(L629="",AU629,"")</f>
        <v/>
      </c>
      <c r="L629" s="58"/>
      <c r="M629" s="347" t="str">
        <f>IF(AND(E621&lt;&gt;"",OR(F629="",COUNT(K629:L629)=0),Y629&lt;&gt;EUconst_NA),EUconst_ERR_Incomplete,IF(COUNTIF(BB629:BD629,TRUE)&gt;0,EUconst_ERR_Inconsistent,""))</f>
        <v/>
      </c>
      <c r="N629" s="387"/>
      <c r="O629" s="160"/>
      <c r="P629" s="109"/>
      <c r="Q629" s="312"/>
      <c r="R629" s="312"/>
      <c r="S629" s="314"/>
      <c r="T629" s="388" t="str">
        <f>EUconst_CNTR_EF&amp;E621</f>
        <v>EF_</v>
      </c>
      <c r="U629" s="312"/>
      <c r="V629" s="389" t="str">
        <f>V626</f>
        <v/>
      </c>
      <c r="W629" s="314"/>
      <c r="X629" s="312"/>
      <c r="Y629" s="390" t="str">
        <f>IF(E621="","",IF(OR(F629=EUconst_NA,W629=TRUE),EUconst_NA,INDEX(EUwideConstants!$P$164:$P$200,MATCH(T629,EUwideConstants!$S$164:$S$200,0))))</f>
        <v/>
      </c>
      <c r="Z629" s="391" t="str">
        <f>IF(ISBLANK(F629),"",IF(F629=EUconst_NA,"",INDEX(EUwideConstants!$H:$O,MATCH(T629,EUwideConstants!$S:$S,0),MATCH(F629,CNTR_TierList,0))))</f>
        <v/>
      </c>
      <c r="AA629" s="392" t="str">
        <f>IF(COUNTIF(EUconst_DefaultValues,Z629)&gt;0,MATCH(Z629,EUconst_DefaultValues,0),"")</f>
        <v/>
      </c>
      <c r="AB629" s="314"/>
      <c r="AC629" s="393" t="b">
        <f>AND(AC626,Y629&lt;&gt;EUconst_NA)</f>
        <v>0</v>
      </c>
      <c r="AD629" s="314"/>
      <c r="AE629" s="394" t="str">
        <f>EUconst_CNTR_EF&amp;EUconst_Unit</f>
        <v>EF_Unit</v>
      </c>
      <c r="AF629" s="395" t="str">
        <f>IF(AC629=TRUE, IF(COUNTIF(MSPara_SourceStreamCategory,V629)=0,"",INDEX(MSPara_CalcFactorsMatrix,MATCH(V629,MSPara_SourceStreamCategory,0),MATCH(AE629&amp;"_"&amp;2,MSPara_CalcFactors,0))),"")</f>
        <v/>
      </c>
      <c r="AG629" s="396" t="str">
        <f>IF(AC629=TRUE, IF(COUNTIF(MSPara_SourceStreamCategory,V629)=0,"",INDEX(MSPara_CalcFactorsMatrix,MATCH(V629,MSPara_SourceStreamCategory,0),MATCH(AE629&amp;"_"&amp;1,MSPara_CalcFactors,0))),"")</f>
        <v/>
      </c>
      <c r="AH629" s="397" t="str">
        <f>IF(AA629="","",INDEX(AF629:AG629,3-AA629))</f>
        <v/>
      </c>
      <c r="AI629" s="397" t="str">
        <f>IF(AC629=TRUE,IF(OR(AH629="",AH629=EUconst_NA),EUconst_tCO2&amp;"/"&amp;IF(AN628=EUconst_NA,AN626,IF(AN628=EUconst_GJ,EUconst_TJ,AN628)),AH629),"")</f>
        <v/>
      </c>
      <c r="AJ629" s="397" t="str">
        <f>IF(J629="",AI629,J629)</f>
        <v/>
      </c>
      <c r="AK629" s="398" t="b">
        <f>AND(E621&lt;&gt;"",J629&lt;&gt;"")</f>
        <v>0</v>
      </c>
      <c r="AL629" s="326"/>
      <c r="AM629" s="358" t="s">
        <v>153</v>
      </c>
      <c r="AN629" s="359" t="str">
        <f>IF(COUNTIF(RFAUnits,AN626)=0,EUconst_NA,INDEX(EUwideConstants!$C$150:$H$154,MATCH(AJ629,EFUnits,0),MATCH(AN626,EUwideConstants!$C$149:$H$149,0)))</f>
        <v>n.a.</v>
      </c>
      <c r="AO629" s="359" t="b">
        <f>AN629&lt;&gt;EUconst_NA</f>
        <v>0</v>
      </c>
      <c r="AP629" s="326"/>
      <c r="AQ629" s="399" t="str">
        <f>EUconst_CNTR_EF&amp;EUconst_Value</f>
        <v>EF_Value</v>
      </c>
      <c r="AR629" s="400" t="str">
        <f>IF(AC629=TRUE,IF(COUNTIF(MSPara_SourceStreamCategory,V629)=0,"",INDEX(MSPara_CalcFactorsMatrix,MATCH(V629,MSPara_SourceStreamCategory,0),MATCH(AQ629&amp;"_"&amp;2,MSPara_CalcFactors,0))),"")</f>
        <v/>
      </c>
      <c r="AS629" s="401" t="str">
        <f>IF(AC629=TRUE,IF(COUNTIF(MSPara_SourceStreamCategory,V629)=0,"",INDEX(MSPara_CalcFactorsMatrix,MATCH(V629,MSPara_SourceStreamCategory,0),MATCH(AQ629&amp;"_"&amp;1,MSPara_CalcFactors,0))),"")</f>
        <v/>
      </c>
      <c r="AT629" s="402" t="b">
        <f>AND(AND(AH629&lt;&gt;"",AJ629&lt;&gt;""),AJ629=AH629)</f>
        <v>0</v>
      </c>
      <c r="AU629" s="403" t="str">
        <f>IF(AND(AA629&lt;&gt;"",AT629=TRUE),IF(OR(INDEX(AR629:AS629,3-AA629)=EUconst_NA,INDEX(AR629:AS629,3-AA629)=0),"",INDEX(AR629:AS629,3-AA629)),"")</f>
        <v/>
      </c>
      <c r="AV629" s="393">
        <f>IF(AC629=TRUE,IF(COUNT(K629:L629)=0,0,IF(L629="",K629,L629)),0)</f>
        <v>0</v>
      </c>
      <c r="AW629" s="389" t="b">
        <f t="shared" si="180"/>
        <v>0</v>
      </c>
      <c r="AX629" s="404" t="b">
        <f t="shared" si="181"/>
        <v>0</v>
      </c>
      <c r="AY629" s="314"/>
      <c r="AZ629" s="405" t="b">
        <f t="shared" si="182"/>
        <v>0</v>
      </c>
      <c r="BA629" s="406" t="b">
        <f t="shared" si="183"/>
        <v>0</v>
      </c>
      <c r="BB629" s="407" t="b">
        <f>AND(E621&lt;&gt;"",COUNTIF(AO629:AO630,TRUE)=0)</f>
        <v>0</v>
      </c>
      <c r="BC629" s="389" t="b">
        <f t="shared" si="184"/>
        <v>0</v>
      </c>
      <c r="BD629" s="314"/>
      <c r="BE629" s="314"/>
      <c r="BF629" s="408" t="s">
        <v>154</v>
      </c>
      <c r="BG629" s="409" t="str">
        <f>IF(COUNTIF(AO629:AO630,TRUE)=0,"",BH629*AV637)</f>
        <v/>
      </c>
      <c r="BH629" s="409" t="str">
        <f>IF(COUNTIF(AO629:AO630,TRUE)=0,"",AV626*IF(AO629,1,AV628*AN630)*AV629*AV631)</f>
        <v/>
      </c>
      <c r="BI629" s="314"/>
      <c r="BJ629" s="314"/>
      <c r="BK629" s="314"/>
      <c r="BL629" s="314"/>
      <c r="BM629" s="314"/>
      <c r="BN629" s="314"/>
      <c r="BO629" s="314"/>
      <c r="BP629" s="314"/>
      <c r="BQ629" s="314"/>
      <c r="BR629" s="314"/>
      <c r="BS629" s="314"/>
      <c r="BT629" s="314"/>
      <c r="BU629" s="314"/>
      <c r="BV629" s="314"/>
      <c r="BW629" s="314"/>
      <c r="BX629" s="314"/>
      <c r="BY629" s="314"/>
      <c r="BZ629" s="314"/>
      <c r="CA629" s="314"/>
      <c r="CB629" s="314"/>
      <c r="CC629" s="314"/>
      <c r="CD629" s="314"/>
      <c r="CE629" s="314"/>
      <c r="CF629" s="314"/>
      <c r="CG629" s="314"/>
      <c r="CH629" s="314"/>
      <c r="CI629" s="314"/>
      <c r="CJ629" s="314"/>
      <c r="CK629" s="314"/>
      <c r="CL629" s="314"/>
      <c r="CM629" s="314"/>
      <c r="CN629" s="314"/>
      <c r="CO629" s="314"/>
      <c r="CP629" s="314"/>
      <c r="CQ629" s="407" t="b">
        <f>OR(CQ626,Y629=EUconst_NA)</f>
        <v>0</v>
      </c>
    </row>
    <row r="630" spans="1:95" ht="12.75" customHeight="1" x14ac:dyDescent="0.25">
      <c r="A630" s="307"/>
      <c r="B630" s="68"/>
      <c r="C630" s="199" t="s">
        <v>15</v>
      </c>
      <c r="D630" s="344" t="str">
        <f>Translations!$B$362</f>
        <v>BioF:</v>
      </c>
      <c r="E630" s="345"/>
      <c r="F630" s="10"/>
      <c r="G630" s="1256" t="str">
        <f>IF(OR(ISBLANK(F630),F630=EUconst_NoTier),"",IF(Z630=0,EUconst_NotApplicable,IF(ISERROR(Z630),"",Z630)))</f>
        <v/>
      </c>
      <c r="H630" s="1257"/>
      <c r="I630" s="410" t="str">
        <f t="shared" ref="I630:I635" si="185">IF(OR(AC630=FALSE,Y630=EUconst_NA),"","-")</f>
        <v/>
      </c>
      <c r="J630" s="411"/>
      <c r="K630" s="412" t="str">
        <f>IF(L630="",AU630,"")</f>
        <v/>
      </c>
      <c r="L630" s="60"/>
      <c r="M630" s="347" t="str">
        <f>IF(AND(E621&lt;&gt;"",OR(F630="",COUNT(K630:L630)=0),Y630&lt;&gt;EUconst_NA),EUconst_ERR_Incomplete,IF(COUNTIF(BB630:BD630,TRUE)&gt;0,EUconst_ERR_Inconsistent,""))</f>
        <v/>
      </c>
      <c r="O630" s="160"/>
      <c r="P630" s="348"/>
      <c r="Q630" s="413"/>
      <c r="R630" s="413"/>
      <c r="S630" s="314"/>
      <c r="T630" s="388" t="str">
        <f>EUconst_CNTR_BiomassContent&amp;E621</f>
        <v>BioC_</v>
      </c>
      <c r="U630" s="312"/>
      <c r="V630" s="369" t="str">
        <f>V628</f>
        <v/>
      </c>
      <c r="W630" s="369" t="str">
        <f>IF(OR(V630="",COUNTIF(MSPara_SourceStreamCategory,V630)=0),"",INDEX(MSPara_IsFossil,MATCH(V630,MSPara_SourceStreamCategory,0)))</f>
        <v/>
      </c>
      <c r="X630" s="312"/>
      <c r="Y630" s="370" t="str">
        <f>IF(E621="","",IF(OR(F630=EUconst_NA,W630=TRUE),EUconst_NA,INDEX(EUwideConstants!$P$164:$P$200,MATCH(T630,EUwideConstants!$S$164:$S$200,0))))</f>
        <v/>
      </c>
      <c r="Z630" s="371" t="str">
        <f>IF(ISBLANK(F630),"",IF(F630=EUconst_NA,"",INDEX(EUwideConstants!$H:$O,MATCH(T630,EUwideConstants!$S:$S,0),MATCH(F630,CNTR_TierList,0))))</f>
        <v/>
      </c>
      <c r="AA630" s="414" t="str">
        <f>IF(F630=1,1,"")</f>
        <v/>
      </c>
      <c r="AB630" s="314"/>
      <c r="AC630" s="373" t="b">
        <f>AND(AC626,Y630&lt;&gt;EUconst_NA)</f>
        <v>0</v>
      </c>
      <c r="AD630" s="314"/>
      <c r="AE630" s="415"/>
      <c r="AF630" s="416"/>
      <c r="AG630" s="417"/>
      <c r="AH630" s="418"/>
      <c r="AI630" s="418"/>
      <c r="AJ630" s="418"/>
      <c r="AK630" s="419"/>
      <c r="AL630" s="326"/>
      <c r="AM630" s="358" t="s">
        <v>155</v>
      </c>
      <c r="AN630" s="359" t="str">
        <f>IF(AN628=EUconst_NA,EUconst_NA,INDEX(EUwideConstants!$C$150:$H$154,MATCH(AJ629,EFUnits,0),MATCH(AN628,EUwideConstants!$C$149:$H$149,0)))</f>
        <v>n.a.</v>
      </c>
      <c r="AO630" s="359" t="b">
        <f>AN630&lt;&gt;EUconst_NA</f>
        <v>0</v>
      </c>
      <c r="AP630" s="326"/>
      <c r="AQ630" s="376" t="str">
        <f>EUconst_CNTR_BiomassContent&amp;EUconst_Value</f>
        <v>BioC_Value</v>
      </c>
      <c r="AR630" s="420"/>
      <c r="AS630" s="378" t="str">
        <f t="shared" ref="AS630:AS635" si="186">IF(AC630=TRUE,IF(COUNTIF(MSPara_SourceStreamCategory,V630)=0,"",INDEX(MSPara_CalcFactorsMatrix,MATCH(V630,MSPara_SourceStreamCategory,0),MATCH(AQ630&amp;"_"&amp;2,MSPara_CalcFactors,0))),"")</f>
        <v/>
      </c>
      <c r="AT630" s="421"/>
      <c r="AU630" s="380" t="str">
        <f t="shared" ref="AU630:AU635" si="187">IF(OR(AA630="",AS630=EUconst_NA),"",AS630)</f>
        <v/>
      </c>
      <c r="AV630" s="373">
        <f>IF(AC630=TRUE,IF(COUNT(K630:L630)=0,0,IF(L630="",K630,L630)),0)</f>
        <v>0</v>
      </c>
      <c r="AW630" s="369" t="b">
        <f t="shared" si="180"/>
        <v>0</v>
      </c>
      <c r="AX630" s="381" t="b">
        <f t="shared" si="181"/>
        <v>0</v>
      </c>
      <c r="AY630" s="314"/>
      <c r="AZ630" s="382" t="b">
        <f t="shared" si="182"/>
        <v>0</v>
      </c>
      <c r="BA630" s="383" t="b">
        <f t="shared" si="183"/>
        <v>0</v>
      </c>
      <c r="BB630" s="314"/>
      <c r="BC630" s="369" t="b">
        <f t="shared" si="184"/>
        <v>0</v>
      </c>
      <c r="BD630" s="369" t="b">
        <f>OR(AV630&gt;100%,(AV630+AV631)&gt;100%)</f>
        <v>0</v>
      </c>
      <c r="BE630" s="314"/>
      <c r="BF630" s="382" t="s">
        <v>156</v>
      </c>
      <c r="BG630" s="384" t="str">
        <f>IF(COUNTIF(AO629:AO630,TRUE)=0,"",BH630*AV637)</f>
        <v/>
      </c>
      <c r="BH630" s="384" t="str">
        <f>IF(COUNTIF(AO629:AO630,TRUE)=0,"",AV626*IF(AO629,1,AV628*AN630)*AV629*AV632)</f>
        <v/>
      </c>
      <c r="BJ630" s="314"/>
      <c r="BK630" s="314"/>
      <c r="BL630" s="314"/>
      <c r="BM630" s="314"/>
      <c r="BN630" s="314"/>
      <c r="BO630" s="314"/>
      <c r="BP630" s="314"/>
      <c r="BQ630" s="314"/>
      <c r="BR630" s="314"/>
      <c r="BS630" s="314"/>
      <c r="BT630" s="314"/>
      <c r="BU630" s="314"/>
      <c r="BV630" s="314"/>
      <c r="BW630" s="314"/>
      <c r="BX630" s="314"/>
      <c r="BY630" s="314"/>
      <c r="BZ630" s="314"/>
      <c r="CA630" s="314"/>
      <c r="CB630" s="314"/>
      <c r="CC630" s="314"/>
      <c r="CD630" s="314"/>
      <c r="CE630" s="314"/>
      <c r="CF630" s="314"/>
      <c r="CG630" s="314"/>
      <c r="CH630" s="314"/>
      <c r="CI630" s="314"/>
      <c r="CJ630" s="314"/>
      <c r="CK630" s="314"/>
      <c r="CL630" s="314"/>
      <c r="CM630" s="314"/>
      <c r="CN630" s="314"/>
      <c r="CO630" s="314"/>
      <c r="CP630" s="314"/>
      <c r="CQ630" s="369" t="b">
        <f>OR(CQ626,Y630=EUconst_NA)</f>
        <v>0</v>
      </c>
    </row>
    <row r="631" spans="1:95" ht="12.75" customHeight="1" thickBot="1" x14ac:dyDescent="0.3">
      <c r="A631" s="307"/>
      <c r="B631" s="68"/>
      <c r="C631" s="199" t="s">
        <v>16</v>
      </c>
      <c r="D631" s="344" t="str">
        <f>Translations!$B$368</f>
        <v>non-sust. BioF:</v>
      </c>
      <c r="E631" s="345"/>
      <c r="F631" s="20"/>
      <c r="G631" s="1256" t="str">
        <f>IF(OR(ISBLANK(F631),F631=EUconst_NoTier),"",IF(Z631=0,EUconst_NotApplicable,IF(ISERROR(Z631),"",Z631)))</f>
        <v/>
      </c>
      <c r="H631" s="1257"/>
      <c r="I631" s="422" t="str">
        <f t="shared" si="185"/>
        <v/>
      </c>
      <c r="J631" s="423"/>
      <c r="K631" s="424" t="str">
        <f>IF(L631="",AU631,"")</f>
        <v/>
      </c>
      <c r="L631" s="21"/>
      <c r="M631" s="347" t="str">
        <f>IF(AND(E621&lt;&gt;"",OR(F631="",COUNT(K631:L631)=0),Y631&lt;&gt;EUconst_NA),EUconst_ERR_Incomplete,IF(COUNTIF(BB631:BD631,TRUE)&gt;0,EUconst_ERR_Inconsistent,""))</f>
        <v/>
      </c>
      <c r="N631" s="76"/>
      <c r="O631" s="160"/>
      <c r="P631" s="348"/>
      <c r="Q631" s="413"/>
      <c r="R631" s="413"/>
      <c r="S631" s="314"/>
      <c r="T631" s="425" t="str">
        <f>EUconst_CNTR_BiomassContent&amp;E621</f>
        <v>BioC_</v>
      </c>
      <c r="U631" s="312"/>
      <c r="V631" s="407" t="str">
        <f>V630</f>
        <v/>
      </c>
      <c r="W631" s="407" t="str">
        <f>IF(OR(V630="",COUNTIF(MSPara_SourceStreamCategory,V631)=0),"",INDEX(MSPara_IsFossil,MATCH(V631,MSPara_SourceStreamCategory,0)))</f>
        <v/>
      </c>
      <c r="X631" s="312"/>
      <c r="Y631" s="426" t="str">
        <f>IF(E621="","",IF(OR(F631=EUconst_NA,W631=TRUE),EUconst_NA,INDEX(EUwideConstants!$P$164:$P$200,MATCH(T631,EUwideConstants!$S$164:$S$200,0))))</f>
        <v/>
      </c>
      <c r="Z631" s="427" t="str">
        <f>IF(ISBLANK(F631),"",IF(F631=EUconst_NA,"",INDEX(EUwideConstants!$H:$O,MATCH(T631,EUwideConstants!$S:$S,0),MATCH(F631,CNTR_TierList,0))))</f>
        <v/>
      </c>
      <c r="AA631" s="428" t="str">
        <f>IF(F631=1,1,"")</f>
        <v/>
      </c>
      <c r="AB631" s="314"/>
      <c r="AC631" s="429" t="b">
        <f>AND(AC626,Y631&lt;&gt;EUconst_NA)</f>
        <v>0</v>
      </c>
      <c r="AD631" s="314"/>
      <c r="AE631" s="430"/>
      <c r="AF631" s="431"/>
      <c r="AG631" s="432"/>
      <c r="AH631" s="433"/>
      <c r="AI631" s="433"/>
      <c r="AJ631" s="433"/>
      <c r="AK631" s="434"/>
      <c r="AL631" s="326"/>
      <c r="AM631" s="326"/>
      <c r="AN631" s="326"/>
      <c r="AO631" s="326"/>
      <c r="AP631" s="326"/>
      <c r="AQ631" s="435" t="str">
        <f>EUconst_CNTR_BiomassContent&amp;EUconst_Value</f>
        <v>BioC_Value</v>
      </c>
      <c r="AR631" s="430"/>
      <c r="AS631" s="436" t="str">
        <f t="shared" si="186"/>
        <v/>
      </c>
      <c r="AT631" s="437"/>
      <c r="AU631" s="438" t="str">
        <f t="shared" si="187"/>
        <v/>
      </c>
      <c r="AV631" s="429">
        <f>IF(AC631=TRUE,IF(COUNT(K631:L631)=0,0,IF(L631="",K631,L631)),0)</f>
        <v>0</v>
      </c>
      <c r="AW631" s="407" t="b">
        <f t="shared" si="180"/>
        <v>0</v>
      </c>
      <c r="AX631" s="439" t="b">
        <f t="shared" si="181"/>
        <v>0</v>
      </c>
      <c r="AY631" s="314"/>
      <c r="AZ631" s="408" t="b">
        <f t="shared" si="182"/>
        <v>0</v>
      </c>
      <c r="BA631" s="440" t="b">
        <f t="shared" si="183"/>
        <v>0</v>
      </c>
      <c r="BB631" s="314"/>
      <c r="BC631" s="407" t="b">
        <f t="shared" si="184"/>
        <v>0</v>
      </c>
      <c r="BD631" s="407" t="b">
        <f>OR(AV630&gt;100%,(AV630+AV631)&gt;100%)</f>
        <v>0</v>
      </c>
      <c r="BE631" s="314"/>
      <c r="BF631" s="408" t="s">
        <v>157</v>
      </c>
      <c r="BG631" s="409" t="str">
        <f>IF(COUNTIF(AO629:AO630,TRUE)=0,"",BH631*AV637)</f>
        <v/>
      </c>
      <c r="BH631" s="409" t="str">
        <f>IF(COUNTIF(AO629:AO630,TRUE)=0,"",AV626*IF(AO629,1,AV628*AN630)*AV629*AV633)</f>
        <v/>
      </c>
      <c r="BJ631" s="314"/>
      <c r="BK631" s="314"/>
      <c r="BL631" s="314"/>
      <c r="BM631" s="314"/>
      <c r="BN631" s="314"/>
      <c r="BO631" s="314"/>
      <c r="BP631" s="314"/>
      <c r="BQ631" s="314"/>
      <c r="BR631" s="314"/>
      <c r="BS631" s="314"/>
      <c r="BT631" s="314"/>
      <c r="BU631" s="314"/>
      <c r="BV631" s="314"/>
      <c r="BW631" s="314"/>
      <c r="BX631" s="314"/>
      <c r="BY631" s="314"/>
      <c r="BZ631" s="314"/>
      <c r="CA631" s="314"/>
      <c r="CB631" s="314"/>
      <c r="CC631" s="314"/>
      <c r="CD631" s="314"/>
      <c r="CE631" s="314"/>
      <c r="CF631" s="314"/>
      <c r="CG631" s="314"/>
      <c r="CH631" s="314"/>
      <c r="CI631" s="314"/>
      <c r="CJ631" s="314"/>
      <c r="CK631" s="314"/>
      <c r="CL631" s="314"/>
      <c r="CM631" s="314"/>
      <c r="CN631" s="314"/>
      <c r="CO631" s="314"/>
      <c r="CP631" s="314"/>
      <c r="CQ631" s="407" t="b">
        <f>OR(CQ626,Y631=EUconst_NA)</f>
        <v>0</v>
      </c>
    </row>
    <row r="632" spans="1:95" ht="12.75" customHeight="1" thickBot="1" x14ac:dyDescent="0.3">
      <c r="A632" s="307"/>
      <c r="B632" s="68"/>
      <c r="C632" s="199" t="s">
        <v>17</v>
      </c>
      <c r="D632" s="344" t="str">
        <f>Translations!$B$610</f>
        <v>sust. RFNBO/RCF:</v>
      </c>
      <c r="E632" s="441"/>
      <c r="F632" s="19" t="s">
        <v>158</v>
      </c>
      <c r="G632" s="1261"/>
      <c r="H632" s="1262"/>
      <c r="I632" s="442" t="str">
        <f t="shared" si="185"/>
        <v/>
      </c>
      <c r="J632" s="411"/>
      <c r="K632" s="443"/>
      <c r="L632" s="55"/>
      <c r="M632" s="347" t="str">
        <f>IF(AND(E621&lt;&gt;"",OR(F632="",COUNT(L632)=0),Y632&lt;&gt;EUconst_NA),EUconst_ERR_Incomplete,"")</f>
        <v/>
      </c>
      <c r="N632" s="76"/>
      <c r="O632" s="160"/>
      <c r="P632" s="348"/>
      <c r="Q632" s="413"/>
      <c r="R632" s="413"/>
      <c r="S632" s="314"/>
      <c r="T632" s="388" t="str">
        <f>EUconst_CNTR_RFNBOetcContent&amp;E621</f>
        <v>RNFBOC_</v>
      </c>
      <c r="U632" s="312"/>
      <c r="V632" s="312"/>
      <c r="W632" s="312"/>
      <c r="X632" s="312"/>
      <c r="Y632" s="380" t="str">
        <f>IF(E621="","",IF(OR(F632=EUconst_NA,W632=TRUE),EUconst_NA,INDEX(EUwideConstants!$P$164:$P$200,MATCH(T632,EUwideConstants!$S$164:$S$200,0))))</f>
        <v/>
      </c>
      <c r="Z632" s="314"/>
      <c r="AA632" s="314"/>
      <c r="AB632" s="314"/>
      <c r="AC632" s="397" t="b">
        <f>AND(AC628,Y632&lt;&gt;EUconst_NA)</f>
        <v>0</v>
      </c>
      <c r="AD632" s="314"/>
      <c r="AE632" s="415"/>
      <c r="AF632" s="416"/>
      <c r="AG632" s="417"/>
      <c r="AH632" s="418"/>
      <c r="AI632" s="418"/>
      <c r="AJ632" s="418"/>
      <c r="AK632" s="419"/>
      <c r="AL632" s="326"/>
      <c r="AM632" s="326"/>
      <c r="AN632" s="326"/>
      <c r="AO632" s="326"/>
      <c r="AP632" s="326"/>
      <c r="AQ632" s="444" t="s">
        <v>159</v>
      </c>
      <c r="AR632" s="415"/>
      <c r="AS632" s="445" t="str">
        <f t="shared" si="186"/>
        <v/>
      </c>
      <c r="AT632" s="446"/>
      <c r="AU632" s="447" t="str">
        <f t="shared" si="187"/>
        <v/>
      </c>
      <c r="AV632" s="397">
        <f>IF(L632&lt;&gt;0,L632,L632)</f>
        <v>0</v>
      </c>
      <c r="AW632" s="398" t="b">
        <f t="shared" si="180"/>
        <v>0</v>
      </c>
      <c r="AX632" s="448" t="b">
        <f t="shared" si="181"/>
        <v>0</v>
      </c>
      <c r="AY632" s="314"/>
      <c r="AZ632" s="449" t="b">
        <f t="shared" si="182"/>
        <v>0</v>
      </c>
      <c r="BA632" s="450" t="b">
        <f t="shared" si="183"/>
        <v>0</v>
      </c>
      <c r="BB632" s="314"/>
      <c r="BC632" s="398" t="b">
        <f t="shared" si="184"/>
        <v>0</v>
      </c>
      <c r="BD632" s="369" t="b">
        <f>OR(AV632&gt;100%,(AV632+AV633)&gt;100%)</f>
        <v>0</v>
      </c>
      <c r="BE632" s="314"/>
      <c r="BF632" s="451" t="s">
        <v>160</v>
      </c>
      <c r="BG632" s="452" t="str">
        <f>IF(COUNTIF(AO629:AO630,TRUE)=0,"",BH632*AV637)</f>
        <v/>
      </c>
      <c r="BH632" s="452" t="str">
        <f>IF(COUNTIF(AO629:AO630,TRUE)=0,"",AV626*IF(AO629,1,AV628*AN630)*AV629*AV634)</f>
        <v/>
      </c>
      <c r="BJ632" s="314"/>
      <c r="BK632" s="314"/>
      <c r="BL632" s="314"/>
      <c r="BM632" s="314"/>
      <c r="BN632" s="314"/>
      <c r="BO632" s="314"/>
      <c r="BP632" s="314"/>
      <c r="BQ632" s="314"/>
      <c r="BR632" s="314"/>
      <c r="BS632" s="314"/>
      <c r="BT632" s="314"/>
      <c r="BU632" s="314"/>
      <c r="BV632" s="314"/>
      <c r="BW632" s="314"/>
      <c r="BX632" s="314"/>
      <c r="BY632" s="314"/>
      <c r="BZ632" s="314"/>
      <c r="CA632" s="314"/>
      <c r="CB632" s="314"/>
      <c r="CC632" s="314"/>
      <c r="CD632" s="314"/>
      <c r="CE632" s="314"/>
      <c r="CF632" s="314"/>
      <c r="CG632" s="314"/>
      <c r="CH632" s="314"/>
      <c r="CI632" s="314"/>
      <c r="CJ632" s="314"/>
      <c r="CK632" s="314"/>
      <c r="CL632" s="314"/>
      <c r="CM632" s="314"/>
      <c r="CN632" s="314"/>
      <c r="CO632" s="314"/>
      <c r="CP632" s="314"/>
      <c r="CQ632" s="407" t="b">
        <f>OR(CQ626,Y632=EUconst_NA)</f>
        <v>0</v>
      </c>
    </row>
    <row r="633" spans="1:95" ht="12.75" customHeight="1" thickBot="1" x14ac:dyDescent="0.3">
      <c r="A633" s="307"/>
      <c r="B633" s="68"/>
      <c r="C633" s="199" t="s">
        <v>161</v>
      </c>
      <c r="D633" s="344" t="str">
        <f>Translations!$B$613</f>
        <v>non-sust. RFNBO/RCF:</v>
      </c>
      <c r="E633" s="441"/>
      <c r="F633" s="20" t="s">
        <v>158</v>
      </c>
      <c r="G633" s="1261"/>
      <c r="H633" s="1262"/>
      <c r="I633" s="422" t="str">
        <f t="shared" si="185"/>
        <v/>
      </c>
      <c r="J633" s="423"/>
      <c r="K633" s="443"/>
      <c r="L633" s="56"/>
      <c r="M633" s="347" t="str">
        <f>IF(AND(E621&lt;&gt;"",OR(F633="",COUNT(L633)=0),Y633&lt;&gt;EUconst_NA),EUconst_ERR_Incomplete,"")</f>
        <v/>
      </c>
      <c r="N633" s="76"/>
      <c r="O633" s="160"/>
      <c r="P633" s="348"/>
      <c r="Q633" s="413"/>
      <c r="R633" s="413"/>
      <c r="S633" s="314"/>
      <c r="T633" s="425" t="str">
        <f>EUconst_CNTR_RFNBOetcContent&amp;E621</f>
        <v>RNFBOC_</v>
      </c>
      <c r="U633" s="312"/>
      <c r="V633" s="312"/>
      <c r="W633" s="312"/>
      <c r="X633" s="312"/>
      <c r="Y633" s="438" t="str">
        <f>IF(E621="","",IF(OR(F633=EUconst_NA,W633=TRUE),EUconst_NA,INDEX(EUwideConstants!$P$164:$P$200,MATCH(T633,EUwideConstants!$S$164:$S$200,0))))</f>
        <v/>
      </c>
      <c r="Z633" s="314"/>
      <c r="AA633" s="314"/>
      <c r="AB633" s="314"/>
      <c r="AC633" s="429" t="b">
        <f>AND(AC628,Y633&lt;&gt;EUconst_NA)</f>
        <v>0</v>
      </c>
      <c r="AD633" s="314"/>
      <c r="AE633" s="430"/>
      <c r="AF633" s="431"/>
      <c r="AG633" s="432"/>
      <c r="AH633" s="433"/>
      <c r="AI633" s="433"/>
      <c r="AJ633" s="433"/>
      <c r="AK633" s="434"/>
      <c r="AL633" s="326"/>
      <c r="AM633" s="326"/>
      <c r="AN633" s="326"/>
      <c r="AO633" s="326"/>
      <c r="AP633" s="326"/>
      <c r="AQ633" s="435" t="s">
        <v>159</v>
      </c>
      <c r="AR633" s="430"/>
      <c r="AS633" s="436" t="str">
        <f t="shared" si="186"/>
        <v/>
      </c>
      <c r="AT633" s="437"/>
      <c r="AU633" s="438" t="str">
        <f t="shared" si="187"/>
        <v/>
      </c>
      <c r="AV633" s="429">
        <f t="shared" ref="AV633:AV635" si="188">IF(L633&lt;&gt;0,L633,L633)</f>
        <v>0</v>
      </c>
      <c r="AW633" s="407" t="b">
        <f t="shared" si="180"/>
        <v>0</v>
      </c>
      <c r="AX633" s="439" t="b">
        <f t="shared" si="181"/>
        <v>0</v>
      </c>
      <c r="AY633" s="314"/>
      <c r="AZ633" s="408" t="b">
        <f t="shared" si="182"/>
        <v>0</v>
      </c>
      <c r="BA633" s="440" t="b">
        <f t="shared" si="183"/>
        <v>0</v>
      </c>
      <c r="BB633" s="314"/>
      <c r="BC633" s="407" t="b">
        <f t="shared" si="184"/>
        <v>0</v>
      </c>
      <c r="BD633" s="407" t="b">
        <f>OR(AV632&gt;100%,(AV632+AV633)&gt;100%)</f>
        <v>0</v>
      </c>
      <c r="BE633" s="314"/>
      <c r="BF633" s="408" t="s">
        <v>162</v>
      </c>
      <c r="BG633" s="409" t="str">
        <f>IF(COUNTIF(AO629:AO630,TRUE)=0,"",BH633*AV637)</f>
        <v/>
      </c>
      <c r="BH633" s="409" t="str">
        <f>IF(COUNTIF(AO629:AO630,TRUE)=0,"",AV626*IF(AO629,1,AV628*AN630)*AV629*AV635)</f>
        <v/>
      </c>
      <c r="BJ633" s="314"/>
      <c r="BK633" s="314"/>
      <c r="BL633" s="314"/>
      <c r="BM633" s="314"/>
      <c r="BN633" s="314"/>
      <c r="BO633" s="314"/>
      <c r="BP633" s="314"/>
      <c r="BQ633" s="314"/>
      <c r="BR633" s="314"/>
      <c r="BS633" s="314"/>
      <c r="BT633" s="314"/>
      <c r="BU633" s="314"/>
      <c r="BV633" s="314"/>
      <c r="BW633" s="314"/>
      <c r="BX633" s="314"/>
      <c r="BY633" s="314"/>
      <c r="BZ633" s="314"/>
      <c r="CA633" s="314"/>
      <c r="CB633" s="314"/>
      <c r="CC633" s="314"/>
      <c r="CD633" s="314"/>
      <c r="CE633" s="314"/>
      <c r="CF633" s="314"/>
      <c r="CG633" s="314"/>
      <c r="CH633" s="314"/>
      <c r="CI633" s="314"/>
      <c r="CJ633" s="314"/>
      <c r="CK633" s="314"/>
      <c r="CL633" s="314"/>
      <c r="CM633" s="314"/>
      <c r="CN633" s="314"/>
      <c r="CO633" s="314"/>
      <c r="CP633" s="314"/>
      <c r="CQ633" s="407" t="b">
        <f>OR(CQ626,Y633=EUconst_NA)</f>
        <v>0</v>
      </c>
    </row>
    <row r="634" spans="1:95" ht="12.75" customHeight="1" thickBot="1" x14ac:dyDescent="0.3">
      <c r="A634" s="307"/>
      <c r="B634" s="68"/>
      <c r="C634" s="199" t="s">
        <v>163</v>
      </c>
      <c r="D634" s="344" t="str">
        <f>Translations!$B$615</f>
        <v>sust. SLCF:</v>
      </c>
      <c r="E634" s="441"/>
      <c r="F634" s="19" t="s">
        <v>158</v>
      </c>
      <c r="G634" s="1261"/>
      <c r="H634" s="1262"/>
      <c r="I634" s="442" t="str">
        <f t="shared" si="185"/>
        <v/>
      </c>
      <c r="J634" s="411"/>
      <c r="K634" s="443"/>
      <c r="L634" s="57"/>
      <c r="M634" s="347" t="str">
        <f>IF(AND(E621&lt;&gt;"",OR(F634="",COUNT(L634)=0),Y634&lt;&gt;EUconst_NA),EUconst_ERR_Incomplete,"")</f>
        <v/>
      </c>
      <c r="N634" s="76"/>
      <c r="O634" s="160"/>
      <c r="P634" s="348"/>
      <c r="Q634" s="413"/>
      <c r="R634" s="413"/>
      <c r="S634" s="314"/>
      <c r="T634" s="388" t="str">
        <f>EUconst_CNTR_RFNBOetcContent&amp;E621</f>
        <v>RNFBOC_</v>
      </c>
      <c r="U634" s="312"/>
      <c r="V634" s="312"/>
      <c r="W634" s="312"/>
      <c r="X634" s="312"/>
      <c r="Y634" s="447" t="str">
        <f>IF(E621="","",IF(OR(F634=EUconst_NA,W634=TRUE),EUconst_NA,INDEX(EUwideConstants!$P$164:$P$200,MATCH(T634,EUwideConstants!$S$164:$S$200,0))))</f>
        <v/>
      </c>
      <c r="Z634" s="314"/>
      <c r="AA634" s="314"/>
      <c r="AB634" s="314"/>
      <c r="AC634" s="397" t="b">
        <f>AND(AC630,Y634&lt;&gt;EUconst_NA)</f>
        <v>0</v>
      </c>
      <c r="AD634" s="314"/>
      <c r="AE634" s="415"/>
      <c r="AF634" s="416"/>
      <c r="AG634" s="417"/>
      <c r="AH634" s="418"/>
      <c r="AI634" s="418"/>
      <c r="AJ634" s="418"/>
      <c r="AK634" s="419"/>
      <c r="AL634" s="326"/>
      <c r="AM634" s="326"/>
      <c r="AN634" s="326"/>
      <c r="AO634" s="326"/>
      <c r="AP634" s="326"/>
      <c r="AQ634" s="444" t="s">
        <v>159</v>
      </c>
      <c r="AR634" s="415"/>
      <c r="AS634" s="445" t="str">
        <f t="shared" si="186"/>
        <v/>
      </c>
      <c r="AT634" s="446"/>
      <c r="AU634" s="447" t="str">
        <f t="shared" si="187"/>
        <v/>
      </c>
      <c r="AV634" s="397">
        <f t="shared" si="188"/>
        <v>0</v>
      </c>
      <c r="AW634" s="398" t="b">
        <f t="shared" si="180"/>
        <v>0</v>
      </c>
      <c r="AX634" s="448" t="b">
        <f t="shared" si="181"/>
        <v>0</v>
      </c>
      <c r="AY634" s="314"/>
      <c r="AZ634" s="449" t="b">
        <f t="shared" si="182"/>
        <v>0</v>
      </c>
      <c r="BA634" s="450" t="b">
        <f t="shared" si="183"/>
        <v>0</v>
      </c>
      <c r="BB634" s="314"/>
      <c r="BC634" s="398" t="b">
        <f t="shared" si="184"/>
        <v>0</v>
      </c>
      <c r="BD634" s="369" t="b">
        <f>OR(AV634&gt;100%,(AV634+AV635)&gt;100%)</f>
        <v>0</v>
      </c>
      <c r="BE634" s="314"/>
      <c r="BF634" s="451" t="s">
        <v>164</v>
      </c>
      <c r="BG634" s="452">
        <f>IF(AN626=EUconst_TJ,AV626*(1-AV630),IF(AN628=EUconst_GJ,AV626*AV628/1000,0))-SUM(BG635:BG641)</f>
        <v>0</v>
      </c>
      <c r="BH634" s="314"/>
      <c r="BI634" s="314"/>
      <c r="BJ634" s="314"/>
      <c r="BK634" s="314"/>
      <c r="BL634" s="314"/>
      <c r="BM634" s="314"/>
      <c r="BN634" s="314"/>
      <c r="BO634" s="314"/>
      <c r="BP634" s="314"/>
      <c r="BQ634" s="314"/>
      <c r="BR634" s="314"/>
      <c r="BS634" s="314"/>
      <c r="BT634" s="314"/>
      <c r="BU634" s="314"/>
      <c r="BV634" s="314"/>
      <c r="BW634" s="314"/>
      <c r="BX634" s="314"/>
      <c r="BY634" s="314"/>
      <c r="BZ634" s="314"/>
      <c r="CA634" s="314"/>
      <c r="CB634" s="314"/>
      <c r="CC634" s="314"/>
      <c r="CD634" s="314"/>
      <c r="CE634" s="314"/>
      <c r="CF634" s="314"/>
      <c r="CG634" s="314"/>
      <c r="CH634" s="314"/>
      <c r="CI634" s="314"/>
      <c r="CJ634" s="314"/>
      <c r="CK634" s="314"/>
      <c r="CL634" s="314"/>
      <c r="CM634" s="314"/>
      <c r="CN634" s="314"/>
      <c r="CO634" s="314"/>
      <c r="CP634" s="314"/>
      <c r="CQ634" s="407" t="b">
        <f>OR(CQ626,Y634=EUconst_NA)</f>
        <v>0</v>
      </c>
    </row>
    <row r="635" spans="1:95" ht="12.75" customHeight="1" thickBot="1" x14ac:dyDescent="0.3">
      <c r="A635" s="307"/>
      <c r="B635" s="68"/>
      <c r="C635" s="199" t="s">
        <v>165</v>
      </c>
      <c r="D635" s="344" t="str">
        <f>Translations!$B$618</f>
        <v>non-sust. SLCF:</v>
      </c>
      <c r="E635" s="441"/>
      <c r="F635" s="20" t="s">
        <v>158</v>
      </c>
      <c r="G635" s="1261"/>
      <c r="H635" s="1262"/>
      <c r="I635" s="422" t="str">
        <f t="shared" si="185"/>
        <v/>
      </c>
      <c r="J635" s="423"/>
      <c r="K635" s="443"/>
      <c r="L635" s="56"/>
      <c r="M635" s="347" t="str">
        <f>IF(AND(E621&lt;&gt;"",OR(F635="",COUNT(L635)=0),Y635&lt;&gt;EUconst_NA),EUconst_ERR_Incomplete,"")</f>
        <v/>
      </c>
      <c r="N635" s="76"/>
      <c r="O635" s="160"/>
      <c r="P635" s="348"/>
      <c r="Q635" s="413"/>
      <c r="R635" s="413"/>
      <c r="S635" s="314"/>
      <c r="T635" s="425" t="str">
        <f>EUconst_CNTR_RFNBOetcContent&amp;E621</f>
        <v>RNFBOC_</v>
      </c>
      <c r="U635" s="312"/>
      <c r="V635" s="312"/>
      <c r="W635" s="312"/>
      <c r="X635" s="312"/>
      <c r="Y635" s="438" t="str">
        <f>IF(E621="","",IF(OR(F635=EUconst_NA,W635=TRUE),EUconst_NA,INDEX(EUwideConstants!$P$164:$P$200,MATCH(T635,EUwideConstants!$S$164:$S$200,0))))</f>
        <v/>
      </c>
      <c r="Z635" s="314"/>
      <c r="AA635" s="314"/>
      <c r="AB635" s="314"/>
      <c r="AC635" s="429" t="b">
        <f>AND(AC630,Y635&lt;&gt;EUconst_NA)</f>
        <v>0</v>
      </c>
      <c r="AD635" s="314"/>
      <c r="AE635" s="430"/>
      <c r="AF635" s="431"/>
      <c r="AG635" s="432"/>
      <c r="AH635" s="433"/>
      <c r="AI635" s="433"/>
      <c r="AJ635" s="433"/>
      <c r="AK635" s="434"/>
      <c r="AL635" s="326"/>
      <c r="AM635" s="326"/>
      <c r="AN635" s="326"/>
      <c r="AO635" s="326"/>
      <c r="AP635" s="326"/>
      <c r="AQ635" s="435" t="s">
        <v>159</v>
      </c>
      <c r="AR635" s="430"/>
      <c r="AS635" s="436" t="str">
        <f t="shared" si="186"/>
        <v/>
      </c>
      <c r="AT635" s="437"/>
      <c r="AU635" s="438" t="str">
        <f t="shared" si="187"/>
        <v/>
      </c>
      <c r="AV635" s="429">
        <f t="shared" si="188"/>
        <v>0</v>
      </c>
      <c r="AW635" s="407" t="b">
        <f t="shared" si="180"/>
        <v>0</v>
      </c>
      <c r="AX635" s="439" t="b">
        <f t="shared" si="181"/>
        <v>0</v>
      </c>
      <c r="AY635" s="314"/>
      <c r="AZ635" s="408" t="b">
        <f t="shared" si="182"/>
        <v>0</v>
      </c>
      <c r="BA635" s="440" t="b">
        <f t="shared" si="183"/>
        <v>0</v>
      </c>
      <c r="BB635" s="314"/>
      <c r="BC635" s="407" t="b">
        <f t="shared" si="184"/>
        <v>0</v>
      </c>
      <c r="BD635" s="407" t="b">
        <f>OR(AV634&gt;100%,(AV634+AV635)&gt;100%)</f>
        <v>0</v>
      </c>
      <c r="BE635" s="314"/>
      <c r="BF635" s="408" t="s">
        <v>166</v>
      </c>
      <c r="BG635" s="409" t="str">
        <f>IF(AN626=EUconst_TJ,AV626*AV630,IF(AN628=EUconst_GJ,AV626*AV628/1000*AV630,""))</f>
        <v/>
      </c>
      <c r="BH635" s="314"/>
      <c r="BI635" s="314"/>
      <c r="BJ635" s="314"/>
      <c r="BK635" s="314"/>
      <c r="BL635" s="314"/>
      <c r="BM635" s="314"/>
      <c r="BN635" s="314"/>
      <c r="BO635" s="314"/>
      <c r="BP635" s="314"/>
      <c r="BQ635" s="314"/>
      <c r="BR635" s="314"/>
      <c r="BS635" s="314"/>
      <c r="BT635" s="314"/>
      <c r="BU635" s="314"/>
      <c r="BV635" s="314"/>
      <c r="BW635" s="314"/>
      <c r="BX635" s="314"/>
      <c r="BY635" s="314"/>
      <c r="BZ635" s="314"/>
      <c r="CA635" s="314"/>
      <c r="CB635" s="314"/>
      <c r="CC635" s="314"/>
      <c r="CD635" s="314"/>
      <c r="CE635" s="314"/>
      <c r="CF635" s="314"/>
      <c r="CG635" s="314"/>
      <c r="CH635" s="314"/>
      <c r="CI635" s="314"/>
      <c r="CJ635" s="314"/>
      <c r="CK635" s="314"/>
      <c r="CL635" s="314"/>
      <c r="CM635" s="314"/>
      <c r="CN635" s="314"/>
      <c r="CO635" s="314"/>
      <c r="CP635" s="314"/>
      <c r="CQ635" s="407" t="b">
        <f>OR(CQ626,Y635=EUconst_NA)</f>
        <v>0</v>
      </c>
    </row>
    <row r="636" spans="1:95" ht="5.15" customHeight="1" thickBot="1" x14ac:dyDescent="0.3">
      <c r="A636" s="307"/>
      <c r="B636" s="68"/>
      <c r="C636" s="68"/>
      <c r="D636" s="205"/>
      <c r="E636" s="76"/>
      <c r="F636" s="76"/>
      <c r="G636" s="76"/>
      <c r="H636" s="76"/>
      <c r="I636" s="76"/>
      <c r="J636" s="76"/>
      <c r="K636" s="76"/>
      <c r="L636" s="76"/>
      <c r="M636" s="453"/>
      <c r="N636" s="76"/>
      <c r="O636" s="160"/>
      <c r="P636" s="109"/>
      <c r="Q636" s="312"/>
      <c r="R636" s="312"/>
      <c r="S636" s="314"/>
      <c r="T636" s="314"/>
      <c r="U636" s="314"/>
      <c r="V636" s="314"/>
      <c r="W636" s="314"/>
      <c r="X636" s="314"/>
      <c r="Y636" s="314"/>
      <c r="Z636" s="314"/>
      <c r="AA636" s="314"/>
      <c r="AB636" s="314"/>
      <c r="AC636" s="314"/>
      <c r="AD636" s="314"/>
      <c r="AE636" s="314"/>
      <c r="AF636" s="314"/>
      <c r="AG636" s="314"/>
      <c r="AH636" s="314"/>
      <c r="AI636" s="314"/>
      <c r="AJ636" s="314"/>
      <c r="AK636" s="314"/>
      <c r="AL636" s="314"/>
      <c r="AM636" s="314"/>
      <c r="AN636" s="314"/>
      <c r="AO636" s="314"/>
      <c r="AP636" s="314"/>
      <c r="AQ636" s="314"/>
      <c r="AR636" s="314"/>
      <c r="AS636" s="314"/>
      <c r="AT636" s="314"/>
      <c r="AU636" s="314"/>
      <c r="AV636" s="314"/>
      <c r="AW636" s="314"/>
      <c r="AX636" s="314"/>
      <c r="AY636" s="314"/>
      <c r="AZ636" s="314"/>
      <c r="BA636" s="314"/>
      <c r="BB636" s="314"/>
      <c r="BC636" s="314"/>
      <c r="BD636" s="314"/>
      <c r="BE636" s="314"/>
      <c r="BF636" s="314"/>
      <c r="BG636" s="364"/>
      <c r="BH636" s="314"/>
      <c r="BI636" s="314"/>
      <c r="BJ636" s="314"/>
      <c r="BK636" s="314"/>
      <c r="BL636" s="314"/>
      <c r="BM636" s="314"/>
      <c r="BN636" s="314"/>
      <c r="BO636" s="314"/>
      <c r="BP636" s="314"/>
      <c r="BQ636" s="314"/>
      <c r="BR636" s="314"/>
      <c r="BS636" s="314"/>
      <c r="BT636" s="314"/>
      <c r="BU636" s="314"/>
      <c r="BV636" s="314"/>
      <c r="BW636" s="314"/>
      <c r="BX636" s="314"/>
      <c r="BY636" s="314"/>
      <c r="BZ636" s="314"/>
      <c r="CA636" s="314"/>
      <c r="CB636" s="314"/>
      <c r="CC636" s="314"/>
      <c r="CD636" s="314"/>
      <c r="CE636" s="314"/>
      <c r="CF636" s="314"/>
      <c r="CG636" s="314"/>
      <c r="CH636" s="314"/>
      <c r="CI636" s="314"/>
      <c r="CJ636" s="314"/>
      <c r="CK636" s="314"/>
      <c r="CL636" s="314"/>
      <c r="CM636" s="314"/>
      <c r="CN636" s="314"/>
      <c r="CO636" s="314"/>
      <c r="CP636" s="314"/>
      <c r="CQ636" s="314"/>
    </row>
    <row r="637" spans="1:95" ht="12.75" customHeight="1" thickBot="1" x14ac:dyDescent="0.3">
      <c r="A637" s="307"/>
      <c r="B637" s="68"/>
      <c r="C637" s="199" t="s">
        <v>167</v>
      </c>
      <c r="D637" s="344" t="str">
        <f>Translations!$B$398</f>
        <v>Scope factor:</v>
      </c>
      <c r="E637" s="454"/>
      <c r="F637" s="992"/>
      <c r="G637" s="1263"/>
      <c r="H637" s="1264"/>
      <c r="I637" s="455" t="s">
        <v>46</v>
      </c>
      <c r="J637" s="456"/>
      <c r="K637" s="457" t="str">
        <f>IF(L637="",AU637,"")</f>
        <v/>
      </c>
      <c r="L637" s="16"/>
      <c r="M637" s="458" t="str">
        <f>IF(AND(E621&lt;&gt;"",OR(F637="",G637="",COUNT(K637:L637)=0)),EUconst_ERR_Incomplete,IF(COUNTIF(BB637:BD637,TRUE)&gt;0,EUconst_ERR_Inconsistent,""))</f>
        <v/>
      </c>
      <c r="N637" s="76"/>
      <c r="O637" s="160"/>
      <c r="P637" s="109"/>
      <c r="Q637" s="312"/>
      <c r="R637" s="314"/>
      <c r="S637" s="297"/>
      <c r="T637" s="459" t="str">
        <f>EUconst_CNTR_ScopeFactor&amp;E621</f>
        <v>ScopeFactor_</v>
      </c>
      <c r="U637" s="231" t="str">
        <f>IF(F637="","",INDEX(ScopeAddress,MATCH(F637,ScopeTiers,0)))</f>
        <v/>
      </c>
      <c r="V637" s="360" t="str">
        <f>V626</f>
        <v/>
      </c>
      <c r="W637" s="314"/>
      <c r="X637" s="314"/>
      <c r="Y637" s="460" t="str">
        <f>IF(E621="","",IF(F637=EUconst_NA,EUconst_NA,INDEX(EUwideConstants!$P$164:$P$200,MATCH(T637,EUwideConstants!$S$164:$S$200,0))))</f>
        <v/>
      </c>
      <c r="Z637" s="461" t="str">
        <f>IF(ISBLANK(F637),"",IF(F637=EUconst_NA,"",INDEX(EUwideConstants!$H:$O,MATCH(T637,EUwideConstants!$S:$S,0),MATCH(F637,CNTR_TierList,0))))</f>
        <v/>
      </c>
      <c r="AA637" s="331" t="str">
        <f>IF(G637=EUwideConstants!$A$89,1,"")</f>
        <v/>
      </c>
      <c r="AB637" s="314"/>
      <c r="AC637" s="331" t="b">
        <f>AND(AC626,Y637&lt;&gt;EUconst_NA)</f>
        <v>0</v>
      </c>
      <c r="AD637" s="314"/>
      <c r="AE637" s="314"/>
      <c r="AF637" s="314"/>
      <c r="AG637" s="319"/>
      <c r="AH637" s="314"/>
      <c r="AI637" s="314"/>
      <c r="AJ637" s="314"/>
      <c r="AK637" s="314"/>
      <c r="AL637" s="314"/>
      <c r="AM637" s="314"/>
      <c r="AN637" s="314"/>
      <c r="AO637" s="314"/>
      <c r="AP637" s="314"/>
      <c r="AQ637" s="314"/>
      <c r="AR637" s="314"/>
      <c r="AS637" s="328">
        <v>1</v>
      </c>
      <c r="AT637" s="314"/>
      <c r="AU637" s="319" t="str">
        <f>IF(G637=EUwideConstants!$A$89,AS637,"")</f>
        <v/>
      </c>
      <c r="AV637" s="331">
        <f>IF(AC637=TRUE,IF(COUNT(K637:L637)=0,0,IF(L637="",K637,L637)),0)</f>
        <v>0</v>
      </c>
      <c r="AW637" s="360" t="b">
        <f>AND(AC637=TRUE,OR(AND(F637&lt;&gt;"",NOT(ISNUMBER(AA637))),L637&lt;&gt;"",F637="",AU637=""))</f>
        <v>0</v>
      </c>
      <c r="AX637" s="357" t="b">
        <f>AND(AC637=TRUE,NOT(AW637))</f>
        <v>0</v>
      </c>
      <c r="AY637" s="314"/>
      <c r="AZ637" s="361" t="b">
        <f>AND(ISNUMBER(AA637),AU637="")</f>
        <v>0</v>
      </c>
      <c r="BA637" s="351" t="b">
        <f>AND(ISNUMBER(AA637),AU637&lt;&gt;AV637)</f>
        <v>0</v>
      </c>
      <c r="BB637" s="314"/>
      <c r="BC637" s="360" t="b">
        <f>AND(F637&lt;&gt;"",OR(COUNTIF(INDEX(ScopeMethods,F637,),G637)=0,AND(AA637&lt;&gt;"",AU637&lt;&gt;AV637)))</f>
        <v>0</v>
      </c>
      <c r="BD637" s="314"/>
      <c r="BE637" s="314"/>
      <c r="BF637" s="361" t="s">
        <v>168</v>
      </c>
      <c r="BG637" s="362" t="str">
        <f>IF(AN626=EUconst_TJ,AV626*AV632,IF(AN628=EUconst_GJ,AV626*AV628/1000*AV632,""))</f>
        <v/>
      </c>
      <c r="BH637" s="314"/>
      <c r="BI637" s="314"/>
      <c r="BJ637" s="314"/>
      <c r="BK637" s="314"/>
      <c r="BL637" s="314"/>
      <c r="BM637" s="314"/>
      <c r="BN637" s="314"/>
      <c r="BO637" s="314"/>
      <c r="BP637" s="314"/>
      <c r="BQ637" s="314"/>
      <c r="BR637" s="314"/>
      <c r="BS637" s="314"/>
      <c r="BT637" s="314"/>
      <c r="BU637" s="314"/>
      <c r="BV637" s="314"/>
      <c r="BW637" s="314"/>
      <c r="BX637" s="314"/>
      <c r="BY637" s="314"/>
      <c r="BZ637" s="314"/>
      <c r="CA637" s="314"/>
      <c r="CB637" s="314"/>
      <c r="CC637" s="314"/>
      <c r="CD637" s="314"/>
      <c r="CE637" s="314"/>
      <c r="CF637" s="314"/>
      <c r="CG637" s="314"/>
      <c r="CH637" s="314"/>
      <c r="CI637" s="314"/>
      <c r="CJ637" s="314"/>
      <c r="CK637" s="314"/>
      <c r="CL637" s="314"/>
      <c r="CM637" s="314"/>
      <c r="CN637" s="314"/>
      <c r="CO637" s="314"/>
      <c r="CP637" s="314"/>
      <c r="CQ637" s="314"/>
    </row>
    <row r="638" spans="1:95" ht="12.75" customHeight="1" x14ac:dyDescent="0.25">
      <c r="A638" s="307"/>
      <c r="B638" s="68"/>
      <c r="C638" s="68"/>
      <c r="D638" s="68"/>
      <c r="E638" s="68"/>
      <c r="F638" s="68"/>
      <c r="G638" s="1265" t="str">
        <f>IF(G637="","",INDEX(ScopeMethodsDetails,MATCH(G637,INDEX(ScopeMethodsDetails,,1),0),2))</f>
        <v/>
      </c>
      <c r="H638" s="1266"/>
      <c r="I638" s="1266"/>
      <c r="J638" s="1266"/>
      <c r="K638" s="1266"/>
      <c r="L638" s="1266"/>
      <c r="M638" s="1267"/>
      <c r="N638" s="76"/>
      <c r="O638" s="160"/>
      <c r="P638" s="109"/>
      <c r="Q638" s="312"/>
      <c r="R638" s="312"/>
      <c r="S638" s="314"/>
      <c r="T638" s="314"/>
      <c r="U638" s="314"/>
      <c r="V638" s="314"/>
      <c r="W638" s="314"/>
      <c r="X638" s="314"/>
      <c r="Y638" s="314"/>
      <c r="Z638" s="314"/>
      <c r="AA638" s="314"/>
      <c r="AB638" s="314"/>
      <c r="AC638" s="314"/>
      <c r="AD638" s="314"/>
      <c r="AE638" s="314"/>
      <c r="AF638" s="314"/>
      <c r="AG638" s="314"/>
      <c r="AH638" s="314"/>
      <c r="AI638" s="314"/>
      <c r="AJ638" s="314"/>
      <c r="AK638" s="314"/>
      <c r="AL638" s="314"/>
      <c r="AM638" s="314"/>
      <c r="AN638" s="314"/>
      <c r="AO638" s="314"/>
      <c r="AP638" s="314"/>
      <c r="AQ638" s="314"/>
      <c r="AR638" s="314"/>
      <c r="AS638" s="314"/>
      <c r="AT638" s="314"/>
      <c r="AU638" s="314"/>
      <c r="AV638" s="314"/>
      <c r="AW638" s="314"/>
      <c r="AX638" s="314"/>
      <c r="AY638" s="314"/>
      <c r="AZ638" s="314"/>
      <c r="BA638" s="314"/>
      <c r="BB638" s="314"/>
      <c r="BC638" s="314"/>
      <c r="BD638" s="314"/>
      <c r="BE638" s="314"/>
      <c r="BG638" s="364"/>
      <c r="BH638" s="314"/>
      <c r="BI638" s="314"/>
      <c r="BJ638" s="314"/>
      <c r="BK638" s="314"/>
      <c r="BL638" s="314"/>
      <c r="BM638" s="314"/>
      <c r="BN638" s="314"/>
      <c r="BO638" s="314"/>
      <c r="BP638" s="314"/>
      <c r="BQ638" s="314"/>
      <c r="BR638" s="314"/>
      <c r="BS638" s="314"/>
      <c r="BT638" s="314"/>
      <c r="BU638" s="314"/>
      <c r="BV638" s="314"/>
      <c r="BW638" s="314"/>
      <c r="BX638" s="314"/>
      <c r="BY638" s="314"/>
      <c r="BZ638" s="314"/>
      <c r="CA638" s="314"/>
      <c r="CB638" s="314"/>
      <c r="CC638" s="314"/>
      <c r="CD638" s="314"/>
      <c r="CE638" s="314"/>
      <c r="CF638" s="314"/>
      <c r="CG638" s="314"/>
      <c r="CH638" s="314"/>
      <c r="CI638" s="314"/>
      <c r="CJ638" s="314"/>
      <c r="CK638" s="314"/>
      <c r="CL638" s="314"/>
      <c r="CM638" s="314"/>
      <c r="CN638" s="314"/>
      <c r="CO638" s="314"/>
      <c r="CP638" s="314"/>
      <c r="CQ638" s="314"/>
    </row>
    <row r="639" spans="1:95" ht="5.15" customHeight="1" x14ac:dyDescent="0.25">
      <c r="A639" s="307"/>
      <c r="C639" s="76"/>
      <c r="D639" s="76"/>
      <c r="E639" s="76"/>
      <c r="F639" s="76"/>
      <c r="G639" s="76"/>
      <c r="H639" s="76"/>
      <c r="I639" s="76"/>
      <c r="J639" s="76"/>
      <c r="K639" s="76"/>
      <c r="L639" s="76"/>
      <c r="O639" s="160"/>
      <c r="P639" s="109"/>
      <c r="Q639" s="312"/>
      <c r="R639" s="312"/>
      <c r="S639" s="314"/>
      <c r="T639" s="314"/>
      <c r="U639" s="314"/>
      <c r="V639" s="314"/>
      <c r="W639" s="314"/>
      <c r="X639" s="314"/>
      <c r="Y639" s="314"/>
      <c r="Z639" s="314"/>
      <c r="AA639" s="314"/>
      <c r="AB639" s="314"/>
      <c r="AC639" s="314"/>
      <c r="AD639" s="314"/>
      <c r="AE639" s="314"/>
      <c r="AF639" s="314"/>
      <c r="AG639" s="314"/>
      <c r="AH639" s="314"/>
      <c r="AI639" s="314"/>
      <c r="AJ639" s="314"/>
      <c r="AK639" s="314"/>
      <c r="AL639" s="314"/>
      <c r="AM639" s="314"/>
      <c r="AN639" s="314"/>
      <c r="AO639" s="314"/>
      <c r="AP639" s="314"/>
      <c r="AQ639" s="314"/>
      <c r="AR639" s="314"/>
      <c r="AS639" s="314"/>
      <c r="AT639" s="314"/>
      <c r="AU639" s="314"/>
      <c r="AV639" s="314"/>
      <c r="AW639" s="314"/>
      <c r="AX639" s="314"/>
      <c r="AY639" s="314"/>
      <c r="AZ639" s="314"/>
      <c r="BA639" s="314"/>
      <c r="BB639" s="314"/>
      <c r="BC639" s="314"/>
      <c r="BD639" s="314"/>
      <c r="BE639" s="314"/>
      <c r="BG639" s="364"/>
      <c r="BH639" s="314"/>
      <c r="BI639" s="314"/>
      <c r="BJ639" s="314"/>
      <c r="BK639" s="314"/>
      <c r="BL639" s="314"/>
      <c r="BM639" s="314"/>
      <c r="BN639" s="314"/>
      <c r="BO639" s="314"/>
      <c r="BP639" s="314"/>
      <c r="BQ639" s="314"/>
      <c r="BR639" s="314"/>
      <c r="BS639" s="314"/>
      <c r="BT639" s="314"/>
      <c r="BU639" s="314"/>
      <c r="BV639" s="314"/>
      <c r="BW639" s="314"/>
      <c r="BX639" s="314"/>
      <c r="BY639" s="314"/>
      <c r="BZ639" s="314"/>
      <c r="CA639" s="314"/>
      <c r="CB639" s="314"/>
      <c r="CC639" s="314"/>
      <c r="CD639" s="314"/>
      <c r="CE639" s="314"/>
      <c r="CF639" s="314"/>
      <c r="CG639" s="314"/>
      <c r="CH639" s="314"/>
      <c r="CI639" s="314"/>
      <c r="CJ639" s="314"/>
      <c r="CK639" s="314"/>
      <c r="CL639" s="314"/>
      <c r="CM639" s="314"/>
      <c r="CN639" s="314"/>
      <c r="CO639" s="314"/>
      <c r="CP639" s="314"/>
      <c r="CQ639" s="314"/>
    </row>
    <row r="640" spans="1:95" ht="12.75" customHeight="1" thickBot="1" x14ac:dyDescent="0.3">
      <c r="A640" s="307"/>
      <c r="C640" s="76"/>
      <c r="D640" s="76"/>
      <c r="E640" s="76"/>
      <c r="F640" s="76"/>
      <c r="G640" s="1268">
        <v>1</v>
      </c>
      <c r="H640" s="1268"/>
      <c r="I640" s="1268">
        <v>2</v>
      </c>
      <c r="J640" s="1268"/>
      <c r="K640" s="1268">
        <v>3</v>
      </c>
      <c r="L640" s="1268"/>
      <c r="O640" s="160"/>
      <c r="P640" s="109"/>
      <c r="Q640" s="312"/>
      <c r="R640" s="312"/>
      <c r="S640" s="314"/>
      <c r="T640" s="314"/>
      <c r="U640" s="314"/>
      <c r="V640" s="314"/>
      <c r="W640" s="314"/>
      <c r="X640" s="314"/>
      <c r="Y640" s="314"/>
      <c r="Z640" s="314"/>
      <c r="AA640" s="314"/>
      <c r="AB640" s="314"/>
      <c r="AC640" s="314"/>
      <c r="AD640" s="314"/>
      <c r="AE640" s="314"/>
      <c r="AF640" s="314"/>
      <c r="AG640" s="314"/>
      <c r="AH640" s="314"/>
      <c r="AI640" s="314"/>
      <c r="AJ640" s="314"/>
      <c r="AK640" s="314"/>
      <c r="AL640" s="314"/>
      <c r="AM640" s="314"/>
      <c r="AN640" s="314"/>
      <c r="AO640" s="314"/>
      <c r="AP640" s="314"/>
      <c r="AQ640" s="314"/>
      <c r="AR640" s="314"/>
      <c r="AS640" s="314"/>
      <c r="AT640" s="314"/>
      <c r="AU640" s="314"/>
      <c r="AV640" s="314"/>
      <c r="AW640" s="314"/>
      <c r="AX640" s="314"/>
      <c r="AY640" s="314"/>
      <c r="AZ640" s="314"/>
      <c r="BA640" s="314"/>
      <c r="BB640" s="314"/>
      <c r="BC640" s="314"/>
      <c r="BD640" s="314"/>
      <c r="BE640" s="314"/>
      <c r="BF640" s="314"/>
      <c r="BG640" s="364"/>
      <c r="BH640" s="314"/>
      <c r="BI640" s="314"/>
      <c r="BJ640" s="314"/>
      <c r="BK640" s="314"/>
      <c r="BL640" s="314"/>
      <c r="BM640" s="314"/>
      <c r="BN640" s="314"/>
      <c r="BO640" s="314"/>
      <c r="BP640" s="314"/>
      <c r="BQ640" s="314"/>
      <c r="BR640" s="314"/>
      <c r="BS640" s="314"/>
      <c r="BT640" s="314"/>
      <c r="BU640" s="314"/>
      <c r="BV640" s="314"/>
      <c r="BW640" s="314"/>
      <c r="BX640" s="314"/>
      <c r="BY640" s="314"/>
      <c r="BZ640" s="314"/>
      <c r="CA640" s="314"/>
      <c r="CB640" s="314"/>
      <c r="CC640" s="314"/>
      <c r="CD640" s="314"/>
      <c r="CE640" s="314"/>
      <c r="CF640" s="314"/>
      <c r="CG640" s="314"/>
      <c r="CH640" s="314"/>
      <c r="CI640" s="314"/>
      <c r="CJ640" s="314"/>
      <c r="CK640" s="314"/>
      <c r="CL640" s="314"/>
      <c r="CM640" s="314"/>
      <c r="CN640" s="314"/>
      <c r="CO640" s="314"/>
      <c r="CP640" s="314"/>
      <c r="CQ640" s="314"/>
    </row>
    <row r="641" spans="1:95" ht="12.75" customHeight="1" thickBot="1" x14ac:dyDescent="0.3">
      <c r="A641" s="462"/>
      <c r="B641" s="76"/>
      <c r="C641" s="76"/>
      <c r="D641" s="1246" t="str">
        <f>Translations!$B$372</f>
        <v>Consumers' CRF category:</v>
      </c>
      <c r="E641" s="1246"/>
      <c r="F641" s="1247"/>
      <c r="G641" s="1248"/>
      <c r="H641" s="1249"/>
      <c r="I641" s="1248"/>
      <c r="J641" s="1249"/>
      <c r="K641" s="1248"/>
      <c r="L641" s="1249"/>
      <c r="M641" s="463" t="str">
        <f>IF(AND(E620&lt;&gt;"",COUNTA(G641:L641)=0,AX641=FALSE),EUconst_ERR_Incomplete,"")</f>
        <v/>
      </c>
      <c r="N641" s="76"/>
      <c r="O641" s="160"/>
      <c r="P641" s="109"/>
      <c r="Q641" s="312"/>
      <c r="R641" s="312"/>
      <c r="S641" s="314"/>
      <c r="T641" s="314"/>
      <c r="U641" s="314"/>
      <c r="V641" s="314"/>
      <c r="W641" s="314"/>
      <c r="X641" s="314"/>
      <c r="Y641" s="314"/>
      <c r="Z641" s="314"/>
      <c r="AA641" s="314"/>
      <c r="AB641" s="314"/>
      <c r="AC641" s="314"/>
      <c r="AD641" s="314"/>
      <c r="AE641" s="314"/>
      <c r="AF641" s="314"/>
      <c r="AG641" s="314"/>
      <c r="AH641" s="314"/>
      <c r="AI641" s="314"/>
      <c r="AJ641" s="314"/>
      <c r="AK641" s="314"/>
      <c r="AL641" s="314"/>
      <c r="AM641" s="314"/>
      <c r="AN641" s="314"/>
      <c r="AO641" s="314"/>
      <c r="AP641" s="314"/>
      <c r="AQ641" s="314"/>
      <c r="AR641" s="314"/>
      <c r="AS641" s="314"/>
      <c r="AT641" s="314"/>
      <c r="AU641" s="314"/>
      <c r="AV641" s="314"/>
      <c r="AW641" s="314"/>
      <c r="AX641" s="464" t="b">
        <f>AND(AV637&lt;&gt;"",SUM(AV637=1))</f>
        <v>0</v>
      </c>
      <c r="AY641" s="314"/>
      <c r="AZ641" s="314"/>
      <c r="BA641" s="314"/>
      <c r="BB641" s="314"/>
      <c r="BC641" s="314"/>
      <c r="BD641" s="314"/>
      <c r="BE641" s="314"/>
      <c r="BF641" s="361" t="s">
        <v>169</v>
      </c>
      <c r="BG641" s="362" t="str">
        <f>IF(AN626=EUconst_TJ,AV626*AV634,IF(AN628=EUconst_GJ,AV626*AV628/1000*AV634,""))</f>
        <v/>
      </c>
      <c r="BH641" s="314"/>
      <c r="BI641" s="314"/>
      <c r="BJ641" s="314"/>
      <c r="BK641" s="314"/>
      <c r="BL641" s="314"/>
      <c r="BM641" s="314"/>
      <c r="BN641" s="314"/>
      <c r="BO641" s="314"/>
      <c r="BP641" s="314"/>
      <c r="BQ641" s="314"/>
      <c r="BR641" s="314"/>
      <c r="BS641" s="314"/>
      <c r="BT641" s="314"/>
      <c r="BU641" s="314"/>
      <c r="BV641" s="314"/>
      <c r="BW641" s="314"/>
      <c r="BX641" s="314"/>
      <c r="BY641" s="314"/>
      <c r="BZ641" s="314"/>
      <c r="CA641" s="314"/>
      <c r="CB641" s="314"/>
      <c r="CC641" s="314"/>
      <c r="CD641" s="314"/>
      <c r="CE641" s="314"/>
      <c r="CF641" s="314"/>
      <c r="CG641" s="314"/>
      <c r="CH641" s="314"/>
      <c r="CI641" s="314"/>
      <c r="CJ641" s="314"/>
      <c r="CK641" s="314"/>
      <c r="CL641" s="314"/>
      <c r="CM641" s="314"/>
      <c r="CN641" s="314"/>
      <c r="CO641" s="314"/>
      <c r="CP641" s="314"/>
      <c r="CQ641" s="314"/>
    </row>
    <row r="642" spans="1:95" ht="5.15" customHeight="1" x14ac:dyDescent="0.25">
      <c r="A642" s="307"/>
      <c r="B642" s="68"/>
      <c r="C642" s="68"/>
      <c r="D642" s="68"/>
      <c r="E642" s="68"/>
      <c r="F642" s="68"/>
      <c r="G642" s="76"/>
      <c r="H642" s="76"/>
      <c r="I642" s="76"/>
      <c r="J642" s="76"/>
      <c r="K642" s="76"/>
      <c r="L642" s="76"/>
      <c r="M642" s="76"/>
      <c r="N642" s="76"/>
      <c r="O642" s="160"/>
      <c r="P642" s="109"/>
      <c r="Q642" s="312"/>
      <c r="R642" s="312"/>
      <c r="S642" s="314"/>
      <c r="T642" s="314"/>
      <c r="U642" s="314"/>
      <c r="V642" s="314"/>
      <c r="W642" s="314"/>
      <c r="X642" s="314"/>
      <c r="Y642" s="314"/>
      <c r="Z642" s="314"/>
      <c r="AA642" s="314"/>
      <c r="AB642" s="314"/>
      <c r="AC642" s="314"/>
      <c r="AD642" s="314"/>
      <c r="AE642" s="314"/>
      <c r="AF642" s="314"/>
      <c r="AG642" s="314"/>
      <c r="AH642" s="314"/>
      <c r="AI642" s="314"/>
      <c r="AJ642" s="314"/>
      <c r="AK642" s="314"/>
      <c r="AL642" s="314"/>
      <c r="AM642" s="314"/>
      <c r="AN642" s="314"/>
      <c r="AO642" s="314"/>
      <c r="AP642" s="314"/>
      <c r="AQ642" s="314"/>
      <c r="AR642" s="314"/>
      <c r="AS642" s="314"/>
      <c r="AT642" s="314"/>
      <c r="AU642" s="314"/>
      <c r="AV642" s="314"/>
      <c r="AW642" s="314"/>
      <c r="AX642" s="314"/>
      <c r="AY642" s="314"/>
      <c r="AZ642" s="314"/>
      <c r="BA642" s="314"/>
      <c r="BB642" s="314"/>
      <c r="BC642" s="314"/>
      <c r="BD642" s="314"/>
      <c r="BE642" s="314"/>
      <c r="BF642" s="314"/>
      <c r="BG642" s="314"/>
      <c r="BH642" s="314"/>
      <c r="BI642" s="314"/>
      <c r="BJ642" s="314"/>
      <c r="BK642" s="314"/>
      <c r="BL642" s="314"/>
      <c r="BM642" s="314"/>
      <c r="BN642" s="314"/>
      <c r="BO642" s="314"/>
      <c r="BP642" s="314"/>
      <c r="BQ642" s="314"/>
      <c r="BR642" s="314"/>
      <c r="BS642" s="314"/>
      <c r="BT642" s="314"/>
      <c r="BU642" s="314"/>
      <c r="BV642" s="314"/>
      <c r="BW642" s="314"/>
      <c r="BX642" s="314"/>
      <c r="BY642" s="314"/>
      <c r="BZ642" s="314"/>
      <c r="CA642" s="314"/>
      <c r="CB642" s="314"/>
      <c r="CC642" s="314"/>
      <c r="CD642" s="314"/>
      <c r="CE642" s="314"/>
      <c r="CF642" s="314"/>
      <c r="CG642" s="314"/>
      <c r="CH642" s="314"/>
      <c r="CI642" s="314"/>
      <c r="CJ642" s="314"/>
      <c r="CK642" s="314"/>
      <c r="CL642" s="314"/>
      <c r="CM642" s="314"/>
      <c r="CN642" s="314"/>
      <c r="CO642" s="314"/>
      <c r="CP642" s="314"/>
      <c r="CQ642" s="314"/>
    </row>
    <row r="643" spans="1:95" ht="12.75" customHeight="1" x14ac:dyDescent="0.25">
      <c r="A643" s="307"/>
      <c r="B643" s="68"/>
      <c r="C643" s="68"/>
      <c r="D643" s="1246" t="str">
        <f>Translations!$B$399</f>
        <v>Tiers valid from:</v>
      </c>
      <c r="E643" s="1246"/>
      <c r="F643" s="1247"/>
      <c r="G643" s="8"/>
      <c r="H643" s="199" t="str">
        <f>Translations!$B$400</f>
        <v>until:</v>
      </c>
      <c r="I643" s="8"/>
      <c r="J643" s="76"/>
      <c r="K643" s="76"/>
      <c r="L643" s="76"/>
      <c r="M643" s="199" t="str">
        <f>Translations!$B$401</f>
        <v>ID used in the monitoring plan for this fuel stream:</v>
      </c>
      <c r="N643" s="9"/>
      <c r="O643" s="160"/>
      <c r="P643" s="109"/>
      <c r="Q643" s="312"/>
      <c r="R643" s="312"/>
      <c r="S643" s="465"/>
      <c r="T643" s="314"/>
      <c r="U643" s="314"/>
      <c r="V643" s="314"/>
      <c r="W643" s="314"/>
      <c r="X643" s="314"/>
      <c r="Y643" s="314"/>
      <c r="Z643" s="314"/>
      <c r="AA643" s="314"/>
      <c r="AB643" s="314"/>
      <c r="AC643" s="314"/>
      <c r="AD643" s="314"/>
      <c r="AE643" s="314"/>
      <c r="AF643" s="314"/>
      <c r="AG643" s="314"/>
      <c r="AH643" s="314"/>
      <c r="AI643" s="314"/>
      <c r="AJ643" s="314"/>
      <c r="AK643" s="314"/>
      <c r="AL643" s="314"/>
      <c r="AM643" s="314"/>
      <c r="AN643" s="314"/>
      <c r="AO643" s="314"/>
      <c r="AP643" s="314"/>
      <c r="AQ643" s="314"/>
      <c r="AR643" s="314"/>
      <c r="AS643" s="314"/>
      <c r="AT643" s="314"/>
      <c r="AU643" s="314"/>
      <c r="AV643" s="314"/>
      <c r="AW643" s="314"/>
      <c r="AX643" s="314"/>
      <c r="AY643" s="314"/>
      <c r="AZ643" s="314"/>
      <c r="BA643" s="314"/>
      <c r="BB643" s="314"/>
      <c r="BC643" s="314"/>
      <c r="BD643" s="314"/>
      <c r="BE643" s="314"/>
      <c r="BF643" s="314"/>
      <c r="BG643" s="314"/>
      <c r="BH643" s="314"/>
      <c r="BI643" s="314"/>
      <c r="BJ643" s="314"/>
      <c r="BK643" s="314"/>
      <c r="BL643" s="314"/>
      <c r="BM643" s="314"/>
      <c r="BN643" s="314"/>
      <c r="BO643" s="314"/>
      <c r="BP643" s="314"/>
      <c r="BQ643" s="314"/>
      <c r="BR643" s="314"/>
      <c r="BS643" s="314"/>
      <c r="BT643" s="314"/>
      <c r="BU643" s="314"/>
      <c r="BV643" s="314"/>
      <c r="BW643" s="314"/>
      <c r="BX643" s="314"/>
      <c r="BY643" s="314"/>
      <c r="BZ643" s="314"/>
      <c r="CA643" s="314"/>
      <c r="CB643" s="314"/>
      <c r="CC643" s="314"/>
      <c r="CD643" s="314"/>
      <c r="CE643" s="314"/>
      <c r="CF643" s="314"/>
      <c r="CG643" s="314"/>
      <c r="CH643" s="314"/>
      <c r="CI643" s="314"/>
      <c r="CJ643" s="314"/>
      <c r="CK643" s="314"/>
      <c r="CL643" s="314"/>
      <c r="CM643" s="314"/>
      <c r="CN643" s="314"/>
      <c r="CO643" s="314"/>
      <c r="CP643" s="314"/>
      <c r="CQ643" s="464" t="b">
        <f>CQ626</f>
        <v>0</v>
      </c>
    </row>
    <row r="644" spans="1:95" ht="5.15" customHeight="1" x14ac:dyDescent="0.25">
      <c r="A644" s="462"/>
      <c r="B644" s="76"/>
      <c r="C644" s="76"/>
      <c r="D644" s="76"/>
      <c r="E644" s="76"/>
      <c r="F644" s="76"/>
      <c r="G644" s="76"/>
      <c r="H644" s="76"/>
      <c r="I644" s="76"/>
      <c r="J644" s="76"/>
      <c r="K644" s="76"/>
      <c r="L644" s="76"/>
      <c r="M644" s="76"/>
      <c r="N644" s="76"/>
      <c r="O644" s="160"/>
      <c r="P644" s="109"/>
      <c r="Q644" s="312"/>
      <c r="R644" s="312"/>
      <c r="S644" s="314"/>
      <c r="T644" s="314"/>
      <c r="U644" s="314"/>
      <c r="V644" s="314"/>
      <c r="W644" s="314"/>
      <c r="X644" s="314"/>
      <c r="Y644" s="314"/>
      <c r="Z644" s="314"/>
      <c r="AA644" s="314"/>
      <c r="AB644" s="314"/>
      <c r="AC644" s="314"/>
      <c r="AD644" s="314"/>
      <c r="AE644" s="314"/>
      <c r="AF644" s="314"/>
      <c r="AG644" s="314"/>
      <c r="AH644" s="314"/>
      <c r="AI644" s="314"/>
      <c r="AJ644" s="314"/>
      <c r="AK644" s="314"/>
      <c r="AL644" s="314"/>
      <c r="AM644" s="314"/>
      <c r="AN644" s="314"/>
      <c r="AO644" s="314"/>
      <c r="AP644" s="314"/>
      <c r="AQ644" s="314"/>
      <c r="AR644" s="314"/>
      <c r="AS644" s="314"/>
      <c r="AT644" s="314"/>
      <c r="AU644" s="314"/>
      <c r="AV644" s="314"/>
      <c r="AW644" s="314"/>
      <c r="AX644" s="314"/>
      <c r="AY644" s="314"/>
      <c r="AZ644" s="314"/>
      <c r="BA644" s="314"/>
      <c r="BB644" s="314"/>
      <c r="BC644" s="314"/>
      <c r="BD644" s="314"/>
      <c r="BE644" s="314"/>
      <c r="BF644" s="314"/>
      <c r="BG644" s="314"/>
      <c r="BH644" s="314"/>
      <c r="BI644" s="314"/>
      <c r="BJ644" s="314"/>
      <c r="BK644" s="314"/>
      <c r="BL644" s="314"/>
      <c r="BM644" s="314"/>
      <c r="BN644" s="314"/>
      <c r="BO644" s="314"/>
      <c r="BP644" s="314"/>
      <c r="BQ644" s="314"/>
      <c r="BR644" s="314"/>
      <c r="BS644" s="314"/>
      <c r="BT644" s="314"/>
      <c r="BU644" s="314"/>
      <c r="BV644" s="314"/>
      <c r="BW644" s="314"/>
      <c r="BX644" s="314"/>
      <c r="BY644" s="314"/>
      <c r="BZ644" s="314"/>
      <c r="CA644" s="314"/>
      <c r="CB644" s="314"/>
      <c r="CC644" s="314"/>
      <c r="CD644" s="314"/>
      <c r="CE644" s="314"/>
      <c r="CF644" s="314"/>
      <c r="CG644" s="314"/>
      <c r="CH644" s="314"/>
      <c r="CI644" s="314"/>
      <c r="CJ644" s="314"/>
      <c r="CK644" s="314"/>
      <c r="CL644" s="314"/>
      <c r="CM644" s="314"/>
      <c r="CN644" s="314"/>
      <c r="CO644" s="314"/>
      <c r="CP644" s="314"/>
      <c r="CQ644" s="314"/>
    </row>
    <row r="645" spans="1:95" ht="12.75" customHeight="1" x14ac:dyDescent="0.25">
      <c r="A645" s="462"/>
      <c r="B645" s="76"/>
      <c r="C645" s="76"/>
      <c r="D645" s="115"/>
      <c r="E645" s="85"/>
      <c r="F645" s="466" t="str">
        <f>Translations!$B$304</f>
        <v>Comments:</v>
      </c>
      <c r="G645" s="1250"/>
      <c r="H645" s="1251"/>
      <c r="I645" s="1251"/>
      <c r="J645" s="1251"/>
      <c r="K645" s="1251"/>
      <c r="L645" s="1251"/>
      <c r="M645" s="1251"/>
      <c r="N645" s="1252"/>
      <c r="O645" s="160"/>
      <c r="P645" s="109"/>
      <c r="Q645" s="312"/>
      <c r="R645" s="312"/>
      <c r="S645" s="314"/>
      <c r="T645" s="314"/>
      <c r="U645" s="314"/>
      <c r="V645" s="314"/>
      <c r="W645" s="314"/>
      <c r="X645" s="314"/>
      <c r="Y645" s="314"/>
      <c r="Z645" s="314"/>
      <c r="AA645" s="314"/>
      <c r="AB645" s="314"/>
      <c r="AC645" s="314"/>
      <c r="AD645" s="314"/>
      <c r="AE645" s="314"/>
      <c r="AF645" s="314"/>
      <c r="AG645" s="314"/>
      <c r="AH645" s="314"/>
      <c r="AI645" s="314"/>
      <c r="AJ645" s="314"/>
      <c r="AK645" s="314"/>
      <c r="AL645" s="314"/>
      <c r="AM645" s="314"/>
      <c r="AN645" s="314"/>
      <c r="AO645" s="314"/>
      <c r="AP645" s="314"/>
      <c r="AQ645" s="314"/>
      <c r="AR645" s="314"/>
      <c r="AS645" s="314"/>
      <c r="AT645" s="314"/>
      <c r="AU645" s="314"/>
      <c r="AV645" s="314"/>
      <c r="AW645" s="314"/>
      <c r="AX645" s="314"/>
      <c r="AY645" s="314"/>
      <c r="AZ645" s="314"/>
      <c r="BA645" s="314"/>
      <c r="BB645" s="314"/>
      <c r="BC645" s="314"/>
      <c r="BD645" s="314"/>
      <c r="BE645" s="314"/>
      <c r="BF645" s="314"/>
      <c r="BG645" s="314"/>
      <c r="BH645" s="314"/>
      <c r="BI645" s="314"/>
      <c r="BJ645" s="314"/>
      <c r="BK645" s="314"/>
      <c r="BL645" s="314"/>
      <c r="BM645" s="314"/>
      <c r="BN645" s="314"/>
      <c r="BO645" s="314"/>
      <c r="BP645" s="314"/>
      <c r="BQ645" s="314"/>
      <c r="BR645" s="314"/>
      <c r="BS645" s="314"/>
      <c r="BT645" s="314"/>
      <c r="BU645" s="314"/>
      <c r="BV645" s="314"/>
      <c r="BW645" s="314"/>
      <c r="BX645" s="314"/>
      <c r="BY645" s="314"/>
      <c r="BZ645" s="314"/>
      <c r="CA645" s="314"/>
      <c r="CB645" s="314"/>
      <c r="CC645" s="314"/>
      <c r="CD645" s="314"/>
      <c r="CE645" s="314"/>
      <c r="CF645" s="314"/>
      <c r="CG645" s="314"/>
      <c r="CH645" s="314"/>
      <c r="CI645" s="314"/>
      <c r="CJ645" s="314"/>
      <c r="CK645" s="314"/>
      <c r="CL645" s="314"/>
      <c r="CM645" s="314"/>
      <c r="CN645" s="314"/>
      <c r="CO645" s="314"/>
      <c r="CP645" s="314"/>
      <c r="CQ645" s="464" t="b">
        <f>CQ643</f>
        <v>0</v>
      </c>
    </row>
    <row r="646" spans="1:95" ht="12.75" customHeight="1" thickBot="1" x14ac:dyDescent="0.3">
      <c r="A646" s="307"/>
      <c r="B646" s="76"/>
      <c r="C646" s="308"/>
      <c r="D646" s="309"/>
      <c r="E646" s="310"/>
      <c r="F646" s="308"/>
      <c r="G646" s="311"/>
      <c r="H646" s="311"/>
      <c r="I646" s="311"/>
      <c r="J646" s="311"/>
      <c r="K646" s="311"/>
      <c r="L646" s="311"/>
      <c r="M646" s="311"/>
      <c r="N646" s="311"/>
      <c r="O646" s="160"/>
      <c r="P646" s="109"/>
      <c r="Q646" s="312"/>
      <c r="R646" s="312"/>
      <c r="S646" s="293"/>
      <c r="T646" s="293"/>
      <c r="U646" s="313"/>
      <c r="V646" s="293"/>
      <c r="W646" s="293"/>
      <c r="X646" s="313"/>
      <c r="Y646" s="293"/>
      <c r="Z646" s="293"/>
      <c r="AA646" s="293"/>
      <c r="AB646" s="293"/>
      <c r="AC646" s="293"/>
      <c r="AD646" s="293"/>
      <c r="AE646" s="293"/>
      <c r="AF646" s="293"/>
      <c r="AG646" s="293"/>
      <c r="AH646" s="293"/>
      <c r="AI646" s="293"/>
      <c r="AJ646" s="293"/>
      <c r="AK646" s="293"/>
      <c r="AL646" s="293"/>
      <c r="AM646" s="293"/>
      <c r="AN646" s="293"/>
      <c r="AO646" s="293"/>
      <c r="AP646" s="293"/>
      <c r="AQ646" s="293"/>
      <c r="AR646" s="293"/>
      <c r="AS646" s="293"/>
      <c r="AT646" s="293"/>
      <c r="AU646" s="293"/>
      <c r="AV646" s="293"/>
      <c r="AW646" s="293"/>
      <c r="AX646" s="293"/>
      <c r="AY646" s="293"/>
      <c r="AZ646" s="293"/>
      <c r="BA646" s="293"/>
      <c r="BB646" s="293"/>
      <c r="BC646" s="293"/>
      <c r="BD646" s="293"/>
      <c r="BE646" s="293"/>
      <c r="BF646" s="293"/>
      <c r="BG646" s="293"/>
      <c r="BH646" s="293"/>
      <c r="BI646" s="293"/>
      <c r="BJ646" s="293"/>
      <c r="BK646" s="293"/>
      <c r="BL646" s="293"/>
      <c r="BM646" s="314"/>
      <c r="BN646" s="314"/>
      <c r="BO646" s="314"/>
      <c r="BP646" s="314"/>
      <c r="BQ646" s="314"/>
      <c r="BR646" s="314"/>
      <c r="BS646" s="314"/>
      <c r="BT646" s="314"/>
      <c r="BU646" s="293"/>
      <c r="BV646" s="293"/>
      <c r="BW646" s="293"/>
      <c r="BX646" s="293"/>
      <c r="BY646" s="293"/>
      <c r="BZ646" s="293"/>
      <c r="CA646" s="293"/>
      <c r="CB646" s="293"/>
      <c r="CC646" s="293"/>
      <c r="CD646" s="293"/>
      <c r="CE646" s="293"/>
      <c r="CF646" s="293"/>
      <c r="CG646" s="293"/>
      <c r="CH646" s="293"/>
      <c r="CI646" s="293"/>
      <c r="CJ646" s="293"/>
      <c r="CK646" s="293"/>
      <c r="CL646" s="293"/>
      <c r="CM646" s="293"/>
      <c r="CN646" s="293"/>
      <c r="CO646" s="293"/>
      <c r="CP646" s="293"/>
      <c r="CQ646" s="293"/>
    </row>
    <row r="647" spans="1:95" ht="12.75" customHeight="1" thickBot="1" x14ac:dyDescent="0.3">
      <c r="A647" s="315"/>
      <c r="B647" s="76"/>
      <c r="C647" s="76"/>
      <c r="D647" s="205"/>
      <c r="E647" s="316"/>
      <c r="F647" s="76"/>
      <c r="G647" s="96"/>
      <c r="H647" s="96"/>
      <c r="I647" s="96"/>
      <c r="J647" s="96"/>
      <c r="K647" s="76"/>
      <c r="L647" s="96"/>
      <c r="M647" s="96"/>
      <c r="N647" s="96"/>
      <c r="O647" s="160"/>
      <c r="P647" s="109"/>
      <c r="Q647" s="312"/>
      <c r="R647" s="312"/>
      <c r="S647" s="287"/>
      <c r="T647" s="317" t="str">
        <f>IF(ISBLANK(E648),"",MATCH(E648,CNTR_SourceStreamNames,0))</f>
        <v/>
      </c>
      <c r="U647" s="318" t="str">
        <f>IF(ISBLANK(E648),"",INDEX(B_IdentifyFuelStreams!$D$67:$D$116,MATCH(E648,CNTR_SourceStreamNames,0)))</f>
        <v/>
      </c>
      <c r="V647" s="301"/>
      <c r="W647" s="138"/>
      <c r="X647" s="138"/>
      <c r="Y647" s="138"/>
      <c r="Z647" s="293"/>
      <c r="AA647" s="293"/>
      <c r="AB647" s="293"/>
      <c r="AC647" s="293"/>
      <c r="AD647" s="293"/>
      <c r="AE647" s="293"/>
      <c r="AF647" s="293"/>
      <c r="AG647" s="293"/>
      <c r="AH647" s="293"/>
      <c r="AI647" s="293"/>
      <c r="AJ647" s="293"/>
      <c r="AK647" s="312"/>
      <c r="AL647" s="293"/>
      <c r="AM647" s="293"/>
      <c r="AN647" s="293"/>
      <c r="AO647" s="293"/>
      <c r="AP647" s="293"/>
      <c r="AQ647" s="293"/>
      <c r="AR647" s="293"/>
      <c r="AS647" s="293"/>
      <c r="AT647" s="293"/>
      <c r="AU647" s="293"/>
      <c r="AV647" s="293"/>
      <c r="AW647" s="293"/>
      <c r="AX647" s="293"/>
      <c r="AY647" s="293"/>
      <c r="AZ647" s="293"/>
      <c r="BA647" s="293"/>
      <c r="BB647" s="293"/>
      <c r="BC647" s="293"/>
      <c r="BD647" s="293"/>
      <c r="BE647" s="293"/>
      <c r="BF647" s="293"/>
      <c r="BG647" s="293"/>
      <c r="BH647" s="293"/>
      <c r="BI647" s="293"/>
      <c r="BJ647" s="138"/>
      <c r="BK647" s="138"/>
      <c r="BL647" s="138"/>
      <c r="BM647" s="138"/>
      <c r="BN647" s="138"/>
      <c r="BO647" s="138"/>
      <c r="BP647" s="138"/>
      <c r="BQ647" s="138"/>
      <c r="BR647" s="138"/>
      <c r="BS647" s="138"/>
      <c r="BT647" s="138"/>
      <c r="BU647" s="138"/>
      <c r="BV647" s="138"/>
      <c r="BW647" s="138"/>
      <c r="BX647" s="138"/>
      <c r="BY647" s="138"/>
      <c r="BZ647" s="138"/>
      <c r="CA647" s="138"/>
      <c r="CB647" s="138"/>
      <c r="CC647" s="138"/>
      <c r="CD647" s="138"/>
      <c r="CE647" s="138"/>
      <c r="CF647" s="138"/>
      <c r="CG647" s="138"/>
      <c r="CH647" s="138"/>
      <c r="CI647" s="138"/>
      <c r="CJ647" s="138"/>
      <c r="CK647" s="138"/>
      <c r="CL647" s="138"/>
      <c r="CM647" s="138"/>
      <c r="CN647" s="138"/>
      <c r="CO647" s="138"/>
      <c r="CP647" s="138"/>
      <c r="CQ647" s="319" t="s">
        <v>107</v>
      </c>
    </row>
    <row r="648" spans="1:95" ht="15" customHeight="1" thickBot="1" x14ac:dyDescent="0.3">
      <c r="A648" s="320">
        <f>C648</f>
        <v>22</v>
      </c>
      <c r="B648" s="68"/>
      <c r="C648" s="321">
        <f>C620+1</f>
        <v>22</v>
      </c>
      <c r="D648" s="68"/>
      <c r="E648" s="1269"/>
      <c r="F648" s="1270"/>
      <c r="G648" s="1270"/>
      <c r="H648" s="1270"/>
      <c r="I648" s="1270"/>
      <c r="J648" s="1271"/>
      <c r="K648" s="1272" t="str">
        <f>IF(INDEX(B_IdentifyFuelStreams!$K$125:$K$174,MATCH(U647,B_IdentifyFuelStreams!$D$125:$D$174,0))&gt;0,INDEX(B_IdentifyFuelStreams!$K$125:$K$174,MATCH(U647,B_IdentifyFuelStreams!$D$125:$D$174,0)),"")</f>
        <v/>
      </c>
      <c r="L648" s="1273"/>
      <c r="M648" s="316" t="str">
        <f>Translations!$B$621</f>
        <v>Emissions:</v>
      </c>
      <c r="N648" s="322" t="str">
        <f>IF(E649="","",BG654)</f>
        <v/>
      </c>
      <c r="O648" s="323" t="str">
        <f>EUconst_tCO2</f>
        <v>tCO2</v>
      </c>
      <c r="P648" s="324" t="str">
        <f>IF(AND(E648&lt;&gt;"",COUNTIF(P649:$P$1649,"PRINT")=0),"PRINT","")</f>
        <v/>
      </c>
      <c r="Q648" s="325" t="str">
        <f>EUconst_SumCO2</f>
        <v>SUM_CO2</v>
      </c>
      <c r="R648" s="312"/>
      <c r="S648" s="287"/>
      <c r="T648" s="287"/>
      <c r="U648" s="287"/>
      <c r="V648" s="301"/>
      <c r="W648" s="138"/>
      <c r="X648" s="293"/>
      <c r="Y648" s="293"/>
      <c r="Z648" s="293"/>
      <c r="AA648" s="293"/>
      <c r="AB648" s="293"/>
      <c r="AC648" s="293"/>
      <c r="AD648" s="293"/>
      <c r="AE648" s="293"/>
      <c r="AF648" s="293"/>
      <c r="AG648" s="293"/>
      <c r="AH648" s="293"/>
      <c r="AI648" s="326"/>
      <c r="AJ648" s="326"/>
      <c r="AK648" s="326"/>
      <c r="AL648" s="326"/>
      <c r="AM648" s="326"/>
      <c r="AN648" s="326"/>
      <c r="AO648" s="326"/>
      <c r="AP648" s="326"/>
      <c r="AQ648" s="326"/>
      <c r="AR648" s="326"/>
      <c r="AS648" s="326"/>
      <c r="AT648" s="326"/>
      <c r="AU648" s="326"/>
      <c r="AV648" s="326"/>
      <c r="AW648" s="326"/>
      <c r="AX648" s="326"/>
      <c r="AY648" s="326"/>
      <c r="AZ648" s="326"/>
      <c r="BA648" s="326"/>
      <c r="BB648" s="326"/>
      <c r="BC648" s="326"/>
      <c r="BD648" s="326"/>
      <c r="BE648" s="326"/>
      <c r="BF648" s="326"/>
      <c r="BG648" s="326"/>
      <c r="BH648" s="326"/>
      <c r="BI648" s="327" t="str">
        <f>IF(E648="","",E648)</f>
        <v/>
      </c>
      <c r="BJ648" s="328" t="str">
        <f>IF(F654="","",F654)</f>
        <v/>
      </c>
      <c r="BK648" s="329">
        <f>AV654</f>
        <v>0</v>
      </c>
      <c r="BL648" s="329">
        <f>IF(BK648="","",BK648*(1-BP648))</f>
        <v>0</v>
      </c>
      <c r="BM648" s="328" t="str">
        <f>AJ654</f>
        <v/>
      </c>
      <c r="BN648" s="328" t="str">
        <f>IF(F665="","",F665)</f>
        <v/>
      </c>
      <c r="BO648" s="327" t="str">
        <f>IF(G665="","",G665)</f>
        <v/>
      </c>
      <c r="BP648" s="330">
        <f>AV665</f>
        <v>0</v>
      </c>
      <c r="BQ648" s="328" t="str">
        <f>IF(F657="","",F657)</f>
        <v/>
      </c>
      <c r="BR648" s="330">
        <f>AV657</f>
        <v>0</v>
      </c>
      <c r="BS648" s="330" t="str">
        <f>AJ657</f>
        <v/>
      </c>
      <c r="BT648" s="328" t="str">
        <f>IF(F656="","",F656)</f>
        <v/>
      </c>
      <c r="BU648" s="330">
        <f>IF(F656=EUconst_NA,"",AV656)</f>
        <v>0</v>
      </c>
      <c r="BV648" s="330" t="str">
        <f>AJ656</f>
        <v/>
      </c>
      <c r="BW648" s="328" t="str">
        <f>IF(F658="","",F658)</f>
        <v/>
      </c>
      <c r="BX648" s="330">
        <f>AV658</f>
        <v>0</v>
      </c>
      <c r="BY648" s="328" t="str">
        <f>IF(F659="","",F659)</f>
        <v/>
      </c>
      <c r="BZ648" s="330">
        <f>AV659</f>
        <v>0</v>
      </c>
      <c r="CA648" s="330">
        <f>AV660</f>
        <v>0</v>
      </c>
      <c r="CB648" s="330">
        <f>AV661</f>
        <v>0</v>
      </c>
      <c r="CC648" s="330">
        <f>AV662</f>
        <v>0</v>
      </c>
      <c r="CD648" s="330">
        <f>AV663</f>
        <v>0</v>
      </c>
      <c r="CE648" s="329" t="str">
        <f>BG654</f>
        <v/>
      </c>
      <c r="CF648" s="329" t="str">
        <f>BG656</f>
        <v/>
      </c>
      <c r="CG648" s="329" t="str">
        <f>BG657</f>
        <v/>
      </c>
      <c r="CH648" s="329" t="str">
        <f>BG658</f>
        <v/>
      </c>
      <c r="CI648" s="329" t="str">
        <f>BG659</f>
        <v/>
      </c>
      <c r="CJ648" s="329" t="str">
        <f>BG660</f>
        <v/>
      </c>
      <c r="CK648" s="329" t="str">
        <f>BG661</f>
        <v/>
      </c>
      <c r="CL648" s="329">
        <f>BG662</f>
        <v>0</v>
      </c>
      <c r="CM648" s="329" t="str">
        <f>BG663</f>
        <v/>
      </c>
      <c r="CN648" s="329" t="str">
        <f>BG665</f>
        <v/>
      </c>
      <c r="CO648" s="329" t="str">
        <f>BG669</f>
        <v/>
      </c>
      <c r="CP648" s="329" t="str">
        <f>IF(COUNTIF(AO657:AO658,TRUE)=0,"",BH654)</f>
        <v/>
      </c>
      <c r="CQ648" s="331" t="b">
        <v>0</v>
      </c>
    </row>
    <row r="649" spans="1:95" ht="15" customHeight="1" thickBot="1" x14ac:dyDescent="0.3">
      <c r="A649" s="307"/>
      <c r="B649" s="68"/>
      <c r="C649" s="68"/>
      <c r="D649" s="68"/>
      <c r="E649" s="1274" t="str">
        <f>IF(ISBLANK(E648),"",IF(INDEX(B_IdentifyFuelStreams!$E$67:$E$116,MATCH(U647,B_IdentifyFuelStreams!$D$67:$D$116,0))&gt;0,INDEX(B_IdentifyFuelStreams!$E$67:$E$116,MATCH(U647,B_IdentifyFuelStreams!$D$67:$D$116,0)),""))</f>
        <v/>
      </c>
      <c r="F649" s="1275"/>
      <c r="G649" s="1275"/>
      <c r="H649" s="1275"/>
      <c r="I649" s="1275"/>
      <c r="J649" s="1276"/>
      <c r="K649" s="1272" t="str">
        <f>IF(INDEX(B_IdentifyFuelStreams!$M$125:$M$174,MATCH(U647,B_IdentifyFuelStreams!$D$125:$D$174,0))&gt;0,INDEX(B_IdentifyFuelStreams!$M$125:$M$174,MATCH(U647,B_IdentifyFuelStreams!$D$125:$D$174,0)),"")</f>
        <v/>
      </c>
      <c r="L649" s="1273"/>
      <c r="M649" s="332" t="str">
        <f>Translations!$B$622</f>
        <v>zero-rated:</v>
      </c>
      <c r="N649" s="333" t="str">
        <f>IF(E649="","",SUM(BG656,BG658,BG660))</f>
        <v/>
      </c>
      <c r="O649" s="334" t="str">
        <f>EUconst_tCO2</f>
        <v>tCO2</v>
      </c>
      <c r="P649" s="109"/>
      <c r="Q649" s="325" t="str">
        <f>EUconst_SumBioCO2</f>
        <v>SUM_bioCO2</v>
      </c>
      <c r="R649" s="312"/>
      <c r="S649" s="287"/>
      <c r="T649" s="287"/>
      <c r="U649" s="287"/>
      <c r="V649" s="301"/>
      <c r="W649" s="138"/>
      <c r="X649" s="293"/>
      <c r="Y649" s="317" t="str">
        <f>Translations!$B$143</f>
        <v>Tiers</v>
      </c>
      <c r="Z649" s="314"/>
      <c r="AA649" s="314"/>
      <c r="AB649" s="314"/>
      <c r="AC649" s="314"/>
      <c r="AD649" s="314"/>
      <c r="AE649" s="317" t="s">
        <v>108</v>
      </c>
      <c r="AF649" s="293"/>
      <c r="AG649" s="335"/>
      <c r="AH649" s="314"/>
      <c r="AI649" s="314"/>
      <c r="AJ649" s="335"/>
      <c r="AK649" s="335"/>
      <c r="AL649" s="326"/>
      <c r="AM649" s="326"/>
      <c r="AN649" s="326"/>
      <c r="AO649" s="326"/>
      <c r="AP649" s="326"/>
      <c r="AQ649" s="317" t="s">
        <v>109</v>
      </c>
      <c r="AR649" s="336"/>
      <c r="AS649" s="336"/>
      <c r="AT649" s="314"/>
      <c r="AU649" s="314"/>
      <c r="AV649" s="314"/>
      <c r="AW649" s="314"/>
      <c r="AX649" s="314"/>
      <c r="AY649" s="314"/>
      <c r="AZ649" s="317" t="s">
        <v>110</v>
      </c>
      <c r="BA649" s="314"/>
      <c r="BB649" s="314"/>
      <c r="BC649" s="314"/>
      <c r="BD649" s="314"/>
      <c r="BE649" s="314"/>
      <c r="BF649" s="317" t="s">
        <v>111</v>
      </c>
      <c r="BG649" s="314"/>
      <c r="BH649" s="314"/>
      <c r="BI649" s="317" t="s">
        <v>112</v>
      </c>
      <c r="BJ649" s="328" t="str">
        <f>Translations!$B$376</f>
        <v>RFA Tier</v>
      </c>
      <c r="BK649" s="328" t="str">
        <f>Translations!$B$377</f>
        <v>RFA</v>
      </c>
      <c r="BL649" s="328" t="str">
        <f>Translations!$B$378</f>
        <v>RFA (in scope)</v>
      </c>
      <c r="BM649" s="328" t="str">
        <f>Translations!$B$379</f>
        <v>RFA Unit</v>
      </c>
      <c r="BN649" s="328" t="str">
        <f>Translations!$B$380</f>
        <v>SF Tier</v>
      </c>
      <c r="BO649" s="328" t="str">
        <f>Translations!$B$380</f>
        <v>SF Tier</v>
      </c>
      <c r="BP649" s="328" t="str">
        <f>Translations!$B$381</f>
        <v>SF</v>
      </c>
      <c r="BQ649" s="328" t="str">
        <f>Translations!$B$382</f>
        <v>EF Tier</v>
      </c>
      <c r="BR649" s="328" t="str">
        <f>Translations!$B$383</f>
        <v>EF</v>
      </c>
      <c r="BS649" s="328" t="str">
        <f>Translations!$B$384</f>
        <v>EF Unit</v>
      </c>
      <c r="BT649" s="328" t="str">
        <f>Translations!$B$385</f>
        <v>UCF Tier</v>
      </c>
      <c r="BU649" s="328" t="str">
        <f>Translations!$B$386</f>
        <v>UCF</v>
      </c>
      <c r="BV649" s="328" t="str">
        <f>Translations!$B$387</f>
        <v>UCF Unit</v>
      </c>
      <c r="BW649" s="328" t="str">
        <f>Translations!$B$388</f>
        <v>Bio Tier</v>
      </c>
      <c r="BX649" s="328" t="s">
        <v>113</v>
      </c>
      <c r="BY649" s="328" t="str">
        <f>Translations!$B$389</f>
        <v>NonSustBio Tier</v>
      </c>
      <c r="BZ649" s="328" t="s">
        <v>114</v>
      </c>
      <c r="CA649" s="328" t="s">
        <v>115</v>
      </c>
      <c r="CB649" s="328" t="s">
        <v>116</v>
      </c>
      <c r="CC649" s="328" t="s">
        <v>117</v>
      </c>
      <c r="CD649" s="328" t="s">
        <v>118</v>
      </c>
      <c r="CE649" s="328" t="s">
        <v>119</v>
      </c>
      <c r="CF649" s="328" t="s">
        <v>120</v>
      </c>
      <c r="CG649" s="328" t="str">
        <f>Translations!$B$392</f>
        <v>CO2 non-sust</v>
      </c>
      <c r="CH649" s="328" t="s">
        <v>121</v>
      </c>
      <c r="CI649" s="328" t="s">
        <v>122</v>
      </c>
      <c r="CJ649" s="328" t="s">
        <v>123</v>
      </c>
      <c r="CK649" s="328" t="s">
        <v>124</v>
      </c>
      <c r="CL649" s="328" t="s">
        <v>125</v>
      </c>
      <c r="CM649" s="328" t="str">
        <f>Translations!$B$551</f>
        <v>Energy content (bio), TJ</v>
      </c>
      <c r="CN649" s="328" t="s">
        <v>126</v>
      </c>
      <c r="CO649" s="328" t="s">
        <v>127</v>
      </c>
      <c r="CP649" s="328" t="s">
        <v>128</v>
      </c>
      <c r="CQ649" s="314"/>
    </row>
    <row r="650" spans="1:95" ht="5.15" customHeight="1" thickBot="1" x14ac:dyDescent="0.3">
      <c r="A650" s="307"/>
      <c r="B650" s="68"/>
      <c r="C650" s="68"/>
      <c r="D650" s="68"/>
      <c r="E650" s="68"/>
      <c r="F650" s="68"/>
      <c r="G650" s="68"/>
      <c r="H650" s="76"/>
      <c r="I650" s="76"/>
      <c r="J650" s="76"/>
      <c r="K650" s="76"/>
      <c r="L650" s="76"/>
      <c r="M650" s="76"/>
      <c r="N650" s="76"/>
      <c r="O650" s="160"/>
      <c r="P650" s="109"/>
      <c r="Q650" s="312"/>
      <c r="R650" s="312"/>
      <c r="S650" s="287"/>
      <c r="T650" s="287"/>
      <c r="U650" s="287"/>
      <c r="V650" s="301"/>
      <c r="W650" s="314"/>
      <c r="X650" s="314"/>
      <c r="Y650" s="312"/>
      <c r="Z650" s="314"/>
      <c r="AA650" s="314"/>
      <c r="AB650" s="314"/>
      <c r="AC650" s="314"/>
      <c r="AD650" s="314"/>
      <c r="AE650" s="314"/>
      <c r="AF650" s="293"/>
      <c r="AG650" s="314"/>
      <c r="AH650" s="314"/>
      <c r="AI650" s="314"/>
      <c r="AJ650" s="335"/>
      <c r="AK650" s="335"/>
      <c r="AL650" s="326"/>
      <c r="AM650" s="326"/>
      <c r="AN650" s="326"/>
      <c r="AO650" s="326"/>
      <c r="AP650" s="326"/>
      <c r="AQ650" s="314"/>
      <c r="AR650" s="314"/>
      <c r="AS650" s="314"/>
      <c r="AT650" s="314"/>
      <c r="AU650" s="314"/>
      <c r="AV650" s="314"/>
      <c r="AW650" s="314"/>
      <c r="AX650" s="314"/>
      <c r="AY650" s="314"/>
      <c r="AZ650" s="314"/>
      <c r="BA650" s="314"/>
      <c r="BB650" s="314"/>
      <c r="BC650" s="314"/>
      <c r="BD650" s="314"/>
      <c r="BE650" s="314"/>
      <c r="BF650" s="314"/>
      <c r="BG650" s="314"/>
      <c r="BH650" s="314"/>
      <c r="BI650" s="314"/>
      <c r="BJ650" s="314"/>
      <c r="BK650" s="314"/>
      <c r="BL650" s="314"/>
      <c r="BM650" s="314"/>
      <c r="BN650" s="314"/>
      <c r="BO650" s="314"/>
      <c r="BP650" s="314"/>
      <c r="BQ650" s="314"/>
      <c r="BR650" s="314"/>
      <c r="BS650" s="314"/>
      <c r="BT650" s="314"/>
      <c r="BU650" s="314"/>
      <c r="BV650" s="314"/>
      <c r="BW650" s="314"/>
      <c r="BX650" s="314"/>
      <c r="BY650" s="314"/>
      <c r="BZ650" s="314"/>
      <c r="CA650" s="314"/>
      <c r="CB650" s="314"/>
      <c r="CC650" s="314"/>
      <c r="CD650" s="314"/>
      <c r="CE650" s="314"/>
      <c r="CF650" s="314"/>
      <c r="CG650" s="314"/>
      <c r="CH650" s="314"/>
      <c r="CI650" s="314"/>
      <c r="CJ650" s="314"/>
      <c r="CK650" s="314"/>
      <c r="CL650" s="314"/>
      <c r="CM650" s="314"/>
      <c r="CN650" s="314"/>
      <c r="CO650" s="314"/>
      <c r="CP650" s="314"/>
      <c r="CQ650" s="314"/>
    </row>
    <row r="651" spans="1:95" ht="12.75" customHeight="1" thickBot="1" x14ac:dyDescent="0.3">
      <c r="A651" s="307"/>
      <c r="B651" s="68"/>
      <c r="C651" s="68"/>
      <c r="D651" s="68"/>
      <c r="E651" s="1253" t="str">
        <f>IF(E648="","",HYPERLINK("#JUMP_E_Top",EUconst_FurtherGuidancePoint1))</f>
        <v/>
      </c>
      <c r="F651" s="1253"/>
      <c r="G651" s="1253"/>
      <c r="H651" s="1253"/>
      <c r="I651" s="1253"/>
      <c r="J651" s="1253"/>
      <c r="K651" s="1253"/>
      <c r="L651" s="1253"/>
      <c r="M651" s="1253"/>
      <c r="N651" s="76"/>
      <c r="O651" s="160"/>
      <c r="P651" s="109"/>
      <c r="Q651" s="325" t="str">
        <f>EUconst_SumNonSustBioCO2</f>
        <v>SUM_bioNonSustCO2</v>
      </c>
      <c r="R651" s="337" t="str">
        <f>IF(E649="","",BG657)</f>
        <v/>
      </c>
      <c r="S651" s="287"/>
      <c r="T651" s="287"/>
      <c r="U651" s="287"/>
      <c r="V651" s="314"/>
      <c r="W651" s="314"/>
      <c r="X651" s="314"/>
      <c r="Y651" s="293"/>
      <c r="Z651" s="314"/>
      <c r="AA651" s="314"/>
      <c r="AB651" s="314"/>
      <c r="AC651" s="314"/>
      <c r="AD651" s="314"/>
      <c r="AE651" s="314"/>
      <c r="AF651" s="293"/>
      <c r="AG651" s="314"/>
      <c r="AH651" s="314"/>
      <c r="AI651" s="314"/>
      <c r="AJ651" s="335"/>
      <c r="AK651" s="335"/>
      <c r="AL651" s="326"/>
      <c r="AM651" s="326"/>
      <c r="AN651" s="326"/>
      <c r="AO651" s="326"/>
      <c r="AP651" s="326"/>
      <c r="AQ651" s="314"/>
      <c r="AR651" s="314"/>
      <c r="AS651" s="314"/>
      <c r="AT651" s="314"/>
      <c r="AU651" s="314"/>
      <c r="AV651" s="314"/>
      <c r="AW651" s="314"/>
      <c r="AX651" s="314"/>
      <c r="AY651" s="314"/>
      <c r="AZ651" s="314"/>
      <c r="BA651" s="314"/>
      <c r="BB651" s="314"/>
      <c r="BC651" s="314"/>
      <c r="BD651" s="314"/>
      <c r="BE651" s="314"/>
      <c r="BF651" s="314"/>
      <c r="BG651" s="314"/>
      <c r="BH651" s="314"/>
      <c r="BI651" s="317" t="s">
        <v>129</v>
      </c>
      <c r="BJ651" s="336"/>
      <c r="BK651" s="327" t="str">
        <f>IF(G669="","",G669)</f>
        <v/>
      </c>
      <c r="BL651" s="327" t="str">
        <f>IF(I669="","",I669)</f>
        <v/>
      </c>
      <c r="BM651" s="327" t="str">
        <f>IF(K669="","",K669)</f>
        <v/>
      </c>
      <c r="BN651" s="314"/>
      <c r="BO651" s="314"/>
      <c r="BP651" s="314"/>
      <c r="BQ651" s="314"/>
      <c r="BR651" s="314"/>
      <c r="BS651" s="314"/>
      <c r="BT651" s="319"/>
      <c r="BU651" s="314"/>
      <c r="BV651" s="314"/>
      <c r="BW651" s="314"/>
      <c r="BX651" s="314"/>
      <c r="BY651" s="314"/>
      <c r="BZ651" s="314"/>
      <c r="CA651" s="314"/>
      <c r="CB651" s="314"/>
      <c r="CC651" s="314"/>
      <c r="CD651" s="314"/>
      <c r="CE651" s="314"/>
      <c r="CF651" s="314"/>
      <c r="CG651" s="314"/>
      <c r="CH651" s="314"/>
      <c r="CI651" s="314"/>
      <c r="CJ651" s="314"/>
      <c r="CK651" s="314"/>
      <c r="CL651" s="314"/>
      <c r="CM651" s="314"/>
      <c r="CN651" s="314"/>
      <c r="CO651" s="314"/>
      <c r="CP651" s="314"/>
      <c r="CQ651" s="314"/>
    </row>
    <row r="652" spans="1:95" ht="5.15" customHeight="1" thickBot="1" x14ac:dyDescent="0.3">
      <c r="A652" s="307"/>
      <c r="B652" s="68"/>
      <c r="C652" s="68"/>
      <c r="D652" s="68"/>
      <c r="E652" s="68"/>
      <c r="F652" s="68"/>
      <c r="G652" s="68"/>
      <c r="H652" s="76"/>
      <c r="I652" s="76"/>
      <c r="J652" s="76"/>
      <c r="K652" s="76"/>
      <c r="L652" s="76"/>
      <c r="M652" s="76"/>
      <c r="N652" s="76"/>
      <c r="O652" s="160"/>
      <c r="P652" s="111"/>
      <c r="Q652" s="287"/>
      <c r="R652" s="111"/>
      <c r="S652" s="287"/>
      <c r="T652" s="287"/>
      <c r="U652" s="287"/>
      <c r="V652" s="314"/>
      <c r="W652" s="314"/>
      <c r="X652" s="314"/>
      <c r="Y652" s="312"/>
      <c r="Z652" s="314"/>
      <c r="AA652" s="314"/>
      <c r="AB652" s="314"/>
      <c r="AC652" s="314"/>
      <c r="AD652" s="314"/>
      <c r="AE652" s="314"/>
      <c r="AF652" s="293"/>
      <c r="AG652" s="314"/>
      <c r="AH652" s="314"/>
      <c r="AI652" s="314"/>
      <c r="AJ652" s="335"/>
      <c r="AK652" s="335"/>
      <c r="AL652" s="326"/>
      <c r="AM652" s="326"/>
      <c r="AN652" s="326"/>
      <c r="AO652" s="326"/>
      <c r="AP652" s="326"/>
      <c r="AQ652" s="314"/>
      <c r="AR652" s="314"/>
      <c r="AS652" s="314"/>
      <c r="AT652" s="314"/>
      <c r="AU652" s="314"/>
      <c r="AV652" s="314"/>
      <c r="AW652" s="314"/>
      <c r="AX652" s="314"/>
      <c r="AY652" s="314"/>
      <c r="AZ652" s="314"/>
      <c r="BA652" s="314"/>
      <c r="BB652" s="314"/>
      <c r="BC652" s="314"/>
      <c r="BD652" s="314"/>
      <c r="BE652" s="314"/>
      <c r="BF652" s="314"/>
      <c r="BG652" s="314"/>
      <c r="BH652" s="314"/>
      <c r="BI652" s="314"/>
      <c r="BJ652" s="314"/>
      <c r="BK652" s="314"/>
      <c r="BL652" s="314"/>
      <c r="BM652" s="314"/>
      <c r="BN652" s="314"/>
      <c r="BO652" s="314"/>
      <c r="BP652" s="314"/>
      <c r="BQ652" s="314"/>
      <c r="BR652" s="314"/>
      <c r="BS652" s="314"/>
      <c r="BT652" s="314"/>
      <c r="BU652" s="314"/>
      <c r="BV652" s="314"/>
      <c r="BW652" s="314"/>
      <c r="BX652" s="314"/>
      <c r="BY652" s="314"/>
      <c r="BZ652" s="314"/>
      <c r="CA652" s="314"/>
      <c r="CB652" s="314"/>
      <c r="CC652" s="314"/>
      <c r="CD652" s="314"/>
      <c r="CE652" s="314"/>
      <c r="CF652" s="314"/>
      <c r="CG652" s="314"/>
      <c r="CH652" s="314"/>
      <c r="CI652" s="314"/>
      <c r="CJ652" s="314"/>
      <c r="CK652" s="314"/>
      <c r="CL652" s="314"/>
      <c r="CM652" s="314"/>
      <c r="CN652" s="314"/>
      <c r="CO652" s="314"/>
      <c r="CP652" s="314"/>
      <c r="CQ652" s="314"/>
    </row>
    <row r="653" spans="1:95" ht="12.75" customHeight="1" thickBot="1" x14ac:dyDescent="0.3">
      <c r="A653" s="307"/>
      <c r="B653" s="68"/>
      <c r="C653" s="68"/>
      <c r="D653" s="68"/>
      <c r="E653" s="68"/>
      <c r="F653" s="338" t="str">
        <f>Translations!$B$127</f>
        <v>Tier</v>
      </c>
      <c r="G653" s="1254" t="str">
        <f>Translations!$B$393</f>
        <v>tier description</v>
      </c>
      <c r="H653" s="1254"/>
      <c r="I653" s="1255" t="str">
        <f>Translations!$B$394</f>
        <v>Unit</v>
      </c>
      <c r="J653" s="1255"/>
      <c r="K653" s="1255" t="str">
        <f>Translations!$B$395</f>
        <v>Value</v>
      </c>
      <c r="L653" s="1255"/>
      <c r="M653" s="205" t="str">
        <f>Translations!$B$396</f>
        <v>error</v>
      </c>
      <c r="N653" s="76"/>
      <c r="O653" s="160"/>
      <c r="P653" s="339"/>
      <c r="Q653" s="325" t="str">
        <f>EUconst_SumEnergyIN</f>
        <v>SUM_EnergyIN</v>
      </c>
      <c r="R653" s="340" t="str">
        <f>IF(E649="","",BG662)</f>
        <v/>
      </c>
      <c r="S653" s="314"/>
      <c r="T653" s="314"/>
      <c r="U653" s="314"/>
      <c r="V653" s="341" t="s">
        <v>130</v>
      </c>
      <c r="W653" s="314"/>
      <c r="X653" s="314"/>
      <c r="Y653" s="312" t="s">
        <v>131</v>
      </c>
      <c r="Z653" s="312" t="s">
        <v>132</v>
      </c>
      <c r="AA653" s="314"/>
      <c r="AB653" s="314"/>
      <c r="AC653" s="336" t="s">
        <v>133</v>
      </c>
      <c r="AD653" s="314"/>
      <c r="AE653" s="314"/>
      <c r="AF653" s="314" t="s">
        <v>134</v>
      </c>
      <c r="AG653" s="314" t="s">
        <v>135</v>
      </c>
      <c r="AH653" s="312" t="s">
        <v>136</v>
      </c>
      <c r="AI653" s="335" t="s">
        <v>137</v>
      </c>
      <c r="AJ653" s="335" t="s">
        <v>138</v>
      </c>
      <c r="AK653" s="342" t="s">
        <v>139</v>
      </c>
      <c r="AL653" s="326"/>
      <c r="AM653" s="326"/>
      <c r="AN653" s="326"/>
      <c r="AO653" s="326"/>
      <c r="AP653" s="326"/>
      <c r="AQ653" s="314"/>
      <c r="AR653" s="314" t="s">
        <v>134</v>
      </c>
      <c r="AS653" s="314" t="s">
        <v>135</v>
      </c>
      <c r="AT653" s="343" t="s">
        <v>140</v>
      </c>
      <c r="AU653" s="335" t="s">
        <v>141</v>
      </c>
      <c r="AV653" s="335" t="s">
        <v>142</v>
      </c>
      <c r="AW653" s="342" t="s">
        <v>139</v>
      </c>
      <c r="AX653" s="342" t="s">
        <v>139</v>
      </c>
      <c r="AY653" s="314"/>
      <c r="AZ653" s="314"/>
      <c r="BA653" s="314"/>
      <c r="BB653" s="314" t="s">
        <v>143</v>
      </c>
      <c r="BC653" s="314"/>
      <c r="BD653" s="314"/>
      <c r="BE653" s="314"/>
      <c r="BF653" s="314"/>
      <c r="BG653" s="319" t="s">
        <v>144</v>
      </c>
      <c r="BH653" s="314" t="s">
        <v>145</v>
      </c>
      <c r="BI653" s="314"/>
      <c r="BJ653" s="314"/>
      <c r="BK653" s="314"/>
      <c r="BL653" s="314"/>
      <c r="BM653" s="314"/>
      <c r="BN653" s="314"/>
      <c r="BO653" s="314"/>
      <c r="BP653" s="314"/>
      <c r="BQ653" s="314"/>
      <c r="BR653" s="314"/>
      <c r="BS653" s="314"/>
      <c r="BT653" s="314"/>
      <c r="BU653" s="314"/>
      <c r="BV653" s="314"/>
      <c r="BW653" s="314"/>
      <c r="BX653" s="314"/>
      <c r="BY653" s="314"/>
      <c r="BZ653" s="314"/>
      <c r="CA653" s="314"/>
      <c r="CB653" s="314"/>
      <c r="CC653" s="314"/>
      <c r="CD653" s="314"/>
      <c r="CE653" s="314"/>
      <c r="CF653" s="314"/>
      <c r="CG653" s="314"/>
      <c r="CH653" s="314"/>
      <c r="CI653" s="314"/>
      <c r="CJ653" s="314"/>
      <c r="CK653" s="314"/>
      <c r="CL653" s="314"/>
      <c r="CM653" s="314"/>
      <c r="CN653" s="314"/>
      <c r="CO653" s="314"/>
      <c r="CP653" s="314"/>
      <c r="CQ653" s="319" t="s">
        <v>107</v>
      </c>
    </row>
    <row r="654" spans="1:95" ht="12.75" customHeight="1" thickBot="1" x14ac:dyDescent="0.3">
      <c r="A654" s="307"/>
      <c r="B654" s="68"/>
      <c r="C654" s="199" t="s">
        <v>12</v>
      </c>
      <c r="D654" s="344" t="str">
        <f>Translations!$B$356</f>
        <v>RFA:</v>
      </c>
      <c r="E654" s="345"/>
      <c r="F654" s="6"/>
      <c r="G654" s="1256" t="str">
        <f>IF(OR(ISBLANK(F654),F654=EUconst_NoTier),"",IF(Z654=0,EUconst_NA,IF(ISERROR(Z654),"",Z654)))</f>
        <v/>
      </c>
      <c r="H654" s="1257"/>
      <c r="I654" s="346" t="str">
        <f>IF(J654&lt;&gt;"","",AI654)</f>
        <v/>
      </c>
      <c r="J654" s="7"/>
      <c r="K654" s="1258"/>
      <c r="L654" s="1259"/>
      <c r="M654" s="347" t="str">
        <f>IF(AND(E649&lt;&gt;"",OR(F654="",COUNT(K654)=0),Y654&lt;&gt;EUconst_NA),EUconst_ERR_Incomplete,"")</f>
        <v/>
      </c>
      <c r="N654" s="76"/>
      <c r="O654" s="160"/>
      <c r="P654" s="348"/>
      <c r="Q654" s="325" t="str">
        <f>EUconst_SumBioEnergyIN</f>
        <v>SUM_BioEnergyIN</v>
      </c>
      <c r="R654" s="340" t="str">
        <f>IF(E649="","",BG663)</f>
        <v/>
      </c>
      <c r="S654" s="314"/>
      <c r="T654" s="349" t="str">
        <f>EUconst_CNTR_ActivityData&amp;E649</f>
        <v>ActivityData_</v>
      </c>
      <c r="U654" s="312"/>
      <c r="V654" s="349" t="str">
        <f>IF(E648="","",INDEX(B_IdentifyFuelStreams!$I$67:$I$116,MATCH(U647,B_IdentifyFuelStreams!$D$67:$D$116,0)))</f>
        <v/>
      </c>
      <c r="W654" s="335" t="s">
        <v>146</v>
      </c>
      <c r="X654" s="312"/>
      <c r="Y654" s="350" t="str">
        <f>IF(E649="","",INDEX(EUwideConstants!$P$164:$P$200,MATCH(T654,EUwideConstants!$S$164:$S$200,0)))</f>
        <v/>
      </c>
      <c r="Z654" s="351" t="str">
        <f>IF(ISBLANK(F654),"",IF(F654=EUconst_NA,"",INDEX(EUwideConstants!$H:$O,MATCH(T654,EUwideConstants!$S:$S,0),MATCH(F654,CNTR_TierList,0))))</f>
        <v/>
      </c>
      <c r="AA654" s="352" t="s">
        <v>136</v>
      </c>
      <c r="AB654" s="335"/>
      <c r="AC654" s="331" t="b">
        <f>E648&lt;&gt;""</f>
        <v>0</v>
      </c>
      <c r="AD654" s="314"/>
      <c r="AE654" s="353" t="str">
        <f>EUconst_CNTR_ActivityData&amp;EUconst_Unit</f>
        <v>ActivityData_Unit</v>
      </c>
      <c r="AF654" s="354" t="str">
        <f>IF(AC654=TRUE, IF(COUNTIF(MSPara_SourceStreamCategory,V654)=0,"",INDEX(MSPara_CalcFactorsMatrix,MATCH(V654,MSPara_SourceStreamCategory,0),MATCH(AE654&amp;"_"&amp;2,MSPara_CalcFactors,0))),"")</f>
        <v/>
      </c>
      <c r="AG654" s="355" t="str">
        <f>IF(AC654=TRUE, IF(COUNTIF(MSPara_SourceStreamCategory,V654)=0,"",INDEX(MSPara_CalcFactorsMatrix,MATCH(V654,MSPara_SourceStreamCategory,0),MATCH(AE654&amp;"_"&amp;1,MSPara_CalcFactors,0))),"")</f>
        <v/>
      </c>
      <c r="AH654" s="331" t="str">
        <f>IF(OR(AF654="",AF654=EUconst_NA),IF(OR(AG654=EUconst_NA,AG654=""),"",AG654),AF654)</f>
        <v/>
      </c>
      <c r="AI654" s="350" t="str">
        <f>IF(AC654=TRUE,IF(AH654="",EUconst_t,AH654),"")</f>
        <v/>
      </c>
      <c r="AJ654" s="356" t="str">
        <f>IF(J654="",AI654,J654)</f>
        <v/>
      </c>
      <c r="AK654" s="357" t="b">
        <f>AND(E648&lt;&gt;"",J654&lt;&gt;"")</f>
        <v>0</v>
      </c>
      <c r="AL654" s="326"/>
      <c r="AM654" s="358" t="s">
        <v>147</v>
      </c>
      <c r="AN654" s="359" t="str">
        <f>AJ654</f>
        <v/>
      </c>
      <c r="AO654" s="326"/>
      <c r="AP654" s="326"/>
      <c r="AQ654" s="349" t="str">
        <f>EUconst_CNTR_ActivityData&amp;EUconst_Value</f>
        <v>ActivityData_Value</v>
      </c>
      <c r="AR654" s="336"/>
      <c r="AS654" s="336"/>
      <c r="AT654" s="331" t="b">
        <f>AND(AND(AH654&lt;&gt;"",AJ654&lt;&gt;""),AJ654=AH654)</f>
        <v>0</v>
      </c>
      <c r="AU654" s="314"/>
      <c r="AV654" s="331">
        <f>IF(Y654=EUconst_NA,0,IF(COUNT(K654:K654)=0,0,IF(K654="",#REF!,K654)))</f>
        <v>0</v>
      </c>
      <c r="AW654" s="360" t="b">
        <f>AND(AC654=TRUE,OR(K654&lt;&gt;"",AU654=""))</f>
        <v>0</v>
      </c>
      <c r="AX654" s="360" t="b">
        <f>AND(AC654=TRUE,NOT(AW654))</f>
        <v>0</v>
      </c>
      <c r="AY654" s="314"/>
      <c r="AZ654" s="314" t="s">
        <v>148</v>
      </c>
      <c r="BA654" s="314" t="s">
        <v>149</v>
      </c>
      <c r="BB654" s="360"/>
      <c r="BC654" s="314" t="s">
        <v>150</v>
      </c>
      <c r="BD654" s="314"/>
      <c r="BE654" s="314"/>
      <c r="BF654" s="361" t="s">
        <v>119</v>
      </c>
      <c r="BG654" s="362" t="str">
        <f>IF(COUNTIF(AO657:AO658,TRUE)=0,"",BH654*AV665)</f>
        <v/>
      </c>
      <c r="BH654" s="362" t="str">
        <f>IF(COUNTIF(AO657:AO658,TRUE)=0,"",AV654*IF(AO657,1,AV656*AN658)*AV657-BH656-BH658-BH660)</f>
        <v/>
      </c>
      <c r="BI654" s="314"/>
      <c r="BJ654" s="314"/>
      <c r="BK654" s="314"/>
      <c r="BL654" s="314"/>
      <c r="BM654" s="314"/>
      <c r="BN654" s="314"/>
      <c r="BO654" s="314"/>
      <c r="BP654" s="314"/>
      <c r="BQ654" s="314"/>
      <c r="BR654" s="314"/>
      <c r="BS654" s="314"/>
      <c r="BT654" s="314"/>
      <c r="BU654" s="314"/>
      <c r="BV654" s="314"/>
      <c r="BW654" s="314"/>
      <c r="BX654" s="314"/>
      <c r="BY654" s="314"/>
      <c r="BZ654" s="314"/>
      <c r="CA654" s="314"/>
      <c r="CB654" s="314"/>
      <c r="CC654" s="314"/>
      <c r="CD654" s="314"/>
      <c r="CE654" s="314"/>
      <c r="CF654" s="314"/>
      <c r="CG654" s="314"/>
      <c r="CH654" s="314"/>
      <c r="CI654" s="314"/>
      <c r="CJ654" s="314"/>
      <c r="CK654" s="314"/>
      <c r="CL654" s="314"/>
      <c r="CM654" s="314"/>
      <c r="CN654" s="314"/>
      <c r="CO654" s="314"/>
      <c r="CP654" s="314"/>
      <c r="CQ654" s="360" t="b">
        <v>0</v>
      </c>
    </row>
    <row r="655" spans="1:95" ht="5.15" customHeight="1" thickBot="1" x14ac:dyDescent="0.3">
      <c r="A655" s="307"/>
      <c r="B655" s="68"/>
      <c r="C655" s="199"/>
      <c r="D655" s="202"/>
      <c r="E655" s="76"/>
      <c r="F655" s="76"/>
      <c r="G655" s="76"/>
      <c r="H655" s="76" t="str">
        <f>Translations!$B$397</f>
        <v xml:space="preserve"> </v>
      </c>
      <c r="I655" s="162"/>
      <c r="J655" s="162"/>
      <c r="K655" s="76"/>
      <c r="L655" s="76"/>
      <c r="M655" s="363"/>
      <c r="N655" s="76"/>
      <c r="O655" s="160"/>
      <c r="P655" s="109"/>
      <c r="Q655" s="312"/>
      <c r="R655" s="312"/>
      <c r="S655" s="314"/>
      <c r="T655" s="62"/>
      <c r="U655" s="312"/>
      <c r="V655" s="314"/>
      <c r="W655" s="314"/>
      <c r="X655" s="312"/>
      <c r="Y655" s="319"/>
      <c r="Z655" s="314"/>
      <c r="AA655" s="314"/>
      <c r="AB655" s="314"/>
      <c r="AC655" s="314"/>
      <c r="AD655" s="314"/>
      <c r="AE655" s="314"/>
      <c r="AF655" s="314"/>
      <c r="AG655" s="314"/>
      <c r="AH655" s="314"/>
      <c r="AI655" s="314"/>
      <c r="AJ655" s="314"/>
      <c r="AK655" s="314"/>
      <c r="AL655" s="326"/>
      <c r="AM655" s="326"/>
      <c r="AN655" s="326"/>
      <c r="AO655" s="326"/>
      <c r="AP655" s="326"/>
      <c r="AQ655" s="314"/>
      <c r="AR655" s="314"/>
      <c r="AS655" s="314"/>
      <c r="AT655" s="314"/>
      <c r="AU655" s="314"/>
      <c r="AV655" s="314"/>
      <c r="AW655" s="314"/>
      <c r="AX655" s="314"/>
      <c r="AY655" s="314"/>
      <c r="AZ655" s="314"/>
      <c r="BA655" s="314"/>
      <c r="BB655" s="314"/>
      <c r="BC655" s="314"/>
      <c r="BD655" s="314"/>
      <c r="BE655" s="314"/>
      <c r="BF655" s="314"/>
      <c r="BG655" s="364"/>
      <c r="BH655" s="364"/>
      <c r="BI655" s="314"/>
      <c r="BJ655" s="314"/>
      <c r="BK655" s="314"/>
      <c r="BL655" s="314"/>
      <c r="BM655" s="314"/>
      <c r="BN655" s="314"/>
      <c r="BO655" s="314"/>
      <c r="BP655" s="314"/>
      <c r="BQ655" s="314"/>
      <c r="BR655" s="314"/>
      <c r="BS655" s="314"/>
      <c r="BT655" s="314"/>
      <c r="BU655" s="314"/>
      <c r="BV655" s="314"/>
      <c r="BW655" s="314"/>
      <c r="BX655" s="314"/>
      <c r="BY655" s="314"/>
      <c r="BZ655" s="314"/>
      <c r="CA655" s="314"/>
      <c r="CB655" s="314"/>
      <c r="CC655" s="314"/>
      <c r="CD655" s="314"/>
      <c r="CE655" s="314"/>
      <c r="CF655" s="314"/>
      <c r="CG655" s="314"/>
      <c r="CH655" s="314"/>
      <c r="CI655" s="314"/>
      <c r="CJ655" s="314"/>
      <c r="CK655" s="314"/>
      <c r="CL655" s="314"/>
      <c r="CM655" s="314"/>
      <c r="CN655" s="314"/>
      <c r="CO655" s="314"/>
      <c r="CP655" s="314"/>
      <c r="CQ655" s="319"/>
    </row>
    <row r="656" spans="1:95" ht="12.75" customHeight="1" x14ac:dyDescent="0.25">
      <c r="A656" s="307"/>
      <c r="B656" s="68"/>
      <c r="C656" s="199" t="s">
        <v>13</v>
      </c>
      <c r="D656" s="344" t="str">
        <f>Translations!$B$360</f>
        <v>UCF:</v>
      </c>
      <c r="E656" s="345"/>
      <c r="F656" s="10"/>
      <c r="G656" s="1256" t="str">
        <f>IF(OR(ISBLANK(F656),F656=EUconst_NoTier),"",IF(Z656=0,EUconst_NotApplicable,IF(ISERROR(Z656),"",Z656)))</f>
        <v/>
      </c>
      <c r="H656" s="1257"/>
      <c r="I656" s="365" t="str">
        <f>IF(J656&lt;&gt;"","",AI656)</f>
        <v/>
      </c>
      <c r="J656" s="11"/>
      <c r="K656" s="366" t="str">
        <f>IF(L656="",AU656,"")</f>
        <v/>
      </c>
      <c r="L656" s="23"/>
      <c r="M656" s="347" t="str">
        <f>IF(AND(E649&lt;&gt;"",OR(F656="",COUNT(K656:L656)=0),Y656&lt;&gt;EUconst_NA),EUconst_ERR_Incomplete,IF(COUNTIF(BB656:BD656,TRUE)&gt;0,EUconst_ERR_Inconsistent,""))</f>
        <v/>
      </c>
      <c r="N656" s="367"/>
      <c r="O656" s="160"/>
      <c r="P656" s="109"/>
      <c r="Q656" s="312"/>
      <c r="R656" s="312"/>
      <c r="S656" s="314"/>
      <c r="T656" s="368" t="str">
        <f>EUconst_CNTR_UCF&amp;E649</f>
        <v>UCF_</v>
      </c>
      <c r="U656" s="312"/>
      <c r="V656" s="369" t="str">
        <f>V657</f>
        <v/>
      </c>
      <c r="W656" s="314"/>
      <c r="X656" s="312"/>
      <c r="Y656" s="370" t="str">
        <f>IF(E649="","",IF(OR(F656=EUconst_NA,W656=TRUE),EUconst_NA,INDEX(EUwideConstants!$P$164:$P$200,MATCH(T656,EUwideConstants!$S$164:$S$200,0))))</f>
        <v/>
      </c>
      <c r="Z656" s="371" t="str">
        <f>IF(ISBLANK(F656),"",IF(F656=EUconst_NA,"",INDEX(EUwideConstants!$H:$O,MATCH(T656,EUwideConstants!$S:$S,0),MATCH(F656,CNTR_TierList,0))))</f>
        <v/>
      </c>
      <c r="AA656" s="372" t="str">
        <f>IF(COUNTIF(EUconst_DefaultValues,Z656)&gt;0,MATCH(Z656,EUconst_DefaultValues,0),"")</f>
        <v/>
      </c>
      <c r="AB656" s="314"/>
      <c r="AC656" s="373" t="b">
        <f>AND(AC654,Y656&lt;&gt;EUconst_NA)</f>
        <v>0</v>
      </c>
      <c r="AD656" s="314"/>
      <c r="AE656" s="353" t="str">
        <f>EUconst_CNTR_UCF&amp;EUconst_Unit</f>
        <v>UCF_Unit</v>
      </c>
      <c r="AF656" s="374" t="str">
        <f>IF(AC656=TRUE, IF(COUNTIF(MSPara_SourceStreamCategory,V656)=0,"",INDEX(MSPara_CalcFactorsMatrix,MATCH(V656,MSPara_SourceStreamCategory,0),MATCH(AE656&amp;"_"&amp;2,MSPara_CalcFactors,0))),"")</f>
        <v/>
      </c>
      <c r="AG656" s="375" t="str">
        <f>IF(AC656=TRUE, IF(COUNTIF(MSPara_SourceStreamCategory,V656)=0,"",INDEX(MSPara_CalcFactorsMatrix,MATCH(V656,MSPara_SourceStreamCategory,0),MATCH(AE656&amp;"_"&amp;1,MSPara_CalcFactors,0))),"")</f>
        <v/>
      </c>
      <c r="AH656" s="373" t="str">
        <f>IF(AA656="","",INDEX(AF656:AG656,3-AA656))</f>
        <v/>
      </c>
      <c r="AI656" s="373" t="str">
        <f>IF(AC656=TRUE,IF(OR(AH656="",AH656=EUconst_NA),EUconst_GJ&amp;"/"&amp;AJ654,AH656),"")</f>
        <v/>
      </c>
      <c r="AJ656" s="373" t="str">
        <f>IF(J656="",AI656,J656)</f>
        <v/>
      </c>
      <c r="AK656" s="369" t="b">
        <f>AND(E648&lt;&gt;"",J656&lt;&gt;"")</f>
        <v>0</v>
      </c>
      <c r="AL656" s="326"/>
      <c r="AM656" s="358" t="s">
        <v>151</v>
      </c>
      <c r="AN656" s="359" t="str">
        <f>IF(AJ656="",EUconst_NA,IF(AN654=EUconst_TJ,EUconst_TJ,INDEX(EUwideConstants!$C$135:$G$139,MATCH(AN654,RFAUnits,0),MATCH(AJ656,UCFUnits,0))))</f>
        <v>n.a.</v>
      </c>
      <c r="AO656" s="326"/>
      <c r="AP656" s="326"/>
      <c r="AQ656" s="376" t="str">
        <f>EUconst_CNTR_UCF&amp;EUconst_Value</f>
        <v>UCF_Value</v>
      </c>
      <c r="AR656" s="377" t="str">
        <f>IF(AC656=TRUE,IF(COUNTIF(MSPara_SourceStreamCategory,V656)=0,"",INDEX(MSPara_CalcFactorsMatrix,MATCH(V656,MSPara_SourceStreamCategory,0),MATCH(AQ656&amp;"_"&amp;2,MSPara_CalcFactors,0))),"")</f>
        <v/>
      </c>
      <c r="AS656" s="378" t="str">
        <f>IF(AC656=TRUE,IF(COUNTIF(MSPara_SourceStreamCategory,V656)=0,"",INDEX(MSPara_CalcFactorsMatrix,MATCH(V656,MSPara_SourceStreamCategory,0),MATCH(AQ656&amp;"_"&amp;1,MSPara_CalcFactors,0))),"")</f>
        <v/>
      </c>
      <c r="AT656" s="379" t="b">
        <f>AND(AND(AH656&lt;&gt;"",AJ656&lt;&gt;""),AJ656=AH656)</f>
        <v>0</v>
      </c>
      <c r="AU656" s="380" t="str">
        <f>IF(AND(AA656&lt;&gt;"",AT656=TRUE),IF(OR(INDEX(AR656:AS656,3-AA656)=EUconst_NA,INDEX(AR656:AS656,3-AA656)=0),"",INDEX(AR656:AS656,3-AA656)),"")</f>
        <v/>
      </c>
      <c r="AV656" s="373">
        <f>IF(AC656=TRUE,IF(COUNT(K656:L656)=0,0,IF(L656="",K656,L656)),0)</f>
        <v>0</v>
      </c>
      <c r="AW656" s="369" t="b">
        <f t="shared" ref="AW656:AW663" si="189">AND(AC656=TRUE,OR(AND(F656&lt;&gt;"",NOT(ISNUMBER(AA656))),L656&lt;&gt;"",F656="",AU656=""))</f>
        <v>0</v>
      </c>
      <c r="AX656" s="381" t="b">
        <f t="shared" ref="AX656:AX663" si="190">AND(AC656=TRUE,NOT(AW656))</f>
        <v>0</v>
      </c>
      <c r="AY656" s="314"/>
      <c r="AZ656" s="382" t="b">
        <f t="shared" ref="AZ656:AZ663" si="191">AND(ISNUMBER(AA656),AU656="")</f>
        <v>0</v>
      </c>
      <c r="BA656" s="383" t="b">
        <f t="shared" ref="BA656:BA663" si="192">AND(ISNUMBER(AA656),AU656&lt;&gt;AV656)</f>
        <v>0</v>
      </c>
      <c r="BB656" s="369" t="b">
        <f>AND(E649&lt;&gt;"",F656&lt;&gt;EUconst_NA,AN656=EUconst_NA)</f>
        <v>0</v>
      </c>
      <c r="BC656" s="369" t="b">
        <f t="shared" ref="BC656:BC663" si="193">AND(L656&lt;&gt;"",Y656=EUconst_NA)</f>
        <v>0</v>
      </c>
      <c r="BD656" s="314"/>
      <c r="BE656" s="314"/>
      <c r="BF656" s="382" t="s">
        <v>152</v>
      </c>
      <c r="BG656" s="384" t="str">
        <f>IF(COUNTIF(AO657:AO658,TRUE)=0,"",BH656*AV665)</f>
        <v/>
      </c>
      <c r="BH656" s="384" t="str">
        <f>IF(COUNTIF(AO657:AO658,TRUE)=0,"",AV654*IF(AO657,1,AV656*AN658)*AV657*AV658)</f>
        <v/>
      </c>
      <c r="BI656" s="314"/>
      <c r="BJ656" s="314"/>
      <c r="BK656" s="314"/>
      <c r="BL656" s="314"/>
      <c r="BM656" s="314"/>
      <c r="BN656" s="314"/>
      <c r="BO656" s="314"/>
      <c r="BP656" s="314"/>
      <c r="BQ656" s="314"/>
      <c r="BR656" s="314"/>
      <c r="BS656" s="314"/>
      <c r="BT656" s="314"/>
      <c r="BU656" s="314"/>
      <c r="BV656" s="314"/>
      <c r="BW656" s="314"/>
      <c r="BX656" s="314"/>
      <c r="BY656" s="314"/>
      <c r="BZ656" s="314"/>
      <c r="CA656" s="314"/>
      <c r="CB656" s="314"/>
      <c r="CC656" s="314"/>
      <c r="CD656" s="314"/>
      <c r="CE656" s="314"/>
      <c r="CF656" s="314"/>
      <c r="CG656" s="314"/>
      <c r="CH656" s="314"/>
      <c r="CI656" s="314"/>
      <c r="CJ656" s="314"/>
      <c r="CK656" s="314"/>
      <c r="CL656" s="314"/>
      <c r="CM656" s="314"/>
      <c r="CN656" s="314"/>
      <c r="CO656" s="314"/>
      <c r="CP656" s="314"/>
      <c r="CQ656" s="369" t="b">
        <f>OR(CQ654,Y656=EUconst_NA)</f>
        <v>0</v>
      </c>
    </row>
    <row r="657" spans="1:95" ht="12.75" customHeight="1" thickBot="1" x14ac:dyDescent="0.3">
      <c r="A657" s="307"/>
      <c r="B657" s="68"/>
      <c r="C657" s="199" t="s">
        <v>14</v>
      </c>
      <c r="D657" s="344" t="str">
        <f>Translations!$B$358</f>
        <v>(prelim) EF:</v>
      </c>
      <c r="E657" s="345"/>
      <c r="F657" s="59"/>
      <c r="G657" s="1256" t="str">
        <f>IF(OR(ISBLANK(F657),F657=EUconst_NoTier),"",IF(Z657=0,EUconst_NotApplicable,IF(ISERROR(Z657),"",Z657)))</f>
        <v/>
      </c>
      <c r="H657" s="1260"/>
      <c r="I657" s="385" t="str">
        <f>IF(J657&lt;&gt;"","",AI657)</f>
        <v/>
      </c>
      <c r="J657" s="22"/>
      <c r="K657" s="386" t="str">
        <f>IF(L657="",AU657,"")</f>
        <v/>
      </c>
      <c r="L657" s="58"/>
      <c r="M657" s="347" t="str">
        <f>IF(AND(E649&lt;&gt;"",OR(F657="",COUNT(K657:L657)=0),Y657&lt;&gt;EUconst_NA),EUconst_ERR_Incomplete,IF(COUNTIF(BB657:BD657,TRUE)&gt;0,EUconst_ERR_Inconsistent,""))</f>
        <v/>
      </c>
      <c r="N657" s="387"/>
      <c r="O657" s="160"/>
      <c r="P657" s="109"/>
      <c r="Q657" s="312"/>
      <c r="R657" s="312"/>
      <c r="S657" s="314"/>
      <c r="T657" s="388" t="str">
        <f>EUconst_CNTR_EF&amp;E649</f>
        <v>EF_</v>
      </c>
      <c r="U657" s="312"/>
      <c r="V657" s="389" t="str">
        <f>V654</f>
        <v/>
      </c>
      <c r="W657" s="314"/>
      <c r="X657" s="312"/>
      <c r="Y657" s="390" t="str">
        <f>IF(E649="","",IF(OR(F657=EUconst_NA,W657=TRUE),EUconst_NA,INDEX(EUwideConstants!$P$164:$P$200,MATCH(T657,EUwideConstants!$S$164:$S$200,0))))</f>
        <v/>
      </c>
      <c r="Z657" s="391" t="str">
        <f>IF(ISBLANK(F657),"",IF(F657=EUconst_NA,"",INDEX(EUwideConstants!$H:$O,MATCH(T657,EUwideConstants!$S:$S,0),MATCH(F657,CNTR_TierList,0))))</f>
        <v/>
      </c>
      <c r="AA657" s="392" t="str">
        <f>IF(COUNTIF(EUconst_DefaultValues,Z657)&gt;0,MATCH(Z657,EUconst_DefaultValues,0),"")</f>
        <v/>
      </c>
      <c r="AB657" s="314"/>
      <c r="AC657" s="393" t="b">
        <f>AND(AC654,Y657&lt;&gt;EUconst_NA)</f>
        <v>0</v>
      </c>
      <c r="AD657" s="314"/>
      <c r="AE657" s="394" t="str">
        <f>EUconst_CNTR_EF&amp;EUconst_Unit</f>
        <v>EF_Unit</v>
      </c>
      <c r="AF657" s="395" t="str">
        <f>IF(AC657=TRUE, IF(COUNTIF(MSPara_SourceStreamCategory,V657)=0,"",INDEX(MSPara_CalcFactorsMatrix,MATCH(V657,MSPara_SourceStreamCategory,0),MATCH(AE657&amp;"_"&amp;2,MSPara_CalcFactors,0))),"")</f>
        <v/>
      </c>
      <c r="AG657" s="396" t="str">
        <f>IF(AC657=TRUE, IF(COUNTIF(MSPara_SourceStreamCategory,V657)=0,"",INDEX(MSPara_CalcFactorsMatrix,MATCH(V657,MSPara_SourceStreamCategory,0),MATCH(AE657&amp;"_"&amp;1,MSPara_CalcFactors,0))),"")</f>
        <v/>
      </c>
      <c r="AH657" s="397" t="str">
        <f>IF(AA657="","",INDEX(AF657:AG657,3-AA657))</f>
        <v/>
      </c>
      <c r="AI657" s="397" t="str">
        <f>IF(AC657=TRUE,IF(OR(AH657="",AH657=EUconst_NA),EUconst_tCO2&amp;"/"&amp;IF(AN656=EUconst_NA,AN654,IF(AN656=EUconst_GJ,EUconst_TJ,AN656)),AH657),"")</f>
        <v/>
      </c>
      <c r="AJ657" s="397" t="str">
        <f>IF(J657="",AI657,J657)</f>
        <v/>
      </c>
      <c r="AK657" s="398" t="b">
        <f>AND(E649&lt;&gt;"",J657&lt;&gt;"")</f>
        <v>0</v>
      </c>
      <c r="AL657" s="326"/>
      <c r="AM657" s="358" t="s">
        <v>153</v>
      </c>
      <c r="AN657" s="359" t="str">
        <f>IF(COUNTIF(RFAUnits,AN654)=0,EUconst_NA,INDEX(EUwideConstants!$C$150:$H$154,MATCH(AJ657,EFUnits,0),MATCH(AN654,EUwideConstants!$C$149:$H$149,0)))</f>
        <v>n.a.</v>
      </c>
      <c r="AO657" s="359" t="b">
        <f>AN657&lt;&gt;EUconst_NA</f>
        <v>0</v>
      </c>
      <c r="AP657" s="326"/>
      <c r="AQ657" s="399" t="str">
        <f>EUconst_CNTR_EF&amp;EUconst_Value</f>
        <v>EF_Value</v>
      </c>
      <c r="AR657" s="400" t="str">
        <f>IF(AC657=TRUE,IF(COUNTIF(MSPara_SourceStreamCategory,V657)=0,"",INDEX(MSPara_CalcFactorsMatrix,MATCH(V657,MSPara_SourceStreamCategory,0),MATCH(AQ657&amp;"_"&amp;2,MSPara_CalcFactors,0))),"")</f>
        <v/>
      </c>
      <c r="AS657" s="401" t="str">
        <f>IF(AC657=TRUE,IF(COUNTIF(MSPara_SourceStreamCategory,V657)=0,"",INDEX(MSPara_CalcFactorsMatrix,MATCH(V657,MSPara_SourceStreamCategory,0),MATCH(AQ657&amp;"_"&amp;1,MSPara_CalcFactors,0))),"")</f>
        <v/>
      </c>
      <c r="AT657" s="402" t="b">
        <f>AND(AND(AH657&lt;&gt;"",AJ657&lt;&gt;""),AJ657=AH657)</f>
        <v>0</v>
      </c>
      <c r="AU657" s="403" t="str">
        <f>IF(AND(AA657&lt;&gt;"",AT657=TRUE),IF(OR(INDEX(AR657:AS657,3-AA657)=EUconst_NA,INDEX(AR657:AS657,3-AA657)=0),"",INDEX(AR657:AS657,3-AA657)),"")</f>
        <v/>
      </c>
      <c r="AV657" s="393">
        <f>IF(AC657=TRUE,IF(COUNT(K657:L657)=0,0,IF(L657="",K657,L657)),0)</f>
        <v>0</v>
      </c>
      <c r="AW657" s="389" t="b">
        <f t="shared" si="189"/>
        <v>0</v>
      </c>
      <c r="AX657" s="404" t="b">
        <f t="shared" si="190"/>
        <v>0</v>
      </c>
      <c r="AY657" s="314"/>
      <c r="AZ657" s="405" t="b">
        <f t="shared" si="191"/>
        <v>0</v>
      </c>
      <c r="BA657" s="406" t="b">
        <f t="shared" si="192"/>
        <v>0</v>
      </c>
      <c r="BB657" s="407" t="b">
        <f>AND(E649&lt;&gt;"",COUNTIF(AO657:AO658,TRUE)=0)</f>
        <v>0</v>
      </c>
      <c r="BC657" s="389" t="b">
        <f t="shared" si="193"/>
        <v>0</v>
      </c>
      <c r="BD657" s="314"/>
      <c r="BE657" s="314"/>
      <c r="BF657" s="408" t="s">
        <v>154</v>
      </c>
      <c r="BG657" s="409" t="str">
        <f>IF(COUNTIF(AO657:AO658,TRUE)=0,"",BH657*AV665)</f>
        <v/>
      </c>
      <c r="BH657" s="409" t="str">
        <f>IF(COUNTIF(AO657:AO658,TRUE)=0,"",AV654*IF(AO657,1,AV656*AN658)*AV657*AV659)</f>
        <v/>
      </c>
      <c r="BI657" s="314"/>
      <c r="BJ657" s="314"/>
      <c r="BK657" s="314"/>
      <c r="BL657" s="314"/>
      <c r="BM657" s="314"/>
      <c r="BN657" s="314"/>
      <c r="BO657" s="314"/>
      <c r="BP657" s="314"/>
      <c r="BQ657" s="314"/>
      <c r="BR657" s="314"/>
      <c r="BS657" s="314"/>
      <c r="BT657" s="314"/>
      <c r="BU657" s="314"/>
      <c r="BV657" s="314"/>
      <c r="BW657" s="314"/>
      <c r="BX657" s="314"/>
      <c r="BY657" s="314"/>
      <c r="BZ657" s="314"/>
      <c r="CA657" s="314"/>
      <c r="CB657" s="314"/>
      <c r="CC657" s="314"/>
      <c r="CD657" s="314"/>
      <c r="CE657" s="314"/>
      <c r="CF657" s="314"/>
      <c r="CG657" s="314"/>
      <c r="CH657" s="314"/>
      <c r="CI657" s="314"/>
      <c r="CJ657" s="314"/>
      <c r="CK657" s="314"/>
      <c r="CL657" s="314"/>
      <c r="CM657" s="314"/>
      <c r="CN657" s="314"/>
      <c r="CO657" s="314"/>
      <c r="CP657" s="314"/>
      <c r="CQ657" s="407" t="b">
        <f>OR(CQ654,Y657=EUconst_NA)</f>
        <v>0</v>
      </c>
    </row>
    <row r="658" spans="1:95" ht="12.75" customHeight="1" x14ac:dyDescent="0.25">
      <c r="A658" s="307"/>
      <c r="B658" s="68"/>
      <c r="C658" s="199" t="s">
        <v>15</v>
      </c>
      <c r="D658" s="344" t="str">
        <f>Translations!$B$362</f>
        <v>BioF:</v>
      </c>
      <c r="E658" s="345"/>
      <c r="F658" s="10"/>
      <c r="G658" s="1256" t="str">
        <f>IF(OR(ISBLANK(F658),F658=EUconst_NoTier),"",IF(Z658=0,EUconst_NotApplicable,IF(ISERROR(Z658),"",Z658)))</f>
        <v/>
      </c>
      <c r="H658" s="1257"/>
      <c r="I658" s="410" t="str">
        <f t="shared" ref="I658:I663" si="194">IF(OR(AC658=FALSE,Y658=EUconst_NA),"","-")</f>
        <v/>
      </c>
      <c r="J658" s="411"/>
      <c r="K658" s="412" t="str">
        <f>IF(L658="",AU658,"")</f>
        <v/>
      </c>
      <c r="L658" s="60"/>
      <c r="M658" s="347" t="str">
        <f>IF(AND(E649&lt;&gt;"",OR(F658="",COUNT(K658:L658)=0),Y658&lt;&gt;EUconst_NA),EUconst_ERR_Incomplete,IF(COUNTIF(BB658:BD658,TRUE)&gt;0,EUconst_ERR_Inconsistent,""))</f>
        <v/>
      </c>
      <c r="O658" s="160"/>
      <c r="P658" s="348"/>
      <c r="Q658" s="413"/>
      <c r="R658" s="413"/>
      <c r="S658" s="314"/>
      <c r="T658" s="388" t="str">
        <f>EUconst_CNTR_BiomassContent&amp;E649</f>
        <v>BioC_</v>
      </c>
      <c r="U658" s="312"/>
      <c r="V658" s="369" t="str">
        <f>V656</f>
        <v/>
      </c>
      <c r="W658" s="369" t="str">
        <f>IF(OR(V658="",COUNTIF(MSPara_SourceStreamCategory,V658)=0),"",INDEX(MSPara_IsFossil,MATCH(V658,MSPara_SourceStreamCategory,0)))</f>
        <v/>
      </c>
      <c r="X658" s="312"/>
      <c r="Y658" s="370" t="str">
        <f>IF(E649="","",IF(OR(F658=EUconst_NA,W658=TRUE),EUconst_NA,INDEX(EUwideConstants!$P$164:$P$200,MATCH(T658,EUwideConstants!$S$164:$S$200,0))))</f>
        <v/>
      </c>
      <c r="Z658" s="371" t="str">
        <f>IF(ISBLANK(F658),"",IF(F658=EUconst_NA,"",INDEX(EUwideConstants!$H:$O,MATCH(T658,EUwideConstants!$S:$S,0),MATCH(F658,CNTR_TierList,0))))</f>
        <v/>
      </c>
      <c r="AA658" s="414" t="str">
        <f>IF(F658=1,1,"")</f>
        <v/>
      </c>
      <c r="AB658" s="314"/>
      <c r="AC658" s="373" t="b">
        <f>AND(AC654,Y658&lt;&gt;EUconst_NA)</f>
        <v>0</v>
      </c>
      <c r="AD658" s="314"/>
      <c r="AE658" s="415"/>
      <c r="AF658" s="416"/>
      <c r="AG658" s="417"/>
      <c r="AH658" s="418"/>
      <c r="AI658" s="418"/>
      <c r="AJ658" s="418"/>
      <c r="AK658" s="419"/>
      <c r="AL658" s="326"/>
      <c r="AM658" s="358" t="s">
        <v>155</v>
      </c>
      <c r="AN658" s="359" t="str">
        <f>IF(AN656=EUconst_NA,EUconst_NA,INDEX(EUwideConstants!$C$150:$H$154,MATCH(AJ657,EFUnits,0),MATCH(AN656,EUwideConstants!$C$149:$H$149,0)))</f>
        <v>n.a.</v>
      </c>
      <c r="AO658" s="359" t="b">
        <f>AN658&lt;&gt;EUconst_NA</f>
        <v>0</v>
      </c>
      <c r="AP658" s="326"/>
      <c r="AQ658" s="376" t="str">
        <f>EUconst_CNTR_BiomassContent&amp;EUconst_Value</f>
        <v>BioC_Value</v>
      </c>
      <c r="AR658" s="420"/>
      <c r="AS658" s="378" t="str">
        <f t="shared" ref="AS658:AS663" si="195">IF(AC658=TRUE,IF(COUNTIF(MSPara_SourceStreamCategory,V658)=0,"",INDEX(MSPara_CalcFactorsMatrix,MATCH(V658,MSPara_SourceStreamCategory,0),MATCH(AQ658&amp;"_"&amp;2,MSPara_CalcFactors,0))),"")</f>
        <v/>
      </c>
      <c r="AT658" s="421"/>
      <c r="AU658" s="380" t="str">
        <f t="shared" ref="AU658:AU663" si="196">IF(OR(AA658="",AS658=EUconst_NA),"",AS658)</f>
        <v/>
      </c>
      <c r="AV658" s="373">
        <f>IF(AC658=TRUE,IF(COUNT(K658:L658)=0,0,IF(L658="",K658,L658)),0)</f>
        <v>0</v>
      </c>
      <c r="AW658" s="369" t="b">
        <f t="shared" si="189"/>
        <v>0</v>
      </c>
      <c r="AX658" s="381" t="b">
        <f t="shared" si="190"/>
        <v>0</v>
      </c>
      <c r="AY658" s="314"/>
      <c r="AZ658" s="382" t="b">
        <f t="shared" si="191"/>
        <v>0</v>
      </c>
      <c r="BA658" s="383" t="b">
        <f t="shared" si="192"/>
        <v>0</v>
      </c>
      <c r="BB658" s="314"/>
      <c r="BC658" s="369" t="b">
        <f t="shared" si="193"/>
        <v>0</v>
      </c>
      <c r="BD658" s="369" t="b">
        <f>OR(AV658&gt;100%,(AV658+AV659)&gt;100%)</f>
        <v>0</v>
      </c>
      <c r="BE658" s="314"/>
      <c r="BF658" s="382" t="s">
        <v>156</v>
      </c>
      <c r="BG658" s="384" t="str">
        <f>IF(COUNTIF(AO657:AO658,TRUE)=0,"",BH658*AV665)</f>
        <v/>
      </c>
      <c r="BH658" s="384" t="str">
        <f>IF(COUNTIF(AO657:AO658,TRUE)=0,"",AV654*IF(AO657,1,AV656*AN658)*AV657*AV660)</f>
        <v/>
      </c>
      <c r="BJ658" s="314"/>
      <c r="BK658" s="314"/>
      <c r="BL658" s="314"/>
      <c r="BM658" s="314"/>
      <c r="BN658" s="314"/>
      <c r="BO658" s="314"/>
      <c r="BP658" s="314"/>
      <c r="BQ658" s="314"/>
      <c r="BR658" s="314"/>
      <c r="BS658" s="314"/>
      <c r="BT658" s="314"/>
      <c r="BU658" s="314"/>
      <c r="BV658" s="314"/>
      <c r="BW658" s="314"/>
      <c r="BX658" s="314"/>
      <c r="BY658" s="314"/>
      <c r="BZ658" s="314"/>
      <c r="CA658" s="314"/>
      <c r="CB658" s="314"/>
      <c r="CC658" s="314"/>
      <c r="CD658" s="314"/>
      <c r="CE658" s="314"/>
      <c r="CF658" s="314"/>
      <c r="CG658" s="314"/>
      <c r="CH658" s="314"/>
      <c r="CI658" s="314"/>
      <c r="CJ658" s="314"/>
      <c r="CK658" s="314"/>
      <c r="CL658" s="314"/>
      <c r="CM658" s="314"/>
      <c r="CN658" s="314"/>
      <c r="CO658" s="314"/>
      <c r="CP658" s="314"/>
      <c r="CQ658" s="369" t="b">
        <f>OR(CQ654,Y658=EUconst_NA)</f>
        <v>0</v>
      </c>
    </row>
    <row r="659" spans="1:95" ht="12.75" customHeight="1" thickBot="1" x14ac:dyDescent="0.3">
      <c r="A659" s="307"/>
      <c r="B659" s="68"/>
      <c r="C659" s="199" t="s">
        <v>16</v>
      </c>
      <c r="D659" s="344" t="str">
        <f>Translations!$B$368</f>
        <v>non-sust. BioF:</v>
      </c>
      <c r="E659" s="345"/>
      <c r="F659" s="20"/>
      <c r="G659" s="1256" t="str">
        <f>IF(OR(ISBLANK(F659),F659=EUconst_NoTier),"",IF(Z659=0,EUconst_NotApplicable,IF(ISERROR(Z659),"",Z659)))</f>
        <v/>
      </c>
      <c r="H659" s="1257"/>
      <c r="I659" s="422" t="str">
        <f t="shared" si="194"/>
        <v/>
      </c>
      <c r="J659" s="423"/>
      <c r="K659" s="424" t="str">
        <f>IF(L659="",AU659,"")</f>
        <v/>
      </c>
      <c r="L659" s="21"/>
      <c r="M659" s="347" t="str">
        <f>IF(AND(E649&lt;&gt;"",OR(F659="",COUNT(K659:L659)=0),Y659&lt;&gt;EUconst_NA),EUconst_ERR_Incomplete,IF(COUNTIF(BB659:BD659,TRUE)&gt;0,EUconst_ERR_Inconsistent,""))</f>
        <v/>
      </c>
      <c r="N659" s="76"/>
      <c r="O659" s="160"/>
      <c r="P659" s="348"/>
      <c r="Q659" s="413"/>
      <c r="R659" s="413"/>
      <c r="S659" s="314"/>
      <c r="T659" s="425" t="str">
        <f>EUconst_CNTR_BiomassContent&amp;E649</f>
        <v>BioC_</v>
      </c>
      <c r="U659" s="312"/>
      <c r="V659" s="407" t="str">
        <f>V658</f>
        <v/>
      </c>
      <c r="W659" s="407" t="str">
        <f>IF(OR(V658="",COUNTIF(MSPara_SourceStreamCategory,V659)=0),"",INDEX(MSPara_IsFossil,MATCH(V659,MSPara_SourceStreamCategory,0)))</f>
        <v/>
      </c>
      <c r="X659" s="312"/>
      <c r="Y659" s="426" t="str">
        <f>IF(E649="","",IF(OR(F659=EUconst_NA,W659=TRUE),EUconst_NA,INDEX(EUwideConstants!$P$164:$P$200,MATCH(T659,EUwideConstants!$S$164:$S$200,0))))</f>
        <v/>
      </c>
      <c r="Z659" s="427" t="str">
        <f>IF(ISBLANK(F659),"",IF(F659=EUconst_NA,"",INDEX(EUwideConstants!$H:$O,MATCH(T659,EUwideConstants!$S:$S,0),MATCH(F659,CNTR_TierList,0))))</f>
        <v/>
      </c>
      <c r="AA659" s="428" t="str">
        <f>IF(F659=1,1,"")</f>
        <v/>
      </c>
      <c r="AB659" s="314"/>
      <c r="AC659" s="429" t="b">
        <f>AND(AC654,Y659&lt;&gt;EUconst_NA)</f>
        <v>0</v>
      </c>
      <c r="AD659" s="314"/>
      <c r="AE659" s="430"/>
      <c r="AF659" s="431"/>
      <c r="AG659" s="432"/>
      <c r="AH659" s="433"/>
      <c r="AI659" s="433"/>
      <c r="AJ659" s="433"/>
      <c r="AK659" s="434"/>
      <c r="AL659" s="326"/>
      <c r="AM659" s="326"/>
      <c r="AN659" s="326"/>
      <c r="AO659" s="326"/>
      <c r="AP659" s="326"/>
      <c r="AQ659" s="435" t="str">
        <f>EUconst_CNTR_BiomassContent&amp;EUconst_Value</f>
        <v>BioC_Value</v>
      </c>
      <c r="AR659" s="430"/>
      <c r="AS659" s="436" t="str">
        <f t="shared" si="195"/>
        <v/>
      </c>
      <c r="AT659" s="437"/>
      <c r="AU659" s="438" t="str">
        <f t="shared" si="196"/>
        <v/>
      </c>
      <c r="AV659" s="429">
        <f>IF(AC659=TRUE,IF(COUNT(K659:L659)=0,0,IF(L659="",K659,L659)),0)</f>
        <v>0</v>
      </c>
      <c r="AW659" s="407" t="b">
        <f t="shared" si="189"/>
        <v>0</v>
      </c>
      <c r="AX659" s="439" t="b">
        <f t="shared" si="190"/>
        <v>0</v>
      </c>
      <c r="AY659" s="314"/>
      <c r="AZ659" s="408" t="b">
        <f t="shared" si="191"/>
        <v>0</v>
      </c>
      <c r="BA659" s="440" t="b">
        <f t="shared" si="192"/>
        <v>0</v>
      </c>
      <c r="BB659" s="314"/>
      <c r="BC659" s="407" t="b">
        <f t="shared" si="193"/>
        <v>0</v>
      </c>
      <c r="BD659" s="407" t="b">
        <f>OR(AV658&gt;100%,(AV658+AV659)&gt;100%)</f>
        <v>0</v>
      </c>
      <c r="BE659" s="314"/>
      <c r="BF659" s="408" t="s">
        <v>157</v>
      </c>
      <c r="BG659" s="409" t="str">
        <f>IF(COUNTIF(AO657:AO658,TRUE)=0,"",BH659*AV665)</f>
        <v/>
      </c>
      <c r="BH659" s="409" t="str">
        <f>IF(COUNTIF(AO657:AO658,TRUE)=0,"",AV654*IF(AO657,1,AV656*AN658)*AV657*AV661)</f>
        <v/>
      </c>
      <c r="BJ659" s="314"/>
      <c r="BK659" s="314"/>
      <c r="BL659" s="314"/>
      <c r="BM659" s="314"/>
      <c r="BN659" s="314"/>
      <c r="BO659" s="314"/>
      <c r="BP659" s="314"/>
      <c r="BQ659" s="314"/>
      <c r="BR659" s="314"/>
      <c r="BS659" s="314"/>
      <c r="BT659" s="314"/>
      <c r="BU659" s="314"/>
      <c r="BV659" s="314"/>
      <c r="BW659" s="314"/>
      <c r="BX659" s="314"/>
      <c r="BY659" s="314"/>
      <c r="BZ659" s="314"/>
      <c r="CA659" s="314"/>
      <c r="CB659" s="314"/>
      <c r="CC659" s="314"/>
      <c r="CD659" s="314"/>
      <c r="CE659" s="314"/>
      <c r="CF659" s="314"/>
      <c r="CG659" s="314"/>
      <c r="CH659" s="314"/>
      <c r="CI659" s="314"/>
      <c r="CJ659" s="314"/>
      <c r="CK659" s="314"/>
      <c r="CL659" s="314"/>
      <c r="CM659" s="314"/>
      <c r="CN659" s="314"/>
      <c r="CO659" s="314"/>
      <c r="CP659" s="314"/>
      <c r="CQ659" s="407" t="b">
        <f>OR(CQ654,Y659=EUconst_NA)</f>
        <v>0</v>
      </c>
    </row>
    <row r="660" spans="1:95" ht="12.75" customHeight="1" thickBot="1" x14ac:dyDescent="0.3">
      <c r="A660" s="307"/>
      <c r="B660" s="68"/>
      <c r="C660" s="199" t="s">
        <v>17</v>
      </c>
      <c r="D660" s="344" t="str">
        <f>Translations!$B$610</f>
        <v>sust. RFNBO/RCF:</v>
      </c>
      <c r="E660" s="441"/>
      <c r="F660" s="19" t="s">
        <v>158</v>
      </c>
      <c r="G660" s="1261"/>
      <c r="H660" s="1262"/>
      <c r="I660" s="442" t="str">
        <f t="shared" si="194"/>
        <v/>
      </c>
      <c r="J660" s="411"/>
      <c r="K660" s="443"/>
      <c r="L660" s="55"/>
      <c r="M660" s="347" t="str">
        <f>IF(AND(E649&lt;&gt;"",OR(F660="",COUNT(L660)=0),Y660&lt;&gt;EUconst_NA),EUconst_ERR_Incomplete,"")</f>
        <v/>
      </c>
      <c r="N660" s="76"/>
      <c r="O660" s="160"/>
      <c r="P660" s="348"/>
      <c r="Q660" s="413"/>
      <c r="R660" s="413"/>
      <c r="S660" s="314"/>
      <c r="T660" s="388" t="str">
        <f>EUconst_CNTR_RFNBOetcContent&amp;E649</f>
        <v>RNFBOC_</v>
      </c>
      <c r="U660" s="312"/>
      <c r="V660" s="312"/>
      <c r="W660" s="312"/>
      <c r="X660" s="312"/>
      <c r="Y660" s="380" t="str">
        <f>IF(E649="","",IF(OR(F660=EUconst_NA,W660=TRUE),EUconst_NA,INDEX(EUwideConstants!$P$164:$P$200,MATCH(T660,EUwideConstants!$S$164:$S$200,0))))</f>
        <v/>
      </c>
      <c r="Z660" s="314"/>
      <c r="AA660" s="314"/>
      <c r="AB660" s="314"/>
      <c r="AC660" s="397" t="b">
        <f>AND(AC656,Y660&lt;&gt;EUconst_NA)</f>
        <v>0</v>
      </c>
      <c r="AD660" s="314"/>
      <c r="AE660" s="415"/>
      <c r="AF660" s="416"/>
      <c r="AG660" s="417"/>
      <c r="AH660" s="418"/>
      <c r="AI660" s="418"/>
      <c r="AJ660" s="418"/>
      <c r="AK660" s="419"/>
      <c r="AL660" s="326"/>
      <c r="AM660" s="326"/>
      <c r="AN660" s="326"/>
      <c r="AO660" s="326"/>
      <c r="AP660" s="326"/>
      <c r="AQ660" s="444" t="s">
        <v>159</v>
      </c>
      <c r="AR660" s="415"/>
      <c r="AS660" s="445" t="str">
        <f t="shared" si="195"/>
        <v/>
      </c>
      <c r="AT660" s="446"/>
      <c r="AU660" s="447" t="str">
        <f t="shared" si="196"/>
        <v/>
      </c>
      <c r="AV660" s="397">
        <f>IF(L660&lt;&gt;0,L660,L660)</f>
        <v>0</v>
      </c>
      <c r="AW660" s="398" t="b">
        <f t="shared" si="189"/>
        <v>0</v>
      </c>
      <c r="AX660" s="448" t="b">
        <f t="shared" si="190"/>
        <v>0</v>
      </c>
      <c r="AY660" s="314"/>
      <c r="AZ660" s="449" t="b">
        <f t="shared" si="191"/>
        <v>0</v>
      </c>
      <c r="BA660" s="450" t="b">
        <f t="shared" si="192"/>
        <v>0</v>
      </c>
      <c r="BB660" s="314"/>
      <c r="BC660" s="398" t="b">
        <f t="shared" si="193"/>
        <v>0</v>
      </c>
      <c r="BD660" s="369" t="b">
        <f>OR(AV660&gt;100%,(AV660+AV661)&gt;100%)</f>
        <v>0</v>
      </c>
      <c r="BE660" s="314"/>
      <c r="BF660" s="451" t="s">
        <v>160</v>
      </c>
      <c r="BG660" s="452" t="str">
        <f>IF(COUNTIF(AO657:AO658,TRUE)=0,"",BH660*AV665)</f>
        <v/>
      </c>
      <c r="BH660" s="452" t="str">
        <f>IF(COUNTIF(AO657:AO658,TRUE)=0,"",AV654*IF(AO657,1,AV656*AN658)*AV657*AV662)</f>
        <v/>
      </c>
      <c r="BJ660" s="314"/>
      <c r="BK660" s="314"/>
      <c r="BL660" s="314"/>
      <c r="BM660" s="314"/>
      <c r="BN660" s="314"/>
      <c r="BO660" s="314"/>
      <c r="BP660" s="314"/>
      <c r="BQ660" s="314"/>
      <c r="BR660" s="314"/>
      <c r="BS660" s="314"/>
      <c r="BT660" s="314"/>
      <c r="BU660" s="314"/>
      <c r="BV660" s="314"/>
      <c r="BW660" s="314"/>
      <c r="BX660" s="314"/>
      <c r="BY660" s="314"/>
      <c r="BZ660" s="314"/>
      <c r="CA660" s="314"/>
      <c r="CB660" s="314"/>
      <c r="CC660" s="314"/>
      <c r="CD660" s="314"/>
      <c r="CE660" s="314"/>
      <c r="CF660" s="314"/>
      <c r="CG660" s="314"/>
      <c r="CH660" s="314"/>
      <c r="CI660" s="314"/>
      <c r="CJ660" s="314"/>
      <c r="CK660" s="314"/>
      <c r="CL660" s="314"/>
      <c r="CM660" s="314"/>
      <c r="CN660" s="314"/>
      <c r="CO660" s="314"/>
      <c r="CP660" s="314"/>
      <c r="CQ660" s="407" t="b">
        <f>OR(CQ654,Y660=EUconst_NA)</f>
        <v>0</v>
      </c>
    </row>
    <row r="661" spans="1:95" ht="12.75" customHeight="1" thickBot="1" x14ac:dyDescent="0.3">
      <c r="A661" s="307"/>
      <c r="B661" s="68"/>
      <c r="C661" s="199" t="s">
        <v>161</v>
      </c>
      <c r="D661" s="344" t="str">
        <f>Translations!$B$613</f>
        <v>non-sust. RFNBO/RCF:</v>
      </c>
      <c r="E661" s="441"/>
      <c r="F661" s="20" t="s">
        <v>158</v>
      </c>
      <c r="G661" s="1261"/>
      <c r="H661" s="1262"/>
      <c r="I661" s="422" t="str">
        <f t="shared" si="194"/>
        <v/>
      </c>
      <c r="J661" s="423"/>
      <c r="K661" s="443"/>
      <c r="L661" s="56"/>
      <c r="M661" s="347" t="str">
        <f>IF(AND(E649&lt;&gt;"",OR(F661="",COUNT(L661)=0),Y661&lt;&gt;EUconst_NA),EUconst_ERR_Incomplete,"")</f>
        <v/>
      </c>
      <c r="N661" s="76"/>
      <c r="O661" s="160"/>
      <c r="P661" s="348"/>
      <c r="Q661" s="413"/>
      <c r="R661" s="413"/>
      <c r="S661" s="314"/>
      <c r="T661" s="425" t="str">
        <f>EUconst_CNTR_RFNBOetcContent&amp;E649</f>
        <v>RNFBOC_</v>
      </c>
      <c r="U661" s="312"/>
      <c r="V661" s="312"/>
      <c r="W661" s="312"/>
      <c r="X661" s="312"/>
      <c r="Y661" s="438" t="str">
        <f>IF(E649="","",IF(OR(F661=EUconst_NA,W661=TRUE),EUconst_NA,INDEX(EUwideConstants!$P$164:$P$200,MATCH(T661,EUwideConstants!$S$164:$S$200,0))))</f>
        <v/>
      </c>
      <c r="Z661" s="314"/>
      <c r="AA661" s="314"/>
      <c r="AB661" s="314"/>
      <c r="AC661" s="429" t="b">
        <f>AND(AC656,Y661&lt;&gt;EUconst_NA)</f>
        <v>0</v>
      </c>
      <c r="AD661" s="314"/>
      <c r="AE661" s="430"/>
      <c r="AF661" s="431"/>
      <c r="AG661" s="432"/>
      <c r="AH661" s="433"/>
      <c r="AI661" s="433"/>
      <c r="AJ661" s="433"/>
      <c r="AK661" s="434"/>
      <c r="AL661" s="326"/>
      <c r="AM661" s="326"/>
      <c r="AN661" s="326"/>
      <c r="AO661" s="326"/>
      <c r="AP661" s="326"/>
      <c r="AQ661" s="435" t="s">
        <v>159</v>
      </c>
      <c r="AR661" s="430"/>
      <c r="AS661" s="436" t="str">
        <f t="shared" si="195"/>
        <v/>
      </c>
      <c r="AT661" s="437"/>
      <c r="AU661" s="438" t="str">
        <f t="shared" si="196"/>
        <v/>
      </c>
      <c r="AV661" s="429">
        <f t="shared" ref="AV661:AV663" si="197">IF(L661&lt;&gt;0,L661,L661)</f>
        <v>0</v>
      </c>
      <c r="AW661" s="407" t="b">
        <f t="shared" si="189"/>
        <v>0</v>
      </c>
      <c r="AX661" s="439" t="b">
        <f t="shared" si="190"/>
        <v>0</v>
      </c>
      <c r="AY661" s="314"/>
      <c r="AZ661" s="408" t="b">
        <f t="shared" si="191"/>
        <v>0</v>
      </c>
      <c r="BA661" s="440" t="b">
        <f t="shared" si="192"/>
        <v>0</v>
      </c>
      <c r="BB661" s="314"/>
      <c r="BC661" s="407" t="b">
        <f t="shared" si="193"/>
        <v>0</v>
      </c>
      <c r="BD661" s="407" t="b">
        <f>OR(AV660&gt;100%,(AV660+AV661)&gt;100%)</f>
        <v>0</v>
      </c>
      <c r="BE661" s="314"/>
      <c r="BF661" s="408" t="s">
        <v>162</v>
      </c>
      <c r="BG661" s="409" t="str">
        <f>IF(COUNTIF(AO657:AO658,TRUE)=0,"",BH661*AV665)</f>
        <v/>
      </c>
      <c r="BH661" s="409" t="str">
        <f>IF(COUNTIF(AO657:AO658,TRUE)=0,"",AV654*IF(AO657,1,AV656*AN658)*AV657*AV663)</f>
        <v/>
      </c>
      <c r="BJ661" s="314"/>
      <c r="BK661" s="314"/>
      <c r="BL661" s="314"/>
      <c r="BM661" s="314"/>
      <c r="BN661" s="314"/>
      <c r="BO661" s="314"/>
      <c r="BP661" s="314"/>
      <c r="BQ661" s="314"/>
      <c r="BR661" s="314"/>
      <c r="BS661" s="314"/>
      <c r="BT661" s="314"/>
      <c r="BU661" s="314"/>
      <c r="BV661" s="314"/>
      <c r="BW661" s="314"/>
      <c r="BX661" s="314"/>
      <c r="BY661" s="314"/>
      <c r="BZ661" s="314"/>
      <c r="CA661" s="314"/>
      <c r="CB661" s="314"/>
      <c r="CC661" s="314"/>
      <c r="CD661" s="314"/>
      <c r="CE661" s="314"/>
      <c r="CF661" s="314"/>
      <c r="CG661" s="314"/>
      <c r="CH661" s="314"/>
      <c r="CI661" s="314"/>
      <c r="CJ661" s="314"/>
      <c r="CK661" s="314"/>
      <c r="CL661" s="314"/>
      <c r="CM661" s="314"/>
      <c r="CN661" s="314"/>
      <c r="CO661" s="314"/>
      <c r="CP661" s="314"/>
      <c r="CQ661" s="407" t="b">
        <f>OR(CQ654,Y661=EUconst_NA)</f>
        <v>0</v>
      </c>
    </row>
    <row r="662" spans="1:95" ht="12.75" customHeight="1" thickBot="1" x14ac:dyDescent="0.3">
      <c r="A662" s="307"/>
      <c r="B662" s="68"/>
      <c r="C662" s="199" t="s">
        <v>163</v>
      </c>
      <c r="D662" s="344" t="str">
        <f>Translations!$B$615</f>
        <v>sust. SLCF:</v>
      </c>
      <c r="E662" s="441"/>
      <c r="F662" s="19" t="s">
        <v>158</v>
      </c>
      <c r="G662" s="1261"/>
      <c r="H662" s="1262"/>
      <c r="I662" s="442" t="str">
        <f t="shared" si="194"/>
        <v/>
      </c>
      <c r="J662" s="411"/>
      <c r="K662" s="443"/>
      <c r="L662" s="57"/>
      <c r="M662" s="347" t="str">
        <f>IF(AND(E649&lt;&gt;"",OR(F662="",COUNT(L662)=0),Y662&lt;&gt;EUconst_NA),EUconst_ERR_Incomplete,"")</f>
        <v/>
      </c>
      <c r="N662" s="76"/>
      <c r="O662" s="160"/>
      <c r="P662" s="348"/>
      <c r="Q662" s="413"/>
      <c r="R662" s="413"/>
      <c r="S662" s="314"/>
      <c r="T662" s="388" t="str">
        <f>EUconst_CNTR_RFNBOetcContent&amp;E649</f>
        <v>RNFBOC_</v>
      </c>
      <c r="U662" s="312"/>
      <c r="V662" s="312"/>
      <c r="W662" s="312"/>
      <c r="X662" s="312"/>
      <c r="Y662" s="447" t="str">
        <f>IF(E649="","",IF(OR(F662=EUconst_NA,W662=TRUE),EUconst_NA,INDEX(EUwideConstants!$P$164:$P$200,MATCH(T662,EUwideConstants!$S$164:$S$200,0))))</f>
        <v/>
      </c>
      <c r="Z662" s="314"/>
      <c r="AA662" s="314"/>
      <c r="AB662" s="314"/>
      <c r="AC662" s="397" t="b">
        <f>AND(AC658,Y662&lt;&gt;EUconst_NA)</f>
        <v>0</v>
      </c>
      <c r="AD662" s="314"/>
      <c r="AE662" s="415"/>
      <c r="AF662" s="416"/>
      <c r="AG662" s="417"/>
      <c r="AH662" s="418"/>
      <c r="AI662" s="418"/>
      <c r="AJ662" s="418"/>
      <c r="AK662" s="419"/>
      <c r="AL662" s="326"/>
      <c r="AM662" s="326"/>
      <c r="AN662" s="326"/>
      <c r="AO662" s="326"/>
      <c r="AP662" s="326"/>
      <c r="AQ662" s="444" t="s">
        <v>159</v>
      </c>
      <c r="AR662" s="415"/>
      <c r="AS662" s="445" t="str">
        <f t="shared" si="195"/>
        <v/>
      </c>
      <c r="AT662" s="446"/>
      <c r="AU662" s="447" t="str">
        <f t="shared" si="196"/>
        <v/>
      </c>
      <c r="AV662" s="397">
        <f t="shared" si="197"/>
        <v>0</v>
      </c>
      <c r="AW662" s="398" t="b">
        <f t="shared" si="189"/>
        <v>0</v>
      </c>
      <c r="AX662" s="448" t="b">
        <f t="shared" si="190"/>
        <v>0</v>
      </c>
      <c r="AY662" s="314"/>
      <c r="AZ662" s="449" t="b">
        <f t="shared" si="191"/>
        <v>0</v>
      </c>
      <c r="BA662" s="450" t="b">
        <f t="shared" si="192"/>
        <v>0</v>
      </c>
      <c r="BB662" s="314"/>
      <c r="BC662" s="398" t="b">
        <f t="shared" si="193"/>
        <v>0</v>
      </c>
      <c r="BD662" s="369" t="b">
        <f>OR(AV662&gt;100%,(AV662+AV663)&gt;100%)</f>
        <v>0</v>
      </c>
      <c r="BE662" s="314"/>
      <c r="BF662" s="451" t="s">
        <v>164</v>
      </c>
      <c r="BG662" s="452">
        <f>IF(AN654=EUconst_TJ,AV654*(1-AV658),IF(AN656=EUconst_GJ,AV654*AV656/1000,0))-SUM(BG663:BG669)</f>
        <v>0</v>
      </c>
      <c r="BH662" s="314"/>
      <c r="BI662" s="314"/>
      <c r="BJ662" s="314"/>
      <c r="BK662" s="314"/>
      <c r="BL662" s="314"/>
      <c r="BM662" s="314"/>
      <c r="BN662" s="314"/>
      <c r="BO662" s="314"/>
      <c r="BP662" s="314"/>
      <c r="BQ662" s="314"/>
      <c r="BR662" s="314"/>
      <c r="BS662" s="314"/>
      <c r="BT662" s="314"/>
      <c r="BU662" s="314"/>
      <c r="BV662" s="314"/>
      <c r="BW662" s="314"/>
      <c r="BX662" s="314"/>
      <c r="BY662" s="314"/>
      <c r="BZ662" s="314"/>
      <c r="CA662" s="314"/>
      <c r="CB662" s="314"/>
      <c r="CC662" s="314"/>
      <c r="CD662" s="314"/>
      <c r="CE662" s="314"/>
      <c r="CF662" s="314"/>
      <c r="CG662" s="314"/>
      <c r="CH662" s="314"/>
      <c r="CI662" s="314"/>
      <c r="CJ662" s="314"/>
      <c r="CK662" s="314"/>
      <c r="CL662" s="314"/>
      <c r="CM662" s="314"/>
      <c r="CN662" s="314"/>
      <c r="CO662" s="314"/>
      <c r="CP662" s="314"/>
      <c r="CQ662" s="407" t="b">
        <f>OR(CQ654,Y662=EUconst_NA)</f>
        <v>0</v>
      </c>
    </row>
    <row r="663" spans="1:95" ht="12.75" customHeight="1" thickBot="1" x14ac:dyDescent="0.3">
      <c r="A663" s="307"/>
      <c r="B663" s="68"/>
      <c r="C663" s="199" t="s">
        <v>165</v>
      </c>
      <c r="D663" s="344" t="str">
        <f>Translations!$B$618</f>
        <v>non-sust. SLCF:</v>
      </c>
      <c r="E663" s="441"/>
      <c r="F663" s="20" t="s">
        <v>158</v>
      </c>
      <c r="G663" s="1261"/>
      <c r="H663" s="1262"/>
      <c r="I663" s="422" t="str">
        <f t="shared" si="194"/>
        <v/>
      </c>
      <c r="J663" s="423"/>
      <c r="K663" s="443"/>
      <c r="L663" s="56"/>
      <c r="M663" s="347" t="str">
        <f>IF(AND(E649&lt;&gt;"",OR(F663="",COUNT(L663)=0),Y663&lt;&gt;EUconst_NA),EUconst_ERR_Incomplete,"")</f>
        <v/>
      </c>
      <c r="N663" s="76"/>
      <c r="O663" s="160"/>
      <c r="P663" s="348"/>
      <c r="Q663" s="413"/>
      <c r="R663" s="413"/>
      <c r="S663" s="314"/>
      <c r="T663" s="425" t="str">
        <f>EUconst_CNTR_RFNBOetcContent&amp;E649</f>
        <v>RNFBOC_</v>
      </c>
      <c r="U663" s="312"/>
      <c r="V663" s="312"/>
      <c r="W663" s="312"/>
      <c r="X663" s="312"/>
      <c r="Y663" s="438" t="str">
        <f>IF(E649="","",IF(OR(F663=EUconst_NA,W663=TRUE),EUconst_NA,INDEX(EUwideConstants!$P$164:$P$200,MATCH(T663,EUwideConstants!$S$164:$S$200,0))))</f>
        <v/>
      </c>
      <c r="Z663" s="314"/>
      <c r="AA663" s="314"/>
      <c r="AB663" s="314"/>
      <c r="AC663" s="429" t="b">
        <f>AND(AC658,Y663&lt;&gt;EUconst_NA)</f>
        <v>0</v>
      </c>
      <c r="AD663" s="314"/>
      <c r="AE663" s="430"/>
      <c r="AF663" s="431"/>
      <c r="AG663" s="432"/>
      <c r="AH663" s="433"/>
      <c r="AI663" s="433"/>
      <c r="AJ663" s="433"/>
      <c r="AK663" s="434"/>
      <c r="AL663" s="326"/>
      <c r="AM663" s="326"/>
      <c r="AN663" s="326"/>
      <c r="AO663" s="326"/>
      <c r="AP663" s="326"/>
      <c r="AQ663" s="435" t="s">
        <v>159</v>
      </c>
      <c r="AR663" s="430"/>
      <c r="AS663" s="436" t="str">
        <f t="shared" si="195"/>
        <v/>
      </c>
      <c r="AT663" s="437"/>
      <c r="AU663" s="438" t="str">
        <f t="shared" si="196"/>
        <v/>
      </c>
      <c r="AV663" s="429">
        <f t="shared" si="197"/>
        <v>0</v>
      </c>
      <c r="AW663" s="407" t="b">
        <f t="shared" si="189"/>
        <v>0</v>
      </c>
      <c r="AX663" s="439" t="b">
        <f t="shared" si="190"/>
        <v>0</v>
      </c>
      <c r="AY663" s="314"/>
      <c r="AZ663" s="408" t="b">
        <f t="shared" si="191"/>
        <v>0</v>
      </c>
      <c r="BA663" s="440" t="b">
        <f t="shared" si="192"/>
        <v>0</v>
      </c>
      <c r="BB663" s="314"/>
      <c r="BC663" s="407" t="b">
        <f t="shared" si="193"/>
        <v>0</v>
      </c>
      <c r="BD663" s="407" t="b">
        <f>OR(AV662&gt;100%,(AV662+AV663)&gt;100%)</f>
        <v>0</v>
      </c>
      <c r="BE663" s="314"/>
      <c r="BF663" s="408" t="s">
        <v>166</v>
      </c>
      <c r="BG663" s="409" t="str">
        <f>IF(AN654=EUconst_TJ,AV654*AV658,IF(AN656=EUconst_GJ,AV654*AV656/1000*AV658,""))</f>
        <v/>
      </c>
      <c r="BH663" s="314"/>
      <c r="BI663" s="314"/>
      <c r="BJ663" s="314"/>
      <c r="BK663" s="314"/>
      <c r="BL663" s="314"/>
      <c r="BM663" s="314"/>
      <c r="BN663" s="314"/>
      <c r="BO663" s="314"/>
      <c r="BP663" s="314"/>
      <c r="BQ663" s="314"/>
      <c r="BR663" s="314"/>
      <c r="BS663" s="314"/>
      <c r="BT663" s="314"/>
      <c r="BU663" s="314"/>
      <c r="BV663" s="314"/>
      <c r="BW663" s="314"/>
      <c r="BX663" s="314"/>
      <c r="BY663" s="314"/>
      <c r="BZ663" s="314"/>
      <c r="CA663" s="314"/>
      <c r="CB663" s="314"/>
      <c r="CC663" s="314"/>
      <c r="CD663" s="314"/>
      <c r="CE663" s="314"/>
      <c r="CF663" s="314"/>
      <c r="CG663" s="314"/>
      <c r="CH663" s="314"/>
      <c r="CI663" s="314"/>
      <c r="CJ663" s="314"/>
      <c r="CK663" s="314"/>
      <c r="CL663" s="314"/>
      <c r="CM663" s="314"/>
      <c r="CN663" s="314"/>
      <c r="CO663" s="314"/>
      <c r="CP663" s="314"/>
      <c r="CQ663" s="407" t="b">
        <f>OR(CQ654,Y663=EUconst_NA)</f>
        <v>0</v>
      </c>
    </row>
    <row r="664" spans="1:95" ht="5.15" customHeight="1" thickBot="1" x14ac:dyDescent="0.3">
      <c r="A664" s="307"/>
      <c r="B664" s="68"/>
      <c r="C664" s="68"/>
      <c r="D664" s="205"/>
      <c r="E664" s="76"/>
      <c r="F664" s="76"/>
      <c r="G664" s="76"/>
      <c r="H664" s="76"/>
      <c r="I664" s="76"/>
      <c r="J664" s="76"/>
      <c r="K664" s="76"/>
      <c r="L664" s="76"/>
      <c r="M664" s="453"/>
      <c r="N664" s="76"/>
      <c r="O664" s="160"/>
      <c r="P664" s="109"/>
      <c r="Q664" s="312"/>
      <c r="R664" s="312"/>
      <c r="S664" s="314"/>
      <c r="T664" s="314"/>
      <c r="U664" s="314"/>
      <c r="V664" s="314"/>
      <c r="W664" s="314"/>
      <c r="X664" s="314"/>
      <c r="Y664" s="314"/>
      <c r="Z664" s="314"/>
      <c r="AA664" s="314"/>
      <c r="AB664" s="314"/>
      <c r="AC664" s="314"/>
      <c r="AD664" s="314"/>
      <c r="AE664" s="314"/>
      <c r="AF664" s="314"/>
      <c r="AG664" s="314"/>
      <c r="AH664" s="314"/>
      <c r="AI664" s="314"/>
      <c r="AJ664" s="314"/>
      <c r="AK664" s="314"/>
      <c r="AL664" s="314"/>
      <c r="AM664" s="314"/>
      <c r="AN664" s="314"/>
      <c r="AO664" s="314"/>
      <c r="AP664" s="314"/>
      <c r="AQ664" s="314"/>
      <c r="AR664" s="314"/>
      <c r="AS664" s="314"/>
      <c r="AT664" s="314"/>
      <c r="AU664" s="314"/>
      <c r="AV664" s="314"/>
      <c r="AW664" s="314"/>
      <c r="AX664" s="314"/>
      <c r="AY664" s="314"/>
      <c r="AZ664" s="314"/>
      <c r="BA664" s="314"/>
      <c r="BB664" s="314"/>
      <c r="BC664" s="314"/>
      <c r="BD664" s="314"/>
      <c r="BE664" s="314"/>
      <c r="BF664" s="314"/>
      <c r="BG664" s="364"/>
      <c r="BH664" s="314"/>
      <c r="BI664" s="314"/>
      <c r="BJ664" s="314"/>
      <c r="BK664" s="314"/>
      <c r="BL664" s="314"/>
      <c r="BM664" s="314"/>
      <c r="BN664" s="314"/>
      <c r="BO664" s="314"/>
      <c r="BP664" s="314"/>
      <c r="BQ664" s="314"/>
      <c r="BR664" s="314"/>
      <c r="BS664" s="314"/>
      <c r="BT664" s="314"/>
      <c r="BU664" s="314"/>
      <c r="BV664" s="314"/>
      <c r="BW664" s="314"/>
      <c r="BX664" s="314"/>
      <c r="BY664" s="314"/>
      <c r="BZ664" s="314"/>
      <c r="CA664" s="314"/>
      <c r="CB664" s="314"/>
      <c r="CC664" s="314"/>
      <c r="CD664" s="314"/>
      <c r="CE664" s="314"/>
      <c r="CF664" s="314"/>
      <c r="CG664" s="314"/>
      <c r="CH664" s="314"/>
      <c r="CI664" s="314"/>
      <c r="CJ664" s="314"/>
      <c r="CK664" s="314"/>
      <c r="CL664" s="314"/>
      <c r="CM664" s="314"/>
      <c r="CN664" s="314"/>
      <c r="CO664" s="314"/>
      <c r="CP664" s="314"/>
      <c r="CQ664" s="314"/>
    </row>
    <row r="665" spans="1:95" ht="12.75" customHeight="1" thickBot="1" x14ac:dyDescent="0.3">
      <c r="A665" s="307"/>
      <c r="B665" s="68"/>
      <c r="C665" s="199" t="s">
        <v>167</v>
      </c>
      <c r="D665" s="344" t="str">
        <f>Translations!$B$398</f>
        <v>Scope factor:</v>
      </c>
      <c r="E665" s="454"/>
      <c r="F665" s="992"/>
      <c r="G665" s="1263"/>
      <c r="H665" s="1264"/>
      <c r="I665" s="455" t="s">
        <v>46</v>
      </c>
      <c r="J665" s="456"/>
      <c r="K665" s="457" t="str">
        <f>IF(L665="",AU665,"")</f>
        <v/>
      </c>
      <c r="L665" s="16"/>
      <c r="M665" s="458" t="str">
        <f>IF(AND(E649&lt;&gt;"",OR(F665="",G665="",COUNT(K665:L665)=0)),EUconst_ERR_Incomplete,IF(COUNTIF(BB665:BD665,TRUE)&gt;0,EUconst_ERR_Inconsistent,""))</f>
        <v/>
      </c>
      <c r="N665" s="76"/>
      <c r="O665" s="160"/>
      <c r="P665" s="109"/>
      <c r="Q665" s="312"/>
      <c r="R665" s="314"/>
      <c r="S665" s="297"/>
      <c r="T665" s="459" t="str">
        <f>EUconst_CNTR_ScopeFactor&amp;E649</f>
        <v>ScopeFactor_</v>
      </c>
      <c r="U665" s="231" t="str">
        <f>IF(F665="","",INDEX(ScopeAddress,MATCH(F665,ScopeTiers,0)))</f>
        <v/>
      </c>
      <c r="V665" s="360" t="str">
        <f>V654</f>
        <v/>
      </c>
      <c r="W665" s="314"/>
      <c r="X665" s="314"/>
      <c r="Y665" s="460" t="str">
        <f>IF(E649="","",IF(F665=EUconst_NA,EUconst_NA,INDEX(EUwideConstants!$P$164:$P$200,MATCH(T665,EUwideConstants!$S$164:$S$200,0))))</f>
        <v/>
      </c>
      <c r="Z665" s="461" t="str">
        <f>IF(ISBLANK(F665),"",IF(F665=EUconst_NA,"",INDEX(EUwideConstants!$H:$O,MATCH(T665,EUwideConstants!$S:$S,0),MATCH(F665,CNTR_TierList,0))))</f>
        <v/>
      </c>
      <c r="AA665" s="331" t="str">
        <f>IF(G665=EUwideConstants!$A$89,1,"")</f>
        <v/>
      </c>
      <c r="AB665" s="314"/>
      <c r="AC665" s="331" t="b">
        <f>AND(AC654,Y665&lt;&gt;EUconst_NA)</f>
        <v>0</v>
      </c>
      <c r="AD665" s="314"/>
      <c r="AE665" s="314"/>
      <c r="AF665" s="314"/>
      <c r="AG665" s="319"/>
      <c r="AH665" s="314"/>
      <c r="AI665" s="314"/>
      <c r="AJ665" s="314"/>
      <c r="AK665" s="314"/>
      <c r="AL665" s="314"/>
      <c r="AM665" s="314"/>
      <c r="AN665" s="314"/>
      <c r="AO665" s="314"/>
      <c r="AP665" s="314"/>
      <c r="AQ665" s="314"/>
      <c r="AR665" s="314"/>
      <c r="AS665" s="328">
        <v>1</v>
      </c>
      <c r="AT665" s="314"/>
      <c r="AU665" s="319" t="str">
        <f>IF(G665=EUwideConstants!$A$89,AS665,"")</f>
        <v/>
      </c>
      <c r="AV665" s="331">
        <f>IF(AC665=TRUE,IF(COUNT(K665:L665)=0,0,IF(L665="",K665,L665)),0)</f>
        <v>0</v>
      </c>
      <c r="AW665" s="360" t="b">
        <f>AND(AC665=TRUE,OR(AND(F665&lt;&gt;"",NOT(ISNUMBER(AA665))),L665&lt;&gt;"",F665="",AU665=""))</f>
        <v>0</v>
      </c>
      <c r="AX665" s="357" t="b">
        <f>AND(AC665=TRUE,NOT(AW665))</f>
        <v>0</v>
      </c>
      <c r="AY665" s="314"/>
      <c r="AZ665" s="361" t="b">
        <f>AND(ISNUMBER(AA665),AU665="")</f>
        <v>0</v>
      </c>
      <c r="BA665" s="351" t="b">
        <f>AND(ISNUMBER(AA665),AU665&lt;&gt;AV665)</f>
        <v>0</v>
      </c>
      <c r="BB665" s="314"/>
      <c r="BC665" s="360" t="b">
        <f>AND(F665&lt;&gt;"",OR(COUNTIF(INDEX(ScopeMethods,F665,),G665)=0,AND(AA665&lt;&gt;"",AU665&lt;&gt;AV665)))</f>
        <v>0</v>
      </c>
      <c r="BD665" s="314"/>
      <c r="BE665" s="314"/>
      <c r="BF665" s="361" t="s">
        <v>168</v>
      </c>
      <c r="BG665" s="362" t="str">
        <f>IF(AN654=EUconst_TJ,AV654*AV660,IF(AN656=EUconst_GJ,AV654*AV656/1000*AV660,""))</f>
        <v/>
      </c>
      <c r="BH665" s="314"/>
      <c r="BI665" s="314"/>
      <c r="BJ665" s="314"/>
      <c r="BK665" s="314"/>
      <c r="BL665" s="314"/>
      <c r="BM665" s="314"/>
      <c r="BN665" s="314"/>
      <c r="BO665" s="314"/>
      <c r="BP665" s="314"/>
      <c r="BQ665" s="314"/>
      <c r="BR665" s="314"/>
      <c r="BS665" s="314"/>
      <c r="BT665" s="314"/>
      <c r="BU665" s="314"/>
      <c r="BV665" s="314"/>
      <c r="BW665" s="314"/>
      <c r="BX665" s="314"/>
      <c r="BY665" s="314"/>
      <c r="BZ665" s="314"/>
      <c r="CA665" s="314"/>
      <c r="CB665" s="314"/>
      <c r="CC665" s="314"/>
      <c r="CD665" s="314"/>
      <c r="CE665" s="314"/>
      <c r="CF665" s="314"/>
      <c r="CG665" s="314"/>
      <c r="CH665" s="314"/>
      <c r="CI665" s="314"/>
      <c r="CJ665" s="314"/>
      <c r="CK665" s="314"/>
      <c r="CL665" s="314"/>
      <c r="CM665" s="314"/>
      <c r="CN665" s="314"/>
      <c r="CO665" s="314"/>
      <c r="CP665" s="314"/>
      <c r="CQ665" s="314"/>
    </row>
    <row r="666" spans="1:95" ht="12.75" customHeight="1" x14ac:dyDescent="0.25">
      <c r="A666" s="307"/>
      <c r="B666" s="68"/>
      <c r="C666" s="68"/>
      <c r="D666" s="68"/>
      <c r="E666" s="68"/>
      <c r="F666" s="68"/>
      <c r="G666" s="1265" t="str">
        <f>IF(G665="","",INDEX(ScopeMethodsDetails,MATCH(G665,INDEX(ScopeMethodsDetails,,1),0),2))</f>
        <v/>
      </c>
      <c r="H666" s="1266"/>
      <c r="I666" s="1266"/>
      <c r="J666" s="1266"/>
      <c r="K666" s="1266"/>
      <c r="L666" s="1266"/>
      <c r="M666" s="1267"/>
      <c r="N666" s="76"/>
      <c r="O666" s="160"/>
      <c r="P666" s="109"/>
      <c r="Q666" s="312"/>
      <c r="R666" s="312"/>
      <c r="S666" s="314"/>
      <c r="T666" s="314"/>
      <c r="U666" s="314"/>
      <c r="V666" s="314"/>
      <c r="W666" s="314"/>
      <c r="X666" s="314"/>
      <c r="Y666" s="314"/>
      <c r="Z666" s="314"/>
      <c r="AA666" s="314"/>
      <c r="AB666" s="314"/>
      <c r="AC666" s="314"/>
      <c r="AD666" s="314"/>
      <c r="AE666" s="314"/>
      <c r="AF666" s="314"/>
      <c r="AG666" s="314"/>
      <c r="AH666" s="314"/>
      <c r="AI666" s="314"/>
      <c r="AJ666" s="314"/>
      <c r="AK666" s="314"/>
      <c r="AL666" s="314"/>
      <c r="AM666" s="314"/>
      <c r="AN666" s="314"/>
      <c r="AO666" s="314"/>
      <c r="AP666" s="314"/>
      <c r="AQ666" s="314"/>
      <c r="AR666" s="314"/>
      <c r="AS666" s="314"/>
      <c r="AT666" s="314"/>
      <c r="AU666" s="314"/>
      <c r="AV666" s="314"/>
      <c r="AW666" s="314"/>
      <c r="AX666" s="314"/>
      <c r="AY666" s="314"/>
      <c r="AZ666" s="314"/>
      <c r="BA666" s="314"/>
      <c r="BB666" s="314"/>
      <c r="BC666" s="314"/>
      <c r="BD666" s="314"/>
      <c r="BE666" s="314"/>
      <c r="BG666" s="364"/>
      <c r="BH666" s="314"/>
      <c r="BI666" s="314"/>
      <c r="BJ666" s="314"/>
      <c r="BK666" s="314"/>
      <c r="BL666" s="314"/>
      <c r="BM666" s="314"/>
      <c r="BN666" s="314"/>
      <c r="BO666" s="314"/>
      <c r="BP666" s="314"/>
      <c r="BQ666" s="314"/>
      <c r="BR666" s="314"/>
      <c r="BS666" s="314"/>
      <c r="BT666" s="314"/>
      <c r="BU666" s="314"/>
      <c r="BV666" s="314"/>
      <c r="BW666" s="314"/>
      <c r="BX666" s="314"/>
      <c r="BY666" s="314"/>
      <c r="BZ666" s="314"/>
      <c r="CA666" s="314"/>
      <c r="CB666" s="314"/>
      <c r="CC666" s="314"/>
      <c r="CD666" s="314"/>
      <c r="CE666" s="314"/>
      <c r="CF666" s="314"/>
      <c r="CG666" s="314"/>
      <c r="CH666" s="314"/>
      <c r="CI666" s="314"/>
      <c r="CJ666" s="314"/>
      <c r="CK666" s="314"/>
      <c r="CL666" s="314"/>
      <c r="CM666" s="314"/>
      <c r="CN666" s="314"/>
      <c r="CO666" s="314"/>
      <c r="CP666" s="314"/>
      <c r="CQ666" s="314"/>
    </row>
    <row r="667" spans="1:95" ht="5.15" customHeight="1" x14ac:dyDescent="0.25">
      <c r="A667" s="307"/>
      <c r="C667" s="76"/>
      <c r="D667" s="76"/>
      <c r="E667" s="76"/>
      <c r="F667" s="76"/>
      <c r="G667" s="76"/>
      <c r="H667" s="76"/>
      <c r="I667" s="76"/>
      <c r="J667" s="76"/>
      <c r="K667" s="76"/>
      <c r="L667" s="76"/>
      <c r="O667" s="160"/>
      <c r="P667" s="109"/>
      <c r="Q667" s="312"/>
      <c r="R667" s="312"/>
      <c r="S667" s="314"/>
      <c r="T667" s="314"/>
      <c r="U667" s="314"/>
      <c r="V667" s="314"/>
      <c r="W667" s="314"/>
      <c r="X667" s="314"/>
      <c r="Y667" s="314"/>
      <c r="Z667" s="314"/>
      <c r="AA667" s="314"/>
      <c r="AB667" s="314"/>
      <c r="AC667" s="314"/>
      <c r="AD667" s="314"/>
      <c r="AE667" s="314"/>
      <c r="AF667" s="314"/>
      <c r="AG667" s="314"/>
      <c r="AH667" s="314"/>
      <c r="AI667" s="314"/>
      <c r="AJ667" s="314"/>
      <c r="AK667" s="314"/>
      <c r="AL667" s="314"/>
      <c r="AM667" s="314"/>
      <c r="AN667" s="314"/>
      <c r="AO667" s="314"/>
      <c r="AP667" s="314"/>
      <c r="AQ667" s="314"/>
      <c r="AR667" s="314"/>
      <c r="AS667" s="314"/>
      <c r="AT667" s="314"/>
      <c r="AU667" s="314"/>
      <c r="AV667" s="314"/>
      <c r="AW667" s="314"/>
      <c r="AX667" s="314"/>
      <c r="AY667" s="314"/>
      <c r="AZ667" s="314"/>
      <c r="BA667" s="314"/>
      <c r="BB667" s="314"/>
      <c r="BC667" s="314"/>
      <c r="BD667" s="314"/>
      <c r="BE667" s="314"/>
      <c r="BG667" s="364"/>
      <c r="BH667" s="314"/>
      <c r="BI667" s="314"/>
      <c r="BJ667" s="314"/>
      <c r="BK667" s="314"/>
      <c r="BL667" s="314"/>
      <c r="BM667" s="314"/>
      <c r="BN667" s="314"/>
      <c r="BO667" s="314"/>
      <c r="BP667" s="314"/>
      <c r="BQ667" s="314"/>
      <c r="BR667" s="314"/>
      <c r="BS667" s="314"/>
      <c r="BT667" s="314"/>
      <c r="BU667" s="314"/>
      <c r="BV667" s="314"/>
      <c r="BW667" s="314"/>
      <c r="BX667" s="314"/>
      <c r="BY667" s="314"/>
      <c r="BZ667" s="314"/>
      <c r="CA667" s="314"/>
      <c r="CB667" s="314"/>
      <c r="CC667" s="314"/>
      <c r="CD667" s="314"/>
      <c r="CE667" s="314"/>
      <c r="CF667" s="314"/>
      <c r="CG667" s="314"/>
      <c r="CH667" s="314"/>
      <c r="CI667" s="314"/>
      <c r="CJ667" s="314"/>
      <c r="CK667" s="314"/>
      <c r="CL667" s="314"/>
      <c r="CM667" s="314"/>
      <c r="CN667" s="314"/>
      <c r="CO667" s="314"/>
      <c r="CP667" s="314"/>
      <c r="CQ667" s="314"/>
    </row>
    <row r="668" spans="1:95" ht="12.75" customHeight="1" thickBot="1" x14ac:dyDescent="0.3">
      <c r="A668" s="307"/>
      <c r="C668" s="76"/>
      <c r="D668" s="76"/>
      <c r="E668" s="76"/>
      <c r="F668" s="76"/>
      <c r="G668" s="1268">
        <v>1</v>
      </c>
      <c r="H668" s="1268"/>
      <c r="I668" s="1268">
        <v>2</v>
      </c>
      <c r="J668" s="1268"/>
      <c r="K668" s="1268">
        <v>3</v>
      </c>
      <c r="L668" s="1268"/>
      <c r="O668" s="160"/>
      <c r="P668" s="109"/>
      <c r="Q668" s="312"/>
      <c r="R668" s="312"/>
      <c r="S668" s="314"/>
      <c r="T668" s="314"/>
      <c r="U668" s="314"/>
      <c r="V668" s="314"/>
      <c r="W668" s="314"/>
      <c r="X668" s="314"/>
      <c r="Y668" s="314"/>
      <c r="Z668" s="314"/>
      <c r="AA668" s="314"/>
      <c r="AB668" s="314"/>
      <c r="AC668" s="314"/>
      <c r="AD668" s="314"/>
      <c r="AE668" s="314"/>
      <c r="AF668" s="314"/>
      <c r="AG668" s="314"/>
      <c r="AH668" s="314"/>
      <c r="AI668" s="314"/>
      <c r="AJ668" s="314"/>
      <c r="AK668" s="314"/>
      <c r="AL668" s="314"/>
      <c r="AM668" s="314"/>
      <c r="AN668" s="314"/>
      <c r="AO668" s="314"/>
      <c r="AP668" s="314"/>
      <c r="AQ668" s="314"/>
      <c r="AR668" s="314"/>
      <c r="AS668" s="314"/>
      <c r="AT668" s="314"/>
      <c r="AU668" s="314"/>
      <c r="AV668" s="314"/>
      <c r="AW668" s="314"/>
      <c r="AX668" s="314"/>
      <c r="AY668" s="314"/>
      <c r="AZ668" s="314"/>
      <c r="BA668" s="314"/>
      <c r="BB668" s="314"/>
      <c r="BC668" s="314"/>
      <c r="BD668" s="314"/>
      <c r="BE668" s="314"/>
      <c r="BF668" s="314"/>
      <c r="BG668" s="364"/>
      <c r="BH668" s="314"/>
      <c r="BI668" s="314"/>
      <c r="BJ668" s="314"/>
      <c r="BK668" s="314"/>
      <c r="BL668" s="314"/>
      <c r="BM668" s="314"/>
      <c r="BN668" s="314"/>
      <c r="BO668" s="314"/>
      <c r="BP668" s="314"/>
      <c r="BQ668" s="314"/>
      <c r="BR668" s="314"/>
      <c r="BS668" s="314"/>
      <c r="BT668" s="314"/>
      <c r="BU668" s="314"/>
      <c r="BV668" s="314"/>
      <c r="BW668" s="314"/>
      <c r="BX668" s="314"/>
      <c r="BY668" s="314"/>
      <c r="BZ668" s="314"/>
      <c r="CA668" s="314"/>
      <c r="CB668" s="314"/>
      <c r="CC668" s="314"/>
      <c r="CD668" s="314"/>
      <c r="CE668" s="314"/>
      <c r="CF668" s="314"/>
      <c r="CG668" s="314"/>
      <c r="CH668" s="314"/>
      <c r="CI668" s="314"/>
      <c r="CJ668" s="314"/>
      <c r="CK668" s="314"/>
      <c r="CL668" s="314"/>
      <c r="CM668" s="314"/>
      <c r="CN668" s="314"/>
      <c r="CO668" s="314"/>
      <c r="CP668" s="314"/>
      <c r="CQ668" s="314"/>
    </row>
    <row r="669" spans="1:95" ht="12.75" customHeight="1" thickBot="1" x14ac:dyDescent="0.3">
      <c r="A669" s="462"/>
      <c r="B669" s="76"/>
      <c r="C669" s="76"/>
      <c r="D669" s="1246" t="str">
        <f>Translations!$B$372</f>
        <v>Consumers' CRF category:</v>
      </c>
      <c r="E669" s="1246"/>
      <c r="F669" s="1247"/>
      <c r="G669" s="1248"/>
      <c r="H669" s="1249"/>
      <c r="I669" s="1248"/>
      <c r="J669" s="1249"/>
      <c r="K669" s="1248"/>
      <c r="L669" s="1249"/>
      <c r="M669" s="463" t="str">
        <f>IF(AND(E648&lt;&gt;"",COUNTA(G669:L669)=0,AX669=FALSE),EUconst_ERR_Incomplete,"")</f>
        <v/>
      </c>
      <c r="N669" s="76"/>
      <c r="O669" s="160"/>
      <c r="P669" s="109"/>
      <c r="Q669" s="312"/>
      <c r="R669" s="312"/>
      <c r="S669" s="314"/>
      <c r="T669" s="314"/>
      <c r="U669" s="314"/>
      <c r="V669" s="314"/>
      <c r="W669" s="314"/>
      <c r="X669" s="314"/>
      <c r="Y669" s="314"/>
      <c r="Z669" s="314"/>
      <c r="AA669" s="314"/>
      <c r="AB669" s="314"/>
      <c r="AC669" s="314"/>
      <c r="AD669" s="314"/>
      <c r="AE669" s="314"/>
      <c r="AF669" s="314"/>
      <c r="AG669" s="314"/>
      <c r="AH669" s="314"/>
      <c r="AI669" s="314"/>
      <c r="AJ669" s="314"/>
      <c r="AK669" s="314"/>
      <c r="AL669" s="314"/>
      <c r="AM669" s="314"/>
      <c r="AN669" s="314"/>
      <c r="AO669" s="314"/>
      <c r="AP669" s="314"/>
      <c r="AQ669" s="314"/>
      <c r="AR669" s="314"/>
      <c r="AS669" s="314"/>
      <c r="AT669" s="314"/>
      <c r="AU669" s="314"/>
      <c r="AV669" s="314"/>
      <c r="AW669" s="314"/>
      <c r="AX669" s="464" t="b">
        <f>AND(AV665&lt;&gt;"",SUM(AV665=1))</f>
        <v>0</v>
      </c>
      <c r="AY669" s="314"/>
      <c r="AZ669" s="314"/>
      <c r="BA669" s="314"/>
      <c r="BB669" s="314"/>
      <c r="BC669" s="314"/>
      <c r="BD669" s="314"/>
      <c r="BE669" s="314"/>
      <c r="BF669" s="361" t="s">
        <v>169</v>
      </c>
      <c r="BG669" s="362" t="str">
        <f>IF(AN654=EUconst_TJ,AV654*AV662,IF(AN656=EUconst_GJ,AV654*AV656/1000*AV662,""))</f>
        <v/>
      </c>
      <c r="BH669" s="314"/>
      <c r="BI669" s="314"/>
      <c r="BJ669" s="314"/>
      <c r="BK669" s="314"/>
      <c r="BL669" s="314"/>
      <c r="BM669" s="314"/>
      <c r="BN669" s="314"/>
      <c r="BO669" s="314"/>
      <c r="BP669" s="314"/>
      <c r="BQ669" s="314"/>
      <c r="BR669" s="314"/>
      <c r="BS669" s="314"/>
      <c r="BT669" s="314"/>
      <c r="BU669" s="314"/>
      <c r="BV669" s="314"/>
      <c r="BW669" s="314"/>
      <c r="BX669" s="314"/>
      <c r="BY669" s="314"/>
      <c r="BZ669" s="314"/>
      <c r="CA669" s="314"/>
      <c r="CB669" s="314"/>
      <c r="CC669" s="314"/>
      <c r="CD669" s="314"/>
      <c r="CE669" s="314"/>
      <c r="CF669" s="314"/>
      <c r="CG669" s="314"/>
      <c r="CH669" s="314"/>
      <c r="CI669" s="314"/>
      <c r="CJ669" s="314"/>
      <c r="CK669" s="314"/>
      <c r="CL669" s="314"/>
      <c r="CM669" s="314"/>
      <c r="CN669" s="314"/>
      <c r="CO669" s="314"/>
      <c r="CP669" s="314"/>
      <c r="CQ669" s="314"/>
    </row>
    <row r="670" spans="1:95" ht="5.15" customHeight="1" x14ac:dyDescent="0.25">
      <c r="A670" s="307"/>
      <c r="B670" s="68"/>
      <c r="C670" s="68"/>
      <c r="D670" s="68"/>
      <c r="E670" s="68"/>
      <c r="F670" s="68"/>
      <c r="G670" s="76"/>
      <c r="H670" s="76"/>
      <c r="I670" s="76"/>
      <c r="J670" s="76"/>
      <c r="K670" s="76"/>
      <c r="L670" s="76"/>
      <c r="M670" s="76"/>
      <c r="N670" s="76"/>
      <c r="O670" s="160"/>
      <c r="P670" s="109"/>
      <c r="Q670" s="312"/>
      <c r="R670" s="312"/>
      <c r="S670" s="314"/>
      <c r="T670" s="314"/>
      <c r="U670" s="314"/>
      <c r="V670" s="314"/>
      <c r="W670" s="314"/>
      <c r="X670" s="314"/>
      <c r="Y670" s="314"/>
      <c r="Z670" s="314"/>
      <c r="AA670" s="314"/>
      <c r="AB670" s="314"/>
      <c r="AC670" s="314"/>
      <c r="AD670" s="314"/>
      <c r="AE670" s="314"/>
      <c r="AF670" s="314"/>
      <c r="AG670" s="314"/>
      <c r="AH670" s="314"/>
      <c r="AI670" s="314"/>
      <c r="AJ670" s="314"/>
      <c r="AK670" s="314"/>
      <c r="AL670" s="314"/>
      <c r="AM670" s="314"/>
      <c r="AN670" s="314"/>
      <c r="AO670" s="314"/>
      <c r="AP670" s="314"/>
      <c r="AQ670" s="314"/>
      <c r="AR670" s="314"/>
      <c r="AS670" s="314"/>
      <c r="AT670" s="314"/>
      <c r="AU670" s="314"/>
      <c r="AV670" s="314"/>
      <c r="AW670" s="314"/>
      <c r="AX670" s="314"/>
      <c r="AY670" s="314"/>
      <c r="AZ670" s="314"/>
      <c r="BA670" s="314"/>
      <c r="BB670" s="314"/>
      <c r="BC670" s="314"/>
      <c r="BD670" s="314"/>
      <c r="BE670" s="314"/>
      <c r="BF670" s="314"/>
      <c r="BG670" s="314"/>
      <c r="BH670" s="314"/>
      <c r="BI670" s="314"/>
      <c r="BJ670" s="314"/>
      <c r="BK670" s="314"/>
      <c r="BL670" s="314"/>
      <c r="BM670" s="314"/>
      <c r="BN670" s="314"/>
      <c r="BO670" s="314"/>
      <c r="BP670" s="314"/>
      <c r="BQ670" s="314"/>
      <c r="BR670" s="314"/>
      <c r="BS670" s="314"/>
      <c r="BT670" s="314"/>
      <c r="BU670" s="314"/>
      <c r="BV670" s="314"/>
      <c r="BW670" s="314"/>
      <c r="BX670" s="314"/>
      <c r="BY670" s="314"/>
      <c r="BZ670" s="314"/>
      <c r="CA670" s="314"/>
      <c r="CB670" s="314"/>
      <c r="CC670" s="314"/>
      <c r="CD670" s="314"/>
      <c r="CE670" s="314"/>
      <c r="CF670" s="314"/>
      <c r="CG670" s="314"/>
      <c r="CH670" s="314"/>
      <c r="CI670" s="314"/>
      <c r="CJ670" s="314"/>
      <c r="CK670" s="314"/>
      <c r="CL670" s="314"/>
      <c r="CM670" s="314"/>
      <c r="CN670" s="314"/>
      <c r="CO670" s="314"/>
      <c r="CP670" s="314"/>
      <c r="CQ670" s="314"/>
    </row>
    <row r="671" spans="1:95" ht="12.75" customHeight="1" x14ac:dyDescent="0.25">
      <c r="A671" s="307"/>
      <c r="B671" s="68"/>
      <c r="C671" s="68"/>
      <c r="D671" s="1246" t="str">
        <f>Translations!$B$399</f>
        <v>Tiers valid from:</v>
      </c>
      <c r="E671" s="1246"/>
      <c r="F671" s="1247"/>
      <c r="G671" s="8"/>
      <c r="H671" s="199" t="str">
        <f>Translations!$B$400</f>
        <v>until:</v>
      </c>
      <c r="I671" s="8"/>
      <c r="J671" s="76"/>
      <c r="K671" s="76"/>
      <c r="L671" s="76"/>
      <c r="M671" s="199" t="str">
        <f>Translations!$B$401</f>
        <v>ID used in the monitoring plan for this fuel stream:</v>
      </c>
      <c r="N671" s="9"/>
      <c r="O671" s="160"/>
      <c r="P671" s="109"/>
      <c r="Q671" s="312"/>
      <c r="R671" s="312"/>
      <c r="S671" s="465"/>
      <c r="T671" s="314"/>
      <c r="U671" s="314"/>
      <c r="V671" s="314"/>
      <c r="W671" s="314"/>
      <c r="X671" s="314"/>
      <c r="Y671" s="314"/>
      <c r="Z671" s="314"/>
      <c r="AA671" s="314"/>
      <c r="AB671" s="314"/>
      <c r="AC671" s="314"/>
      <c r="AD671" s="314"/>
      <c r="AE671" s="314"/>
      <c r="AF671" s="314"/>
      <c r="AG671" s="314"/>
      <c r="AH671" s="314"/>
      <c r="AI671" s="314"/>
      <c r="AJ671" s="314"/>
      <c r="AK671" s="314"/>
      <c r="AL671" s="314"/>
      <c r="AM671" s="314"/>
      <c r="AN671" s="314"/>
      <c r="AO671" s="314"/>
      <c r="AP671" s="314"/>
      <c r="AQ671" s="314"/>
      <c r="AR671" s="314"/>
      <c r="AS671" s="314"/>
      <c r="AT671" s="314"/>
      <c r="AU671" s="314"/>
      <c r="AV671" s="314"/>
      <c r="AW671" s="314"/>
      <c r="AX671" s="314"/>
      <c r="AY671" s="314"/>
      <c r="AZ671" s="314"/>
      <c r="BA671" s="314"/>
      <c r="BB671" s="314"/>
      <c r="BC671" s="314"/>
      <c r="BD671" s="314"/>
      <c r="BE671" s="314"/>
      <c r="BF671" s="314"/>
      <c r="BG671" s="314"/>
      <c r="BH671" s="314"/>
      <c r="BI671" s="314"/>
      <c r="BJ671" s="314"/>
      <c r="BK671" s="314"/>
      <c r="BL671" s="314"/>
      <c r="BM671" s="314"/>
      <c r="BN671" s="314"/>
      <c r="BO671" s="314"/>
      <c r="BP671" s="314"/>
      <c r="BQ671" s="314"/>
      <c r="BR671" s="314"/>
      <c r="BS671" s="314"/>
      <c r="BT671" s="314"/>
      <c r="BU671" s="314"/>
      <c r="BV671" s="314"/>
      <c r="BW671" s="314"/>
      <c r="BX671" s="314"/>
      <c r="BY671" s="314"/>
      <c r="BZ671" s="314"/>
      <c r="CA671" s="314"/>
      <c r="CB671" s="314"/>
      <c r="CC671" s="314"/>
      <c r="CD671" s="314"/>
      <c r="CE671" s="314"/>
      <c r="CF671" s="314"/>
      <c r="CG671" s="314"/>
      <c r="CH671" s="314"/>
      <c r="CI671" s="314"/>
      <c r="CJ671" s="314"/>
      <c r="CK671" s="314"/>
      <c r="CL671" s="314"/>
      <c r="CM671" s="314"/>
      <c r="CN671" s="314"/>
      <c r="CO671" s="314"/>
      <c r="CP671" s="314"/>
      <c r="CQ671" s="464" t="b">
        <f>CQ654</f>
        <v>0</v>
      </c>
    </row>
    <row r="672" spans="1:95" ht="5.15" customHeight="1" x14ac:dyDescent="0.25">
      <c r="A672" s="462"/>
      <c r="B672" s="76"/>
      <c r="C672" s="76"/>
      <c r="D672" s="76"/>
      <c r="E672" s="76"/>
      <c r="F672" s="76"/>
      <c r="G672" s="76"/>
      <c r="H672" s="76"/>
      <c r="I672" s="76"/>
      <c r="J672" s="76"/>
      <c r="K672" s="76"/>
      <c r="L672" s="76"/>
      <c r="M672" s="76"/>
      <c r="N672" s="76"/>
      <c r="O672" s="160"/>
      <c r="P672" s="109"/>
      <c r="Q672" s="312"/>
      <c r="R672" s="312"/>
      <c r="S672" s="314"/>
      <c r="T672" s="314"/>
      <c r="U672" s="314"/>
      <c r="V672" s="314"/>
      <c r="W672" s="314"/>
      <c r="X672" s="314"/>
      <c r="Y672" s="314"/>
      <c r="Z672" s="314"/>
      <c r="AA672" s="314"/>
      <c r="AB672" s="314"/>
      <c r="AC672" s="314"/>
      <c r="AD672" s="314"/>
      <c r="AE672" s="314"/>
      <c r="AF672" s="314"/>
      <c r="AG672" s="314"/>
      <c r="AH672" s="314"/>
      <c r="AI672" s="314"/>
      <c r="AJ672" s="314"/>
      <c r="AK672" s="314"/>
      <c r="AL672" s="314"/>
      <c r="AM672" s="314"/>
      <c r="AN672" s="314"/>
      <c r="AO672" s="314"/>
      <c r="AP672" s="314"/>
      <c r="AQ672" s="314"/>
      <c r="AR672" s="314"/>
      <c r="AS672" s="314"/>
      <c r="AT672" s="314"/>
      <c r="AU672" s="314"/>
      <c r="AV672" s="314"/>
      <c r="AW672" s="314"/>
      <c r="AX672" s="314"/>
      <c r="AY672" s="314"/>
      <c r="AZ672" s="314"/>
      <c r="BA672" s="314"/>
      <c r="BB672" s="314"/>
      <c r="BC672" s="314"/>
      <c r="BD672" s="314"/>
      <c r="BE672" s="314"/>
      <c r="BF672" s="314"/>
      <c r="BG672" s="314"/>
      <c r="BH672" s="314"/>
      <c r="BI672" s="314"/>
      <c r="BJ672" s="314"/>
      <c r="BK672" s="314"/>
      <c r="BL672" s="314"/>
      <c r="BM672" s="314"/>
      <c r="BN672" s="314"/>
      <c r="BO672" s="314"/>
      <c r="BP672" s="314"/>
      <c r="BQ672" s="314"/>
      <c r="BR672" s="314"/>
      <c r="BS672" s="314"/>
      <c r="BT672" s="314"/>
      <c r="BU672" s="314"/>
      <c r="BV672" s="314"/>
      <c r="BW672" s="314"/>
      <c r="BX672" s="314"/>
      <c r="BY672" s="314"/>
      <c r="BZ672" s="314"/>
      <c r="CA672" s="314"/>
      <c r="CB672" s="314"/>
      <c r="CC672" s="314"/>
      <c r="CD672" s="314"/>
      <c r="CE672" s="314"/>
      <c r="CF672" s="314"/>
      <c r="CG672" s="314"/>
      <c r="CH672" s="314"/>
      <c r="CI672" s="314"/>
      <c r="CJ672" s="314"/>
      <c r="CK672" s="314"/>
      <c r="CL672" s="314"/>
      <c r="CM672" s="314"/>
      <c r="CN672" s="314"/>
      <c r="CO672" s="314"/>
      <c r="CP672" s="314"/>
      <c r="CQ672" s="314"/>
    </row>
    <row r="673" spans="1:95" ht="12.75" customHeight="1" x14ac:dyDescent="0.25">
      <c r="A673" s="462"/>
      <c r="B673" s="76"/>
      <c r="C673" s="76"/>
      <c r="D673" s="115"/>
      <c r="E673" s="85"/>
      <c r="F673" s="466" t="str">
        <f>Translations!$B$304</f>
        <v>Comments:</v>
      </c>
      <c r="G673" s="1250"/>
      <c r="H673" s="1251"/>
      <c r="I673" s="1251"/>
      <c r="J673" s="1251"/>
      <c r="K673" s="1251"/>
      <c r="L673" s="1251"/>
      <c r="M673" s="1251"/>
      <c r="N673" s="1252"/>
      <c r="O673" s="160"/>
      <c r="P673" s="109"/>
      <c r="Q673" s="312"/>
      <c r="R673" s="312"/>
      <c r="S673" s="314"/>
      <c r="T673" s="314"/>
      <c r="U673" s="314"/>
      <c r="V673" s="314"/>
      <c r="W673" s="314"/>
      <c r="X673" s="314"/>
      <c r="Y673" s="314"/>
      <c r="Z673" s="314"/>
      <c r="AA673" s="314"/>
      <c r="AB673" s="314"/>
      <c r="AC673" s="314"/>
      <c r="AD673" s="314"/>
      <c r="AE673" s="314"/>
      <c r="AF673" s="314"/>
      <c r="AG673" s="314"/>
      <c r="AH673" s="314"/>
      <c r="AI673" s="314"/>
      <c r="AJ673" s="314"/>
      <c r="AK673" s="314"/>
      <c r="AL673" s="314"/>
      <c r="AM673" s="314"/>
      <c r="AN673" s="314"/>
      <c r="AO673" s="314"/>
      <c r="AP673" s="314"/>
      <c r="AQ673" s="314"/>
      <c r="AR673" s="314"/>
      <c r="AS673" s="314"/>
      <c r="AT673" s="314"/>
      <c r="AU673" s="314"/>
      <c r="AV673" s="314"/>
      <c r="AW673" s="314"/>
      <c r="AX673" s="314"/>
      <c r="AY673" s="314"/>
      <c r="AZ673" s="314"/>
      <c r="BA673" s="314"/>
      <c r="BB673" s="314"/>
      <c r="BC673" s="314"/>
      <c r="BD673" s="314"/>
      <c r="BE673" s="314"/>
      <c r="BF673" s="314"/>
      <c r="BG673" s="314"/>
      <c r="BH673" s="314"/>
      <c r="BI673" s="314"/>
      <c r="BJ673" s="314"/>
      <c r="BK673" s="314"/>
      <c r="BL673" s="314"/>
      <c r="BM673" s="314"/>
      <c r="BN673" s="314"/>
      <c r="BO673" s="314"/>
      <c r="BP673" s="314"/>
      <c r="BQ673" s="314"/>
      <c r="BR673" s="314"/>
      <c r="BS673" s="314"/>
      <c r="BT673" s="314"/>
      <c r="BU673" s="314"/>
      <c r="BV673" s="314"/>
      <c r="BW673" s="314"/>
      <c r="BX673" s="314"/>
      <c r="BY673" s="314"/>
      <c r="BZ673" s="314"/>
      <c r="CA673" s="314"/>
      <c r="CB673" s="314"/>
      <c r="CC673" s="314"/>
      <c r="CD673" s="314"/>
      <c r="CE673" s="314"/>
      <c r="CF673" s="314"/>
      <c r="CG673" s="314"/>
      <c r="CH673" s="314"/>
      <c r="CI673" s="314"/>
      <c r="CJ673" s="314"/>
      <c r="CK673" s="314"/>
      <c r="CL673" s="314"/>
      <c r="CM673" s="314"/>
      <c r="CN673" s="314"/>
      <c r="CO673" s="314"/>
      <c r="CP673" s="314"/>
      <c r="CQ673" s="464" t="b">
        <f>CQ671</f>
        <v>0</v>
      </c>
    </row>
    <row r="674" spans="1:95" ht="12.75" customHeight="1" thickBot="1" x14ac:dyDescent="0.3">
      <c r="A674" s="307"/>
      <c r="B674" s="76"/>
      <c r="C674" s="308"/>
      <c r="D674" s="309"/>
      <c r="E674" s="310"/>
      <c r="F674" s="308"/>
      <c r="G674" s="311"/>
      <c r="H674" s="311"/>
      <c r="I674" s="311"/>
      <c r="J674" s="311"/>
      <c r="K674" s="311"/>
      <c r="L674" s="311"/>
      <c r="M674" s="311"/>
      <c r="N674" s="311"/>
      <c r="O674" s="160"/>
      <c r="P674" s="109"/>
      <c r="Q674" s="312"/>
      <c r="R674" s="312"/>
      <c r="S674" s="293"/>
      <c r="T674" s="293"/>
      <c r="U674" s="313"/>
      <c r="V674" s="293"/>
      <c r="W674" s="293"/>
      <c r="X674" s="313"/>
      <c r="Y674" s="293"/>
      <c r="Z674" s="293"/>
      <c r="AA674" s="293"/>
      <c r="AB674" s="293"/>
      <c r="AC674" s="293"/>
      <c r="AD674" s="293"/>
      <c r="AE674" s="293"/>
      <c r="AF674" s="293"/>
      <c r="AG674" s="293"/>
      <c r="AH674" s="293"/>
      <c r="AI674" s="293"/>
      <c r="AJ674" s="293"/>
      <c r="AK674" s="293"/>
      <c r="AL674" s="293"/>
      <c r="AM674" s="293"/>
      <c r="AN674" s="293"/>
      <c r="AO674" s="293"/>
      <c r="AP674" s="293"/>
      <c r="AQ674" s="293"/>
      <c r="AR674" s="293"/>
      <c r="AS674" s="293"/>
      <c r="AT674" s="293"/>
      <c r="AU674" s="293"/>
      <c r="AV674" s="293"/>
      <c r="AW674" s="293"/>
      <c r="AX674" s="293"/>
      <c r="AY674" s="293"/>
      <c r="AZ674" s="293"/>
      <c r="BA674" s="293"/>
      <c r="BB674" s="293"/>
      <c r="BC674" s="293"/>
      <c r="BD674" s="293"/>
      <c r="BE674" s="293"/>
      <c r="BF674" s="293"/>
      <c r="BG674" s="293"/>
      <c r="BH674" s="293"/>
      <c r="BI674" s="293"/>
      <c r="BJ674" s="293"/>
      <c r="BK674" s="293"/>
      <c r="BL674" s="293"/>
      <c r="BM674" s="314"/>
      <c r="BN674" s="314"/>
      <c r="BO674" s="314"/>
      <c r="BP674" s="314"/>
      <c r="BQ674" s="314"/>
      <c r="BR674" s="314"/>
      <c r="BS674" s="314"/>
      <c r="BT674" s="314"/>
      <c r="BU674" s="293"/>
      <c r="BV674" s="293"/>
      <c r="BW674" s="293"/>
      <c r="BX674" s="293"/>
      <c r="BY674" s="293"/>
      <c r="BZ674" s="293"/>
      <c r="CA674" s="293"/>
      <c r="CB674" s="293"/>
      <c r="CC674" s="293"/>
      <c r="CD674" s="293"/>
      <c r="CE674" s="293"/>
      <c r="CF674" s="293"/>
      <c r="CG674" s="293"/>
      <c r="CH674" s="293"/>
      <c r="CI674" s="293"/>
      <c r="CJ674" s="293"/>
      <c r="CK674" s="293"/>
      <c r="CL674" s="293"/>
      <c r="CM674" s="293"/>
      <c r="CN674" s="293"/>
      <c r="CO674" s="293"/>
      <c r="CP674" s="293"/>
      <c r="CQ674" s="293"/>
    </row>
    <row r="675" spans="1:95" ht="12.75" customHeight="1" thickBot="1" x14ac:dyDescent="0.3">
      <c r="A675" s="315"/>
      <c r="B675" s="76"/>
      <c r="C675" s="76"/>
      <c r="D675" s="205"/>
      <c r="E675" s="316"/>
      <c r="F675" s="76"/>
      <c r="G675" s="96"/>
      <c r="H675" s="96"/>
      <c r="I675" s="96"/>
      <c r="J675" s="96"/>
      <c r="K675" s="76"/>
      <c r="L675" s="96"/>
      <c r="M675" s="96"/>
      <c r="N675" s="96"/>
      <c r="O675" s="160"/>
      <c r="P675" s="109"/>
      <c r="Q675" s="312"/>
      <c r="R675" s="312"/>
      <c r="S675" s="287"/>
      <c r="T675" s="317" t="str">
        <f>IF(ISBLANK(E676),"",MATCH(E676,CNTR_SourceStreamNames,0))</f>
        <v/>
      </c>
      <c r="U675" s="318" t="str">
        <f>IF(ISBLANK(E676),"",INDEX(B_IdentifyFuelStreams!$D$67:$D$116,MATCH(E676,CNTR_SourceStreamNames,0)))</f>
        <v/>
      </c>
      <c r="V675" s="301"/>
      <c r="W675" s="138"/>
      <c r="X675" s="138"/>
      <c r="Y675" s="138"/>
      <c r="Z675" s="293"/>
      <c r="AA675" s="293"/>
      <c r="AB675" s="293"/>
      <c r="AC675" s="293"/>
      <c r="AD675" s="293"/>
      <c r="AE675" s="293"/>
      <c r="AF675" s="293"/>
      <c r="AG675" s="293"/>
      <c r="AH675" s="293"/>
      <c r="AI675" s="293"/>
      <c r="AJ675" s="293"/>
      <c r="AK675" s="312"/>
      <c r="AL675" s="293"/>
      <c r="AM675" s="293"/>
      <c r="AN675" s="293"/>
      <c r="AO675" s="293"/>
      <c r="AP675" s="293"/>
      <c r="AQ675" s="293"/>
      <c r="AR675" s="293"/>
      <c r="AS675" s="293"/>
      <c r="AT675" s="293"/>
      <c r="AU675" s="293"/>
      <c r="AV675" s="293"/>
      <c r="AW675" s="293"/>
      <c r="AX675" s="293"/>
      <c r="AY675" s="293"/>
      <c r="AZ675" s="293"/>
      <c r="BA675" s="293"/>
      <c r="BB675" s="293"/>
      <c r="BC675" s="293"/>
      <c r="BD675" s="293"/>
      <c r="BE675" s="293"/>
      <c r="BF675" s="293"/>
      <c r="BG675" s="293"/>
      <c r="BH675" s="293"/>
      <c r="BI675" s="293"/>
      <c r="BJ675" s="138"/>
      <c r="BK675" s="138"/>
      <c r="BL675" s="138"/>
      <c r="BM675" s="138"/>
      <c r="BN675" s="138"/>
      <c r="BO675" s="138"/>
      <c r="BP675" s="138"/>
      <c r="BQ675" s="138"/>
      <c r="BR675" s="138"/>
      <c r="BS675" s="138"/>
      <c r="BT675" s="138"/>
      <c r="BU675" s="138"/>
      <c r="BV675" s="138"/>
      <c r="BW675" s="138"/>
      <c r="BX675" s="138"/>
      <c r="BY675" s="138"/>
      <c r="BZ675" s="138"/>
      <c r="CA675" s="138"/>
      <c r="CB675" s="138"/>
      <c r="CC675" s="138"/>
      <c r="CD675" s="138"/>
      <c r="CE675" s="138"/>
      <c r="CF675" s="138"/>
      <c r="CG675" s="138"/>
      <c r="CH675" s="138"/>
      <c r="CI675" s="138"/>
      <c r="CJ675" s="138"/>
      <c r="CK675" s="138"/>
      <c r="CL675" s="138"/>
      <c r="CM675" s="138"/>
      <c r="CN675" s="138"/>
      <c r="CO675" s="138"/>
      <c r="CP675" s="138"/>
      <c r="CQ675" s="319" t="s">
        <v>107</v>
      </c>
    </row>
    <row r="676" spans="1:95" ht="15" customHeight="1" thickBot="1" x14ac:dyDescent="0.3">
      <c r="A676" s="320">
        <f>C676</f>
        <v>23</v>
      </c>
      <c r="B676" s="68"/>
      <c r="C676" s="321">
        <f>C648+1</f>
        <v>23</v>
      </c>
      <c r="D676" s="68"/>
      <c r="E676" s="1269"/>
      <c r="F676" s="1270"/>
      <c r="G676" s="1270"/>
      <c r="H676" s="1270"/>
      <c r="I676" s="1270"/>
      <c r="J676" s="1271"/>
      <c r="K676" s="1272" t="str">
        <f>IF(INDEX(B_IdentifyFuelStreams!$K$125:$K$174,MATCH(U675,B_IdentifyFuelStreams!$D$125:$D$174,0))&gt;0,INDEX(B_IdentifyFuelStreams!$K$125:$K$174,MATCH(U675,B_IdentifyFuelStreams!$D$125:$D$174,0)),"")</f>
        <v/>
      </c>
      <c r="L676" s="1273"/>
      <c r="M676" s="316" t="str">
        <f>Translations!$B$621</f>
        <v>Emissions:</v>
      </c>
      <c r="N676" s="322" t="str">
        <f>IF(E677="","",BG682)</f>
        <v/>
      </c>
      <c r="O676" s="323" t="str">
        <f>EUconst_tCO2</f>
        <v>tCO2</v>
      </c>
      <c r="P676" s="324" t="str">
        <f>IF(AND(E676&lt;&gt;"",COUNTIF(P677:$P$1649,"PRINT")=0),"PRINT","")</f>
        <v/>
      </c>
      <c r="Q676" s="325" t="str">
        <f>EUconst_SumCO2</f>
        <v>SUM_CO2</v>
      </c>
      <c r="R676" s="312"/>
      <c r="S676" s="287"/>
      <c r="T676" s="287"/>
      <c r="U676" s="287"/>
      <c r="V676" s="301"/>
      <c r="W676" s="138"/>
      <c r="X676" s="293"/>
      <c r="Y676" s="293"/>
      <c r="Z676" s="293"/>
      <c r="AA676" s="293"/>
      <c r="AB676" s="293"/>
      <c r="AC676" s="293"/>
      <c r="AD676" s="293"/>
      <c r="AE676" s="293"/>
      <c r="AF676" s="293"/>
      <c r="AG676" s="293"/>
      <c r="AH676" s="293"/>
      <c r="AI676" s="326"/>
      <c r="AJ676" s="326"/>
      <c r="AK676" s="326"/>
      <c r="AL676" s="326"/>
      <c r="AM676" s="326"/>
      <c r="AN676" s="326"/>
      <c r="AO676" s="326"/>
      <c r="AP676" s="326"/>
      <c r="AQ676" s="326"/>
      <c r="AR676" s="326"/>
      <c r="AS676" s="326"/>
      <c r="AT676" s="326"/>
      <c r="AU676" s="326"/>
      <c r="AV676" s="326"/>
      <c r="AW676" s="326"/>
      <c r="AX676" s="326"/>
      <c r="AY676" s="326"/>
      <c r="AZ676" s="326"/>
      <c r="BA676" s="326"/>
      <c r="BB676" s="326"/>
      <c r="BC676" s="326"/>
      <c r="BD676" s="326"/>
      <c r="BE676" s="326"/>
      <c r="BF676" s="326"/>
      <c r="BG676" s="326"/>
      <c r="BH676" s="326"/>
      <c r="BI676" s="327" t="str">
        <f>IF(E676="","",E676)</f>
        <v/>
      </c>
      <c r="BJ676" s="328" t="str">
        <f>IF(F682="","",F682)</f>
        <v/>
      </c>
      <c r="BK676" s="329">
        <f>AV682</f>
        <v>0</v>
      </c>
      <c r="BL676" s="329">
        <f>IF(BK676="","",BK676*(1-BP676))</f>
        <v>0</v>
      </c>
      <c r="BM676" s="328" t="str">
        <f>AJ682</f>
        <v/>
      </c>
      <c r="BN676" s="328" t="str">
        <f>IF(F693="","",F693)</f>
        <v/>
      </c>
      <c r="BO676" s="327" t="str">
        <f>IF(G693="","",G693)</f>
        <v/>
      </c>
      <c r="BP676" s="330">
        <f>AV693</f>
        <v>0</v>
      </c>
      <c r="BQ676" s="328" t="str">
        <f>IF(F685="","",F685)</f>
        <v/>
      </c>
      <c r="BR676" s="330">
        <f>AV685</f>
        <v>0</v>
      </c>
      <c r="BS676" s="330" t="str">
        <f>AJ685</f>
        <v/>
      </c>
      <c r="BT676" s="328" t="str">
        <f>IF(F684="","",F684)</f>
        <v/>
      </c>
      <c r="BU676" s="330">
        <f>IF(F684=EUconst_NA,"",AV684)</f>
        <v>0</v>
      </c>
      <c r="BV676" s="330" t="str">
        <f>AJ684</f>
        <v/>
      </c>
      <c r="BW676" s="328" t="str">
        <f>IF(F686="","",F686)</f>
        <v/>
      </c>
      <c r="BX676" s="330">
        <f>AV686</f>
        <v>0</v>
      </c>
      <c r="BY676" s="328" t="str">
        <f>IF(F687="","",F687)</f>
        <v/>
      </c>
      <c r="BZ676" s="330">
        <f>AV687</f>
        <v>0</v>
      </c>
      <c r="CA676" s="330">
        <f>AV688</f>
        <v>0</v>
      </c>
      <c r="CB676" s="330">
        <f>AV689</f>
        <v>0</v>
      </c>
      <c r="CC676" s="330">
        <f>AV690</f>
        <v>0</v>
      </c>
      <c r="CD676" s="330">
        <f>AV691</f>
        <v>0</v>
      </c>
      <c r="CE676" s="329" t="str">
        <f>BG682</f>
        <v/>
      </c>
      <c r="CF676" s="329" t="str">
        <f>BG684</f>
        <v/>
      </c>
      <c r="CG676" s="329" t="str">
        <f>BG685</f>
        <v/>
      </c>
      <c r="CH676" s="329" t="str">
        <f>BG686</f>
        <v/>
      </c>
      <c r="CI676" s="329" t="str">
        <f>BG687</f>
        <v/>
      </c>
      <c r="CJ676" s="329" t="str">
        <f>BG688</f>
        <v/>
      </c>
      <c r="CK676" s="329" t="str">
        <f>BG689</f>
        <v/>
      </c>
      <c r="CL676" s="329">
        <f>BG690</f>
        <v>0</v>
      </c>
      <c r="CM676" s="329" t="str">
        <f>BG691</f>
        <v/>
      </c>
      <c r="CN676" s="329" t="str">
        <f>BG693</f>
        <v/>
      </c>
      <c r="CO676" s="329" t="str">
        <f>BG697</f>
        <v/>
      </c>
      <c r="CP676" s="329" t="str">
        <f>IF(COUNTIF(AO685:AO686,TRUE)=0,"",BH682)</f>
        <v/>
      </c>
      <c r="CQ676" s="331" t="b">
        <v>0</v>
      </c>
    </row>
    <row r="677" spans="1:95" ht="15" customHeight="1" thickBot="1" x14ac:dyDescent="0.3">
      <c r="A677" s="307"/>
      <c r="B677" s="68"/>
      <c r="C677" s="68"/>
      <c r="D677" s="68"/>
      <c r="E677" s="1274" t="str">
        <f>IF(ISBLANK(E676),"",IF(INDEX(B_IdentifyFuelStreams!$E$67:$E$116,MATCH(U675,B_IdentifyFuelStreams!$D$67:$D$116,0))&gt;0,INDEX(B_IdentifyFuelStreams!$E$67:$E$116,MATCH(U675,B_IdentifyFuelStreams!$D$67:$D$116,0)),""))</f>
        <v/>
      </c>
      <c r="F677" s="1275"/>
      <c r="G677" s="1275"/>
      <c r="H677" s="1275"/>
      <c r="I677" s="1275"/>
      <c r="J677" s="1276"/>
      <c r="K677" s="1272" t="str">
        <f>IF(INDEX(B_IdentifyFuelStreams!$M$125:$M$174,MATCH(U675,B_IdentifyFuelStreams!$D$125:$D$174,0))&gt;0,INDEX(B_IdentifyFuelStreams!$M$125:$M$174,MATCH(U675,B_IdentifyFuelStreams!$D$125:$D$174,0)),"")</f>
        <v/>
      </c>
      <c r="L677" s="1273"/>
      <c r="M677" s="332" t="str">
        <f>Translations!$B$622</f>
        <v>zero-rated:</v>
      </c>
      <c r="N677" s="333" t="str">
        <f>IF(E677="","",SUM(BG684,BG686,BG688))</f>
        <v/>
      </c>
      <c r="O677" s="334" t="str">
        <f>EUconst_tCO2</f>
        <v>tCO2</v>
      </c>
      <c r="P677" s="109"/>
      <c r="Q677" s="325" t="str">
        <f>EUconst_SumBioCO2</f>
        <v>SUM_bioCO2</v>
      </c>
      <c r="R677" s="312"/>
      <c r="S677" s="287"/>
      <c r="T677" s="287"/>
      <c r="U677" s="287"/>
      <c r="V677" s="301"/>
      <c r="W677" s="138"/>
      <c r="X677" s="293"/>
      <c r="Y677" s="317" t="str">
        <f>Translations!$B$143</f>
        <v>Tiers</v>
      </c>
      <c r="Z677" s="314"/>
      <c r="AA677" s="314"/>
      <c r="AB677" s="314"/>
      <c r="AC677" s="314"/>
      <c r="AD677" s="314"/>
      <c r="AE677" s="317" t="s">
        <v>108</v>
      </c>
      <c r="AF677" s="293"/>
      <c r="AG677" s="335"/>
      <c r="AH677" s="314"/>
      <c r="AI677" s="314"/>
      <c r="AJ677" s="335"/>
      <c r="AK677" s="335"/>
      <c r="AL677" s="326"/>
      <c r="AM677" s="326"/>
      <c r="AN677" s="326"/>
      <c r="AO677" s="326"/>
      <c r="AP677" s="326"/>
      <c r="AQ677" s="317" t="s">
        <v>109</v>
      </c>
      <c r="AR677" s="336"/>
      <c r="AS677" s="336"/>
      <c r="AT677" s="314"/>
      <c r="AU677" s="314"/>
      <c r="AV677" s="314"/>
      <c r="AW677" s="314"/>
      <c r="AX677" s="314"/>
      <c r="AY677" s="314"/>
      <c r="AZ677" s="317" t="s">
        <v>110</v>
      </c>
      <c r="BA677" s="314"/>
      <c r="BB677" s="314"/>
      <c r="BC677" s="314"/>
      <c r="BD677" s="314"/>
      <c r="BE677" s="314"/>
      <c r="BF677" s="317" t="s">
        <v>111</v>
      </c>
      <c r="BG677" s="314"/>
      <c r="BH677" s="314"/>
      <c r="BI677" s="317" t="s">
        <v>112</v>
      </c>
      <c r="BJ677" s="328" t="str">
        <f>Translations!$B$376</f>
        <v>RFA Tier</v>
      </c>
      <c r="BK677" s="328" t="str">
        <f>Translations!$B$377</f>
        <v>RFA</v>
      </c>
      <c r="BL677" s="328" t="str">
        <f>Translations!$B$378</f>
        <v>RFA (in scope)</v>
      </c>
      <c r="BM677" s="328" t="str">
        <f>Translations!$B$379</f>
        <v>RFA Unit</v>
      </c>
      <c r="BN677" s="328" t="str">
        <f>Translations!$B$380</f>
        <v>SF Tier</v>
      </c>
      <c r="BO677" s="328" t="str">
        <f>Translations!$B$380</f>
        <v>SF Tier</v>
      </c>
      <c r="BP677" s="328" t="str">
        <f>Translations!$B$381</f>
        <v>SF</v>
      </c>
      <c r="BQ677" s="328" t="str">
        <f>Translations!$B$382</f>
        <v>EF Tier</v>
      </c>
      <c r="BR677" s="328" t="str">
        <f>Translations!$B$383</f>
        <v>EF</v>
      </c>
      <c r="BS677" s="328" t="str">
        <f>Translations!$B$384</f>
        <v>EF Unit</v>
      </c>
      <c r="BT677" s="328" t="str">
        <f>Translations!$B$385</f>
        <v>UCF Tier</v>
      </c>
      <c r="BU677" s="328" t="str">
        <f>Translations!$B$386</f>
        <v>UCF</v>
      </c>
      <c r="BV677" s="328" t="str">
        <f>Translations!$B$387</f>
        <v>UCF Unit</v>
      </c>
      <c r="BW677" s="328" t="str">
        <f>Translations!$B$388</f>
        <v>Bio Tier</v>
      </c>
      <c r="BX677" s="328" t="s">
        <v>113</v>
      </c>
      <c r="BY677" s="328" t="str">
        <f>Translations!$B$389</f>
        <v>NonSustBio Tier</v>
      </c>
      <c r="BZ677" s="328" t="s">
        <v>114</v>
      </c>
      <c r="CA677" s="328" t="s">
        <v>115</v>
      </c>
      <c r="CB677" s="328" t="s">
        <v>116</v>
      </c>
      <c r="CC677" s="328" t="s">
        <v>117</v>
      </c>
      <c r="CD677" s="328" t="s">
        <v>118</v>
      </c>
      <c r="CE677" s="328" t="s">
        <v>119</v>
      </c>
      <c r="CF677" s="328" t="s">
        <v>120</v>
      </c>
      <c r="CG677" s="328" t="str">
        <f>Translations!$B$392</f>
        <v>CO2 non-sust</v>
      </c>
      <c r="CH677" s="328" t="s">
        <v>121</v>
      </c>
      <c r="CI677" s="328" t="s">
        <v>122</v>
      </c>
      <c r="CJ677" s="328" t="s">
        <v>123</v>
      </c>
      <c r="CK677" s="328" t="s">
        <v>124</v>
      </c>
      <c r="CL677" s="328" t="s">
        <v>125</v>
      </c>
      <c r="CM677" s="328" t="str">
        <f>Translations!$B$551</f>
        <v>Energy content (bio), TJ</v>
      </c>
      <c r="CN677" s="328" t="s">
        <v>126</v>
      </c>
      <c r="CO677" s="328" t="s">
        <v>127</v>
      </c>
      <c r="CP677" s="328" t="s">
        <v>128</v>
      </c>
      <c r="CQ677" s="314"/>
    </row>
    <row r="678" spans="1:95" ht="5.15" customHeight="1" thickBot="1" x14ac:dyDescent="0.3">
      <c r="A678" s="307"/>
      <c r="B678" s="68"/>
      <c r="C678" s="68"/>
      <c r="D678" s="68"/>
      <c r="E678" s="68"/>
      <c r="F678" s="68"/>
      <c r="G678" s="68"/>
      <c r="H678" s="76"/>
      <c r="I678" s="76"/>
      <c r="J678" s="76"/>
      <c r="K678" s="76"/>
      <c r="L678" s="76"/>
      <c r="M678" s="76"/>
      <c r="N678" s="76"/>
      <c r="O678" s="160"/>
      <c r="P678" s="109"/>
      <c r="Q678" s="312"/>
      <c r="R678" s="312"/>
      <c r="S678" s="287"/>
      <c r="T678" s="287"/>
      <c r="U678" s="287"/>
      <c r="V678" s="301"/>
      <c r="W678" s="314"/>
      <c r="X678" s="314"/>
      <c r="Y678" s="312"/>
      <c r="Z678" s="314"/>
      <c r="AA678" s="314"/>
      <c r="AB678" s="314"/>
      <c r="AC678" s="314"/>
      <c r="AD678" s="314"/>
      <c r="AE678" s="314"/>
      <c r="AF678" s="293"/>
      <c r="AG678" s="314"/>
      <c r="AH678" s="314"/>
      <c r="AI678" s="314"/>
      <c r="AJ678" s="335"/>
      <c r="AK678" s="335"/>
      <c r="AL678" s="326"/>
      <c r="AM678" s="326"/>
      <c r="AN678" s="326"/>
      <c r="AO678" s="326"/>
      <c r="AP678" s="326"/>
      <c r="AQ678" s="314"/>
      <c r="AR678" s="314"/>
      <c r="AS678" s="314"/>
      <c r="AT678" s="314"/>
      <c r="AU678" s="314"/>
      <c r="AV678" s="314"/>
      <c r="AW678" s="314"/>
      <c r="AX678" s="314"/>
      <c r="AY678" s="314"/>
      <c r="AZ678" s="314"/>
      <c r="BA678" s="314"/>
      <c r="BB678" s="314"/>
      <c r="BC678" s="314"/>
      <c r="BD678" s="314"/>
      <c r="BE678" s="314"/>
      <c r="BF678" s="314"/>
      <c r="BG678" s="314"/>
      <c r="BH678" s="314"/>
      <c r="BI678" s="314"/>
      <c r="BJ678" s="314"/>
      <c r="BK678" s="314"/>
      <c r="BL678" s="314"/>
      <c r="BM678" s="314"/>
      <c r="BN678" s="314"/>
      <c r="BO678" s="314"/>
      <c r="BP678" s="314"/>
      <c r="BQ678" s="314"/>
      <c r="BR678" s="314"/>
      <c r="BS678" s="314"/>
      <c r="BT678" s="314"/>
      <c r="BU678" s="314"/>
      <c r="BV678" s="314"/>
      <c r="BW678" s="314"/>
      <c r="BX678" s="314"/>
      <c r="BY678" s="314"/>
      <c r="BZ678" s="314"/>
      <c r="CA678" s="314"/>
      <c r="CB678" s="314"/>
      <c r="CC678" s="314"/>
      <c r="CD678" s="314"/>
      <c r="CE678" s="314"/>
      <c r="CF678" s="314"/>
      <c r="CG678" s="314"/>
      <c r="CH678" s="314"/>
      <c r="CI678" s="314"/>
      <c r="CJ678" s="314"/>
      <c r="CK678" s="314"/>
      <c r="CL678" s="314"/>
      <c r="CM678" s="314"/>
      <c r="CN678" s="314"/>
      <c r="CO678" s="314"/>
      <c r="CP678" s="314"/>
      <c r="CQ678" s="314"/>
    </row>
    <row r="679" spans="1:95" ht="12.75" customHeight="1" thickBot="1" x14ac:dyDescent="0.3">
      <c r="A679" s="307"/>
      <c r="B679" s="68"/>
      <c r="C679" s="68"/>
      <c r="D679" s="68"/>
      <c r="E679" s="1253" t="str">
        <f>IF(E676="","",HYPERLINK("#JUMP_E_Top",EUconst_FurtherGuidancePoint1))</f>
        <v/>
      </c>
      <c r="F679" s="1253"/>
      <c r="G679" s="1253"/>
      <c r="H679" s="1253"/>
      <c r="I679" s="1253"/>
      <c r="J679" s="1253"/>
      <c r="K679" s="1253"/>
      <c r="L679" s="1253"/>
      <c r="M679" s="1253"/>
      <c r="N679" s="76"/>
      <c r="O679" s="160"/>
      <c r="P679" s="109"/>
      <c r="Q679" s="325" t="str">
        <f>EUconst_SumNonSustBioCO2</f>
        <v>SUM_bioNonSustCO2</v>
      </c>
      <c r="R679" s="337" t="str">
        <f>IF(E677="","",BG685)</f>
        <v/>
      </c>
      <c r="S679" s="287"/>
      <c r="T679" s="287"/>
      <c r="U679" s="287"/>
      <c r="V679" s="314"/>
      <c r="W679" s="314"/>
      <c r="X679" s="314"/>
      <c r="Y679" s="293"/>
      <c r="Z679" s="314"/>
      <c r="AA679" s="314"/>
      <c r="AB679" s="314"/>
      <c r="AC679" s="314"/>
      <c r="AD679" s="314"/>
      <c r="AE679" s="314"/>
      <c r="AF679" s="293"/>
      <c r="AG679" s="314"/>
      <c r="AH679" s="314"/>
      <c r="AI679" s="314"/>
      <c r="AJ679" s="335"/>
      <c r="AK679" s="335"/>
      <c r="AL679" s="326"/>
      <c r="AM679" s="326"/>
      <c r="AN679" s="326"/>
      <c r="AO679" s="326"/>
      <c r="AP679" s="326"/>
      <c r="AQ679" s="314"/>
      <c r="AR679" s="314"/>
      <c r="AS679" s="314"/>
      <c r="AT679" s="314"/>
      <c r="AU679" s="314"/>
      <c r="AV679" s="314"/>
      <c r="AW679" s="314"/>
      <c r="AX679" s="314"/>
      <c r="AY679" s="314"/>
      <c r="AZ679" s="314"/>
      <c r="BA679" s="314"/>
      <c r="BB679" s="314"/>
      <c r="BC679" s="314"/>
      <c r="BD679" s="314"/>
      <c r="BE679" s="314"/>
      <c r="BF679" s="314"/>
      <c r="BG679" s="314"/>
      <c r="BH679" s="314"/>
      <c r="BI679" s="317" t="s">
        <v>129</v>
      </c>
      <c r="BJ679" s="336"/>
      <c r="BK679" s="327" t="str">
        <f>IF(G697="","",G697)</f>
        <v/>
      </c>
      <c r="BL679" s="327" t="str">
        <f>IF(I697="","",I697)</f>
        <v/>
      </c>
      <c r="BM679" s="327" t="str">
        <f>IF(K697="","",K697)</f>
        <v/>
      </c>
      <c r="BN679" s="314"/>
      <c r="BO679" s="314"/>
      <c r="BP679" s="314"/>
      <c r="BQ679" s="314"/>
      <c r="BR679" s="314"/>
      <c r="BS679" s="314"/>
      <c r="BT679" s="319"/>
      <c r="BU679" s="314"/>
      <c r="BV679" s="314"/>
      <c r="BW679" s="314"/>
      <c r="BX679" s="314"/>
      <c r="BY679" s="314"/>
      <c r="BZ679" s="314"/>
      <c r="CA679" s="314"/>
      <c r="CB679" s="314"/>
      <c r="CC679" s="314"/>
      <c r="CD679" s="314"/>
      <c r="CE679" s="314"/>
      <c r="CF679" s="314"/>
      <c r="CG679" s="314"/>
      <c r="CH679" s="314"/>
      <c r="CI679" s="314"/>
      <c r="CJ679" s="314"/>
      <c r="CK679" s="314"/>
      <c r="CL679" s="314"/>
      <c r="CM679" s="314"/>
      <c r="CN679" s="314"/>
      <c r="CO679" s="314"/>
      <c r="CP679" s="314"/>
      <c r="CQ679" s="314"/>
    </row>
    <row r="680" spans="1:95" ht="5.15" customHeight="1" thickBot="1" x14ac:dyDescent="0.3">
      <c r="A680" s="307"/>
      <c r="B680" s="68"/>
      <c r="C680" s="68"/>
      <c r="D680" s="68"/>
      <c r="E680" s="68"/>
      <c r="F680" s="68"/>
      <c r="G680" s="68"/>
      <c r="H680" s="76"/>
      <c r="I680" s="76"/>
      <c r="J680" s="76"/>
      <c r="K680" s="76"/>
      <c r="L680" s="76"/>
      <c r="M680" s="76"/>
      <c r="N680" s="76"/>
      <c r="O680" s="160"/>
      <c r="P680" s="111"/>
      <c r="Q680" s="287"/>
      <c r="R680" s="111"/>
      <c r="S680" s="287"/>
      <c r="T680" s="287"/>
      <c r="U680" s="287"/>
      <c r="V680" s="314"/>
      <c r="W680" s="314"/>
      <c r="X680" s="314"/>
      <c r="Y680" s="312"/>
      <c r="Z680" s="314"/>
      <c r="AA680" s="314"/>
      <c r="AB680" s="314"/>
      <c r="AC680" s="314"/>
      <c r="AD680" s="314"/>
      <c r="AE680" s="314"/>
      <c r="AF680" s="293"/>
      <c r="AG680" s="314"/>
      <c r="AH680" s="314"/>
      <c r="AI680" s="314"/>
      <c r="AJ680" s="335"/>
      <c r="AK680" s="335"/>
      <c r="AL680" s="326"/>
      <c r="AM680" s="326"/>
      <c r="AN680" s="326"/>
      <c r="AO680" s="326"/>
      <c r="AP680" s="326"/>
      <c r="AQ680" s="314"/>
      <c r="AR680" s="314"/>
      <c r="AS680" s="314"/>
      <c r="AT680" s="314"/>
      <c r="AU680" s="314"/>
      <c r="AV680" s="314"/>
      <c r="AW680" s="314"/>
      <c r="AX680" s="314"/>
      <c r="AY680" s="314"/>
      <c r="AZ680" s="314"/>
      <c r="BA680" s="314"/>
      <c r="BB680" s="314"/>
      <c r="BC680" s="314"/>
      <c r="BD680" s="314"/>
      <c r="BE680" s="314"/>
      <c r="BF680" s="314"/>
      <c r="BG680" s="314"/>
      <c r="BH680" s="314"/>
      <c r="BI680" s="314"/>
      <c r="BJ680" s="314"/>
      <c r="BK680" s="314"/>
      <c r="BL680" s="314"/>
      <c r="BM680" s="314"/>
      <c r="BN680" s="314"/>
      <c r="BO680" s="314"/>
      <c r="BP680" s="314"/>
      <c r="BQ680" s="314"/>
      <c r="BR680" s="314"/>
      <c r="BS680" s="314"/>
      <c r="BT680" s="314"/>
      <c r="BU680" s="314"/>
      <c r="BV680" s="314"/>
      <c r="BW680" s="314"/>
      <c r="BX680" s="314"/>
      <c r="BY680" s="314"/>
      <c r="BZ680" s="314"/>
      <c r="CA680" s="314"/>
      <c r="CB680" s="314"/>
      <c r="CC680" s="314"/>
      <c r="CD680" s="314"/>
      <c r="CE680" s="314"/>
      <c r="CF680" s="314"/>
      <c r="CG680" s="314"/>
      <c r="CH680" s="314"/>
      <c r="CI680" s="314"/>
      <c r="CJ680" s="314"/>
      <c r="CK680" s="314"/>
      <c r="CL680" s="314"/>
      <c r="CM680" s="314"/>
      <c r="CN680" s="314"/>
      <c r="CO680" s="314"/>
      <c r="CP680" s="314"/>
      <c r="CQ680" s="314"/>
    </row>
    <row r="681" spans="1:95" ht="12.75" customHeight="1" thickBot="1" x14ac:dyDescent="0.3">
      <c r="A681" s="307"/>
      <c r="B681" s="68"/>
      <c r="C681" s="68"/>
      <c r="D681" s="68"/>
      <c r="E681" s="68"/>
      <c r="F681" s="338" t="str">
        <f>Translations!$B$127</f>
        <v>Tier</v>
      </c>
      <c r="G681" s="1254" t="str">
        <f>Translations!$B$393</f>
        <v>tier description</v>
      </c>
      <c r="H681" s="1254"/>
      <c r="I681" s="1255" t="str">
        <f>Translations!$B$394</f>
        <v>Unit</v>
      </c>
      <c r="J681" s="1255"/>
      <c r="K681" s="1255" t="str">
        <f>Translations!$B$395</f>
        <v>Value</v>
      </c>
      <c r="L681" s="1255"/>
      <c r="M681" s="205" t="str">
        <f>Translations!$B$396</f>
        <v>error</v>
      </c>
      <c r="N681" s="76"/>
      <c r="O681" s="160"/>
      <c r="P681" s="339"/>
      <c r="Q681" s="325" t="str">
        <f>EUconst_SumEnergyIN</f>
        <v>SUM_EnergyIN</v>
      </c>
      <c r="R681" s="340" t="str">
        <f>IF(E677="","",BG690)</f>
        <v/>
      </c>
      <c r="S681" s="314"/>
      <c r="T681" s="314"/>
      <c r="U681" s="314"/>
      <c r="V681" s="341" t="s">
        <v>130</v>
      </c>
      <c r="W681" s="314"/>
      <c r="X681" s="314"/>
      <c r="Y681" s="312" t="s">
        <v>131</v>
      </c>
      <c r="Z681" s="312" t="s">
        <v>132</v>
      </c>
      <c r="AA681" s="314"/>
      <c r="AB681" s="314"/>
      <c r="AC681" s="336" t="s">
        <v>133</v>
      </c>
      <c r="AD681" s="314"/>
      <c r="AE681" s="314"/>
      <c r="AF681" s="314" t="s">
        <v>134</v>
      </c>
      <c r="AG681" s="314" t="s">
        <v>135</v>
      </c>
      <c r="AH681" s="312" t="s">
        <v>136</v>
      </c>
      <c r="AI681" s="335" t="s">
        <v>137</v>
      </c>
      <c r="AJ681" s="335" t="s">
        <v>138</v>
      </c>
      <c r="AK681" s="342" t="s">
        <v>139</v>
      </c>
      <c r="AL681" s="326"/>
      <c r="AM681" s="326"/>
      <c r="AN681" s="326"/>
      <c r="AO681" s="326"/>
      <c r="AP681" s="326"/>
      <c r="AQ681" s="314"/>
      <c r="AR681" s="314" t="s">
        <v>134</v>
      </c>
      <c r="AS681" s="314" t="s">
        <v>135</v>
      </c>
      <c r="AT681" s="343" t="s">
        <v>140</v>
      </c>
      <c r="AU681" s="335" t="s">
        <v>141</v>
      </c>
      <c r="AV681" s="335" t="s">
        <v>142</v>
      </c>
      <c r="AW681" s="342" t="s">
        <v>139</v>
      </c>
      <c r="AX681" s="342" t="s">
        <v>139</v>
      </c>
      <c r="AY681" s="314"/>
      <c r="AZ681" s="314"/>
      <c r="BA681" s="314"/>
      <c r="BB681" s="314" t="s">
        <v>143</v>
      </c>
      <c r="BC681" s="314"/>
      <c r="BD681" s="314"/>
      <c r="BE681" s="314"/>
      <c r="BF681" s="314"/>
      <c r="BG681" s="319" t="s">
        <v>144</v>
      </c>
      <c r="BH681" s="314" t="s">
        <v>145</v>
      </c>
      <c r="BI681" s="314"/>
      <c r="BJ681" s="314"/>
      <c r="BK681" s="314"/>
      <c r="BL681" s="314"/>
      <c r="BM681" s="314"/>
      <c r="BN681" s="314"/>
      <c r="BO681" s="314"/>
      <c r="BP681" s="314"/>
      <c r="BQ681" s="314"/>
      <c r="BR681" s="314"/>
      <c r="BS681" s="314"/>
      <c r="BT681" s="314"/>
      <c r="BU681" s="314"/>
      <c r="BV681" s="314"/>
      <c r="BW681" s="314"/>
      <c r="BX681" s="314"/>
      <c r="BY681" s="314"/>
      <c r="BZ681" s="314"/>
      <c r="CA681" s="314"/>
      <c r="CB681" s="314"/>
      <c r="CC681" s="314"/>
      <c r="CD681" s="314"/>
      <c r="CE681" s="314"/>
      <c r="CF681" s="314"/>
      <c r="CG681" s="314"/>
      <c r="CH681" s="314"/>
      <c r="CI681" s="314"/>
      <c r="CJ681" s="314"/>
      <c r="CK681" s="314"/>
      <c r="CL681" s="314"/>
      <c r="CM681" s="314"/>
      <c r="CN681" s="314"/>
      <c r="CO681" s="314"/>
      <c r="CP681" s="314"/>
      <c r="CQ681" s="319" t="s">
        <v>107</v>
      </c>
    </row>
    <row r="682" spans="1:95" ht="12.75" customHeight="1" thickBot="1" x14ac:dyDescent="0.3">
      <c r="A682" s="307"/>
      <c r="B682" s="68"/>
      <c r="C682" s="199" t="s">
        <v>12</v>
      </c>
      <c r="D682" s="344" t="str">
        <f>Translations!$B$356</f>
        <v>RFA:</v>
      </c>
      <c r="E682" s="345"/>
      <c r="F682" s="6"/>
      <c r="G682" s="1256" t="str">
        <f>IF(OR(ISBLANK(F682),F682=EUconst_NoTier),"",IF(Z682=0,EUconst_NA,IF(ISERROR(Z682),"",Z682)))</f>
        <v/>
      </c>
      <c r="H682" s="1257"/>
      <c r="I682" s="346" t="str">
        <f>IF(J682&lt;&gt;"","",AI682)</f>
        <v/>
      </c>
      <c r="J682" s="7"/>
      <c r="K682" s="1258"/>
      <c r="L682" s="1259"/>
      <c r="M682" s="347" t="str">
        <f>IF(AND(E677&lt;&gt;"",OR(F682="",COUNT(K682)=0),Y682&lt;&gt;EUconst_NA),EUconst_ERR_Incomplete,"")</f>
        <v/>
      </c>
      <c r="N682" s="76"/>
      <c r="O682" s="160"/>
      <c r="P682" s="348"/>
      <c r="Q682" s="325" t="str">
        <f>EUconst_SumBioEnergyIN</f>
        <v>SUM_BioEnergyIN</v>
      </c>
      <c r="R682" s="340" t="str">
        <f>IF(E677="","",BG691)</f>
        <v/>
      </c>
      <c r="S682" s="314"/>
      <c r="T682" s="349" t="str">
        <f>EUconst_CNTR_ActivityData&amp;E677</f>
        <v>ActivityData_</v>
      </c>
      <c r="U682" s="312"/>
      <c r="V682" s="349" t="str">
        <f>IF(E676="","",INDEX(B_IdentifyFuelStreams!$I$67:$I$116,MATCH(U675,B_IdentifyFuelStreams!$D$67:$D$116,0)))</f>
        <v/>
      </c>
      <c r="W682" s="335" t="s">
        <v>146</v>
      </c>
      <c r="X682" s="312"/>
      <c r="Y682" s="350" t="str">
        <f>IF(E677="","",INDEX(EUwideConstants!$P$164:$P$200,MATCH(T682,EUwideConstants!$S$164:$S$200,0)))</f>
        <v/>
      </c>
      <c r="Z682" s="351" t="str">
        <f>IF(ISBLANK(F682),"",IF(F682=EUconst_NA,"",INDEX(EUwideConstants!$H:$O,MATCH(T682,EUwideConstants!$S:$S,0),MATCH(F682,CNTR_TierList,0))))</f>
        <v/>
      </c>
      <c r="AA682" s="352" t="s">
        <v>136</v>
      </c>
      <c r="AB682" s="335"/>
      <c r="AC682" s="331" t="b">
        <f>E676&lt;&gt;""</f>
        <v>0</v>
      </c>
      <c r="AD682" s="314"/>
      <c r="AE682" s="353" t="str">
        <f>EUconst_CNTR_ActivityData&amp;EUconst_Unit</f>
        <v>ActivityData_Unit</v>
      </c>
      <c r="AF682" s="354" t="str">
        <f>IF(AC682=TRUE, IF(COUNTIF(MSPara_SourceStreamCategory,V682)=0,"",INDEX(MSPara_CalcFactorsMatrix,MATCH(V682,MSPara_SourceStreamCategory,0),MATCH(AE682&amp;"_"&amp;2,MSPara_CalcFactors,0))),"")</f>
        <v/>
      </c>
      <c r="AG682" s="355" t="str">
        <f>IF(AC682=TRUE, IF(COUNTIF(MSPara_SourceStreamCategory,V682)=0,"",INDEX(MSPara_CalcFactorsMatrix,MATCH(V682,MSPara_SourceStreamCategory,0),MATCH(AE682&amp;"_"&amp;1,MSPara_CalcFactors,0))),"")</f>
        <v/>
      </c>
      <c r="AH682" s="331" t="str">
        <f>IF(OR(AF682="",AF682=EUconst_NA),IF(OR(AG682=EUconst_NA,AG682=""),"",AG682),AF682)</f>
        <v/>
      </c>
      <c r="AI682" s="350" t="str">
        <f>IF(AC682=TRUE,IF(AH682="",EUconst_t,AH682),"")</f>
        <v/>
      </c>
      <c r="AJ682" s="356" t="str">
        <f>IF(J682="",AI682,J682)</f>
        <v/>
      </c>
      <c r="AK682" s="357" t="b">
        <f>AND(E676&lt;&gt;"",J682&lt;&gt;"")</f>
        <v>0</v>
      </c>
      <c r="AL682" s="326"/>
      <c r="AM682" s="358" t="s">
        <v>147</v>
      </c>
      <c r="AN682" s="359" t="str">
        <f>AJ682</f>
        <v/>
      </c>
      <c r="AO682" s="326"/>
      <c r="AP682" s="326"/>
      <c r="AQ682" s="349" t="str">
        <f>EUconst_CNTR_ActivityData&amp;EUconst_Value</f>
        <v>ActivityData_Value</v>
      </c>
      <c r="AR682" s="336"/>
      <c r="AS682" s="336"/>
      <c r="AT682" s="331" t="b">
        <f>AND(AND(AH682&lt;&gt;"",AJ682&lt;&gt;""),AJ682=AH682)</f>
        <v>0</v>
      </c>
      <c r="AU682" s="314"/>
      <c r="AV682" s="331">
        <f>IF(Y682=EUconst_NA,0,IF(COUNT(K682:K682)=0,0,IF(K682="",#REF!,K682)))</f>
        <v>0</v>
      </c>
      <c r="AW682" s="360" t="b">
        <f>AND(AC682=TRUE,OR(K682&lt;&gt;"",AU682=""))</f>
        <v>0</v>
      </c>
      <c r="AX682" s="360" t="b">
        <f>AND(AC682=TRUE,NOT(AW682))</f>
        <v>0</v>
      </c>
      <c r="AY682" s="314"/>
      <c r="AZ682" s="314" t="s">
        <v>148</v>
      </c>
      <c r="BA682" s="314" t="s">
        <v>149</v>
      </c>
      <c r="BB682" s="360"/>
      <c r="BC682" s="314" t="s">
        <v>150</v>
      </c>
      <c r="BD682" s="314"/>
      <c r="BE682" s="314"/>
      <c r="BF682" s="361" t="s">
        <v>119</v>
      </c>
      <c r="BG682" s="362" t="str">
        <f>IF(COUNTIF(AO685:AO686,TRUE)=0,"",BH682*AV693)</f>
        <v/>
      </c>
      <c r="BH682" s="362" t="str">
        <f>IF(COUNTIF(AO685:AO686,TRUE)=0,"",AV682*IF(AO685,1,AV684*AN686)*AV685-BH684-BH686-BH688)</f>
        <v/>
      </c>
      <c r="BI682" s="314"/>
      <c r="BJ682" s="314"/>
      <c r="BK682" s="314"/>
      <c r="BL682" s="314"/>
      <c r="BM682" s="314"/>
      <c r="BN682" s="314"/>
      <c r="BO682" s="314"/>
      <c r="BP682" s="314"/>
      <c r="BQ682" s="314"/>
      <c r="BR682" s="314"/>
      <c r="BS682" s="314"/>
      <c r="BT682" s="314"/>
      <c r="BU682" s="314"/>
      <c r="BV682" s="314"/>
      <c r="BW682" s="314"/>
      <c r="BX682" s="314"/>
      <c r="BY682" s="314"/>
      <c r="BZ682" s="314"/>
      <c r="CA682" s="314"/>
      <c r="CB682" s="314"/>
      <c r="CC682" s="314"/>
      <c r="CD682" s="314"/>
      <c r="CE682" s="314"/>
      <c r="CF682" s="314"/>
      <c r="CG682" s="314"/>
      <c r="CH682" s="314"/>
      <c r="CI682" s="314"/>
      <c r="CJ682" s="314"/>
      <c r="CK682" s="314"/>
      <c r="CL682" s="314"/>
      <c r="CM682" s="314"/>
      <c r="CN682" s="314"/>
      <c r="CO682" s="314"/>
      <c r="CP682" s="314"/>
      <c r="CQ682" s="360" t="b">
        <v>0</v>
      </c>
    </row>
    <row r="683" spans="1:95" ht="5.15" customHeight="1" thickBot="1" x14ac:dyDescent="0.3">
      <c r="A683" s="307"/>
      <c r="B683" s="68"/>
      <c r="C683" s="199"/>
      <c r="D683" s="202"/>
      <c r="E683" s="76"/>
      <c r="F683" s="76"/>
      <c r="G683" s="76"/>
      <c r="H683" s="76" t="str">
        <f>Translations!$B$397</f>
        <v xml:space="preserve"> </v>
      </c>
      <c r="I683" s="162"/>
      <c r="J683" s="162"/>
      <c r="K683" s="76"/>
      <c r="L683" s="76"/>
      <c r="M683" s="363"/>
      <c r="N683" s="76"/>
      <c r="O683" s="160"/>
      <c r="P683" s="109"/>
      <c r="Q683" s="312"/>
      <c r="R683" s="312"/>
      <c r="S683" s="314"/>
      <c r="T683" s="62"/>
      <c r="U683" s="312"/>
      <c r="V683" s="314"/>
      <c r="W683" s="314"/>
      <c r="X683" s="312"/>
      <c r="Y683" s="319"/>
      <c r="Z683" s="314"/>
      <c r="AA683" s="314"/>
      <c r="AB683" s="314"/>
      <c r="AC683" s="314"/>
      <c r="AD683" s="314"/>
      <c r="AE683" s="314"/>
      <c r="AF683" s="314"/>
      <c r="AG683" s="314"/>
      <c r="AH683" s="314"/>
      <c r="AI683" s="314"/>
      <c r="AJ683" s="314"/>
      <c r="AK683" s="314"/>
      <c r="AL683" s="326"/>
      <c r="AM683" s="326"/>
      <c r="AN683" s="326"/>
      <c r="AO683" s="326"/>
      <c r="AP683" s="326"/>
      <c r="AQ683" s="314"/>
      <c r="AR683" s="314"/>
      <c r="AS683" s="314"/>
      <c r="AT683" s="314"/>
      <c r="AU683" s="314"/>
      <c r="AV683" s="314"/>
      <c r="AW683" s="314"/>
      <c r="AX683" s="314"/>
      <c r="AY683" s="314"/>
      <c r="AZ683" s="314"/>
      <c r="BA683" s="314"/>
      <c r="BB683" s="314"/>
      <c r="BC683" s="314"/>
      <c r="BD683" s="314"/>
      <c r="BE683" s="314"/>
      <c r="BF683" s="314"/>
      <c r="BG683" s="364"/>
      <c r="BH683" s="364"/>
      <c r="BI683" s="314"/>
      <c r="BJ683" s="314"/>
      <c r="BK683" s="314"/>
      <c r="BL683" s="314"/>
      <c r="BM683" s="314"/>
      <c r="BN683" s="314"/>
      <c r="BO683" s="314"/>
      <c r="BP683" s="314"/>
      <c r="BQ683" s="314"/>
      <c r="BR683" s="314"/>
      <c r="BS683" s="314"/>
      <c r="BT683" s="314"/>
      <c r="BU683" s="314"/>
      <c r="BV683" s="314"/>
      <c r="BW683" s="314"/>
      <c r="BX683" s="314"/>
      <c r="BY683" s="314"/>
      <c r="BZ683" s="314"/>
      <c r="CA683" s="314"/>
      <c r="CB683" s="314"/>
      <c r="CC683" s="314"/>
      <c r="CD683" s="314"/>
      <c r="CE683" s="314"/>
      <c r="CF683" s="314"/>
      <c r="CG683" s="314"/>
      <c r="CH683" s="314"/>
      <c r="CI683" s="314"/>
      <c r="CJ683" s="314"/>
      <c r="CK683" s="314"/>
      <c r="CL683" s="314"/>
      <c r="CM683" s="314"/>
      <c r="CN683" s="314"/>
      <c r="CO683" s="314"/>
      <c r="CP683" s="314"/>
      <c r="CQ683" s="319"/>
    </row>
    <row r="684" spans="1:95" ht="12.75" customHeight="1" x14ac:dyDescent="0.25">
      <c r="A684" s="307"/>
      <c r="B684" s="68"/>
      <c r="C684" s="199" t="s">
        <v>13</v>
      </c>
      <c r="D684" s="344" t="str">
        <f>Translations!$B$360</f>
        <v>UCF:</v>
      </c>
      <c r="E684" s="345"/>
      <c r="F684" s="10"/>
      <c r="G684" s="1256" t="str">
        <f>IF(OR(ISBLANK(F684),F684=EUconst_NoTier),"",IF(Z684=0,EUconst_NotApplicable,IF(ISERROR(Z684),"",Z684)))</f>
        <v/>
      </c>
      <c r="H684" s="1257"/>
      <c r="I684" s="365" t="str">
        <f>IF(J684&lt;&gt;"","",AI684)</f>
        <v/>
      </c>
      <c r="J684" s="11"/>
      <c r="K684" s="366" t="str">
        <f>IF(L684="",AU684,"")</f>
        <v/>
      </c>
      <c r="L684" s="23"/>
      <c r="M684" s="347" t="str">
        <f>IF(AND(E677&lt;&gt;"",OR(F684="",COUNT(K684:L684)=0),Y684&lt;&gt;EUconst_NA),EUconst_ERR_Incomplete,IF(COUNTIF(BB684:BD684,TRUE)&gt;0,EUconst_ERR_Inconsistent,""))</f>
        <v/>
      </c>
      <c r="N684" s="367"/>
      <c r="O684" s="160"/>
      <c r="P684" s="109"/>
      <c r="Q684" s="312"/>
      <c r="R684" s="312"/>
      <c r="S684" s="314"/>
      <c r="T684" s="368" t="str">
        <f>EUconst_CNTR_UCF&amp;E677</f>
        <v>UCF_</v>
      </c>
      <c r="U684" s="312"/>
      <c r="V684" s="369" t="str">
        <f>V685</f>
        <v/>
      </c>
      <c r="W684" s="314"/>
      <c r="X684" s="312"/>
      <c r="Y684" s="370" t="str">
        <f>IF(E677="","",IF(OR(F684=EUconst_NA,W684=TRUE),EUconst_NA,INDEX(EUwideConstants!$P$164:$P$200,MATCH(T684,EUwideConstants!$S$164:$S$200,0))))</f>
        <v/>
      </c>
      <c r="Z684" s="371" t="str">
        <f>IF(ISBLANK(F684),"",IF(F684=EUconst_NA,"",INDEX(EUwideConstants!$H:$O,MATCH(T684,EUwideConstants!$S:$S,0),MATCH(F684,CNTR_TierList,0))))</f>
        <v/>
      </c>
      <c r="AA684" s="372" t="str">
        <f>IF(COUNTIF(EUconst_DefaultValues,Z684)&gt;0,MATCH(Z684,EUconst_DefaultValues,0),"")</f>
        <v/>
      </c>
      <c r="AB684" s="314"/>
      <c r="AC684" s="373" t="b">
        <f>AND(AC682,Y684&lt;&gt;EUconst_NA)</f>
        <v>0</v>
      </c>
      <c r="AD684" s="314"/>
      <c r="AE684" s="353" t="str">
        <f>EUconst_CNTR_UCF&amp;EUconst_Unit</f>
        <v>UCF_Unit</v>
      </c>
      <c r="AF684" s="374" t="str">
        <f>IF(AC684=TRUE, IF(COUNTIF(MSPara_SourceStreamCategory,V684)=0,"",INDEX(MSPara_CalcFactorsMatrix,MATCH(V684,MSPara_SourceStreamCategory,0),MATCH(AE684&amp;"_"&amp;2,MSPara_CalcFactors,0))),"")</f>
        <v/>
      </c>
      <c r="AG684" s="375" t="str">
        <f>IF(AC684=TRUE, IF(COUNTIF(MSPara_SourceStreamCategory,V684)=0,"",INDEX(MSPara_CalcFactorsMatrix,MATCH(V684,MSPara_SourceStreamCategory,0),MATCH(AE684&amp;"_"&amp;1,MSPara_CalcFactors,0))),"")</f>
        <v/>
      </c>
      <c r="AH684" s="373" t="str">
        <f>IF(AA684="","",INDEX(AF684:AG684,3-AA684))</f>
        <v/>
      </c>
      <c r="AI684" s="373" t="str">
        <f>IF(AC684=TRUE,IF(OR(AH684="",AH684=EUconst_NA),EUconst_GJ&amp;"/"&amp;AJ682,AH684),"")</f>
        <v/>
      </c>
      <c r="AJ684" s="373" t="str">
        <f>IF(J684="",AI684,J684)</f>
        <v/>
      </c>
      <c r="AK684" s="369" t="b">
        <f>AND(E676&lt;&gt;"",J684&lt;&gt;"")</f>
        <v>0</v>
      </c>
      <c r="AL684" s="326"/>
      <c r="AM684" s="358" t="s">
        <v>151</v>
      </c>
      <c r="AN684" s="359" t="str">
        <f>IF(AJ684="",EUconst_NA,IF(AN682=EUconst_TJ,EUconst_TJ,INDEX(EUwideConstants!$C$135:$G$139,MATCH(AN682,RFAUnits,0),MATCH(AJ684,UCFUnits,0))))</f>
        <v>n.a.</v>
      </c>
      <c r="AO684" s="326"/>
      <c r="AP684" s="326"/>
      <c r="AQ684" s="376" t="str">
        <f>EUconst_CNTR_UCF&amp;EUconst_Value</f>
        <v>UCF_Value</v>
      </c>
      <c r="AR684" s="377" t="str">
        <f>IF(AC684=TRUE,IF(COUNTIF(MSPara_SourceStreamCategory,V684)=0,"",INDEX(MSPara_CalcFactorsMatrix,MATCH(V684,MSPara_SourceStreamCategory,0),MATCH(AQ684&amp;"_"&amp;2,MSPara_CalcFactors,0))),"")</f>
        <v/>
      </c>
      <c r="AS684" s="378" t="str">
        <f>IF(AC684=TRUE,IF(COUNTIF(MSPara_SourceStreamCategory,V684)=0,"",INDEX(MSPara_CalcFactorsMatrix,MATCH(V684,MSPara_SourceStreamCategory,0),MATCH(AQ684&amp;"_"&amp;1,MSPara_CalcFactors,0))),"")</f>
        <v/>
      </c>
      <c r="AT684" s="379" t="b">
        <f>AND(AND(AH684&lt;&gt;"",AJ684&lt;&gt;""),AJ684=AH684)</f>
        <v>0</v>
      </c>
      <c r="AU684" s="380" t="str">
        <f>IF(AND(AA684&lt;&gt;"",AT684=TRUE),IF(OR(INDEX(AR684:AS684,3-AA684)=EUconst_NA,INDEX(AR684:AS684,3-AA684)=0),"",INDEX(AR684:AS684,3-AA684)),"")</f>
        <v/>
      </c>
      <c r="AV684" s="373">
        <f>IF(AC684=TRUE,IF(COUNT(K684:L684)=0,0,IF(L684="",K684,L684)),0)</f>
        <v>0</v>
      </c>
      <c r="AW684" s="369" t="b">
        <f t="shared" ref="AW684:AW691" si="198">AND(AC684=TRUE,OR(AND(F684&lt;&gt;"",NOT(ISNUMBER(AA684))),L684&lt;&gt;"",F684="",AU684=""))</f>
        <v>0</v>
      </c>
      <c r="AX684" s="381" t="b">
        <f t="shared" ref="AX684:AX691" si="199">AND(AC684=TRUE,NOT(AW684))</f>
        <v>0</v>
      </c>
      <c r="AY684" s="314"/>
      <c r="AZ684" s="382" t="b">
        <f t="shared" ref="AZ684:AZ691" si="200">AND(ISNUMBER(AA684),AU684="")</f>
        <v>0</v>
      </c>
      <c r="BA684" s="383" t="b">
        <f t="shared" ref="BA684:BA691" si="201">AND(ISNUMBER(AA684),AU684&lt;&gt;AV684)</f>
        <v>0</v>
      </c>
      <c r="BB684" s="369" t="b">
        <f>AND(E677&lt;&gt;"",F684&lt;&gt;EUconst_NA,AN684=EUconst_NA)</f>
        <v>0</v>
      </c>
      <c r="BC684" s="369" t="b">
        <f t="shared" ref="BC684:BC691" si="202">AND(L684&lt;&gt;"",Y684=EUconst_NA)</f>
        <v>0</v>
      </c>
      <c r="BD684" s="314"/>
      <c r="BE684" s="314"/>
      <c r="BF684" s="382" t="s">
        <v>152</v>
      </c>
      <c r="BG684" s="384" t="str">
        <f>IF(COUNTIF(AO685:AO686,TRUE)=0,"",BH684*AV693)</f>
        <v/>
      </c>
      <c r="BH684" s="384" t="str">
        <f>IF(COUNTIF(AO685:AO686,TRUE)=0,"",AV682*IF(AO685,1,AV684*AN686)*AV685*AV686)</f>
        <v/>
      </c>
      <c r="BI684" s="314"/>
      <c r="BJ684" s="314"/>
      <c r="BK684" s="314"/>
      <c r="BL684" s="314"/>
      <c r="BM684" s="314"/>
      <c r="BN684" s="314"/>
      <c r="BO684" s="314"/>
      <c r="BP684" s="314"/>
      <c r="BQ684" s="314"/>
      <c r="BR684" s="314"/>
      <c r="BS684" s="314"/>
      <c r="BT684" s="314"/>
      <c r="BU684" s="314"/>
      <c r="BV684" s="314"/>
      <c r="BW684" s="314"/>
      <c r="BX684" s="314"/>
      <c r="BY684" s="314"/>
      <c r="BZ684" s="314"/>
      <c r="CA684" s="314"/>
      <c r="CB684" s="314"/>
      <c r="CC684" s="314"/>
      <c r="CD684" s="314"/>
      <c r="CE684" s="314"/>
      <c r="CF684" s="314"/>
      <c r="CG684" s="314"/>
      <c r="CH684" s="314"/>
      <c r="CI684" s="314"/>
      <c r="CJ684" s="314"/>
      <c r="CK684" s="314"/>
      <c r="CL684" s="314"/>
      <c r="CM684" s="314"/>
      <c r="CN684" s="314"/>
      <c r="CO684" s="314"/>
      <c r="CP684" s="314"/>
      <c r="CQ684" s="369" t="b">
        <f>OR(CQ682,Y684=EUconst_NA)</f>
        <v>0</v>
      </c>
    </row>
    <row r="685" spans="1:95" ht="12.75" customHeight="1" thickBot="1" x14ac:dyDescent="0.3">
      <c r="A685" s="307"/>
      <c r="B685" s="68"/>
      <c r="C685" s="199" t="s">
        <v>14</v>
      </c>
      <c r="D685" s="344" t="str">
        <f>Translations!$B$358</f>
        <v>(prelim) EF:</v>
      </c>
      <c r="E685" s="345"/>
      <c r="F685" s="59"/>
      <c r="G685" s="1256" t="str">
        <f>IF(OR(ISBLANK(F685),F685=EUconst_NoTier),"",IF(Z685=0,EUconst_NotApplicable,IF(ISERROR(Z685),"",Z685)))</f>
        <v/>
      </c>
      <c r="H685" s="1260"/>
      <c r="I685" s="385" t="str">
        <f>IF(J685&lt;&gt;"","",AI685)</f>
        <v/>
      </c>
      <c r="J685" s="22"/>
      <c r="K685" s="386" t="str">
        <f>IF(L685="",AU685,"")</f>
        <v/>
      </c>
      <c r="L685" s="58"/>
      <c r="M685" s="347" t="str">
        <f>IF(AND(E677&lt;&gt;"",OR(F685="",COUNT(K685:L685)=0),Y685&lt;&gt;EUconst_NA),EUconst_ERR_Incomplete,IF(COUNTIF(BB685:BD685,TRUE)&gt;0,EUconst_ERR_Inconsistent,""))</f>
        <v/>
      </c>
      <c r="N685" s="387"/>
      <c r="O685" s="160"/>
      <c r="P685" s="109"/>
      <c r="Q685" s="312"/>
      <c r="R685" s="312"/>
      <c r="S685" s="314"/>
      <c r="T685" s="388" t="str">
        <f>EUconst_CNTR_EF&amp;E677</f>
        <v>EF_</v>
      </c>
      <c r="U685" s="312"/>
      <c r="V685" s="389" t="str">
        <f>V682</f>
        <v/>
      </c>
      <c r="W685" s="314"/>
      <c r="X685" s="312"/>
      <c r="Y685" s="390" t="str">
        <f>IF(E677="","",IF(OR(F685=EUconst_NA,W685=TRUE),EUconst_NA,INDEX(EUwideConstants!$P$164:$P$200,MATCH(T685,EUwideConstants!$S$164:$S$200,0))))</f>
        <v/>
      </c>
      <c r="Z685" s="391" t="str">
        <f>IF(ISBLANK(F685),"",IF(F685=EUconst_NA,"",INDEX(EUwideConstants!$H:$O,MATCH(T685,EUwideConstants!$S:$S,0),MATCH(F685,CNTR_TierList,0))))</f>
        <v/>
      </c>
      <c r="AA685" s="392" t="str">
        <f>IF(COUNTIF(EUconst_DefaultValues,Z685)&gt;0,MATCH(Z685,EUconst_DefaultValues,0),"")</f>
        <v/>
      </c>
      <c r="AB685" s="314"/>
      <c r="AC685" s="393" t="b">
        <f>AND(AC682,Y685&lt;&gt;EUconst_NA)</f>
        <v>0</v>
      </c>
      <c r="AD685" s="314"/>
      <c r="AE685" s="394" t="str">
        <f>EUconst_CNTR_EF&amp;EUconst_Unit</f>
        <v>EF_Unit</v>
      </c>
      <c r="AF685" s="395" t="str">
        <f>IF(AC685=TRUE, IF(COUNTIF(MSPara_SourceStreamCategory,V685)=0,"",INDEX(MSPara_CalcFactorsMatrix,MATCH(V685,MSPara_SourceStreamCategory,0),MATCH(AE685&amp;"_"&amp;2,MSPara_CalcFactors,0))),"")</f>
        <v/>
      </c>
      <c r="AG685" s="396" t="str">
        <f>IF(AC685=TRUE, IF(COUNTIF(MSPara_SourceStreamCategory,V685)=0,"",INDEX(MSPara_CalcFactorsMatrix,MATCH(V685,MSPara_SourceStreamCategory,0),MATCH(AE685&amp;"_"&amp;1,MSPara_CalcFactors,0))),"")</f>
        <v/>
      </c>
      <c r="AH685" s="397" t="str">
        <f>IF(AA685="","",INDEX(AF685:AG685,3-AA685))</f>
        <v/>
      </c>
      <c r="AI685" s="397" t="str">
        <f>IF(AC685=TRUE,IF(OR(AH685="",AH685=EUconst_NA),EUconst_tCO2&amp;"/"&amp;IF(AN684=EUconst_NA,AN682,IF(AN684=EUconst_GJ,EUconst_TJ,AN684)),AH685),"")</f>
        <v/>
      </c>
      <c r="AJ685" s="397" t="str">
        <f>IF(J685="",AI685,J685)</f>
        <v/>
      </c>
      <c r="AK685" s="398" t="b">
        <f>AND(E677&lt;&gt;"",J685&lt;&gt;"")</f>
        <v>0</v>
      </c>
      <c r="AL685" s="326"/>
      <c r="AM685" s="358" t="s">
        <v>153</v>
      </c>
      <c r="AN685" s="359" t="str">
        <f>IF(COUNTIF(RFAUnits,AN682)=0,EUconst_NA,INDEX(EUwideConstants!$C$150:$H$154,MATCH(AJ685,EFUnits,0),MATCH(AN682,EUwideConstants!$C$149:$H$149,0)))</f>
        <v>n.a.</v>
      </c>
      <c r="AO685" s="359" t="b">
        <f>AN685&lt;&gt;EUconst_NA</f>
        <v>0</v>
      </c>
      <c r="AP685" s="326"/>
      <c r="AQ685" s="399" t="str">
        <f>EUconst_CNTR_EF&amp;EUconst_Value</f>
        <v>EF_Value</v>
      </c>
      <c r="AR685" s="400" t="str">
        <f>IF(AC685=TRUE,IF(COUNTIF(MSPara_SourceStreamCategory,V685)=0,"",INDEX(MSPara_CalcFactorsMatrix,MATCH(V685,MSPara_SourceStreamCategory,0),MATCH(AQ685&amp;"_"&amp;2,MSPara_CalcFactors,0))),"")</f>
        <v/>
      </c>
      <c r="AS685" s="401" t="str">
        <f>IF(AC685=TRUE,IF(COUNTIF(MSPara_SourceStreamCategory,V685)=0,"",INDEX(MSPara_CalcFactorsMatrix,MATCH(V685,MSPara_SourceStreamCategory,0),MATCH(AQ685&amp;"_"&amp;1,MSPara_CalcFactors,0))),"")</f>
        <v/>
      </c>
      <c r="AT685" s="402" t="b">
        <f>AND(AND(AH685&lt;&gt;"",AJ685&lt;&gt;""),AJ685=AH685)</f>
        <v>0</v>
      </c>
      <c r="AU685" s="403" t="str">
        <f>IF(AND(AA685&lt;&gt;"",AT685=TRUE),IF(OR(INDEX(AR685:AS685,3-AA685)=EUconst_NA,INDEX(AR685:AS685,3-AA685)=0),"",INDEX(AR685:AS685,3-AA685)),"")</f>
        <v/>
      </c>
      <c r="AV685" s="393">
        <f>IF(AC685=TRUE,IF(COUNT(K685:L685)=0,0,IF(L685="",K685,L685)),0)</f>
        <v>0</v>
      </c>
      <c r="AW685" s="389" t="b">
        <f t="shared" si="198"/>
        <v>0</v>
      </c>
      <c r="AX685" s="404" t="b">
        <f t="shared" si="199"/>
        <v>0</v>
      </c>
      <c r="AY685" s="314"/>
      <c r="AZ685" s="405" t="b">
        <f t="shared" si="200"/>
        <v>0</v>
      </c>
      <c r="BA685" s="406" t="b">
        <f t="shared" si="201"/>
        <v>0</v>
      </c>
      <c r="BB685" s="407" t="b">
        <f>AND(E677&lt;&gt;"",COUNTIF(AO685:AO686,TRUE)=0)</f>
        <v>0</v>
      </c>
      <c r="BC685" s="389" t="b">
        <f t="shared" si="202"/>
        <v>0</v>
      </c>
      <c r="BD685" s="314"/>
      <c r="BE685" s="314"/>
      <c r="BF685" s="408" t="s">
        <v>154</v>
      </c>
      <c r="BG685" s="409" t="str">
        <f>IF(COUNTIF(AO685:AO686,TRUE)=0,"",BH685*AV693)</f>
        <v/>
      </c>
      <c r="BH685" s="409" t="str">
        <f>IF(COUNTIF(AO685:AO686,TRUE)=0,"",AV682*IF(AO685,1,AV684*AN686)*AV685*AV687)</f>
        <v/>
      </c>
      <c r="BI685" s="314"/>
      <c r="BJ685" s="314"/>
      <c r="BK685" s="314"/>
      <c r="BL685" s="314"/>
      <c r="BM685" s="314"/>
      <c r="BN685" s="314"/>
      <c r="BO685" s="314"/>
      <c r="BP685" s="314"/>
      <c r="BQ685" s="314"/>
      <c r="BR685" s="314"/>
      <c r="BS685" s="314"/>
      <c r="BT685" s="314"/>
      <c r="BU685" s="314"/>
      <c r="BV685" s="314"/>
      <c r="BW685" s="314"/>
      <c r="BX685" s="314"/>
      <c r="BY685" s="314"/>
      <c r="BZ685" s="314"/>
      <c r="CA685" s="314"/>
      <c r="CB685" s="314"/>
      <c r="CC685" s="314"/>
      <c r="CD685" s="314"/>
      <c r="CE685" s="314"/>
      <c r="CF685" s="314"/>
      <c r="CG685" s="314"/>
      <c r="CH685" s="314"/>
      <c r="CI685" s="314"/>
      <c r="CJ685" s="314"/>
      <c r="CK685" s="314"/>
      <c r="CL685" s="314"/>
      <c r="CM685" s="314"/>
      <c r="CN685" s="314"/>
      <c r="CO685" s="314"/>
      <c r="CP685" s="314"/>
      <c r="CQ685" s="407" t="b">
        <f>OR(CQ682,Y685=EUconst_NA)</f>
        <v>0</v>
      </c>
    </row>
    <row r="686" spans="1:95" ht="12.75" customHeight="1" x14ac:dyDescent="0.25">
      <c r="A686" s="307"/>
      <c r="B686" s="68"/>
      <c r="C686" s="199" t="s">
        <v>15</v>
      </c>
      <c r="D686" s="344" t="str">
        <f>Translations!$B$362</f>
        <v>BioF:</v>
      </c>
      <c r="E686" s="345"/>
      <c r="F686" s="10"/>
      <c r="G686" s="1256" t="str">
        <f>IF(OR(ISBLANK(F686),F686=EUconst_NoTier),"",IF(Z686=0,EUconst_NotApplicable,IF(ISERROR(Z686),"",Z686)))</f>
        <v/>
      </c>
      <c r="H686" s="1257"/>
      <c r="I686" s="410" t="str">
        <f t="shared" ref="I686:I691" si="203">IF(OR(AC686=FALSE,Y686=EUconst_NA),"","-")</f>
        <v/>
      </c>
      <c r="J686" s="411"/>
      <c r="K686" s="412" t="str">
        <f>IF(L686="",AU686,"")</f>
        <v/>
      </c>
      <c r="L686" s="60"/>
      <c r="M686" s="347" t="str">
        <f>IF(AND(E677&lt;&gt;"",OR(F686="",COUNT(K686:L686)=0),Y686&lt;&gt;EUconst_NA),EUconst_ERR_Incomplete,IF(COUNTIF(BB686:BD686,TRUE)&gt;0,EUconst_ERR_Inconsistent,""))</f>
        <v/>
      </c>
      <c r="O686" s="160"/>
      <c r="P686" s="348"/>
      <c r="Q686" s="413"/>
      <c r="R686" s="413"/>
      <c r="S686" s="314"/>
      <c r="T686" s="388" t="str">
        <f>EUconst_CNTR_BiomassContent&amp;E677</f>
        <v>BioC_</v>
      </c>
      <c r="U686" s="312"/>
      <c r="V686" s="369" t="str">
        <f>V684</f>
        <v/>
      </c>
      <c r="W686" s="369" t="str">
        <f>IF(OR(V686="",COUNTIF(MSPara_SourceStreamCategory,V686)=0),"",INDEX(MSPara_IsFossil,MATCH(V686,MSPara_SourceStreamCategory,0)))</f>
        <v/>
      </c>
      <c r="X686" s="312"/>
      <c r="Y686" s="370" t="str">
        <f>IF(E677="","",IF(OR(F686=EUconst_NA,W686=TRUE),EUconst_NA,INDEX(EUwideConstants!$P$164:$P$200,MATCH(T686,EUwideConstants!$S$164:$S$200,0))))</f>
        <v/>
      </c>
      <c r="Z686" s="371" t="str">
        <f>IF(ISBLANK(F686),"",IF(F686=EUconst_NA,"",INDEX(EUwideConstants!$H:$O,MATCH(T686,EUwideConstants!$S:$S,0),MATCH(F686,CNTR_TierList,0))))</f>
        <v/>
      </c>
      <c r="AA686" s="414" t="str">
        <f>IF(F686=1,1,"")</f>
        <v/>
      </c>
      <c r="AB686" s="314"/>
      <c r="AC686" s="373" t="b">
        <f>AND(AC682,Y686&lt;&gt;EUconst_NA)</f>
        <v>0</v>
      </c>
      <c r="AD686" s="314"/>
      <c r="AE686" s="415"/>
      <c r="AF686" s="416"/>
      <c r="AG686" s="417"/>
      <c r="AH686" s="418"/>
      <c r="AI686" s="418"/>
      <c r="AJ686" s="418"/>
      <c r="AK686" s="419"/>
      <c r="AL686" s="326"/>
      <c r="AM686" s="358" t="s">
        <v>155</v>
      </c>
      <c r="AN686" s="359" t="str">
        <f>IF(AN684=EUconst_NA,EUconst_NA,INDEX(EUwideConstants!$C$150:$H$154,MATCH(AJ685,EFUnits,0),MATCH(AN684,EUwideConstants!$C$149:$H$149,0)))</f>
        <v>n.a.</v>
      </c>
      <c r="AO686" s="359" t="b">
        <f>AN686&lt;&gt;EUconst_NA</f>
        <v>0</v>
      </c>
      <c r="AP686" s="326"/>
      <c r="AQ686" s="376" t="str">
        <f>EUconst_CNTR_BiomassContent&amp;EUconst_Value</f>
        <v>BioC_Value</v>
      </c>
      <c r="AR686" s="420"/>
      <c r="AS686" s="378" t="str">
        <f t="shared" ref="AS686:AS691" si="204">IF(AC686=TRUE,IF(COUNTIF(MSPara_SourceStreamCategory,V686)=0,"",INDEX(MSPara_CalcFactorsMatrix,MATCH(V686,MSPara_SourceStreamCategory,0),MATCH(AQ686&amp;"_"&amp;2,MSPara_CalcFactors,0))),"")</f>
        <v/>
      </c>
      <c r="AT686" s="421"/>
      <c r="AU686" s="380" t="str">
        <f t="shared" ref="AU686:AU691" si="205">IF(OR(AA686="",AS686=EUconst_NA),"",AS686)</f>
        <v/>
      </c>
      <c r="AV686" s="373">
        <f>IF(AC686=TRUE,IF(COUNT(K686:L686)=0,0,IF(L686="",K686,L686)),0)</f>
        <v>0</v>
      </c>
      <c r="AW686" s="369" t="b">
        <f t="shared" si="198"/>
        <v>0</v>
      </c>
      <c r="AX686" s="381" t="b">
        <f t="shared" si="199"/>
        <v>0</v>
      </c>
      <c r="AY686" s="314"/>
      <c r="AZ686" s="382" t="b">
        <f t="shared" si="200"/>
        <v>0</v>
      </c>
      <c r="BA686" s="383" t="b">
        <f t="shared" si="201"/>
        <v>0</v>
      </c>
      <c r="BB686" s="314"/>
      <c r="BC686" s="369" t="b">
        <f t="shared" si="202"/>
        <v>0</v>
      </c>
      <c r="BD686" s="369" t="b">
        <f>OR(AV686&gt;100%,(AV686+AV687)&gt;100%)</f>
        <v>0</v>
      </c>
      <c r="BE686" s="314"/>
      <c r="BF686" s="382" t="s">
        <v>156</v>
      </c>
      <c r="BG686" s="384" t="str">
        <f>IF(COUNTIF(AO685:AO686,TRUE)=0,"",BH686*AV693)</f>
        <v/>
      </c>
      <c r="BH686" s="384" t="str">
        <f>IF(COUNTIF(AO685:AO686,TRUE)=0,"",AV682*IF(AO685,1,AV684*AN686)*AV685*AV688)</f>
        <v/>
      </c>
      <c r="BJ686" s="314"/>
      <c r="BK686" s="314"/>
      <c r="BL686" s="314"/>
      <c r="BM686" s="314"/>
      <c r="BN686" s="314"/>
      <c r="BO686" s="314"/>
      <c r="BP686" s="314"/>
      <c r="BQ686" s="314"/>
      <c r="BR686" s="314"/>
      <c r="BS686" s="314"/>
      <c r="BT686" s="314"/>
      <c r="BU686" s="314"/>
      <c r="BV686" s="314"/>
      <c r="BW686" s="314"/>
      <c r="BX686" s="314"/>
      <c r="BY686" s="314"/>
      <c r="BZ686" s="314"/>
      <c r="CA686" s="314"/>
      <c r="CB686" s="314"/>
      <c r="CC686" s="314"/>
      <c r="CD686" s="314"/>
      <c r="CE686" s="314"/>
      <c r="CF686" s="314"/>
      <c r="CG686" s="314"/>
      <c r="CH686" s="314"/>
      <c r="CI686" s="314"/>
      <c r="CJ686" s="314"/>
      <c r="CK686" s="314"/>
      <c r="CL686" s="314"/>
      <c r="CM686" s="314"/>
      <c r="CN686" s="314"/>
      <c r="CO686" s="314"/>
      <c r="CP686" s="314"/>
      <c r="CQ686" s="369" t="b">
        <f>OR(CQ682,Y686=EUconst_NA)</f>
        <v>0</v>
      </c>
    </row>
    <row r="687" spans="1:95" ht="12.75" customHeight="1" thickBot="1" x14ac:dyDescent="0.3">
      <c r="A687" s="307"/>
      <c r="B687" s="68"/>
      <c r="C687" s="199" t="s">
        <v>16</v>
      </c>
      <c r="D687" s="344" t="str">
        <f>Translations!$B$368</f>
        <v>non-sust. BioF:</v>
      </c>
      <c r="E687" s="345"/>
      <c r="F687" s="20"/>
      <c r="G687" s="1256" t="str">
        <f>IF(OR(ISBLANK(F687),F687=EUconst_NoTier),"",IF(Z687=0,EUconst_NotApplicable,IF(ISERROR(Z687),"",Z687)))</f>
        <v/>
      </c>
      <c r="H687" s="1257"/>
      <c r="I687" s="422" t="str">
        <f t="shared" si="203"/>
        <v/>
      </c>
      <c r="J687" s="423"/>
      <c r="K687" s="424" t="str">
        <f>IF(L687="",AU687,"")</f>
        <v/>
      </c>
      <c r="L687" s="21"/>
      <c r="M687" s="347" t="str">
        <f>IF(AND(E677&lt;&gt;"",OR(F687="",COUNT(K687:L687)=0),Y687&lt;&gt;EUconst_NA),EUconst_ERR_Incomplete,IF(COUNTIF(BB687:BD687,TRUE)&gt;0,EUconst_ERR_Inconsistent,""))</f>
        <v/>
      </c>
      <c r="N687" s="76"/>
      <c r="O687" s="160"/>
      <c r="P687" s="348"/>
      <c r="Q687" s="413"/>
      <c r="R687" s="413"/>
      <c r="S687" s="314"/>
      <c r="T687" s="425" t="str">
        <f>EUconst_CNTR_BiomassContent&amp;E677</f>
        <v>BioC_</v>
      </c>
      <c r="U687" s="312"/>
      <c r="V687" s="407" t="str">
        <f>V686</f>
        <v/>
      </c>
      <c r="W687" s="407" t="str">
        <f>IF(OR(V686="",COUNTIF(MSPara_SourceStreamCategory,V687)=0),"",INDEX(MSPara_IsFossil,MATCH(V687,MSPara_SourceStreamCategory,0)))</f>
        <v/>
      </c>
      <c r="X687" s="312"/>
      <c r="Y687" s="426" t="str">
        <f>IF(E677="","",IF(OR(F687=EUconst_NA,W687=TRUE),EUconst_NA,INDEX(EUwideConstants!$P$164:$P$200,MATCH(T687,EUwideConstants!$S$164:$S$200,0))))</f>
        <v/>
      </c>
      <c r="Z687" s="427" t="str">
        <f>IF(ISBLANK(F687),"",IF(F687=EUconst_NA,"",INDEX(EUwideConstants!$H:$O,MATCH(T687,EUwideConstants!$S:$S,0),MATCH(F687,CNTR_TierList,0))))</f>
        <v/>
      </c>
      <c r="AA687" s="428" t="str">
        <f>IF(F687=1,1,"")</f>
        <v/>
      </c>
      <c r="AB687" s="314"/>
      <c r="AC687" s="429" t="b">
        <f>AND(AC682,Y687&lt;&gt;EUconst_NA)</f>
        <v>0</v>
      </c>
      <c r="AD687" s="314"/>
      <c r="AE687" s="430"/>
      <c r="AF687" s="431"/>
      <c r="AG687" s="432"/>
      <c r="AH687" s="433"/>
      <c r="AI687" s="433"/>
      <c r="AJ687" s="433"/>
      <c r="AK687" s="434"/>
      <c r="AL687" s="326"/>
      <c r="AM687" s="326"/>
      <c r="AN687" s="326"/>
      <c r="AO687" s="326"/>
      <c r="AP687" s="326"/>
      <c r="AQ687" s="435" t="str">
        <f>EUconst_CNTR_BiomassContent&amp;EUconst_Value</f>
        <v>BioC_Value</v>
      </c>
      <c r="AR687" s="430"/>
      <c r="AS687" s="436" t="str">
        <f t="shared" si="204"/>
        <v/>
      </c>
      <c r="AT687" s="437"/>
      <c r="AU687" s="438" t="str">
        <f t="shared" si="205"/>
        <v/>
      </c>
      <c r="AV687" s="429">
        <f>IF(AC687=TRUE,IF(COUNT(K687:L687)=0,0,IF(L687="",K687,L687)),0)</f>
        <v>0</v>
      </c>
      <c r="AW687" s="407" t="b">
        <f t="shared" si="198"/>
        <v>0</v>
      </c>
      <c r="AX687" s="439" t="b">
        <f t="shared" si="199"/>
        <v>0</v>
      </c>
      <c r="AY687" s="314"/>
      <c r="AZ687" s="408" t="b">
        <f t="shared" si="200"/>
        <v>0</v>
      </c>
      <c r="BA687" s="440" t="b">
        <f t="shared" si="201"/>
        <v>0</v>
      </c>
      <c r="BB687" s="314"/>
      <c r="BC687" s="407" t="b">
        <f t="shared" si="202"/>
        <v>0</v>
      </c>
      <c r="BD687" s="407" t="b">
        <f>OR(AV686&gt;100%,(AV686+AV687)&gt;100%)</f>
        <v>0</v>
      </c>
      <c r="BE687" s="314"/>
      <c r="BF687" s="408" t="s">
        <v>157</v>
      </c>
      <c r="BG687" s="409" t="str">
        <f>IF(COUNTIF(AO685:AO686,TRUE)=0,"",BH687*AV693)</f>
        <v/>
      </c>
      <c r="BH687" s="409" t="str">
        <f>IF(COUNTIF(AO685:AO686,TRUE)=0,"",AV682*IF(AO685,1,AV684*AN686)*AV685*AV689)</f>
        <v/>
      </c>
      <c r="BJ687" s="314"/>
      <c r="BK687" s="314"/>
      <c r="BL687" s="314"/>
      <c r="BM687" s="314"/>
      <c r="BN687" s="314"/>
      <c r="BO687" s="314"/>
      <c r="BP687" s="314"/>
      <c r="BQ687" s="314"/>
      <c r="BR687" s="314"/>
      <c r="BS687" s="314"/>
      <c r="BT687" s="314"/>
      <c r="BU687" s="314"/>
      <c r="BV687" s="314"/>
      <c r="BW687" s="314"/>
      <c r="BX687" s="314"/>
      <c r="BY687" s="314"/>
      <c r="BZ687" s="314"/>
      <c r="CA687" s="314"/>
      <c r="CB687" s="314"/>
      <c r="CC687" s="314"/>
      <c r="CD687" s="314"/>
      <c r="CE687" s="314"/>
      <c r="CF687" s="314"/>
      <c r="CG687" s="314"/>
      <c r="CH687" s="314"/>
      <c r="CI687" s="314"/>
      <c r="CJ687" s="314"/>
      <c r="CK687" s="314"/>
      <c r="CL687" s="314"/>
      <c r="CM687" s="314"/>
      <c r="CN687" s="314"/>
      <c r="CO687" s="314"/>
      <c r="CP687" s="314"/>
      <c r="CQ687" s="407" t="b">
        <f>OR(CQ682,Y687=EUconst_NA)</f>
        <v>0</v>
      </c>
    </row>
    <row r="688" spans="1:95" ht="12.75" customHeight="1" thickBot="1" x14ac:dyDescent="0.3">
      <c r="A688" s="307"/>
      <c r="B688" s="68"/>
      <c r="C688" s="199" t="s">
        <v>17</v>
      </c>
      <c r="D688" s="344" t="str">
        <f>Translations!$B$610</f>
        <v>sust. RFNBO/RCF:</v>
      </c>
      <c r="E688" s="441"/>
      <c r="F688" s="19" t="s">
        <v>158</v>
      </c>
      <c r="G688" s="1261"/>
      <c r="H688" s="1262"/>
      <c r="I688" s="442" t="str">
        <f t="shared" si="203"/>
        <v/>
      </c>
      <c r="J688" s="411"/>
      <c r="K688" s="443"/>
      <c r="L688" s="55"/>
      <c r="M688" s="347" t="str">
        <f>IF(AND(E677&lt;&gt;"",OR(F688="",COUNT(L688)=0),Y688&lt;&gt;EUconst_NA),EUconst_ERR_Incomplete,"")</f>
        <v/>
      </c>
      <c r="N688" s="76"/>
      <c r="O688" s="160"/>
      <c r="P688" s="348"/>
      <c r="Q688" s="413"/>
      <c r="R688" s="413"/>
      <c r="S688" s="314"/>
      <c r="T688" s="388" t="str">
        <f>EUconst_CNTR_RFNBOetcContent&amp;E677</f>
        <v>RNFBOC_</v>
      </c>
      <c r="U688" s="312"/>
      <c r="V688" s="312"/>
      <c r="W688" s="312"/>
      <c r="X688" s="312"/>
      <c r="Y688" s="380" t="str">
        <f>IF(E677="","",IF(OR(F688=EUconst_NA,W688=TRUE),EUconst_NA,INDEX(EUwideConstants!$P$164:$P$200,MATCH(T688,EUwideConstants!$S$164:$S$200,0))))</f>
        <v/>
      </c>
      <c r="Z688" s="314"/>
      <c r="AA688" s="314"/>
      <c r="AB688" s="314"/>
      <c r="AC688" s="397" t="b">
        <f>AND(AC684,Y688&lt;&gt;EUconst_NA)</f>
        <v>0</v>
      </c>
      <c r="AD688" s="314"/>
      <c r="AE688" s="415"/>
      <c r="AF688" s="416"/>
      <c r="AG688" s="417"/>
      <c r="AH688" s="418"/>
      <c r="AI688" s="418"/>
      <c r="AJ688" s="418"/>
      <c r="AK688" s="419"/>
      <c r="AL688" s="326"/>
      <c r="AM688" s="326"/>
      <c r="AN688" s="326"/>
      <c r="AO688" s="326"/>
      <c r="AP688" s="326"/>
      <c r="AQ688" s="444" t="s">
        <v>159</v>
      </c>
      <c r="AR688" s="415"/>
      <c r="AS688" s="445" t="str">
        <f t="shared" si="204"/>
        <v/>
      </c>
      <c r="AT688" s="446"/>
      <c r="AU688" s="447" t="str">
        <f t="shared" si="205"/>
        <v/>
      </c>
      <c r="AV688" s="397">
        <f>IF(L688&lt;&gt;0,L688,L688)</f>
        <v>0</v>
      </c>
      <c r="AW688" s="398" t="b">
        <f t="shared" si="198"/>
        <v>0</v>
      </c>
      <c r="AX688" s="448" t="b">
        <f t="shared" si="199"/>
        <v>0</v>
      </c>
      <c r="AY688" s="314"/>
      <c r="AZ688" s="449" t="b">
        <f t="shared" si="200"/>
        <v>0</v>
      </c>
      <c r="BA688" s="450" t="b">
        <f t="shared" si="201"/>
        <v>0</v>
      </c>
      <c r="BB688" s="314"/>
      <c r="BC688" s="398" t="b">
        <f t="shared" si="202"/>
        <v>0</v>
      </c>
      <c r="BD688" s="369" t="b">
        <f>OR(AV688&gt;100%,(AV688+AV689)&gt;100%)</f>
        <v>0</v>
      </c>
      <c r="BE688" s="314"/>
      <c r="BF688" s="451" t="s">
        <v>160</v>
      </c>
      <c r="BG688" s="452" t="str">
        <f>IF(COUNTIF(AO685:AO686,TRUE)=0,"",BH688*AV693)</f>
        <v/>
      </c>
      <c r="BH688" s="452" t="str">
        <f>IF(COUNTIF(AO685:AO686,TRUE)=0,"",AV682*IF(AO685,1,AV684*AN686)*AV685*AV690)</f>
        <v/>
      </c>
      <c r="BJ688" s="314"/>
      <c r="BK688" s="314"/>
      <c r="BL688" s="314"/>
      <c r="BM688" s="314"/>
      <c r="BN688" s="314"/>
      <c r="BO688" s="314"/>
      <c r="BP688" s="314"/>
      <c r="BQ688" s="314"/>
      <c r="BR688" s="314"/>
      <c r="BS688" s="314"/>
      <c r="BT688" s="314"/>
      <c r="BU688" s="314"/>
      <c r="BV688" s="314"/>
      <c r="BW688" s="314"/>
      <c r="BX688" s="314"/>
      <c r="BY688" s="314"/>
      <c r="BZ688" s="314"/>
      <c r="CA688" s="314"/>
      <c r="CB688" s="314"/>
      <c r="CC688" s="314"/>
      <c r="CD688" s="314"/>
      <c r="CE688" s="314"/>
      <c r="CF688" s="314"/>
      <c r="CG688" s="314"/>
      <c r="CH688" s="314"/>
      <c r="CI688" s="314"/>
      <c r="CJ688" s="314"/>
      <c r="CK688" s="314"/>
      <c r="CL688" s="314"/>
      <c r="CM688" s="314"/>
      <c r="CN688" s="314"/>
      <c r="CO688" s="314"/>
      <c r="CP688" s="314"/>
      <c r="CQ688" s="407" t="b">
        <f>OR(CQ682,Y688=EUconst_NA)</f>
        <v>0</v>
      </c>
    </row>
    <row r="689" spans="1:95" ht="12.75" customHeight="1" thickBot="1" x14ac:dyDescent="0.3">
      <c r="A689" s="307"/>
      <c r="B689" s="68"/>
      <c r="C689" s="199" t="s">
        <v>161</v>
      </c>
      <c r="D689" s="344" t="str">
        <f>Translations!$B$613</f>
        <v>non-sust. RFNBO/RCF:</v>
      </c>
      <c r="E689" s="441"/>
      <c r="F689" s="20" t="s">
        <v>158</v>
      </c>
      <c r="G689" s="1261"/>
      <c r="H689" s="1262"/>
      <c r="I689" s="422" t="str">
        <f t="shared" si="203"/>
        <v/>
      </c>
      <c r="J689" s="423"/>
      <c r="K689" s="443"/>
      <c r="L689" s="56"/>
      <c r="M689" s="347" t="str">
        <f>IF(AND(E677&lt;&gt;"",OR(F689="",COUNT(L689)=0),Y689&lt;&gt;EUconst_NA),EUconst_ERR_Incomplete,"")</f>
        <v/>
      </c>
      <c r="N689" s="76"/>
      <c r="O689" s="160"/>
      <c r="P689" s="348"/>
      <c r="Q689" s="413"/>
      <c r="R689" s="413"/>
      <c r="S689" s="314"/>
      <c r="T689" s="425" t="str">
        <f>EUconst_CNTR_RFNBOetcContent&amp;E677</f>
        <v>RNFBOC_</v>
      </c>
      <c r="U689" s="312"/>
      <c r="V689" s="312"/>
      <c r="W689" s="312"/>
      <c r="X689" s="312"/>
      <c r="Y689" s="438" t="str">
        <f>IF(E677="","",IF(OR(F689=EUconst_NA,W689=TRUE),EUconst_NA,INDEX(EUwideConstants!$P$164:$P$200,MATCH(T689,EUwideConstants!$S$164:$S$200,0))))</f>
        <v/>
      </c>
      <c r="Z689" s="314"/>
      <c r="AA689" s="314"/>
      <c r="AB689" s="314"/>
      <c r="AC689" s="429" t="b">
        <f>AND(AC684,Y689&lt;&gt;EUconst_NA)</f>
        <v>0</v>
      </c>
      <c r="AD689" s="314"/>
      <c r="AE689" s="430"/>
      <c r="AF689" s="431"/>
      <c r="AG689" s="432"/>
      <c r="AH689" s="433"/>
      <c r="AI689" s="433"/>
      <c r="AJ689" s="433"/>
      <c r="AK689" s="434"/>
      <c r="AL689" s="326"/>
      <c r="AM689" s="326"/>
      <c r="AN689" s="326"/>
      <c r="AO689" s="326"/>
      <c r="AP689" s="326"/>
      <c r="AQ689" s="435" t="s">
        <v>159</v>
      </c>
      <c r="AR689" s="430"/>
      <c r="AS689" s="436" t="str">
        <f t="shared" si="204"/>
        <v/>
      </c>
      <c r="AT689" s="437"/>
      <c r="AU689" s="438" t="str">
        <f t="shared" si="205"/>
        <v/>
      </c>
      <c r="AV689" s="429">
        <f t="shared" ref="AV689:AV691" si="206">IF(L689&lt;&gt;0,L689,L689)</f>
        <v>0</v>
      </c>
      <c r="AW689" s="407" t="b">
        <f t="shared" si="198"/>
        <v>0</v>
      </c>
      <c r="AX689" s="439" t="b">
        <f t="shared" si="199"/>
        <v>0</v>
      </c>
      <c r="AY689" s="314"/>
      <c r="AZ689" s="408" t="b">
        <f t="shared" si="200"/>
        <v>0</v>
      </c>
      <c r="BA689" s="440" t="b">
        <f t="shared" si="201"/>
        <v>0</v>
      </c>
      <c r="BB689" s="314"/>
      <c r="BC689" s="407" t="b">
        <f t="shared" si="202"/>
        <v>0</v>
      </c>
      <c r="BD689" s="407" t="b">
        <f>OR(AV688&gt;100%,(AV688+AV689)&gt;100%)</f>
        <v>0</v>
      </c>
      <c r="BE689" s="314"/>
      <c r="BF689" s="408" t="s">
        <v>162</v>
      </c>
      <c r="BG689" s="409" t="str">
        <f>IF(COUNTIF(AO685:AO686,TRUE)=0,"",BH689*AV693)</f>
        <v/>
      </c>
      <c r="BH689" s="409" t="str">
        <f>IF(COUNTIF(AO685:AO686,TRUE)=0,"",AV682*IF(AO685,1,AV684*AN686)*AV685*AV691)</f>
        <v/>
      </c>
      <c r="BJ689" s="314"/>
      <c r="BK689" s="314"/>
      <c r="BL689" s="314"/>
      <c r="BM689" s="314"/>
      <c r="BN689" s="314"/>
      <c r="BO689" s="314"/>
      <c r="BP689" s="314"/>
      <c r="BQ689" s="314"/>
      <c r="BR689" s="314"/>
      <c r="BS689" s="314"/>
      <c r="BT689" s="314"/>
      <c r="BU689" s="314"/>
      <c r="BV689" s="314"/>
      <c r="BW689" s="314"/>
      <c r="BX689" s="314"/>
      <c r="BY689" s="314"/>
      <c r="BZ689" s="314"/>
      <c r="CA689" s="314"/>
      <c r="CB689" s="314"/>
      <c r="CC689" s="314"/>
      <c r="CD689" s="314"/>
      <c r="CE689" s="314"/>
      <c r="CF689" s="314"/>
      <c r="CG689" s="314"/>
      <c r="CH689" s="314"/>
      <c r="CI689" s="314"/>
      <c r="CJ689" s="314"/>
      <c r="CK689" s="314"/>
      <c r="CL689" s="314"/>
      <c r="CM689" s="314"/>
      <c r="CN689" s="314"/>
      <c r="CO689" s="314"/>
      <c r="CP689" s="314"/>
      <c r="CQ689" s="407" t="b">
        <f>OR(CQ682,Y689=EUconst_NA)</f>
        <v>0</v>
      </c>
    </row>
    <row r="690" spans="1:95" ht="12.75" customHeight="1" thickBot="1" x14ac:dyDescent="0.3">
      <c r="A690" s="307"/>
      <c r="B690" s="68"/>
      <c r="C690" s="199" t="s">
        <v>163</v>
      </c>
      <c r="D690" s="344" t="str">
        <f>Translations!$B$615</f>
        <v>sust. SLCF:</v>
      </c>
      <c r="E690" s="441"/>
      <c r="F690" s="19" t="s">
        <v>158</v>
      </c>
      <c r="G690" s="1261"/>
      <c r="H690" s="1262"/>
      <c r="I690" s="442" t="str">
        <f t="shared" si="203"/>
        <v/>
      </c>
      <c r="J690" s="411"/>
      <c r="K690" s="443"/>
      <c r="L690" s="57"/>
      <c r="M690" s="347" t="str">
        <f>IF(AND(E677&lt;&gt;"",OR(F690="",COUNT(L690)=0),Y690&lt;&gt;EUconst_NA),EUconst_ERR_Incomplete,"")</f>
        <v/>
      </c>
      <c r="N690" s="76"/>
      <c r="O690" s="160"/>
      <c r="P690" s="348"/>
      <c r="Q690" s="413"/>
      <c r="R690" s="413"/>
      <c r="S690" s="314"/>
      <c r="T690" s="388" t="str">
        <f>EUconst_CNTR_RFNBOetcContent&amp;E677</f>
        <v>RNFBOC_</v>
      </c>
      <c r="U690" s="312"/>
      <c r="V690" s="312"/>
      <c r="W690" s="312"/>
      <c r="X690" s="312"/>
      <c r="Y690" s="447" t="str">
        <f>IF(E677="","",IF(OR(F690=EUconst_NA,W690=TRUE),EUconst_NA,INDEX(EUwideConstants!$P$164:$P$200,MATCH(T690,EUwideConstants!$S$164:$S$200,0))))</f>
        <v/>
      </c>
      <c r="Z690" s="314"/>
      <c r="AA690" s="314"/>
      <c r="AB690" s="314"/>
      <c r="AC690" s="397" t="b">
        <f>AND(AC686,Y690&lt;&gt;EUconst_NA)</f>
        <v>0</v>
      </c>
      <c r="AD690" s="314"/>
      <c r="AE690" s="415"/>
      <c r="AF690" s="416"/>
      <c r="AG690" s="417"/>
      <c r="AH690" s="418"/>
      <c r="AI690" s="418"/>
      <c r="AJ690" s="418"/>
      <c r="AK690" s="419"/>
      <c r="AL690" s="326"/>
      <c r="AM690" s="326"/>
      <c r="AN690" s="326"/>
      <c r="AO690" s="326"/>
      <c r="AP690" s="326"/>
      <c r="AQ690" s="444" t="s">
        <v>159</v>
      </c>
      <c r="AR690" s="415"/>
      <c r="AS690" s="445" t="str">
        <f t="shared" si="204"/>
        <v/>
      </c>
      <c r="AT690" s="446"/>
      <c r="AU690" s="447" t="str">
        <f t="shared" si="205"/>
        <v/>
      </c>
      <c r="AV690" s="397">
        <f t="shared" si="206"/>
        <v>0</v>
      </c>
      <c r="AW690" s="398" t="b">
        <f t="shared" si="198"/>
        <v>0</v>
      </c>
      <c r="AX690" s="448" t="b">
        <f t="shared" si="199"/>
        <v>0</v>
      </c>
      <c r="AY690" s="314"/>
      <c r="AZ690" s="449" t="b">
        <f t="shared" si="200"/>
        <v>0</v>
      </c>
      <c r="BA690" s="450" t="b">
        <f t="shared" si="201"/>
        <v>0</v>
      </c>
      <c r="BB690" s="314"/>
      <c r="BC690" s="398" t="b">
        <f t="shared" si="202"/>
        <v>0</v>
      </c>
      <c r="BD690" s="369" t="b">
        <f>OR(AV690&gt;100%,(AV690+AV691)&gt;100%)</f>
        <v>0</v>
      </c>
      <c r="BE690" s="314"/>
      <c r="BF690" s="451" t="s">
        <v>164</v>
      </c>
      <c r="BG690" s="452">
        <f>IF(AN682=EUconst_TJ,AV682*(1-AV686),IF(AN684=EUconst_GJ,AV682*AV684/1000,0))-SUM(BG691:BG697)</f>
        <v>0</v>
      </c>
      <c r="BH690" s="314"/>
      <c r="BI690" s="314"/>
      <c r="BJ690" s="314"/>
      <c r="BK690" s="314"/>
      <c r="BL690" s="314"/>
      <c r="BM690" s="314"/>
      <c r="BN690" s="314"/>
      <c r="BO690" s="314"/>
      <c r="BP690" s="314"/>
      <c r="BQ690" s="314"/>
      <c r="BR690" s="314"/>
      <c r="BS690" s="314"/>
      <c r="BT690" s="314"/>
      <c r="BU690" s="314"/>
      <c r="BV690" s="314"/>
      <c r="BW690" s="314"/>
      <c r="BX690" s="314"/>
      <c r="BY690" s="314"/>
      <c r="BZ690" s="314"/>
      <c r="CA690" s="314"/>
      <c r="CB690" s="314"/>
      <c r="CC690" s="314"/>
      <c r="CD690" s="314"/>
      <c r="CE690" s="314"/>
      <c r="CF690" s="314"/>
      <c r="CG690" s="314"/>
      <c r="CH690" s="314"/>
      <c r="CI690" s="314"/>
      <c r="CJ690" s="314"/>
      <c r="CK690" s="314"/>
      <c r="CL690" s="314"/>
      <c r="CM690" s="314"/>
      <c r="CN690" s="314"/>
      <c r="CO690" s="314"/>
      <c r="CP690" s="314"/>
      <c r="CQ690" s="407" t="b">
        <f>OR(CQ682,Y690=EUconst_NA)</f>
        <v>0</v>
      </c>
    </row>
    <row r="691" spans="1:95" ht="12.75" customHeight="1" thickBot="1" x14ac:dyDescent="0.3">
      <c r="A691" s="307"/>
      <c r="B691" s="68"/>
      <c r="C691" s="199" t="s">
        <v>165</v>
      </c>
      <c r="D691" s="344" t="str">
        <f>Translations!$B$618</f>
        <v>non-sust. SLCF:</v>
      </c>
      <c r="E691" s="441"/>
      <c r="F691" s="20" t="s">
        <v>158</v>
      </c>
      <c r="G691" s="1261"/>
      <c r="H691" s="1262"/>
      <c r="I691" s="422" t="str">
        <f t="shared" si="203"/>
        <v/>
      </c>
      <c r="J691" s="423"/>
      <c r="K691" s="443"/>
      <c r="L691" s="56"/>
      <c r="M691" s="347" t="str">
        <f>IF(AND(E677&lt;&gt;"",OR(F691="",COUNT(L691)=0),Y691&lt;&gt;EUconst_NA),EUconst_ERR_Incomplete,"")</f>
        <v/>
      </c>
      <c r="N691" s="76"/>
      <c r="O691" s="160"/>
      <c r="P691" s="348"/>
      <c r="Q691" s="413"/>
      <c r="R691" s="413"/>
      <c r="S691" s="314"/>
      <c r="T691" s="425" t="str">
        <f>EUconst_CNTR_RFNBOetcContent&amp;E677</f>
        <v>RNFBOC_</v>
      </c>
      <c r="U691" s="312"/>
      <c r="V691" s="312"/>
      <c r="W691" s="312"/>
      <c r="X691" s="312"/>
      <c r="Y691" s="438" t="str">
        <f>IF(E677="","",IF(OR(F691=EUconst_NA,W691=TRUE),EUconst_NA,INDEX(EUwideConstants!$P$164:$P$200,MATCH(T691,EUwideConstants!$S$164:$S$200,0))))</f>
        <v/>
      </c>
      <c r="Z691" s="314"/>
      <c r="AA691" s="314"/>
      <c r="AB691" s="314"/>
      <c r="AC691" s="429" t="b">
        <f>AND(AC686,Y691&lt;&gt;EUconst_NA)</f>
        <v>0</v>
      </c>
      <c r="AD691" s="314"/>
      <c r="AE691" s="430"/>
      <c r="AF691" s="431"/>
      <c r="AG691" s="432"/>
      <c r="AH691" s="433"/>
      <c r="AI691" s="433"/>
      <c r="AJ691" s="433"/>
      <c r="AK691" s="434"/>
      <c r="AL691" s="326"/>
      <c r="AM691" s="326"/>
      <c r="AN691" s="326"/>
      <c r="AO691" s="326"/>
      <c r="AP691" s="326"/>
      <c r="AQ691" s="435" t="s">
        <v>159</v>
      </c>
      <c r="AR691" s="430"/>
      <c r="AS691" s="436" t="str">
        <f t="shared" si="204"/>
        <v/>
      </c>
      <c r="AT691" s="437"/>
      <c r="AU691" s="438" t="str">
        <f t="shared" si="205"/>
        <v/>
      </c>
      <c r="AV691" s="429">
        <f t="shared" si="206"/>
        <v>0</v>
      </c>
      <c r="AW691" s="407" t="b">
        <f t="shared" si="198"/>
        <v>0</v>
      </c>
      <c r="AX691" s="439" t="b">
        <f t="shared" si="199"/>
        <v>0</v>
      </c>
      <c r="AY691" s="314"/>
      <c r="AZ691" s="408" t="b">
        <f t="shared" si="200"/>
        <v>0</v>
      </c>
      <c r="BA691" s="440" t="b">
        <f t="shared" si="201"/>
        <v>0</v>
      </c>
      <c r="BB691" s="314"/>
      <c r="BC691" s="407" t="b">
        <f t="shared" si="202"/>
        <v>0</v>
      </c>
      <c r="BD691" s="407" t="b">
        <f>OR(AV690&gt;100%,(AV690+AV691)&gt;100%)</f>
        <v>0</v>
      </c>
      <c r="BE691" s="314"/>
      <c r="BF691" s="408" t="s">
        <v>166</v>
      </c>
      <c r="BG691" s="409" t="str">
        <f>IF(AN682=EUconst_TJ,AV682*AV686,IF(AN684=EUconst_GJ,AV682*AV684/1000*AV686,""))</f>
        <v/>
      </c>
      <c r="BH691" s="314"/>
      <c r="BI691" s="314"/>
      <c r="BJ691" s="314"/>
      <c r="BK691" s="314"/>
      <c r="BL691" s="314"/>
      <c r="BM691" s="314"/>
      <c r="BN691" s="314"/>
      <c r="BO691" s="314"/>
      <c r="BP691" s="314"/>
      <c r="BQ691" s="314"/>
      <c r="BR691" s="314"/>
      <c r="BS691" s="314"/>
      <c r="BT691" s="314"/>
      <c r="BU691" s="314"/>
      <c r="BV691" s="314"/>
      <c r="BW691" s="314"/>
      <c r="BX691" s="314"/>
      <c r="BY691" s="314"/>
      <c r="BZ691" s="314"/>
      <c r="CA691" s="314"/>
      <c r="CB691" s="314"/>
      <c r="CC691" s="314"/>
      <c r="CD691" s="314"/>
      <c r="CE691" s="314"/>
      <c r="CF691" s="314"/>
      <c r="CG691" s="314"/>
      <c r="CH691" s="314"/>
      <c r="CI691" s="314"/>
      <c r="CJ691" s="314"/>
      <c r="CK691" s="314"/>
      <c r="CL691" s="314"/>
      <c r="CM691" s="314"/>
      <c r="CN691" s="314"/>
      <c r="CO691" s="314"/>
      <c r="CP691" s="314"/>
      <c r="CQ691" s="407" t="b">
        <f>OR(CQ682,Y691=EUconst_NA)</f>
        <v>0</v>
      </c>
    </row>
    <row r="692" spans="1:95" ht="5.15" customHeight="1" thickBot="1" x14ac:dyDescent="0.3">
      <c r="A692" s="307"/>
      <c r="B692" s="68"/>
      <c r="C692" s="68"/>
      <c r="D692" s="205"/>
      <c r="E692" s="76"/>
      <c r="F692" s="76"/>
      <c r="G692" s="76"/>
      <c r="H692" s="76"/>
      <c r="I692" s="76"/>
      <c r="J692" s="76"/>
      <c r="K692" s="76"/>
      <c r="L692" s="76"/>
      <c r="M692" s="453"/>
      <c r="N692" s="76"/>
      <c r="O692" s="160"/>
      <c r="P692" s="109"/>
      <c r="Q692" s="312"/>
      <c r="R692" s="312"/>
      <c r="S692" s="314"/>
      <c r="T692" s="314"/>
      <c r="U692" s="314"/>
      <c r="V692" s="314"/>
      <c r="W692" s="314"/>
      <c r="X692" s="314"/>
      <c r="Y692" s="314"/>
      <c r="Z692" s="314"/>
      <c r="AA692" s="314"/>
      <c r="AB692" s="314"/>
      <c r="AC692" s="314"/>
      <c r="AD692" s="314"/>
      <c r="AE692" s="314"/>
      <c r="AF692" s="314"/>
      <c r="AG692" s="314"/>
      <c r="AH692" s="314"/>
      <c r="AI692" s="314"/>
      <c r="AJ692" s="314"/>
      <c r="AK692" s="314"/>
      <c r="AL692" s="314"/>
      <c r="AM692" s="314"/>
      <c r="AN692" s="314"/>
      <c r="AO692" s="314"/>
      <c r="AP692" s="314"/>
      <c r="AQ692" s="314"/>
      <c r="AR692" s="314"/>
      <c r="AS692" s="314"/>
      <c r="AT692" s="314"/>
      <c r="AU692" s="314"/>
      <c r="AV692" s="314"/>
      <c r="AW692" s="314"/>
      <c r="AX692" s="314"/>
      <c r="AY692" s="314"/>
      <c r="AZ692" s="314"/>
      <c r="BA692" s="314"/>
      <c r="BB692" s="314"/>
      <c r="BC692" s="314"/>
      <c r="BD692" s="314"/>
      <c r="BE692" s="314"/>
      <c r="BF692" s="314"/>
      <c r="BG692" s="364"/>
      <c r="BH692" s="314"/>
      <c r="BI692" s="314"/>
      <c r="BJ692" s="314"/>
      <c r="BK692" s="314"/>
      <c r="BL692" s="314"/>
      <c r="BM692" s="314"/>
      <c r="BN692" s="314"/>
      <c r="BO692" s="314"/>
      <c r="BP692" s="314"/>
      <c r="BQ692" s="314"/>
      <c r="BR692" s="314"/>
      <c r="BS692" s="314"/>
      <c r="BT692" s="314"/>
      <c r="BU692" s="314"/>
      <c r="BV692" s="314"/>
      <c r="BW692" s="314"/>
      <c r="BX692" s="314"/>
      <c r="BY692" s="314"/>
      <c r="BZ692" s="314"/>
      <c r="CA692" s="314"/>
      <c r="CB692" s="314"/>
      <c r="CC692" s="314"/>
      <c r="CD692" s="314"/>
      <c r="CE692" s="314"/>
      <c r="CF692" s="314"/>
      <c r="CG692" s="314"/>
      <c r="CH692" s="314"/>
      <c r="CI692" s="314"/>
      <c r="CJ692" s="314"/>
      <c r="CK692" s="314"/>
      <c r="CL692" s="314"/>
      <c r="CM692" s="314"/>
      <c r="CN692" s="314"/>
      <c r="CO692" s="314"/>
      <c r="CP692" s="314"/>
      <c r="CQ692" s="314"/>
    </row>
    <row r="693" spans="1:95" ht="12.75" customHeight="1" thickBot="1" x14ac:dyDescent="0.3">
      <c r="A693" s="307"/>
      <c r="B693" s="68"/>
      <c r="C693" s="199" t="s">
        <v>167</v>
      </c>
      <c r="D693" s="344" t="str">
        <f>Translations!$B$398</f>
        <v>Scope factor:</v>
      </c>
      <c r="E693" s="454"/>
      <c r="F693" s="992"/>
      <c r="G693" s="1263"/>
      <c r="H693" s="1264"/>
      <c r="I693" s="455" t="s">
        <v>46</v>
      </c>
      <c r="J693" s="456"/>
      <c r="K693" s="457" t="str">
        <f>IF(L693="",AU693,"")</f>
        <v/>
      </c>
      <c r="L693" s="16"/>
      <c r="M693" s="458" t="str">
        <f>IF(AND(E677&lt;&gt;"",OR(F693="",G693="",COUNT(K693:L693)=0)),EUconst_ERR_Incomplete,IF(COUNTIF(BB693:BD693,TRUE)&gt;0,EUconst_ERR_Inconsistent,""))</f>
        <v/>
      </c>
      <c r="N693" s="76"/>
      <c r="O693" s="160"/>
      <c r="P693" s="109"/>
      <c r="Q693" s="312"/>
      <c r="R693" s="314"/>
      <c r="S693" s="297"/>
      <c r="T693" s="459" t="str">
        <f>EUconst_CNTR_ScopeFactor&amp;E677</f>
        <v>ScopeFactor_</v>
      </c>
      <c r="U693" s="231" t="str">
        <f>IF(F693="","",INDEX(ScopeAddress,MATCH(F693,ScopeTiers,0)))</f>
        <v/>
      </c>
      <c r="V693" s="360" t="str">
        <f>V682</f>
        <v/>
      </c>
      <c r="W693" s="314"/>
      <c r="X693" s="314"/>
      <c r="Y693" s="460" t="str">
        <f>IF(E677="","",IF(F693=EUconst_NA,EUconst_NA,INDEX(EUwideConstants!$P$164:$P$200,MATCH(T693,EUwideConstants!$S$164:$S$200,0))))</f>
        <v/>
      </c>
      <c r="Z693" s="461" t="str">
        <f>IF(ISBLANK(F693),"",IF(F693=EUconst_NA,"",INDEX(EUwideConstants!$H:$O,MATCH(T693,EUwideConstants!$S:$S,0),MATCH(F693,CNTR_TierList,0))))</f>
        <v/>
      </c>
      <c r="AA693" s="331" t="str">
        <f>IF(G693=EUwideConstants!$A$89,1,"")</f>
        <v/>
      </c>
      <c r="AB693" s="314"/>
      <c r="AC693" s="331" t="b">
        <f>AND(AC682,Y693&lt;&gt;EUconst_NA)</f>
        <v>0</v>
      </c>
      <c r="AD693" s="314"/>
      <c r="AE693" s="314"/>
      <c r="AF693" s="314"/>
      <c r="AG693" s="319"/>
      <c r="AH693" s="314"/>
      <c r="AI693" s="314"/>
      <c r="AJ693" s="314"/>
      <c r="AK693" s="314"/>
      <c r="AL693" s="314"/>
      <c r="AM693" s="314"/>
      <c r="AN693" s="314"/>
      <c r="AO693" s="314"/>
      <c r="AP693" s="314"/>
      <c r="AQ693" s="314"/>
      <c r="AR693" s="314"/>
      <c r="AS693" s="328">
        <v>1</v>
      </c>
      <c r="AT693" s="314"/>
      <c r="AU693" s="319" t="str">
        <f>IF(G693=EUwideConstants!$A$89,AS693,"")</f>
        <v/>
      </c>
      <c r="AV693" s="331">
        <f>IF(AC693=TRUE,IF(COUNT(K693:L693)=0,0,IF(L693="",K693,L693)),0)</f>
        <v>0</v>
      </c>
      <c r="AW693" s="360" t="b">
        <f>AND(AC693=TRUE,OR(AND(F693&lt;&gt;"",NOT(ISNUMBER(AA693))),L693&lt;&gt;"",F693="",AU693=""))</f>
        <v>0</v>
      </c>
      <c r="AX693" s="357" t="b">
        <f>AND(AC693=TRUE,NOT(AW693))</f>
        <v>0</v>
      </c>
      <c r="AY693" s="314"/>
      <c r="AZ693" s="361" t="b">
        <f>AND(ISNUMBER(AA693),AU693="")</f>
        <v>0</v>
      </c>
      <c r="BA693" s="351" t="b">
        <f>AND(ISNUMBER(AA693),AU693&lt;&gt;AV693)</f>
        <v>0</v>
      </c>
      <c r="BB693" s="314"/>
      <c r="BC693" s="360" t="b">
        <f>AND(F693&lt;&gt;"",OR(COUNTIF(INDEX(ScopeMethods,F693,),G693)=0,AND(AA693&lt;&gt;"",AU693&lt;&gt;AV693)))</f>
        <v>0</v>
      </c>
      <c r="BD693" s="314"/>
      <c r="BE693" s="314"/>
      <c r="BF693" s="361" t="s">
        <v>168</v>
      </c>
      <c r="BG693" s="362" t="str">
        <f>IF(AN682=EUconst_TJ,AV682*AV688,IF(AN684=EUconst_GJ,AV682*AV684/1000*AV688,""))</f>
        <v/>
      </c>
      <c r="BH693" s="314"/>
      <c r="BI693" s="314"/>
      <c r="BJ693" s="314"/>
      <c r="BK693" s="314"/>
      <c r="BL693" s="314"/>
      <c r="BM693" s="314"/>
      <c r="BN693" s="314"/>
      <c r="BO693" s="314"/>
      <c r="BP693" s="314"/>
      <c r="BQ693" s="314"/>
      <c r="BR693" s="314"/>
      <c r="BS693" s="314"/>
      <c r="BT693" s="314"/>
      <c r="BU693" s="314"/>
      <c r="BV693" s="314"/>
      <c r="BW693" s="314"/>
      <c r="BX693" s="314"/>
      <c r="BY693" s="314"/>
      <c r="BZ693" s="314"/>
      <c r="CA693" s="314"/>
      <c r="CB693" s="314"/>
      <c r="CC693" s="314"/>
      <c r="CD693" s="314"/>
      <c r="CE693" s="314"/>
      <c r="CF693" s="314"/>
      <c r="CG693" s="314"/>
      <c r="CH693" s="314"/>
      <c r="CI693" s="314"/>
      <c r="CJ693" s="314"/>
      <c r="CK693" s="314"/>
      <c r="CL693" s="314"/>
      <c r="CM693" s="314"/>
      <c r="CN693" s="314"/>
      <c r="CO693" s="314"/>
      <c r="CP693" s="314"/>
      <c r="CQ693" s="314"/>
    </row>
    <row r="694" spans="1:95" ht="12.75" customHeight="1" x14ac:dyDescent="0.25">
      <c r="A694" s="307"/>
      <c r="B694" s="68"/>
      <c r="C694" s="68"/>
      <c r="D694" s="68"/>
      <c r="E694" s="68"/>
      <c r="F694" s="68"/>
      <c r="G694" s="1265" t="str">
        <f>IF(G693="","",INDEX(ScopeMethodsDetails,MATCH(G693,INDEX(ScopeMethodsDetails,,1),0),2))</f>
        <v/>
      </c>
      <c r="H694" s="1266"/>
      <c r="I694" s="1266"/>
      <c r="J694" s="1266"/>
      <c r="K694" s="1266"/>
      <c r="L694" s="1266"/>
      <c r="M694" s="1267"/>
      <c r="N694" s="76"/>
      <c r="O694" s="160"/>
      <c r="P694" s="109"/>
      <c r="Q694" s="312"/>
      <c r="R694" s="312"/>
      <c r="S694" s="314"/>
      <c r="T694" s="314"/>
      <c r="U694" s="314"/>
      <c r="V694" s="314"/>
      <c r="W694" s="314"/>
      <c r="X694" s="314"/>
      <c r="Y694" s="314"/>
      <c r="Z694" s="314"/>
      <c r="AA694" s="314"/>
      <c r="AB694" s="314"/>
      <c r="AC694" s="314"/>
      <c r="AD694" s="314"/>
      <c r="AE694" s="314"/>
      <c r="AF694" s="314"/>
      <c r="AG694" s="314"/>
      <c r="AH694" s="314"/>
      <c r="AI694" s="314"/>
      <c r="AJ694" s="314"/>
      <c r="AK694" s="314"/>
      <c r="AL694" s="314"/>
      <c r="AM694" s="314"/>
      <c r="AN694" s="314"/>
      <c r="AO694" s="314"/>
      <c r="AP694" s="314"/>
      <c r="AQ694" s="314"/>
      <c r="AR694" s="314"/>
      <c r="AS694" s="314"/>
      <c r="AT694" s="314"/>
      <c r="AU694" s="314"/>
      <c r="AV694" s="314"/>
      <c r="AW694" s="314"/>
      <c r="AX694" s="314"/>
      <c r="AY694" s="314"/>
      <c r="AZ694" s="314"/>
      <c r="BA694" s="314"/>
      <c r="BB694" s="314"/>
      <c r="BC694" s="314"/>
      <c r="BD694" s="314"/>
      <c r="BE694" s="314"/>
      <c r="BG694" s="364"/>
      <c r="BH694" s="314"/>
      <c r="BI694" s="314"/>
      <c r="BJ694" s="314"/>
      <c r="BK694" s="314"/>
      <c r="BL694" s="314"/>
      <c r="BM694" s="314"/>
      <c r="BN694" s="314"/>
      <c r="BO694" s="314"/>
      <c r="BP694" s="314"/>
      <c r="BQ694" s="314"/>
      <c r="BR694" s="314"/>
      <c r="BS694" s="314"/>
      <c r="BT694" s="314"/>
      <c r="BU694" s="314"/>
      <c r="BV694" s="314"/>
      <c r="BW694" s="314"/>
      <c r="BX694" s="314"/>
      <c r="BY694" s="314"/>
      <c r="BZ694" s="314"/>
      <c r="CA694" s="314"/>
      <c r="CB694" s="314"/>
      <c r="CC694" s="314"/>
      <c r="CD694" s="314"/>
      <c r="CE694" s="314"/>
      <c r="CF694" s="314"/>
      <c r="CG694" s="314"/>
      <c r="CH694" s="314"/>
      <c r="CI694" s="314"/>
      <c r="CJ694" s="314"/>
      <c r="CK694" s="314"/>
      <c r="CL694" s="314"/>
      <c r="CM694" s="314"/>
      <c r="CN694" s="314"/>
      <c r="CO694" s="314"/>
      <c r="CP694" s="314"/>
      <c r="CQ694" s="314"/>
    </row>
    <row r="695" spans="1:95" ht="5.15" customHeight="1" x14ac:dyDescent="0.25">
      <c r="A695" s="307"/>
      <c r="C695" s="76"/>
      <c r="D695" s="76"/>
      <c r="E695" s="76"/>
      <c r="F695" s="76"/>
      <c r="G695" s="76"/>
      <c r="H695" s="76"/>
      <c r="I695" s="76"/>
      <c r="J695" s="76"/>
      <c r="K695" s="76"/>
      <c r="L695" s="76"/>
      <c r="O695" s="160"/>
      <c r="P695" s="109"/>
      <c r="Q695" s="312"/>
      <c r="R695" s="312"/>
      <c r="S695" s="314"/>
      <c r="T695" s="314"/>
      <c r="U695" s="314"/>
      <c r="V695" s="314"/>
      <c r="W695" s="314"/>
      <c r="X695" s="314"/>
      <c r="Y695" s="314"/>
      <c r="Z695" s="314"/>
      <c r="AA695" s="314"/>
      <c r="AB695" s="314"/>
      <c r="AC695" s="314"/>
      <c r="AD695" s="314"/>
      <c r="AE695" s="314"/>
      <c r="AF695" s="314"/>
      <c r="AG695" s="314"/>
      <c r="AH695" s="314"/>
      <c r="AI695" s="314"/>
      <c r="AJ695" s="314"/>
      <c r="AK695" s="314"/>
      <c r="AL695" s="314"/>
      <c r="AM695" s="314"/>
      <c r="AN695" s="314"/>
      <c r="AO695" s="314"/>
      <c r="AP695" s="314"/>
      <c r="AQ695" s="314"/>
      <c r="AR695" s="314"/>
      <c r="AS695" s="314"/>
      <c r="AT695" s="314"/>
      <c r="AU695" s="314"/>
      <c r="AV695" s="314"/>
      <c r="AW695" s="314"/>
      <c r="AX695" s="314"/>
      <c r="AY695" s="314"/>
      <c r="AZ695" s="314"/>
      <c r="BA695" s="314"/>
      <c r="BB695" s="314"/>
      <c r="BC695" s="314"/>
      <c r="BD695" s="314"/>
      <c r="BE695" s="314"/>
      <c r="BG695" s="364"/>
      <c r="BH695" s="314"/>
      <c r="BI695" s="314"/>
      <c r="BJ695" s="314"/>
      <c r="BK695" s="314"/>
      <c r="BL695" s="314"/>
      <c r="BM695" s="314"/>
      <c r="BN695" s="314"/>
      <c r="BO695" s="314"/>
      <c r="BP695" s="314"/>
      <c r="BQ695" s="314"/>
      <c r="BR695" s="314"/>
      <c r="BS695" s="314"/>
      <c r="BT695" s="314"/>
      <c r="BU695" s="314"/>
      <c r="BV695" s="314"/>
      <c r="BW695" s="314"/>
      <c r="BX695" s="314"/>
      <c r="BY695" s="314"/>
      <c r="BZ695" s="314"/>
      <c r="CA695" s="314"/>
      <c r="CB695" s="314"/>
      <c r="CC695" s="314"/>
      <c r="CD695" s="314"/>
      <c r="CE695" s="314"/>
      <c r="CF695" s="314"/>
      <c r="CG695" s="314"/>
      <c r="CH695" s="314"/>
      <c r="CI695" s="314"/>
      <c r="CJ695" s="314"/>
      <c r="CK695" s="314"/>
      <c r="CL695" s="314"/>
      <c r="CM695" s="314"/>
      <c r="CN695" s="314"/>
      <c r="CO695" s="314"/>
      <c r="CP695" s="314"/>
      <c r="CQ695" s="314"/>
    </row>
    <row r="696" spans="1:95" ht="12.75" customHeight="1" thickBot="1" x14ac:dyDescent="0.3">
      <c r="A696" s="307"/>
      <c r="C696" s="76"/>
      <c r="D696" s="76"/>
      <c r="E696" s="76"/>
      <c r="F696" s="76"/>
      <c r="G696" s="1268">
        <v>1</v>
      </c>
      <c r="H696" s="1268"/>
      <c r="I696" s="1268">
        <v>2</v>
      </c>
      <c r="J696" s="1268"/>
      <c r="K696" s="1268">
        <v>3</v>
      </c>
      <c r="L696" s="1268"/>
      <c r="O696" s="160"/>
      <c r="P696" s="109"/>
      <c r="Q696" s="312"/>
      <c r="R696" s="312"/>
      <c r="S696" s="314"/>
      <c r="T696" s="314"/>
      <c r="U696" s="314"/>
      <c r="V696" s="314"/>
      <c r="W696" s="314"/>
      <c r="X696" s="314"/>
      <c r="Y696" s="314"/>
      <c r="Z696" s="314"/>
      <c r="AA696" s="314"/>
      <c r="AB696" s="314"/>
      <c r="AC696" s="314"/>
      <c r="AD696" s="314"/>
      <c r="AE696" s="314"/>
      <c r="AF696" s="314"/>
      <c r="AG696" s="314"/>
      <c r="AH696" s="314"/>
      <c r="AI696" s="314"/>
      <c r="AJ696" s="314"/>
      <c r="AK696" s="314"/>
      <c r="AL696" s="314"/>
      <c r="AM696" s="314"/>
      <c r="AN696" s="314"/>
      <c r="AO696" s="314"/>
      <c r="AP696" s="314"/>
      <c r="AQ696" s="314"/>
      <c r="AR696" s="314"/>
      <c r="AS696" s="314"/>
      <c r="AT696" s="314"/>
      <c r="AU696" s="314"/>
      <c r="AV696" s="314"/>
      <c r="AW696" s="314"/>
      <c r="AX696" s="314"/>
      <c r="AY696" s="314"/>
      <c r="AZ696" s="314"/>
      <c r="BA696" s="314"/>
      <c r="BB696" s="314"/>
      <c r="BC696" s="314"/>
      <c r="BD696" s="314"/>
      <c r="BE696" s="314"/>
      <c r="BF696" s="314"/>
      <c r="BG696" s="364"/>
      <c r="BH696" s="314"/>
      <c r="BI696" s="314"/>
      <c r="BJ696" s="314"/>
      <c r="BK696" s="314"/>
      <c r="BL696" s="314"/>
      <c r="BM696" s="314"/>
      <c r="BN696" s="314"/>
      <c r="BO696" s="314"/>
      <c r="BP696" s="314"/>
      <c r="BQ696" s="314"/>
      <c r="BR696" s="314"/>
      <c r="BS696" s="314"/>
      <c r="BT696" s="314"/>
      <c r="BU696" s="314"/>
      <c r="BV696" s="314"/>
      <c r="BW696" s="314"/>
      <c r="BX696" s="314"/>
      <c r="BY696" s="314"/>
      <c r="BZ696" s="314"/>
      <c r="CA696" s="314"/>
      <c r="CB696" s="314"/>
      <c r="CC696" s="314"/>
      <c r="CD696" s="314"/>
      <c r="CE696" s="314"/>
      <c r="CF696" s="314"/>
      <c r="CG696" s="314"/>
      <c r="CH696" s="314"/>
      <c r="CI696" s="314"/>
      <c r="CJ696" s="314"/>
      <c r="CK696" s="314"/>
      <c r="CL696" s="314"/>
      <c r="CM696" s="314"/>
      <c r="CN696" s="314"/>
      <c r="CO696" s="314"/>
      <c r="CP696" s="314"/>
      <c r="CQ696" s="314"/>
    </row>
    <row r="697" spans="1:95" ht="12.75" customHeight="1" thickBot="1" x14ac:dyDescent="0.3">
      <c r="A697" s="462"/>
      <c r="B697" s="76"/>
      <c r="C697" s="76"/>
      <c r="D697" s="1246" t="str">
        <f>Translations!$B$372</f>
        <v>Consumers' CRF category:</v>
      </c>
      <c r="E697" s="1246"/>
      <c r="F697" s="1247"/>
      <c r="G697" s="1248"/>
      <c r="H697" s="1249"/>
      <c r="I697" s="1248"/>
      <c r="J697" s="1249"/>
      <c r="K697" s="1248"/>
      <c r="L697" s="1249"/>
      <c r="M697" s="463" t="str">
        <f>IF(AND(E676&lt;&gt;"",COUNTA(G697:L697)=0,AX697=FALSE),EUconst_ERR_Incomplete,"")</f>
        <v/>
      </c>
      <c r="N697" s="76"/>
      <c r="O697" s="160"/>
      <c r="P697" s="109"/>
      <c r="Q697" s="312"/>
      <c r="R697" s="312"/>
      <c r="S697" s="314"/>
      <c r="T697" s="314"/>
      <c r="U697" s="314"/>
      <c r="V697" s="314"/>
      <c r="W697" s="314"/>
      <c r="X697" s="314"/>
      <c r="Y697" s="314"/>
      <c r="Z697" s="314"/>
      <c r="AA697" s="314"/>
      <c r="AB697" s="314"/>
      <c r="AC697" s="314"/>
      <c r="AD697" s="314"/>
      <c r="AE697" s="314"/>
      <c r="AF697" s="314"/>
      <c r="AG697" s="314"/>
      <c r="AH697" s="314"/>
      <c r="AI697" s="314"/>
      <c r="AJ697" s="314"/>
      <c r="AK697" s="314"/>
      <c r="AL697" s="314"/>
      <c r="AM697" s="314"/>
      <c r="AN697" s="314"/>
      <c r="AO697" s="314"/>
      <c r="AP697" s="314"/>
      <c r="AQ697" s="314"/>
      <c r="AR697" s="314"/>
      <c r="AS697" s="314"/>
      <c r="AT697" s="314"/>
      <c r="AU697" s="314"/>
      <c r="AV697" s="314"/>
      <c r="AW697" s="314"/>
      <c r="AX697" s="464" t="b">
        <f>AND(AV693&lt;&gt;"",SUM(AV693=1))</f>
        <v>0</v>
      </c>
      <c r="AY697" s="314"/>
      <c r="AZ697" s="314"/>
      <c r="BA697" s="314"/>
      <c r="BB697" s="314"/>
      <c r="BC697" s="314"/>
      <c r="BD697" s="314"/>
      <c r="BE697" s="314"/>
      <c r="BF697" s="361" t="s">
        <v>169</v>
      </c>
      <c r="BG697" s="362" t="str">
        <f>IF(AN682=EUconst_TJ,AV682*AV690,IF(AN684=EUconst_GJ,AV682*AV684/1000*AV690,""))</f>
        <v/>
      </c>
      <c r="BH697" s="314"/>
      <c r="BI697" s="314"/>
      <c r="BJ697" s="314"/>
      <c r="BK697" s="314"/>
      <c r="BL697" s="314"/>
      <c r="BM697" s="314"/>
      <c r="BN697" s="314"/>
      <c r="BO697" s="314"/>
      <c r="BP697" s="314"/>
      <c r="BQ697" s="314"/>
      <c r="BR697" s="314"/>
      <c r="BS697" s="314"/>
      <c r="BT697" s="314"/>
      <c r="BU697" s="314"/>
      <c r="BV697" s="314"/>
      <c r="BW697" s="314"/>
      <c r="BX697" s="314"/>
      <c r="BY697" s="314"/>
      <c r="BZ697" s="314"/>
      <c r="CA697" s="314"/>
      <c r="CB697" s="314"/>
      <c r="CC697" s="314"/>
      <c r="CD697" s="314"/>
      <c r="CE697" s="314"/>
      <c r="CF697" s="314"/>
      <c r="CG697" s="314"/>
      <c r="CH697" s="314"/>
      <c r="CI697" s="314"/>
      <c r="CJ697" s="314"/>
      <c r="CK697" s="314"/>
      <c r="CL697" s="314"/>
      <c r="CM697" s="314"/>
      <c r="CN697" s="314"/>
      <c r="CO697" s="314"/>
      <c r="CP697" s="314"/>
      <c r="CQ697" s="314"/>
    </row>
    <row r="698" spans="1:95" ht="5.15" customHeight="1" x14ac:dyDescent="0.25">
      <c r="A698" s="307"/>
      <c r="B698" s="68"/>
      <c r="C698" s="68"/>
      <c r="D698" s="68"/>
      <c r="E698" s="68"/>
      <c r="F698" s="68"/>
      <c r="G698" s="76"/>
      <c r="H698" s="76"/>
      <c r="I698" s="76"/>
      <c r="J698" s="76"/>
      <c r="K698" s="76"/>
      <c r="L698" s="76"/>
      <c r="M698" s="76"/>
      <c r="N698" s="76"/>
      <c r="O698" s="160"/>
      <c r="P698" s="109"/>
      <c r="Q698" s="312"/>
      <c r="R698" s="312"/>
      <c r="S698" s="314"/>
      <c r="T698" s="314"/>
      <c r="U698" s="314"/>
      <c r="V698" s="314"/>
      <c r="W698" s="314"/>
      <c r="X698" s="314"/>
      <c r="Y698" s="314"/>
      <c r="Z698" s="314"/>
      <c r="AA698" s="314"/>
      <c r="AB698" s="314"/>
      <c r="AC698" s="314"/>
      <c r="AD698" s="314"/>
      <c r="AE698" s="314"/>
      <c r="AF698" s="314"/>
      <c r="AG698" s="314"/>
      <c r="AH698" s="314"/>
      <c r="AI698" s="314"/>
      <c r="AJ698" s="314"/>
      <c r="AK698" s="314"/>
      <c r="AL698" s="314"/>
      <c r="AM698" s="314"/>
      <c r="AN698" s="314"/>
      <c r="AO698" s="314"/>
      <c r="AP698" s="314"/>
      <c r="AQ698" s="314"/>
      <c r="AR698" s="314"/>
      <c r="AS698" s="314"/>
      <c r="AT698" s="314"/>
      <c r="AU698" s="314"/>
      <c r="AV698" s="314"/>
      <c r="AW698" s="314"/>
      <c r="AX698" s="314"/>
      <c r="AY698" s="314"/>
      <c r="AZ698" s="314"/>
      <c r="BA698" s="314"/>
      <c r="BB698" s="314"/>
      <c r="BC698" s="314"/>
      <c r="BD698" s="314"/>
      <c r="BE698" s="314"/>
      <c r="BF698" s="314"/>
      <c r="BG698" s="314"/>
      <c r="BH698" s="314"/>
      <c r="BI698" s="314"/>
      <c r="BJ698" s="314"/>
      <c r="BK698" s="314"/>
      <c r="BL698" s="314"/>
      <c r="BM698" s="314"/>
      <c r="BN698" s="314"/>
      <c r="BO698" s="314"/>
      <c r="BP698" s="314"/>
      <c r="BQ698" s="314"/>
      <c r="BR698" s="314"/>
      <c r="BS698" s="314"/>
      <c r="BT698" s="314"/>
      <c r="BU698" s="314"/>
      <c r="BV698" s="314"/>
      <c r="BW698" s="314"/>
      <c r="BX698" s="314"/>
      <c r="BY698" s="314"/>
      <c r="BZ698" s="314"/>
      <c r="CA698" s="314"/>
      <c r="CB698" s="314"/>
      <c r="CC698" s="314"/>
      <c r="CD698" s="314"/>
      <c r="CE698" s="314"/>
      <c r="CF698" s="314"/>
      <c r="CG698" s="314"/>
      <c r="CH698" s="314"/>
      <c r="CI698" s="314"/>
      <c r="CJ698" s="314"/>
      <c r="CK698" s="314"/>
      <c r="CL698" s="314"/>
      <c r="CM698" s="314"/>
      <c r="CN698" s="314"/>
      <c r="CO698" s="314"/>
      <c r="CP698" s="314"/>
      <c r="CQ698" s="314"/>
    </row>
    <row r="699" spans="1:95" ht="12.75" customHeight="1" x14ac:dyDescent="0.25">
      <c r="A699" s="307"/>
      <c r="B699" s="68"/>
      <c r="C699" s="68"/>
      <c r="D699" s="1246" t="str">
        <f>Translations!$B$399</f>
        <v>Tiers valid from:</v>
      </c>
      <c r="E699" s="1246"/>
      <c r="F699" s="1247"/>
      <c r="G699" s="8"/>
      <c r="H699" s="199" t="str">
        <f>Translations!$B$400</f>
        <v>until:</v>
      </c>
      <c r="I699" s="8"/>
      <c r="J699" s="76"/>
      <c r="K699" s="76"/>
      <c r="L699" s="76"/>
      <c r="M699" s="199" t="str">
        <f>Translations!$B$401</f>
        <v>ID used in the monitoring plan for this fuel stream:</v>
      </c>
      <c r="N699" s="9"/>
      <c r="O699" s="160"/>
      <c r="P699" s="109"/>
      <c r="Q699" s="312"/>
      <c r="R699" s="312"/>
      <c r="S699" s="465"/>
      <c r="T699" s="314"/>
      <c r="U699" s="314"/>
      <c r="V699" s="314"/>
      <c r="W699" s="314"/>
      <c r="X699" s="314"/>
      <c r="Y699" s="314"/>
      <c r="Z699" s="314"/>
      <c r="AA699" s="314"/>
      <c r="AB699" s="314"/>
      <c r="AC699" s="314"/>
      <c r="AD699" s="314"/>
      <c r="AE699" s="314"/>
      <c r="AF699" s="314"/>
      <c r="AG699" s="314"/>
      <c r="AH699" s="314"/>
      <c r="AI699" s="314"/>
      <c r="AJ699" s="314"/>
      <c r="AK699" s="314"/>
      <c r="AL699" s="314"/>
      <c r="AM699" s="314"/>
      <c r="AN699" s="314"/>
      <c r="AO699" s="314"/>
      <c r="AP699" s="314"/>
      <c r="AQ699" s="314"/>
      <c r="AR699" s="314"/>
      <c r="AS699" s="314"/>
      <c r="AT699" s="314"/>
      <c r="AU699" s="314"/>
      <c r="AV699" s="314"/>
      <c r="AW699" s="314"/>
      <c r="AX699" s="314"/>
      <c r="AY699" s="314"/>
      <c r="AZ699" s="314"/>
      <c r="BA699" s="314"/>
      <c r="BB699" s="314"/>
      <c r="BC699" s="314"/>
      <c r="BD699" s="314"/>
      <c r="BE699" s="314"/>
      <c r="BF699" s="314"/>
      <c r="BG699" s="314"/>
      <c r="BH699" s="314"/>
      <c r="BI699" s="314"/>
      <c r="BJ699" s="314"/>
      <c r="BK699" s="314"/>
      <c r="BL699" s="314"/>
      <c r="BM699" s="314"/>
      <c r="BN699" s="314"/>
      <c r="BO699" s="314"/>
      <c r="BP699" s="314"/>
      <c r="BQ699" s="314"/>
      <c r="BR699" s="314"/>
      <c r="BS699" s="314"/>
      <c r="BT699" s="314"/>
      <c r="BU699" s="314"/>
      <c r="BV699" s="314"/>
      <c r="BW699" s="314"/>
      <c r="BX699" s="314"/>
      <c r="BY699" s="314"/>
      <c r="BZ699" s="314"/>
      <c r="CA699" s="314"/>
      <c r="CB699" s="314"/>
      <c r="CC699" s="314"/>
      <c r="CD699" s="314"/>
      <c r="CE699" s="314"/>
      <c r="CF699" s="314"/>
      <c r="CG699" s="314"/>
      <c r="CH699" s="314"/>
      <c r="CI699" s="314"/>
      <c r="CJ699" s="314"/>
      <c r="CK699" s="314"/>
      <c r="CL699" s="314"/>
      <c r="CM699" s="314"/>
      <c r="CN699" s="314"/>
      <c r="CO699" s="314"/>
      <c r="CP699" s="314"/>
      <c r="CQ699" s="464" t="b">
        <f>CQ682</f>
        <v>0</v>
      </c>
    </row>
    <row r="700" spans="1:95" ht="5.15" customHeight="1" x14ac:dyDescent="0.25">
      <c r="A700" s="462"/>
      <c r="B700" s="76"/>
      <c r="C700" s="76"/>
      <c r="D700" s="76"/>
      <c r="E700" s="76"/>
      <c r="F700" s="76"/>
      <c r="G700" s="76"/>
      <c r="H700" s="76"/>
      <c r="I700" s="76"/>
      <c r="J700" s="76"/>
      <c r="K700" s="76"/>
      <c r="L700" s="76"/>
      <c r="M700" s="76"/>
      <c r="N700" s="76"/>
      <c r="O700" s="160"/>
      <c r="P700" s="109"/>
      <c r="Q700" s="312"/>
      <c r="R700" s="312"/>
      <c r="S700" s="314"/>
      <c r="T700" s="314"/>
      <c r="U700" s="314"/>
      <c r="V700" s="314"/>
      <c r="W700" s="314"/>
      <c r="X700" s="314"/>
      <c r="Y700" s="314"/>
      <c r="Z700" s="314"/>
      <c r="AA700" s="314"/>
      <c r="AB700" s="314"/>
      <c r="AC700" s="314"/>
      <c r="AD700" s="314"/>
      <c r="AE700" s="314"/>
      <c r="AF700" s="314"/>
      <c r="AG700" s="314"/>
      <c r="AH700" s="314"/>
      <c r="AI700" s="314"/>
      <c r="AJ700" s="314"/>
      <c r="AK700" s="314"/>
      <c r="AL700" s="314"/>
      <c r="AM700" s="314"/>
      <c r="AN700" s="314"/>
      <c r="AO700" s="314"/>
      <c r="AP700" s="314"/>
      <c r="AQ700" s="314"/>
      <c r="AR700" s="314"/>
      <c r="AS700" s="314"/>
      <c r="AT700" s="314"/>
      <c r="AU700" s="314"/>
      <c r="AV700" s="314"/>
      <c r="AW700" s="314"/>
      <c r="AX700" s="314"/>
      <c r="AY700" s="314"/>
      <c r="AZ700" s="314"/>
      <c r="BA700" s="314"/>
      <c r="BB700" s="314"/>
      <c r="BC700" s="314"/>
      <c r="BD700" s="314"/>
      <c r="BE700" s="314"/>
      <c r="BF700" s="314"/>
      <c r="BG700" s="314"/>
      <c r="BH700" s="314"/>
      <c r="BI700" s="314"/>
      <c r="BJ700" s="314"/>
      <c r="BK700" s="314"/>
      <c r="BL700" s="314"/>
      <c r="BM700" s="314"/>
      <c r="BN700" s="314"/>
      <c r="BO700" s="314"/>
      <c r="BP700" s="314"/>
      <c r="BQ700" s="314"/>
      <c r="BR700" s="314"/>
      <c r="BS700" s="314"/>
      <c r="BT700" s="314"/>
      <c r="BU700" s="314"/>
      <c r="BV700" s="314"/>
      <c r="BW700" s="314"/>
      <c r="BX700" s="314"/>
      <c r="BY700" s="314"/>
      <c r="BZ700" s="314"/>
      <c r="CA700" s="314"/>
      <c r="CB700" s="314"/>
      <c r="CC700" s="314"/>
      <c r="CD700" s="314"/>
      <c r="CE700" s="314"/>
      <c r="CF700" s="314"/>
      <c r="CG700" s="314"/>
      <c r="CH700" s="314"/>
      <c r="CI700" s="314"/>
      <c r="CJ700" s="314"/>
      <c r="CK700" s="314"/>
      <c r="CL700" s="314"/>
      <c r="CM700" s="314"/>
      <c r="CN700" s="314"/>
      <c r="CO700" s="314"/>
      <c r="CP700" s="314"/>
      <c r="CQ700" s="314"/>
    </row>
    <row r="701" spans="1:95" ht="12.75" customHeight="1" x14ac:dyDescent="0.25">
      <c r="A701" s="462"/>
      <c r="B701" s="76"/>
      <c r="C701" s="76"/>
      <c r="D701" s="115"/>
      <c r="E701" s="85"/>
      <c r="F701" s="466" t="str">
        <f>Translations!$B$304</f>
        <v>Comments:</v>
      </c>
      <c r="G701" s="1250"/>
      <c r="H701" s="1251"/>
      <c r="I701" s="1251"/>
      <c r="J701" s="1251"/>
      <c r="K701" s="1251"/>
      <c r="L701" s="1251"/>
      <c r="M701" s="1251"/>
      <c r="N701" s="1252"/>
      <c r="O701" s="160"/>
      <c r="P701" s="109"/>
      <c r="Q701" s="312"/>
      <c r="R701" s="312"/>
      <c r="S701" s="314"/>
      <c r="T701" s="314"/>
      <c r="U701" s="314"/>
      <c r="V701" s="314"/>
      <c r="W701" s="314"/>
      <c r="X701" s="314"/>
      <c r="Y701" s="314"/>
      <c r="Z701" s="314"/>
      <c r="AA701" s="314"/>
      <c r="AB701" s="314"/>
      <c r="AC701" s="314"/>
      <c r="AD701" s="314"/>
      <c r="AE701" s="314"/>
      <c r="AF701" s="314"/>
      <c r="AG701" s="314"/>
      <c r="AH701" s="314"/>
      <c r="AI701" s="314"/>
      <c r="AJ701" s="314"/>
      <c r="AK701" s="314"/>
      <c r="AL701" s="314"/>
      <c r="AM701" s="314"/>
      <c r="AN701" s="314"/>
      <c r="AO701" s="314"/>
      <c r="AP701" s="314"/>
      <c r="AQ701" s="314"/>
      <c r="AR701" s="314"/>
      <c r="AS701" s="314"/>
      <c r="AT701" s="314"/>
      <c r="AU701" s="314"/>
      <c r="AV701" s="314"/>
      <c r="AW701" s="314"/>
      <c r="AX701" s="314"/>
      <c r="AY701" s="314"/>
      <c r="AZ701" s="314"/>
      <c r="BA701" s="314"/>
      <c r="BB701" s="314"/>
      <c r="BC701" s="314"/>
      <c r="BD701" s="314"/>
      <c r="BE701" s="314"/>
      <c r="BF701" s="314"/>
      <c r="BG701" s="314"/>
      <c r="BH701" s="314"/>
      <c r="BI701" s="314"/>
      <c r="BJ701" s="314"/>
      <c r="BK701" s="314"/>
      <c r="BL701" s="314"/>
      <c r="BM701" s="314"/>
      <c r="BN701" s="314"/>
      <c r="BO701" s="314"/>
      <c r="BP701" s="314"/>
      <c r="BQ701" s="314"/>
      <c r="BR701" s="314"/>
      <c r="BS701" s="314"/>
      <c r="BT701" s="314"/>
      <c r="BU701" s="314"/>
      <c r="BV701" s="314"/>
      <c r="BW701" s="314"/>
      <c r="BX701" s="314"/>
      <c r="BY701" s="314"/>
      <c r="BZ701" s="314"/>
      <c r="CA701" s="314"/>
      <c r="CB701" s="314"/>
      <c r="CC701" s="314"/>
      <c r="CD701" s="314"/>
      <c r="CE701" s="314"/>
      <c r="CF701" s="314"/>
      <c r="CG701" s="314"/>
      <c r="CH701" s="314"/>
      <c r="CI701" s="314"/>
      <c r="CJ701" s="314"/>
      <c r="CK701" s="314"/>
      <c r="CL701" s="314"/>
      <c r="CM701" s="314"/>
      <c r="CN701" s="314"/>
      <c r="CO701" s="314"/>
      <c r="CP701" s="314"/>
      <c r="CQ701" s="464" t="b">
        <f>CQ699</f>
        <v>0</v>
      </c>
    </row>
    <row r="702" spans="1:95" ht="12.75" customHeight="1" thickBot="1" x14ac:dyDescent="0.3">
      <c r="A702" s="307"/>
      <c r="B702" s="76"/>
      <c r="C702" s="308"/>
      <c r="D702" s="309"/>
      <c r="E702" s="310"/>
      <c r="F702" s="308"/>
      <c r="G702" s="311"/>
      <c r="H702" s="311"/>
      <c r="I702" s="311"/>
      <c r="J702" s="311"/>
      <c r="K702" s="311"/>
      <c r="L702" s="311"/>
      <c r="M702" s="311"/>
      <c r="N702" s="311"/>
      <c r="O702" s="160"/>
      <c r="P702" s="109"/>
      <c r="Q702" s="312"/>
      <c r="R702" s="312"/>
      <c r="S702" s="293"/>
      <c r="T702" s="293"/>
      <c r="U702" s="313"/>
      <c r="V702" s="293"/>
      <c r="W702" s="293"/>
      <c r="X702" s="313"/>
      <c r="Y702" s="293"/>
      <c r="Z702" s="293"/>
      <c r="AA702" s="293"/>
      <c r="AB702" s="293"/>
      <c r="AC702" s="293"/>
      <c r="AD702" s="293"/>
      <c r="AE702" s="293"/>
      <c r="AF702" s="293"/>
      <c r="AG702" s="293"/>
      <c r="AH702" s="293"/>
      <c r="AI702" s="293"/>
      <c r="AJ702" s="293"/>
      <c r="AK702" s="293"/>
      <c r="AL702" s="293"/>
      <c r="AM702" s="293"/>
      <c r="AN702" s="293"/>
      <c r="AO702" s="293"/>
      <c r="AP702" s="293"/>
      <c r="AQ702" s="293"/>
      <c r="AR702" s="293"/>
      <c r="AS702" s="293"/>
      <c r="AT702" s="293"/>
      <c r="AU702" s="293"/>
      <c r="AV702" s="293"/>
      <c r="AW702" s="293"/>
      <c r="AX702" s="293"/>
      <c r="AY702" s="293"/>
      <c r="AZ702" s="293"/>
      <c r="BA702" s="293"/>
      <c r="BB702" s="293"/>
      <c r="BC702" s="293"/>
      <c r="BD702" s="293"/>
      <c r="BE702" s="293"/>
      <c r="BF702" s="293"/>
      <c r="BG702" s="293"/>
      <c r="BH702" s="293"/>
      <c r="BI702" s="293"/>
      <c r="BJ702" s="293"/>
      <c r="BK702" s="293"/>
      <c r="BL702" s="293"/>
      <c r="BM702" s="314"/>
      <c r="BN702" s="314"/>
      <c r="BO702" s="314"/>
      <c r="BP702" s="314"/>
      <c r="BQ702" s="314"/>
      <c r="BR702" s="314"/>
      <c r="BS702" s="314"/>
      <c r="BT702" s="314"/>
      <c r="BU702" s="293"/>
      <c r="BV702" s="293"/>
      <c r="BW702" s="293"/>
      <c r="BX702" s="293"/>
      <c r="BY702" s="293"/>
      <c r="BZ702" s="293"/>
      <c r="CA702" s="293"/>
      <c r="CB702" s="293"/>
      <c r="CC702" s="293"/>
      <c r="CD702" s="293"/>
      <c r="CE702" s="293"/>
      <c r="CF702" s="293"/>
      <c r="CG702" s="293"/>
      <c r="CH702" s="293"/>
      <c r="CI702" s="293"/>
      <c r="CJ702" s="293"/>
      <c r="CK702" s="293"/>
      <c r="CL702" s="293"/>
      <c r="CM702" s="293"/>
      <c r="CN702" s="293"/>
      <c r="CO702" s="293"/>
      <c r="CP702" s="293"/>
      <c r="CQ702" s="293"/>
    </row>
    <row r="703" spans="1:95" ht="12.75" customHeight="1" thickBot="1" x14ac:dyDescent="0.3">
      <c r="A703" s="315"/>
      <c r="B703" s="76"/>
      <c r="C703" s="76"/>
      <c r="D703" s="205"/>
      <c r="E703" s="316"/>
      <c r="F703" s="76"/>
      <c r="G703" s="96"/>
      <c r="H703" s="96"/>
      <c r="I703" s="96"/>
      <c r="J703" s="96"/>
      <c r="K703" s="76"/>
      <c r="L703" s="96"/>
      <c r="M703" s="96"/>
      <c r="N703" s="96"/>
      <c r="O703" s="160"/>
      <c r="P703" s="109"/>
      <c r="Q703" s="312"/>
      <c r="R703" s="312"/>
      <c r="S703" s="287"/>
      <c r="T703" s="317" t="str">
        <f>IF(ISBLANK(E704),"",MATCH(E704,CNTR_SourceStreamNames,0))</f>
        <v/>
      </c>
      <c r="U703" s="318" t="str">
        <f>IF(ISBLANK(E704),"",INDEX(B_IdentifyFuelStreams!$D$67:$D$116,MATCH(E704,CNTR_SourceStreamNames,0)))</f>
        <v/>
      </c>
      <c r="V703" s="301"/>
      <c r="W703" s="138"/>
      <c r="X703" s="138"/>
      <c r="Y703" s="138"/>
      <c r="Z703" s="293"/>
      <c r="AA703" s="293"/>
      <c r="AB703" s="293"/>
      <c r="AC703" s="293"/>
      <c r="AD703" s="293"/>
      <c r="AE703" s="293"/>
      <c r="AF703" s="293"/>
      <c r="AG703" s="293"/>
      <c r="AH703" s="293"/>
      <c r="AI703" s="293"/>
      <c r="AJ703" s="293"/>
      <c r="AK703" s="312"/>
      <c r="AL703" s="293"/>
      <c r="AM703" s="293"/>
      <c r="AN703" s="293"/>
      <c r="AO703" s="293"/>
      <c r="AP703" s="293"/>
      <c r="AQ703" s="293"/>
      <c r="AR703" s="293"/>
      <c r="AS703" s="293"/>
      <c r="AT703" s="293"/>
      <c r="AU703" s="293"/>
      <c r="AV703" s="293"/>
      <c r="AW703" s="293"/>
      <c r="AX703" s="293"/>
      <c r="AY703" s="293"/>
      <c r="AZ703" s="293"/>
      <c r="BA703" s="293"/>
      <c r="BB703" s="293"/>
      <c r="BC703" s="293"/>
      <c r="BD703" s="293"/>
      <c r="BE703" s="293"/>
      <c r="BF703" s="293"/>
      <c r="BG703" s="293"/>
      <c r="BH703" s="293"/>
      <c r="BI703" s="293"/>
      <c r="BJ703" s="138"/>
      <c r="BK703" s="138"/>
      <c r="BL703" s="138"/>
      <c r="BM703" s="138"/>
      <c r="BN703" s="138"/>
      <c r="BO703" s="138"/>
      <c r="BP703" s="138"/>
      <c r="BQ703" s="138"/>
      <c r="BR703" s="138"/>
      <c r="BS703" s="138"/>
      <c r="BT703" s="138"/>
      <c r="BU703" s="138"/>
      <c r="BV703" s="138"/>
      <c r="BW703" s="138"/>
      <c r="BX703" s="138"/>
      <c r="BY703" s="138"/>
      <c r="BZ703" s="138"/>
      <c r="CA703" s="138"/>
      <c r="CB703" s="138"/>
      <c r="CC703" s="138"/>
      <c r="CD703" s="138"/>
      <c r="CE703" s="138"/>
      <c r="CF703" s="138"/>
      <c r="CG703" s="138"/>
      <c r="CH703" s="138"/>
      <c r="CI703" s="138"/>
      <c r="CJ703" s="138"/>
      <c r="CK703" s="138"/>
      <c r="CL703" s="138"/>
      <c r="CM703" s="138"/>
      <c r="CN703" s="138"/>
      <c r="CO703" s="138"/>
      <c r="CP703" s="138"/>
      <c r="CQ703" s="319" t="s">
        <v>107</v>
      </c>
    </row>
    <row r="704" spans="1:95" ht="15" customHeight="1" thickBot="1" x14ac:dyDescent="0.3">
      <c r="A704" s="320">
        <f>C704</f>
        <v>24</v>
      </c>
      <c r="B704" s="68"/>
      <c r="C704" s="321">
        <f>C676+1</f>
        <v>24</v>
      </c>
      <c r="D704" s="68"/>
      <c r="E704" s="1269"/>
      <c r="F704" s="1270"/>
      <c r="G704" s="1270"/>
      <c r="H704" s="1270"/>
      <c r="I704" s="1270"/>
      <c r="J704" s="1271"/>
      <c r="K704" s="1272" t="str">
        <f>IF(INDEX(B_IdentifyFuelStreams!$K$125:$K$174,MATCH(U703,B_IdentifyFuelStreams!$D$125:$D$174,0))&gt;0,INDEX(B_IdentifyFuelStreams!$K$125:$K$174,MATCH(U703,B_IdentifyFuelStreams!$D$125:$D$174,0)),"")</f>
        <v/>
      </c>
      <c r="L704" s="1273"/>
      <c r="M704" s="316" t="str">
        <f>Translations!$B$621</f>
        <v>Emissions:</v>
      </c>
      <c r="N704" s="322" t="str">
        <f>IF(E705="","",BG710)</f>
        <v/>
      </c>
      <c r="O704" s="323" t="str">
        <f>EUconst_tCO2</f>
        <v>tCO2</v>
      </c>
      <c r="P704" s="324" t="str">
        <f>IF(AND(E704&lt;&gt;"",COUNTIF(P705:$P$1649,"PRINT")=0),"PRINT","")</f>
        <v/>
      </c>
      <c r="Q704" s="325" t="str">
        <f>EUconst_SumCO2</f>
        <v>SUM_CO2</v>
      </c>
      <c r="R704" s="312"/>
      <c r="S704" s="287"/>
      <c r="T704" s="287"/>
      <c r="U704" s="287"/>
      <c r="V704" s="301"/>
      <c r="W704" s="138"/>
      <c r="X704" s="293"/>
      <c r="Y704" s="293"/>
      <c r="Z704" s="293"/>
      <c r="AA704" s="293"/>
      <c r="AB704" s="293"/>
      <c r="AC704" s="293"/>
      <c r="AD704" s="293"/>
      <c r="AE704" s="293"/>
      <c r="AF704" s="293"/>
      <c r="AG704" s="293"/>
      <c r="AH704" s="293"/>
      <c r="AI704" s="326"/>
      <c r="AJ704" s="326"/>
      <c r="AK704" s="326"/>
      <c r="AL704" s="326"/>
      <c r="AM704" s="326"/>
      <c r="AN704" s="326"/>
      <c r="AO704" s="326"/>
      <c r="AP704" s="326"/>
      <c r="AQ704" s="326"/>
      <c r="AR704" s="326"/>
      <c r="AS704" s="326"/>
      <c r="AT704" s="326"/>
      <c r="AU704" s="326"/>
      <c r="AV704" s="326"/>
      <c r="AW704" s="326"/>
      <c r="AX704" s="326"/>
      <c r="AY704" s="326"/>
      <c r="AZ704" s="326"/>
      <c r="BA704" s="326"/>
      <c r="BB704" s="326"/>
      <c r="BC704" s="326"/>
      <c r="BD704" s="326"/>
      <c r="BE704" s="326"/>
      <c r="BF704" s="326"/>
      <c r="BG704" s="326"/>
      <c r="BH704" s="326"/>
      <c r="BI704" s="327" t="str">
        <f>IF(E704="","",E704)</f>
        <v/>
      </c>
      <c r="BJ704" s="328" t="str">
        <f>IF(F710="","",F710)</f>
        <v/>
      </c>
      <c r="BK704" s="329">
        <f>AV710</f>
        <v>0</v>
      </c>
      <c r="BL704" s="329">
        <f>IF(BK704="","",BK704*(1-BP704))</f>
        <v>0</v>
      </c>
      <c r="BM704" s="328" t="str">
        <f>AJ710</f>
        <v/>
      </c>
      <c r="BN704" s="328" t="str">
        <f>IF(F721="","",F721)</f>
        <v/>
      </c>
      <c r="BO704" s="327" t="str">
        <f>IF(G721="","",G721)</f>
        <v/>
      </c>
      <c r="BP704" s="330">
        <f>AV721</f>
        <v>0</v>
      </c>
      <c r="BQ704" s="328" t="str">
        <f>IF(F713="","",F713)</f>
        <v/>
      </c>
      <c r="BR704" s="330">
        <f>AV713</f>
        <v>0</v>
      </c>
      <c r="BS704" s="330" t="str">
        <f>AJ713</f>
        <v/>
      </c>
      <c r="BT704" s="328" t="str">
        <f>IF(F712="","",F712)</f>
        <v/>
      </c>
      <c r="BU704" s="330">
        <f>IF(F712=EUconst_NA,"",AV712)</f>
        <v>0</v>
      </c>
      <c r="BV704" s="330" t="str">
        <f>AJ712</f>
        <v/>
      </c>
      <c r="BW704" s="328" t="str">
        <f>IF(F714="","",F714)</f>
        <v/>
      </c>
      <c r="BX704" s="330">
        <f>AV714</f>
        <v>0</v>
      </c>
      <c r="BY704" s="328" t="str">
        <f>IF(F715="","",F715)</f>
        <v/>
      </c>
      <c r="BZ704" s="330">
        <f>AV715</f>
        <v>0</v>
      </c>
      <c r="CA704" s="330">
        <f>AV716</f>
        <v>0</v>
      </c>
      <c r="CB704" s="330">
        <f>AV717</f>
        <v>0</v>
      </c>
      <c r="CC704" s="330">
        <f>AV718</f>
        <v>0</v>
      </c>
      <c r="CD704" s="330">
        <f>AV719</f>
        <v>0</v>
      </c>
      <c r="CE704" s="329" t="str">
        <f>BG710</f>
        <v/>
      </c>
      <c r="CF704" s="329" t="str">
        <f>BG712</f>
        <v/>
      </c>
      <c r="CG704" s="329" t="str">
        <f>BG713</f>
        <v/>
      </c>
      <c r="CH704" s="329" t="str">
        <f>BG714</f>
        <v/>
      </c>
      <c r="CI704" s="329" t="str">
        <f>BG715</f>
        <v/>
      </c>
      <c r="CJ704" s="329" t="str">
        <f>BG716</f>
        <v/>
      </c>
      <c r="CK704" s="329" t="str">
        <f>BG717</f>
        <v/>
      </c>
      <c r="CL704" s="329">
        <f>BG718</f>
        <v>0</v>
      </c>
      <c r="CM704" s="329" t="str">
        <f>BG719</f>
        <v/>
      </c>
      <c r="CN704" s="329" t="str">
        <f>BG721</f>
        <v/>
      </c>
      <c r="CO704" s="329" t="str">
        <f>BG725</f>
        <v/>
      </c>
      <c r="CP704" s="329" t="str">
        <f>IF(COUNTIF(AO713:AO714,TRUE)=0,"",BH710)</f>
        <v/>
      </c>
      <c r="CQ704" s="331" t="b">
        <v>0</v>
      </c>
    </row>
    <row r="705" spans="1:95" ht="15" customHeight="1" thickBot="1" x14ac:dyDescent="0.3">
      <c r="A705" s="307"/>
      <c r="B705" s="68"/>
      <c r="C705" s="68"/>
      <c r="D705" s="68"/>
      <c r="E705" s="1274" t="str">
        <f>IF(ISBLANK(E704),"",IF(INDEX(B_IdentifyFuelStreams!$E$67:$E$116,MATCH(U703,B_IdentifyFuelStreams!$D$67:$D$116,0))&gt;0,INDEX(B_IdentifyFuelStreams!$E$67:$E$116,MATCH(U703,B_IdentifyFuelStreams!$D$67:$D$116,0)),""))</f>
        <v/>
      </c>
      <c r="F705" s="1275"/>
      <c r="G705" s="1275"/>
      <c r="H705" s="1275"/>
      <c r="I705" s="1275"/>
      <c r="J705" s="1276"/>
      <c r="K705" s="1272" t="str">
        <f>IF(INDEX(B_IdentifyFuelStreams!$M$125:$M$174,MATCH(U703,B_IdentifyFuelStreams!$D$125:$D$174,0))&gt;0,INDEX(B_IdentifyFuelStreams!$M$125:$M$174,MATCH(U703,B_IdentifyFuelStreams!$D$125:$D$174,0)),"")</f>
        <v/>
      </c>
      <c r="L705" s="1273"/>
      <c r="M705" s="332" t="str">
        <f>Translations!$B$622</f>
        <v>zero-rated:</v>
      </c>
      <c r="N705" s="333" t="str">
        <f>IF(E705="","",SUM(BG712,BG714,BG716))</f>
        <v/>
      </c>
      <c r="O705" s="334" t="str">
        <f>EUconst_tCO2</f>
        <v>tCO2</v>
      </c>
      <c r="P705" s="109"/>
      <c r="Q705" s="325" t="str">
        <f>EUconst_SumBioCO2</f>
        <v>SUM_bioCO2</v>
      </c>
      <c r="R705" s="312"/>
      <c r="S705" s="287"/>
      <c r="T705" s="287"/>
      <c r="U705" s="287"/>
      <c r="V705" s="301"/>
      <c r="W705" s="138"/>
      <c r="X705" s="293"/>
      <c r="Y705" s="317" t="str">
        <f>Translations!$B$143</f>
        <v>Tiers</v>
      </c>
      <c r="Z705" s="314"/>
      <c r="AA705" s="314"/>
      <c r="AB705" s="314"/>
      <c r="AC705" s="314"/>
      <c r="AD705" s="314"/>
      <c r="AE705" s="317" t="s">
        <v>108</v>
      </c>
      <c r="AF705" s="293"/>
      <c r="AG705" s="335"/>
      <c r="AH705" s="314"/>
      <c r="AI705" s="314"/>
      <c r="AJ705" s="335"/>
      <c r="AK705" s="335"/>
      <c r="AL705" s="326"/>
      <c r="AM705" s="326"/>
      <c r="AN705" s="326"/>
      <c r="AO705" s="326"/>
      <c r="AP705" s="326"/>
      <c r="AQ705" s="317" t="s">
        <v>109</v>
      </c>
      <c r="AR705" s="336"/>
      <c r="AS705" s="336"/>
      <c r="AT705" s="314"/>
      <c r="AU705" s="314"/>
      <c r="AV705" s="314"/>
      <c r="AW705" s="314"/>
      <c r="AX705" s="314"/>
      <c r="AY705" s="314"/>
      <c r="AZ705" s="317" t="s">
        <v>110</v>
      </c>
      <c r="BA705" s="314"/>
      <c r="BB705" s="314"/>
      <c r="BC705" s="314"/>
      <c r="BD705" s="314"/>
      <c r="BE705" s="314"/>
      <c r="BF705" s="317" t="s">
        <v>111</v>
      </c>
      <c r="BG705" s="314"/>
      <c r="BH705" s="314"/>
      <c r="BI705" s="317" t="s">
        <v>112</v>
      </c>
      <c r="BJ705" s="328" t="str">
        <f>Translations!$B$376</f>
        <v>RFA Tier</v>
      </c>
      <c r="BK705" s="328" t="str">
        <f>Translations!$B$377</f>
        <v>RFA</v>
      </c>
      <c r="BL705" s="328" t="str">
        <f>Translations!$B$378</f>
        <v>RFA (in scope)</v>
      </c>
      <c r="BM705" s="328" t="str">
        <f>Translations!$B$379</f>
        <v>RFA Unit</v>
      </c>
      <c r="BN705" s="328" t="str">
        <f>Translations!$B$380</f>
        <v>SF Tier</v>
      </c>
      <c r="BO705" s="328" t="str">
        <f>Translations!$B$380</f>
        <v>SF Tier</v>
      </c>
      <c r="BP705" s="328" t="str">
        <f>Translations!$B$381</f>
        <v>SF</v>
      </c>
      <c r="BQ705" s="328" t="str">
        <f>Translations!$B$382</f>
        <v>EF Tier</v>
      </c>
      <c r="BR705" s="328" t="str">
        <f>Translations!$B$383</f>
        <v>EF</v>
      </c>
      <c r="BS705" s="328" t="str">
        <f>Translations!$B$384</f>
        <v>EF Unit</v>
      </c>
      <c r="BT705" s="328" t="str">
        <f>Translations!$B$385</f>
        <v>UCF Tier</v>
      </c>
      <c r="BU705" s="328" t="str">
        <f>Translations!$B$386</f>
        <v>UCF</v>
      </c>
      <c r="BV705" s="328" t="str">
        <f>Translations!$B$387</f>
        <v>UCF Unit</v>
      </c>
      <c r="BW705" s="328" t="str">
        <f>Translations!$B$388</f>
        <v>Bio Tier</v>
      </c>
      <c r="BX705" s="328" t="s">
        <v>113</v>
      </c>
      <c r="BY705" s="328" t="str">
        <f>Translations!$B$389</f>
        <v>NonSustBio Tier</v>
      </c>
      <c r="BZ705" s="328" t="s">
        <v>114</v>
      </c>
      <c r="CA705" s="328" t="s">
        <v>115</v>
      </c>
      <c r="CB705" s="328" t="s">
        <v>116</v>
      </c>
      <c r="CC705" s="328" t="s">
        <v>117</v>
      </c>
      <c r="CD705" s="328" t="s">
        <v>118</v>
      </c>
      <c r="CE705" s="328" t="s">
        <v>119</v>
      </c>
      <c r="CF705" s="328" t="s">
        <v>120</v>
      </c>
      <c r="CG705" s="328" t="str">
        <f>Translations!$B$392</f>
        <v>CO2 non-sust</v>
      </c>
      <c r="CH705" s="328" t="s">
        <v>121</v>
      </c>
      <c r="CI705" s="328" t="s">
        <v>122</v>
      </c>
      <c r="CJ705" s="328" t="s">
        <v>123</v>
      </c>
      <c r="CK705" s="328" t="s">
        <v>124</v>
      </c>
      <c r="CL705" s="328" t="s">
        <v>125</v>
      </c>
      <c r="CM705" s="328" t="str">
        <f>Translations!$B$551</f>
        <v>Energy content (bio), TJ</v>
      </c>
      <c r="CN705" s="328" t="s">
        <v>126</v>
      </c>
      <c r="CO705" s="328" t="s">
        <v>127</v>
      </c>
      <c r="CP705" s="328" t="s">
        <v>128</v>
      </c>
      <c r="CQ705" s="314"/>
    </row>
    <row r="706" spans="1:95" ht="5.15" customHeight="1" thickBot="1" x14ac:dyDescent="0.3">
      <c r="A706" s="307"/>
      <c r="B706" s="68"/>
      <c r="C706" s="68"/>
      <c r="D706" s="68"/>
      <c r="E706" s="68"/>
      <c r="F706" s="68"/>
      <c r="G706" s="68"/>
      <c r="H706" s="76"/>
      <c r="I706" s="76"/>
      <c r="J706" s="76"/>
      <c r="K706" s="76"/>
      <c r="L706" s="76"/>
      <c r="M706" s="76"/>
      <c r="N706" s="76"/>
      <c r="O706" s="160"/>
      <c r="P706" s="109"/>
      <c r="Q706" s="312"/>
      <c r="R706" s="312"/>
      <c r="S706" s="287"/>
      <c r="T706" s="287"/>
      <c r="U706" s="287"/>
      <c r="V706" s="301"/>
      <c r="W706" s="314"/>
      <c r="X706" s="314"/>
      <c r="Y706" s="312"/>
      <c r="Z706" s="314"/>
      <c r="AA706" s="314"/>
      <c r="AB706" s="314"/>
      <c r="AC706" s="314"/>
      <c r="AD706" s="314"/>
      <c r="AE706" s="314"/>
      <c r="AF706" s="293"/>
      <c r="AG706" s="314"/>
      <c r="AH706" s="314"/>
      <c r="AI706" s="314"/>
      <c r="AJ706" s="335"/>
      <c r="AK706" s="335"/>
      <c r="AL706" s="326"/>
      <c r="AM706" s="326"/>
      <c r="AN706" s="326"/>
      <c r="AO706" s="326"/>
      <c r="AP706" s="326"/>
      <c r="AQ706" s="314"/>
      <c r="AR706" s="314"/>
      <c r="AS706" s="314"/>
      <c r="AT706" s="314"/>
      <c r="AU706" s="314"/>
      <c r="AV706" s="314"/>
      <c r="AW706" s="314"/>
      <c r="AX706" s="314"/>
      <c r="AY706" s="314"/>
      <c r="AZ706" s="314"/>
      <c r="BA706" s="314"/>
      <c r="BB706" s="314"/>
      <c r="BC706" s="314"/>
      <c r="BD706" s="314"/>
      <c r="BE706" s="314"/>
      <c r="BF706" s="314"/>
      <c r="BG706" s="314"/>
      <c r="BH706" s="314"/>
      <c r="BI706" s="314"/>
      <c r="BJ706" s="314"/>
      <c r="BK706" s="314"/>
      <c r="BL706" s="314"/>
      <c r="BM706" s="314"/>
      <c r="BN706" s="314"/>
      <c r="BO706" s="314"/>
      <c r="BP706" s="314"/>
      <c r="BQ706" s="314"/>
      <c r="BR706" s="314"/>
      <c r="BS706" s="314"/>
      <c r="BT706" s="314"/>
      <c r="BU706" s="314"/>
      <c r="BV706" s="314"/>
      <c r="BW706" s="314"/>
      <c r="BX706" s="314"/>
      <c r="BY706" s="314"/>
      <c r="BZ706" s="314"/>
      <c r="CA706" s="314"/>
      <c r="CB706" s="314"/>
      <c r="CC706" s="314"/>
      <c r="CD706" s="314"/>
      <c r="CE706" s="314"/>
      <c r="CF706" s="314"/>
      <c r="CG706" s="314"/>
      <c r="CH706" s="314"/>
      <c r="CI706" s="314"/>
      <c r="CJ706" s="314"/>
      <c r="CK706" s="314"/>
      <c r="CL706" s="314"/>
      <c r="CM706" s="314"/>
      <c r="CN706" s="314"/>
      <c r="CO706" s="314"/>
      <c r="CP706" s="314"/>
      <c r="CQ706" s="314"/>
    </row>
    <row r="707" spans="1:95" ht="12.75" customHeight="1" thickBot="1" x14ac:dyDescent="0.3">
      <c r="A707" s="307"/>
      <c r="B707" s="68"/>
      <c r="C707" s="68"/>
      <c r="D707" s="68"/>
      <c r="E707" s="1253" t="str">
        <f>IF(E704="","",HYPERLINK("#JUMP_E_Top",EUconst_FurtherGuidancePoint1))</f>
        <v/>
      </c>
      <c r="F707" s="1253"/>
      <c r="G707" s="1253"/>
      <c r="H707" s="1253"/>
      <c r="I707" s="1253"/>
      <c r="J707" s="1253"/>
      <c r="K707" s="1253"/>
      <c r="L707" s="1253"/>
      <c r="M707" s="1253"/>
      <c r="N707" s="76"/>
      <c r="O707" s="160"/>
      <c r="P707" s="109"/>
      <c r="Q707" s="325" t="str">
        <f>EUconst_SumNonSustBioCO2</f>
        <v>SUM_bioNonSustCO2</v>
      </c>
      <c r="R707" s="337" t="str">
        <f>IF(E705="","",BG713)</f>
        <v/>
      </c>
      <c r="S707" s="287"/>
      <c r="T707" s="287"/>
      <c r="U707" s="287"/>
      <c r="V707" s="314"/>
      <c r="W707" s="314"/>
      <c r="X707" s="314"/>
      <c r="Y707" s="293"/>
      <c r="Z707" s="314"/>
      <c r="AA707" s="314"/>
      <c r="AB707" s="314"/>
      <c r="AC707" s="314"/>
      <c r="AD707" s="314"/>
      <c r="AE707" s="314"/>
      <c r="AF707" s="293"/>
      <c r="AG707" s="314"/>
      <c r="AH707" s="314"/>
      <c r="AI707" s="314"/>
      <c r="AJ707" s="335"/>
      <c r="AK707" s="335"/>
      <c r="AL707" s="326"/>
      <c r="AM707" s="326"/>
      <c r="AN707" s="326"/>
      <c r="AO707" s="326"/>
      <c r="AP707" s="326"/>
      <c r="AQ707" s="314"/>
      <c r="AR707" s="314"/>
      <c r="AS707" s="314"/>
      <c r="AT707" s="314"/>
      <c r="AU707" s="314"/>
      <c r="AV707" s="314"/>
      <c r="AW707" s="314"/>
      <c r="AX707" s="314"/>
      <c r="AY707" s="314"/>
      <c r="AZ707" s="314"/>
      <c r="BA707" s="314"/>
      <c r="BB707" s="314"/>
      <c r="BC707" s="314"/>
      <c r="BD707" s="314"/>
      <c r="BE707" s="314"/>
      <c r="BF707" s="314"/>
      <c r="BG707" s="314"/>
      <c r="BH707" s="314"/>
      <c r="BI707" s="317" t="s">
        <v>129</v>
      </c>
      <c r="BJ707" s="336"/>
      <c r="BK707" s="327" t="str">
        <f>IF(G725="","",G725)</f>
        <v/>
      </c>
      <c r="BL707" s="327" t="str">
        <f>IF(I725="","",I725)</f>
        <v/>
      </c>
      <c r="BM707" s="327" t="str">
        <f>IF(K725="","",K725)</f>
        <v/>
      </c>
      <c r="BN707" s="314"/>
      <c r="BO707" s="314"/>
      <c r="BP707" s="314"/>
      <c r="BQ707" s="314"/>
      <c r="BR707" s="314"/>
      <c r="BS707" s="314"/>
      <c r="BT707" s="319"/>
      <c r="BU707" s="314"/>
      <c r="BV707" s="314"/>
      <c r="BW707" s="314"/>
      <c r="BX707" s="314"/>
      <c r="BY707" s="314"/>
      <c r="BZ707" s="314"/>
      <c r="CA707" s="314"/>
      <c r="CB707" s="314"/>
      <c r="CC707" s="314"/>
      <c r="CD707" s="314"/>
      <c r="CE707" s="314"/>
      <c r="CF707" s="314"/>
      <c r="CG707" s="314"/>
      <c r="CH707" s="314"/>
      <c r="CI707" s="314"/>
      <c r="CJ707" s="314"/>
      <c r="CK707" s="314"/>
      <c r="CL707" s="314"/>
      <c r="CM707" s="314"/>
      <c r="CN707" s="314"/>
      <c r="CO707" s="314"/>
      <c r="CP707" s="314"/>
      <c r="CQ707" s="314"/>
    </row>
    <row r="708" spans="1:95" ht="5.15" customHeight="1" thickBot="1" x14ac:dyDescent="0.3">
      <c r="A708" s="307"/>
      <c r="B708" s="68"/>
      <c r="C708" s="68"/>
      <c r="D708" s="68"/>
      <c r="E708" s="68"/>
      <c r="F708" s="68"/>
      <c r="G708" s="68"/>
      <c r="H708" s="76"/>
      <c r="I708" s="76"/>
      <c r="J708" s="76"/>
      <c r="K708" s="76"/>
      <c r="L708" s="76"/>
      <c r="M708" s="76"/>
      <c r="N708" s="76"/>
      <c r="O708" s="160"/>
      <c r="P708" s="111"/>
      <c r="Q708" s="287"/>
      <c r="R708" s="111"/>
      <c r="S708" s="287"/>
      <c r="T708" s="287"/>
      <c r="U708" s="287"/>
      <c r="V708" s="314"/>
      <c r="W708" s="314"/>
      <c r="X708" s="314"/>
      <c r="Y708" s="312"/>
      <c r="Z708" s="314"/>
      <c r="AA708" s="314"/>
      <c r="AB708" s="314"/>
      <c r="AC708" s="314"/>
      <c r="AD708" s="314"/>
      <c r="AE708" s="314"/>
      <c r="AF708" s="293"/>
      <c r="AG708" s="314"/>
      <c r="AH708" s="314"/>
      <c r="AI708" s="314"/>
      <c r="AJ708" s="335"/>
      <c r="AK708" s="335"/>
      <c r="AL708" s="326"/>
      <c r="AM708" s="326"/>
      <c r="AN708" s="326"/>
      <c r="AO708" s="326"/>
      <c r="AP708" s="326"/>
      <c r="AQ708" s="314"/>
      <c r="AR708" s="314"/>
      <c r="AS708" s="314"/>
      <c r="AT708" s="314"/>
      <c r="AU708" s="314"/>
      <c r="AV708" s="314"/>
      <c r="AW708" s="314"/>
      <c r="AX708" s="314"/>
      <c r="AY708" s="314"/>
      <c r="AZ708" s="314"/>
      <c r="BA708" s="314"/>
      <c r="BB708" s="314"/>
      <c r="BC708" s="314"/>
      <c r="BD708" s="314"/>
      <c r="BE708" s="314"/>
      <c r="BF708" s="314"/>
      <c r="BG708" s="314"/>
      <c r="BH708" s="314"/>
      <c r="BI708" s="314"/>
      <c r="BJ708" s="314"/>
      <c r="BK708" s="314"/>
      <c r="BL708" s="314"/>
      <c r="BM708" s="314"/>
      <c r="BN708" s="314"/>
      <c r="BO708" s="314"/>
      <c r="BP708" s="314"/>
      <c r="BQ708" s="314"/>
      <c r="BR708" s="314"/>
      <c r="BS708" s="314"/>
      <c r="BT708" s="314"/>
      <c r="BU708" s="314"/>
      <c r="BV708" s="314"/>
      <c r="BW708" s="314"/>
      <c r="BX708" s="314"/>
      <c r="BY708" s="314"/>
      <c r="BZ708" s="314"/>
      <c r="CA708" s="314"/>
      <c r="CB708" s="314"/>
      <c r="CC708" s="314"/>
      <c r="CD708" s="314"/>
      <c r="CE708" s="314"/>
      <c r="CF708" s="314"/>
      <c r="CG708" s="314"/>
      <c r="CH708" s="314"/>
      <c r="CI708" s="314"/>
      <c r="CJ708" s="314"/>
      <c r="CK708" s="314"/>
      <c r="CL708" s="314"/>
      <c r="CM708" s="314"/>
      <c r="CN708" s="314"/>
      <c r="CO708" s="314"/>
      <c r="CP708" s="314"/>
      <c r="CQ708" s="314"/>
    </row>
    <row r="709" spans="1:95" ht="12.75" customHeight="1" thickBot="1" x14ac:dyDescent="0.3">
      <c r="A709" s="307"/>
      <c r="B709" s="68"/>
      <c r="C709" s="68"/>
      <c r="D709" s="68"/>
      <c r="E709" s="68"/>
      <c r="F709" s="338" t="str">
        <f>Translations!$B$127</f>
        <v>Tier</v>
      </c>
      <c r="G709" s="1254" t="str">
        <f>Translations!$B$393</f>
        <v>tier description</v>
      </c>
      <c r="H709" s="1254"/>
      <c r="I709" s="1255" t="str">
        <f>Translations!$B$394</f>
        <v>Unit</v>
      </c>
      <c r="J709" s="1255"/>
      <c r="K709" s="1255" t="str">
        <f>Translations!$B$395</f>
        <v>Value</v>
      </c>
      <c r="L709" s="1255"/>
      <c r="M709" s="205" t="str">
        <f>Translations!$B$396</f>
        <v>error</v>
      </c>
      <c r="N709" s="76"/>
      <c r="O709" s="160"/>
      <c r="P709" s="339"/>
      <c r="Q709" s="325" t="str">
        <f>EUconst_SumEnergyIN</f>
        <v>SUM_EnergyIN</v>
      </c>
      <c r="R709" s="340" t="str">
        <f>IF(E705="","",BG718)</f>
        <v/>
      </c>
      <c r="S709" s="314"/>
      <c r="T709" s="314"/>
      <c r="U709" s="314"/>
      <c r="V709" s="341" t="s">
        <v>130</v>
      </c>
      <c r="W709" s="314"/>
      <c r="X709" s="314"/>
      <c r="Y709" s="312" t="s">
        <v>131</v>
      </c>
      <c r="Z709" s="312" t="s">
        <v>132</v>
      </c>
      <c r="AA709" s="314"/>
      <c r="AB709" s="314"/>
      <c r="AC709" s="336" t="s">
        <v>133</v>
      </c>
      <c r="AD709" s="314"/>
      <c r="AE709" s="314"/>
      <c r="AF709" s="314" t="s">
        <v>134</v>
      </c>
      <c r="AG709" s="314" t="s">
        <v>135</v>
      </c>
      <c r="AH709" s="312" t="s">
        <v>136</v>
      </c>
      <c r="AI709" s="335" t="s">
        <v>137</v>
      </c>
      <c r="AJ709" s="335" t="s">
        <v>138</v>
      </c>
      <c r="AK709" s="342" t="s">
        <v>139</v>
      </c>
      <c r="AL709" s="326"/>
      <c r="AM709" s="326"/>
      <c r="AN709" s="326"/>
      <c r="AO709" s="326"/>
      <c r="AP709" s="326"/>
      <c r="AQ709" s="314"/>
      <c r="AR709" s="314" t="s">
        <v>134</v>
      </c>
      <c r="AS709" s="314" t="s">
        <v>135</v>
      </c>
      <c r="AT709" s="343" t="s">
        <v>140</v>
      </c>
      <c r="AU709" s="335" t="s">
        <v>141</v>
      </c>
      <c r="AV709" s="335" t="s">
        <v>142</v>
      </c>
      <c r="AW709" s="342" t="s">
        <v>139</v>
      </c>
      <c r="AX709" s="342" t="s">
        <v>139</v>
      </c>
      <c r="AY709" s="314"/>
      <c r="AZ709" s="314"/>
      <c r="BA709" s="314"/>
      <c r="BB709" s="314" t="s">
        <v>143</v>
      </c>
      <c r="BC709" s="314"/>
      <c r="BD709" s="314"/>
      <c r="BE709" s="314"/>
      <c r="BF709" s="314"/>
      <c r="BG709" s="319" t="s">
        <v>144</v>
      </c>
      <c r="BH709" s="314" t="s">
        <v>145</v>
      </c>
      <c r="BI709" s="314"/>
      <c r="BJ709" s="314"/>
      <c r="BK709" s="314"/>
      <c r="BL709" s="314"/>
      <c r="BM709" s="314"/>
      <c r="BN709" s="314"/>
      <c r="BO709" s="314"/>
      <c r="BP709" s="314"/>
      <c r="BQ709" s="314"/>
      <c r="BR709" s="314"/>
      <c r="BS709" s="314"/>
      <c r="BT709" s="314"/>
      <c r="BU709" s="314"/>
      <c r="BV709" s="314"/>
      <c r="BW709" s="314"/>
      <c r="BX709" s="314"/>
      <c r="BY709" s="314"/>
      <c r="BZ709" s="314"/>
      <c r="CA709" s="314"/>
      <c r="CB709" s="314"/>
      <c r="CC709" s="314"/>
      <c r="CD709" s="314"/>
      <c r="CE709" s="314"/>
      <c r="CF709" s="314"/>
      <c r="CG709" s="314"/>
      <c r="CH709" s="314"/>
      <c r="CI709" s="314"/>
      <c r="CJ709" s="314"/>
      <c r="CK709" s="314"/>
      <c r="CL709" s="314"/>
      <c r="CM709" s="314"/>
      <c r="CN709" s="314"/>
      <c r="CO709" s="314"/>
      <c r="CP709" s="314"/>
      <c r="CQ709" s="319" t="s">
        <v>107</v>
      </c>
    </row>
    <row r="710" spans="1:95" ht="12.75" customHeight="1" thickBot="1" x14ac:dyDescent="0.3">
      <c r="A710" s="307"/>
      <c r="B710" s="68"/>
      <c r="C710" s="199" t="s">
        <v>12</v>
      </c>
      <c r="D710" s="344" t="str">
        <f>Translations!$B$356</f>
        <v>RFA:</v>
      </c>
      <c r="E710" s="345"/>
      <c r="F710" s="6"/>
      <c r="G710" s="1256" t="str">
        <f>IF(OR(ISBLANK(F710),F710=EUconst_NoTier),"",IF(Z710=0,EUconst_NA,IF(ISERROR(Z710),"",Z710)))</f>
        <v/>
      </c>
      <c r="H710" s="1257"/>
      <c r="I710" s="346" t="str">
        <f>IF(J710&lt;&gt;"","",AI710)</f>
        <v/>
      </c>
      <c r="J710" s="7"/>
      <c r="K710" s="1258"/>
      <c r="L710" s="1259"/>
      <c r="M710" s="347" t="str">
        <f>IF(AND(E705&lt;&gt;"",OR(F710="",COUNT(K710)=0),Y710&lt;&gt;EUconst_NA),EUconst_ERR_Incomplete,"")</f>
        <v/>
      </c>
      <c r="N710" s="76"/>
      <c r="O710" s="160"/>
      <c r="P710" s="348"/>
      <c r="Q710" s="325" t="str">
        <f>EUconst_SumBioEnergyIN</f>
        <v>SUM_BioEnergyIN</v>
      </c>
      <c r="R710" s="340" t="str">
        <f>IF(E705="","",BG719)</f>
        <v/>
      </c>
      <c r="S710" s="314"/>
      <c r="T710" s="349" t="str">
        <f>EUconst_CNTR_ActivityData&amp;E705</f>
        <v>ActivityData_</v>
      </c>
      <c r="U710" s="312"/>
      <c r="V710" s="349" t="str">
        <f>IF(E704="","",INDEX(B_IdentifyFuelStreams!$I$67:$I$116,MATCH(U703,B_IdentifyFuelStreams!$D$67:$D$116,0)))</f>
        <v/>
      </c>
      <c r="W710" s="335" t="s">
        <v>146</v>
      </c>
      <c r="X710" s="312"/>
      <c r="Y710" s="350" t="str">
        <f>IF(E705="","",INDEX(EUwideConstants!$P$164:$P$200,MATCH(T710,EUwideConstants!$S$164:$S$200,0)))</f>
        <v/>
      </c>
      <c r="Z710" s="351" t="str">
        <f>IF(ISBLANK(F710),"",IF(F710=EUconst_NA,"",INDEX(EUwideConstants!$H:$O,MATCH(T710,EUwideConstants!$S:$S,0),MATCH(F710,CNTR_TierList,0))))</f>
        <v/>
      </c>
      <c r="AA710" s="352" t="s">
        <v>136</v>
      </c>
      <c r="AB710" s="335"/>
      <c r="AC710" s="331" t="b">
        <f>E704&lt;&gt;""</f>
        <v>0</v>
      </c>
      <c r="AD710" s="314"/>
      <c r="AE710" s="353" t="str">
        <f>EUconst_CNTR_ActivityData&amp;EUconst_Unit</f>
        <v>ActivityData_Unit</v>
      </c>
      <c r="AF710" s="354" t="str">
        <f>IF(AC710=TRUE, IF(COUNTIF(MSPara_SourceStreamCategory,V710)=0,"",INDEX(MSPara_CalcFactorsMatrix,MATCH(V710,MSPara_SourceStreamCategory,0),MATCH(AE710&amp;"_"&amp;2,MSPara_CalcFactors,0))),"")</f>
        <v/>
      </c>
      <c r="AG710" s="355" t="str">
        <f>IF(AC710=TRUE, IF(COUNTIF(MSPara_SourceStreamCategory,V710)=0,"",INDEX(MSPara_CalcFactorsMatrix,MATCH(V710,MSPara_SourceStreamCategory,0),MATCH(AE710&amp;"_"&amp;1,MSPara_CalcFactors,0))),"")</f>
        <v/>
      </c>
      <c r="AH710" s="331" t="str">
        <f>IF(OR(AF710="",AF710=EUconst_NA),IF(OR(AG710=EUconst_NA,AG710=""),"",AG710),AF710)</f>
        <v/>
      </c>
      <c r="AI710" s="350" t="str">
        <f>IF(AC710=TRUE,IF(AH710="",EUconst_t,AH710),"")</f>
        <v/>
      </c>
      <c r="AJ710" s="356" t="str">
        <f>IF(J710="",AI710,J710)</f>
        <v/>
      </c>
      <c r="AK710" s="357" t="b">
        <f>AND(E704&lt;&gt;"",J710&lt;&gt;"")</f>
        <v>0</v>
      </c>
      <c r="AL710" s="326"/>
      <c r="AM710" s="358" t="s">
        <v>147</v>
      </c>
      <c r="AN710" s="359" t="str">
        <f>AJ710</f>
        <v/>
      </c>
      <c r="AO710" s="326"/>
      <c r="AP710" s="326"/>
      <c r="AQ710" s="349" t="str">
        <f>EUconst_CNTR_ActivityData&amp;EUconst_Value</f>
        <v>ActivityData_Value</v>
      </c>
      <c r="AR710" s="336"/>
      <c r="AS710" s="336"/>
      <c r="AT710" s="331" t="b">
        <f>AND(AND(AH710&lt;&gt;"",AJ710&lt;&gt;""),AJ710=AH710)</f>
        <v>0</v>
      </c>
      <c r="AU710" s="314"/>
      <c r="AV710" s="331">
        <f>IF(Y710=EUconst_NA,0,IF(COUNT(K710:K710)=0,0,IF(K710="",#REF!,K710)))</f>
        <v>0</v>
      </c>
      <c r="AW710" s="360" t="b">
        <f>AND(AC710=TRUE,OR(K710&lt;&gt;"",AU710=""))</f>
        <v>0</v>
      </c>
      <c r="AX710" s="360" t="b">
        <f>AND(AC710=TRUE,NOT(AW710))</f>
        <v>0</v>
      </c>
      <c r="AY710" s="314"/>
      <c r="AZ710" s="314" t="s">
        <v>148</v>
      </c>
      <c r="BA710" s="314" t="s">
        <v>149</v>
      </c>
      <c r="BB710" s="360"/>
      <c r="BC710" s="314" t="s">
        <v>150</v>
      </c>
      <c r="BD710" s="314"/>
      <c r="BE710" s="314"/>
      <c r="BF710" s="361" t="s">
        <v>119</v>
      </c>
      <c r="BG710" s="362" t="str">
        <f>IF(COUNTIF(AO713:AO714,TRUE)=0,"",BH710*AV721)</f>
        <v/>
      </c>
      <c r="BH710" s="362" t="str">
        <f>IF(COUNTIF(AO713:AO714,TRUE)=0,"",AV710*IF(AO713,1,AV712*AN714)*AV713-BH712-BH714-BH716)</f>
        <v/>
      </c>
      <c r="BI710" s="314"/>
      <c r="BJ710" s="314"/>
      <c r="BK710" s="314"/>
      <c r="BL710" s="314"/>
      <c r="BM710" s="314"/>
      <c r="BN710" s="314"/>
      <c r="BO710" s="314"/>
      <c r="BP710" s="314"/>
      <c r="BQ710" s="314"/>
      <c r="BR710" s="314"/>
      <c r="BS710" s="314"/>
      <c r="BT710" s="314"/>
      <c r="BU710" s="314"/>
      <c r="BV710" s="314"/>
      <c r="BW710" s="314"/>
      <c r="BX710" s="314"/>
      <c r="BY710" s="314"/>
      <c r="BZ710" s="314"/>
      <c r="CA710" s="314"/>
      <c r="CB710" s="314"/>
      <c r="CC710" s="314"/>
      <c r="CD710" s="314"/>
      <c r="CE710" s="314"/>
      <c r="CF710" s="314"/>
      <c r="CG710" s="314"/>
      <c r="CH710" s="314"/>
      <c r="CI710" s="314"/>
      <c r="CJ710" s="314"/>
      <c r="CK710" s="314"/>
      <c r="CL710" s="314"/>
      <c r="CM710" s="314"/>
      <c r="CN710" s="314"/>
      <c r="CO710" s="314"/>
      <c r="CP710" s="314"/>
      <c r="CQ710" s="360" t="b">
        <v>0</v>
      </c>
    </row>
    <row r="711" spans="1:95" ht="5.15" customHeight="1" thickBot="1" x14ac:dyDescent="0.3">
      <c r="A711" s="307"/>
      <c r="B711" s="68"/>
      <c r="C711" s="199"/>
      <c r="D711" s="202"/>
      <c r="E711" s="76"/>
      <c r="F711" s="76"/>
      <c r="G711" s="76"/>
      <c r="H711" s="76" t="str">
        <f>Translations!$B$397</f>
        <v xml:space="preserve"> </v>
      </c>
      <c r="I711" s="162"/>
      <c r="J711" s="162"/>
      <c r="K711" s="76"/>
      <c r="L711" s="76"/>
      <c r="M711" s="363"/>
      <c r="N711" s="76"/>
      <c r="O711" s="160"/>
      <c r="P711" s="109"/>
      <c r="Q711" s="312"/>
      <c r="R711" s="312"/>
      <c r="S711" s="314"/>
      <c r="T711" s="62"/>
      <c r="U711" s="312"/>
      <c r="V711" s="314"/>
      <c r="W711" s="314"/>
      <c r="X711" s="312"/>
      <c r="Y711" s="319"/>
      <c r="Z711" s="314"/>
      <c r="AA711" s="314"/>
      <c r="AB711" s="314"/>
      <c r="AC711" s="314"/>
      <c r="AD711" s="314"/>
      <c r="AE711" s="314"/>
      <c r="AF711" s="314"/>
      <c r="AG711" s="314"/>
      <c r="AH711" s="314"/>
      <c r="AI711" s="314"/>
      <c r="AJ711" s="314"/>
      <c r="AK711" s="314"/>
      <c r="AL711" s="326"/>
      <c r="AM711" s="326"/>
      <c r="AN711" s="326"/>
      <c r="AO711" s="326"/>
      <c r="AP711" s="326"/>
      <c r="AQ711" s="314"/>
      <c r="AR711" s="314"/>
      <c r="AS711" s="314"/>
      <c r="AT711" s="314"/>
      <c r="AU711" s="314"/>
      <c r="AV711" s="314"/>
      <c r="AW711" s="314"/>
      <c r="AX711" s="314"/>
      <c r="AY711" s="314"/>
      <c r="AZ711" s="314"/>
      <c r="BA711" s="314"/>
      <c r="BB711" s="314"/>
      <c r="BC711" s="314"/>
      <c r="BD711" s="314"/>
      <c r="BE711" s="314"/>
      <c r="BF711" s="314"/>
      <c r="BG711" s="364"/>
      <c r="BH711" s="364"/>
      <c r="BI711" s="314"/>
      <c r="BJ711" s="314"/>
      <c r="BK711" s="314"/>
      <c r="BL711" s="314"/>
      <c r="BM711" s="314"/>
      <c r="BN711" s="314"/>
      <c r="BO711" s="314"/>
      <c r="BP711" s="314"/>
      <c r="BQ711" s="314"/>
      <c r="BR711" s="314"/>
      <c r="BS711" s="314"/>
      <c r="BT711" s="314"/>
      <c r="BU711" s="314"/>
      <c r="BV711" s="314"/>
      <c r="BW711" s="314"/>
      <c r="BX711" s="314"/>
      <c r="BY711" s="314"/>
      <c r="BZ711" s="314"/>
      <c r="CA711" s="314"/>
      <c r="CB711" s="314"/>
      <c r="CC711" s="314"/>
      <c r="CD711" s="314"/>
      <c r="CE711" s="314"/>
      <c r="CF711" s="314"/>
      <c r="CG711" s="314"/>
      <c r="CH711" s="314"/>
      <c r="CI711" s="314"/>
      <c r="CJ711" s="314"/>
      <c r="CK711" s="314"/>
      <c r="CL711" s="314"/>
      <c r="CM711" s="314"/>
      <c r="CN711" s="314"/>
      <c r="CO711" s="314"/>
      <c r="CP711" s="314"/>
      <c r="CQ711" s="319"/>
    </row>
    <row r="712" spans="1:95" ht="12.75" customHeight="1" x14ac:dyDescent="0.25">
      <c r="A712" s="307"/>
      <c r="B712" s="68"/>
      <c r="C712" s="199" t="s">
        <v>13</v>
      </c>
      <c r="D712" s="344" t="str">
        <f>Translations!$B$360</f>
        <v>UCF:</v>
      </c>
      <c r="E712" s="345"/>
      <c r="F712" s="10"/>
      <c r="G712" s="1256" t="str">
        <f>IF(OR(ISBLANK(F712),F712=EUconst_NoTier),"",IF(Z712=0,EUconst_NotApplicable,IF(ISERROR(Z712),"",Z712)))</f>
        <v/>
      </c>
      <c r="H712" s="1257"/>
      <c r="I712" s="365" t="str">
        <f>IF(J712&lt;&gt;"","",AI712)</f>
        <v/>
      </c>
      <c r="J712" s="11"/>
      <c r="K712" s="366" t="str">
        <f>IF(L712="",AU712,"")</f>
        <v/>
      </c>
      <c r="L712" s="23"/>
      <c r="M712" s="347" t="str">
        <f>IF(AND(E705&lt;&gt;"",OR(F712="",COUNT(K712:L712)=0),Y712&lt;&gt;EUconst_NA),EUconst_ERR_Incomplete,IF(COUNTIF(BB712:BD712,TRUE)&gt;0,EUconst_ERR_Inconsistent,""))</f>
        <v/>
      </c>
      <c r="N712" s="367"/>
      <c r="O712" s="160"/>
      <c r="P712" s="109"/>
      <c r="Q712" s="312"/>
      <c r="R712" s="312"/>
      <c r="S712" s="314"/>
      <c r="T712" s="368" t="str">
        <f>EUconst_CNTR_UCF&amp;E705</f>
        <v>UCF_</v>
      </c>
      <c r="U712" s="312"/>
      <c r="V712" s="369" t="str">
        <f>V713</f>
        <v/>
      </c>
      <c r="W712" s="314"/>
      <c r="X712" s="312"/>
      <c r="Y712" s="370" t="str">
        <f>IF(E705="","",IF(OR(F712=EUconst_NA,W712=TRUE),EUconst_NA,INDEX(EUwideConstants!$P$164:$P$200,MATCH(T712,EUwideConstants!$S$164:$S$200,0))))</f>
        <v/>
      </c>
      <c r="Z712" s="371" t="str">
        <f>IF(ISBLANK(F712),"",IF(F712=EUconst_NA,"",INDEX(EUwideConstants!$H:$O,MATCH(T712,EUwideConstants!$S:$S,0),MATCH(F712,CNTR_TierList,0))))</f>
        <v/>
      </c>
      <c r="AA712" s="372" t="str">
        <f>IF(COUNTIF(EUconst_DefaultValues,Z712)&gt;0,MATCH(Z712,EUconst_DefaultValues,0),"")</f>
        <v/>
      </c>
      <c r="AB712" s="314"/>
      <c r="AC712" s="373" t="b">
        <f>AND(AC710,Y712&lt;&gt;EUconst_NA)</f>
        <v>0</v>
      </c>
      <c r="AD712" s="314"/>
      <c r="AE712" s="353" t="str">
        <f>EUconst_CNTR_UCF&amp;EUconst_Unit</f>
        <v>UCF_Unit</v>
      </c>
      <c r="AF712" s="374" t="str">
        <f>IF(AC712=TRUE, IF(COUNTIF(MSPara_SourceStreamCategory,V712)=0,"",INDEX(MSPara_CalcFactorsMatrix,MATCH(V712,MSPara_SourceStreamCategory,0),MATCH(AE712&amp;"_"&amp;2,MSPara_CalcFactors,0))),"")</f>
        <v/>
      </c>
      <c r="AG712" s="375" t="str">
        <f>IF(AC712=TRUE, IF(COUNTIF(MSPara_SourceStreamCategory,V712)=0,"",INDEX(MSPara_CalcFactorsMatrix,MATCH(V712,MSPara_SourceStreamCategory,0),MATCH(AE712&amp;"_"&amp;1,MSPara_CalcFactors,0))),"")</f>
        <v/>
      </c>
      <c r="AH712" s="373" t="str">
        <f>IF(AA712="","",INDEX(AF712:AG712,3-AA712))</f>
        <v/>
      </c>
      <c r="AI712" s="373" t="str">
        <f>IF(AC712=TRUE,IF(OR(AH712="",AH712=EUconst_NA),EUconst_GJ&amp;"/"&amp;AJ710,AH712),"")</f>
        <v/>
      </c>
      <c r="AJ712" s="373" t="str">
        <f>IF(J712="",AI712,J712)</f>
        <v/>
      </c>
      <c r="AK712" s="369" t="b">
        <f>AND(E704&lt;&gt;"",J712&lt;&gt;"")</f>
        <v>0</v>
      </c>
      <c r="AL712" s="326"/>
      <c r="AM712" s="358" t="s">
        <v>151</v>
      </c>
      <c r="AN712" s="359" t="str">
        <f>IF(AJ712="",EUconst_NA,IF(AN710=EUconst_TJ,EUconst_TJ,INDEX(EUwideConstants!$C$135:$G$139,MATCH(AN710,RFAUnits,0),MATCH(AJ712,UCFUnits,0))))</f>
        <v>n.a.</v>
      </c>
      <c r="AO712" s="326"/>
      <c r="AP712" s="326"/>
      <c r="AQ712" s="376" t="str">
        <f>EUconst_CNTR_UCF&amp;EUconst_Value</f>
        <v>UCF_Value</v>
      </c>
      <c r="AR712" s="377" t="str">
        <f>IF(AC712=TRUE,IF(COUNTIF(MSPara_SourceStreamCategory,V712)=0,"",INDEX(MSPara_CalcFactorsMatrix,MATCH(V712,MSPara_SourceStreamCategory,0),MATCH(AQ712&amp;"_"&amp;2,MSPara_CalcFactors,0))),"")</f>
        <v/>
      </c>
      <c r="AS712" s="378" t="str">
        <f>IF(AC712=TRUE,IF(COUNTIF(MSPara_SourceStreamCategory,V712)=0,"",INDEX(MSPara_CalcFactorsMatrix,MATCH(V712,MSPara_SourceStreamCategory,0),MATCH(AQ712&amp;"_"&amp;1,MSPara_CalcFactors,0))),"")</f>
        <v/>
      </c>
      <c r="AT712" s="379" t="b">
        <f>AND(AND(AH712&lt;&gt;"",AJ712&lt;&gt;""),AJ712=AH712)</f>
        <v>0</v>
      </c>
      <c r="AU712" s="380" t="str">
        <f>IF(AND(AA712&lt;&gt;"",AT712=TRUE),IF(OR(INDEX(AR712:AS712,3-AA712)=EUconst_NA,INDEX(AR712:AS712,3-AA712)=0),"",INDEX(AR712:AS712,3-AA712)),"")</f>
        <v/>
      </c>
      <c r="AV712" s="373">
        <f>IF(AC712=TRUE,IF(COUNT(K712:L712)=0,0,IF(L712="",K712,L712)),0)</f>
        <v>0</v>
      </c>
      <c r="AW712" s="369" t="b">
        <f t="shared" ref="AW712:AW719" si="207">AND(AC712=TRUE,OR(AND(F712&lt;&gt;"",NOT(ISNUMBER(AA712))),L712&lt;&gt;"",F712="",AU712=""))</f>
        <v>0</v>
      </c>
      <c r="AX712" s="381" t="b">
        <f t="shared" ref="AX712:AX719" si="208">AND(AC712=TRUE,NOT(AW712))</f>
        <v>0</v>
      </c>
      <c r="AY712" s="314"/>
      <c r="AZ712" s="382" t="b">
        <f t="shared" ref="AZ712:AZ719" si="209">AND(ISNUMBER(AA712),AU712="")</f>
        <v>0</v>
      </c>
      <c r="BA712" s="383" t="b">
        <f t="shared" ref="BA712:BA719" si="210">AND(ISNUMBER(AA712),AU712&lt;&gt;AV712)</f>
        <v>0</v>
      </c>
      <c r="BB712" s="369" t="b">
        <f>AND(E705&lt;&gt;"",F712&lt;&gt;EUconst_NA,AN712=EUconst_NA)</f>
        <v>0</v>
      </c>
      <c r="BC712" s="369" t="b">
        <f t="shared" ref="BC712:BC719" si="211">AND(L712&lt;&gt;"",Y712=EUconst_NA)</f>
        <v>0</v>
      </c>
      <c r="BD712" s="314"/>
      <c r="BE712" s="314"/>
      <c r="BF712" s="382" t="s">
        <v>152</v>
      </c>
      <c r="BG712" s="384" t="str">
        <f>IF(COUNTIF(AO713:AO714,TRUE)=0,"",BH712*AV721)</f>
        <v/>
      </c>
      <c r="BH712" s="384" t="str">
        <f>IF(COUNTIF(AO713:AO714,TRUE)=0,"",AV710*IF(AO713,1,AV712*AN714)*AV713*AV714)</f>
        <v/>
      </c>
      <c r="BI712" s="314"/>
      <c r="BJ712" s="314"/>
      <c r="BK712" s="314"/>
      <c r="BL712" s="314"/>
      <c r="BM712" s="314"/>
      <c r="BN712" s="314"/>
      <c r="BO712" s="314"/>
      <c r="BP712" s="314"/>
      <c r="BQ712" s="314"/>
      <c r="BR712" s="314"/>
      <c r="BS712" s="314"/>
      <c r="BT712" s="314"/>
      <c r="BU712" s="314"/>
      <c r="BV712" s="314"/>
      <c r="BW712" s="314"/>
      <c r="BX712" s="314"/>
      <c r="BY712" s="314"/>
      <c r="BZ712" s="314"/>
      <c r="CA712" s="314"/>
      <c r="CB712" s="314"/>
      <c r="CC712" s="314"/>
      <c r="CD712" s="314"/>
      <c r="CE712" s="314"/>
      <c r="CF712" s="314"/>
      <c r="CG712" s="314"/>
      <c r="CH712" s="314"/>
      <c r="CI712" s="314"/>
      <c r="CJ712" s="314"/>
      <c r="CK712" s="314"/>
      <c r="CL712" s="314"/>
      <c r="CM712" s="314"/>
      <c r="CN712" s="314"/>
      <c r="CO712" s="314"/>
      <c r="CP712" s="314"/>
      <c r="CQ712" s="369" t="b">
        <f>OR(CQ710,Y712=EUconst_NA)</f>
        <v>0</v>
      </c>
    </row>
    <row r="713" spans="1:95" ht="12.75" customHeight="1" thickBot="1" x14ac:dyDescent="0.3">
      <c r="A713" s="307"/>
      <c r="B713" s="68"/>
      <c r="C713" s="199" t="s">
        <v>14</v>
      </c>
      <c r="D713" s="344" t="str">
        <f>Translations!$B$358</f>
        <v>(prelim) EF:</v>
      </c>
      <c r="E713" s="345"/>
      <c r="F713" s="59"/>
      <c r="G713" s="1256" t="str">
        <f>IF(OR(ISBLANK(F713),F713=EUconst_NoTier),"",IF(Z713=0,EUconst_NotApplicable,IF(ISERROR(Z713),"",Z713)))</f>
        <v/>
      </c>
      <c r="H713" s="1260"/>
      <c r="I713" s="385" t="str">
        <f>IF(J713&lt;&gt;"","",AI713)</f>
        <v/>
      </c>
      <c r="J713" s="22"/>
      <c r="K713" s="386" t="str">
        <f>IF(L713="",AU713,"")</f>
        <v/>
      </c>
      <c r="L713" s="58"/>
      <c r="M713" s="347" t="str">
        <f>IF(AND(E705&lt;&gt;"",OR(F713="",COUNT(K713:L713)=0),Y713&lt;&gt;EUconst_NA),EUconst_ERR_Incomplete,IF(COUNTIF(BB713:BD713,TRUE)&gt;0,EUconst_ERR_Inconsistent,""))</f>
        <v/>
      </c>
      <c r="N713" s="387"/>
      <c r="O713" s="160"/>
      <c r="P713" s="109"/>
      <c r="Q713" s="312"/>
      <c r="R713" s="312"/>
      <c r="S713" s="314"/>
      <c r="T713" s="388" t="str">
        <f>EUconst_CNTR_EF&amp;E705</f>
        <v>EF_</v>
      </c>
      <c r="U713" s="312"/>
      <c r="V713" s="389" t="str">
        <f>V710</f>
        <v/>
      </c>
      <c r="W713" s="314"/>
      <c r="X713" s="312"/>
      <c r="Y713" s="390" t="str">
        <f>IF(E705="","",IF(OR(F713=EUconst_NA,W713=TRUE),EUconst_NA,INDEX(EUwideConstants!$P$164:$P$200,MATCH(T713,EUwideConstants!$S$164:$S$200,0))))</f>
        <v/>
      </c>
      <c r="Z713" s="391" t="str">
        <f>IF(ISBLANK(F713),"",IF(F713=EUconst_NA,"",INDEX(EUwideConstants!$H:$O,MATCH(T713,EUwideConstants!$S:$S,0),MATCH(F713,CNTR_TierList,0))))</f>
        <v/>
      </c>
      <c r="AA713" s="392" t="str">
        <f>IF(COUNTIF(EUconst_DefaultValues,Z713)&gt;0,MATCH(Z713,EUconst_DefaultValues,0),"")</f>
        <v/>
      </c>
      <c r="AB713" s="314"/>
      <c r="AC713" s="393" t="b">
        <f>AND(AC710,Y713&lt;&gt;EUconst_NA)</f>
        <v>0</v>
      </c>
      <c r="AD713" s="314"/>
      <c r="AE713" s="394" t="str">
        <f>EUconst_CNTR_EF&amp;EUconst_Unit</f>
        <v>EF_Unit</v>
      </c>
      <c r="AF713" s="395" t="str">
        <f>IF(AC713=TRUE, IF(COUNTIF(MSPara_SourceStreamCategory,V713)=0,"",INDEX(MSPara_CalcFactorsMatrix,MATCH(V713,MSPara_SourceStreamCategory,0),MATCH(AE713&amp;"_"&amp;2,MSPara_CalcFactors,0))),"")</f>
        <v/>
      </c>
      <c r="AG713" s="396" t="str">
        <f>IF(AC713=TRUE, IF(COUNTIF(MSPara_SourceStreamCategory,V713)=0,"",INDEX(MSPara_CalcFactorsMatrix,MATCH(V713,MSPara_SourceStreamCategory,0),MATCH(AE713&amp;"_"&amp;1,MSPara_CalcFactors,0))),"")</f>
        <v/>
      </c>
      <c r="AH713" s="397" t="str">
        <f>IF(AA713="","",INDEX(AF713:AG713,3-AA713))</f>
        <v/>
      </c>
      <c r="AI713" s="397" t="str">
        <f>IF(AC713=TRUE,IF(OR(AH713="",AH713=EUconst_NA),EUconst_tCO2&amp;"/"&amp;IF(AN712=EUconst_NA,AN710,IF(AN712=EUconst_GJ,EUconst_TJ,AN712)),AH713),"")</f>
        <v/>
      </c>
      <c r="AJ713" s="397" t="str">
        <f>IF(J713="",AI713,J713)</f>
        <v/>
      </c>
      <c r="AK713" s="398" t="b">
        <f>AND(E705&lt;&gt;"",J713&lt;&gt;"")</f>
        <v>0</v>
      </c>
      <c r="AL713" s="326"/>
      <c r="AM713" s="358" t="s">
        <v>153</v>
      </c>
      <c r="AN713" s="359" t="str">
        <f>IF(COUNTIF(RFAUnits,AN710)=0,EUconst_NA,INDEX(EUwideConstants!$C$150:$H$154,MATCH(AJ713,EFUnits,0),MATCH(AN710,EUwideConstants!$C$149:$H$149,0)))</f>
        <v>n.a.</v>
      </c>
      <c r="AO713" s="359" t="b">
        <f>AN713&lt;&gt;EUconst_NA</f>
        <v>0</v>
      </c>
      <c r="AP713" s="326"/>
      <c r="AQ713" s="399" t="str">
        <f>EUconst_CNTR_EF&amp;EUconst_Value</f>
        <v>EF_Value</v>
      </c>
      <c r="AR713" s="400" t="str">
        <f>IF(AC713=TRUE,IF(COUNTIF(MSPara_SourceStreamCategory,V713)=0,"",INDEX(MSPara_CalcFactorsMatrix,MATCH(V713,MSPara_SourceStreamCategory,0),MATCH(AQ713&amp;"_"&amp;2,MSPara_CalcFactors,0))),"")</f>
        <v/>
      </c>
      <c r="AS713" s="401" t="str">
        <f>IF(AC713=TRUE,IF(COUNTIF(MSPara_SourceStreamCategory,V713)=0,"",INDEX(MSPara_CalcFactorsMatrix,MATCH(V713,MSPara_SourceStreamCategory,0),MATCH(AQ713&amp;"_"&amp;1,MSPara_CalcFactors,0))),"")</f>
        <v/>
      </c>
      <c r="AT713" s="402" t="b">
        <f>AND(AND(AH713&lt;&gt;"",AJ713&lt;&gt;""),AJ713=AH713)</f>
        <v>0</v>
      </c>
      <c r="AU713" s="403" t="str">
        <f>IF(AND(AA713&lt;&gt;"",AT713=TRUE),IF(OR(INDEX(AR713:AS713,3-AA713)=EUconst_NA,INDEX(AR713:AS713,3-AA713)=0),"",INDEX(AR713:AS713,3-AA713)),"")</f>
        <v/>
      </c>
      <c r="AV713" s="393">
        <f>IF(AC713=TRUE,IF(COUNT(K713:L713)=0,0,IF(L713="",K713,L713)),0)</f>
        <v>0</v>
      </c>
      <c r="AW713" s="389" t="b">
        <f t="shared" si="207"/>
        <v>0</v>
      </c>
      <c r="AX713" s="404" t="b">
        <f t="shared" si="208"/>
        <v>0</v>
      </c>
      <c r="AY713" s="314"/>
      <c r="AZ713" s="405" t="b">
        <f t="shared" si="209"/>
        <v>0</v>
      </c>
      <c r="BA713" s="406" t="b">
        <f t="shared" si="210"/>
        <v>0</v>
      </c>
      <c r="BB713" s="407" t="b">
        <f>AND(E705&lt;&gt;"",COUNTIF(AO713:AO714,TRUE)=0)</f>
        <v>0</v>
      </c>
      <c r="BC713" s="389" t="b">
        <f t="shared" si="211"/>
        <v>0</v>
      </c>
      <c r="BD713" s="314"/>
      <c r="BE713" s="314"/>
      <c r="BF713" s="408" t="s">
        <v>154</v>
      </c>
      <c r="BG713" s="409" t="str">
        <f>IF(COUNTIF(AO713:AO714,TRUE)=0,"",BH713*AV721)</f>
        <v/>
      </c>
      <c r="BH713" s="409" t="str">
        <f>IF(COUNTIF(AO713:AO714,TRUE)=0,"",AV710*IF(AO713,1,AV712*AN714)*AV713*AV715)</f>
        <v/>
      </c>
      <c r="BI713" s="314"/>
      <c r="BJ713" s="314"/>
      <c r="BK713" s="314"/>
      <c r="BL713" s="314"/>
      <c r="BM713" s="314"/>
      <c r="BN713" s="314"/>
      <c r="BO713" s="314"/>
      <c r="BP713" s="314"/>
      <c r="BQ713" s="314"/>
      <c r="BR713" s="314"/>
      <c r="BS713" s="314"/>
      <c r="BT713" s="314"/>
      <c r="BU713" s="314"/>
      <c r="BV713" s="314"/>
      <c r="BW713" s="314"/>
      <c r="BX713" s="314"/>
      <c r="BY713" s="314"/>
      <c r="BZ713" s="314"/>
      <c r="CA713" s="314"/>
      <c r="CB713" s="314"/>
      <c r="CC713" s="314"/>
      <c r="CD713" s="314"/>
      <c r="CE713" s="314"/>
      <c r="CF713" s="314"/>
      <c r="CG713" s="314"/>
      <c r="CH713" s="314"/>
      <c r="CI713" s="314"/>
      <c r="CJ713" s="314"/>
      <c r="CK713" s="314"/>
      <c r="CL713" s="314"/>
      <c r="CM713" s="314"/>
      <c r="CN713" s="314"/>
      <c r="CO713" s="314"/>
      <c r="CP713" s="314"/>
      <c r="CQ713" s="407" t="b">
        <f>OR(CQ710,Y713=EUconst_NA)</f>
        <v>0</v>
      </c>
    </row>
    <row r="714" spans="1:95" ht="12.75" customHeight="1" x14ac:dyDescent="0.25">
      <c r="A714" s="307"/>
      <c r="B714" s="68"/>
      <c r="C714" s="199" t="s">
        <v>15</v>
      </c>
      <c r="D714" s="344" t="str">
        <f>Translations!$B$362</f>
        <v>BioF:</v>
      </c>
      <c r="E714" s="345"/>
      <c r="F714" s="10"/>
      <c r="G714" s="1256" t="str">
        <f>IF(OR(ISBLANK(F714),F714=EUconst_NoTier),"",IF(Z714=0,EUconst_NotApplicable,IF(ISERROR(Z714),"",Z714)))</f>
        <v/>
      </c>
      <c r="H714" s="1257"/>
      <c r="I714" s="410" t="str">
        <f t="shared" ref="I714:I719" si="212">IF(OR(AC714=FALSE,Y714=EUconst_NA),"","-")</f>
        <v/>
      </c>
      <c r="J714" s="411"/>
      <c r="K714" s="412" t="str">
        <f>IF(L714="",AU714,"")</f>
        <v/>
      </c>
      <c r="L714" s="60"/>
      <c r="M714" s="347" t="str">
        <f>IF(AND(E705&lt;&gt;"",OR(F714="",COUNT(K714:L714)=0),Y714&lt;&gt;EUconst_NA),EUconst_ERR_Incomplete,IF(COUNTIF(BB714:BD714,TRUE)&gt;0,EUconst_ERR_Inconsistent,""))</f>
        <v/>
      </c>
      <c r="O714" s="160"/>
      <c r="P714" s="348"/>
      <c r="Q714" s="413"/>
      <c r="R714" s="413"/>
      <c r="S714" s="314"/>
      <c r="T714" s="388" t="str">
        <f>EUconst_CNTR_BiomassContent&amp;E705</f>
        <v>BioC_</v>
      </c>
      <c r="U714" s="312"/>
      <c r="V714" s="369" t="str">
        <f>V712</f>
        <v/>
      </c>
      <c r="W714" s="369" t="str">
        <f>IF(OR(V714="",COUNTIF(MSPara_SourceStreamCategory,V714)=0),"",INDEX(MSPara_IsFossil,MATCH(V714,MSPara_SourceStreamCategory,0)))</f>
        <v/>
      </c>
      <c r="X714" s="312"/>
      <c r="Y714" s="370" t="str">
        <f>IF(E705="","",IF(OR(F714=EUconst_NA,W714=TRUE),EUconst_NA,INDEX(EUwideConstants!$P$164:$P$200,MATCH(T714,EUwideConstants!$S$164:$S$200,0))))</f>
        <v/>
      </c>
      <c r="Z714" s="371" t="str">
        <f>IF(ISBLANK(F714),"",IF(F714=EUconst_NA,"",INDEX(EUwideConstants!$H:$O,MATCH(T714,EUwideConstants!$S:$S,0),MATCH(F714,CNTR_TierList,0))))</f>
        <v/>
      </c>
      <c r="AA714" s="414" t="str">
        <f>IF(F714=1,1,"")</f>
        <v/>
      </c>
      <c r="AB714" s="314"/>
      <c r="AC714" s="373" t="b">
        <f>AND(AC710,Y714&lt;&gt;EUconst_NA)</f>
        <v>0</v>
      </c>
      <c r="AD714" s="314"/>
      <c r="AE714" s="415"/>
      <c r="AF714" s="416"/>
      <c r="AG714" s="417"/>
      <c r="AH714" s="418"/>
      <c r="AI714" s="418"/>
      <c r="AJ714" s="418"/>
      <c r="AK714" s="419"/>
      <c r="AL714" s="326"/>
      <c r="AM714" s="358" t="s">
        <v>155</v>
      </c>
      <c r="AN714" s="359" t="str">
        <f>IF(AN712=EUconst_NA,EUconst_NA,INDEX(EUwideConstants!$C$150:$H$154,MATCH(AJ713,EFUnits,0),MATCH(AN712,EUwideConstants!$C$149:$H$149,0)))</f>
        <v>n.a.</v>
      </c>
      <c r="AO714" s="359" t="b">
        <f>AN714&lt;&gt;EUconst_NA</f>
        <v>0</v>
      </c>
      <c r="AP714" s="326"/>
      <c r="AQ714" s="376" t="str">
        <f>EUconst_CNTR_BiomassContent&amp;EUconst_Value</f>
        <v>BioC_Value</v>
      </c>
      <c r="AR714" s="420"/>
      <c r="AS714" s="378" t="str">
        <f t="shared" ref="AS714:AS719" si="213">IF(AC714=TRUE,IF(COUNTIF(MSPara_SourceStreamCategory,V714)=0,"",INDEX(MSPara_CalcFactorsMatrix,MATCH(V714,MSPara_SourceStreamCategory,0),MATCH(AQ714&amp;"_"&amp;2,MSPara_CalcFactors,0))),"")</f>
        <v/>
      </c>
      <c r="AT714" s="421"/>
      <c r="AU714" s="380" t="str">
        <f t="shared" ref="AU714:AU719" si="214">IF(OR(AA714="",AS714=EUconst_NA),"",AS714)</f>
        <v/>
      </c>
      <c r="AV714" s="373">
        <f>IF(AC714=TRUE,IF(COUNT(K714:L714)=0,0,IF(L714="",K714,L714)),0)</f>
        <v>0</v>
      </c>
      <c r="AW714" s="369" t="b">
        <f t="shared" si="207"/>
        <v>0</v>
      </c>
      <c r="AX714" s="381" t="b">
        <f t="shared" si="208"/>
        <v>0</v>
      </c>
      <c r="AY714" s="314"/>
      <c r="AZ714" s="382" t="b">
        <f t="shared" si="209"/>
        <v>0</v>
      </c>
      <c r="BA714" s="383" t="b">
        <f t="shared" si="210"/>
        <v>0</v>
      </c>
      <c r="BB714" s="314"/>
      <c r="BC714" s="369" t="b">
        <f t="shared" si="211"/>
        <v>0</v>
      </c>
      <c r="BD714" s="369" t="b">
        <f>OR(AV714&gt;100%,(AV714+AV715)&gt;100%)</f>
        <v>0</v>
      </c>
      <c r="BE714" s="314"/>
      <c r="BF714" s="382" t="s">
        <v>156</v>
      </c>
      <c r="BG714" s="384" t="str">
        <f>IF(COUNTIF(AO713:AO714,TRUE)=0,"",BH714*AV721)</f>
        <v/>
      </c>
      <c r="BH714" s="384" t="str">
        <f>IF(COUNTIF(AO713:AO714,TRUE)=0,"",AV710*IF(AO713,1,AV712*AN714)*AV713*AV716)</f>
        <v/>
      </c>
      <c r="BJ714" s="314"/>
      <c r="BK714" s="314"/>
      <c r="BL714" s="314"/>
      <c r="BM714" s="314"/>
      <c r="BN714" s="314"/>
      <c r="BO714" s="314"/>
      <c r="BP714" s="314"/>
      <c r="BQ714" s="314"/>
      <c r="BR714" s="314"/>
      <c r="BS714" s="314"/>
      <c r="BT714" s="314"/>
      <c r="BU714" s="314"/>
      <c r="BV714" s="314"/>
      <c r="BW714" s="314"/>
      <c r="BX714" s="314"/>
      <c r="BY714" s="314"/>
      <c r="BZ714" s="314"/>
      <c r="CA714" s="314"/>
      <c r="CB714" s="314"/>
      <c r="CC714" s="314"/>
      <c r="CD714" s="314"/>
      <c r="CE714" s="314"/>
      <c r="CF714" s="314"/>
      <c r="CG714" s="314"/>
      <c r="CH714" s="314"/>
      <c r="CI714" s="314"/>
      <c r="CJ714" s="314"/>
      <c r="CK714" s="314"/>
      <c r="CL714" s="314"/>
      <c r="CM714" s="314"/>
      <c r="CN714" s="314"/>
      <c r="CO714" s="314"/>
      <c r="CP714" s="314"/>
      <c r="CQ714" s="369" t="b">
        <f>OR(CQ710,Y714=EUconst_NA)</f>
        <v>0</v>
      </c>
    </row>
    <row r="715" spans="1:95" ht="12.75" customHeight="1" thickBot="1" x14ac:dyDescent="0.3">
      <c r="A715" s="307"/>
      <c r="B715" s="68"/>
      <c r="C715" s="199" t="s">
        <v>16</v>
      </c>
      <c r="D715" s="344" t="str">
        <f>Translations!$B$368</f>
        <v>non-sust. BioF:</v>
      </c>
      <c r="E715" s="345"/>
      <c r="F715" s="20"/>
      <c r="G715" s="1256" t="str">
        <f>IF(OR(ISBLANK(F715),F715=EUconst_NoTier),"",IF(Z715=0,EUconst_NotApplicable,IF(ISERROR(Z715),"",Z715)))</f>
        <v/>
      </c>
      <c r="H715" s="1257"/>
      <c r="I715" s="422" t="str">
        <f t="shared" si="212"/>
        <v/>
      </c>
      <c r="J715" s="423"/>
      <c r="K715" s="424" t="str">
        <f>IF(L715="",AU715,"")</f>
        <v/>
      </c>
      <c r="L715" s="21"/>
      <c r="M715" s="347" t="str">
        <f>IF(AND(E705&lt;&gt;"",OR(F715="",COUNT(K715:L715)=0),Y715&lt;&gt;EUconst_NA),EUconst_ERR_Incomplete,IF(COUNTIF(BB715:BD715,TRUE)&gt;0,EUconst_ERR_Inconsistent,""))</f>
        <v/>
      </c>
      <c r="N715" s="76"/>
      <c r="O715" s="160"/>
      <c r="P715" s="348"/>
      <c r="Q715" s="413"/>
      <c r="R715" s="413"/>
      <c r="S715" s="314"/>
      <c r="T715" s="425" t="str">
        <f>EUconst_CNTR_BiomassContent&amp;E705</f>
        <v>BioC_</v>
      </c>
      <c r="U715" s="312"/>
      <c r="V715" s="407" t="str">
        <f>V714</f>
        <v/>
      </c>
      <c r="W715" s="407" t="str">
        <f>IF(OR(V714="",COUNTIF(MSPara_SourceStreamCategory,V715)=0),"",INDEX(MSPara_IsFossil,MATCH(V715,MSPara_SourceStreamCategory,0)))</f>
        <v/>
      </c>
      <c r="X715" s="312"/>
      <c r="Y715" s="426" t="str">
        <f>IF(E705="","",IF(OR(F715=EUconst_NA,W715=TRUE),EUconst_NA,INDEX(EUwideConstants!$P$164:$P$200,MATCH(T715,EUwideConstants!$S$164:$S$200,0))))</f>
        <v/>
      </c>
      <c r="Z715" s="427" t="str">
        <f>IF(ISBLANK(F715),"",IF(F715=EUconst_NA,"",INDEX(EUwideConstants!$H:$O,MATCH(T715,EUwideConstants!$S:$S,0),MATCH(F715,CNTR_TierList,0))))</f>
        <v/>
      </c>
      <c r="AA715" s="428" t="str">
        <f>IF(F715=1,1,"")</f>
        <v/>
      </c>
      <c r="AB715" s="314"/>
      <c r="AC715" s="429" t="b">
        <f>AND(AC710,Y715&lt;&gt;EUconst_NA)</f>
        <v>0</v>
      </c>
      <c r="AD715" s="314"/>
      <c r="AE715" s="430"/>
      <c r="AF715" s="431"/>
      <c r="AG715" s="432"/>
      <c r="AH715" s="433"/>
      <c r="AI715" s="433"/>
      <c r="AJ715" s="433"/>
      <c r="AK715" s="434"/>
      <c r="AL715" s="326"/>
      <c r="AM715" s="326"/>
      <c r="AN715" s="326"/>
      <c r="AO715" s="326"/>
      <c r="AP715" s="326"/>
      <c r="AQ715" s="435" t="str">
        <f>EUconst_CNTR_BiomassContent&amp;EUconst_Value</f>
        <v>BioC_Value</v>
      </c>
      <c r="AR715" s="430"/>
      <c r="AS715" s="436" t="str">
        <f t="shared" si="213"/>
        <v/>
      </c>
      <c r="AT715" s="437"/>
      <c r="AU715" s="438" t="str">
        <f t="shared" si="214"/>
        <v/>
      </c>
      <c r="AV715" s="429">
        <f>IF(AC715=TRUE,IF(COUNT(K715:L715)=0,0,IF(L715="",K715,L715)),0)</f>
        <v>0</v>
      </c>
      <c r="AW715" s="407" t="b">
        <f t="shared" si="207"/>
        <v>0</v>
      </c>
      <c r="AX715" s="439" t="b">
        <f t="shared" si="208"/>
        <v>0</v>
      </c>
      <c r="AY715" s="314"/>
      <c r="AZ715" s="408" t="b">
        <f t="shared" si="209"/>
        <v>0</v>
      </c>
      <c r="BA715" s="440" t="b">
        <f t="shared" si="210"/>
        <v>0</v>
      </c>
      <c r="BB715" s="314"/>
      <c r="BC715" s="407" t="b">
        <f t="shared" si="211"/>
        <v>0</v>
      </c>
      <c r="BD715" s="407" t="b">
        <f>OR(AV714&gt;100%,(AV714+AV715)&gt;100%)</f>
        <v>0</v>
      </c>
      <c r="BE715" s="314"/>
      <c r="BF715" s="408" t="s">
        <v>157</v>
      </c>
      <c r="BG715" s="409" t="str">
        <f>IF(COUNTIF(AO713:AO714,TRUE)=0,"",BH715*AV721)</f>
        <v/>
      </c>
      <c r="BH715" s="409" t="str">
        <f>IF(COUNTIF(AO713:AO714,TRUE)=0,"",AV710*IF(AO713,1,AV712*AN714)*AV713*AV717)</f>
        <v/>
      </c>
      <c r="BJ715" s="314"/>
      <c r="BK715" s="314"/>
      <c r="BL715" s="314"/>
      <c r="BM715" s="314"/>
      <c r="BN715" s="314"/>
      <c r="BO715" s="314"/>
      <c r="BP715" s="314"/>
      <c r="BQ715" s="314"/>
      <c r="BR715" s="314"/>
      <c r="BS715" s="314"/>
      <c r="BT715" s="314"/>
      <c r="BU715" s="314"/>
      <c r="BV715" s="314"/>
      <c r="BW715" s="314"/>
      <c r="BX715" s="314"/>
      <c r="BY715" s="314"/>
      <c r="BZ715" s="314"/>
      <c r="CA715" s="314"/>
      <c r="CB715" s="314"/>
      <c r="CC715" s="314"/>
      <c r="CD715" s="314"/>
      <c r="CE715" s="314"/>
      <c r="CF715" s="314"/>
      <c r="CG715" s="314"/>
      <c r="CH715" s="314"/>
      <c r="CI715" s="314"/>
      <c r="CJ715" s="314"/>
      <c r="CK715" s="314"/>
      <c r="CL715" s="314"/>
      <c r="CM715" s="314"/>
      <c r="CN715" s="314"/>
      <c r="CO715" s="314"/>
      <c r="CP715" s="314"/>
      <c r="CQ715" s="407" t="b">
        <f>OR(CQ710,Y715=EUconst_NA)</f>
        <v>0</v>
      </c>
    </row>
    <row r="716" spans="1:95" ht="12.75" customHeight="1" thickBot="1" x14ac:dyDescent="0.3">
      <c r="A716" s="307"/>
      <c r="B716" s="68"/>
      <c r="C716" s="199" t="s">
        <v>17</v>
      </c>
      <c r="D716" s="344" t="str">
        <f>Translations!$B$610</f>
        <v>sust. RFNBO/RCF:</v>
      </c>
      <c r="E716" s="441"/>
      <c r="F716" s="19" t="s">
        <v>158</v>
      </c>
      <c r="G716" s="1261"/>
      <c r="H716" s="1262"/>
      <c r="I716" s="442" t="str">
        <f t="shared" si="212"/>
        <v/>
      </c>
      <c r="J716" s="411"/>
      <c r="K716" s="443"/>
      <c r="L716" s="55"/>
      <c r="M716" s="347" t="str">
        <f>IF(AND(E705&lt;&gt;"",OR(F716="",COUNT(L716)=0),Y716&lt;&gt;EUconst_NA),EUconst_ERR_Incomplete,"")</f>
        <v/>
      </c>
      <c r="N716" s="76"/>
      <c r="O716" s="160"/>
      <c r="P716" s="348"/>
      <c r="Q716" s="413"/>
      <c r="R716" s="413"/>
      <c r="S716" s="314"/>
      <c r="T716" s="388" t="str">
        <f>EUconst_CNTR_RFNBOetcContent&amp;E705</f>
        <v>RNFBOC_</v>
      </c>
      <c r="U716" s="312"/>
      <c r="V716" s="312"/>
      <c r="W716" s="312"/>
      <c r="X716" s="312"/>
      <c r="Y716" s="380" t="str">
        <f>IF(E705="","",IF(OR(F716=EUconst_NA,W716=TRUE),EUconst_NA,INDEX(EUwideConstants!$P$164:$P$200,MATCH(T716,EUwideConstants!$S$164:$S$200,0))))</f>
        <v/>
      </c>
      <c r="Z716" s="314"/>
      <c r="AA716" s="314"/>
      <c r="AB716" s="314"/>
      <c r="AC716" s="397" t="b">
        <f>AND(AC712,Y716&lt;&gt;EUconst_NA)</f>
        <v>0</v>
      </c>
      <c r="AD716" s="314"/>
      <c r="AE716" s="415"/>
      <c r="AF716" s="416"/>
      <c r="AG716" s="417"/>
      <c r="AH716" s="418"/>
      <c r="AI716" s="418"/>
      <c r="AJ716" s="418"/>
      <c r="AK716" s="419"/>
      <c r="AL716" s="326"/>
      <c r="AM716" s="326"/>
      <c r="AN716" s="326"/>
      <c r="AO716" s="326"/>
      <c r="AP716" s="326"/>
      <c r="AQ716" s="444" t="s">
        <v>159</v>
      </c>
      <c r="AR716" s="415"/>
      <c r="AS716" s="445" t="str">
        <f t="shared" si="213"/>
        <v/>
      </c>
      <c r="AT716" s="446"/>
      <c r="AU716" s="447" t="str">
        <f t="shared" si="214"/>
        <v/>
      </c>
      <c r="AV716" s="397">
        <f>IF(L716&lt;&gt;0,L716,L716)</f>
        <v>0</v>
      </c>
      <c r="AW716" s="398" t="b">
        <f t="shared" si="207"/>
        <v>0</v>
      </c>
      <c r="AX716" s="448" t="b">
        <f t="shared" si="208"/>
        <v>0</v>
      </c>
      <c r="AY716" s="314"/>
      <c r="AZ716" s="449" t="b">
        <f t="shared" si="209"/>
        <v>0</v>
      </c>
      <c r="BA716" s="450" t="b">
        <f t="shared" si="210"/>
        <v>0</v>
      </c>
      <c r="BB716" s="314"/>
      <c r="BC716" s="398" t="b">
        <f t="shared" si="211"/>
        <v>0</v>
      </c>
      <c r="BD716" s="369" t="b">
        <f>OR(AV716&gt;100%,(AV716+AV717)&gt;100%)</f>
        <v>0</v>
      </c>
      <c r="BE716" s="314"/>
      <c r="BF716" s="451" t="s">
        <v>160</v>
      </c>
      <c r="BG716" s="452" t="str">
        <f>IF(COUNTIF(AO713:AO714,TRUE)=0,"",BH716*AV721)</f>
        <v/>
      </c>
      <c r="BH716" s="452" t="str">
        <f>IF(COUNTIF(AO713:AO714,TRUE)=0,"",AV710*IF(AO713,1,AV712*AN714)*AV713*AV718)</f>
        <v/>
      </c>
      <c r="BJ716" s="314"/>
      <c r="BK716" s="314"/>
      <c r="BL716" s="314"/>
      <c r="BM716" s="314"/>
      <c r="BN716" s="314"/>
      <c r="BO716" s="314"/>
      <c r="BP716" s="314"/>
      <c r="BQ716" s="314"/>
      <c r="BR716" s="314"/>
      <c r="BS716" s="314"/>
      <c r="BT716" s="314"/>
      <c r="BU716" s="314"/>
      <c r="BV716" s="314"/>
      <c r="BW716" s="314"/>
      <c r="BX716" s="314"/>
      <c r="BY716" s="314"/>
      <c r="BZ716" s="314"/>
      <c r="CA716" s="314"/>
      <c r="CB716" s="314"/>
      <c r="CC716" s="314"/>
      <c r="CD716" s="314"/>
      <c r="CE716" s="314"/>
      <c r="CF716" s="314"/>
      <c r="CG716" s="314"/>
      <c r="CH716" s="314"/>
      <c r="CI716" s="314"/>
      <c r="CJ716" s="314"/>
      <c r="CK716" s="314"/>
      <c r="CL716" s="314"/>
      <c r="CM716" s="314"/>
      <c r="CN716" s="314"/>
      <c r="CO716" s="314"/>
      <c r="CP716" s="314"/>
      <c r="CQ716" s="407" t="b">
        <f>OR(CQ710,Y716=EUconst_NA)</f>
        <v>0</v>
      </c>
    </row>
    <row r="717" spans="1:95" ht="12.75" customHeight="1" thickBot="1" x14ac:dyDescent="0.3">
      <c r="A717" s="307"/>
      <c r="B717" s="68"/>
      <c r="C717" s="199" t="s">
        <v>161</v>
      </c>
      <c r="D717" s="344" t="str">
        <f>Translations!$B$613</f>
        <v>non-sust. RFNBO/RCF:</v>
      </c>
      <c r="E717" s="441"/>
      <c r="F717" s="20" t="s">
        <v>158</v>
      </c>
      <c r="G717" s="1261"/>
      <c r="H717" s="1262"/>
      <c r="I717" s="422" t="str">
        <f t="shared" si="212"/>
        <v/>
      </c>
      <c r="J717" s="423"/>
      <c r="K717" s="443"/>
      <c r="L717" s="56"/>
      <c r="M717" s="347" t="str">
        <f>IF(AND(E705&lt;&gt;"",OR(F717="",COUNT(L717)=0),Y717&lt;&gt;EUconst_NA),EUconst_ERR_Incomplete,"")</f>
        <v/>
      </c>
      <c r="N717" s="76"/>
      <c r="O717" s="160"/>
      <c r="P717" s="348"/>
      <c r="Q717" s="413"/>
      <c r="R717" s="413"/>
      <c r="S717" s="314"/>
      <c r="T717" s="425" t="str">
        <f>EUconst_CNTR_RFNBOetcContent&amp;E705</f>
        <v>RNFBOC_</v>
      </c>
      <c r="U717" s="312"/>
      <c r="V717" s="312"/>
      <c r="W717" s="312"/>
      <c r="X717" s="312"/>
      <c r="Y717" s="438" t="str">
        <f>IF(E705="","",IF(OR(F717=EUconst_NA,W717=TRUE),EUconst_NA,INDEX(EUwideConstants!$P$164:$P$200,MATCH(T717,EUwideConstants!$S$164:$S$200,0))))</f>
        <v/>
      </c>
      <c r="Z717" s="314"/>
      <c r="AA717" s="314"/>
      <c r="AB717" s="314"/>
      <c r="AC717" s="429" t="b">
        <f>AND(AC712,Y717&lt;&gt;EUconst_NA)</f>
        <v>0</v>
      </c>
      <c r="AD717" s="314"/>
      <c r="AE717" s="430"/>
      <c r="AF717" s="431"/>
      <c r="AG717" s="432"/>
      <c r="AH717" s="433"/>
      <c r="AI717" s="433"/>
      <c r="AJ717" s="433"/>
      <c r="AK717" s="434"/>
      <c r="AL717" s="326"/>
      <c r="AM717" s="326"/>
      <c r="AN717" s="326"/>
      <c r="AO717" s="326"/>
      <c r="AP717" s="326"/>
      <c r="AQ717" s="435" t="s">
        <v>159</v>
      </c>
      <c r="AR717" s="430"/>
      <c r="AS717" s="436" t="str">
        <f t="shared" si="213"/>
        <v/>
      </c>
      <c r="AT717" s="437"/>
      <c r="AU717" s="438" t="str">
        <f t="shared" si="214"/>
        <v/>
      </c>
      <c r="AV717" s="429">
        <f t="shared" ref="AV717:AV719" si="215">IF(L717&lt;&gt;0,L717,L717)</f>
        <v>0</v>
      </c>
      <c r="AW717" s="407" t="b">
        <f t="shared" si="207"/>
        <v>0</v>
      </c>
      <c r="AX717" s="439" t="b">
        <f t="shared" si="208"/>
        <v>0</v>
      </c>
      <c r="AY717" s="314"/>
      <c r="AZ717" s="408" t="b">
        <f t="shared" si="209"/>
        <v>0</v>
      </c>
      <c r="BA717" s="440" t="b">
        <f t="shared" si="210"/>
        <v>0</v>
      </c>
      <c r="BB717" s="314"/>
      <c r="BC717" s="407" t="b">
        <f t="shared" si="211"/>
        <v>0</v>
      </c>
      <c r="BD717" s="407" t="b">
        <f>OR(AV716&gt;100%,(AV716+AV717)&gt;100%)</f>
        <v>0</v>
      </c>
      <c r="BE717" s="314"/>
      <c r="BF717" s="408" t="s">
        <v>162</v>
      </c>
      <c r="BG717" s="409" t="str">
        <f>IF(COUNTIF(AO713:AO714,TRUE)=0,"",BH717*AV721)</f>
        <v/>
      </c>
      <c r="BH717" s="409" t="str">
        <f>IF(COUNTIF(AO713:AO714,TRUE)=0,"",AV710*IF(AO713,1,AV712*AN714)*AV713*AV719)</f>
        <v/>
      </c>
      <c r="BJ717" s="314"/>
      <c r="BK717" s="314"/>
      <c r="BL717" s="314"/>
      <c r="BM717" s="314"/>
      <c r="BN717" s="314"/>
      <c r="BO717" s="314"/>
      <c r="BP717" s="314"/>
      <c r="BQ717" s="314"/>
      <c r="BR717" s="314"/>
      <c r="BS717" s="314"/>
      <c r="BT717" s="314"/>
      <c r="BU717" s="314"/>
      <c r="BV717" s="314"/>
      <c r="BW717" s="314"/>
      <c r="BX717" s="314"/>
      <c r="BY717" s="314"/>
      <c r="BZ717" s="314"/>
      <c r="CA717" s="314"/>
      <c r="CB717" s="314"/>
      <c r="CC717" s="314"/>
      <c r="CD717" s="314"/>
      <c r="CE717" s="314"/>
      <c r="CF717" s="314"/>
      <c r="CG717" s="314"/>
      <c r="CH717" s="314"/>
      <c r="CI717" s="314"/>
      <c r="CJ717" s="314"/>
      <c r="CK717" s="314"/>
      <c r="CL717" s="314"/>
      <c r="CM717" s="314"/>
      <c r="CN717" s="314"/>
      <c r="CO717" s="314"/>
      <c r="CP717" s="314"/>
      <c r="CQ717" s="407" t="b">
        <f>OR(CQ710,Y717=EUconst_NA)</f>
        <v>0</v>
      </c>
    </row>
    <row r="718" spans="1:95" ht="12.75" customHeight="1" thickBot="1" x14ac:dyDescent="0.3">
      <c r="A718" s="307"/>
      <c r="B718" s="68"/>
      <c r="C718" s="199" t="s">
        <v>163</v>
      </c>
      <c r="D718" s="344" t="str">
        <f>Translations!$B$615</f>
        <v>sust. SLCF:</v>
      </c>
      <c r="E718" s="441"/>
      <c r="F718" s="19" t="s">
        <v>158</v>
      </c>
      <c r="G718" s="1261"/>
      <c r="H718" s="1262"/>
      <c r="I718" s="442" t="str">
        <f t="shared" si="212"/>
        <v/>
      </c>
      <c r="J718" s="411"/>
      <c r="K718" s="443"/>
      <c r="L718" s="57"/>
      <c r="M718" s="347" t="str">
        <f>IF(AND(E705&lt;&gt;"",OR(F718="",COUNT(L718)=0),Y718&lt;&gt;EUconst_NA),EUconst_ERR_Incomplete,"")</f>
        <v/>
      </c>
      <c r="N718" s="76"/>
      <c r="O718" s="160"/>
      <c r="P718" s="348"/>
      <c r="Q718" s="413"/>
      <c r="R718" s="413"/>
      <c r="S718" s="314"/>
      <c r="T718" s="388" t="str">
        <f>EUconst_CNTR_RFNBOetcContent&amp;E705</f>
        <v>RNFBOC_</v>
      </c>
      <c r="U718" s="312"/>
      <c r="V718" s="312"/>
      <c r="W718" s="312"/>
      <c r="X718" s="312"/>
      <c r="Y718" s="447" t="str">
        <f>IF(E705="","",IF(OR(F718=EUconst_NA,W718=TRUE),EUconst_NA,INDEX(EUwideConstants!$P$164:$P$200,MATCH(T718,EUwideConstants!$S$164:$S$200,0))))</f>
        <v/>
      </c>
      <c r="Z718" s="314"/>
      <c r="AA718" s="314"/>
      <c r="AB718" s="314"/>
      <c r="AC718" s="397" t="b">
        <f>AND(AC714,Y718&lt;&gt;EUconst_NA)</f>
        <v>0</v>
      </c>
      <c r="AD718" s="314"/>
      <c r="AE718" s="415"/>
      <c r="AF718" s="416"/>
      <c r="AG718" s="417"/>
      <c r="AH718" s="418"/>
      <c r="AI718" s="418"/>
      <c r="AJ718" s="418"/>
      <c r="AK718" s="419"/>
      <c r="AL718" s="326"/>
      <c r="AM718" s="326"/>
      <c r="AN718" s="326"/>
      <c r="AO718" s="326"/>
      <c r="AP718" s="326"/>
      <c r="AQ718" s="444" t="s">
        <v>159</v>
      </c>
      <c r="AR718" s="415"/>
      <c r="AS718" s="445" t="str">
        <f t="shared" si="213"/>
        <v/>
      </c>
      <c r="AT718" s="446"/>
      <c r="AU718" s="447" t="str">
        <f t="shared" si="214"/>
        <v/>
      </c>
      <c r="AV718" s="397">
        <f t="shared" si="215"/>
        <v>0</v>
      </c>
      <c r="AW718" s="398" t="b">
        <f t="shared" si="207"/>
        <v>0</v>
      </c>
      <c r="AX718" s="448" t="b">
        <f t="shared" si="208"/>
        <v>0</v>
      </c>
      <c r="AY718" s="314"/>
      <c r="AZ718" s="449" t="b">
        <f t="shared" si="209"/>
        <v>0</v>
      </c>
      <c r="BA718" s="450" t="b">
        <f t="shared" si="210"/>
        <v>0</v>
      </c>
      <c r="BB718" s="314"/>
      <c r="BC718" s="398" t="b">
        <f t="shared" si="211"/>
        <v>0</v>
      </c>
      <c r="BD718" s="369" t="b">
        <f>OR(AV718&gt;100%,(AV718+AV719)&gt;100%)</f>
        <v>0</v>
      </c>
      <c r="BE718" s="314"/>
      <c r="BF718" s="451" t="s">
        <v>164</v>
      </c>
      <c r="BG718" s="452">
        <f>IF(AN710=EUconst_TJ,AV710*(1-AV714),IF(AN712=EUconst_GJ,AV710*AV712/1000,0))-SUM(BG719:BG725)</f>
        <v>0</v>
      </c>
      <c r="BH718" s="314"/>
      <c r="BI718" s="314"/>
      <c r="BJ718" s="314"/>
      <c r="BK718" s="314"/>
      <c r="BL718" s="314"/>
      <c r="BM718" s="314"/>
      <c r="BN718" s="314"/>
      <c r="BO718" s="314"/>
      <c r="BP718" s="314"/>
      <c r="BQ718" s="314"/>
      <c r="BR718" s="314"/>
      <c r="BS718" s="314"/>
      <c r="BT718" s="314"/>
      <c r="BU718" s="314"/>
      <c r="BV718" s="314"/>
      <c r="BW718" s="314"/>
      <c r="BX718" s="314"/>
      <c r="BY718" s="314"/>
      <c r="BZ718" s="314"/>
      <c r="CA718" s="314"/>
      <c r="CB718" s="314"/>
      <c r="CC718" s="314"/>
      <c r="CD718" s="314"/>
      <c r="CE718" s="314"/>
      <c r="CF718" s="314"/>
      <c r="CG718" s="314"/>
      <c r="CH718" s="314"/>
      <c r="CI718" s="314"/>
      <c r="CJ718" s="314"/>
      <c r="CK718" s="314"/>
      <c r="CL718" s="314"/>
      <c r="CM718" s="314"/>
      <c r="CN718" s="314"/>
      <c r="CO718" s="314"/>
      <c r="CP718" s="314"/>
      <c r="CQ718" s="407" t="b">
        <f>OR(CQ710,Y718=EUconst_NA)</f>
        <v>0</v>
      </c>
    </row>
    <row r="719" spans="1:95" ht="12.75" customHeight="1" thickBot="1" x14ac:dyDescent="0.3">
      <c r="A719" s="307"/>
      <c r="B719" s="68"/>
      <c r="C719" s="199" t="s">
        <v>165</v>
      </c>
      <c r="D719" s="344" t="str">
        <f>Translations!$B$618</f>
        <v>non-sust. SLCF:</v>
      </c>
      <c r="E719" s="441"/>
      <c r="F719" s="20" t="s">
        <v>158</v>
      </c>
      <c r="G719" s="1261"/>
      <c r="H719" s="1262"/>
      <c r="I719" s="422" t="str">
        <f t="shared" si="212"/>
        <v/>
      </c>
      <c r="J719" s="423"/>
      <c r="K719" s="443"/>
      <c r="L719" s="56"/>
      <c r="M719" s="347" t="str">
        <f>IF(AND(E705&lt;&gt;"",OR(F719="",COUNT(L719)=0),Y719&lt;&gt;EUconst_NA),EUconst_ERR_Incomplete,"")</f>
        <v/>
      </c>
      <c r="N719" s="76"/>
      <c r="O719" s="160"/>
      <c r="P719" s="348"/>
      <c r="Q719" s="413"/>
      <c r="R719" s="413"/>
      <c r="S719" s="314"/>
      <c r="T719" s="425" t="str">
        <f>EUconst_CNTR_RFNBOetcContent&amp;E705</f>
        <v>RNFBOC_</v>
      </c>
      <c r="U719" s="312"/>
      <c r="V719" s="312"/>
      <c r="W719" s="312"/>
      <c r="X719" s="312"/>
      <c r="Y719" s="438" t="str">
        <f>IF(E705="","",IF(OR(F719=EUconst_NA,W719=TRUE),EUconst_NA,INDEX(EUwideConstants!$P$164:$P$200,MATCH(T719,EUwideConstants!$S$164:$S$200,0))))</f>
        <v/>
      </c>
      <c r="Z719" s="314"/>
      <c r="AA719" s="314"/>
      <c r="AB719" s="314"/>
      <c r="AC719" s="429" t="b">
        <f>AND(AC714,Y719&lt;&gt;EUconst_NA)</f>
        <v>0</v>
      </c>
      <c r="AD719" s="314"/>
      <c r="AE719" s="430"/>
      <c r="AF719" s="431"/>
      <c r="AG719" s="432"/>
      <c r="AH719" s="433"/>
      <c r="AI719" s="433"/>
      <c r="AJ719" s="433"/>
      <c r="AK719" s="434"/>
      <c r="AL719" s="326"/>
      <c r="AM719" s="326"/>
      <c r="AN719" s="326"/>
      <c r="AO719" s="326"/>
      <c r="AP719" s="326"/>
      <c r="AQ719" s="435" t="s">
        <v>159</v>
      </c>
      <c r="AR719" s="430"/>
      <c r="AS719" s="436" t="str">
        <f t="shared" si="213"/>
        <v/>
      </c>
      <c r="AT719" s="437"/>
      <c r="AU719" s="438" t="str">
        <f t="shared" si="214"/>
        <v/>
      </c>
      <c r="AV719" s="429">
        <f t="shared" si="215"/>
        <v>0</v>
      </c>
      <c r="AW719" s="407" t="b">
        <f t="shared" si="207"/>
        <v>0</v>
      </c>
      <c r="AX719" s="439" t="b">
        <f t="shared" si="208"/>
        <v>0</v>
      </c>
      <c r="AY719" s="314"/>
      <c r="AZ719" s="408" t="b">
        <f t="shared" si="209"/>
        <v>0</v>
      </c>
      <c r="BA719" s="440" t="b">
        <f t="shared" si="210"/>
        <v>0</v>
      </c>
      <c r="BB719" s="314"/>
      <c r="BC719" s="407" t="b">
        <f t="shared" si="211"/>
        <v>0</v>
      </c>
      <c r="BD719" s="407" t="b">
        <f>OR(AV718&gt;100%,(AV718+AV719)&gt;100%)</f>
        <v>0</v>
      </c>
      <c r="BE719" s="314"/>
      <c r="BF719" s="408" t="s">
        <v>166</v>
      </c>
      <c r="BG719" s="409" t="str">
        <f>IF(AN710=EUconst_TJ,AV710*AV714,IF(AN712=EUconst_GJ,AV710*AV712/1000*AV714,""))</f>
        <v/>
      </c>
      <c r="BH719" s="314"/>
      <c r="BI719" s="314"/>
      <c r="BJ719" s="314"/>
      <c r="BK719" s="314"/>
      <c r="BL719" s="314"/>
      <c r="BM719" s="314"/>
      <c r="BN719" s="314"/>
      <c r="BO719" s="314"/>
      <c r="BP719" s="314"/>
      <c r="BQ719" s="314"/>
      <c r="BR719" s="314"/>
      <c r="BS719" s="314"/>
      <c r="BT719" s="314"/>
      <c r="BU719" s="314"/>
      <c r="BV719" s="314"/>
      <c r="BW719" s="314"/>
      <c r="BX719" s="314"/>
      <c r="BY719" s="314"/>
      <c r="BZ719" s="314"/>
      <c r="CA719" s="314"/>
      <c r="CB719" s="314"/>
      <c r="CC719" s="314"/>
      <c r="CD719" s="314"/>
      <c r="CE719" s="314"/>
      <c r="CF719" s="314"/>
      <c r="CG719" s="314"/>
      <c r="CH719" s="314"/>
      <c r="CI719" s="314"/>
      <c r="CJ719" s="314"/>
      <c r="CK719" s="314"/>
      <c r="CL719" s="314"/>
      <c r="CM719" s="314"/>
      <c r="CN719" s="314"/>
      <c r="CO719" s="314"/>
      <c r="CP719" s="314"/>
      <c r="CQ719" s="407" t="b">
        <f>OR(CQ710,Y719=EUconst_NA)</f>
        <v>0</v>
      </c>
    </row>
    <row r="720" spans="1:95" ht="5.15" customHeight="1" thickBot="1" x14ac:dyDescent="0.3">
      <c r="A720" s="307"/>
      <c r="B720" s="68"/>
      <c r="C720" s="68"/>
      <c r="D720" s="205"/>
      <c r="E720" s="76"/>
      <c r="F720" s="76"/>
      <c r="G720" s="76"/>
      <c r="H720" s="76"/>
      <c r="I720" s="76"/>
      <c r="J720" s="76"/>
      <c r="K720" s="76"/>
      <c r="L720" s="76"/>
      <c r="M720" s="453"/>
      <c r="N720" s="76"/>
      <c r="O720" s="160"/>
      <c r="P720" s="109"/>
      <c r="Q720" s="312"/>
      <c r="R720" s="312"/>
      <c r="S720" s="314"/>
      <c r="T720" s="314"/>
      <c r="U720" s="314"/>
      <c r="V720" s="314"/>
      <c r="W720" s="314"/>
      <c r="X720" s="314"/>
      <c r="Y720" s="314"/>
      <c r="Z720" s="314"/>
      <c r="AA720" s="314"/>
      <c r="AB720" s="314"/>
      <c r="AC720" s="314"/>
      <c r="AD720" s="314"/>
      <c r="AE720" s="314"/>
      <c r="AF720" s="314"/>
      <c r="AG720" s="314"/>
      <c r="AH720" s="314"/>
      <c r="AI720" s="314"/>
      <c r="AJ720" s="314"/>
      <c r="AK720" s="314"/>
      <c r="AL720" s="314"/>
      <c r="AM720" s="314"/>
      <c r="AN720" s="314"/>
      <c r="AO720" s="314"/>
      <c r="AP720" s="314"/>
      <c r="AQ720" s="314"/>
      <c r="AR720" s="314"/>
      <c r="AS720" s="314"/>
      <c r="AT720" s="314"/>
      <c r="AU720" s="314"/>
      <c r="AV720" s="314"/>
      <c r="AW720" s="314"/>
      <c r="AX720" s="314"/>
      <c r="AY720" s="314"/>
      <c r="AZ720" s="314"/>
      <c r="BA720" s="314"/>
      <c r="BB720" s="314"/>
      <c r="BC720" s="314"/>
      <c r="BD720" s="314"/>
      <c r="BE720" s="314"/>
      <c r="BF720" s="314"/>
      <c r="BG720" s="364"/>
      <c r="BH720" s="314"/>
      <c r="BI720" s="314"/>
      <c r="BJ720" s="314"/>
      <c r="BK720" s="314"/>
      <c r="BL720" s="314"/>
      <c r="BM720" s="314"/>
      <c r="BN720" s="314"/>
      <c r="BO720" s="314"/>
      <c r="BP720" s="314"/>
      <c r="BQ720" s="314"/>
      <c r="BR720" s="314"/>
      <c r="BS720" s="314"/>
      <c r="BT720" s="314"/>
      <c r="BU720" s="314"/>
      <c r="BV720" s="314"/>
      <c r="BW720" s="314"/>
      <c r="BX720" s="314"/>
      <c r="BY720" s="314"/>
      <c r="BZ720" s="314"/>
      <c r="CA720" s="314"/>
      <c r="CB720" s="314"/>
      <c r="CC720" s="314"/>
      <c r="CD720" s="314"/>
      <c r="CE720" s="314"/>
      <c r="CF720" s="314"/>
      <c r="CG720" s="314"/>
      <c r="CH720" s="314"/>
      <c r="CI720" s="314"/>
      <c r="CJ720" s="314"/>
      <c r="CK720" s="314"/>
      <c r="CL720" s="314"/>
      <c r="CM720" s="314"/>
      <c r="CN720" s="314"/>
      <c r="CO720" s="314"/>
      <c r="CP720" s="314"/>
      <c r="CQ720" s="314"/>
    </row>
    <row r="721" spans="1:95" ht="12.75" customHeight="1" thickBot="1" x14ac:dyDescent="0.3">
      <c r="A721" s="307"/>
      <c r="B721" s="68"/>
      <c r="C721" s="199" t="s">
        <v>167</v>
      </c>
      <c r="D721" s="344" t="str">
        <f>Translations!$B$398</f>
        <v>Scope factor:</v>
      </c>
      <c r="E721" s="454"/>
      <c r="F721" s="992"/>
      <c r="G721" s="1263"/>
      <c r="H721" s="1264"/>
      <c r="I721" s="455" t="s">
        <v>46</v>
      </c>
      <c r="J721" s="456"/>
      <c r="K721" s="457" t="str">
        <f>IF(L721="",AU721,"")</f>
        <v/>
      </c>
      <c r="L721" s="16"/>
      <c r="M721" s="458" t="str">
        <f>IF(AND(E705&lt;&gt;"",OR(F721="",G721="",COUNT(K721:L721)=0)),EUconst_ERR_Incomplete,IF(COUNTIF(BB721:BD721,TRUE)&gt;0,EUconst_ERR_Inconsistent,""))</f>
        <v/>
      </c>
      <c r="N721" s="76"/>
      <c r="O721" s="160"/>
      <c r="P721" s="109"/>
      <c r="Q721" s="312"/>
      <c r="R721" s="314"/>
      <c r="S721" s="297"/>
      <c r="T721" s="459" t="str">
        <f>EUconst_CNTR_ScopeFactor&amp;E705</f>
        <v>ScopeFactor_</v>
      </c>
      <c r="U721" s="231" t="str">
        <f>IF(F721="","",INDEX(ScopeAddress,MATCH(F721,ScopeTiers,0)))</f>
        <v/>
      </c>
      <c r="V721" s="360" t="str">
        <f>V710</f>
        <v/>
      </c>
      <c r="W721" s="314"/>
      <c r="X721" s="314"/>
      <c r="Y721" s="460" t="str">
        <f>IF(E705="","",IF(F721=EUconst_NA,EUconst_NA,INDEX(EUwideConstants!$P$164:$P$200,MATCH(T721,EUwideConstants!$S$164:$S$200,0))))</f>
        <v/>
      </c>
      <c r="Z721" s="461" t="str">
        <f>IF(ISBLANK(F721),"",IF(F721=EUconst_NA,"",INDEX(EUwideConstants!$H:$O,MATCH(T721,EUwideConstants!$S:$S,0),MATCH(F721,CNTR_TierList,0))))</f>
        <v/>
      </c>
      <c r="AA721" s="331" t="str">
        <f>IF(G721=EUwideConstants!$A$89,1,"")</f>
        <v/>
      </c>
      <c r="AB721" s="314"/>
      <c r="AC721" s="331" t="b">
        <f>AND(AC710,Y721&lt;&gt;EUconst_NA)</f>
        <v>0</v>
      </c>
      <c r="AD721" s="314"/>
      <c r="AE721" s="314"/>
      <c r="AF721" s="314"/>
      <c r="AG721" s="319"/>
      <c r="AH721" s="314"/>
      <c r="AI721" s="314"/>
      <c r="AJ721" s="314"/>
      <c r="AK721" s="314"/>
      <c r="AL721" s="314"/>
      <c r="AM721" s="314"/>
      <c r="AN721" s="314"/>
      <c r="AO721" s="314"/>
      <c r="AP721" s="314"/>
      <c r="AQ721" s="314"/>
      <c r="AR721" s="314"/>
      <c r="AS721" s="328">
        <v>1</v>
      </c>
      <c r="AT721" s="314"/>
      <c r="AU721" s="319" t="str">
        <f>IF(G721=EUwideConstants!$A$89,AS721,"")</f>
        <v/>
      </c>
      <c r="AV721" s="331">
        <f>IF(AC721=TRUE,IF(COUNT(K721:L721)=0,0,IF(L721="",K721,L721)),0)</f>
        <v>0</v>
      </c>
      <c r="AW721" s="360" t="b">
        <f>AND(AC721=TRUE,OR(AND(F721&lt;&gt;"",NOT(ISNUMBER(AA721))),L721&lt;&gt;"",F721="",AU721=""))</f>
        <v>0</v>
      </c>
      <c r="AX721" s="357" t="b">
        <f>AND(AC721=TRUE,NOT(AW721))</f>
        <v>0</v>
      </c>
      <c r="AY721" s="314"/>
      <c r="AZ721" s="361" t="b">
        <f>AND(ISNUMBER(AA721),AU721="")</f>
        <v>0</v>
      </c>
      <c r="BA721" s="351" t="b">
        <f>AND(ISNUMBER(AA721),AU721&lt;&gt;AV721)</f>
        <v>0</v>
      </c>
      <c r="BB721" s="314"/>
      <c r="BC721" s="360" t="b">
        <f>AND(F721&lt;&gt;"",OR(COUNTIF(INDEX(ScopeMethods,F721,),G721)=0,AND(AA721&lt;&gt;"",AU721&lt;&gt;AV721)))</f>
        <v>0</v>
      </c>
      <c r="BD721" s="314"/>
      <c r="BE721" s="314"/>
      <c r="BF721" s="361" t="s">
        <v>168</v>
      </c>
      <c r="BG721" s="362" t="str">
        <f>IF(AN710=EUconst_TJ,AV710*AV716,IF(AN712=EUconst_GJ,AV710*AV712/1000*AV716,""))</f>
        <v/>
      </c>
      <c r="BH721" s="314"/>
      <c r="BI721" s="314"/>
      <c r="BJ721" s="314"/>
      <c r="BK721" s="314"/>
      <c r="BL721" s="314"/>
      <c r="BM721" s="314"/>
      <c r="BN721" s="314"/>
      <c r="BO721" s="314"/>
      <c r="BP721" s="314"/>
      <c r="BQ721" s="314"/>
      <c r="BR721" s="314"/>
      <c r="BS721" s="314"/>
      <c r="BT721" s="314"/>
      <c r="BU721" s="314"/>
      <c r="BV721" s="314"/>
      <c r="BW721" s="314"/>
      <c r="BX721" s="314"/>
      <c r="BY721" s="314"/>
      <c r="BZ721" s="314"/>
      <c r="CA721" s="314"/>
      <c r="CB721" s="314"/>
      <c r="CC721" s="314"/>
      <c r="CD721" s="314"/>
      <c r="CE721" s="314"/>
      <c r="CF721" s="314"/>
      <c r="CG721" s="314"/>
      <c r="CH721" s="314"/>
      <c r="CI721" s="314"/>
      <c r="CJ721" s="314"/>
      <c r="CK721" s="314"/>
      <c r="CL721" s="314"/>
      <c r="CM721" s="314"/>
      <c r="CN721" s="314"/>
      <c r="CO721" s="314"/>
      <c r="CP721" s="314"/>
      <c r="CQ721" s="314"/>
    </row>
    <row r="722" spans="1:95" ht="12.75" customHeight="1" x14ac:dyDescent="0.25">
      <c r="A722" s="307"/>
      <c r="B722" s="68"/>
      <c r="C722" s="68"/>
      <c r="D722" s="68"/>
      <c r="E722" s="68"/>
      <c r="F722" s="68"/>
      <c r="G722" s="1265" t="str">
        <f>IF(G721="","",INDEX(ScopeMethodsDetails,MATCH(G721,INDEX(ScopeMethodsDetails,,1),0),2))</f>
        <v/>
      </c>
      <c r="H722" s="1266"/>
      <c r="I722" s="1266"/>
      <c r="J722" s="1266"/>
      <c r="K722" s="1266"/>
      <c r="L722" s="1266"/>
      <c r="M722" s="1267"/>
      <c r="N722" s="76"/>
      <c r="O722" s="160"/>
      <c r="P722" s="109"/>
      <c r="Q722" s="312"/>
      <c r="R722" s="312"/>
      <c r="S722" s="314"/>
      <c r="T722" s="314"/>
      <c r="U722" s="314"/>
      <c r="V722" s="314"/>
      <c r="W722" s="314"/>
      <c r="X722" s="314"/>
      <c r="Y722" s="314"/>
      <c r="Z722" s="314"/>
      <c r="AA722" s="314"/>
      <c r="AB722" s="314"/>
      <c r="AC722" s="314"/>
      <c r="AD722" s="314"/>
      <c r="AE722" s="314"/>
      <c r="AF722" s="314"/>
      <c r="AG722" s="314"/>
      <c r="AH722" s="314"/>
      <c r="AI722" s="314"/>
      <c r="AJ722" s="314"/>
      <c r="AK722" s="314"/>
      <c r="AL722" s="314"/>
      <c r="AM722" s="314"/>
      <c r="AN722" s="314"/>
      <c r="AO722" s="314"/>
      <c r="AP722" s="314"/>
      <c r="AQ722" s="314"/>
      <c r="AR722" s="314"/>
      <c r="AS722" s="314"/>
      <c r="AT722" s="314"/>
      <c r="AU722" s="314"/>
      <c r="AV722" s="314"/>
      <c r="AW722" s="314"/>
      <c r="AX722" s="314"/>
      <c r="AY722" s="314"/>
      <c r="AZ722" s="314"/>
      <c r="BA722" s="314"/>
      <c r="BB722" s="314"/>
      <c r="BC722" s="314"/>
      <c r="BD722" s="314"/>
      <c r="BE722" s="314"/>
      <c r="BG722" s="364"/>
      <c r="BH722" s="314"/>
      <c r="BI722" s="314"/>
      <c r="BJ722" s="314"/>
      <c r="BK722" s="314"/>
      <c r="BL722" s="314"/>
      <c r="BM722" s="314"/>
      <c r="BN722" s="314"/>
      <c r="BO722" s="314"/>
      <c r="BP722" s="314"/>
      <c r="BQ722" s="314"/>
      <c r="BR722" s="314"/>
      <c r="BS722" s="314"/>
      <c r="BT722" s="314"/>
      <c r="BU722" s="314"/>
      <c r="BV722" s="314"/>
      <c r="BW722" s="314"/>
      <c r="BX722" s="314"/>
      <c r="BY722" s="314"/>
      <c r="BZ722" s="314"/>
      <c r="CA722" s="314"/>
      <c r="CB722" s="314"/>
      <c r="CC722" s="314"/>
      <c r="CD722" s="314"/>
      <c r="CE722" s="314"/>
      <c r="CF722" s="314"/>
      <c r="CG722" s="314"/>
      <c r="CH722" s="314"/>
      <c r="CI722" s="314"/>
      <c r="CJ722" s="314"/>
      <c r="CK722" s="314"/>
      <c r="CL722" s="314"/>
      <c r="CM722" s="314"/>
      <c r="CN722" s="314"/>
      <c r="CO722" s="314"/>
      <c r="CP722" s="314"/>
      <c r="CQ722" s="314"/>
    </row>
    <row r="723" spans="1:95" ht="5.15" customHeight="1" x14ac:dyDescent="0.25">
      <c r="A723" s="307"/>
      <c r="C723" s="76"/>
      <c r="D723" s="76"/>
      <c r="E723" s="76"/>
      <c r="F723" s="76"/>
      <c r="G723" s="76"/>
      <c r="H723" s="76"/>
      <c r="I723" s="76"/>
      <c r="J723" s="76"/>
      <c r="K723" s="76"/>
      <c r="L723" s="76"/>
      <c r="O723" s="160"/>
      <c r="P723" s="109"/>
      <c r="Q723" s="312"/>
      <c r="R723" s="312"/>
      <c r="S723" s="314"/>
      <c r="T723" s="314"/>
      <c r="U723" s="314"/>
      <c r="V723" s="314"/>
      <c r="W723" s="314"/>
      <c r="X723" s="314"/>
      <c r="Y723" s="314"/>
      <c r="Z723" s="314"/>
      <c r="AA723" s="314"/>
      <c r="AB723" s="314"/>
      <c r="AC723" s="314"/>
      <c r="AD723" s="314"/>
      <c r="AE723" s="314"/>
      <c r="AF723" s="314"/>
      <c r="AG723" s="314"/>
      <c r="AH723" s="314"/>
      <c r="AI723" s="314"/>
      <c r="AJ723" s="314"/>
      <c r="AK723" s="314"/>
      <c r="AL723" s="314"/>
      <c r="AM723" s="314"/>
      <c r="AN723" s="314"/>
      <c r="AO723" s="314"/>
      <c r="AP723" s="314"/>
      <c r="AQ723" s="314"/>
      <c r="AR723" s="314"/>
      <c r="AS723" s="314"/>
      <c r="AT723" s="314"/>
      <c r="AU723" s="314"/>
      <c r="AV723" s="314"/>
      <c r="AW723" s="314"/>
      <c r="AX723" s="314"/>
      <c r="AY723" s="314"/>
      <c r="AZ723" s="314"/>
      <c r="BA723" s="314"/>
      <c r="BB723" s="314"/>
      <c r="BC723" s="314"/>
      <c r="BD723" s="314"/>
      <c r="BE723" s="314"/>
      <c r="BG723" s="364"/>
      <c r="BH723" s="314"/>
      <c r="BI723" s="314"/>
      <c r="BJ723" s="314"/>
      <c r="BK723" s="314"/>
      <c r="BL723" s="314"/>
      <c r="BM723" s="314"/>
      <c r="BN723" s="314"/>
      <c r="BO723" s="314"/>
      <c r="BP723" s="314"/>
      <c r="BQ723" s="314"/>
      <c r="BR723" s="314"/>
      <c r="BS723" s="314"/>
      <c r="BT723" s="314"/>
      <c r="BU723" s="314"/>
      <c r="BV723" s="314"/>
      <c r="BW723" s="314"/>
      <c r="BX723" s="314"/>
      <c r="BY723" s="314"/>
      <c r="BZ723" s="314"/>
      <c r="CA723" s="314"/>
      <c r="CB723" s="314"/>
      <c r="CC723" s="314"/>
      <c r="CD723" s="314"/>
      <c r="CE723" s="314"/>
      <c r="CF723" s="314"/>
      <c r="CG723" s="314"/>
      <c r="CH723" s="314"/>
      <c r="CI723" s="314"/>
      <c r="CJ723" s="314"/>
      <c r="CK723" s="314"/>
      <c r="CL723" s="314"/>
      <c r="CM723" s="314"/>
      <c r="CN723" s="314"/>
      <c r="CO723" s="314"/>
      <c r="CP723" s="314"/>
      <c r="CQ723" s="314"/>
    </row>
    <row r="724" spans="1:95" ht="12.75" customHeight="1" thickBot="1" x14ac:dyDescent="0.3">
      <c r="A724" s="307"/>
      <c r="C724" s="76"/>
      <c r="D724" s="76"/>
      <c r="E724" s="76"/>
      <c r="F724" s="76"/>
      <c r="G724" s="1268">
        <v>1</v>
      </c>
      <c r="H724" s="1268"/>
      <c r="I724" s="1268">
        <v>2</v>
      </c>
      <c r="J724" s="1268"/>
      <c r="K724" s="1268">
        <v>3</v>
      </c>
      <c r="L724" s="1268"/>
      <c r="O724" s="160"/>
      <c r="P724" s="109"/>
      <c r="Q724" s="312"/>
      <c r="R724" s="312"/>
      <c r="S724" s="314"/>
      <c r="T724" s="314"/>
      <c r="U724" s="314"/>
      <c r="V724" s="314"/>
      <c r="W724" s="314"/>
      <c r="X724" s="314"/>
      <c r="Y724" s="314"/>
      <c r="Z724" s="314"/>
      <c r="AA724" s="314"/>
      <c r="AB724" s="314"/>
      <c r="AC724" s="314"/>
      <c r="AD724" s="314"/>
      <c r="AE724" s="314"/>
      <c r="AF724" s="314"/>
      <c r="AG724" s="314"/>
      <c r="AH724" s="314"/>
      <c r="AI724" s="314"/>
      <c r="AJ724" s="314"/>
      <c r="AK724" s="314"/>
      <c r="AL724" s="314"/>
      <c r="AM724" s="314"/>
      <c r="AN724" s="314"/>
      <c r="AO724" s="314"/>
      <c r="AP724" s="314"/>
      <c r="AQ724" s="314"/>
      <c r="AR724" s="314"/>
      <c r="AS724" s="314"/>
      <c r="AT724" s="314"/>
      <c r="AU724" s="314"/>
      <c r="AV724" s="314"/>
      <c r="AW724" s="314"/>
      <c r="AX724" s="314"/>
      <c r="AY724" s="314"/>
      <c r="AZ724" s="314"/>
      <c r="BA724" s="314"/>
      <c r="BB724" s="314"/>
      <c r="BC724" s="314"/>
      <c r="BD724" s="314"/>
      <c r="BE724" s="314"/>
      <c r="BF724" s="314"/>
      <c r="BG724" s="364"/>
      <c r="BH724" s="314"/>
      <c r="BI724" s="314"/>
      <c r="BJ724" s="314"/>
      <c r="BK724" s="314"/>
      <c r="BL724" s="314"/>
      <c r="BM724" s="314"/>
      <c r="BN724" s="314"/>
      <c r="BO724" s="314"/>
      <c r="BP724" s="314"/>
      <c r="BQ724" s="314"/>
      <c r="BR724" s="314"/>
      <c r="BS724" s="314"/>
      <c r="BT724" s="314"/>
      <c r="BU724" s="314"/>
      <c r="BV724" s="314"/>
      <c r="BW724" s="314"/>
      <c r="BX724" s="314"/>
      <c r="BY724" s="314"/>
      <c r="BZ724" s="314"/>
      <c r="CA724" s="314"/>
      <c r="CB724" s="314"/>
      <c r="CC724" s="314"/>
      <c r="CD724" s="314"/>
      <c r="CE724" s="314"/>
      <c r="CF724" s="314"/>
      <c r="CG724" s="314"/>
      <c r="CH724" s="314"/>
      <c r="CI724" s="314"/>
      <c r="CJ724" s="314"/>
      <c r="CK724" s="314"/>
      <c r="CL724" s="314"/>
      <c r="CM724" s="314"/>
      <c r="CN724" s="314"/>
      <c r="CO724" s="314"/>
      <c r="CP724" s="314"/>
      <c r="CQ724" s="314"/>
    </row>
    <row r="725" spans="1:95" ht="12.75" customHeight="1" thickBot="1" x14ac:dyDescent="0.3">
      <c r="A725" s="462"/>
      <c r="B725" s="76"/>
      <c r="C725" s="76"/>
      <c r="D725" s="1246" t="str">
        <f>Translations!$B$372</f>
        <v>Consumers' CRF category:</v>
      </c>
      <c r="E725" s="1246"/>
      <c r="F725" s="1247"/>
      <c r="G725" s="1248"/>
      <c r="H725" s="1249"/>
      <c r="I725" s="1248"/>
      <c r="J725" s="1249"/>
      <c r="K725" s="1248"/>
      <c r="L725" s="1249"/>
      <c r="M725" s="463" t="str">
        <f>IF(AND(E704&lt;&gt;"",COUNTA(G725:L725)=0,AX725=FALSE),EUconst_ERR_Incomplete,"")</f>
        <v/>
      </c>
      <c r="N725" s="76"/>
      <c r="O725" s="160"/>
      <c r="P725" s="109"/>
      <c r="Q725" s="312"/>
      <c r="R725" s="312"/>
      <c r="S725" s="314"/>
      <c r="T725" s="314"/>
      <c r="U725" s="314"/>
      <c r="V725" s="314"/>
      <c r="W725" s="314"/>
      <c r="X725" s="314"/>
      <c r="Y725" s="314"/>
      <c r="Z725" s="314"/>
      <c r="AA725" s="314"/>
      <c r="AB725" s="314"/>
      <c r="AC725" s="314"/>
      <c r="AD725" s="314"/>
      <c r="AE725" s="314"/>
      <c r="AF725" s="314"/>
      <c r="AG725" s="314"/>
      <c r="AH725" s="314"/>
      <c r="AI725" s="314"/>
      <c r="AJ725" s="314"/>
      <c r="AK725" s="314"/>
      <c r="AL725" s="314"/>
      <c r="AM725" s="314"/>
      <c r="AN725" s="314"/>
      <c r="AO725" s="314"/>
      <c r="AP725" s="314"/>
      <c r="AQ725" s="314"/>
      <c r="AR725" s="314"/>
      <c r="AS725" s="314"/>
      <c r="AT725" s="314"/>
      <c r="AU725" s="314"/>
      <c r="AV725" s="314"/>
      <c r="AW725" s="314"/>
      <c r="AX725" s="464" t="b">
        <f>AND(AV721&lt;&gt;"",SUM(AV721=1))</f>
        <v>0</v>
      </c>
      <c r="AY725" s="314"/>
      <c r="AZ725" s="314"/>
      <c r="BA725" s="314"/>
      <c r="BB725" s="314"/>
      <c r="BC725" s="314"/>
      <c r="BD725" s="314"/>
      <c r="BE725" s="314"/>
      <c r="BF725" s="361" t="s">
        <v>169</v>
      </c>
      <c r="BG725" s="362" t="str">
        <f>IF(AN710=EUconst_TJ,AV710*AV718,IF(AN712=EUconst_GJ,AV710*AV712/1000*AV718,""))</f>
        <v/>
      </c>
      <c r="BH725" s="314"/>
      <c r="BI725" s="314"/>
      <c r="BJ725" s="314"/>
      <c r="BK725" s="314"/>
      <c r="BL725" s="314"/>
      <c r="BM725" s="314"/>
      <c r="BN725" s="314"/>
      <c r="BO725" s="314"/>
      <c r="BP725" s="314"/>
      <c r="BQ725" s="314"/>
      <c r="BR725" s="314"/>
      <c r="BS725" s="314"/>
      <c r="BT725" s="314"/>
      <c r="BU725" s="314"/>
      <c r="BV725" s="314"/>
      <c r="BW725" s="314"/>
      <c r="BX725" s="314"/>
      <c r="BY725" s="314"/>
      <c r="BZ725" s="314"/>
      <c r="CA725" s="314"/>
      <c r="CB725" s="314"/>
      <c r="CC725" s="314"/>
      <c r="CD725" s="314"/>
      <c r="CE725" s="314"/>
      <c r="CF725" s="314"/>
      <c r="CG725" s="314"/>
      <c r="CH725" s="314"/>
      <c r="CI725" s="314"/>
      <c r="CJ725" s="314"/>
      <c r="CK725" s="314"/>
      <c r="CL725" s="314"/>
      <c r="CM725" s="314"/>
      <c r="CN725" s="314"/>
      <c r="CO725" s="314"/>
      <c r="CP725" s="314"/>
      <c r="CQ725" s="314"/>
    </row>
    <row r="726" spans="1:95" ht="5.15" customHeight="1" x14ac:dyDescent="0.25">
      <c r="A726" s="307"/>
      <c r="B726" s="68"/>
      <c r="C726" s="68"/>
      <c r="D726" s="68"/>
      <c r="E726" s="68"/>
      <c r="F726" s="68"/>
      <c r="G726" s="76"/>
      <c r="H726" s="76"/>
      <c r="I726" s="76"/>
      <c r="J726" s="76"/>
      <c r="K726" s="76"/>
      <c r="L726" s="76"/>
      <c r="M726" s="76"/>
      <c r="N726" s="76"/>
      <c r="O726" s="160"/>
      <c r="P726" s="109"/>
      <c r="Q726" s="312"/>
      <c r="R726" s="312"/>
      <c r="S726" s="314"/>
      <c r="T726" s="314"/>
      <c r="U726" s="314"/>
      <c r="V726" s="314"/>
      <c r="W726" s="314"/>
      <c r="X726" s="314"/>
      <c r="Y726" s="314"/>
      <c r="Z726" s="314"/>
      <c r="AA726" s="314"/>
      <c r="AB726" s="314"/>
      <c r="AC726" s="314"/>
      <c r="AD726" s="314"/>
      <c r="AE726" s="314"/>
      <c r="AF726" s="314"/>
      <c r="AG726" s="314"/>
      <c r="AH726" s="314"/>
      <c r="AI726" s="314"/>
      <c r="AJ726" s="314"/>
      <c r="AK726" s="314"/>
      <c r="AL726" s="314"/>
      <c r="AM726" s="314"/>
      <c r="AN726" s="314"/>
      <c r="AO726" s="314"/>
      <c r="AP726" s="314"/>
      <c r="AQ726" s="314"/>
      <c r="AR726" s="314"/>
      <c r="AS726" s="314"/>
      <c r="AT726" s="314"/>
      <c r="AU726" s="314"/>
      <c r="AV726" s="314"/>
      <c r="AW726" s="314"/>
      <c r="AX726" s="314"/>
      <c r="AY726" s="314"/>
      <c r="AZ726" s="314"/>
      <c r="BA726" s="314"/>
      <c r="BB726" s="314"/>
      <c r="BC726" s="314"/>
      <c r="BD726" s="314"/>
      <c r="BE726" s="314"/>
      <c r="BF726" s="314"/>
      <c r="BG726" s="314"/>
      <c r="BH726" s="314"/>
      <c r="BI726" s="314"/>
      <c r="BJ726" s="314"/>
      <c r="BK726" s="314"/>
      <c r="BL726" s="314"/>
      <c r="BM726" s="314"/>
      <c r="BN726" s="314"/>
      <c r="BO726" s="314"/>
      <c r="BP726" s="314"/>
      <c r="BQ726" s="314"/>
      <c r="BR726" s="314"/>
      <c r="BS726" s="314"/>
      <c r="BT726" s="314"/>
      <c r="BU726" s="314"/>
      <c r="BV726" s="314"/>
      <c r="BW726" s="314"/>
      <c r="BX726" s="314"/>
      <c r="BY726" s="314"/>
      <c r="BZ726" s="314"/>
      <c r="CA726" s="314"/>
      <c r="CB726" s="314"/>
      <c r="CC726" s="314"/>
      <c r="CD726" s="314"/>
      <c r="CE726" s="314"/>
      <c r="CF726" s="314"/>
      <c r="CG726" s="314"/>
      <c r="CH726" s="314"/>
      <c r="CI726" s="314"/>
      <c r="CJ726" s="314"/>
      <c r="CK726" s="314"/>
      <c r="CL726" s="314"/>
      <c r="CM726" s="314"/>
      <c r="CN726" s="314"/>
      <c r="CO726" s="314"/>
      <c r="CP726" s="314"/>
      <c r="CQ726" s="314"/>
    </row>
    <row r="727" spans="1:95" ht="12.75" customHeight="1" x14ac:dyDescent="0.25">
      <c r="A727" s="307"/>
      <c r="B727" s="68"/>
      <c r="C727" s="68"/>
      <c r="D727" s="1246" t="str">
        <f>Translations!$B$399</f>
        <v>Tiers valid from:</v>
      </c>
      <c r="E727" s="1246"/>
      <c r="F727" s="1247"/>
      <c r="G727" s="8"/>
      <c r="H727" s="199" t="str">
        <f>Translations!$B$400</f>
        <v>until:</v>
      </c>
      <c r="I727" s="8"/>
      <c r="J727" s="76"/>
      <c r="K727" s="76"/>
      <c r="L727" s="76"/>
      <c r="M727" s="199" t="str">
        <f>Translations!$B$401</f>
        <v>ID used in the monitoring plan for this fuel stream:</v>
      </c>
      <c r="N727" s="9"/>
      <c r="O727" s="160"/>
      <c r="P727" s="109"/>
      <c r="Q727" s="312"/>
      <c r="R727" s="312"/>
      <c r="S727" s="465"/>
      <c r="T727" s="314"/>
      <c r="U727" s="314"/>
      <c r="V727" s="314"/>
      <c r="W727" s="314"/>
      <c r="X727" s="314"/>
      <c r="Y727" s="314"/>
      <c r="Z727" s="314"/>
      <c r="AA727" s="314"/>
      <c r="AB727" s="314"/>
      <c r="AC727" s="314"/>
      <c r="AD727" s="314"/>
      <c r="AE727" s="314"/>
      <c r="AF727" s="314"/>
      <c r="AG727" s="314"/>
      <c r="AH727" s="314"/>
      <c r="AI727" s="314"/>
      <c r="AJ727" s="314"/>
      <c r="AK727" s="314"/>
      <c r="AL727" s="314"/>
      <c r="AM727" s="314"/>
      <c r="AN727" s="314"/>
      <c r="AO727" s="314"/>
      <c r="AP727" s="314"/>
      <c r="AQ727" s="314"/>
      <c r="AR727" s="314"/>
      <c r="AS727" s="314"/>
      <c r="AT727" s="314"/>
      <c r="AU727" s="314"/>
      <c r="AV727" s="314"/>
      <c r="AW727" s="314"/>
      <c r="AX727" s="314"/>
      <c r="AY727" s="314"/>
      <c r="AZ727" s="314"/>
      <c r="BA727" s="314"/>
      <c r="BB727" s="314"/>
      <c r="BC727" s="314"/>
      <c r="BD727" s="314"/>
      <c r="BE727" s="314"/>
      <c r="BF727" s="314"/>
      <c r="BG727" s="314"/>
      <c r="BH727" s="314"/>
      <c r="BI727" s="314"/>
      <c r="BJ727" s="314"/>
      <c r="BK727" s="314"/>
      <c r="BL727" s="314"/>
      <c r="BM727" s="314"/>
      <c r="BN727" s="314"/>
      <c r="BO727" s="314"/>
      <c r="BP727" s="314"/>
      <c r="BQ727" s="314"/>
      <c r="BR727" s="314"/>
      <c r="BS727" s="314"/>
      <c r="BT727" s="314"/>
      <c r="BU727" s="314"/>
      <c r="BV727" s="314"/>
      <c r="BW727" s="314"/>
      <c r="BX727" s="314"/>
      <c r="BY727" s="314"/>
      <c r="BZ727" s="314"/>
      <c r="CA727" s="314"/>
      <c r="CB727" s="314"/>
      <c r="CC727" s="314"/>
      <c r="CD727" s="314"/>
      <c r="CE727" s="314"/>
      <c r="CF727" s="314"/>
      <c r="CG727" s="314"/>
      <c r="CH727" s="314"/>
      <c r="CI727" s="314"/>
      <c r="CJ727" s="314"/>
      <c r="CK727" s="314"/>
      <c r="CL727" s="314"/>
      <c r="CM727" s="314"/>
      <c r="CN727" s="314"/>
      <c r="CO727" s="314"/>
      <c r="CP727" s="314"/>
      <c r="CQ727" s="464" t="b">
        <f>CQ710</f>
        <v>0</v>
      </c>
    </row>
    <row r="728" spans="1:95" ht="5.15" customHeight="1" x14ac:dyDescent="0.25">
      <c r="A728" s="462"/>
      <c r="B728" s="76"/>
      <c r="C728" s="76"/>
      <c r="D728" s="76"/>
      <c r="E728" s="76"/>
      <c r="F728" s="76"/>
      <c r="G728" s="76"/>
      <c r="H728" s="76"/>
      <c r="I728" s="76"/>
      <c r="J728" s="76"/>
      <c r="K728" s="76"/>
      <c r="L728" s="76"/>
      <c r="M728" s="76"/>
      <c r="N728" s="76"/>
      <c r="O728" s="160"/>
      <c r="P728" s="109"/>
      <c r="Q728" s="312"/>
      <c r="R728" s="312"/>
      <c r="S728" s="314"/>
      <c r="T728" s="314"/>
      <c r="U728" s="314"/>
      <c r="V728" s="314"/>
      <c r="W728" s="314"/>
      <c r="X728" s="314"/>
      <c r="Y728" s="314"/>
      <c r="Z728" s="314"/>
      <c r="AA728" s="314"/>
      <c r="AB728" s="314"/>
      <c r="AC728" s="314"/>
      <c r="AD728" s="314"/>
      <c r="AE728" s="314"/>
      <c r="AF728" s="314"/>
      <c r="AG728" s="314"/>
      <c r="AH728" s="314"/>
      <c r="AI728" s="314"/>
      <c r="AJ728" s="314"/>
      <c r="AK728" s="314"/>
      <c r="AL728" s="314"/>
      <c r="AM728" s="314"/>
      <c r="AN728" s="314"/>
      <c r="AO728" s="314"/>
      <c r="AP728" s="314"/>
      <c r="AQ728" s="314"/>
      <c r="AR728" s="314"/>
      <c r="AS728" s="314"/>
      <c r="AT728" s="314"/>
      <c r="AU728" s="314"/>
      <c r="AV728" s="314"/>
      <c r="AW728" s="314"/>
      <c r="AX728" s="314"/>
      <c r="AY728" s="314"/>
      <c r="AZ728" s="314"/>
      <c r="BA728" s="314"/>
      <c r="BB728" s="314"/>
      <c r="BC728" s="314"/>
      <c r="BD728" s="314"/>
      <c r="BE728" s="314"/>
      <c r="BF728" s="314"/>
      <c r="BG728" s="314"/>
      <c r="BH728" s="314"/>
      <c r="BI728" s="314"/>
      <c r="BJ728" s="314"/>
      <c r="BK728" s="314"/>
      <c r="BL728" s="314"/>
      <c r="BM728" s="314"/>
      <c r="BN728" s="314"/>
      <c r="BO728" s="314"/>
      <c r="BP728" s="314"/>
      <c r="BQ728" s="314"/>
      <c r="BR728" s="314"/>
      <c r="BS728" s="314"/>
      <c r="BT728" s="314"/>
      <c r="BU728" s="314"/>
      <c r="BV728" s="314"/>
      <c r="BW728" s="314"/>
      <c r="BX728" s="314"/>
      <c r="BY728" s="314"/>
      <c r="BZ728" s="314"/>
      <c r="CA728" s="314"/>
      <c r="CB728" s="314"/>
      <c r="CC728" s="314"/>
      <c r="CD728" s="314"/>
      <c r="CE728" s="314"/>
      <c r="CF728" s="314"/>
      <c r="CG728" s="314"/>
      <c r="CH728" s="314"/>
      <c r="CI728" s="314"/>
      <c r="CJ728" s="314"/>
      <c r="CK728" s="314"/>
      <c r="CL728" s="314"/>
      <c r="CM728" s="314"/>
      <c r="CN728" s="314"/>
      <c r="CO728" s="314"/>
      <c r="CP728" s="314"/>
      <c r="CQ728" s="314"/>
    </row>
    <row r="729" spans="1:95" ht="12.75" customHeight="1" x14ac:dyDescent="0.25">
      <c r="A729" s="462"/>
      <c r="B729" s="76"/>
      <c r="C729" s="76"/>
      <c r="D729" s="115"/>
      <c r="E729" s="85"/>
      <c r="F729" s="466" t="str">
        <f>Translations!$B$304</f>
        <v>Comments:</v>
      </c>
      <c r="G729" s="1250"/>
      <c r="H729" s="1251"/>
      <c r="I729" s="1251"/>
      <c r="J729" s="1251"/>
      <c r="K729" s="1251"/>
      <c r="L729" s="1251"/>
      <c r="M729" s="1251"/>
      <c r="N729" s="1252"/>
      <c r="O729" s="160"/>
      <c r="P729" s="109"/>
      <c r="Q729" s="312"/>
      <c r="R729" s="312"/>
      <c r="S729" s="314"/>
      <c r="T729" s="314"/>
      <c r="U729" s="314"/>
      <c r="V729" s="314"/>
      <c r="W729" s="314"/>
      <c r="X729" s="314"/>
      <c r="Y729" s="314"/>
      <c r="Z729" s="314"/>
      <c r="AA729" s="314"/>
      <c r="AB729" s="314"/>
      <c r="AC729" s="314"/>
      <c r="AD729" s="314"/>
      <c r="AE729" s="314"/>
      <c r="AF729" s="314"/>
      <c r="AG729" s="314"/>
      <c r="AH729" s="314"/>
      <c r="AI729" s="314"/>
      <c r="AJ729" s="314"/>
      <c r="AK729" s="314"/>
      <c r="AL729" s="314"/>
      <c r="AM729" s="314"/>
      <c r="AN729" s="314"/>
      <c r="AO729" s="314"/>
      <c r="AP729" s="314"/>
      <c r="AQ729" s="314"/>
      <c r="AR729" s="314"/>
      <c r="AS729" s="314"/>
      <c r="AT729" s="314"/>
      <c r="AU729" s="314"/>
      <c r="AV729" s="314"/>
      <c r="AW729" s="314"/>
      <c r="AX729" s="314"/>
      <c r="AY729" s="314"/>
      <c r="AZ729" s="314"/>
      <c r="BA729" s="314"/>
      <c r="BB729" s="314"/>
      <c r="BC729" s="314"/>
      <c r="BD729" s="314"/>
      <c r="BE729" s="314"/>
      <c r="BF729" s="314"/>
      <c r="BG729" s="314"/>
      <c r="BH729" s="314"/>
      <c r="BI729" s="314"/>
      <c r="BJ729" s="314"/>
      <c r="BK729" s="314"/>
      <c r="BL729" s="314"/>
      <c r="BM729" s="314"/>
      <c r="BN729" s="314"/>
      <c r="BO729" s="314"/>
      <c r="BP729" s="314"/>
      <c r="BQ729" s="314"/>
      <c r="BR729" s="314"/>
      <c r="BS729" s="314"/>
      <c r="BT729" s="314"/>
      <c r="BU729" s="314"/>
      <c r="BV729" s="314"/>
      <c r="BW729" s="314"/>
      <c r="BX729" s="314"/>
      <c r="BY729" s="314"/>
      <c r="BZ729" s="314"/>
      <c r="CA729" s="314"/>
      <c r="CB729" s="314"/>
      <c r="CC729" s="314"/>
      <c r="CD729" s="314"/>
      <c r="CE729" s="314"/>
      <c r="CF729" s="314"/>
      <c r="CG729" s="314"/>
      <c r="CH729" s="314"/>
      <c r="CI729" s="314"/>
      <c r="CJ729" s="314"/>
      <c r="CK729" s="314"/>
      <c r="CL729" s="314"/>
      <c r="CM729" s="314"/>
      <c r="CN729" s="314"/>
      <c r="CO729" s="314"/>
      <c r="CP729" s="314"/>
      <c r="CQ729" s="464" t="b">
        <f>CQ727</f>
        <v>0</v>
      </c>
    </row>
    <row r="730" spans="1:95" ht="12.75" customHeight="1" thickBot="1" x14ac:dyDescent="0.3">
      <c r="A730" s="307"/>
      <c r="B730" s="76"/>
      <c r="C730" s="308"/>
      <c r="D730" s="309"/>
      <c r="E730" s="310"/>
      <c r="F730" s="308"/>
      <c r="G730" s="311"/>
      <c r="H730" s="311"/>
      <c r="I730" s="311"/>
      <c r="J730" s="311"/>
      <c r="K730" s="311"/>
      <c r="L730" s="311"/>
      <c r="M730" s="311"/>
      <c r="N730" s="311"/>
      <c r="O730" s="160"/>
      <c r="P730" s="109"/>
      <c r="Q730" s="312"/>
      <c r="R730" s="312"/>
      <c r="S730" s="293"/>
      <c r="T730" s="293"/>
      <c r="U730" s="313"/>
      <c r="V730" s="293"/>
      <c r="W730" s="293"/>
      <c r="X730" s="313"/>
      <c r="Y730" s="293"/>
      <c r="Z730" s="293"/>
      <c r="AA730" s="293"/>
      <c r="AB730" s="293"/>
      <c r="AC730" s="293"/>
      <c r="AD730" s="293"/>
      <c r="AE730" s="293"/>
      <c r="AF730" s="293"/>
      <c r="AG730" s="293"/>
      <c r="AH730" s="293"/>
      <c r="AI730" s="293"/>
      <c r="AJ730" s="293"/>
      <c r="AK730" s="293"/>
      <c r="AL730" s="293"/>
      <c r="AM730" s="293"/>
      <c r="AN730" s="293"/>
      <c r="AO730" s="293"/>
      <c r="AP730" s="293"/>
      <c r="AQ730" s="293"/>
      <c r="AR730" s="293"/>
      <c r="AS730" s="293"/>
      <c r="AT730" s="293"/>
      <c r="AU730" s="293"/>
      <c r="AV730" s="293"/>
      <c r="AW730" s="293"/>
      <c r="AX730" s="293"/>
      <c r="AY730" s="293"/>
      <c r="AZ730" s="293"/>
      <c r="BA730" s="293"/>
      <c r="BB730" s="293"/>
      <c r="BC730" s="293"/>
      <c r="BD730" s="293"/>
      <c r="BE730" s="293"/>
      <c r="BF730" s="293"/>
      <c r="BG730" s="293"/>
      <c r="BH730" s="293"/>
      <c r="BI730" s="293"/>
      <c r="BJ730" s="293"/>
      <c r="BK730" s="293"/>
      <c r="BL730" s="293"/>
      <c r="BM730" s="314"/>
      <c r="BN730" s="314"/>
      <c r="BO730" s="314"/>
      <c r="BP730" s="314"/>
      <c r="BQ730" s="314"/>
      <c r="BR730" s="314"/>
      <c r="BS730" s="314"/>
      <c r="BT730" s="314"/>
      <c r="BU730" s="293"/>
      <c r="BV730" s="293"/>
      <c r="BW730" s="293"/>
      <c r="BX730" s="293"/>
      <c r="BY730" s="293"/>
      <c r="BZ730" s="293"/>
      <c r="CA730" s="293"/>
      <c r="CB730" s="293"/>
      <c r="CC730" s="293"/>
      <c r="CD730" s="293"/>
      <c r="CE730" s="293"/>
      <c r="CF730" s="293"/>
      <c r="CG730" s="293"/>
      <c r="CH730" s="293"/>
      <c r="CI730" s="293"/>
      <c r="CJ730" s="293"/>
      <c r="CK730" s="293"/>
      <c r="CL730" s="293"/>
      <c r="CM730" s="293"/>
      <c r="CN730" s="293"/>
      <c r="CO730" s="293"/>
      <c r="CP730" s="293"/>
      <c r="CQ730" s="293"/>
    </row>
    <row r="731" spans="1:95" ht="12.75" customHeight="1" thickBot="1" x14ac:dyDescent="0.3">
      <c r="A731" s="315"/>
      <c r="B731" s="76"/>
      <c r="C731" s="76"/>
      <c r="D731" s="205"/>
      <c r="E731" s="316"/>
      <c r="F731" s="76"/>
      <c r="G731" s="96"/>
      <c r="H731" s="96"/>
      <c r="I731" s="96"/>
      <c r="J731" s="96"/>
      <c r="K731" s="76"/>
      <c r="L731" s="96"/>
      <c r="M731" s="96"/>
      <c r="N731" s="96"/>
      <c r="O731" s="160"/>
      <c r="P731" s="109"/>
      <c r="Q731" s="312"/>
      <c r="R731" s="312"/>
      <c r="S731" s="287"/>
      <c r="T731" s="317" t="str">
        <f>IF(ISBLANK(E732),"",MATCH(E732,CNTR_SourceStreamNames,0))</f>
        <v/>
      </c>
      <c r="U731" s="318" t="str">
        <f>IF(ISBLANK(E732),"",INDEX(B_IdentifyFuelStreams!$D$67:$D$116,MATCH(E732,CNTR_SourceStreamNames,0)))</f>
        <v/>
      </c>
      <c r="V731" s="301"/>
      <c r="W731" s="138"/>
      <c r="X731" s="138"/>
      <c r="Y731" s="138"/>
      <c r="Z731" s="293"/>
      <c r="AA731" s="293"/>
      <c r="AB731" s="293"/>
      <c r="AC731" s="293"/>
      <c r="AD731" s="293"/>
      <c r="AE731" s="293"/>
      <c r="AF731" s="293"/>
      <c r="AG731" s="293"/>
      <c r="AH731" s="293"/>
      <c r="AI731" s="293"/>
      <c r="AJ731" s="293"/>
      <c r="AK731" s="312"/>
      <c r="AL731" s="293"/>
      <c r="AM731" s="293"/>
      <c r="AN731" s="293"/>
      <c r="AO731" s="293"/>
      <c r="AP731" s="293"/>
      <c r="AQ731" s="293"/>
      <c r="AR731" s="293"/>
      <c r="AS731" s="293"/>
      <c r="AT731" s="293"/>
      <c r="AU731" s="293"/>
      <c r="AV731" s="293"/>
      <c r="AW731" s="293"/>
      <c r="AX731" s="293"/>
      <c r="AY731" s="293"/>
      <c r="AZ731" s="293"/>
      <c r="BA731" s="293"/>
      <c r="BB731" s="293"/>
      <c r="BC731" s="293"/>
      <c r="BD731" s="293"/>
      <c r="BE731" s="293"/>
      <c r="BF731" s="293"/>
      <c r="BG731" s="293"/>
      <c r="BH731" s="293"/>
      <c r="BI731" s="293"/>
      <c r="BJ731" s="138"/>
      <c r="BK731" s="138"/>
      <c r="BL731" s="138"/>
      <c r="BM731" s="138"/>
      <c r="BN731" s="138"/>
      <c r="BO731" s="138"/>
      <c r="BP731" s="138"/>
      <c r="BQ731" s="138"/>
      <c r="BR731" s="138"/>
      <c r="BS731" s="138"/>
      <c r="BT731" s="138"/>
      <c r="BU731" s="138"/>
      <c r="BV731" s="138"/>
      <c r="BW731" s="138"/>
      <c r="BX731" s="138"/>
      <c r="BY731" s="138"/>
      <c r="BZ731" s="138"/>
      <c r="CA731" s="138"/>
      <c r="CB731" s="138"/>
      <c r="CC731" s="138"/>
      <c r="CD731" s="138"/>
      <c r="CE731" s="138"/>
      <c r="CF731" s="138"/>
      <c r="CG731" s="138"/>
      <c r="CH731" s="138"/>
      <c r="CI731" s="138"/>
      <c r="CJ731" s="138"/>
      <c r="CK731" s="138"/>
      <c r="CL731" s="138"/>
      <c r="CM731" s="138"/>
      <c r="CN731" s="138"/>
      <c r="CO731" s="138"/>
      <c r="CP731" s="138"/>
      <c r="CQ731" s="319" t="s">
        <v>107</v>
      </c>
    </row>
    <row r="732" spans="1:95" ht="15" customHeight="1" thickBot="1" x14ac:dyDescent="0.3">
      <c r="A732" s="320">
        <f>C732</f>
        <v>25</v>
      </c>
      <c r="B732" s="68"/>
      <c r="C732" s="321">
        <f>C704+1</f>
        <v>25</v>
      </c>
      <c r="D732" s="68"/>
      <c r="E732" s="1269"/>
      <c r="F732" s="1270"/>
      <c r="G732" s="1270"/>
      <c r="H732" s="1270"/>
      <c r="I732" s="1270"/>
      <c r="J732" s="1271"/>
      <c r="K732" s="1272" t="str">
        <f>IF(INDEX(B_IdentifyFuelStreams!$K$125:$K$174,MATCH(U731,B_IdentifyFuelStreams!$D$125:$D$174,0))&gt;0,INDEX(B_IdentifyFuelStreams!$K$125:$K$174,MATCH(U731,B_IdentifyFuelStreams!$D$125:$D$174,0)),"")</f>
        <v/>
      </c>
      <c r="L732" s="1273"/>
      <c r="M732" s="316" t="str">
        <f>Translations!$B$621</f>
        <v>Emissions:</v>
      </c>
      <c r="N732" s="322" t="str">
        <f>IF(E733="","",BG738)</f>
        <v/>
      </c>
      <c r="O732" s="323" t="str">
        <f>EUconst_tCO2</f>
        <v>tCO2</v>
      </c>
      <c r="P732" s="324" t="str">
        <f>IF(AND(E732&lt;&gt;"",COUNTIF(P733:$P$1649,"PRINT")=0),"PRINT","")</f>
        <v/>
      </c>
      <c r="Q732" s="325" t="str">
        <f>EUconst_SumCO2</f>
        <v>SUM_CO2</v>
      </c>
      <c r="R732" s="312"/>
      <c r="S732" s="287"/>
      <c r="T732" s="287"/>
      <c r="U732" s="287"/>
      <c r="V732" s="301"/>
      <c r="W732" s="138"/>
      <c r="X732" s="293"/>
      <c r="Y732" s="293"/>
      <c r="Z732" s="293"/>
      <c r="AA732" s="293"/>
      <c r="AB732" s="293"/>
      <c r="AC732" s="293"/>
      <c r="AD732" s="293"/>
      <c r="AE732" s="293"/>
      <c r="AF732" s="293"/>
      <c r="AG732" s="293"/>
      <c r="AH732" s="293"/>
      <c r="AI732" s="326"/>
      <c r="AJ732" s="326"/>
      <c r="AK732" s="326"/>
      <c r="AL732" s="326"/>
      <c r="AM732" s="326"/>
      <c r="AN732" s="326"/>
      <c r="AO732" s="326"/>
      <c r="AP732" s="326"/>
      <c r="AQ732" s="326"/>
      <c r="AR732" s="326"/>
      <c r="AS732" s="326"/>
      <c r="AT732" s="326"/>
      <c r="AU732" s="326"/>
      <c r="AV732" s="326"/>
      <c r="AW732" s="326"/>
      <c r="AX732" s="326"/>
      <c r="AY732" s="326"/>
      <c r="AZ732" s="326"/>
      <c r="BA732" s="326"/>
      <c r="BB732" s="326"/>
      <c r="BC732" s="326"/>
      <c r="BD732" s="326"/>
      <c r="BE732" s="326"/>
      <c r="BF732" s="326"/>
      <c r="BG732" s="326"/>
      <c r="BH732" s="326"/>
      <c r="BI732" s="327" t="str">
        <f>IF(E732="","",E732)</f>
        <v/>
      </c>
      <c r="BJ732" s="328" t="str">
        <f>IF(F738="","",F738)</f>
        <v/>
      </c>
      <c r="BK732" s="329">
        <f>AV738</f>
        <v>0</v>
      </c>
      <c r="BL732" s="329">
        <f>IF(BK732="","",BK732*(1-BP732))</f>
        <v>0</v>
      </c>
      <c r="BM732" s="328" t="str">
        <f>AJ738</f>
        <v/>
      </c>
      <c r="BN732" s="328" t="str">
        <f>IF(F749="","",F749)</f>
        <v/>
      </c>
      <c r="BO732" s="327" t="str">
        <f>IF(G749="","",G749)</f>
        <v/>
      </c>
      <c r="BP732" s="330">
        <f>AV749</f>
        <v>0</v>
      </c>
      <c r="BQ732" s="328" t="str">
        <f>IF(F741="","",F741)</f>
        <v/>
      </c>
      <c r="BR732" s="330">
        <f>AV741</f>
        <v>0</v>
      </c>
      <c r="BS732" s="330" t="str">
        <f>AJ741</f>
        <v/>
      </c>
      <c r="BT732" s="328" t="str">
        <f>IF(F740="","",F740)</f>
        <v/>
      </c>
      <c r="BU732" s="330">
        <f>IF(F740=EUconst_NA,"",AV740)</f>
        <v>0</v>
      </c>
      <c r="BV732" s="330" t="str">
        <f>AJ740</f>
        <v/>
      </c>
      <c r="BW732" s="328" t="str">
        <f>IF(F742="","",F742)</f>
        <v/>
      </c>
      <c r="BX732" s="330">
        <f>AV742</f>
        <v>0</v>
      </c>
      <c r="BY732" s="328" t="str">
        <f>IF(F743="","",F743)</f>
        <v/>
      </c>
      <c r="BZ732" s="330">
        <f>AV743</f>
        <v>0</v>
      </c>
      <c r="CA732" s="330">
        <f>AV744</f>
        <v>0</v>
      </c>
      <c r="CB732" s="330">
        <f>AV745</f>
        <v>0</v>
      </c>
      <c r="CC732" s="330">
        <f>AV746</f>
        <v>0</v>
      </c>
      <c r="CD732" s="330">
        <f>AV747</f>
        <v>0</v>
      </c>
      <c r="CE732" s="329" t="str">
        <f>BG738</f>
        <v/>
      </c>
      <c r="CF732" s="329" t="str">
        <f>BG740</f>
        <v/>
      </c>
      <c r="CG732" s="329" t="str">
        <f>BG741</f>
        <v/>
      </c>
      <c r="CH732" s="329" t="str">
        <f>BG742</f>
        <v/>
      </c>
      <c r="CI732" s="329" t="str">
        <f>BG743</f>
        <v/>
      </c>
      <c r="CJ732" s="329" t="str">
        <f>BG744</f>
        <v/>
      </c>
      <c r="CK732" s="329" t="str">
        <f>BG745</f>
        <v/>
      </c>
      <c r="CL732" s="329">
        <f>BG746</f>
        <v>0</v>
      </c>
      <c r="CM732" s="329" t="str">
        <f>BG747</f>
        <v/>
      </c>
      <c r="CN732" s="329" t="str">
        <f>BG749</f>
        <v/>
      </c>
      <c r="CO732" s="329" t="str">
        <f>BG753</f>
        <v/>
      </c>
      <c r="CP732" s="329" t="str">
        <f>IF(COUNTIF(AO741:AO742,TRUE)=0,"",BH738)</f>
        <v/>
      </c>
      <c r="CQ732" s="331" t="b">
        <v>0</v>
      </c>
    </row>
    <row r="733" spans="1:95" ht="15" customHeight="1" thickBot="1" x14ac:dyDescent="0.3">
      <c r="A733" s="307"/>
      <c r="B733" s="68"/>
      <c r="C733" s="68"/>
      <c r="D733" s="68"/>
      <c r="E733" s="1274" t="str">
        <f>IF(ISBLANK(E732),"",IF(INDEX(B_IdentifyFuelStreams!$E$67:$E$116,MATCH(U731,B_IdentifyFuelStreams!$D$67:$D$116,0))&gt;0,INDEX(B_IdentifyFuelStreams!$E$67:$E$116,MATCH(U731,B_IdentifyFuelStreams!$D$67:$D$116,0)),""))</f>
        <v/>
      </c>
      <c r="F733" s="1275"/>
      <c r="G733" s="1275"/>
      <c r="H733" s="1275"/>
      <c r="I733" s="1275"/>
      <c r="J733" s="1276"/>
      <c r="K733" s="1272" t="str">
        <f>IF(INDEX(B_IdentifyFuelStreams!$M$125:$M$174,MATCH(U731,B_IdentifyFuelStreams!$D$125:$D$174,0))&gt;0,INDEX(B_IdentifyFuelStreams!$M$125:$M$174,MATCH(U731,B_IdentifyFuelStreams!$D$125:$D$174,0)),"")</f>
        <v/>
      </c>
      <c r="L733" s="1273"/>
      <c r="M733" s="332" t="str">
        <f>Translations!$B$622</f>
        <v>zero-rated:</v>
      </c>
      <c r="N733" s="333" t="str">
        <f>IF(E733="","",SUM(BG740,BG742,BG744))</f>
        <v/>
      </c>
      <c r="O733" s="334" t="str">
        <f>EUconst_tCO2</f>
        <v>tCO2</v>
      </c>
      <c r="P733" s="109"/>
      <c r="Q733" s="325" t="str">
        <f>EUconst_SumBioCO2</f>
        <v>SUM_bioCO2</v>
      </c>
      <c r="R733" s="312"/>
      <c r="S733" s="287"/>
      <c r="T733" s="287"/>
      <c r="U733" s="287"/>
      <c r="V733" s="301"/>
      <c r="W733" s="138"/>
      <c r="X733" s="293"/>
      <c r="Y733" s="317" t="str">
        <f>Translations!$B$143</f>
        <v>Tiers</v>
      </c>
      <c r="Z733" s="314"/>
      <c r="AA733" s="314"/>
      <c r="AB733" s="314"/>
      <c r="AC733" s="314"/>
      <c r="AD733" s="314"/>
      <c r="AE733" s="317" t="s">
        <v>108</v>
      </c>
      <c r="AF733" s="293"/>
      <c r="AG733" s="335"/>
      <c r="AH733" s="314"/>
      <c r="AI733" s="314"/>
      <c r="AJ733" s="335"/>
      <c r="AK733" s="335"/>
      <c r="AL733" s="326"/>
      <c r="AM733" s="326"/>
      <c r="AN733" s="326"/>
      <c r="AO733" s="326"/>
      <c r="AP733" s="326"/>
      <c r="AQ733" s="317" t="s">
        <v>109</v>
      </c>
      <c r="AR733" s="336"/>
      <c r="AS733" s="336"/>
      <c r="AT733" s="314"/>
      <c r="AU733" s="314"/>
      <c r="AV733" s="314"/>
      <c r="AW733" s="314"/>
      <c r="AX733" s="314"/>
      <c r="AY733" s="314"/>
      <c r="AZ733" s="317" t="s">
        <v>110</v>
      </c>
      <c r="BA733" s="314"/>
      <c r="BB733" s="314"/>
      <c r="BC733" s="314"/>
      <c r="BD733" s="314"/>
      <c r="BE733" s="314"/>
      <c r="BF733" s="317" t="s">
        <v>111</v>
      </c>
      <c r="BG733" s="314"/>
      <c r="BH733" s="314"/>
      <c r="BI733" s="317" t="s">
        <v>112</v>
      </c>
      <c r="BJ733" s="328" t="str">
        <f>Translations!$B$376</f>
        <v>RFA Tier</v>
      </c>
      <c r="BK733" s="328" t="str">
        <f>Translations!$B$377</f>
        <v>RFA</v>
      </c>
      <c r="BL733" s="328" t="str">
        <f>Translations!$B$378</f>
        <v>RFA (in scope)</v>
      </c>
      <c r="BM733" s="328" t="str">
        <f>Translations!$B$379</f>
        <v>RFA Unit</v>
      </c>
      <c r="BN733" s="328" t="str">
        <f>Translations!$B$380</f>
        <v>SF Tier</v>
      </c>
      <c r="BO733" s="328" t="str">
        <f>Translations!$B$380</f>
        <v>SF Tier</v>
      </c>
      <c r="BP733" s="328" t="str">
        <f>Translations!$B$381</f>
        <v>SF</v>
      </c>
      <c r="BQ733" s="328" t="str">
        <f>Translations!$B$382</f>
        <v>EF Tier</v>
      </c>
      <c r="BR733" s="328" t="str">
        <f>Translations!$B$383</f>
        <v>EF</v>
      </c>
      <c r="BS733" s="328" t="str">
        <f>Translations!$B$384</f>
        <v>EF Unit</v>
      </c>
      <c r="BT733" s="328" t="str">
        <f>Translations!$B$385</f>
        <v>UCF Tier</v>
      </c>
      <c r="BU733" s="328" t="str">
        <f>Translations!$B$386</f>
        <v>UCF</v>
      </c>
      <c r="BV733" s="328" t="str">
        <f>Translations!$B$387</f>
        <v>UCF Unit</v>
      </c>
      <c r="BW733" s="328" t="str">
        <f>Translations!$B$388</f>
        <v>Bio Tier</v>
      </c>
      <c r="BX733" s="328" t="s">
        <v>113</v>
      </c>
      <c r="BY733" s="328" t="str">
        <f>Translations!$B$389</f>
        <v>NonSustBio Tier</v>
      </c>
      <c r="BZ733" s="328" t="s">
        <v>114</v>
      </c>
      <c r="CA733" s="328" t="s">
        <v>115</v>
      </c>
      <c r="CB733" s="328" t="s">
        <v>116</v>
      </c>
      <c r="CC733" s="328" t="s">
        <v>117</v>
      </c>
      <c r="CD733" s="328" t="s">
        <v>118</v>
      </c>
      <c r="CE733" s="328" t="s">
        <v>119</v>
      </c>
      <c r="CF733" s="328" t="s">
        <v>120</v>
      </c>
      <c r="CG733" s="328" t="str">
        <f>Translations!$B$392</f>
        <v>CO2 non-sust</v>
      </c>
      <c r="CH733" s="328" t="s">
        <v>121</v>
      </c>
      <c r="CI733" s="328" t="s">
        <v>122</v>
      </c>
      <c r="CJ733" s="328" t="s">
        <v>123</v>
      </c>
      <c r="CK733" s="328" t="s">
        <v>124</v>
      </c>
      <c r="CL733" s="328" t="s">
        <v>125</v>
      </c>
      <c r="CM733" s="328" t="str">
        <f>Translations!$B$551</f>
        <v>Energy content (bio), TJ</v>
      </c>
      <c r="CN733" s="328" t="s">
        <v>126</v>
      </c>
      <c r="CO733" s="328" t="s">
        <v>127</v>
      </c>
      <c r="CP733" s="328" t="s">
        <v>128</v>
      </c>
      <c r="CQ733" s="314"/>
    </row>
    <row r="734" spans="1:95" ht="5.15" customHeight="1" thickBot="1" x14ac:dyDescent="0.3">
      <c r="A734" s="307"/>
      <c r="B734" s="68"/>
      <c r="C734" s="68"/>
      <c r="D734" s="68"/>
      <c r="E734" s="68"/>
      <c r="F734" s="68"/>
      <c r="G734" s="68"/>
      <c r="H734" s="76"/>
      <c r="I734" s="76"/>
      <c r="J734" s="76"/>
      <c r="K734" s="76"/>
      <c r="L734" s="76"/>
      <c r="M734" s="76"/>
      <c r="N734" s="76"/>
      <c r="O734" s="160"/>
      <c r="P734" s="109"/>
      <c r="Q734" s="312"/>
      <c r="R734" s="312"/>
      <c r="S734" s="287"/>
      <c r="T734" s="287"/>
      <c r="U734" s="287"/>
      <c r="V734" s="301"/>
      <c r="W734" s="314"/>
      <c r="X734" s="314"/>
      <c r="Y734" s="312"/>
      <c r="Z734" s="314"/>
      <c r="AA734" s="314"/>
      <c r="AB734" s="314"/>
      <c r="AC734" s="314"/>
      <c r="AD734" s="314"/>
      <c r="AE734" s="314"/>
      <c r="AF734" s="293"/>
      <c r="AG734" s="314"/>
      <c r="AH734" s="314"/>
      <c r="AI734" s="314"/>
      <c r="AJ734" s="335"/>
      <c r="AK734" s="335"/>
      <c r="AL734" s="326"/>
      <c r="AM734" s="326"/>
      <c r="AN734" s="326"/>
      <c r="AO734" s="326"/>
      <c r="AP734" s="326"/>
      <c r="AQ734" s="314"/>
      <c r="AR734" s="314"/>
      <c r="AS734" s="314"/>
      <c r="AT734" s="314"/>
      <c r="AU734" s="314"/>
      <c r="AV734" s="314"/>
      <c r="AW734" s="314"/>
      <c r="AX734" s="314"/>
      <c r="AY734" s="314"/>
      <c r="AZ734" s="314"/>
      <c r="BA734" s="314"/>
      <c r="BB734" s="314"/>
      <c r="BC734" s="314"/>
      <c r="BD734" s="314"/>
      <c r="BE734" s="314"/>
      <c r="BF734" s="314"/>
      <c r="BG734" s="314"/>
      <c r="BH734" s="314"/>
      <c r="BI734" s="314"/>
      <c r="BJ734" s="314"/>
      <c r="BK734" s="314"/>
      <c r="BL734" s="314"/>
      <c r="BM734" s="314"/>
      <c r="BN734" s="314"/>
      <c r="BO734" s="314"/>
      <c r="BP734" s="314"/>
      <c r="BQ734" s="314"/>
      <c r="BR734" s="314"/>
      <c r="BS734" s="314"/>
      <c r="BT734" s="314"/>
      <c r="BU734" s="314"/>
      <c r="BV734" s="314"/>
      <c r="BW734" s="314"/>
      <c r="BX734" s="314"/>
      <c r="BY734" s="314"/>
      <c r="BZ734" s="314"/>
      <c r="CA734" s="314"/>
      <c r="CB734" s="314"/>
      <c r="CC734" s="314"/>
      <c r="CD734" s="314"/>
      <c r="CE734" s="314"/>
      <c r="CF734" s="314"/>
      <c r="CG734" s="314"/>
      <c r="CH734" s="314"/>
      <c r="CI734" s="314"/>
      <c r="CJ734" s="314"/>
      <c r="CK734" s="314"/>
      <c r="CL734" s="314"/>
      <c r="CM734" s="314"/>
      <c r="CN734" s="314"/>
      <c r="CO734" s="314"/>
      <c r="CP734" s="314"/>
      <c r="CQ734" s="314"/>
    </row>
    <row r="735" spans="1:95" ht="12.75" customHeight="1" thickBot="1" x14ac:dyDescent="0.3">
      <c r="A735" s="307"/>
      <c r="B735" s="68"/>
      <c r="C735" s="68"/>
      <c r="D735" s="68"/>
      <c r="E735" s="1253" t="str">
        <f>IF(E732="","",HYPERLINK("#JUMP_E_Top",EUconst_FurtherGuidancePoint1))</f>
        <v/>
      </c>
      <c r="F735" s="1253"/>
      <c r="G735" s="1253"/>
      <c r="H735" s="1253"/>
      <c r="I735" s="1253"/>
      <c r="J735" s="1253"/>
      <c r="K735" s="1253"/>
      <c r="L735" s="1253"/>
      <c r="M735" s="1253"/>
      <c r="N735" s="76"/>
      <c r="O735" s="160"/>
      <c r="P735" s="109"/>
      <c r="Q735" s="325" t="str">
        <f>EUconst_SumNonSustBioCO2</f>
        <v>SUM_bioNonSustCO2</v>
      </c>
      <c r="R735" s="337" t="str">
        <f>IF(E733="","",BG741)</f>
        <v/>
      </c>
      <c r="S735" s="287"/>
      <c r="T735" s="287"/>
      <c r="U735" s="287"/>
      <c r="V735" s="314"/>
      <c r="W735" s="314"/>
      <c r="X735" s="314"/>
      <c r="Y735" s="293"/>
      <c r="Z735" s="314"/>
      <c r="AA735" s="314"/>
      <c r="AB735" s="314"/>
      <c r="AC735" s="314"/>
      <c r="AD735" s="314"/>
      <c r="AE735" s="314"/>
      <c r="AF735" s="293"/>
      <c r="AG735" s="314"/>
      <c r="AH735" s="314"/>
      <c r="AI735" s="314"/>
      <c r="AJ735" s="335"/>
      <c r="AK735" s="335"/>
      <c r="AL735" s="326"/>
      <c r="AM735" s="326"/>
      <c r="AN735" s="326"/>
      <c r="AO735" s="326"/>
      <c r="AP735" s="326"/>
      <c r="AQ735" s="314"/>
      <c r="AR735" s="314"/>
      <c r="AS735" s="314"/>
      <c r="AT735" s="314"/>
      <c r="AU735" s="314"/>
      <c r="AV735" s="314"/>
      <c r="AW735" s="314"/>
      <c r="AX735" s="314"/>
      <c r="AY735" s="314"/>
      <c r="AZ735" s="314"/>
      <c r="BA735" s="314"/>
      <c r="BB735" s="314"/>
      <c r="BC735" s="314"/>
      <c r="BD735" s="314"/>
      <c r="BE735" s="314"/>
      <c r="BF735" s="314"/>
      <c r="BG735" s="314"/>
      <c r="BH735" s="314"/>
      <c r="BI735" s="317" t="s">
        <v>129</v>
      </c>
      <c r="BJ735" s="336"/>
      <c r="BK735" s="327" t="str">
        <f>IF(G753="","",G753)</f>
        <v/>
      </c>
      <c r="BL735" s="327" t="str">
        <f>IF(I753="","",I753)</f>
        <v/>
      </c>
      <c r="BM735" s="327" t="str">
        <f>IF(K753="","",K753)</f>
        <v/>
      </c>
      <c r="BN735" s="314"/>
      <c r="BO735" s="314"/>
      <c r="BP735" s="314"/>
      <c r="BQ735" s="314"/>
      <c r="BR735" s="314"/>
      <c r="BS735" s="314"/>
      <c r="BT735" s="319"/>
      <c r="BU735" s="314"/>
      <c r="BV735" s="314"/>
      <c r="BW735" s="314"/>
      <c r="BX735" s="314"/>
      <c r="BY735" s="314"/>
      <c r="BZ735" s="314"/>
      <c r="CA735" s="314"/>
      <c r="CB735" s="314"/>
      <c r="CC735" s="314"/>
      <c r="CD735" s="314"/>
      <c r="CE735" s="314"/>
      <c r="CF735" s="314"/>
      <c r="CG735" s="314"/>
      <c r="CH735" s="314"/>
      <c r="CI735" s="314"/>
      <c r="CJ735" s="314"/>
      <c r="CK735" s="314"/>
      <c r="CL735" s="314"/>
      <c r="CM735" s="314"/>
      <c r="CN735" s="314"/>
      <c r="CO735" s="314"/>
      <c r="CP735" s="314"/>
      <c r="CQ735" s="314"/>
    </row>
    <row r="736" spans="1:95" ht="5.15" customHeight="1" thickBot="1" x14ac:dyDescent="0.3">
      <c r="A736" s="307"/>
      <c r="B736" s="68"/>
      <c r="C736" s="68"/>
      <c r="D736" s="68"/>
      <c r="E736" s="68"/>
      <c r="F736" s="68"/>
      <c r="G736" s="68"/>
      <c r="H736" s="76"/>
      <c r="I736" s="76"/>
      <c r="J736" s="76"/>
      <c r="K736" s="76"/>
      <c r="L736" s="76"/>
      <c r="M736" s="76"/>
      <c r="N736" s="76"/>
      <c r="O736" s="160"/>
      <c r="P736" s="111"/>
      <c r="Q736" s="287"/>
      <c r="R736" s="111"/>
      <c r="S736" s="287"/>
      <c r="T736" s="287"/>
      <c r="U736" s="287"/>
      <c r="V736" s="314"/>
      <c r="W736" s="314"/>
      <c r="X736" s="314"/>
      <c r="Y736" s="312"/>
      <c r="Z736" s="314"/>
      <c r="AA736" s="314"/>
      <c r="AB736" s="314"/>
      <c r="AC736" s="314"/>
      <c r="AD736" s="314"/>
      <c r="AE736" s="314"/>
      <c r="AF736" s="293"/>
      <c r="AG736" s="314"/>
      <c r="AH736" s="314"/>
      <c r="AI736" s="314"/>
      <c r="AJ736" s="335"/>
      <c r="AK736" s="335"/>
      <c r="AL736" s="326"/>
      <c r="AM736" s="326"/>
      <c r="AN736" s="326"/>
      <c r="AO736" s="326"/>
      <c r="AP736" s="326"/>
      <c r="AQ736" s="314"/>
      <c r="AR736" s="314"/>
      <c r="AS736" s="314"/>
      <c r="AT736" s="314"/>
      <c r="AU736" s="314"/>
      <c r="AV736" s="314"/>
      <c r="AW736" s="314"/>
      <c r="AX736" s="314"/>
      <c r="AY736" s="314"/>
      <c r="AZ736" s="314"/>
      <c r="BA736" s="314"/>
      <c r="BB736" s="314"/>
      <c r="BC736" s="314"/>
      <c r="BD736" s="314"/>
      <c r="BE736" s="314"/>
      <c r="BF736" s="314"/>
      <c r="BG736" s="314"/>
      <c r="BH736" s="314"/>
      <c r="BI736" s="314"/>
      <c r="BJ736" s="314"/>
      <c r="BK736" s="314"/>
      <c r="BL736" s="314"/>
      <c r="BM736" s="314"/>
      <c r="BN736" s="314"/>
      <c r="BO736" s="314"/>
      <c r="BP736" s="314"/>
      <c r="BQ736" s="314"/>
      <c r="BR736" s="314"/>
      <c r="BS736" s="314"/>
      <c r="BT736" s="314"/>
      <c r="BU736" s="314"/>
      <c r="BV736" s="314"/>
      <c r="BW736" s="314"/>
      <c r="BX736" s="314"/>
      <c r="BY736" s="314"/>
      <c r="BZ736" s="314"/>
      <c r="CA736" s="314"/>
      <c r="CB736" s="314"/>
      <c r="CC736" s="314"/>
      <c r="CD736" s="314"/>
      <c r="CE736" s="314"/>
      <c r="CF736" s="314"/>
      <c r="CG736" s="314"/>
      <c r="CH736" s="314"/>
      <c r="CI736" s="314"/>
      <c r="CJ736" s="314"/>
      <c r="CK736" s="314"/>
      <c r="CL736" s="314"/>
      <c r="CM736" s="314"/>
      <c r="CN736" s="314"/>
      <c r="CO736" s="314"/>
      <c r="CP736" s="314"/>
      <c r="CQ736" s="314"/>
    </row>
    <row r="737" spans="1:95" ht="12.75" customHeight="1" thickBot="1" x14ac:dyDescent="0.3">
      <c r="A737" s="307"/>
      <c r="B737" s="68"/>
      <c r="C737" s="68"/>
      <c r="D737" s="68"/>
      <c r="E737" s="68"/>
      <c r="F737" s="338" t="str">
        <f>Translations!$B$127</f>
        <v>Tier</v>
      </c>
      <c r="G737" s="1254" t="str">
        <f>Translations!$B$393</f>
        <v>tier description</v>
      </c>
      <c r="H737" s="1254"/>
      <c r="I737" s="1255" t="str">
        <f>Translations!$B$394</f>
        <v>Unit</v>
      </c>
      <c r="J737" s="1255"/>
      <c r="K737" s="1255" t="str">
        <f>Translations!$B$395</f>
        <v>Value</v>
      </c>
      <c r="L737" s="1255"/>
      <c r="M737" s="205" t="str">
        <f>Translations!$B$396</f>
        <v>error</v>
      </c>
      <c r="N737" s="76"/>
      <c r="O737" s="160"/>
      <c r="P737" s="339"/>
      <c r="Q737" s="325" t="str">
        <f>EUconst_SumEnergyIN</f>
        <v>SUM_EnergyIN</v>
      </c>
      <c r="R737" s="340" t="str">
        <f>IF(E733="","",BG746)</f>
        <v/>
      </c>
      <c r="S737" s="314"/>
      <c r="T737" s="314"/>
      <c r="U737" s="314"/>
      <c r="V737" s="341" t="s">
        <v>130</v>
      </c>
      <c r="W737" s="314"/>
      <c r="X737" s="314"/>
      <c r="Y737" s="312" t="s">
        <v>131</v>
      </c>
      <c r="Z737" s="312" t="s">
        <v>132</v>
      </c>
      <c r="AA737" s="314"/>
      <c r="AB737" s="314"/>
      <c r="AC737" s="336" t="s">
        <v>133</v>
      </c>
      <c r="AD737" s="314"/>
      <c r="AE737" s="314"/>
      <c r="AF737" s="314" t="s">
        <v>134</v>
      </c>
      <c r="AG737" s="314" t="s">
        <v>135</v>
      </c>
      <c r="AH737" s="312" t="s">
        <v>136</v>
      </c>
      <c r="AI737" s="335" t="s">
        <v>137</v>
      </c>
      <c r="AJ737" s="335" t="s">
        <v>138</v>
      </c>
      <c r="AK737" s="342" t="s">
        <v>139</v>
      </c>
      <c r="AL737" s="326"/>
      <c r="AM737" s="326"/>
      <c r="AN737" s="326"/>
      <c r="AO737" s="326"/>
      <c r="AP737" s="326"/>
      <c r="AQ737" s="314"/>
      <c r="AR737" s="314" t="s">
        <v>134</v>
      </c>
      <c r="AS737" s="314" t="s">
        <v>135</v>
      </c>
      <c r="AT737" s="343" t="s">
        <v>140</v>
      </c>
      <c r="AU737" s="335" t="s">
        <v>141</v>
      </c>
      <c r="AV737" s="335" t="s">
        <v>142</v>
      </c>
      <c r="AW737" s="342" t="s">
        <v>139</v>
      </c>
      <c r="AX737" s="342" t="s">
        <v>139</v>
      </c>
      <c r="AY737" s="314"/>
      <c r="AZ737" s="314"/>
      <c r="BA737" s="314"/>
      <c r="BB737" s="314" t="s">
        <v>143</v>
      </c>
      <c r="BC737" s="314"/>
      <c r="BD737" s="314"/>
      <c r="BE737" s="314"/>
      <c r="BF737" s="314"/>
      <c r="BG737" s="319" t="s">
        <v>144</v>
      </c>
      <c r="BH737" s="314" t="s">
        <v>145</v>
      </c>
      <c r="BI737" s="314"/>
      <c r="BJ737" s="314"/>
      <c r="BK737" s="314"/>
      <c r="BL737" s="314"/>
      <c r="BM737" s="314"/>
      <c r="BN737" s="314"/>
      <c r="BO737" s="314"/>
      <c r="BP737" s="314"/>
      <c r="BQ737" s="314"/>
      <c r="BR737" s="314"/>
      <c r="BS737" s="314"/>
      <c r="BT737" s="314"/>
      <c r="BU737" s="314"/>
      <c r="BV737" s="314"/>
      <c r="BW737" s="314"/>
      <c r="BX737" s="314"/>
      <c r="BY737" s="314"/>
      <c r="BZ737" s="314"/>
      <c r="CA737" s="314"/>
      <c r="CB737" s="314"/>
      <c r="CC737" s="314"/>
      <c r="CD737" s="314"/>
      <c r="CE737" s="314"/>
      <c r="CF737" s="314"/>
      <c r="CG737" s="314"/>
      <c r="CH737" s="314"/>
      <c r="CI737" s="314"/>
      <c r="CJ737" s="314"/>
      <c r="CK737" s="314"/>
      <c r="CL737" s="314"/>
      <c r="CM737" s="314"/>
      <c r="CN737" s="314"/>
      <c r="CO737" s="314"/>
      <c r="CP737" s="314"/>
      <c r="CQ737" s="319" t="s">
        <v>107</v>
      </c>
    </row>
    <row r="738" spans="1:95" ht="12.75" customHeight="1" thickBot="1" x14ac:dyDescent="0.3">
      <c r="A738" s="307"/>
      <c r="B738" s="68"/>
      <c r="C738" s="199" t="s">
        <v>12</v>
      </c>
      <c r="D738" s="344" t="str">
        <f>Translations!$B$356</f>
        <v>RFA:</v>
      </c>
      <c r="E738" s="345"/>
      <c r="F738" s="6"/>
      <c r="G738" s="1256" t="str">
        <f>IF(OR(ISBLANK(F738),F738=EUconst_NoTier),"",IF(Z738=0,EUconst_NA,IF(ISERROR(Z738),"",Z738)))</f>
        <v/>
      </c>
      <c r="H738" s="1257"/>
      <c r="I738" s="346" t="str">
        <f>IF(J738&lt;&gt;"","",AI738)</f>
        <v/>
      </c>
      <c r="J738" s="7"/>
      <c r="K738" s="1258"/>
      <c r="L738" s="1259"/>
      <c r="M738" s="347" t="str">
        <f>IF(AND(E733&lt;&gt;"",OR(F738="",COUNT(K738)=0),Y738&lt;&gt;EUconst_NA),EUconst_ERR_Incomplete,"")</f>
        <v/>
      </c>
      <c r="N738" s="76"/>
      <c r="O738" s="160"/>
      <c r="P738" s="348"/>
      <c r="Q738" s="325" t="str">
        <f>EUconst_SumBioEnergyIN</f>
        <v>SUM_BioEnergyIN</v>
      </c>
      <c r="R738" s="340" t="str">
        <f>IF(E733="","",BG747)</f>
        <v/>
      </c>
      <c r="S738" s="314"/>
      <c r="T738" s="349" t="str">
        <f>EUconst_CNTR_ActivityData&amp;E733</f>
        <v>ActivityData_</v>
      </c>
      <c r="U738" s="312"/>
      <c r="V738" s="349" t="str">
        <f>IF(E732="","",INDEX(B_IdentifyFuelStreams!$I$67:$I$116,MATCH(U731,B_IdentifyFuelStreams!$D$67:$D$116,0)))</f>
        <v/>
      </c>
      <c r="W738" s="335" t="s">
        <v>146</v>
      </c>
      <c r="X738" s="312"/>
      <c r="Y738" s="350" t="str">
        <f>IF(E733="","",INDEX(EUwideConstants!$P$164:$P$200,MATCH(T738,EUwideConstants!$S$164:$S$200,0)))</f>
        <v/>
      </c>
      <c r="Z738" s="351" t="str">
        <f>IF(ISBLANK(F738),"",IF(F738=EUconst_NA,"",INDEX(EUwideConstants!$H:$O,MATCH(T738,EUwideConstants!$S:$S,0),MATCH(F738,CNTR_TierList,0))))</f>
        <v/>
      </c>
      <c r="AA738" s="352" t="s">
        <v>136</v>
      </c>
      <c r="AB738" s="335"/>
      <c r="AC738" s="331" t="b">
        <f>E732&lt;&gt;""</f>
        <v>0</v>
      </c>
      <c r="AD738" s="314"/>
      <c r="AE738" s="353" t="str">
        <f>EUconst_CNTR_ActivityData&amp;EUconst_Unit</f>
        <v>ActivityData_Unit</v>
      </c>
      <c r="AF738" s="354" t="str">
        <f>IF(AC738=TRUE, IF(COUNTIF(MSPara_SourceStreamCategory,V738)=0,"",INDEX(MSPara_CalcFactorsMatrix,MATCH(V738,MSPara_SourceStreamCategory,0),MATCH(AE738&amp;"_"&amp;2,MSPara_CalcFactors,0))),"")</f>
        <v/>
      </c>
      <c r="AG738" s="355" t="str">
        <f>IF(AC738=TRUE, IF(COUNTIF(MSPara_SourceStreamCategory,V738)=0,"",INDEX(MSPara_CalcFactorsMatrix,MATCH(V738,MSPara_SourceStreamCategory,0),MATCH(AE738&amp;"_"&amp;1,MSPara_CalcFactors,0))),"")</f>
        <v/>
      </c>
      <c r="AH738" s="331" t="str">
        <f>IF(OR(AF738="",AF738=EUconst_NA),IF(OR(AG738=EUconst_NA,AG738=""),"",AG738),AF738)</f>
        <v/>
      </c>
      <c r="AI738" s="350" t="str">
        <f>IF(AC738=TRUE,IF(AH738="",EUconst_t,AH738),"")</f>
        <v/>
      </c>
      <c r="AJ738" s="356" t="str">
        <f>IF(J738="",AI738,J738)</f>
        <v/>
      </c>
      <c r="AK738" s="357" t="b">
        <f>AND(E732&lt;&gt;"",J738&lt;&gt;"")</f>
        <v>0</v>
      </c>
      <c r="AL738" s="326"/>
      <c r="AM738" s="358" t="s">
        <v>147</v>
      </c>
      <c r="AN738" s="359" t="str">
        <f>AJ738</f>
        <v/>
      </c>
      <c r="AO738" s="326"/>
      <c r="AP738" s="326"/>
      <c r="AQ738" s="349" t="str">
        <f>EUconst_CNTR_ActivityData&amp;EUconst_Value</f>
        <v>ActivityData_Value</v>
      </c>
      <c r="AR738" s="336"/>
      <c r="AS738" s="336"/>
      <c r="AT738" s="331" t="b">
        <f>AND(AND(AH738&lt;&gt;"",AJ738&lt;&gt;""),AJ738=AH738)</f>
        <v>0</v>
      </c>
      <c r="AU738" s="314"/>
      <c r="AV738" s="331">
        <f>IF(Y738=EUconst_NA,0,IF(COUNT(K738:K738)=0,0,IF(K738="",#REF!,K738)))</f>
        <v>0</v>
      </c>
      <c r="AW738" s="360" t="b">
        <f>AND(AC738=TRUE,OR(K738&lt;&gt;"",AU738=""))</f>
        <v>0</v>
      </c>
      <c r="AX738" s="360" t="b">
        <f>AND(AC738=TRUE,NOT(AW738))</f>
        <v>0</v>
      </c>
      <c r="AY738" s="314"/>
      <c r="AZ738" s="314" t="s">
        <v>148</v>
      </c>
      <c r="BA738" s="314" t="s">
        <v>149</v>
      </c>
      <c r="BB738" s="360"/>
      <c r="BC738" s="314" t="s">
        <v>150</v>
      </c>
      <c r="BD738" s="314"/>
      <c r="BE738" s="314"/>
      <c r="BF738" s="361" t="s">
        <v>119</v>
      </c>
      <c r="BG738" s="362" t="str">
        <f>IF(COUNTIF(AO741:AO742,TRUE)=0,"",BH738*AV749)</f>
        <v/>
      </c>
      <c r="BH738" s="362" t="str">
        <f>IF(COUNTIF(AO741:AO742,TRUE)=0,"",AV738*IF(AO741,1,AV740*AN742)*AV741-BH740-BH742-BH744)</f>
        <v/>
      </c>
      <c r="BI738" s="314"/>
      <c r="BJ738" s="314"/>
      <c r="BK738" s="314"/>
      <c r="BL738" s="314"/>
      <c r="BM738" s="314"/>
      <c r="BN738" s="314"/>
      <c r="BO738" s="314"/>
      <c r="BP738" s="314"/>
      <c r="BQ738" s="314"/>
      <c r="BR738" s="314"/>
      <c r="BS738" s="314"/>
      <c r="BT738" s="314"/>
      <c r="BU738" s="314"/>
      <c r="BV738" s="314"/>
      <c r="BW738" s="314"/>
      <c r="BX738" s="314"/>
      <c r="BY738" s="314"/>
      <c r="BZ738" s="314"/>
      <c r="CA738" s="314"/>
      <c r="CB738" s="314"/>
      <c r="CC738" s="314"/>
      <c r="CD738" s="314"/>
      <c r="CE738" s="314"/>
      <c r="CF738" s="314"/>
      <c r="CG738" s="314"/>
      <c r="CH738" s="314"/>
      <c r="CI738" s="314"/>
      <c r="CJ738" s="314"/>
      <c r="CK738" s="314"/>
      <c r="CL738" s="314"/>
      <c r="CM738" s="314"/>
      <c r="CN738" s="314"/>
      <c r="CO738" s="314"/>
      <c r="CP738" s="314"/>
      <c r="CQ738" s="360" t="b">
        <v>0</v>
      </c>
    </row>
    <row r="739" spans="1:95" ht="5.15" customHeight="1" thickBot="1" x14ac:dyDescent="0.3">
      <c r="A739" s="307"/>
      <c r="B739" s="68"/>
      <c r="C739" s="199"/>
      <c r="D739" s="202"/>
      <c r="E739" s="76"/>
      <c r="F739" s="76"/>
      <c r="G739" s="76"/>
      <c r="H739" s="76" t="str">
        <f>Translations!$B$397</f>
        <v xml:space="preserve"> </v>
      </c>
      <c r="I739" s="162"/>
      <c r="J739" s="162"/>
      <c r="K739" s="76"/>
      <c r="L739" s="76"/>
      <c r="M739" s="363"/>
      <c r="N739" s="76"/>
      <c r="O739" s="160"/>
      <c r="P739" s="109"/>
      <c r="Q739" s="312"/>
      <c r="R739" s="312"/>
      <c r="S739" s="314"/>
      <c r="T739" s="62"/>
      <c r="U739" s="312"/>
      <c r="V739" s="314"/>
      <c r="W739" s="314"/>
      <c r="X739" s="312"/>
      <c r="Y739" s="319"/>
      <c r="Z739" s="314"/>
      <c r="AA739" s="314"/>
      <c r="AB739" s="314"/>
      <c r="AC739" s="314"/>
      <c r="AD739" s="314"/>
      <c r="AE739" s="314"/>
      <c r="AF739" s="314"/>
      <c r="AG739" s="314"/>
      <c r="AH739" s="314"/>
      <c r="AI739" s="314"/>
      <c r="AJ739" s="314"/>
      <c r="AK739" s="314"/>
      <c r="AL739" s="326"/>
      <c r="AM739" s="326"/>
      <c r="AN739" s="326"/>
      <c r="AO739" s="326"/>
      <c r="AP739" s="326"/>
      <c r="AQ739" s="314"/>
      <c r="AR739" s="314"/>
      <c r="AS739" s="314"/>
      <c r="AT739" s="314"/>
      <c r="AU739" s="314"/>
      <c r="AV739" s="314"/>
      <c r="AW739" s="314"/>
      <c r="AX739" s="314"/>
      <c r="AY739" s="314"/>
      <c r="AZ739" s="314"/>
      <c r="BA739" s="314"/>
      <c r="BB739" s="314"/>
      <c r="BC739" s="314"/>
      <c r="BD739" s="314"/>
      <c r="BE739" s="314"/>
      <c r="BF739" s="314"/>
      <c r="BG739" s="364"/>
      <c r="BH739" s="364"/>
      <c r="BI739" s="314"/>
      <c r="BJ739" s="314"/>
      <c r="BK739" s="314"/>
      <c r="BL739" s="314"/>
      <c r="BM739" s="314"/>
      <c r="BN739" s="314"/>
      <c r="BO739" s="314"/>
      <c r="BP739" s="314"/>
      <c r="BQ739" s="314"/>
      <c r="BR739" s="314"/>
      <c r="BS739" s="314"/>
      <c r="BT739" s="314"/>
      <c r="BU739" s="314"/>
      <c r="BV739" s="314"/>
      <c r="BW739" s="314"/>
      <c r="BX739" s="314"/>
      <c r="BY739" s="314"/>
      <c r="BZ739" s="314"/>
      <c r="CA739" s="314"/>
      <c r="CB739" s="314"/>
      <c r="CC739" s="314"/>
      <c r="CD739" s="314"/>
      <c r="CE739" s="314"/>
      <c r="CF739" s="314"/>
      <c r="CG739" s="314"/>
      <c r="CH739" s="314"/>
      <c r="CI739" s="314"/>
      <c r="CJ739" s="314"/>
      <c r="CK739" s="314"/>
      <c r="CL739" s="314"/>
      <c r="CM739" s="314"/>
      <c r="CN739" s="314"/>
      <c r="CO739" s="314"/>
      <c r="CP739" s="314"/>
      <c r="CQ739" s="319"/>
    </row>
    <row r="740" spans="1:95" ht="12.75" customHeight="1" x14ac:dyDescent="0.25">
      <c r="A740" s="307"/>
      <c r="B740" s="68"/>
      <c r="C740" s="199" t="s">
        <v>13</v>
      </c>
      <c r="D740" s="344" t="str">
        <f>Translations!$B$360</f>
        <v>UCF:</v>
      </c>
      <c r="E740" s="345"/>
      <c r="F740" s="10"/>
      <c r="G740" s="1256" t="str">
        <f>IF(OR(ISBLANK(F740),F740=EUconst_NoTier),"",IF(Z740=0,EUconst_NotApplicable,IF(ISERROR(Z740),"",Z740)))</f>
        <v/>
      </c>
      <c r="H740" s="1257"/>
      <c r="I740" s="365" t="str">
        <f>IF(J740&lt;&gt;"","",AI740)</f>
        <v/>
      </c>
      <c r="J740" s="11"/>
      <c r="K740" s="366" t="str">
        <f>IF(L740="",AU740,"")</f>
        <v/>
      </c>
      <c r="L740" s="23"/>
      <c r="M740" s="347" t="str">
        <f>IF(AND(E733&lt;&gt;"",OR(F740="",COUNT(K740:L740)=0),Y740&lt;&gt;EUconst_NA),EUconst_ERR_Incomplete,IF(COUNTIF(BB740:BD740,TRUE)&gt;0,EUconst_ERR_Inconsistent,""))</f>
        <v/>
      </c>
      <c r="N740" s="367"/>
      <c r="O740" s="160"/>
      <c r="P740" s="109"/>
      <c r="Q740" s="312"/>
      <c r="R740" s="312"/>
      <c r="S740" s="314"/>
      <c r="T740" s="368" t="str">
        <f>EUconst_CNTR_UCF&amp;E733</f>
        <v>UCF_</v>
      </c>
      <c r="U740" s="312"/>
      <c r="V740" s="369" t="str">
        <f>V741</f>
        <v/>
      </c>
      <c r="W740" s="314"/>
      <c r="X740" s="312"/>
      <c r="Y740" s="370" t="str">
        <f>IF(E733="","",IF(OR(F740=EUconst_NA,W740=TRUE),EUconst_NA,INDEX(EUwideConstants!$P$164:$P$200,MATCH(T740,EUwideConstants!$S$164:$S$200,0))))</f>
        <v/>
      </c>
      <c r="Z740" s="371" t="str">
        <f>IF(ISBLANK(F740),"",IF(F740=EUconst_NA,"",INDEX(EUwideConstants!$H:$O,MATCH(T740,EUwideConstants!$S:$S,0),MATCH(F740,CNTR_TierList,0))))</f>
        <v/>
      </c>
      <c r="AA740" s="372" t="str">
        <f>IF(COUNTIF(EUconst_DefaultValues,Z740)&gt;0,MATCH(Z740,EUconst_DefaultValues,0),"")</f>
        <v/>
      </c>
      <c r="AB740" s="314"/>
      <c r="AC740" s="373" t="b">
        <f>AND(AC738,Y740&lt;&gt;EUconst_NA)</f>
        <v>0</v>
      </c>
      <c r="AD740" s="314"/>
      <c r="AE740" s="353" t="str">
        <f>EUconst_CNTR_UCF&amp;EUconst_Unit</f>
        <v>UCF_Unit</v>
      </c>
      <c r="AF740" s="374" t="str">
        <f>IF(AC740=TRUE, IF(COUNTIF(MSPara_SourceStreamCategory,V740)=0,"",INDEX(MSPara_CalcFactorsMatrix,MATCH(V740,MSPara_SourceStreamCategory,0),MATCH(AE740&amp;"_"&amp;2,MSPara_CalcFactors,0))),"")</f>
        <v/>
      </c>
      <c r="AG740" s="375" t="str">
        <f>IF(AC740=TRUE, IF(COUNTIF(MSPara_SourceStreamCategory,V740)=0,"",INDEX(MSPara_CalcFactorsMatrix,MATCH(V740,MSPara_SourceStreamCategory,0),MATCH(AE740&amp;"_"&amp;1,MSPara_CalcFactors,0))),"")</f>
        <v/>
      </c>
      <c r="AH740" s="373" t="str">
        <f>IF(AA740="","",INDEX(AF740:AG740,3-AA740))</f>
        <v/>
      </c>
      <c r="AI740" s="373" t="str">
        <f>IF(AC740=TRUE,IF(OR(AH740="",AH740=EUconst_NA),EUconst_GJ&amp;"/"&amp;AJ738,AH740),"")</f>
        <v/>
      </c>
      <c r="AJ740" s="373" t="str">
        <f>IF(J740="",AI740,J740)</f>
        <v/>
      </c>
      <c r="AK740" s="369" t="b">
        <f>AND(E732&lt;&gt;"",J740&lt;&gt;"")</f>
        <v>0</v>
      </c>
      <c r="AL740" s="326"/>
      <c r="AM740" s="358" t="s">
        <v>151</v>
      </c>
      <c r="AN740" s="359" t="str">
        <f>IF(AJ740="",EUconst_NA,IF(AN738=EUconst_TJ,EUconst_TJ,INDEX(EUwideConstants!$C$135:$G$139,MATCH(AN738,RFAUnits,0),MATCH(AJ740,UCFUnits,0))))</f>
        <v>n.a.</v>
      </c>
      <c r="AO740" s="326"/>
      <c r="AP740" s="326"/>
      <c r="AQ740" s="376" t="str">
        <f>EUconst_CNTR_UCF&amp;EUconst_Value</f>
        <v>UCF_Value</v>
      </c>
      <c r="AR740" s="377" t="str">
        <f>IF(AC740=TRUE,IF(COUNTIF(MSPara_SourceStreamCategory,V740)=0,"",INDEX(MSPara_CalcFactorsMatrix,MATCH(V740,MSPara_SourceStreamCategory,0),MATCH(AQ740&amp;"_"&amp;2,MSPara_CalcFactors,0))),"")</f>
        <v/>
      </c>
      <c r="AS740" s="378" t="str">
        <f>IF(AC740=TRUE,IF(COUNTIF(MSPara_SourceStreamCategory,V740)=0,"",INDEX(MSPara_CalcFactorsMatrix,MATCH(V740,MSPara_SourceStreamCategory,0),MATCH(AQ740&amp;"_"&amp;1,MSPara_CalcFactors,0))),"")</f>
        <v/>
      </c>
      <c r="AT740" s="379" t="b">
        <f>AND(AND(AH740&lt;&gt;"",AJ740&lt;&gt;""),AJ740=AH740)</f>
        <v>0</v>
      </c>
      <c r="AU740" s="380" t="str">
        <f>IF(AND(AA740&lt;&gt;"",AT740=TRUE),IF(OR(INDEX(AR740:AS740,3-AA740)=EUconst_NA,INDEX(AR740:AS740,3-AA740)=0),"",INDEX(AR740:AS740,3-AA740)),"")</f>
        <v/>
      </c>
      <c r="AV740" s="373">
        <f>IF(AC740=TRUE,IF(COUNT(K740:L740)=0,0,IF(L740="",K740,L740)),0)</f>
        <v>0</v>
      </c>
      <c r="AW740" s="369" t="b">
        <f t="shared" ref="AW740:AW747" si="216">AND(AC740=TRUE,OR(AND(F740&lt;&gt;"",NOT(ISNUMBER(AA740))),L740&lt;&gt;"",F740="",AU740=""))</f>
        <v>0</v>
      </c>
      <c r="AX740" s="381" t="b">
        <f t="shared" ref="AX740:AX747" si="217">AND(AC740=TRUE,NOT(AW740))</f>
        <v>0</v>
      </c>
      <c r="AY740" s="314"/>
      <c r="AZ740" s="382" t="b">
        <f t="shared" ref="AZ740:AZ747" si="218">AND(ISNUMBER(AA740),AU740="")</f>
        <v>0</v>
      </c>
      <c r="BA740" s="383" t="b">
        <f t="shared" ref="BA740:BA747" si="219">AND(ISNUMBER(AA740),AU740&lt;&gt;AV740)</f>
        <v>0</v>
      </c>
      <c r="BB740" s="369" t="b">
        <f>AND(E733&lt;&gt;"",F740&lt;&gt;EUconst_NA,AN740=EUconst_NA)</f>
        <v>0</v>
      </c>
      <c r="BC740" s="369" t="b">
        <f t="shared" ref="BC740:BC747" si="220">AND(L740&lt;&gt;"",Y740=EUconst_NA)</f>
        <v>0</v>
      </c>
      <c r="BD740" s="314"/>
      <c r="BE740" s="314"/>
      <c r="BF740" s="382" t="s">
        <v>152</v>
      </c>
      <c r="BG740" s="384" t="str">
        <f>IF(COUNTIF(AO741:AO742,TRUE)=0,"",BH740*AV749)</f>
        <v/>
      </c>
      <c r="BH740" s="384" t="str">
        <f>IF(COUNTIF(AO741:AO742,TRUE)=0,"",AV738*IF(AO741,1,AV740*AN742)*AV741*AV742)</f>
        <v/>
      </c>
      <c r="BI740" s="314"/>
      <c r="BJ740" s="314"/>
      <c r="BK740" s="314"/>
      <c r="BL740" s="314"/>
      <c r="BM740" s="314"/>
      <c r="BN740" s="314"/>
      <c r="BO740" s="314"/>
      <c r="BP740" s="314"/>
      <c r="BQ740" s="314"/>
      <c r="BR740" s="314"/>
      <c r="BS740" s="314"/>
      <c r="BT740" s="314"/>
      <c r="BU740" s="314"/>
      <c r="BV740" s="314"/>
      <c r="BW740" s="314"/>
      <c r="BX740" s="314"/>
      <c r="BY740" s="314"/>
      <c r="BZ740" s="314"/>
      <c r="CA740" s="314"/>
      <c r="CB740" s="314"/>
      <c r="CC740" s="314"/>
      <c r="CD740" s="314"/>
      <c r="CE740" s="314"/>
      <c r="CF740" s="314"/>
      <c r="CG740" s="314"/>
      <c r="CH740" s="314"/>
      <c r="CI740" s="314"/>
      <c r="CJ740" s="314"/>
      <c r="CK740" s="314"/>
      <c r="CL740" s="314"/>
      <c r="CM740" s="314"/>
      <c r="CN740" s="314"/>
      <c r="CO740" s="314"/>
      <c r="CP740" s="314"/>
      <c r="CQ740" s="369" t="b">
        <f>OR(CQ738,Y740=EUconst_NA)</f>
        <v>0</v>
      </c>
    </row>
    <row r="741" spans="1:95" ht="12.75" customHeight="1" thickBot="1" x14ac:dyDescent="0.3">
      <c r="A741" s="307"/>
      <c r="B741" s="68"/>
      <c r="C741" s="199" t="s">
        <v>14</v>
      </c>
      <c r="D741" s="344" t="str">
        <f>Translations!$B$358</f>
        <v>(prelim) EF:</v>
      </c>
      <c r="E741" s="345"/>
      <c r="F741" s="59"/>
      <c r="G741" s="1256" t="str">
        <f>IF(OR(ISBLANK(F741),F741=EUconst_NoTier),"",IF(Z741=0,EUconst_NotApplicable,IF(ISERROR(Z741),"",Z741)))</f>
        <v/>
      </c>
      <c r="H741" s="1260"/>
      <c r="I741" s="385" t="str">
        <f>IF(J741&lt;&gt;"","",AI741)</f>
        <v/>
      </c>
      <c r="J741" s="22"/>
      <c r="K741" s="386" t="str">
        <f>IF(L741="",AU741,"")</f>
        <v/>
      </c>
      <c r="L741" s="58"/>
      <c r="M741" s="347" t="str">
        <f>IF(AND(E733&lt;&gt;"",OR(F741="",COUNT(K741:L741)=0),Y741&lt;&gt;EUconst_NA),EUconst_ERR_Incomplete,IF(COUNTIF(BB741:BD741,TRUE)&gt;0,EUconst_ERR_Inconsistent,""))</f>
        <v/>
      </c>
      <c r="N741" s="387"/>
      <c r="O741" s="160"/>
      <c r="P741" s="109"/>
      <c r="Q741" s="312"/>
      <c r="R741" s="312"/>
      <c r="S741" s="314"/>
      <c r="T741" s="388" t="str">
        <f>EUconst_CNTR_EF&amp;E733</f>
        <v>EF_</v>
      </c>
      <c r="U741" s="312"/>
      <c r="V741" s="389" t="str">
        <f>V738</f>
        <v/>
      </c>
      <c r="W741" s="314"/>
      <c r="X741" s="312"/>
      <c r="Y741" s="390" t="str">
        <f>IF(E733="","",IF(OR(F741=EUconst_NA,W741=TRUE),EUconst_NA,INDEX(EUwideConstants!$P$164:$P$200,MATCH(T741,EUwideConstants!$S$164:$S$200,0))))</f>
        <v/>
      </c>
      <c r="Z741" s="391" t="str">
        <f>IF(ISBLANK(F741),"",IF(F741=EUconst_NA,"",INDEX(EUwideConstants!$H:$O,MATCH(T741,EUwideConstants!$S:$S,0),MATCH(F741,CNTR_TierList,0))))</f>
        <v/>
      </c>
      <c r="AA741" s="392" t="str">
        <f>IF(COUNTIF(EUconst_DefaultValues,Z741)&gt;0,MATCH(Z741,EUconst_DefaultValues,0),"")</f>
        <v/>
      </c>
      <c r="AB741" s="314"/>
      <c r="AC741" s="393" t="b">
        <f>AND(AC738,Y741&lt;&gt;EUconst_NA)</f>
        <v>0</v>
      </c>
      <c r="AD741" s="314"/>
      <c r="AE741" s="394" t="str">
        <f>EUconst_CNTR_EF&amp;EUconst_Unit</f>
        <v>EF_Unit</v>
      </c>
      <c r="AF741" s="395" t="str">
        <f>IF(AC741=TRUE, IF(COUNTIF(MSPara_SourceStreamCategory,V741)=0,"",INDEX(MSPara_CalcFactorsMatrix,MATCH(V741,MSPara_SourceStreamCategory,0),MATCH(AE741&amp;"_"&amp;2,MSPara_CalcFactors,0))),"")</f>
        <v/>
      </c>
      <c r="AG741" s="396" t="str">
        <f>IF(AC741=TRUE, IF(COUNTIF(MSPara_SourceStreamCategory,V741)=0,"",INDEX(MSPara_CalcFactorsMatrix,MATCH(V741,MSPara_SourceStreamCategory,0),MATCH(AE741&amp;"_"&amp;1,MSPara_CalcFactors,0))),"")</f>
        <v/>
      </c>
      <c r="AH741" s="397" t="str">
        <f>IF(AA741="","",INDEX(AF741:AG741,3-AA741))</f>
        <v/>
      </c>
      <c r="AI741" s="397" t="str">
        <f>IF(AC741=TRUE,IF(OR(AH741="",AH741=EUconst_NA),EUconst_tCO2&amp;"/"&amp;IF(AN740=EUconst_NA,AN738,IF(AN740=EUconst_GJ,EUconst_TJ,AN740)),AH741),"")</f>
        <v/>
      </c>
      <c r="AJ741" s="397" t="str">
        <f>IF(J741="",AI741,J741)</f>
        <v/>
      </c>
      <c r="AK741" s="398" t="b">
        <f>AND(E733&lt;&gt;"",J741&lt;&gt;"")</f>
        <v>0</v>
      </c>
      <c r="AL741" s="326"/>
      <c r="AM741" s="358" t="s">
        <v>153</v>
      </c>
      <c r="AN741" s="359" t="str">
        <f>IF(COUNTIF(RFAUnits,AN738)=0,EUconst_NA,INDEX(EUwideConstants!$C$150:$H$154,MATCH(AJ741,EFUnits,0),MATCH(AN738,EUwideConstants!$C$149:$H$149,0)))</f>
        <v>n.a.</v>
      </c>
      <c r="AO741" s="359" t="b">
        <f>AN741&lt;&gt;EUconst_NA</f>
        <v>0</v>
      </c>
      <c r="AP741" s="326"/>
      <c r="AQ741" s="399" t="str">
        <f>EUconst_CNTR_EF&amp;EUconst_Value</f>
        <v>EF_Value</v>
      </c>
      <c r="AR741" s="400" t="str">
        <f>IF(AC741=TRUE,IF(COUNTIF(MSPara_SourceStreamCategory,V741)=0,"",INDEX(MSPara_CalcFactorsMatrix,MATCH(V741,MSPara_SourceStreamCategory,0),MATCH(AQ741&amp;"_"&amp;2,MSPara_CalcFactors,0))),"")</f>
        <v/>
      </c>
      <c r="AS741" s="401" t="str">
        <f>IF(AC741=TRUE,IF(COUNTIF(MSPara_SourceStreamCategory,V741)=0,"",INDEX(MSPara_CalcFactorsMatrix,MATCH(V741,MSPara_SourceStreamCategory,0),MATCH(AQ741&amp;"_"&amp;1,MSPara_CalcFactors,0))),"")</f>
        <v/>
      </c>
      <c r="AT741" s="402" t="b">
        <f>AND(AND(AH741&lt;&gt;"",AJ741&lt;&gt;""),AJ741=AH741)</f>
        <v>0</v>
      </c>
      <c r="AU741" s="403" t="str">
        <f>IF(AND(AA741&lt;&gt;"",AT741=TRUE),IF(OR(INDEX(AR741:AS741,3-AA741)=EUconst_NA,INDEX(AR741:AS741,3-AA741)=0),"",INDEX(AR741:AS741,3-AA741)),"")</f>
        <v/>
      </c>
      <c r="AV741" s="393">
        <f>IF(AC741=TRUE,IF(COUNT(K741:L741)=0,0,IF(L741="",K741,L741)),0)</f>
        <v>0</v>
      </c>
      <c r="AW741" s="389" t="b">
        <f t="shared" si="216"/>
        <v>0</v>
      </c>
      <c r="AX741" s="404" t="b">
        <f t="shared" si="217"/>
        <v>0</v>
      </c>
      <c r="AY741" s="314"/>
      <c r="AZ741" s="405" t="b">
        <f t="shared" si="218"/>
        <v>0</v>
      </c>
      <c r="BA741" s="406" t="b">
        <f t="shared" si="219"/>
        <v>0</v>
      </c>
      <c r="BB741" s="407" t="b">
        <f>AND(E733&lt;&gt;"",COUNTIF(AO741:AO742,TRUE)=0)</f>
        <v>0</v>
      </c>
      <c r="BC741" s="389" t="b">
        <f t="shared" si="220"/>
        <v>0</v>
      </c>
      <c r="BD741" s="314"/>
      <c r="BE741" s="314"/>
      <c r="BF741" s="408" t="s">
        <v>154</v>
      </c>
      <c r="BG741" s="409" t="str">
        <f>IF(COUNTIF(AO741:AO742,TRUE)=0,"",BH741*AV749)</f>
        <v/>
      </c>
      <c r="BH741" s="409" t="str">
        <f>IF(COUNTIF(AO741:AO742,TRUE)=0,"",AV738*IF(AO741,1,AV740*AN742)*AV741*AV743)</f>
        <v/>
      </c>
      <c r="BI741" s="314"/>
      <c r="BJ741" s="314"/>
      <c r="BK741" s="314"/>
      <c r="BL741" s="314"/>
      <c r="BM741" s="314"/>
      <c r="BN741" s="314"/>
      <c r="BO741" s="314"/>
      <c r="BP741" s="314"/>
      <c r="BQ741" s="314"/>
      <c r="BR741" s="314"/>
      <c r="BS741" s="314"/>
      <c r="BT741" s="314"/>
      <c r="BU741" s="314"/>
      <c r="BV741" s="314"/>
      <c r="BW741" s="314"/>
      <c r="BX741" s="314"/>
      <c r="BY741" s="314"/>
      <c r="BZ741" s="314"/>
      <c r="CA741" s="314"/>
      <c r="CB741" s="314"/>
      <c r="CC741" s="314"/>
      <c r="CD741" s="314"/>
      <c r="CE741" s="314"/>
      <c r="CF741" s="314"/>
      <c r="CG741" s="314"/>
      <c r="CH741" s="314"/>
      <c r="CI741" s="314"/>
      <c r="CJ741" s="314"/>
      <c r="CK741" s="314"/>
      <c r="CL741" s="314"/>
      <c r="CM741" s="314"/>
      <c r="CN741" s="314"/>
      <c r="CO741" s="314"/>
      <c r="CP741" s="314"/>
      <c r="CQ741" s="407" t="b">
        <f>OR(CQ738,Y741=EUconst_NA)</f>
        <v>0</v>
      </c>
    </row>
    <row r="742" spans="1:95" ht="12.75" customHeight="1" x14ac:dyDescent="0.25">
      <c r="A742" s="307"/>
      <c r="B742" s="68"/>
      <c r="C742" s="199" t="s">
        <v>15</v>
      </c>
      <c r="D742" s="344" t="str">
        <f>Translations!$B$362</f>
        <v>BioF:</v>
      </c>
      <c r="E742" s="345"/>
      <c r="F742" s="10"/>
      <c r="G742" s="1256" t="str">
        <f>IF(OR(ISBLANK(F742),F742=EUconst_NoTier),"",IF(Z742=0,EUconst_NotApplicable,IF(ISERROR(Z742),"",Z742)))</f>
        <v/>
      </c>
      <c r="H742" s="1257"/>
      <c r="I742" s="410" t="str">
        <f t="shared" ref="I742:I747" si="221">IF(OR(AC742=FALSE,Y742=EUconst_NA),"","-")</f>
        <v/>
      </c>
      <c r="J742" s="411"/>
      <c r="K742" s="412" t="str">
        <f>IF(L742="",AU742,"")</f>
        <v/>
      </c>
      <c r="L742" s="60"/>
      <c r="M742" s="347" t="str">
        <f>IF(AND(E733&lt;&gt;"",OR(F742="",COUNT(K742:L742)=0),Y742&lt;&gt;EUconst_NA),EUconst_ERR_Incomplete,IF(COUNTIF(BB742:BD742,TRUE)&gt;0,EUconst_ERR_Inconsistent,""))</f>
        <v/>
      </c>
      <c r="O742" s="160"/>
      <c r="P742" s="348"/>
      <c r="Q742" s="413"/>
      <c r="R742" s="413"/>
      <c r="S742" s="314"/>
      <c r="T742" s="388" t="str">
        <f>EUconst_CNTR_BiomassContent&amp;E733</f>
        <v>BioC_</v>
      </c>
      <c r="U742" s="312"/>
      <c r="V742" s="369" t="str">
        <f>V740</f>
        <v/>
      </c>
      <c r="W742" s="369" t="str">
        <f>IF(OR(V742="",COUNTIF(MSPara_SourceStreamCategory,V742)=0),"",INDEX(MSPara_IsFossil,MATCH(V742,MSPara_SourceStreamCategory,0)))</f>
        <v/>
      </c>
      <c r="X742" s="312"/>
      <c r="Y742" s="370" t="str">
        <f>IF(E733="","",IF(OR(F742=EUconst_NA,W742=TRUE),EUconst_NA,INDEX(EUwideConstants!$P$164:$P$200,MATCH(T742,EUwideConstants!$S$164:$S$200,0))))</f>
        <v/>
      </c>
      <c r="Z742" s="371" t="str">
        <f>IF(ISBLANK(F742),"",IF(F742=EUconst_NA,"",INDEX(EUwideConstants!$H:$O,MATCH(T742,EUwideConstants!$S:$S,0),MATCH(F742,CNTR_TierList,0))))</f>
        <v/>
      </c>
      <c r="AA742" s="414" t="str">
        <f>IF(F742=1,1,"")</f>
        <v/>
      </c>
      <c r="AB742" s="314"/>
      <c r="AC742" s="373" t="b">
        <f>AND(AC738,Y742&lt;&gt;EUconst_NA)</f>
        <v>0</v>
      </c>
      <c r="AD742" s="314"/>
      <c r="AE742" s="415"/>
      <c r="AF742" s="416"/>
      <c r="AG742" s="417"/>
      <c r="AH742" s="418"/>
      <c r="AI742" s="418"/>
      <c r="AJ742" s="418"/>
      <c r="AK742" s="419"/>
      <c r="AL742" s="326"/>
      <c r="AM742" s="358" t="s">
        <v>155</v>
      </c>
      <c r="AN742" s="359" t="str">
        <f>IF(AN740=EUconst_NA,EUconst_NA,INDEX(EUwideConstants!$C$150:$H$154,MATCH(AJ741,EFUnits,0),MATCH(AN740,EUwideConstants!$C$149:$H$149,0)))</f>
        <v>n.a.</v>
      </c>
      <c r="AO742" s="359" t="b">
        <f>AN742&lt;&gt;EUconst_NA</f>
        <v>0</v>
      </c>
      <c r="AP742" s="326"/>
      <c r="AQ742" s="376" t="str">
        <f>EUconst_CNTR_BiomassContent&amp;EUconst_Value</f>
        <v>BioC_Value</v>
      </c>
      <c r="AR742" s="420"/>
      <c r="AS742" s="378" t="str">
        <f t="shared" ref="AS742:AS747" si="222">IF(AC742=TRUE,IF(COUNTIF(MSPara_SourceStreamCategory,V742)=0,"",INDEX(MSPara_CalcFactorsMatrix,MATCH(V742,MSPara_SourceStreamCategory,0),MATCH(AQ742&amp;"_"&amp;2,MSPara_CalcFactors,0))),"")</f>
        <v/>
      </c>
      <c r="AT742" s="421"/>
      <c r="AU742" s="380" t="str">
        <f t="shared" ref="AU742:AU747" si="223">IF(OR(AA742="",AS742=EUconst_NA),"",AS742)</f>
        <v/>
      </c>
      <c r="AV742" s="373">
        <f>IF(AC742=TRUE,IF(COUNT(K742:L742)=0,0,IF(L742="",K742,L742)),0)</f>
        <v>0</v>
      </c>
      <c r="AW742" s="369" t="b">
        <f t="shared" si="216"/>
        <v>0</v>
      </c>
      <c r="AX742" s="381" t="b">
        <f t="shared" si="217"/>
        <v>0</v>
      </c>
      <c r="AY742" s="314"/>
      <c r="AZ742" s="382" t="b">
        <f t="shared" si="218"/>
        <v>0</v>
      </c>
      <c r="BA742" s="383" t="b">
        <f t="shared" si="219"/>
        <v>0</v>
      </c>
      <c r="BB742" s="314"/>
      <c r="BC742" s="369" t="b">
        <f t="shared" si="220"/>
        <v>0</v>
      </c>
      <c r="BD742" s="369" t="b">
        <f>OR(AV742&gt;100%,(AV742+AV743)&gt;100%)</f>
        <v>0</v>
      </c>
      <c r="BE742" s="314"/>
      <c r="BF742" s="382" t="s">
        <v>156</v>
      </c>
      <c r="BG742" s="384" t="str">
        <f>IF(COUNTIF(AO741:AO742,TRUE)=0,"",BH742*AV749)</f>
        <v/>
      </c>
      <c r="BH742" s="384" t="str">
        <f>IF(COUNTIF(AO741:AO742,TRUE)=0,"",AV738*IF(AO741,1,AV740*AN742)*AV741*AV744)</f>
        <v/>
      </c>
      <c r="BJ742" s="314"/>
      <c r="BK742" s="314"/>
      <c r="BL742" s="314"/>
      <c r="BM742" s="314"/>
      <c r="BN742" s="314"/>
      <c r="BO742" s="314"/>
      <c r="BP742" s="314"/>
      <c r="BQ742" s="314"/>
      <c r="BR742" s="314"/>
      <c r="BS742" s="314"/>
      <c r="BT742" s="314"/>
      <c r="BU742" s="314"/>
      <c r="BV742" s="314"/>
      <c r="BW742" s="314"/>
      <c r="BX742" s="314"/>
      <c r="BY742" s="314"/>
      <c r="BZ742" s="314"/>
      <c r="CA742" s="314"/>
      <c r="CB742" s="314"/>
      <c r="CC742" s="314"/>
      <c r="CD742" s="314"/>
      <c r="CE742" s="314"/>
      <c r="CF742" s="314"/>
      <c r="CG742" s="314"/>
      <c r="CH742" s="314"/>
      <c r="CI742" s="314"/>
      <c r="CJ742" s="314"/>
      <c r="CK742" s="314"/>
      <c r="CL742" s="314"/>
      <c r="CM742" s="314"/>
      <c r="CN742" s="314"/>
      <c r="CO742" s="314"/>
      <c r="CP742" s="314"/>
      <c r="CQ742" s="369" t="b">
        <f>OR(CQ738,Y742=EUconst_NA)</f>
        <v>0</v>
      </c>
    </row>
    <row r="743" spans="1:95" ht="12.75" customHeight="1" thickBot="1" x14ac:dyDescent="0.3">
      <c r="A743" s="307"/>
      <c r="B743" s="68"/>
      <c r="C743" s="199" t="s">
        <v>16</v>
      </c>
      <c r="D743" s="344" t="str">
        <f>Translations!$B$368</f>
        <v>non-sust. BioF:</v>
      </c>
      <c r="E743" s="345"/>
      <c r="F743" s="20"/>
      <c r="G743" s="1256" t="str">
        <f>IF(OR(ISBLANK(F743),F743=EUconst_NoTier),"",IF(Z743=0,EUconst_NotApplicable,IF(ISERROR(Z743),"",Z743)))</f>
        <v/>
      </c>
      <c r="H743" s="1257"/>
      <c r="I743" s="422" t="str">
        <f t="shared" si="221"/>
        <v/>
      </c>
      <c r="J743" s="423"/>
      <c r="K743" s="424" t="str">
        <f>IF(L743="",AU743,"")</f>
        <v/>
      </c>
      <c r="L743" s="21"/>
      <c r="M743" s="347" t="str">
        <f>IF(AND(E733&lt;&gt;"",OR(F743="",COUNT(K743:L743)=0),Y743&lt;&gt;EUconst_NA),EUconst_ERR_Incomplete,IF(COUNTIF(BB743:BD743,TRUE)&gt;0,EUconst_ERR_Inconsistent,""))</f>
        <v/>
      </c>
      <c r="N743" s="76"/>
      <c r="O743" s="160"/>
      <c r="P743" s="348"/>
      <c r="Q743" s="413"/>
      <c r="R743" s="413"/>
      <c r="S743" s="314"/>
      <c r="T743" s="425" t="str">
        <f>EUconst_CNTR_BiomassContent&amp;E733</f>
        <v>BioC_</v>
      </c>
      <c r="U743" s="312"/>
      <c r="V743" s="407" t="str">
        <f>V742</f>
        <v/>
      </c>
      <c r="W743" s="407" t="str">
        <f>IF(OR(V742="",COUNTIF(MSPara_SourceStreamCategory,V743)=0),"",INDEX(MSPara_IsFossil,MATCH(V743,MSPara_SourceStreamCategory,0)))</f>
        <v/>
      </c>
      <c r="X743" s="312"/>
      <c r="Y743" s="426" t="str">
        <f>IF(E733="","",IF(OR(F743=EUconst_NA,W743=TRUE),EUconst_NA,INDEX(EUwideConstants!$P$164:$P$200,MATCH(T743,EUwideConstants!$S$164:$S$200,0))))</f>
        <v/>
      </c>
      <c r="Z743" s="427" t="str">
        <f>IF(ISBLANK(F743),"",IF(F743=EUconst_NA,"",INDEX(EUwideConstants!$H:$O,MATCH(T743,EUwideConstants!$S:$S,0),MATCH(F743,CNTR_TierList,0))))</f>
        <v/>
      </c>
      <c r="AA743" s="428" t="str">
        <f>IF(F743=1,1,"")</f>
        <v/>
      </c>
      <c r="AB743" s="314"/>
      <c r="AC743" s="429" t="b">
        <f>AND(AC738,Y743&lt;&gt;EUconst_NA)</f>
        <v>0</v>
      </c>
      <c r="AD743" s="314"/>
      <c r="AE743" s="430"/>
      <c r="AF743" s="431"/>
      <c r="AG743" s="432"/>
      <c r="AH743" s="433"/>
      <c r="AI743" s="433"/>
      <c r="AJ743" s="433"/>
      <c r="AK743" s="434"/>
      <c r="AL743" s="326"/>
      <c r="AM743" s="326"/>
      <c r="AN743" s="326"/>
      <c r="AO743" s="326"/>
      <c r="AP743" s="326"/>
      <c r="AQ743" s="435" t="str">
        <f>EUconst_CNTR_BiomassContent&amp;EUconst_Value</f>
        <v>BioC_Value</v>
      </c>
      <c r="AR743" s="430"/>
      <c r="AS743" s="436" t="str">
        <f t="shared" si="222"/>
        <v/>
      </c>
      <c r="AT743" s="437"/>
      <c r="AU743" s="438" t="str">
        <f t="shared" si="223"/>
        <v/>
      </c>
      <c r="AV743" s="429">
        <f>IF(AC743=TRUE,IF(COUNT(K743:L743)=0,0,IF(L743="",K743,L743)),0)</f>
        <v>0</v>
      </c>
      <c r="AW743" s="407" t="b">
        <f t="shared" si="216"/>
        <v>0</v>
      </c>
      <c r="AX743" s="439" t="b">
        <f t="shared" si="217"/>
        <v>0</v>
      </c>
      <c r="AY743" s="314"/>
      <c r="AZ743" s="408" t="b">
        <f t="shared" si="218"/>
        <v>0</v>
      </c>
      <c r="BA743" s="440" t="b">
        <f t="shared" si="219"/>
        <v>0</v>
      </c>
      <c r="BB743" s="314"/>
      <c r="BC743" s="407" t="b">
        <f t="shared" si="220"/>
        <v>0</v>
      </c>
      <c r="BD743" s="407" t="b">
        <f>OR(AV742&gt;100%,(AV742+AV743)&gt;100%)</f>
        <v>0</v>
      </c>
      <c r="BE743" s="314"/>
      <c r="BF743" s="408" t="s">
        <v>157</v>
      </c>
      <c r="BG743" s="409" t="str">
        <f>IF(COUNTIF(AO741:AO742,TRUE)=0,"",BH743*AV749)</f>
        <v/>
      </c>
      <c r="BH743" s="409" t="str">
        <f>IF(COUNTIF(AO741:AO742,TRUE)=0,"",AV738*IF(AO741,1,AV740*AN742)*AV741*AV745)</f>
        <v/>
      </c>
      <c r="BJ743" s="314"/>
      <c r="BK743" s="314"/>
      <c r="BL743" s="314"/>
      <c r="BM743" s="314"/>
      <c r="BN743" s="314"/>
      <c r="BO743" s="314"/>
      <c r="BP743" s="314"/>
      <c r="BQ743" s="314"/>
      <c r="BR743" s="314"/>
      <c r="BS743" s="314"/>
      <c r="BT743" s="314"/>
      <c r="BU743" s="314"/>
      <c r="BV743" s="314"/>
      <c r="BW743" s="314"/>
      <c r="BX743" s="314"/>
      <c r="BY743" s="314"/>
      <c r="BZ743" s="314"/>
      <c r="CA743" s="314"/>
      <c r="CB743" s="314"/>
      <c r="CC743" s="314"/>
      <c r="CD743" s="314"/>
      <c r="CE743" s="314"/>
      <c r="CF743" s="314"/>
      <c r="CG743" s="314"/>
      <c r="CH743" s="314"/>
      <c r="CI743" s="314"/>
      <c r="CJ743" s="314"/>
      <c r="CK743" s="314"/>
      <c r="CL743" s="314"/>
      <c r="CM743" s="314"/>
      <c r="CN743" s="314"/>
      <c r="CO743" s="314"/>
      <c r="CP743" s="314"/>
      <c r="CQ743" s="407" t="b">
        <f>OR(CQ738,Y743=EUconst_NA)</f>
        <v>0</v>
      </c>
    </row>
    <row r="744" spans="1:95" ht="12.75" customHeight="1" thickBot="1" x14ac:dyDescent="0.3">
      <c r="A744" s="307"/>
      <c r="B744" s="68"/>
      <c r="C744" s="199" t="s">
        <v>17</v>
      </c>
      <c r="D744" s="344" t="str">
        <f>Translations!$B$610</f>
        <v>sust. RFNBO/RCF:</v>
      </c>
      <c r="E744" s="441"/>
      <c r="F744" s="19" t="s">
        <v>158</v>
      </c>
      <c r="G744" s="1261"/>
      <c r="H744" s="1262"/>
      <c r="I744" s="442" t="str">
        <f t="shared" si="221"/>
        <v/>
      </c>
      <c r="J744" s="411"/>
      <c r="K744" s="443"/>
      <c r="L744" s="55"/>
      <c r="M744" s="347" t="str">
        <f>IF(AND(E733&lt;&gt;"",OR(F744="",COUNT(L744)=0),Y744&lt;&gt;EUconst_NA),EUconst_ERR_Incomplete,"")</f>
        <v/>
      </c>
      <c r="N744" s="76"/>
      <c r="O744" s="160"/>
      <c r="P744" s="348"/>
      <c r="Q744" s="413"/>
      <c r="R744" s="413"/>
      <c r="S744" s="314"/>
      <c r="T744" s="388" t="str">
        <f>EUconst_CNTR_RFNBOetcContent&amp;E733</f>
        <v>RNFBOC_</v>
      </c>
      <c r="U744" s="312"/>
      <c r="V744" s="312"/>
      <c r="W744" s="312"/>
      <c r="X744" s="312"/>
      <c r="Y744" s="380" t="str">
        <f>IF(E733="","",IF(OR(F744=EUconst_NA,W744=TRUE),EUconst_NA,INDEX(EUwideConstants!$P$164:$P$200,MATCH(T744,EUwideConstants!$S$164:$S$200,0))))</f>
        <v/>
      </c>
      <c r="Z744" s="314"/>
      <c r="AA744" s="314"/>
      <c r="AB744" s="314"/>
      <c r="AC744" s="397" t="b">
        <f>AND(AC740,Y744&lt;&gt;EUconst_NA)</f>
        <v>0</v>
      </c>
      <c r="AD744" s="314"/>
      <c r="AE744" s="415"/>
      <c r="AF744" s="416"/>
      <c r="AG744" s="417"/>
      <c r="AH744" s="418"/>
      <c r="AI744" s="418"/>
      <c r="AJ744" s="418"/>
      <c r="AK744" s="419"/>
      <c r="AL744" s="326"/>
      <c r="AM744" s="326"/>
      <c r="AN744" s="326"/>
      <c r="AO744" s="326"/>
      <c r="AP744" s="326"/>
      <c r="AQ744" s="444" t="s">
        <v>159</v>
      </c>
      <c r="AR744" s="415"/>
      <c r="AS744" s="445" t="str">
        <f t="shared" si="222"/>
        <v/>
      </c>
      <c r="AT744" s="446"/>
      <c r="AU744" s="447" t="str">
        <f t="shared" si="223"/>
        <v/>
      </c>
      <c r="AV744" s="397">
        <f>IF(L744&lt;&gt;0,L744,L744)</f>
        <v>0</v>
      </c>
      <c r="AW744" s="398" t="b">
        <f t="shared" si="216"/>
        <v>0</v>
      </c>
      <c r="AX744" s="448" t="b">
        <f t="shared" si="217"/>
        <v>0</v>
      </c>
      <c r="AY744" s="314"/>
      <c r="AZ744" s="449" t="b">
        <f t="shared" si="218"/>
        <v>0</v>
      </c>
      <c r="BA744" s="450" t="b">
        <f t="shared" si="219"/>
        <v>0</v>
      </c>
      <c r="BB744" s="314"/>
      <c r="BC744" s="398" t="b">
        <f t="shared" si="220"/>
        <v>0</v>
      </c>
      <c r="BD744" s="369" t="b">
        <f>OR(AV744&gt;100%,(AV744+AV745)&gt;100%)</f>
        <v>0</v>
      </c>
      <c r="BE744" s="314"/>
      <c r="BF744" s="451" t="s">
        <v>160</v>
      </c>
      <c r="BG744" s="452" t="str">
        <f>IF(COUNTIF(AO741:AO742,TRUE)=0,"",BH744*AV749)</f>
        <v/>
      </c>
      <c r="BH744" s="452" t="str">
        <f>IF(COUNTIF(AO741:AO742,TRUE)=0,"",AV738*IF(AO741,1,AV740*AN742)*AV741*AV746)</f>
        <v/>
      </c>
      <c r="BJ744" s="314"/>
      <c r="BK744" s="314"/>
      <c r="BL744" s="314"/>
      <c r="BM744" s="314"/>
      <c r="BN744" s="314"/>
      <c r="BO744" s="314"/>
      <c r="BP744" s="314"/>
      <c r="BQ744" s="314"/>
      <c r="BR744" s="314"/>
      <c r="BS744" s="314"/>
      <c r="BT744" s="314"/>
      <c r="BU744" s="314"/>
      <c r="BV744" s="314"/>
      <c r="BW744" s="314"/>
      <c r="BX744" s="314"/>
      <c r="BY744" s="314"/>
      <c r="BZ744" s="314"/>
      <c r="CA744" s="314"/>
      <c r="CB744" s="314"/>
      <c r="CC744" s="314"/>
      <c r="CD744" s="314"/>
      <c r="CE744" s="314"/>
      <c r="CF744" s="314"/>
      <c r="CG744" s="314"/>
      <c r="CH744" s="314"/>
      <c r="CI744" s="314"/>
      <c r="CJ744" s="314"/>
      <c r="CK744" s="314"/>
      <c r="CL744" s="314"/>
      <c r="CM744" s="314"/>
      <c r="CN744" s="314"/>
      <c r="CO744" s="314"/>
      <c r="CP744" s="314"/>
      <c r="CQ744" s="407" t="b">
        <f>OR(CQ738,Y744=EUconst_NA)</f>
        <v>0</v>
      </c>
    </row>
    <row r="745" spans="1:95" ht="12.75" customHeight="1" thickBot="1" x14ac:dyDescent="0.3">
      <c r="A745" s="307"/>
      <c r="B745" s="68"/>
      <c r="C745" s="199" t="s">
        <v>161</v>
      </c>
      <c r="D745" s="344" t="str">
        <f>Translations!$B$613</f>
        <v>non-sust. RFNBO/RCF:</v>
      </c>
      <c r="E745" s="441"/>
      <c r="F745" s="20" t="s">
        <v>158</v>
      </c>
      <c r="G745" s="1261"/>
      <c r="H745" s="1262"/>
      <c r="I745" s="422" t="str">
        <f t="shared" si="221"/>
        <v/>
      </c>
      <c r="J745" s="423"/>
      <c r="K745" s="443"/>
      <c r="L745" s="56"/>
      <c r="M745" s="347" t="str">
        <f>IF(AND(E733&lt;&gt;"",OR(F745="",COUNT(L745)=0),Y745&lt;&gt;EUconst_NA),EUconst_ERR_Incomplete,"")</f>
        <v/>
      </c>
      <c r="N745" s="76"/>
      <c r="O745" s="160"/>
      <c r="P745" s="348"/>
      <c r="Q745" s="413"/>
      <c r="R745" s="413"/>
      <c r="S745" s="314"/>
      <c r="T745" s="425" t="str">
        <f>EUconst_CNTR_RFNBOetcContent&amp;E733</f>
        <v>RNFBOC_</v>
      </c>
      <c r="U745" s="312"/>
      <c r="V745" s="312"/>
      <c r="W745" s="312"/>
      <c r="X745" s="312"/>
      <c r="Y745" s="438" t="str">
        <f>IF(E733="","",IF(OR(F745=EUconst_NA,W745=TRUE),EUconst_NA,INDEX(EUwideConstants!$P$164:$P$200,MATCH(T745,EUwideConstants!$S$164:$S$200,0))))</f>
        <v/>
      </c>
      <c r="Z745" s="314"/>
      <c r="AA745" s="314"/>
      <c r="AB745" s="314"/>
      <c r="AC745" s="429" t="b">
        <f>AND(AC740,Y745&lt;&gt;EUconst_NA)</f>
        <v>0</v>
      </c>
      <c r="AD745" s="314"/>
      <c r="AE745" s="430"/>
      <c r="AF745" s="431"/>
      <c r="AG745" s="432"/>
      <c r="AH745" s="433"/>
      <c r="AI745" s="433"/>
      <c r="AJ745" s="433"/>
      <c r="AK745" s="434"/>
      <c r="AL745" s="326"/>
      <c r="AM745" s="326"/>
      <c r="AN745" s="326"/>
      <c r="AO745" s="326"/>
      <c r="AP745" s="326"/>
      <c r="AQ745" s="435" t="s">
        <v>159</v>
      </c>
      <c r="AR745" s="430"/>
      <c r="AS745" s="436" t="str">
        <f t="shared" si="222"/>
        <v/>
      </c>
      <c r="AT745" s="437"/>
      <c r="AU745" s="438" t="str">
        <f t="shared" si="223"/>
        <v/>
      </c>
      <c r="AV745" s="429">
        <f t="shared" ref="AV745:AV747" si="224">IF(L745&lt;&gt;0,L745,L745)</f>
        <v>0</v>
      </c>
      <c r="AW745" s="407" t="b">
        <f t="shared" si="216"/>
        <v>0</v>
      </c>
      <c r="AX745" s="439" t="b">
        <f t="shared" si="217"/>
        <v>0</v>
      </c>
      <c r="AY745" s="314"/>
      <c r="AZ745" s="408" t="b">
        <f t="shared" si="218"/>
        <v>0</v>
      </c>
      <c r="BA745" s="440" t="b">
        <f t="shared" si="219"/>
        <v>0</v>
      </c>
      <c r="BB745" s="314"/>
      <c r="BC745" s="407" t="b">
        <f t="shared" si="220"/>
        <v>0</v>
      </c>
      <c r="BD745" s="407" t="b">
        <f>OR(AV744&gt;100%,(AV744+AV745)&gt;100%)</f>
        <v>0</v>
      </c>
      <c r="BE745" s="314"/>
      <c r="BF745" s="408" t="s">
        <v>162</v>
      </c>
      <c r="BG745" s="409" t="str">
        <f>IF(COUNTIF(AO741:AO742,TRUE)=0,"",BH745*AV749)</f>
        <v/>
      </c>
      <c r="BH745" s="409" t="str">
        <f>IF(COUNTIF(AO741:AO742,TRUE)=0,"",AV738*IF(AO741,1,AV740*AN742)*AV741*AV747)</f>
        <v/>
      </c>
      <c r="BJ745" s="314"/>
      <c r="BK745" s="314"/>
      <c r="BL745" s="314"/>
      <c r="BM745" s="314"/>
      <c r="BN745" s="314"/>
      <c r="BO745" s="314"/>
      <c r="BP745" s="314"/>
      <c r="BQ745" s="314"/>
      <c r="BR745" s="314"/>
      <c r="BS745" s="314"/>
      <c r="BT745" s="314"/>
      <c r="BU745" s="314"/>
      <c r="BV745" s="314"/>
      <c r="BW745" s="314"/>
      <c r="BX745" s="314"/>
      <c r="BY745" s="314"/>
      <c r="BZ745" s="314"/>
      <c r="CA745" s="314"/>
      <c r="CB745" s="314"/>
      <c r="CC745" s="314"/>
      <c r="CD745" s="314"/>
      <c r="CE745" s="314"/>
      <c r="CF745" s="314"/>
      <c r="CG745" s="314"/>
      <c r="CH745" s="314"/>
      <c r="CI745" s="314"/>
      <c r="CJ745" s="314"/>
      <c r="CK745" s="314"/>
      <c r="CL745" s="314"/>
      <c r="CM745" s="314"/>
      <c r="CN745" s="314"/>
      <c r="CO745" s="314"/>
      <c r="CP745" s="314"/>
      <c r="CQ745" s="407" t="b">
        <f>OR(CQ738,Y745=EUconst_NA)</f>
        <v>0</v>
      </c>
    </row>
    <row r="746" spans="1:95" ht="12.75" customHeight="1" thickBot="1" x14ac:dyDescent="0.3">
      <c r="A746" s="307"/>
      <c r="B746" s="68"/>
      <c r="C746" s="199" t="s">
        <v>163</v>
      </c>
      <c r="D746" s="344" t="str">
        <f>Translations!$B$615</f>
        <v>sust. SLCF:</v>
      </c>
      <c r="E746" s="441"/>
      <c r="F746" s="19" t="s">
        <v>158</v>
      </c>
      <c r="G746" s="1261"/>
      <c r="H746" s="1262"/>
      <c r="I746" s="442" t="str">
        <f t="shared" si="221"/>
        <v/>
      </c>
      <c r="J746" s="411"/>
      <c r="K746" s="443"/>
      <c r="L746" s="57"/>
      <c r="M746" s="347" t="str">
        <f>IF(AND(E733&lt;&gt;"",OR(F746="",COUNT(L746)=0),Y746&lt;&gt;EUconst_NA),EUconst_ERR_Incomplete,"")</f>
        <v/>
      </c>
      <c r="N746" s="76"/>
      <c r="O746" s="160"/>
      <c r="P746" s="348"/>
      <c r="Q746" s="413"/>
      <c r="R746" s="413"/>
      <c r="S746" s="314"/>
      <c r="T746" s="388" t="str">
        <f>EUconst_CNTR_RFNBOetcContent&amp;E733</f>
        <v>RNFBOC_</v>
      </c>
      <c r="U746" s="312"/>
      <c r="V746" s="312"/>
      <c r="W746" s="312"/>
      <c r="X746" s="312"/>
      <c r="Y746" s="447" t="str">
        <f>IF(E733="","",IF(OR(F746=EUconst_NA,W746=TRUE),EUconst_NA,INDEX(EUwideConstants!$P$164:$P$200,MATCH(T746,EUwideConstants!$S$164:$S$200,0))))</f>
        <v/>
      </c>
      <c r="Z746" s="314"/>
      <c r="AA746" s="314"/>
      <c r="AB746" s="314"/>
      <c r="AC746" s="397" t="b">
        <f>AND(AC742,Y746&lt;&gt;EUconst_NA)</f>
        <v>0</v>
      </c>
      <c r="AD746" s="314"/>
      <c r="AE746" s="415"/>
      <c r="AF746" s="416"/>
      <c r="AG746" s="417"/>
      <c r="AH746" s="418"/>
      <c r="AI746" s="418"/>
      <c r="AJ746" s="418"/>
      <c r="AK746" s="419"/>
      <c r="AL746" s="326"/>
      <c r="AM746" s="326"/>
      <c r="AN746" s="326"/>
      <c r="AO746" s="326"/>
      <c r="AP746" s="326"/>
      <c r="AQ746" s="444" t="s">
        <v>159</v>
      </c>
      <c r="AR746" s="415"/>
      <c r="AS746" s="445" t="str">
        <f t="shared" si="222"/>
        <v/>
      </c>
      <c r="AT746" s="446"/>
      <c r="AU746" s="447" t="str">
        <f t="shared" si="223"/>
        <v/>
      </c>
      <c r="AV746" s="397">
        <f t="shared" si="224"/>
        <v>0</v>
      </c>
      <c r="AW746" s="398" t="b">
        <f t="shared" si="216"/>
        <v>0</v>
      </c>
      <c r="AX746" s="448" t="b">
        <f t="shared" si="217"/>
        <v>0</v>
      </c>
      <c r="AY746" s="314"/>
      <c r="AZ746" s="449" t="b">
        <f t="shared" si="218"/>
        <v>0</v>
      </c>
      <c r="BA746" s="450" t="b">
        <f t="shared" si="219"/>
        <v>0</v>
      </c>
      <c r="BB746" s="314"/>
      <c r="BC746" s="398" t="b">
        <f t="shared" si="220"/>
        <v>0</v>
      </c>
      <c r="BD746" s="369" t="b">
        <f>OR(AV746&gt;100%,(AV746+AV747)&gt;100%)</f>
        <v>0</v>
      </c>
      <c r="BE746" s="314"/>
      <c r="BF746" s="451" t="s">
        <v>164</v>
      </c>
      <c r="BG746" s="452">
        <f>IF(AN738=EUconst_TJ,AV738*(1-AV742),IF(AN740=EUconst_GJ,AV738*AV740/1000,0))-SUM(BG747:BG753)</f>
        <v>0</v>
      </c>
      <c r="BH746" s="314"/>
      <c r="BI746" s="314"/>
      <c r="BJ746" s="314"/>
      <c r="BK746" s="314"/>
      <c r="BL746" s="314"/>
      <c r="BM746" s="314"/>
      <c r="BN746" s="314"/>
      <c r="BO746" s="314"/>
      <c r="BP746" s="314"/>
      <c r="BQ746" s="314"/>
      <c r="BR746" s="314"/>
      <c r="BS746" s="314"/>
      <c r="BT746" s="314"/>
      <c r="BU746" s="314"/>
      <c r="BV746" s="314"/>
      <c r="BW746" s="314"/>
      <c r="BX746" s="314"/>
      <c r="BY746" s="314"/>
      <c r="BZ746" s="314"/>
      <c r="CA746" s="314"/>
      <c r="CB746" s="314"/>
      <c r="CC746" s="314"/>
      <c r="CD746" s="314"/>
      <c r="CE746" s="314"/>
      <c r="CF746" s="314"/>
      <c r="CG746" s="314"/>
      <c r="CH746" s="314"/>
      <c r="CI746" s="314"/>
      <c r="CJ746" s="314"/>
      <c r="CK746" s="314"/>
      <c r="CL746" s="314"/>
      <c r="CM746" s="314"/>
      <c r="CN746" s="314"/>
      <c r="CO746" s="314"/>
      <c r="CP746" s="314"/>
      <c r="CQ746" s="407" t="b">
        <f>OR(CQ738,Y746=EUconst_NA)</f>
        <v>0</v>
      </c>
    </row>
    <row r="747" spans="1:95" ht="12.75" customHeight="1" thickBot="1" x14ac:dyDescent="0.3">
      <c r="A747" s="307"/>
      <c r="B747" s="68"/>
      <c r="C747" s="199" t="s">
        <v>165</v>
      </c>
      <c r="D747" s="344" t="str">
        <f>Translations!$B$618</f>
        <v>non-sust. SLCF:</v>
      </c>
      <c r="E747" s="441"/>
      <c r="F747" s="20" t="s">
        <v>158</v>
      </c>
      <c r="G747" s="1261"/>
      <c r="H747" s="1262"/>
      <c r="I747" s="422" t="str">
        <f t="shared" si="221"/>
        <v/>
      </c>
      <c r="J747" s="423"/>
      <c r="K747" s="443"/>
      <c r="L747" s="56"/>
      <c r="M747" s="347" t="str">
        <f>IF(AND(E733&lt;&gt;"",OR(F747="",COUNT(L747)=0),Y747&lt;&gt;EUconst_NA),EUconst_ERR_Incomplete,"")</f>
        <v/>
      </c>
      <c r="N747" s="76"/>
      <c r="O747" s="160"/>
      <c r="P747" s="348"/>
      <c r="Q747" s="413"/>
      <c r="R747" s="413"/>
      <c r="S747" s="314"/>
      <c r="T747" s="425" t="str">
        <f>EUconst_CNTR_RFNBOetcContent&amp;E733</f>
        <v>RNFBOC_</v>
      </c>
      <c r="U747" s="312"/>
      <c r="V747" s="312"/>
      <c r="W747" s="312"/>
      <c r="X747" s="312"/>
      <c r="Y747" s="438" t="str">
        <f>IF(E733="","",IF(OR(F747=EUconst_NA,W747=TRUE),EUconst_NA,INDEX(EUwideConstants!$P$164:$P$200,MATCH(T747,EUwideConstants!$S$164:$S$200,0))))</f>
        <v/>
      </c>
      <c r="Z747" s="314"/>
      <c r="AA747" s="314"/>
      <c r="AB747" s="314"/>
      <c r="AC747" s="429" t="b">
        <f>AND(AC742,Y747&lt;&gt;EUconst_NA)</f>
        <v>0</v>
      </c>
      <c r="AD747" s="314"/>
      <c r="AE747" s="430"/>
      <c r="AF747" s="431"/>
      <c r="AG747" s="432"/>
      <c r="AH747" s="433"/>
      <c r="AI747" s="433"/>
      <c r="AJ747" s="433"/>
      <c r="AK747" s="434"/>
      <c r="AL747" s="326"/>
      <c r="AM747" s="326"/>
      <c r="AN747" s="326"/>
      <c r="AO747" s="326"/>
      <c r="AP747" s="326"/>
      <c r="AQ747" s="435" t="s">
        <v>159</v>
      </c>
      <c r="AR747" s="430"/>
      <c r="AS747" s="436" t="str">
        <f t="shared" si="222"/>
        <v/>
      </c>
      <c r="AT747" s="437"/>
      <c r="AU747" s="438" t="str">
        <f t="shared" si="223"/>
        <v/>
      </c>
      <c r="AV747" s="429">
        <f t="shared" si="224"/>
        <v>0</v>
      </c>
      <c r="AW747" s="407" t="b">
        <f t="shared" si="216"/>
        <v>0</v>
      </c>
      <c r="AX747" s="439" t="b">
        <f t="shared" si="217"/>
        <v>0</v>
      </c>
      <c r="AY747" s="314"/>
      <c r="AZ747" s="408" t="b">
        <f t="shared" si="218"/>
        <v>0</v>
      </c>
      <c r="BA747" s="440" t="b">
        <f t="shared" si="219"/>
        <v>0</v>
      </c>
      <c r="BB747" s="314"/>
      <c r="BC747" s="407" t="b">
        <f t="shared" si="220"/>
        <v>0</v>
      </c>
      <c r="BD747" s="407" t="b">
        <f>OR(AV746&gt;100%,(AV746+AV747)&gt;100%)</f>
        <v>0</v>
      </c>
      <c r="BE747" s="314"/>
      <c r="BF747" s="408" t="s">
        <v>166</v>
      </c>
      <c r="BG747" s="409" t="str">
        <f>IF(AN738=EUconst_TJ,AV738*AV742,IF(AN740=EUconst_GJ,AV738*AV740/1000*AV742,""))</f>
        <v/>
      </c>
      <c r="BH747" s="314"/>
      <c r="BI747" s="314"/>
      <c r="BJ747" s="314"/>
      <c r="BK747" s="314"/>
      <c r="BL747" s="314"/>
      <c r="BM747" s="314"/>
      <c r="BN747" s="314"/>
      <c r="BO747" s="314"/>
      <c r="BP747" s="314"/>
      <c r="BQ747" s="314"/>
      <c r="BR747" s="314"/>
      <c r="BS747" s="314"/>
      <c r="BT747" s="314"/>
      <c r="BU747" s="314"/>
      <c r="BV747" s="314"/>
      <c r="BW747" s="314"/>
      <c r="BX747" s="314"/>
      <c r="BY747" s="314"/>
      <c r="BZ747" s="314"/>
      <c r="CA747" s="314"/>
      <c r="CB747" s="314"/>
      <c r="CC747" s="314"/>
      <c r="CD747" s="314"/>
      <c r="CE747" s="314"/>
      <c r="CF747" s="314"/>
      <c r="CG747" s="314"/>
      <c r="CH747" s="314"/>
      <c r="CI747" s="314"/>
      <c r="CJ747" s="314"/>
      <c r="CK747" s="314"/>
      <c r="CL747" s="314"/>
      <c r="CM747" s="314"/>
      <c r="CN747" s="314"/>
      <c r="CO747" s="314"/>
      <c r="CP747" s="314"/>
      <c r="CQ747" s="407" t="b">
        <f>OR(CQ738,Y747=EUconst_NA)</f>
        <v>0</v>
      </c>
    </row>
    <row r="748" spans="1:95" ht="5.15" customHeight="1" thickBot="1" x14ac:dyDescent="0.3">
      <c r="A748" s="307"/>
      <c r="B748" s="68"/>
      <c r="C748" s="68"/>
      <c r="D748" s="205"/>
      <c r="E748" s="76"/>
      <c r="F748" s="76"/>
      <c r="G748" s="76"/>
      <c r="H748" s="76"/>
      <c r="I748" s="76"/>
      <c r="J748" s="76"/>
      <c r="K748" s="76"/>
      <c r="L748" s="76"/>
      <c r="M748" s="453"/>
      <c r="N748" s="76"/>
      <c r="O748" s="160"/>
      <c r="P748" s="109"/>
      <c r="Q748" s="312"/>
      <c r="R748" s="312"/>
      <c r="S748" s="314"/>
      <c r="T748" s="314"/>
      <c r="U748" s="314"/>
      <c r="V748" s="314"/>
      <c r="W748" s="314"/>
      <c r="X748" s="314"/>
      <c r="Y748" s="314"/>
      <c r="Z748" s="314"/>
      <c r="AA748" s="314"/>
      <c r="AB748" s="314"/>
      <c r="AC748" s="314"/>
      <c r="AD748" s="314"/>
      <c r="AE748" s="314"/>
      <c r="AF748" s="314"/>
      <c r="AG748" s="314"/>
      <c r="AH748" s="314"/>
      <c r="AI748" s="314"/>
      <c r="AJ748" s="314"/>
      <c r="AK748" s="314"/>
      <c r="AL748" s="314"/>
      <c r="AM748" s="314"/>
      <c r="AN748" s="314"/>
      <c r="AO748" s="314"/>
      <c r="AP748" s="314"/>
      <c r="AQ748" s="314"/>
      <c r="AR748" s="314"/>
      <c r="AS748" s="314"/>
      <c r="AT748" s="314"/>
      <c r="AU748" s="314"/>
      <c r="AV748" s="314"/>
      <c r="AW748" s="314"/>
      <c r="AX748" s="314"/>
      <c r="AY748" s="314"/>
      <c r="AZ748" s="314"/>
      <c r="BA748" s="314"/>
      <c r="BB748" s="314"/>
      <c r="BC748" s="314"/>
      <c r="BD748" s="314"/>
      <c r="BE748" s="314"/>
      <c r="BF748" s="314"/>
      <c r="BG748" s="364"/>
      <c r="BH748" s="314"/>
      <c r="BI748" s="314"/>
      <c r="BJ748" s="314"/>
      <c r="BK748" s="314"/>
      <c r="BL748" s="314"/>
      <c r="BM748" s="314"/>
      <c r="BN748" s="314"/>
      <c r="BO748" s="314"/>
      <c r="BP748" s="314"/>
      <c r="BQ748" s="314"/>
      <c r="BR748" s="314"/>
      <c r="BS748" s="314"/>
      <c r="BT748" s="314"/>
      <c r="BU748" s="314"/>
      <c r="BV748" s="314"/>
      <c r="BW748" s="314"/>
      <c r="BX748" s="314"/>
      <c r="BY748" s="314"/>
      <c r="BZ748" s="314"/>
      <c r="CA748" s="314"/>
      <c r="CB748" s="314"/>
      <c r="CC748" s="314"/>
      <c r="CD748" s="314"/>
      <c r="CE748" s="314"/>
      <c r="CF748" s="314"/>
      <c r="CG748" s="314"/>
      <c r="CH748" s="314"/>
      <c r="CI748" s="314"/>
      <c r="CJ748" s="314"/>
      <c r="CK748" s="314"/>
      <c r="CL748" s="314"/>
      <c r="CM748" s="314"/>
      <c r="CN748" s="314"/>
      <c r="CO748" s="314"/>
      <c r="CP748" s="314"/>
      <c r="CQ748" s="314"/>
    </row>
    <row r="749" spans="1:95" ht="12.75" customHeight="1" thickBot="1" x14ac:dyDescent="0.3">
      <c r="A749" s="307"/>
      <c r="B749" s="68"/>
      <c r="C749" s="199" t="s">
        <v>167</v>
      </c>
      <c r="D749" s="344" t="str">
        <f>Translations!$B$398</f>
        <v>Scope factor:</v>
      </c>
      <c r="E749" s="454"/>
      <c r="F749" s="992"/>
      <c r="G749" s="1263"/>
      <c r="H749" s="1264"/>
      <c r="I749" s="455" t="s">
        <v>46</v>
      </c>
      <c r="J749" s="456"/>
      <c r="K749" s="457" t="str">
        <f>IF(L749="",AU749,"")</f>
        <v/>
      </c>
      <c r="L749" s="16"/>
      <c r="M749" s="458" t="str">
        <f>IF(AND(E733&lt;&gt;"",OR(F749="",G749="",COUNT(K749:L749)=0)),EUconst_ERR_Incomplete,IF(COUNTIF(BB749:BD749,TRUE)&gt;0,EUconst_ERR_Inconsistent,""))</f>
        <v/>
      </c>
      <c r="N749" s="76"/>
      <c r="O749" s="160"/>
      <c r="P749" s="109"/>
      <c r="Q749" s="312"/>
      <c r="R749" s="314"/>
      <c r="S749" s="297"/>
      <c r="T749" s="459" t="str">
        <f>EUconst_CNTR_ScopeFactor&amp;E733</f>
        <v>ScopeFactor_</v>
      </c>
      <c r="U749" s="231" t="str">
        <f>IF(F749="","",INDEX(ScopeAddress,MATCH(F749,ScopeTiers,0)))</f>
        <v/>
      </c>
      <c r="V749" s="360" t="str">
        <f>V738</f>
        <v/>
      </c>
      <c r="W749" s="314"/>
      <c r="X749" s="314"/>
      <c r="Y749" s="460" t="str">
        <f>IF(E733="","",IF(F749=EUconst_NA,EUconst_NA,INDEX(EUwideConstants!$P$164:$P$200,MATCH(T749,EUwideConstants!$S$164:$S$200,0))))</f>
        <v/>
      </c>
      <c r="Z749" s="461" t="str">
        <f>IF(ISBLANK(F749),"",IF(F749=EUconst_NA,"",INDEX(EUwideConstants!$H:$O,MATCH(T749,EUwideConstants!$S:$S,0),MATCH(F749,CNTR_TierList,0))))</f>
        <v/>
      </c>
      <c r="AA749" s="331" t="str">
        <f>IF(G749=EUwideConstants!$A$89,1,"")</f>
        <v/>
      </c>
      <c r="AB749" s="314"/>
      <c r="AC749" s="331" t="b">
        <f>AND(AC738,Y749&lt;&gt;EUconst_NA)</f>
        <v>0</v>
      </c>
      <c r="AD749" s="314"/>
      <c r="AE749" s="314"/>
      <c r="AF749" s="314"/>
      <c r="AG749" s="319"/>
      <c r="AH749" s="314"/>
      <c r="AI749" s="314"/>
      <c r="AJ749" s="314"/>
      <c r="AK749" s="314"/>
      <c r="AL749" s="314"/>
      <c r="AM749" s="314"/>
      <c r="AN749" s="314"/>
      <c r="AO749" s="314"/>
      <c r="AP749" s="314"/>
      <c r="AQ749" s="314"/>
      <c r="AR749" s="314"/>
      <c r="AS749" s="328">
        <v>1</v>
      </c>
      <c r="AT749" s="314"/>
      <c r="AU749" s="319" t="str">
        <f>IF(G749=EUwideConstants!$A$89,AS749,"")</f>
        <v/>
      </c>
      <c r="AV749" s="331">
        <f>IF(AC749=TRUE,IF(COUNT(K749:L749)=0,0,IF(L749="",K749,L749)),0)</f>
        <v>0</v>
      </c>
      <c r="AW749" s="360" t="b">
        <f>AND(AC749=TRUE,OR(AND(F749&lt;&gt;"",NOT(ISNUMBER(AA749))),L749&lt;&gt;"",F749="",AU749=""))</f>
        <v>0</v>
      </c>
      <c r="AX749" s="357" t="b">
        <f>AND(AC749=TRUE,NOT(AW749))</f>
        <v>0</v>
      </c>
      <c r="AY749" s="314"/>
      <c r="AZ749" s="361" t="b">
        <f>AND(ISNUMBER(AA749),AU749="")</f>
        <v>0</v>
      </c>
      <c r="BA749" s="351" t="b">
        <f>AND(ISNUMBER(AA749),AU749&lt;&gt;AV749)</f>
        <v>0</v>
      </c>
      <c r="BB749" s="314"/>
      <c r="BC749" s="360" t="b">
        <f>AND(F749&lt;&gt;"",OR(COUNTIF(INDEX(ScopeMethods,F749,),G749)=0,AND(AA749&lt;&gt;"",AU749&lt;&gt;AV749)))</f>
        <v>0</v>
      </c>
      <c r="BD749" s="314"/>
      <c r="BE749" s="314"/>
      <c r="BF749" s="361" t="s">
        <v>168</v>
      </c>
      <c r="BG749" s="362" t="str">
        <f>IF(AN738=EUconst_TJ,AV738*AV744,IF(AN740=EUconst_GJ,AV738*AV740/1000*AV744,""))</f>
        <v/>
      </c>
      <c r="BH749" s="314"/>
      <c r="BI749" s="314"/>
      <c r="BJ749" s="314"/>
      <c r="BK749" s="314"/>
      <c r="BL749" s="314"/>
      <c r="BM749" s="314"/>
      <c r="BN749" s="314"/>
      <c r="BO749" s="314"/>
      <c r="BP749" s="314"/>
      <c r="BQ749" s="314"/>
      <c r="BR749" s="314"/>
      <c r="BS749" s="314"/>
      <c r="BT749" s="314"/>
      <c r="BU749" s="314"/>
      <c r="BV749" s="314"/>
      <c r="BW749" s="314"/>
      <c r="BX749" s="314"/>
      <c r="BY749" s="314"/>
      <c r="BZ749" s="314"/>
      <c r="CA749" s="314"/>
      <c r="CB749" s="314"/>
      <c r="CC749" s="314"/>
      <c r="CD749" s="314"/>
      <c r="CE749" s="314"/>
      <c r="CF749" s="314"/>
      <c r="CG749" s="314"/>
      <c r="CH749" s="314"/>
      <c r="CI749" s="314"/>
      <c r="CJ749" s="314"/>
      <c r="CK749" s="314"/>
      <c r="CL749" s="314"/>
      <c r="CM749" s="314"/>
      <c r="CN749" s="314"/>
      <c r="CO749" s="314"/>
      <c r="CP749" s="314"/>
      <c r="CQ749" s="314"/>
    </row>
    <row r="750" spans="1:95" ht="12.75" customHeight="1" x14ac:dyDescent="0.25">
      <c r="A750" s="307"/>
      <c r="B750" s="68"/>
      <c r="C750" s="68"/>
      <c r="D750" s="68"/>
      <c r="E750" s="68"/>
      <c r="F750" s="68"/>
      <c r="G750" s="1265" t="str">
        <f>IF(G749="","",INDEX(ScopeMethodsDetails,MATCH(G749,INDEX(ScopeMethodsDetails,,1),0),2))</f>
        <v/>
      </c>
      <c r="H750" s="1266"/>
      <c r="I750" s="1266"/>
      <c r="J750" s="1266"/>
      <c r="K750" s="1266"/>
      <c r="L750" s="1266"/>
      <c r="M750" s="1267"/>
      <c r="N750" s="76"/>
      <c r="O750" s="160"/>
      <c r="P750" s="109"/>
      <c r="Q750" s="312"/>
      <c r="R750" s="312"/>
      <c r="S750" s="314"/>
      <c r="T750" s="314"/>
      <c r="U750" s="314"/>
      <c r="V750" s="314"/>
      <c r="W750" s="314"/>
      <c r="X750" s="314"/>
      <c r="Y750" s="314"/>
      <c r="Z750" s="314"/>
      <c r="AA750" s="314"/>
      <c r="AB750" s="314"/>
      <c r="AC750" s="314"/>
      <c r="AD750" s="314"/>
      <c r="AE750" s="314"/>
      <c r="AF750" s="314"/>
      <c r="AG750" s="314"/>
      <c r="AH750" s="314"/>
      <c r="AI750" s="314"/>
      <c r="AJ750" s="314"/>
      <c r="AK750" s="314"/>
      <c r="AL750" s="314"/>
      <c r="AM750" s="314"/>
      <c r="AN750" s="314"/>
      <c r="AO750" s="314"/>
      <c r="AP750" s="314"/>
      <c r="AQ750" s="314"/>
      <c r="AR750" s="314"/>
      <c r="AS750" s="314"/>
      <c r="AT750" s="314"/>
      <c r="AU750" s="314"/>
      <c r="AV750" s="314"/>
      <c r="AW750" s="314"/>
      <c r="AX750" s="314"/>
      <c r="AY750" s="314"/>
      <c r="AZ750" s="314"/>
      <c r="BA750" s="314"/>
      <c r="BB750" s="314"/>
      <c r="BC750" s="314"/>
      <c r="BD750" s="314"/>
      <c r="BE750" s="314"/>
      <c r="BG750" s="364"/>
      <c r="BH750" s="314"/>
      <c r="BI750" s="314"/>
      <c r="BJ750" s="314"/>
      <c r="BK750" s="314"/>
      <c r="BL750" s="314"/>
      <c r="BM750" s="314"/>
      <c r="BN750" s="314"/>
      <c r="BO750" s="314"/>
      <c r="BP750" s="314"/>
      <c r="BQ750" s="314"/>
      <c r="BR750" s="314"/>
      <c r="BS750" s="314"/>
      <c r="BT750" s="314"/>
      <c r="BU750" s="314"/>
      <c r="BV750" s="314"/>
      <c r="BW750" s="314"/>
      <c r="BX750" s="314"/>
      <c r="BY750" s="314"/>
      <c r="BZ750" s="314"/>
      <c r="CA750" s="314"/>
      <c r="CB750" s="314"/>
      <c r="CC750" s="314"/>
      <c r="CD750" s="314"/>
      <c r="CE750" s="314"/>
      <c r="CF750" s="314"/>
      <c r="CG750" s="314"/>
      <c r="CH750" s="314"/>
      <c r="CI750" s="314"/>
      <c r="CJ750" s="314"/>
      <c r="CK750" s="314"/>
      <c r="CL750" s="314"/>
      <c r="CM750" s="314"/>
      <c r="CN750" s="314"/>
      <c r="CO750" s="314"/>
      <c r="CP750" s="314"/>
      <c r="CQ750" s="314"/>
    </row>
    <row r="751" spans="1:95" ht="5.15" customHeight="1" x14ac:dyDescent="0.25">
      <c r="A751" s="307"/>
      <c r="C751" s="76"/>
      <c r="D751" s="76"/>
      <c r="E751" s="76"/>
      <c r="F751" s="76"/>
      <c r="G751" s="76"/>
      <c r="H751" s="76"/>
      <c r="I751" s="76"/>
      <c r="J751" s="76"/>
      <c r="K751" s="76"/>
      <c r="L751" s="76"/>
      <c r="O751" s="160"/>
      <c r="P751" s="109"/>
      <c r="Q751" s="312"/>
      <c r="R751" s="312"/>
      <c r="S751" s="314"/>
      <c r="T751" s="314"/>
      <c r="U751" s="314"/>
      <c r="V751" s="314"/>
      <c r="W751" s="314"/>
      <c r="X751" s="314"/>
      <c r="Y751" s="314"/>
      <c r="Z751" s="314"/>
      <c r="AA751" s="314"/>
      <c r="AB751" s="314"/>
      <c r="AC751" s="314"/>
      <c r="AD751" s="314"/>
      <c r="AE751" s="314"/>
      <c r="AF751" s="314"/>
      <c r="AG751" s="314"/>
      <c r="AH751" s="314"/>
      <c r="AI751" s="314"/>
      <c r="AJ751" s="314"/>
      <c r="AK751" s="314"/>
      <c r="AL751" s="314"/>
      <c r="AM751" s="314"/>
      <c r="AN751" s="314"/>
      <c r="AO751" s="314"/>
      <c r="AP751" s="314"/>
      <c r="AQ751" s="314"/>
      <c r="AR751" s="314"/>
      <c r="AS751" s="314"/>
      <c r="AT751" s="314"/>
      <c r="AU751" s="314"/>
      <c r="AV751" s="314"/>
      <c r="AW751" s="314"/>
      <c r="AX751" s="314"/>
      <c r="AY751" s="314"/>
      <c r="AZ751" s="314"/>
      <c r="BA751" s="314"/>
      <c r="BB751" s="314"/>
      <c r="BC751" s="314"/>
      <c r="BD751" s="314"/>
      <c r="BE751" s="314"/>
      <c r="BG751" s="364"/>
      <c r="BH751" s="314"/>
      <c r="BI751" s="314"/>
      <c r="BJ751" s="314"/>
      <c r="BK751" s="314"/>
      <c r="BL751" s="314"/>
      <c r="BM751" s="314"/>
      <c r="BN751" s="314"/>
      <c r="BO751" s="314"/>
      <c r="BP751" s="314"/>
      <c r="BQ751" s="314"/>
      <c r="BR751" s="314"/>
      <c r="BS751" s="314"/>
      <c r="BT751" s="314"/>
      <c r="BU751" s="314"/>
      <c r="BV751" s="314"/>
      <c r="BW751" s="314"/>
      <c r="BX751" s="314"/>
      <c r="BY751" s="314"/>
      <c r="BZ751" s="314"/>
      <c r="CA751" s="314"/>
      <c r="CB751" s="314"/>
      <c r="CC751" s="314"/>
      <c r="CD751" s="314"/>
      <c r="CE751" s="314"/>
      <c r="CF751" s="314"/>
      <c r="CG751" s="314"/>
      <c r="CH751" s="314"/>
      <c r="CI751" s="314"/>
      <c r="CJ751" s="314"/>
      <c r="CK751" s="314"/>
      <c r="CL751" s="314"/>
      <c r="CM751" s="314"/>
      <c r="CN751" s="314"/>
      <c r="CO751" s="314"/>
      <c r="CP751" s="314"/>
      <c r="CQ751" s="314"/>
    </row>
    <row r="752" spans="1:95" ht="12.75" customHeight="1" thickBot="1" x14ac:dyDescent="0.3">
      <c r="A752" s="307"/>
      <c r="C752" s="76"/>
      <c r="D752" s="76"/>
      <c r="E752" s="76"/>
      <c r="F752" s="76"/>
      <c r="G752" s="1268">
        <v>1</v>
      </c>
      <c r="H752" s="1268"/>
      <c r="I752" s="1268">
        <v>2</v>
      </c>
      <c r="J752" s="1268"/>
      <c r="K752" s="1268">
        <v>3</v>
      </c>
      <c r="L752" s="1268"/>
      <c r="O752" s="160"/>
      <c r="P752" s="109"/>
      <c r="Q752" s="312"/>
      <c r="R752" s="312"/>
      <c r="S752" s="314"/>
      <c r="T752" s="314"/>
      <c r="U752" s="314"/>
      <c r="V752" s="314"/>
      <c r="W752" s="314"/>
      <c r="X752" s="314"/>
      <c r="Y752" s="314"/>
      <c r="Z752" s="314"/>
      <c r="AA752" s="314"/>
      <c r="AB752" s="314"/>
      <c r="AC752" s="314"/>
      <c r="AD752" s="314"/>
      <c r="AE752" s="314"/>
      <c r="AF752" s="314"/>
      <c r="AG752" s="314"/>
      <c r="AH752" s="314"/>
      <c r="AI752" s="314"/>
      <c r="AJ752" s="314"/>
      <c r="AK752" s="314"/>
      <c r="AL752" s="314"/>
      <c r="AM752" s="314"/>
      <c r="AN752" s="314"/>
      <c r="AO752" s="314"/>
      <c r="AP752" s="314"/>
      <c r="AQ752" s="314"/>
      <c r="AR752" s="314"/>
      <c r="AS752" s="314"/>
      <c r="AT752" s="314"/>
      <c r="AU752" s="314"/>
      <c r="AV752" s="314"/>
      <c r="AW752" s="314"/>
      <c r="AX752" s="314"/>
      <c r="AY752" s="314"/>
      <c r="AZ752" s="314"/>
      <c r="BA752" s="314"/>
      <c r="BB752" s="314"/>
      <c r="BC752" s="314"/>
      <c r="BD752" s="314"/>
      <c r="BE752" s="314"/>
      <c r="BF752" s="314"/>
      <c r="BG752" s="364"/>
      <c r="BH752" s="314"/>
      <c r="BI752" s="314"/>
      <c r="BJ752" s="314"/>
      <c r="BK752" s="314"/>
      <c r="BL752" s="314"/>
      <c r="BM752" s="314"/>
      <c r="BN752" s="314"/>
      <c r="BO752" s="314"/>
      <c r="BP752" s="314"/>
      <c r="BQ752" s="314"/>
      <c r="BR752" s="314"/>
      <c r="BS752" s="314"/>
      <c r="BT752" s="314"/>
      <c r="BU752" s="314"/>
      <c r="BV752" s="314"/>
      <c r="BW752" s="314"/>
      <c r="BX752" s="314"/>
      <c r="BY752" s="314"/>
      <c r="BZ752" s="314"/>
      <c r="CA752" s="314"/>
      <c r="CB752" s="314"/>
      <c r="CC752" s="314"/>
      <c r="CD752" s="314"/>
      <c r="CE752" s="314"/>
      <c r="CF752" s="314"/>
      <c r="CG752" s="314"/>
      <c r="CH752" s="314"/>
      <c r="CI752" s="314"/>
      <c r="CJ752" s="314"/>
      <c r="CK752" s="314"/>
      <c r="CL752" s="314"/>
      <c r="CM752" s="314"/>
      <c r="CN752" s="314"/>
      <c r="CO752" s="314"/>
      <c r="CP752" s="314"/>
      <c r="CQ752" s="314"/>
    </row>
    <row r="753" spans="1:95" ht="12.75" customHeight="1" thickBot="1" x14ac:dyDescent="0.3">
      <c r="A753" s="462"/>
      <c r="B753" s="76"/>
      <c r="C753" s="76"/>
      <c r="D753" s="1246" t="str">
        <f>Translations!$B$372</f>
        <v>Consumers' CRF category:</v>
      </c>
      <c r="E753" s="1246"/>
      <c r="F753" s="1247"/>
      <c r="G753" s="1248"/>
      <c r="H753" s="1249"/>
      <c r="I753" s="1248"/>
      <c r="J753" s="1249"/>
      <c r="K753" s="1248"/>
      <c r="L753" s="1249"/>
      <c r="M753" s="463" t="str">
        <f>IF(AND(E732&lt;&gt;"",COUNTA(G753:L753)=0,AX753=FALSE),EUconst_ERR_Incomplete,"")</f>
        <v/>
      </c>
      <c r="N753" s="76"/>
      <c r="O753" s="160"/>
      <c r="P753" s="109"/>
      <c r="Q753" s="312"/>
      <c r="R753" s="312"/>
      <c r="S753" s="314"/>
      <c r="T753" s="314"/>
      <c r="U753" s="314"/>
      <c r="V753" s="314"/>
      <c r="W753" s="314"/>
      <c r="X753" s="314"/>
      <c r="Y753" s="314"/>
      <c r="Z753" s="314"/>
      <c r="AA753" s="314"/>
      <c r="AB753" s="314"/>
      <c r="AC753" s="314"/>
      <c r="AD753" s="314"/>
      <c r="AE753" s="314"/>
      <c r="AF753" s="314"/>
      <c r="AG753" s="314"/>
      <c r="AH753" s="314"/>
      <c r="AI753" s="314"/>
      <c r="AJ753" s="314"/>
      <c r="AK753" s="314"/>
      <c r="AL753" s="314"/>
      <c r="AM753" s="314"/>
      <c r="AN753" s="314"/>
      <c r="AO753" s="314"/>
      <c r="AP753" s="314"/>
      <c r="AQ753" s="314"/>
      <c r="AR753" s="314"/>
      <c r="AS753" s="314"/>
      <c r="AT753" s="314"/>
      <c r="AU753" s="314"/>
      <c r="AV753" s="314"/>
      <c r="AW753" s="314"/>
      <c r="AX753" s="464" t="b">
        <f>AND(AV749&lt;&gt;"",SUM(AV749=1))</f>
        <v>0</v>
      </c>
      <c r="AY753" s="314"/>
      <c r="AZ753" s="314"/>
      <c r="BA753" s="314"/>
      <c r="BB753" s="314"/>
      <c r="BC753" s="314"/>
      <c r="BD753" s="314"/>
      <c r="BE753" s="314"/>
      <c r="BF753" s="361" t="s">
        <v>169</v>
      </c>
      <c r="BG753" s="362" t="str">
        <f>IF(AN738=EUconst_TJ,AV738*AV746,IF(AN740=EUconst_GJ,AV738*AV740/1000*AV746,""))</f>
        <v/>
      </c>
      <c r="BH753" s="314"/>
      <c r="BI753" s="314"/>
      <c r="BJ753" s="314"/>
      <c r="BK753" s="314"/>
      <c r="BL753" s="314"/>
      <c r="BM753" s="314"/>
      <c r="BN753" s="314"/>
      <c r="BO753" s="314"/>
      <c r="BP753" s="314"/>
      <c r="BQ753" s="314"/>
      <c r="BR753" s="314"/>
      <c r="BS753" s="314"/>
      <c r="BT753" s="314"/>
      <c r="BU753" s="314"/>
      <c r="BV753" s="314"/>
      <c r="BW753" s="314"/>
      <c r="BX753" s="314"/>
      <c r="BY753" s="314"/>
      <c r="BZ753" s="314"/>
      <c r="CA753" s="314"/>
      <c r="CB753" s="314"/>
      <c r="CC753" s="314"/>
      <c r="CD753" s="314"/>
      <c r="CE753" s="314"/>
      <c r="CF753" s="314"/>
      <c r="CG753" s="314"/>
      <c r="CH753" s="314"/>
      <c r="CI753" s="314"/>
      <c r="CJ753" s="314"/>
      <c r="CK753" s="314"/>
      <c r="CL753" s="314"/>
      <c r="CM753" s="314"/>
      <c r="CN753" s="314"/>
      <c r="CO753" s="314"/>
      <c r="CP753" s="314"/>
      <c r="CQ753" s="314"/>
    </row>
    <row r="754" spans="1:95" ht="5.15" customHeight="1" x14ac:dyDescent="0.25">
      <c r="A754" s="307"/>
      <c r="B754" s="68"/>
      <c r="C754" s="68"/>
      <c r="D754" s="68"/>
      <c r="E754" s="68"/>
      <c r="F754" s="68"/>
      <c r="G754" s="76"/>
      <c r="H754" s="76"/>
      <c r="I754" s="76"/>
      <c r="J754" s="76"/>
      <c r="K754" s="76"/>
      <c r="L754" s="76"/>
      <c r="M754" s="76"/>
      <c r="N754" s="76"/>
      <c r="O754" s="160"/>
      <c r="P754" s="109"/>
      <c r="Q754" s="312"/>
      <c r="R754" s="312"/>
      <c r="S754" s="314"/>
      <c r="T754" s="314"/>
      <c r="U754" s="314"/>
      <c r="V754" s="314"/>
      <c r="W754" s="314"/>
      <c r="X754" s="314"/>
      <c r="Y754" s="314"/>
      <c r="Z754" s="314"/>
      <c r="AA754" s="314"/>
      <c r="AB754" s="314"/>
      <c r="AC754" s="314"/>
      <c r="AD754" s="314"/>
      <c r="AE754" s="314"/>
      <c r="AF754" s="314"/>
      <c r="AG754" s="314"/>
      <c r="AH754" s="314"/>
      <c r="AI754" s="314"/>
      <c r="AJ754" s="314"/>
      <c r="AK754" s="314"/>
      <c r="AL754" s="314"/>
      <c r="AM754" s="314"/>
      <c r="AN754" s="314"/>
      <c r="AO754" s="314"/>
      <c r="AP754" s="314"/>
      <c r="AQ754" s="314"/>
      <c r="AR754" s="314"/>
      <c r="AS754" s="314"/>
      <c r="AT754" s="314"/>
      <c r="AU754" s="314"/>
      <c r="AV754" s="314"/>
      <c r="AW754" s="314"/>
      <c r="AX754" s="314"/>
      <c r="AY754" s="314"/>
      <c r="AZ754" s="314"/>
      <c r="BA754" s="314"/>
      <c r="BB754" s="314"/>
      <c r="BC754" s="314"/>
      <c r="BD754" s="314"/>
      <c r="BE754" s="314"/>
      <c r="BF754" s="314"/>
      <c r="BG754" s="314"/>
      <c r="BH754" s="314"/>
      <c r="BI754" s="314"/>
      <c r="BJ754" s="314"/>
      <c r="BK754" s="314"/>
      <c r="BL754" s="314"/>
      <c r="BM754" s="314"/>
      <c r="BN754" s="314"/>
      <c r="BO754" s="314"/>
      <c r="BP754" s="314"/>
      <c r="BQ754" s="314"/>
      <c r="BR754" s="314"/>
      <c r="BS754" s="314"/>
      <c r="BT754" s="314"/>
      <c r="BU754" s="314"/>
      <c r="BV754" s="314"/>
      <c r="BW754" s="314"/>
      <c r="BX754" s="314"/>
      <c r="BY754" s="314"/>
      <c r="BZ754" s="314"/>
      <c r="CA754" s="314"/>
      <c r="CB754" s="314"/>
      <c r="CC754" s="314"/>
      <c r="CD754" s="314"/>
      <c r="CE754" s="314"/>
      <c r="CF754" s="314"/>
      <c r="CG754" s="314"/>
      <c r="CH754" s="314"/>
      <c r="CI754" s="314"/>
      <c r="CJ754" s="314"/>
      <c r="CK754" s="314"/>
      <c r="CL754" s="314"/>
      <c r="CM754" s="314"/>
      <c r="CN754" s="314"/>
      <c r="CO754" s="314"/>
      <c r="CP754" s="314"/>
      <c r="CQ754" s="314"/>
    </row>
    <row r="755" spans="1:95" ht="12.75" customHeight="1" x14ac:dyDescent="0.25">
      <c r="A755" s="307"/>
      <c r="B755" s="68"/>
      <c r="C755" s="68"/>
      <c r="D755" s="1246" t="str">
        <f>Translations!$B$399</f>
        <v>Tiers valid from:</v>
      </c>
      <c r="E755" s="1246"/>
      <c r="F755" s="1247"/>
      <c r="G755" s="8"/>
      <c r="H755" s="199" t="str">
        <f>Translations!$B$400</f>
        <v>until:</v>
      </c>
      <c r="I755" s="8"/>
      <c r="J755" s="76"/>
      <c r="K755" s="76"/>
      <c r="L755" s="76"/>
      <c r="M755" s="199" t="str">
        <f>Translations!$B$401</f>
        <v>ID used in the monitoring plan for this fuel stream:</v>
      </c>
      <c r="N755" s="9"/>
      <c r="O755" s="160"/>
      <c r="P755" s="109"/>
      <c r="Q755" s="312"/>
      <c r="R755" s="312"/>
      <c r="S755" s="465"/>
      <c r="T755" s="314"/>
      <c r="U755" s="314"/>
      <c r="V755" s="314"/>
      <c r="W755" s="314"/>
      <c r="X755" s="314"/>
      <c r="Y755" s="314"/>
      <c r="Z755" s="314"/>
      <c r="AA755" s="314"/>
      <c r="AB755" s="314"/>
      <c r="AC755" s="314"/>
      <c r="AD755" s="314"/>
      <c r="AE755" s="314"/>
      <c r="AF755" s="314"/>
      <c r="AG755" s="314"/>
      <c r="AH755" s="314"/>
      <c r="AI755" s="314"/>
      <c r="AJ755" s="314"/>
      <c r="AK755" s="314"/>
      <c r="AL755" s="314"/>
      <c r="AM755" s="314"/>
      <c r="AN755" s="314"/>
      <c r="AO755" s="314"/>
      <c r="AP755" s="314"/>
      <c r="AQ755" s="314"/>
      <c r="AR755" s="314"/>
      <c r="AS755" s="314"/>
      <c r="AT755" s="314"/>
      <c r="AU755" s="314"/>
      <c r="AV755" s="314"/>
      <c r="AW755" s="314"/>
      <c r="AX755" s="314"/>
      <c r="AY755" s="314"/>
      <c r="AZ755" s="314"/>
      <c r="BA755" s="314"/>
      <c r="BB755" s="314"/>
      <c r="BC755" s="314"/>
      <c r="BD755" s="314"/>
      <c r="BE755" s="314"/>
      <c r="BF755" s="314"/>
      <c r="BG755" s="314"/>
      <c r="BH755" s="314"/>
      <c r="BI755" s="314"/>
      <c r="BJ755" s="314"/>
      <c r="BK755" s="314"/>
      <c r="BL755" s="314"/>
      <c r="BM755" s="314"/>
      <c r="BN755" s="314"/>
      <c r="BO755" s="314"/>
      <c r="BP755" s="314"/>
      <c r="BQ755" s="314"/>
      <c r="BR755" s="314"/>
      <c r="BS755" s="314"/>
      <c r="BT755" s="314"/>
      <c r="BU755" s="314"/>
      <c r="BV755" s="314"/>
      <c r="BW755" s="314"/>
      <c r="BX755" s="314"/>
      <c r="BY755" s="314"/>
      <c r="BZ755" s="314"/>
      <c r="CA755" s="314"/>
      <c r="CB755" s="314"/>
      <c r="CC755" s="314"/>
      <c r="CD755" s="314"/>
      <c r="CE755" s="314"/>
      <c r="CF755" s="314"/>
      <c r="CG755" s="314"/>
      <c r="CH755" s="314"/>
      <c r="CI755" s="314"/>
      <c r="CJ755" s="314"/>
      <c r="CK755" s="314"/>
      <c r="CL755" s="314"/>
      <c r="CM755" s="314"/>
      <c r="CN755" s="314"/>
      <c r="CO755" s="314"/>
      <c r="CP755" s="314"/>
      <c r="CQ755" s="464" t="b">
        <f>CQ738</f>
        <v>0</v>
      </c>
    </row>
    <row r="756" spans="1:95" ht="5.15" customHeight="1" x14ac:dyDescent="0.25">
      <c r="A756" s="462"/>
      <c r="B756" s="76"/>
      <c r="C756" s="76"/>
      <c r="D756" s="76"/>
      <c r="E756" s="76"/>
      <c r="F756" s="76"/>
      <c r="G756" s="76"/>
      <c r="H756" s="76"/>
      <c r="I756" s="76"/>
      <c r="J756" s="76"/>
      <c r="K756" s="76"/>
      <c r="L756" s="76"/>
      <c r="M756" s="76"/>
      <c r="N756" s="76"/>
      <c r="O756" s="160"/>
      <c r="P756" s="109"/>
      <c r="Q756" s="312"/>
      <c r="R756" s="312"/>
      <c r="S756" s="314"/>
      <c r="T756" s="314"/>
      <c r="U756" s="314"/>
      <c r="V756" s="314"/>
      <c r="W756" s="314"/>
      <c r="X756" s="314"/>
      <c r="Y756" s="314"/>
      <c r="Z756" s="314"/>
      <c r="AA756" s="314"/>
      <c r="AB756" s="314"/>
      <c r="AC756" s="314"/>
      <c r="AD756" s="314"/>
      <c r="AE756" s="314"/>
      <c r="AF756" s="314"/>
      <c r="AG756" s="314"/>
      <c r="AH756" s="314"/>
      <c r="AI756" s="314"/>
      <c r="AJ756" s="314"/>
      <c r="AK756" s="314"/>
      <c r="AL756" s="314"/>
      <c r="AM756" s="314"/>
      <c r="AN756" s="314"/>
      <c r="AO756" s="314"/>
      <c r="AP756" s="314"/>
      <c r="AQ756" s="314"/>
      <c r="AR756" s="314"/>
      <c r="AS756" s="314"/>
      <c r="AT756" s="314"/>
      <c r="AU756" s="314"/>
      <c r="AV756" s="314"/>
      <c r="AW756" s="314"/>
      <c r="AX756" s="314"/>
      <c r="AY756" s="314"/>
      <c r="AZ756" s="314"/>
      <c r="BA756" s="314"/>
      <c r="BB756" s="314"/>
      <c r="BC756" s="314"/>
      <c r="BD756" s="314"/>
      <c r="BE756" s="314"/>
      <c r="BF756" s="314"/>
      <c r="BG756" s="314"/>
      <c r="BH756" s="314"/>
      <c r="BI756" s="314"/>
      <c r="BJ756" s="314"/>
      <c r="BK756" s="314"/>
      <c r="BL756" s="314"/>
      <c r="BM756" s="314"/>
      <c r="BN756" s="314"/>
      <c r="BO756" s="314"/>
      <c r="BP756" s="314"/>
      <c r="BQ756" s="314"/>
      <c r="BR756" s="314"/>
      <c r="BS756" s="314"/>
      <c r="BT756" s="314"/>
      <c r="BU756" s="314"/>
      <c r="BV756" s="314"/>
      <c r="BW756" s="314"/>
      <c r="BX756" s="314"/>
      <c r="BY756" s="314"/>
      <c r="BZ756" s="314"/>
      <c r="CA756" s="314"/>
      <c r="CB756" s="314"/>
      <c r="CC756" s="314"/>
      <c r="CD756" s="314"/>
      <c r="CE756" s="314"/>
      <c r="CF756" s="314"/>
      <c r="CG756" s="314"/>
      <c r="CH756" s="314"/>
      <c r="CI756" s="314"/>
      <c r="CJ756" s="314"/>
      <c r="CK756" s="314"/>
      <c r="CL756" s="314"/>
      <c r="CM756" s="314"/>
      <c r="CN756" s="314"/>
      <c r="CO756" s="314"/>
      <c r="CP756" s="314"/>
      <c r="CQ756" s="314"/>
    </row>
    <row r="757" spans="1:95" ht="12.75" customHeight="1" x14ac:dyDescent="0.25">
      <c r="A757" s="462"/>
      <c r="B757" s="76"/>
      <c r="C757" s="76"/>
      <c r="D757" s="115"/>
      <c r="E757" s="85"/>
      <c r="F757" s="466" t="str">
        <f>Translations!$B$304</f>
        <v>Comments:</v>
      </c>
      <c r="G757" s="1250"/>
      <c r="H757" s="1251"/>
      <c r="I757" s="1251"/>
      <c r="J757" s="1251"/>
      <c r="K757" s="1251"/>
      <c r="L757" s="1251"/>
      <c r="M757" s="1251"/>
      <c r="N757" s="1252"/>
      <c r="O757" s="160"/>
      <c r="P757" s="109"/>
      <c r="Q757" s="312"/>
      <c r="R757" s="312"/>
      <c r="S757" s="314"/>
      <c r="T757" s="314"/>
      <c r="U757" s="314"/>
      <c r="V757" s="314"/>
      <c r="W757" s="314"/>
      <c r="X757" s="314"/>
      <c r="Y757" s="314"/>
      <c r="Z757" s="314"/>
      <c r="AA757" s="314"/>
      <c r="AB757" s="314"/>
      <c r="AC757" s="314"/>
      <c r="AD757" s="314"/>
      <c r="AE757" s="314"/>
      <c r="AF757" s="314"/>
      <c r="AG757" s="314"/>
      <c r="AH757" s="314"/>
      <c r="AI757" s="314"/>
      <c r="AJ757" s="314"/>
      <c r="AK757" s="314"/>
      <c r="AL757" s="314"/>
      <c r="AM757" s="314"/>
      <c r="AN757" s="314"/>
      <c r="AO757" s="314"/>
      <c r="AP757" s="314"/>
      <c r="AQ757" s="314"/>
      <c r="AR757" s="314"/>
      <c r="AS757" s="314"/>
      <c r="AT757" s="314"/>
      <c r="AU757" s="314"/>
      <c r="AV757" s="314"/>
      <c r="AW757" s="314"/>
      <c r="AX757" s="314"/>
      <c r="AY757" s="314"/>
      <c r="AZ757" s="314"/>
      <c r="BA757" s="314"/>
      <c r="BB757" s="314"/>
      <c r="BC757" s="314"/>
      <c r="BD757" s="314"/>
      <c r="BE757" s="314"/>
      <c r="BF757" s="314"/>
      <c r="BG757" s="314"/>
      <c r="BH757" s="314"/>
      <c r="BI757" s="314"/>
      <c r="BJ757" s="314"/>
      <c r="BK757" s="314"/>
      <c r="BL757" s="314"/>
      <c r="BM757" s="314"/>
      <c r="BN757" s="314"/>
      <c r="BO757" s="314"/>
      <c r="BP757" s="314"/>
      <c r="BQ757" s="314"/>
      <c r="BR757" s="314"/>
      <c r="BS757" s="314"/>
      <c r="BT757" s="314"/>
      <c r="BU757" s="314"/>
      <c r="BV757" s="314"/>
      <c r="BW757" s="314"/>
      <c r="BX757" s="314"/>
      <c r="BY757" s="314"/>
      <c r="BZ757" s="314"/>
      <c r="CA757" s="314"/>
      <c r="CB757" s="314"/>
      <c r="CC757" s="314"/>
      <c r="CD757" s="314"/>
      <c r="CE757" s="314"/>
      <c r="CF757" s="314"/>
      <c r="CG757" s="314"/>
      <c r="CH757" s="314"/>
      <c r="CI757" s="314"/>
      <c r="CJ757" s="314"/>
      <c r="CK757" s="314"/>
      <c r="CL757" s="314"/>
      <c r="CM757" s="314"/>
      <c r="CN757" s="314"/>
      <c r="CO757" s="314"/>
      <c r="CP757" s="314"/>
      <c r="CQ757" s="464" t="b">
        <f>CQ755</f>
        <v>0</v>
      </c>
    </row>
    <row r="758" spans="1:95" ht="12.75" customHeight="1" thickBot="1" x14ac:dyDescent="0.3">
      <c r="A758" s="307"/>
      <c r="B758" s="76"/>
      <c r="C758" s="308"/>
      <c r="D758" s="309"/>
      <c r="E758" s="310"/>
      <c r="F758" s="308"/>
      <c r="G758" s="311"/>
      <c r="H758" s="311"/>
      <c r="I758" s="311"/>
      <c r="J758" s="311"/>
      <c r="K758" s="311"/>
      <c r="L758" s="311"/>
      <c r="M758" s="311"/>
      <c r="N758" s="311"/>
      <c r="O758" s="160"/>
      <c r="P758" s="109"/>
      <c r="Q758" s="312"/>
      <c r="R758" s="312"/>
      <c r="S758" s="293"/>
      <c r="T758" s="293"/>
      <c r="U758" s="313"/>
      <c r="V758" s="293"/>
      <c r="W758" s="293"/>
      <c r="X758" s="313"/>
      <c r="Y758" s="293"/>
      <c r="Z758" s="293"/>
      <c r="AA758" s="293"/>
      <c r="AB758" s="293"/>
      <c r="AC758" s="293"/>
      <c r="AD758" s="293"/>
      <c r="AE758" s="293"/>
      <c r="AF758" s="293"/>
      <c r="AG758" s="293"/>
      <c r="AH758" s="293"/>
      <c r="AI758" s="293"/>
      <c r="AJ758" s="293"/>
      <c r="AK758" s="293"/>
      <c r="AL758" s="293"/>
      <c r="AM758" s="293"/>
      <c r="AN758" s="293"/>
      <c r="AO758" s="293"/>
      <c r="AP758" s="293"/>
      <c r="AQ758" s="293"/>
      <c r="AR758" s="293"/>
      <c r="AS758" s="293"/>
      <c r="AT758" s="293"/>
      <c r="AU758" s="293"/>
      <c r="AV758" s="293"/>
      <c r="AW758" s="293"/>
      <c r="AX758" s="293"/>
      <c r="AY758" s="293"/>
      <c r="AZ758" s="293"/>
      <c r="BA758" s="293"/>
      <c r="BB758" s="293"/>
      <c r="BC758" s="293"/>
      <c r="BD758" s="293"/>
      <c r="BE758" s="293"/>
      <c r="BF758" s="293"/>
      <c r="BG758" s="293"/>
      <c r="BH758" s="293"/>
      <c r="BI758" s="293"/>
      <c r="BJ758" s="293"/>
      <c r="BK758" s="293"/>
      <c r="BL758" s="293"/>
      <c r="BM758" s="314"/>
      <c r="BN758" s="314"/>
      <c r="BO758" s="314"/>
      <c r="BP758" s="314"/>
      <c r="BQ758" s="314"/>
      <c r="BR758" s="314"/>
      <c r="BS758" s="314"/>
      <c r="BT758" s="314"/>
      <c r="BU758" s="293"/>
      <c r="BV758" s="293"/>
      <c r="BW758" s="293"/>
      <c r="BX758" s="293"/>
      <c r="BY758" s="293"/>
      <c r="BZ758" s="293"/>
      <c r="CA758" s="293"/>
      <c r="CB758" s="293"/>
      <c r="CC758" s="293"/>
      <c r="CD758" s="293"/>
      <c r="CE758" s="293"/>
      <c r="CF758" s="293"/>
      <c r="CG758" s="293"/>
      <c r="CH758" s="293"/>
      <c r="CI758" s="293"/>
      <c r="CJ758" s="293"/>
      <c r="CK758" s="293"/>
      <c r="CL758" s="293"/>
      <c r="CM758" s="293"/>
      <c r="CN758" s="293"/>
      <c r="CO758" s="293"/>
      <c r="CP758" s="293"/>
      <c r="CQ758" s="293"/>
    </row>
    <row r="759" spans="1:95" ht="12.75" customHeight="1" thickBot="1" x14ac:dyDescent="0.3">
      <c r="A759" s="315"/>
      <c r="B759" s="76"/>
      <c r="C759" s="76"/>
      <c r="D759" s="205"/>
      <c r="E759" s="316"/>
      <c r="F759" s="76"/>
      <c r="G759" s="96"/>
      <c r="H759" s="96"/>
      <c r="I759" s="96"/>
      <c r="J759" s="96"/>
      <c r="K759" s="76"/>
      <c r="L759" s="96"/>
      <c r="M759" s="96"/>
      <c r="N759" s="96"/>
      <c r="O759" s="160"/>
      <c r="P759" s="109"/>
      <c r="Q759" s="312"/>
      <c r="R759" s="312"/>
      <c r="S759" s="287"/>
      <c r="T759" s="317" t="str">
        <f>IF(ISBLANK(E760),"",MATCH(E760,CNTR_SourceStreamNames,0))</f>
        <v/>
      </c>
      <c r="U759" s="318" t="str">
        <f>IF(ISBLANK(E760),"",INDEX(B_IdentifyFuelStreams!$D$67:$D$116,MATCH(E760,CNTR_SourceStreamNames,0)))</f>
        <v/>
      </c>
      <c r="V759" s="301"/>
      <c r="W759" s="138"/>
      <c r="X759" s="138"/>
      <c r="Y759" s="138"/>
      <c r="Z759" s="293"/>
      <c r="AA759" s="293"/>
      <c r="AB759" s="293"/>
      <c r="AC759" s="293"/>
      <c r="AD759" s="293"/>
      <c r="AE759" s="293"/>
      <c r="AF759" s="293"/>
      <c r="AG759" s="293"/>
      <c r="AH759" s="293"/>
      <c r="AI759" s="293"/>
      <c r="AJ759" s="293"/>
      <c r="AK759" s="312"/>
      <c r="AL759" s="293"/>
      <c r="AM759" s="293"/>
      <c r="AN759" s="293"/>
      <c r="AO759" s="293"/>
      <c r="AP759" s="293"/>
      <c r="AQ759" s="293"/>
      <c r="AR759" s="293"/>
      <c r="AS759" s="293"/>
      <c r="AT759" s="293"/>
      <c r="AU759" s="293"/>
      <c r="AV759" s="293"/>
      <c r="AW759" s="293"/>
      <c r="AX759" s="293"/>
      <c r="AY759" s="293"/>
      <c r="AZ759" s="293"/>
      <c r="BA759" s="293"/>
      <c r="BB759" s="293"/>
      <c r="BC759" s="293"/>
      <c r="BD759" s="293"/>
      <c r="BE759" s="293"/>
      <c r="BF759" s="293"/>
      <c r="BG759" s="293"/>
      <c r="BH759" s="293"/>
      <c r="BI759" s="293"/>
      <c r="BJ759" s="138"/>
      <c r="BK759" s="138"/>
      <c r="BL759" s="138"/>
      <c r="BM759" s="138"/>
      <c r="BN759" s="138"/>
      <c r="BO759" s="138"/>
      <c r="BP759" s="138"/>
      <c r="BQ759" s="138"/>
      <c r="BR759" s="138"/>
      <c r="BS759" s="138"/>
      <c r="BT759" s="138"/>
      <c r="BU759" s="138"/>
      <c r="BV759" s="138"/>
      <c r="BW759" s="138"/>
      <c r="BX759" s="138"/>
      <c r="BY759" s="138"/>
      <c r="BZ759" s="138"/>
      <c r="CA759" s="138"/>
      <c r="CB759" s="138"/>
      <c r="CC759" s="138"/>
      <c r="CD759" s="138"/>
      <c r="CE759" s="138"/>
      <c r="CF759" s="138"/>
      <c r="CG759" s="138"/>
      <c r="CH759" s="138"/>
      <c r="CI759" s="138"/>
      <c r="CJ759" s="138"/>
      <c r="CK759" s="138"/>
      <c r="CL759" s="138"/>
      <c r="CM759" s="138"/>
      <c r="CN759" s="138"/>
      <c r="CO759" s="138"/>
      <c r="CP759" s="138"/>
      <c r="CQ759" s="319" t="s">
        <v>107</v>
      </c>
    </row>
    <row r="760" spans="1:95" ht="15" customHeight="1" thickBot="1" x14ac:dyDescent="0.3">
      <c r="A760" s="320">
        <f>C760</f>
        <v>26</v>
      </c>
      <c r="B760" s="68"/>
      <c r="C760" s="321">
        <f>C732+1</f>
        <v>26</v>
      </c>
      <c r="D760" s="68"/>
      <c r="E760" s="1269"/>
      <c r="F760" s="1270"/>
      <c r="G760" s="1270"/>
      <c r="H760" s="1270"/>
      <c r="I760" s="1270"/>
      <c r="J760" s="1271"/>
      <c r="K760" s="1272" t="str">
        <f>IF(INDEX(B_IdentifyFuelStreams!$K$125:$K$174,MATCH(U759,B_IdentifyFuelStreams!$D$125:$D$174,0))&gt;0,INDEX(B_IdentifyFuelStreams!$K$125:$K$174,MATCH(U759,B_IdentifyFuelStreams!$D$125:$D$174,0)),"")</f>
        <v/>
      </c>
      <c r="L760" s="1273"/>
      <c r="M760" s="316" t="str">
        <f>Translations!$B$621</f>
        <v>Emissions:</v>
      </c>
      <c r="N760" s="322" t="str">
        <f>IF(E761="","",BG766)</f>
        <v/>
      </c>
      <c r="O760" s="323" t="str">
        <f>EUconst_tCO2</f>
        <v>tCO2</v>
      </c>
      <c r="P760" s="324" t="str">
        <f>IF(AND(E760&lt;&gt;"",COUNTIF(P761:$P$1649,"PRINT")=0),"PRINT","")</f>
        <v/>
      </c>
      <c r="Q760" s="325" t="str">
        <f>EUconst_SumCO2</f>
        <v>SUM_CO2</v>
      </c>
      <c r="R760" s="312"/>
      <c r="S760" s="287"/>
      <c r="T760" s="287"/>
      <c r="U760" s="287"/>
      <c r="V760" s="301"/>
      <c r="W760" s="138"/>
      <c r="X760" s="293"/>
      <c r="Y760" s="293"/>
      <c r="Z760" s="293"/>
      <c r="AA760" s="293"/>
      <c r="AB760" s="293"/>
      <c r="AC760" s="293"/>
      <c r="AD760" s="293"/>
      <c r="AE760" s="293"/>
      <c r="AF760" s="293"/>
      <c r="AG760" s="293"/>
      <c r="AH760" s="293"/>
      <c r="AI760" s="326"/>
      <c r="AJ760" s="326"/>
      <c r="AK760" s="326"/>
      <c r="AL760" s="326"/>
      <c r="AM760" s="326"/>
      <c r="AN760" s="326"/>
      <c r="AO760" s="326"/>
      <c r="AP760" s="326"/>
      <c r="AQ760" s="326"/>
      <c r="AR760" s="326"/>
      <c r="AS760" s="326"/>
      <c r="AT760" s="326"/>
      <c r="AU760" s="326"/>
      <c r="AV760" s="326"/>
      <c r="AW760" s="326"/>
      <c r="AX760" s="326"/>
      <c r="AY760" s="326"/>
      <c r="AZ760" s="326"/>
      <c r="BA760" s="326"/>
      <c r="BB760" s="326"/>
      <c r="BC760" s="326"/>
      <c r="BD760" s="326"/>
      <c r="BE760" s="326"/>
      <c r="BF760" s="326"/>
      <c r="BG760" s="326"/>
      <c r="BH760" s="326"/>
      <c r="BI760" s="327" t="str">
        <f>IF(E760="","",E760)</f>
        <v/>
      </c>
      <c r="BJ760" s="328" t="str">
        <f>IF(F766="","",F766)</f>
        <v/>
      </c>
      <c r="BK760" s="329">
        <f>AV766</f>
        <v>0</v>
      </c>
      <c r="BL760" s="329">
        <f>IF(BK760="","",BK760*(1-BP760))</f>
        <v>0</v>
      </c>
      <c r="BM760" s="328" t="str">
        <f>AJ766</f>
        <v/>
      </c>
      <c r="BN760" s="328" t="str">
        <f>IF(F777="","",F777)</f>
        <v/>
      </c>
      <c r="BO760" s="327" t="str">
        <f>IF(G777="","",G777)</f>
        <v/>
      </c>
      <c r="BP760" s="330">
        <f>AV777</f>
        <v>0</v>
      </c>
      <c r="BQ760" s="328" t="str">
        <f>IF(F769="","",F769)</f>
        <v/>
      </c>
      <c r="BR760" s="330">
        <f>AV769</f>
        <v>0</v>
      </c>
      <c r="BS760" s="330" t="str">
        <f>AJ769</f>
        <v/>
      </c>
      <c r="BT760" s="328" t="str">
        <f>IF(F768="","",F768)</f>
        <v/>
      </c>
      <c r="BU760" s="330">
        <f>IF(F768=EUconst_NA,"",AV768)</f>
        <v>0</v>
      </c>
      <c r="BV760" s="330" t="str">
        <f>AJ768</f>
        <v/>
      </c>
      <c r="BW760" s="328" t="str">
        <f>IF(F770="","",F770)</f>
        <v/>
      </c>
      <c r="BX760" s="330">
        <f>AV770</f>
        <v>0</v>
      </c>
      <c r="BY760" s="328" t="str">
        <f>IF(F771="","",F771)</f>
        <v/>
      </c>
      <c r="BZ760" s="330">
        <f>AV771</f>
        <v>0</v>
      </c>
      <c r="CA760" s="330">
        <f>AV772</f>
        <v>0</v>
      </c>
      <c r="CB760" s="330">
        <f>AV773</f>
        <v>0</v>
      </c>
      <c r="CC760" s="330">
        <f>AV774</f>
        <v>0</v>
      </c>
      <c r="CD760" s="330">
        <f>AV775</f>
        <v>0</v>
      </c>
      <c r="CE760" s="329" t="str">
        <f>BG766</f>
        <v/>
      </c>
      <c r="CF760" s="329" t="str">
        <f>BG768</f>
        <v/>
      </c>
      <c r="CG760" s="329" t="str">
        <f>BG769</f>
        <v/>
      </c>
      <c r="CH760" s="329" t="str">
        <f>BG770</f>
        <v/>
      </c>
      <c r="CI760" s="329" t="str">
        <f>BG771</f>
        <v/>
      </c>
      <c r="CJ760" s="329" t="str">
        <f>BG772</f>
        <v/>
      </c>
      <c r="CK760" s="329" t="str">
        <f>BG773</f>
        <v/>
      </c>
      <c r="CL760" s="329">
        <f>BG774</f>
        <v>0</v>
      </c>
      <c r="CM760" s="329" t="str">
        <f>BG775</f>
        <v/>
      </c>
      <c r="CN760" s="329" t="str">
        <f>BG777</f>
        <v/>
      </c>
      <c r="CO760" s="329" t="str">
        <f>BG781</f>
        <v/>
      </c>
      <c r="CP760" s="329" t="str">
        <f>IF(COUNTIF(AO769:AO770,TRUE)=0,"",BH766)</f>
        <v/>
      </c>
      <c r="CQ760" s="331" t="b">
        <v>0</v>
      </c>
    </row>
    <row r="761" spans="1:95" ht="15" customHeight="1" thickBot="1" x14ac:dyDescent="0.3">
      <c r="A761" s="307"/>
      <c r="B761" s="68"/>
      <c r="C761" s="68"/>
      <c r="D761" s="68"/>
      <c r="E761" s="1274" t="str">
        <f>IF(ISBLANK(E760),"",IF(INDEX(B_IdentifyFuelStreams!$E$67:$E$116,MATCH(U759,B_IdentifyFuelStreams!$D$67:$D$116,0))&gt;0,INDEX(B_IdentifyFuelStreams!$E$67:$E$116,MATCH(U759,B_IdentifyFuelStreams!$D$67:$D$116,0)),""))</f>
        <v/>
      </c>
      <c r="F761" s="1275"/>
      <c r="G761" s="1275"/>
      <c r="H761" s="1275"/>
      <c r="I761" s="1275"/>
      <c r="J761" s="1276"/>
      <c r="K761" s="1272" t="str">
        <f>IF(INDEX(B_IdentifyFuelStreams!$M$125:$M$174,MATCH(U759,B_IdentifyFuelStreams!$D$125:$D$174,0))&gt;0,INDEX(B_IdentifyFuelStreams!$M$125:$M$174,MATCH(U759,B_IdentifyFuelStreams!$D$125:$D$174,0)),"")</f>
        <v/>
      </c>
      <c r="L761" s="1273"/>
      <c r="M761" s="332" t="str">
        <f>Translations!$B$622</f>
        <v>zero-rated:</v>
      </c>
      <c r="N761" s="333" t="str">
        <f>IF(E761="","",SUM(BG768,BG770,BG772))</f>
        <v/>
      </c>
      <c r="O761" s="334" t="str">
        <f>EUconst_tCO2</f>
        <v>tCO2</v>
      </c>
      <c r="P761" s="109"/>
      <c r="Q761" s="325" t="str">
        <f>EUconst_SumBioCO2</f>
        <v>SUM_bioCO2</v>
      </c>
      <c r="R761" s="312"/>
      <c r="S761" s="287"/>
      <c r="T761" s="287"/>
      <c r="U761" s="287"/>
      <c r="V761" s="301"/>
      <c r="W761" s="138"/>
      <c r="X761" s="293"/>
      <c r="Y761" s="317" t="str">
        <f>Translations!$B$143</f>
        <v>Tiers</v>
      </c>
      <c r="Z761" s="314"/>
      <c r="AA761" s="314"/>
      <c r="AB761" s="314"/>
      <c r="AC761" s="314"/>
      <c r="AD761" s="314"/>
      <c r="AE761" s="317" t="s">
        <v>108</v>
      </c>
      <c r="AF761" s="293"/>
      <c r="AG761" s="335"/>
      <c r="AH761" s="314"/>
      <c r="AI761" s="314"/>
      <c r="AJ761" s="335"/>
      <c r="AK761" s="335"/>
      <c r="AL761" s="326"/>
      <c r="AM761" s="326"/>
      <c r="AN761" s="326"/>
      <c r="AO761" s="326"/>
      <c r="AP761" s="326"/>
      <c r="AQ761" s="317" t="s">
        <v>109</v>
      </c>
      <c r="AR761" s="336"/>
      <c r="AS761" s="336"/>
      <c r="AT761" s="314"/>
      <c r="AU761" s="314"/>
      <c r="AV761" s="314"/>
      <c r="AW761" s="314"/>
      <c r="AX761" s="314"/>
      <c r="AY761" s="314"/>
      <c r="AZ761" s="317" t="s">
        <v>110</v>
      </c>
      <c r="BA761" s="314"/>
      <c r="BB761" s="314"/>
      <c r="BC761" s="314"/>
      <c r="BD761" s="314"/>
      <c r="BE761" s="314"/>
      <c r="BF761" s="317" t="s">
        <v>111</v>
      </c>
      <c r="BG761" s="314"/>
      <c r="BH761" s="314"/>
      <c r="BI761" s="317" t="s">
        <v>112</v>
      </c>
      <c r="BJ761" s="328" t="str">
        <f>Translations!$B$376</f>
        <v>RFA Tier</v>
      </c>
      <c r="BK761" s="328" t="str">
        <f>Translations!$B$377</f>
        <v>RFA</v>
      </c>
      <c r="BL761" s="328" t="str">
        <f>Translations!$B$378</f>
        <v>RFA (in scope)</v>
      </c>
      <c r="BM761" s="328" t="str">
        <f>Translations!$B$379</f>
        <v>RFA Unit</v>
      </c>
      <c r="BN761" s="328" t="str">
        <f>Translations!$B$380</f>
        <v>SF Tier</v>
      </c>
      <c r="BO761" s="328" t="str">
        <f>Translations!$B$380</f>
        <v>SF Tier</v>
      </c>
      <c r="BP761" s="328" t="str">
        <f>Translations!$B$381</f>
        <v>SF</v>
      </c>
      <c r="BQ761" s="328" t="str">
        <f>Translations!$B$382</f>
        <v>EF Tier</v>
      </c>
      <c r="BR761" s="328" t="str">
        <f>Translations!$B$383</f>
        <v>EF</v>
      </c>
      <c r="BS761" s="328" t="str">
        <f>Translations!$B$384</f>
        <v>EF Unit</v>
      </c>
      <c r="BT761" s="328" t="str">
        <f>Translations!$B$385</f>
        <v>UCF Tier</v>
      </c>
      <c r="BU761" s="328" t="str">
        <f>Translations!$B$386</f>
        <v>UCF</v>
      </c>
      <c r="BV761" s="328" t="str">
        <f>Translations!$B$387</f>
        <v>UCF Unit</v>
      </c>
      <c r="BW761" s="328" t="str">
        <f>Translations!$B$388</f>
        <v>Bio Tier</v>
      </c>
      <c r="BX761" s="328" t="s">
        <v>113</v>
      </c>
      <c r="BY761" s="328" t="str">
        <f>Translations!$B$389</f>
        <v>NonSustBio Tier</v>
      </c>
      <c r="BZ761" s="328" t="s">
        <v>114</v>
      </c>
      <c r="CA761" s="328" t="s">
        <v>115</v>
      </c>
      <c r="CB761" s="328" t="s">
        <v>116</v>
      </c>
      <c r="CC761" s="328" t="s">
        <v>117</v>
      </c>
      <c r="CD761" s="328" t="s">
        <v>118</v>
      </c>
      <c r="CE761" s="328" t="s">
        <v>119</v>
      </c>
      <c r="CF761" s="328" t="s">
        <v>120</v>
      </c>
      <c r="CG761" s="328" t="str">
        <f>Translations!$B$392</f>
        <v>CO2 non-sust</v>
      </c>
      <c r="CH761" s="328" t="s">
        <v>121</v>
      </c>
      <c r="CI761" s="328" t="s">
        <v>122</v>
      </c>
      <c r="CJ761" s="328" t="s">
        <v>123</v>
      </c>
      <c r="CK761" s="328" t="s">
        <v>124</v>
      </c>
      <c r="CL761" s="328" t="s">
        <v>125</v>
      </c>
      <c r="CM761" s="328" t="str">
        <f>Translations!$B$551</f>
        <v>Energy content (bio), TJ</v>
      </c>
      <c r="CN761" s="328" t="s">
        <v>126</v>
      </c>
      <c r="CO761" s="328" t="s">
        <v>127</v>
      </c>
      <c r="CP761" s="328" t="s">
        <v>128</v>
      </c>
      <c r="CQ761" s="314"/>
    </row>
    <row r="762" spans="1:95" ht="5.15" customHeight="1" thickBot="1" x14ac:dyDescent="0.3">
      <c r="A762" s="307"/>
      <c r="B762" s="68"/>
      <c r="C762" s="68"/>
      <c r="D762" s="68"/>
      <c r="E762" s="68"/>
      <c r="F762" s="68"/>
      <c r="G762" s="68"/>
      <c r="H762" s="76"/>
      <c r="I762" s="76"/>
      <c r="J762" s="76"/>
      <c r="K762" s="76"/>
      <c r="L762" s="76"/>
      <c r="M762" s="76"/>
      <c r="N762" s="76"/>
      <c r="O762" s="160"/>
      <c r="P762" s="109"/>
      <c r="Q762" s="312"/>
      <c r="R762" s="312"/>
      <c r="S762" s="287"/>
      <c r="T762" s="287"/>
      <c r="U762" s="287"/>
      <c r="V762" s="301"/>
      <c r="W762" s="314"/>
      <c r="X762" s="314"/>
      <c r="Y762" s="312"/>
      <c r="Z762" s="314"/>
      <c r="AA762" s="314"/>
      <c r="AB762" s="314"/>
      <c r="AC762" s="314"/>
      <c r="AD762" s="314"/>
      <c r="AE762" s="314"/>
      <c r="AF762" s="293"/>
      <c r="AG762" s="314"/>
      <c r="AH762" s="314"/>
      <c r="AI762" s="314"/>
      <c r="AJ762" s="335"/>
      <c r="AK762" s="335"/>
      <c r="AL762" s="326"/>
      <c r="AM762" s="326"/>
      <c r="AN762" s="326"/>
      <c r="AO762" s="326"/>
      <c r="AP762" s="326"/>
      <c r="AQ762" s="314"/>
      <c r="AR762" s="314"/>
      <c r="AS762" s="314"/>
      <c r="AT762" s="314"/>
      <c r="AU762" s="314"/>
      <c r="AV762" s="314"/>
      <c r="AW762" s="314"/>
      <c r="AX762" s="314"/>
      <c r="AY762" s="314"/>
      <c r="AZ762" s="314"/>
      <c r="BA762" s="314"/>
      <c r="BB762" s="314"/>
      <c r="BC762" s="314"/>
      <c r="BD762" s="314"/>
      <c r="BE762" s="314"/>
      <c r="BF762" s="314"/>
      <c r="BG762" s="314"/>
      <c r="BH762" s="314"/>
      <c r="BI762" s="314"/>
      <c r="BJ762" s="314"/>
      <c r="BK762" s="314"/>
      <c r="BL762" s="314"/>
      <c r="BM762" s="314"/>
      <c r="BN762" s="314"/>
      <c r="BO762" s="314"/>
      <c r="BP762" s="314"/>
      <c r="BQ762" s="314"/>
      <c r="BR762" s="314"/>
      <c r="BS762" s="314"/>
      <c r="BT762" s="314"/>
      <c r="BU762" s="314"/>
      <c r="BV762" s="314"/>
      <c r="BW762" s="314"/>
      <c r="BX762" s="314"/>
      <c r="BY762" s="314"/>
      <c r="BZ762" s="314"/>
      <c r="CA762" s="314"/>
      <c r="CB762" s="314"/>
      <c r="CC762" s="314"/>
      <c r="CD762" s="314"/>
      <c r="CE762" s="314"/>
      <c r="CF762" s="314"/>
      <c r="CG762" s="314"/>
      <c r="CH762" s="314"/>
      <c r="CI762" s="314"/>
      <c r="CJ762" s="314"/>
      <c r="CK762" s="314"/>
      <c r="CL762" s="314"/>
      <c r="CM762" s="314"/>
      <c r="CN762" s="314"/>
      <c r="CO762" s="314"/>
      <c r="CP762" s="314"/>
      <c r="CQ762" s="314"/>
    </row>
    <row r="763" spans="1:95" ht="12.75" customHeight="1" thickBot="1" x14ac:dyDescent="0.3">
      <c r="A763" s="307"/>
      <c r="B763" s="68"/>
      <c r="C763" s="68"/>
      <c r="D763" s="68"/>
      <c r="E763" s="1253" t="str">
        <f>IF(E760="","",HYPERLINK("#JUMP_E_Top",EUconst_FurtherGuidancePoint1))</f>
        <v/>
      </c>
      <c r="F763" s="1253"/>
      <c r="G763" s="1253"/>
      <c r="H763" s="1253"/>
      <c r="I763" s="1253"/>
      <c r="J763" s="1253"/>
      <c r="K763" s="1253"/>
      <c r="L763" s="1253"/>
      <c r="M763" s="1253"/>
      <c r="N763" s="76"/>
      <c r="O763" s="160"/>
      <c r="P763" s="109"/>
      <c r="Q763" s="325" t="str">
        <f>EUconst_SumNonSustBioCO2</f>
        <v>SUM_bioNonSustCO2</v>
      </c>
      <c r="R763" s="337" t="str">
        <f>IF(E761="","",BG769)</f>
        <v/>
      </c>
      <c r="S763" s="287"/>
      <c r="T763" s="287"/>
      <c r="U763" s="287"/>
      <c r="V763" s="314"/>
      <c r="W763" s="314"/>
      <c r="X763" s="314"/>
      <c r="Y763" s="293"/>
      <c r="Z763" s="314"/>
      <c r="AA763" s="314"/>
      <c r="AB763" s="314"/>
      <c r="AC763" s="314"/>
      <c r="AD763" s="314"/>
      <c r="AE763" s="314"/>
      <c r="AF763" s="293"/>
      <c r="AG763" s="314"/>
      <c r="AH763" s="314"/>
      <c r="AI763" s="314"/>
      <c r="AJ763" s="335"/>
      <c r="AK763" s="335"/>
      <c r="AL763" s="326"/>
      <c r="AM763" s="326"/>
      <c r="AN763" s="326"/>
      <c r="AO763" s="326"/>
      <c r="AP763" s="326"/>
      <c r="AQ763" s="314"/>
      <c r="AR763" s="314"/>
      <c r="AS763" s="314"/>
      <c r="AT763" s="314"/>
      <c r="AU763" s="314"/>
      <c r="AV763" s="314"/>
      <c r="AW763" s="314"/>
      <c r="AX763" s="314"/>
      <c r="AY763" s="314"/>
      <c r="AZ763" s="314"/>
      <c r="BA763" s="314"/>
      <c r="BB763" s="314"/>
      <c r="BC763" s="314"/>
      <c r="BD763" s="314"/>
      <c r="BE763" s="314"/>
      <c r="BF763" s="314"/>
      <c r="BG763" s="314"/>
      <c r="BH763" s="314"/>
      <c r="BI763" s="317" t="s">
        <v>129</v>
      </c>
      <c r="BJ763" s="336"/>
      <c r="BK763" s="327" t="str">
        <f>IF(G781="","",G781)</f>
        <v/>
      </c>
      <c r="BL763" s="327" t="str">
        <f>IF(I781="","",I781)</f>
        <v/>
      </c>
      <c r="BM763" s="327" t="str">
        <f>IF(K781="","",K781)</f>
        <v/>
      </c>
      <c r="BN763" s="314"/>
      <c r="BO763" s="314"/>
      <c r="BP763" s="314"/>
      <c r="BQ763" s="314"/>
      <c r="BR763" s="314"/>
      <c r="BS763" s="314"/>
      <c r="BT763" s="319"/>
      <c r="BU763" s="314"/>
      <c r="BV763" s="314"/>
      <c r="BW763" s="314"/>
      <c r="BX763" s="314"/>
      <c r="BY763" s="314"/>
      <c r="BZ763" s="314"/>
      <c r="CA763" s="314"/>
      <c r="CB763" s="314"/>
      <c r="CC763" s="314"/>
      <c r="CD763" s="314"/>
      <c r="CE763" s="314"/>
      <c r="CF763" s="314"/>
      <c r="CG763" s="314"/>
      <c r="CH763" s="314"/>
      <c r="CI763" s="314"/>
      <c r="CJ763" s="314"/>
      <c r="CK763" s="314"/>
      <c r="CL763" s="314"/>
      <c r="CM763" s="314"/>
      <c r="CN763" s="314"/>
      <c r="CO763" s="314"/>
      <c r="CP763" s="314"/>
      <c r="CQ763" s="314"/>
    </row>
    <row r="764" spans="1:95" ht="5.15" customHeight="1" thickBot="1" x14ac:dyDescent="0.3">
      <c r="A764" s="307"/>
      <c r="B764" s="68"/>
      <c r="C764" s="68"/>
      <c r="D764" s="68"/>
      <c r="E764" s="68"/>
      <c r="F764" s="68"/>
      <c r="G764" s="68"/>
      <c r="H764" s="76"/>
      <c r="I764" s="76"/>
      <c r="J764" s="76"/>
      <c r="K764" s="76"/>
      <c r="L764" s="76"/>
      <c r="M764" s="76"/>
      <c r="N764" s="76"/>
      <c r="O764" s="160"/>
      <c r="P764" s="111"/>
      <c r="Q764" s="287"/>
      <c r="R764" s="111"/>
      <c r="S764" s="287"/>
      <c r="T764" s="287"/>
      <c r="U764" s="287"/>
      <c r="V764" s="314"/>
      <c r="W764" s="314"/>
      <c r="X764" s="314"/>
      <c r="Y764" s="312"/>
      <c r="Z764" s="314"/>
      <c r="AA764" s="314"/>
      <c r="AB764" s="314"/>
      <c r="AC764" s="314"/>
      <c r="AD764" s="314"/>
      <c r="AE764" s="314"/>
      <c r="AF764" s="293"/>
      <c r="AG764" s="314"/>
      <c r="AH764" s="314"/>
      <c r="AI764" s="314"/>
      <c r="AJ764" s="335"/>
      <c r="AK764" s="335"/>
      <c r="AL764" s="326"/>
      <c r="AM764" s="326"/>
      <c r="AN764" s="326"/>
      <c r="AO764" s="326"/>
      <c r="AP764" s="326"/>
      <c r="AQ764" s="314"/>
      <c r="AR764" s="314"/>
      <c r="AS764" s="314"/>
      <c r="AT764" s="314"/>
      <c r="AU764" s="314"/>
      <c r="AV764" s="314"/>
      <c r="AW764" s="314"/>
      <c r="AX764" s="314"/>
      <c r="AY764" s="314"/>
      <c r="AZ764" s="314"/>
      <c r="BA764" s="314"/>
      <c r="BB764" s="314"/>
      <c r="BC764" s="314"/>
      <c r="BD764" s="314"/>
      <c r="BE764" s="314"/>
      <c r="BF764" s="314"/>
      <c r="BG764" s="314"/>
      <c r="BH764" s="314"/>
      <c r="BI764" s="314"/>
      <c r="BJ764" s="314"/>
      <c r="BK764" s="314"/>
      <c r="BL764" s="314"/>
      <c r="BM764" s="314"/>
      <c r="BN764" s="314"/>
      <c r="BO764" s="314"/>
      <c r="BP764" s="314"/>
      <c r="BQ764" s="314"/>
      <c r="BR764" s="314"/>
      <c r="BS764" s="314"/>
      <c r="BT764" s="314"/>
      <c r="BU764" s="314"/>
      <c r="BV764" s="314"/>
      <c r="BW764" s="314"/>
      <c r="BX764" s="314"/>
      <c r="BY764" s="314"/>
      <c r="BZ764" s="314"/>
      <c r="CA764" s="314"/>
      <c r="CB764" s="314"/>
      <c r="CC764" s="314"/>
      <c r="CD764" s="314"/>
      <c r="CE764" s="314"/>
      <c r="CF764" s="314"/>
      <c r="CG764" s="314"/>
      <c r="CH764" s="314"/>
      <c r="CI764" s="314"/>
      <c r="CJ764" s="314"/>
      <c r="CK764" s="314"/>
      <c r="CL764" s="314"/>
      <c r="CM764" s="314"/>
      <c r="CN764" s="314"/>
      <c r="CO764" s="314"/>
      <c r="CP764" s="314"/>
      <c r="CQ764" s="314"/>
    </row>
    <row r="765" spans="1:95" ht="12.75" customHeight="1" thickBot="1" x14ac:dyDescent="0.3">
      <c r="A765" s="307"/>
      <c r="B765" s="68"/>
      <c r="C765" s="68"/>
      <c r="D765" s="68"/>
      <c r="E765" s="68"/>
      <c r="F765" s="338" t="str">
        <f>Translations!$B$127</f>
        <v>Tier</v>
      </c>
      <c r="G765" s="1254" t="str">
        <f>Translations!$B$393</f>
        <v>tier description</v>
      </c>
      <c r="H765" s="1254"/>
      <c r="I765" s="1255" t="str">
        <f>Translations!$B$394</f>
        <v>Unit</v>
      </c>
      <c r="J765" s="1255"/>
      <c r="K765" s="1255" t="str">
        <f>Translations!$B$395</f>
        <v>Value</v>
      </c>
      <c r="L765" s="1255"/>
      <c r="M765" s="205" t="str">
        <f>Translations!$B$396</f>
        <v>error</v>
      </c>
      <c r="N765" s="76"/>
      <c r="O765" s="160"/>
      <c r="P765" s="339"/>
      <c r="Q765" s="325" t="str">
        <f>EUconst_SumEnergyIN</f>
        <v>SUM_EnergyIN</v>
      </c>
      <c r="R765" s="340" t="str">
        <f>IF(E761="","",BG774)</f>
        <v/>
      </c>
      <c r="S765" s="314"/>
      <c r="T765" s="314"/>
      <c r="U765" s="314"/>
      <c r="V765" s="341" t="s">
        <v>130</v>
      </c>
      <c r="W765" s="314"/>
      <c r="X765" s="314"/>
      <c r="Y765" s="312" t="s">
        <v>131</v>
      </c>
      <c r="Z765" s="312" t="s">
        <v>132</v>
      </c>
      <c r="AA765" s="314"/>
      <c r="AB765" s="314"/>
      <c r="AC765" s="336" t="s">
        <v>133</v>
      </c>
      <c r="AD765" s="314"/>
      <c r="AE765" s="314"/>
      <c r="AF765" s="314" t="s">
        <v>134</v>
      </c>
      <c r="AG765" s="314" t="s">
        <v>135</v>
      </c>
      <c r="AH765" s="312" t="s">
        <v>136</v>
      </c>
      <c r="AI765" s="335" t="s">
        <v>137</v>
      </c>
      <c r="AJ765" s="335" t="s">
        <v>138</v>
      </c>
      <c r="AK765" s="342" t="s">
        <v>139</v>
      </c>
      <c r="AL765" s="326"/>
      <c r="AM765" s="326"/>
      <c r="AN765" s="326"/>
      <c r="AO765" s="326"/>
      <c r="AP765" s="326"/>
      <c r="AQ765" s="314"/>
      <c r="AR765" s="314" t="s">
        <v>134</v>
      </c>
      <c r="AS765" s="314" t="s">
        <v>135</v>
      </c>
      <c r="AT765" s="343" t="s">
        <v>140</v>
      </c>
      <c r="AU765" s="335" t="s">
        <v>141</v>
      </c>
      <c r="AV765" s="335" t="s">
        <v>142</v>
      </c>
      <c r="AW765" s="342" t="s">
        <v>139</v>
      </c>
      <c r="AX765" s="342" t="s">
        <v>139</v>
      </c>
      <c r="AY765" s="314"/>
      <c r="AZ765" s="314"/>
      <c r="BA765" s="314"/>
      <c r="BB765" s="314" t="s">
        <v>143</v>
      </c>
      <c r="BC765" s="314"/>
      <c r="BD765" s="314"/>
      <c r="BE765" s="314"/>
      <c r="BF765" s="314"/>
      <c r="BG765" s="319" t="s">
        <v>144</v>
      </c>
      <c r="BH765" s="314" t="s">
        <v>145</v>
      </c>
      <c r="BI765" s="314"/>
      <c r="BJ765" s="314"/>
      <c r="BK765" s="314"/>
      <c r="BL765" s="314"/>
      <c r="BM765" s="314"/>
      <c r="BN765" s="314"/>
      <c r="BO765" s="314"/>
      <c r="BP765" s="314"/>
      <c r="BQ765" s="314"/>
      <c r="BR765" s="314"/>
      <c r="BS765" s="314"/>
      <c r="BT765" s="314"/>
      <c r="BU765" s="314"/>
      <c r="BV765" s="314"/>
      <c r="BW765" s="314"/>
      <c r="BX765" s="314"/>
      <c r="BY765" s="314"/>
      <c r="BZ765" s="314"/>
      <c r="CA765" s="314"/>
      <c r="CB765" s="314"/>
      <c r="CC765" s="314"/>
      <c r="CD765" s="314"/>
      <c r="CE765" s="314"/>
      <c r="CF765" s="314"/>
      <c r="CG765" s="314"/>
      <c r="CH765" s="314"/>
      <c r="CI765" s="314"/>
      <c r="CJ765" s="314"/>
      <c r="CK765" s="314"/>
      <c r="CL765" s="314"/>
      <c r="CM765" s="314"/>
      <c r="CN765" s="314"/>
      <c r="CO765" s="314"/>
      <c r="CP765" s="314"/>
      <c r="CQ765" s="319" t="s">
        <v>107</v>
      </c>
    </row>
    <row r="766" spans="1:95" ht="12.75" customHeight="1" thickBot="1" x14ac:dyDescent="0.3">
      <c r="A766" s="307"/>
      <c r="B766" s="68"/>
      <c r="C766" s="199" t="s">
        <v>12</v>
      </c>
      <c r="D766" s="344" t="str">
        <f>Translations!$B$356</f>
        <v>RFA:</v>
      </c>
      <c r="E766" s="345"/>
      <c r="F766" s="6"/>
      <c r="G766" s="1256" t="str">
        <f>IF(OR(ISBLANK(F766),F766=EUconst_NoTier),"",IF(Z766=0,EUconst_NA,IF(ISERROR(Z766),"",Z766)))</f>
        <v/>
      </c>
      <c r="H766" s="1257"/>
      <c r="I766" s="346" t="str">
        <f>IF(J766&lt;&gt;"","",AI766)</f>
        <v/>
      </c>
      <c r="J766" s="7"/>
      <c r="K766" s="1258"/>
      <c r="L766" s="1259"/>
      <c r="M766" s="347" t="str">
        <f>IF(AND(E761&lt;&gt;"",OR(F766="",COUNT(K766)=0),Y766&lt;&gt;EUconst_NA),EUconst_ERR_Incomplete,"")</f>
        <v/>
      </c>
      <c r="N766" s="76"/>
      <c r="O766" s="160"/>
      <c r="P766" s="348"/>
      <c r="Q766" s="325" t="str">
        <f>EUconst_SumBioEnergyIN</f>
        <v>SUM_BioEnergyIN</v>
      </c>
      <c r="R766" s="340" t="str">
        <f>IF(E761="","",BG775)</f>
        <v/>
      </c>
      <c r="S766" s="314"/>
      <c r="T766" s="349" t="str">
        <f>EUconst_CNTR_ActivityData&amp;E761</f>
        <v>ActivityData_</v>
      </c>
      <c r="U766" s="312"/>
      <c r="V766" s="349" t="str">
        <f>IF(E760="","",INDEX(B_IdentifyFuelStreams!$I$67:$I$116,MATCH(U759,B_IdentifyFuelStreams!$D$67:$D$116,0)))</f>
        <v/>
      </c>
      <c r="W766" s="335" t="s">
        <v>146</v>
      </c>
      <c r="X766" s="312"/>
      <c r="Y766" s="350" t="str">
        <f>IF(E761="","",INDEX(EUwideConstants!$P$164:$P$200,MATCH(T766,EUwideConstants!$S$164:$S$200,0)))</f>
        <v/>
      </c>
      <c r="Z766" s="351" t="str">
        <f>IF(ISBLANK(F766),"",IF(F766=EUconst_NA,"",INDEX(EUwideConstants!$H:$O,MATCH(T766,EUwideConstants!$S:$S,0),MATCH(F766,CNTR_TierList,0))))</f>
        <v/>
      </c>
      <c r="AA766" s="352" t="s">
        <v>136</v>
      </c>
      <c r="AB766" s="335"/>
      <c r="AC766" s="331" t="b">
        <f>E760&lt;&gt;""</f>
        <v>0</v>
      </c>
      <c r="AD766" s="314"/>
      <c r="AE766" s="353" t="str">
        <f>EUconst_CNTR_ActivityData&amp;EUconst_Unit</f>
        <v>ActivityData_Unit</v>
      </c>
      <c r="AF766" s="354" t="str">
        <f>IF(AC766=TRUE, IF(COUNTIF(MSPara_SourceStreamCategory,V766)=0,"",INDEX(MSPara_CalcFactorsMatrix,MATCH(V766,MSPara_SourceStreamCategory,0),MATCH(AE766&amp;"_"&amp;2,MSPara_CalcFactors,0))),"")</f>
        <v/>
      </c>
      <c r="AG766" s="355" t="str">
        <f>IF(AC766=TRUE, IF(COUNTIF(MSPara_SourceStreamCategory,V766)=0,"",INDEX(MSPara_CalcFactorsMatrix,MATCH(V766,MSPara_SourceStreamCategory,0),MATCH(AE766&amp;"_"&amp;1,MSPara_CalcFactors,0))),"")</f>
        <v/>
      </c>
      <c r="AH766" s="331" t="str">
        <f>IF(OR(AF766="",AF766=EUconst_NA),IF(OR(AG766=EUconst_NA,AG766=""),"",AG766),AF766)</f>
        <v/>
      </c>
      <c r="AI766" s="350" t="str">
        <f>IF(AC766=TRUE,IF(AH766="",EUconst_t,AH766),"")</f>
        <v/>
      </c>
      <c r="AJ766" s="356" t="str">
        <f>IF(J766="",AI766,J766)</f>
        <v/>
      </c>
      <c r="AK766" s="357" t="b">
        <f>AND(E760&lt;&gt;"",J766&lt;&gt;"")</f>
        <v>0</v>
      </c>
      <c r="AL766" s="326"/>
      <c r="AM766" s="358" t="s">
        <v>147</v>
      </c>
      <c r="AN766" s="359" t="str">
        <f>AJ766</f>
        <v/>
      </c>
      <c r="AO766" s="326"/>
      <c r="AP766" s="326"/>
      <c r="AQ766" s="349" t="str">
        <f>EUconst_CNTR_ActivityData&amp;EUconst_Value</f>
        <v>ActivityData_Value</v>
      </c>
      <c r="AR766" s="336"/>
      <c r="AS766" s="336"/>
      <c r="AT766" s="331" t="b">
        <f>AND(AND(AH766&lt;&gt;"",AJ766&lt;&gt;""),AJ766=AH766)</f>
        <v>0</v>
      </c>
      <c r="AU766" s="314"/>
      <c r="AV766" s="331">
        <f>IF(Y766=EUconst_NA,0,IF(COUNT(K766:K766)=0,0,IF(K766="",#REF!,K766)))</f>
        <v>0</v>
      </c>
      <c r="AW766" s="360" t="b">
        <f>AND(AC766=TRUE,OR(K766&lt;&gt;"",AU766=""))</f>
        <v>0</v>
      </c>
      <c r="AX766" s="360" t="b">
        <f>AND(AC766=TRUE,NOT(AW766))</f>
        <v>0</v>
      </c>
      <c r="AY766" s="314"/>
      <c r="AZ766" s="314" t="s">
        <v>148</v>
      </c>
      <c r="BA766" s="314" t="s">
        <v>149</v>
      </c>
      <c r="BB766" s="360"/>
      <c r="BC766" s="314" t="s">
        <v>150</v>
      </c>
      <c r="BD766" s="314"/>
      <c r="BE766" s="314"/>
      <c r="BF766" s="361" t="s">
        <v>119</v>
      </c>
      <c r="BG766" s="362" t="str">
        <f>IF(COUNTIF(AO769:AO770,TRUE)=0,"",BH766*AV777)</f>
        <v/>
      </c>
      <c r="BH766" s="362" t="str">
        <f>IF(COUNTIF(AO769:AO770,TRUE)=0,"",AV766*IF(AO769,1,AV768*AN770)*AV769-BH768-BH770-BH772)</f>
        <v/>
      </c>
      <c r="BI766" s="314"/>
      <c r="BJ766" s="314"/>
      <c r="BK766" s="314"/>
      <c r="BL766" s="314"/>
      <c r="BM766" s="314"/>
      <c r="BN766" s="314"/>
      <c r="BO766" s="314"/>
      <c r="BP766" s="314"/>
      <c r="BQ766" s="314"/>
      <c r="BR766" s="314"/>
      <c r="BS766" s="314"/>
      <c r="BT766" s="314"/>
      <c r="BU766" s="314"/>
      <c r="BV766" s="314"/>
      <c r="BW766" s="314"/>
      <c r="BX766" s="314"/>
      <c r="BY766" s="314"/>
      <c r="BZ766" s="314"/>
      <c r="CA766" s="314"/>
      <c r="CB766" s="314"/>
      <c r="CC766" s="314"/>
      <c r="CD766" s="314"/>
      <c r="CE766" s="314"/>
      <c r="CF766" s="314"/>
      <c r="CG766" s="314"/>
      <c r="CH766" s="314"/>
      <c r="CI766" s="314"/>
      <c r="CJ766" s="314"/>
      <c r="CK766" s="314"/>
      <c r="CL766" s="314"/>
      <c r="CM766" s="314"/>
      <c r="CN766" s="314"/>
      <c r="CO766" s="314"/>
      <c r="CP766" s="314"/>
      <c r="CQ766" s="360" t="b">
        <v>0</v>
      </c>
    </row>
    <row r="767" spans="1:95" ht="5.15" customHeight="1" thickBot="1" x14ac:dyDescent="0.3">
      <c r="A767" s="307"/>
      <c r="B767" s="68"/>
      <c r="C767" s="199"/>
      <c r="D767" s="202"/>
      <c r="E767" s="76"/>
      <c r="F767" s="76"/>
      <c r="G767" s="76"/>
      <c r="H767" s="76" t="str">
        <f>Translations!$B$397</f>
        <v xml:space="preserve"> </v>
      </c>
      <c r="I767" s="162"/>
      <c r="J767" s="162"/>
      <c r="K767" s="76"/>
      <c r="L767" s="76"/>
      <c r="M767" s="363"/>
      <c r="N767" s="76"/>
      <c r="O767" s="160"/>
      <c r="P767" s="109"/>
      <c r="Q767" s="312"/>
      <c r="R767" s="312"/>
      <c r="S767" s="314"/>
      <c r="T767" s="62"/>
      <c r="U767" s="312"/>
      <c r="V767" s="314"/>
      <c r="W767" s="314"/>
      <c r="X767" s="312"/>
      <c r="Y767" s="319"/>
      <c r="Z767" s="314"/>
      <c r="AA767" s="314"/>
      <c r="AB767" s="314"/>
      <c r="AC767" s="314"/>
      <c r="AD767" s="314"/>
      <c r="AE767" s="314"/>
      <c r="AF767" s="314"/>
      <c r="AG767" s="314"/>
      <c r="AH767" s="314"/>
      <c r="AI767" s="314"/>
      <c r="AJ767" s="314"/>
      <c r="AK767" s="314"/>
      <c r="AL767" s="326"/>
      <c r="AM767" s="326"/>
      <c r="AN767" s="326"/>
      <c r="AO767" s="326"/>
      <c r="AP767" s="326"/>
      <c r="AQ767" s="314"/>
      <c r="AR767" s="314"/>
      <c r="AS767" s="314"/>
      <c r="AT767" s="314"/>
      <c r="AU767" s="314"/>
      <c r="AV767" s="314"/>
      <c r="AW767" s="314"/>
      <c r="AX767" s="314"/>
      <c r="AY767" s="314"/>
      <c r="AZ767" s="314"/>
      <c r="BA767" s="314"/>
      <c r="BB767" s="314"/>
      <c r="BC767" s="314"/>
      <c r="BD767" s="314"/>
      <c r="BE767" s="314"/>
      <c r="BF767" s="314"/>
      <c r="BG767" s="364"/>
      <c r="BH767" s="364"/>
      <c r="BI767" s="314"/>
      <c r="BJ767" s="314"/>
      <c r="BK767" s="314"/>
      <c r="BL767" s="314"/>
      <c r="BM767" s="314"/>
      <c r="BN767" s="314"/>
      <c r="BO767" s="314"/>
      <c r="BP767" s="314"/>
      <c r="BQ767" s="314"/>
      <c r="BR767" s="314"/>
      <c r="BS767" s="314"/>
      <c r="BT767" s="314"/>
      <c r="BU767" s="314"/>
      <c r="BV767" s="314"/>
      <c r="BW767" s="314"/>
      <c r="BX767" s="314"/>
      <c r="BY767" s="314"/>
      <c r="BZ767" s="314"/>
      <c r="CA767" s="314"/>
      <c r="CB767" s="314"/>
      <c r="CC767" s="314"/>
      <c r="CD767" s="314"/>
      <c r="CE767" s="314"/>
      <c r="CF767" s="314"/>
      <c r="CG767" s="314"/>
      <c r="CH767" s="314"/>
      <c r="CI767" s="314"/>
      <c r="CJ767" s="314"/>
      <c r="CK767" s="314"/>
      <c r="CL767" s="314"/>
      <c r="CM767" s="314"/>
      <c r="CN767" s="314"/>
      <c r="CO767" s="314"/>
      <c r="CP767" s="314"/>
      <c r="CQ767" s="319"/>
    </row>
    <row r="768" spans="1:95" ht="12.75" customHeight="1" x14ac:dyDescent="0.25">
      <c r="A768" s="307"/>
      <c r="B768" s="68"/>
      <c r="C768" s="199" t="s">
        <v>13</v>
      </c>
      <c r="D768" s="344" t="str">
        <f>Translations!$B$360</f>
        <v>UCF:</v>
      </c>
      <c r="E768" s="345"/>
      <c r="F768" s="10"/>
      <c r="G768" s="1256" t="str">
        <f>IF(OR(ISBLANK(F768),F768=EUconst_NoTier),"",IF(Z768=0,EUconst_NotApplicable,IF(ISERROR(Z768),"",Z768)))</f>
        <v/>
      </c>
      <c r="H768" s="1257"/>
      <c r="I768" s="365" t="str">
        <f>IF(J768&lt;&gt;"","",AI768)</f>
        <v/>
      </c>
      <c r="J768" s="11"/>
      <c r="K768" s="366" t="str">
        <f>IF(L768="",AU768,"")</f>
        <v/>
      </c>
      <c r="L768" s="23"/>
      <c r="M768" s="347" t="str">
        <f>IF(AND(E761&lt;&gt;"",OR(F768="",COUNT(K768:L768)=0),Y768&lt;&gt;EUconst_NA),EUconst_ERR_Incomplete,IF(COUNTIF(BB768:BD768,TRUE)&gt;0,EUconst_ERR_Inconsistent,""))</f>
        <v/>
      </c>
      <c r="N768" s="367"/>
      <c r="O768" s="160"/>
      <c r="P768" s="109"/>
      <c r="Q768" s="312"/>
      <c r="R768" s="312"/>
      <c r="S768" s="314"/>
      <c r="T768" s="368" t="str">
        <f>EUconst_CNTR_UCF&amp;E761</f>
        <v>UCF_</v>
      </c>
      <c r="U768" s="312"/>
      <c r="V768" s="369" t="str">
        <f>V769</f>
        <v/>
      </c>
      <c r="W768" s="314"/>
      <c r="X768" s="312"/>
      <c r="Y768" s="370" t="str">
        <f>IF(E761="","",IF(OR(F768=EUconst_NA,W768=TRUE),EUconst_NA,INDEX(EUwideConstants!$P$164:$P$200,MATCH(T768,EUwideConstants!$S$164:$S$200,0))))</f>
        <v/>
      </c>
      <c r="Z768" s="371" t="str">
        <f>IF(ISBLANK(F768),"",IF(F768=EUconst_NA,"",INDEX(EUwideConstants!$H:$O,MATCH(T768,EUwideConstants!$S:$S,0),MATCH(F768,CNTR_TierList,0))))</f>
        <v/>
      </c>
      <c r="AA768" s="372" t="str">
        <f>IF(COUNTIF(EUconst_DefaultValues,Z768)&gt;0,MATCH(Z768,EUconst_DefaultValues,0),"")</f>
        <v/>
      </c>
      <c r="AB768" s="314"/>
      <c r="AC768" s="373" t="b">
        <f>AND(AC766,Y768&lt;&gt;EUconst_NA)</f>
        <v>0</v>
      </c>
      <c r="AD768" s="314"/>
      <c r="AE768" s="353" t="str">
        <f>EUconst_CNTR_UCF&amp;EUconst_Unit</f>
        <v>UCF_Unit</v>
      </c>
      <c r="AF768" s="374" t="str">
        <f>IF(AC768=TRUE, IF(COUNTIF(MSPara_SourceStreamCategory,V768)=0,"",INDEX(MSPara_CalcFactorsMatrix,MATCH(V768,MSPara_SourceStreamCategory,0),MATCH(AE768&amp;"_"&amp;2,MSPara_CalcFactors,0))),"")</f>
        <v/>
      </c>
      <c r="AG768" s="375" t="str">
        <f>IF(AC768=TRUE, IF(COUNTIF(MSPara_SourceStreamCategory,V768)=0,"",INDEX(MSPara_CalcFactorsMatrix,MATCH(V768,MSPara_SourceStreamCategory,0),MATCH(AE768&amp;"_"&amp;1,MSPara_CalcFactors,0))),"")</f>
        <v/>
      </c>
      <c r="AH768" s="373" t="str">
        <f>IF(AA768="","",INDEX(AF768:AG768,3-AA768))</f>
        <v/>
      </c>
      <c r="AI768" s="373" t="str">
        <f>IF(AC768=TRUE,IF(OR(AH768="",AH768=EUconst_NA),EUconst_GJ&amp;"/"&amp;AJ766,AH768),"")</f>
        <v/>
      </c>
      <c r="AJ768" s="373" t="str">
        <f>IF(J768="",AI768,J768)</f>
        <v/>
      </c>
      <c r="AK768" s="369" t="b">
        <f>AND(E760&lt;&gt;"",J768&lt;&gt;"")</f>
        <v>0</v>
      </c>
      <c r="AL768" s="326"/>
      <c r="AM768" s="358" t="s">
        <v>151</v>
      </c>
      <c r="AN768" s="359" t="str">
        <f>IF(AJ768="",EUconst_NA,IF(AN766=EUconst_TJ,EUconst_TJ,INDEX(EUwideConstants!$C$135:$G$139,MATCH(AN766,RFAUnits,0),MATCH(AJ768,UCFUnits,0))))</f>
        <v>n.a.</v>
      </c>
      <c r="AO768" s="326"/>
      <c r="AP768" s="326"/>
      <c r="AQ768" s="376" t="str">
        <f>EUconst_CNTR_UCF&amp;EUconst_Value</f>
        <v>UCF_Value</v>
      </c>
      <c r="AR768" s="377" t="str">
        <f>IF(AC768=TRUE,IF(COUNTIF(MSPara_SourceStreamCategory,V768)=0,"",INDEX(MSPara_CalcFactorsMatrix,MATCH(V768,MSPara_SourceStreamCategory,0),MATCH(AQ768&amp;"_"&amp;2,MSPara_CalcFactors,0))),"")</f>
        <v/>
      </c>
      <c r="AS768" s="378" t="str">
        <f>IF(AC768=TRUE,IF(COUNTIF(MSPara_SourceStreamCategory,V768)=0,"",INDEX(MSPara_CalcFactorsMatrix,MATCH(V768,MSPara_SourceStreamCategory,0),MATCH(AQ768&amp;"_"&amp;1,MSPara_CalcFactors,0))),"")</f>
        <v/>
      </c>
      <c r="AT768" s="379" t="b">
        <f>AND(AND(AH768&lt;&gt;"",AJ768&lt;&gt;""),AJ768=AH768)</f>
        <v>0</v>
      </c>
      <c r="AU768" s="380" t="str">
        <f>IF(AND(AA768&lt;&gt;"",AT768=TRUE),IF(OR(INDEX(AR768:AS768,3-AA768)=EUconst_NA,INDEX(AR768:AS768,3-AA768)=0),"",INDEX(AR768:AS768,3-AA768)),"")</f>
        <v/>
      </c>
      <c r="AV768" s="373">
        <f>IF(AC768=TRUE,IF(COUNT(K768:L768)=0,0,IF(L768="",K768,L768)),0)</f>
        <v>0</v>
      </c>
      <c r="AW768" s="369" t="b">
        <f t="shared" ref="AW768:AW775" si="225">AND(AC768=TRUE,OR(AND(F768&lt;&gt;"",NOT(ISNUMBER(AA768))),L768&lt;&gt;"",F768="",AU768=""))</f>
        <v>0</v>
      </c>
      <c r="AX768" s="381" t="b">
        <f t="shared" ref="AX768:AX775" si="226">AND(AC768=TRUE,NOT(AW768))</f>
        <v>0</v>
      </c>
      <c r="AY768" s="314"/>
      <c r="AZ768" s="382" t="b">
        <f t="shared" ref="AZ768:AZ775" si="227">AND(ISNUMBER(AA768),AU768="")</f>
        <v>0</v>
      </c>
      <c r="BA768" s="383" t="b">
        <f t="shared" ref="BA768:BA775" si="228">AND(ISNUMBER(AA768),AU768&lt;&gt;AV768)</f>
        <v>0</v>
      </c>
      <c r="BB768" s="369" t="b">
        <f>AND(E761&lt;&gt;"",F768&lt;&gt;EUconst_NA,AN768=EUconst_NA)</f>
        <v>0</v>
      </c>
      <c r="BC768" s="369" t="b">
        <f t="shared" ref="BC768:BC775" si="229">AND(L768&lt;&gt;"",Y768=EUconst_NA)</f>
        <v>0</v>
      </c>
      <c r="BD768" s="314"/>
      <c r="BE768" s="314"/>
      <c r="BF768" s="382" t="s">
        <v>152</v>
      </c>
      <c r="BG768" s="384" t="str">
        <f>IF(COUNTIF(AO769:AO770,TRUE)=0,"",BH768*AV777)</f>
        <v/>
      </c>
      <c r="BH768" s="384" t="str">
        <f>IF(COUNTIF(AO769:AO770,TRUE)=0,"",AV766*IF(AO769,1,AV768*AN770)*AV769*AV770)</f>
        <v/>
      </c>
      <c r="BI768" s="314"/>
      <c r="BJ768" s="314"/>
      <c r="BK768" s="314"/>
      <c r="BL768" s="314"/>
      <c r="BM768" s="314"/>
      <c r="BN768" s="314"/>
      <c r="BO768" s="314"/>
      <c r="BP768" s="314"/>
      <c r="BQ768" s="314"/>
      <c r="BR768" s="314"/>
      <c r="BS768" s="314"/>
      <c r="BT768" s="314"/>
      <c r="BU768" s="314"/>
      <c r="BV768" s="314"/>
      <c r="BW768" s="314"/>
      <c r="BX768" s="314"/>
      <c r="BY768" s="314"/>
      <c r="BZ768" s="314"/>
      <c r="CA768" s="314"/>
      <c r="CB768" s="314"/>
      <c r="CC768" s="314"/>
      <c r="CD768" s="314"/>
      <c r="CE768" s="314"/>
      <c r="CF768" s="314"/>
      <c r="CG768" s="314"/>
      <c r="CH768" s="314"/>
      <c r="CI768" s="314"/>
      <c r="CJ768" s="314"/>
      <c r="CK768" s="314"/>
      <c r="CL768" s="314"/>
      <c r="CM768" s="314"/>
      <c r="CN768" s="314"/>
      <c r="CO768" s="314"/>
      <c r="CP768" s="314"/>
      <c r="CQ768" s="369" t="b">
        <f>OR(CQ766,Y768=EUconst_NA)</f>
        <v>0</v>
      </c>
    </row>
    <row r="769" spans="1:95" ht="12.75" customHeight="1" thickBot="1" x14ac:dyDescent="0.3">
      <c r="A769" s="307"/>
      <c r="B769" s="68"/>
      <c r="C769" s="199" t="s">
        <v>14</v>
      </c>
      <c r="D769" s="344" t="str">
        <f>Translations!$B$358</f>
        <v>(prelim) EF:</v>
      </c>
      <c r="E769" s="345"/>
      <c r="F769" s="59"/>
      <c r="G769" s="1256" t="str">
        <f>IF(OR(ISBLANK(F769),F769=EUconst_NoTier),"",IF(Z769=0,EUconst_NotApplicable,IF(ISERROR(Z769),"",Z769)))</f>
        <v/>
      </c>
      <c r="H769" s="1260"/>
      <c r="I769" s="385" t="str">
        <f>IF(J769&lt;&gt;"","",AI769)</f>
        <v/>
      </c>
      <c r="J769" s="22"/>
      <c r="K769" s="386" t="str">
        <f>IF(L769="",AU769,"")</f>
        <v/>
      </c>
      <c r="L769" s="58"/>
      <c r="M769" s="347" t="str">
        <f>IF(AND(E761&lt;&gt;"",OR(F769="",COUNT(K769:L769)=0),Y769&lt;&gt;EUconst_NA),EUconst_ERR_Incomplete,IF(COUNTIF(BB769:BD769,TRUE)&gt;0,EUconst_ERR_Inconsistent,""))</f>
        <v/>
      </c>
      <c r="N769" s="387"/>
      <c r="O769" s="160"/>
      <c r="P769" s="109"/>
      <c r="Q769" s="312"/>
      <c r="R769" s="312"/>
      <c r="S769" s="314"/>
      <c r="T769" s="388" t="str">
        <f>EUconst_CNTR_EF&amp;E761</f>
        <v>EF_</v>
      </c>
      <c r="U769" s="312"/>
      <c r="V769" s="389" t="str">
        <f>V766</f>
        <v/>
      </c>
      <c r="W769" s="314"/>
      <c r="X769" s="312"/>
      <c r="Y769" s="390" t="str">
        <f>IF(E761="","",IF(OR(F769=EUconst_NA,W769=TRUE),EUconst_NA,INDEX(EUwideConstants!$P$164:$P$200,MATCH(T769,EUwideConstants!$S$164:$S$200,0))))</f>
        <v/>
      </c>
      <c r="Z769" s="391" t="str">
        <f>IF(ISBLANK(F769),"",IF(F769=EUconst_NA,"",INDEX(EUwideConstants!$H:$O,MATCH(T769,EUwideConstants!$S:$S,0),MATCH(F769,CNTR_TierList,0))))</f>
        <v/>
      </c>
      <c r="AA769" s="392" t="str">
        <f>IF(COUNTIF(EUconst_DefaultValues,Z769)&gt;0,MATCH(Z769,EUconst_DefaultValues,0),"")</f>
        <v/>
      </c>
      <c r="AB769" s="314"/>
      <c r="AC769" s="393" t="b">
        <f>AND(AC766,Y769&lt;&gt;EUconst_NA)</f>
        <v>0</v>
      </c>
      <c r="AD769" s="314"/>
      <c r="AE769" s="394" t="str">
        <f>EUconst_CNTR_EF&amp;EUconst_Unit</f>
        <v>EF_Unit</v>
      </c>
      <c r="AF769" s="395" t="str">
        <f>IF(AC769=TRUE, IF(COUNTIF(MSPara_SourceStreamCategory,V769)=0,"",INDEX(MSPara_CalcFactorsMatrix,MATCH(V769,MSPara_SourceStreamCategory,0),MATCH(AE769&amp;"_"&amp;2,MSPara_CalcFactors,0))),"")</f>
        <v/>
      </c>
      <c r="AG769" s="396" t="str">
        <f>IF(AC769=TRUE, IF(COUNTIF(MSPara_SourceStreamCategory,V769)=0,"",INDEX(MSPara_CalcFactorsMatrix,MATCH(V769,MSPara_SourceStreamCategory,0),MATCH(AE769&amp;"_"&amp;1,MSPara_CalcFactors,0))),"")</f>
        <v/>
      </c>
      <c r="AH769" s="397" t="str">
        <f>IF(AA769="","",INDEX(AF769:AG769,3-AA769))</f>
        <v/>
      </c>
      <c r="AI769" s="397" t="str">
        <f>IF(AC769=TRUE,IF(OR(AH769="",AH769=EUconst_NA),EUconst_tCO2&amp;"/"&amp;IF(AN768=EUconst_NA,AN766,IF(AN768=EUconst_GJ,EUconst_TJ,AN768)),AH769),"")</f>
        <v/>
      </c>
      <c r="AJ769" s="397" t="str">
        <f>IF(J769="",AI769,J769)</f>
        <v/>
      </c>
      <c r="AK769" s="398" t="b">
        <f>AND(E761&lt;&gt;"",J769&lt;&gt;"")</f>
        <v>0</v>
      </c>
      <c r="AL769" s="326"/>
      <c r="AM769" s="358" t="s">
        <v>153</v>
      </c>
      <c r="AN769" s="359" t="str">
        <f>IF(COUNTIF(RFAUnits,AN766)=0,EUconst_NA,INDEX(EUwideConstants!$C$150:$H$154,MATCH(AJ769,EFUnits,0),MATCH(AN766,EUwideConstants!$C$149:$H$149,0)))</f>
        <v>n.a.</v>
      </c>
      <c r="AO769" s="359" t="b">
        <f>AN769&lt;&gt;EUconst_NA</f>
        <v>0</v>
      </c>
      <c r="AP769" s="326"/>
      <c r="AQ769" s="399" t="str">
        <f>EUconst_CNTR_EF&amp;EUconst_Value</f>
        <v>EF_Value</v>
      </c>
      <c r="AR769" s="400" t="str">
        <f>IF(AC769=TRUE,IF(COUNTIF(MSPara_SourceStreamCategory,V769)=0,"",INDEX(MSPara_CalcFactorsMatrix,MATCH(V769,MSPara_SourceStreamCategory,0),MATCH(AQ769&amp;"_"&amp;2,MSPara_CalcFactors,0))),"")</f>
        <v/>
      </c>
      <c r="AS769" s="401" t="str">
        <f>IF(AC769=TRUE,IF(COUNTIF(MSPara_SourceStreamCategory,V769)=0,"",INDEX(MSPara_CalcFactorsMatrix,MATCH(V769,MSPara_SourceStreamCategory,0),MATCH(AQ769&amp;"_"&amp;1,MSPara_CalcFactors,0))),"")</f>
        <v/>
      </c>
      <c r="AT769" s="402" t="b">
        <f>AND(AND(AH769&lt;&gt;"",AJ769&lt;&gt;""),AJ769=AH769)</f>
        <v>0</v>
      </c>
      <c r="AU769" s="403" t="str">
        <f>IF(AND(AA769&lt;&gt;"",AT769=TRUE),IF(OR(INDEX(AR769:AS769,3-AA769)=EUconst_NA,INDEX(AR769:AS769,3-AA769)=0),"",INDEX(AR769:AS769,3-AA769)),"")</f>
        <v/>
      </c>
      <c r="AV769" s="393">
        <f>IF(AC769=TRUE,IF(COUNT(K769:L769)=0,0,IF(L769="",K769,L769)),0)</f>
        <v>0</v>
      </c>
      <c r="AW769" s="389" t="b">
        <f t="shared" si="225"/>
        <v>0</v>
      </c>
      <c r="AX769" s="404" t="b">
        <f t="shared" si="226"/>
        <v>0</v>
      </c>
      <c r="AY769" s="314"/>
      <c r="AZ769" s="405" t="b">
        <f t="shared" si="227"/>
        <v>0</v>
      </c>
      <c r="BA769" s="406" t="b">
        <f t="shared" si="228"/>
        <v>0</v>
      </c>
      <c r="BB769" s="407" t="b">
        <f>AND(E761&lt;&gt;"",COUNTIF(AO769:AO770,TRUE)=0)</f>
        <v>0</v>
      </c>
      <c r="BC769" s="389" t="b">
        <f t="shared" si="229"/>
        <v>0</v>
      </c>
      <c r="BD769" s="314"/>
      <c r="BE769" s="314"/>
      <c r="BF769" s="408" t="s">
        <v>154</v>
      </c>
      <c r="BG769" s="409" t="str">
        <f>IF(COUNTIF(AO769:AO770,TRUE)=0,"",BH769*AV777)</f>
        <v/>
      </c>
      <c r="BH769" s="409" t="str">
        <f>IF(COUNTIF(AO769:AO770,TRUE)=0,"",AV766*IF(AO769,1,AV768*AN770)*AV769*AV771)</f>
        <v/>
      </c>
      <c r="BI769" s="314"/>
      <c r="BJ769" s="314"/>
      <c r="BK769" s="314"/>
      <c r="BL769" s="314"/>
      <c r="BM769" s="314"/>
      <c r="BN769" s="314"/>
      <c r="BO769" s="314"/>
      <c r="BP769" s="314"/>
      <c r="BQ769" s="314"/>
      <c r="BR769" s="314"/>
      <c r="BS769" s="314"/>
      <c r="BT769" s="314"/>
      <c r="BU769" s="314"/>
      <c r="BV769" s="314"/>
      <c r="BW769" s="314"/>
      <c r="BX769" s="314"/>
      <c r="BY769" s="314"/>
      <c r="BZ769" s="314"/>
      <c r="CA769" s="314"/>
      <c r="CB769" s="314"/>
      <c r="CC769" s="314"/>
      <c r="CD769" s="314"/>
      <c r="CE769" s="314"/>
      <c r="CF769" s="314"/>
      <c r="CG769" s="314"/>
      <c r="CH769" s="314"/>
      <c r="CI769" s="314"/>
      <c r="CJ769" s="314"/>
      <c r="CK769" s="314"/>
      <c r="CL769" s="314"/>
      <c r="CM769" s="314"/>
      <c r="CN769" s="314"/>
      <c r="CO769" s="314"/>
      <c r="CP769" s="314"/>
      <c r="CQ769" s="407" t="b">
        <f>OR(CQ766,Y769=EUconst_NA)</f>
        <v>0</v>
      </c>
    </row>
    <row r="770" spans="1:95" ht="12.75" customHeight="1" x14ac:dyDescent="0.25">
      <c r="A770" s="307"/>
      <c r="B770" s="68"/>
      <c r="C770" s="199" t="s">
        <v>15</v>
      </c>
      <c r="D770" s="344" t="str">
        <f>Translations!$B$362</f>
        <v>BioF:</v>
      </c>
      <c r="E770" s="345"/>
      <c r="F770" s="10"/>
      <c r="G770" s="1256" t="str">
        <f>IF(OR(ISBLANK(F770),F770=EUconst_NoTier),"",IF(Z770=0,EUconst_NotApplicable,IF(ISERROR(Z770),"",Z770)))</f>
        <v/>
      </c>
      <c r="H770" s="1257"/>
      <c r="I770" s="410" t="str">
        <f t="shared" ref="I770:I775" si="230">IF(OR(AC770=FALSE,Y770=EUconst_NA),"","-")</f>
        <v/>
      </c>
      <c r="J770" s="411"/>
      <c r="K770" s="412" t="str">
        <f>IF(L770="",AU770,"")</f>
        <v/>
      </c>
      <c r="L770" s="60"/>
      <c r="M770" s="347" t="str">
        <f>IF(AND(E761&lt;&gt;"",OR(F770="",COUNT(K770:L770)=0),Y770&lt;&gt;EUconst_NA),EUconst_ERR_Incomplete,IF(COUNTIF(BB770:BD770,TRUE)&gt;0,EUconst_ERR_Inconsistent,""))</f>
        <v/>
      </c>
      <c r="O770" s="160"/>
      <c r="P770" s="348"/>
      <c r="Q770" s="413"/>
      <c r="R770" s="413"/>
      <c r="S770" s="314"/>
      <c r="T770" s="388" t="str">
        <f>EUconst_CNTR_BiomassContent&amp;E761</f>
        <v>BioC_</v>
      </c>
      <c r="U770" s="312"/>
      <c r="V770" s="369" t="str">
        <f>V768</f>
        <v/>
      </c>
      <c r="W770" s="369" t="str">
        <f>IF(OR(V770="",COUNTIF(MSPara_SourceStreamCategory,V770)=0),"",INDEX(MSPara_IsFossil,MATCH(V770,MSPara_SourceStreamCategory,0)))</f>
        <v/>
      </c>
      <c r="X770" s="312"/>
      <c r="Y770" s="370" t="str">
        <f>IF(E761="","",IF(OR(F770=EUconst_NA,W770=TRUE),EUconst_NA,INDEX(EUwideConstants!$P$164:$P$200,MATCH(T770,EUwideConstants!$S$164:$S$200,0))))</f>
        <v/>
      </c>
      <c r="Z770" s="371" t="str">
        <f>IF(ISBLANK(F770),"",IF(F770=EUconst_NA,"",INDEX(EUwideConstants!$H:$O,MATCH(T770,EUwideConstants!$S:$S,0),MATCH(F770,CNTR_TierList,0))))</f>
        <v/>
      </c>
      <c r="AA770" s="414" t="str">
        <f>IF(F770=1,1,"")</f>
        <v/>
      </c>
      <c r="AB770" s="314"/>
      <c r="AC770" s="373" t="b">
        <f>AND(AC766,Y770&lt;&gt;EUconst_NA)</f>
        <v>0</v>
      </c>
      <c r="AD770" s="314"/>
      <c r="AE770" s="415"/>
      <c r="AF770" s="416"/>
      <c r="AG770" s="417"/>
      <c r="AH770" s="418"/>
      <c r="AI770" s="418"/>
      <c r="AJ770" s="418"/>
      <c r="AK770" s="419"/>
      <c r="AL770" s="326"/>
      <c r="AM770" s="358" t="s">
        <v>155</v>
      </c>
      <c r="AN770" s="359" t="str">
        <f>IF(AN768=EUconst_NA,EUconst_NA,INDEX(EUwideConstants!$C$150:$H$154,MATCH(AJ769,EFUnits,0),MATCH(AN768,EUwideConstants!$C$149:$H$149,0)))</f>
        <v>n.a.</v>
      </c>
      <c r="AO770" s="359" t="b">
        <f>AN770&lt;&gt;EUconst_NA</f>
        <v>0</v>
      </c>
      <c r="AP770" s="326"/>
      <c r="AQ770" s="376" t="str">
        <f>EUconst_CNTR_BiomassContent&amp;EUconst_Value</f>
        <v>BioC_Value</v>
      </c>
      <c r="AR770" s="420"/>
      <c r="AS770" s="378" t="str">
        <f t="shared" ref="AS770:AS775" si="231">IF(AC770=TRUE,IF(COUNTIF(MSPara_SourceStreamCategory,V770)=0,"",INDEX(MSPara_CalcFactorsMatrix,MATCH(V770,MSPara_SourceStreamCategory,0),MATCH(AQ770&amp;"_"&amp;2,MSPara_CalcFactors,0))),"")</f>
        <v/>
      </c>
      <c r="AT770" s="421"/>
      <c r="AU770" s="380" t="str">
        <f t="shared" ref="AU770:AU775" si="232">IF(OR(AA770="",AS770=EUconst_NA),"",AS770)</f>
        <v/>
      </c>
      <c r="AV770" s="373">
        <f>IF(AC770=TRUE,IF(COUNT(K770:L770)=0,0,IF(L770="",K770,L770)),0)</f>
        <v>0</v>
      </c>
      <c r="AW770" s="369" t="b">
        <f t="shared" si="225"/>
        <v>0</v>
      </c>
      <c r="AX770" s="381" t="b">
        <f t="shared" si="226"/>
        <v>0</v>
      </c>
      <c r="AY770" s="314"/>
      <c r="AZ770" s="382" t="b">
        <f t="shared" si="227"/>
        <v>0</v>
      </c>
      <c r="BA770" s="383" t="b">
        <f t="shared" si="228"/>
        <v>0</v>
      </c>
      <c r="BB770" s="314"/>
      <c r="BC770" s="369" t="b">
        <f t="shared" si="229"/>
        <v>0</v>
      </c>
      <c r="BD770" s="369" t="b">
        <f>OR(AV770&gt;100%,(AV770+AV771)&gt;100%)</f>
        <v>0</v>
      </c>
      <c r="BE770" s="314"/>
      <c r="BF770" s="382" t="s">
        <v>156</v>
      </c>
      <c r="BG770" s="384" t="str">
        <f>IF(COUNTIF(AO769:AO770,TRUE)=0,"",BH770*AV777)</f>
        <v/>
      </c>
      <c r="BH770" s="384" t="str">
        <f>IF(COUNTIF(AO769:AO770,TRUE)=0,"",AV766*IF(AO769,1,AV768*AN770)*AV769*AV772)</f>
        <v/>
      </c>
      <c r="BJ770" s="314"/>
      <c r="BK770" s="314"/>
      <c r="BL770" s="314"/>
      <c r="BM770" s="314"/>
      <c r="BN770" s="314"/>
      <c r="BO770" s="314"/>
      <c r="BP770" s="314"/>
      <c r="BQ770" s="314"/>
      <c r="BR770" s="314"/>
      <c r="BS770" s="314"/>
      <c r="BT770" s="314"/>
      <c r="BU770" s="314"/>
      <c r="BV770" s="314"/>
      <c r="BW770" s="314"/>
      <c r="BX770" s="314"/>
      <c r="BY770" s="314"/>
      <c r="BZ770" s="314"/>
      <c r="CA770" s="314"/>
      <c r="CB770" s="314"/>
      <c r="CC770" s="314"/>
      <c r="CD770" s="314"/>
      <c r="CE770" s="314"/>
      <c r="CF770" s="314"/>
      <c r="CG770" s="314"/>
      <c r="CH770" s="314"/>
      <c r="CI770" s="314"/>
      <c r="CJ770" s="314"/>
      <c r="CK770" s="314"/>
      <c r="CL770" s="314"/>
      <c r="CM770" s="314"/>
      <c r="CN770" s="314"/>
      <c r="CO770" s="314"/>
      <c r="CP770" s="314"/>
      <c r="CQ770" s="369" t="b">
        <f>OR(CQ766,Y770=EUconst_NA)</f>
        <v>0</v>
      </c>
    </row>
    <row r="771" spans="1:95" ht="12.75" customHeight="1" thickBot="1" x14ac:dyDescent="0.3">
      <c r="A771" s="307"/>
      <c r="B771" s="68"/>
      <c r="C771" s="199" t="s">
        <v>16</v>
      </c>
      <c r="D771" s="344" t="str">
        <f>Translations!$B$368</f>
        <v>non-sust. BioF:</v>
      </c>
      <c r="E771" s="345"/>
      <c r="F771" s="20"/>
      <c r="G771" s="1256" t="str">
        <f>IF(OR(ISBLANK(F771),F771=EUconst_NoTier),"",IF(Z771=0,EUconst_NotApplicable,IF(ISERROR(Z771),"",Z771)))</f>
        <v/>
      </c>
      <c r="H771" s="1257"/>
      <c r="I771" s="422" t="str">
        <f t="shared" si="230"/>
        <v/>
      </c>
      <c r="J771" s="423"/>
      <c r="K771" s="424" t="str">
        <f>IF(L771="",AU771,"")</f>
        <v/>
      </c>
      <c r="L771" s="21"/>
      <c r="M771" s="347" t="str">
        <f>IF(AND(E761&lt;&gt;"",OR(F771="",COUNT(K771:L771)=0),Y771&lt;&gt;EUconst_NA),EUconst_ERR_Incomplete,IF(COUNTIF(BB771:BD771,TRUE)&gt;0,EUconst_ERR_Inconsistent,""))</f>
        <v/>
      </c>
      <c r="N771" s="76"/>
      <c r="O771" s="160"/>
      <c r="P771" s="348"/>
      <c r="Q771" s="413"/>
      <c r="R771" s="413"/>
      <c r="S771" s="314"/>
      <c r="T771" s="425" t="str">
        <f>EUconst_CNTR_BiomassContent&amp;E761</f>
        <v>BioC_</v>
      </c>
      <c r="U771" s="312"/>
      <c r="V771" s="407" t="str">
        <f>V770</f>
        <v/>
      </c>
      <c r="W771" s="407" t="str">
        <f>IF(OR(V770="",COUNTIF(MSPara_SourceStreamCategory,V771)=0),"",INDEX(MSPara_IsFossil,MATCH(V771,MSPara_SourceStreamCategory,0)))</f>
        <v/>
      </c>
      <c r="X771" s="312"/>
      <c r="Y771" s="426" t="str">
        <f>IF(E761="","",IF(OR(F771=EUconst_NA,W771=TRUE),EUconst_NA,INDEX(EUwideConstants!$P$164:$P$200,MATCH(T771,EUwideConstants!$S$164:$S$200,0))))</f>
        <v/>
      </c>
      <c r="Z771" s="427" t="str">
        <f>IF(ISBLANK(F771),"",IF(F771=EUconst_NA,"",INDEX(EUwideConstants!$H:$O,MATCH(T771,EUwideConstants!$S:$S,0),MATCH(F771,CNTR_TierList,0))))</f>
        <v/>
      </c>
      <c r="AA771" s="428" t="str">
        <f>IF(F771=1,1,"")</f>
        <v/>
      </c>
      <c r="AB771" s="314"/>
      <c r="AC771" s="429" t="b">
        <f>AND(AC766,Y771&lt;&gt;EUconst_NA)</f>
        <v>0</v>
      </c>
      <c r="AD771" s="314"/>
      <c r="AE771" s="430"/>
      <c r="AF771" s="431"/>
      <c r="AG771" s="432"/>
      <c r="AH771" s="433"/>
      <c r="AI771" s="433"/>
      <c r="AJ771" s="433"/>
      <c r="AK771" s="434"/>
      <c r="AL771" s="326"/>
      <c r="AM771" s="326"/>
      <c r="AN771" s="326"/>
      <c r="AO771" s="326"/>
      <c r="AP771" s="326"/>
      <c r="AQ771" s="435" t="str">
        <f>EUconst_CNTR_BiomassContent&amp;EUconst_Value</f>
        <v>BioC_Value</v>
      </c>
      <c r="AR771" s="430"/>
      <c r="AS771" s="436" t="str">
        <f t="shared" si="231"/>
        <v/>
      </c>
      <c r="AT771" s="437"/>
      <c r="AU771" s="438" t="str">
        <f t="shared" si="232"/>
        <v/>
      </c>
      <c r="AV771" s="429">
        <f>IF(AC771=TRUE,IF(COUNT(K771:L771)=0,0,IF(L771="",K771,L771)),0)</f>
        <v>0</v>
      </c>
      <c r="AW771" s="407" t="b">
        <f t="shared" si="225"/>
        <v>0</v>
      </c>
      <c r="AX771" s="439" t="b">
        <f t="shared" si="226"/>
        <v>0</v>
      </c>
      <c r="AY771" s="314"/>
      <c r="AZ771" s="408" t="b">
        <f t="shared" si="227"/>
        <v>0</v>
      </c>
      <c r="BA771" s="440" t="b">
        <f t="shared" si="228"/>
        <v>0</v>
      </c>
      <c r="BB771" s="314"/>
      <c r="BC771" s="407" t="b">
        <f t="shared" si="229"/>
        <v>0</v>
      </c>
      <c r="BD771" s="407" t="b">
        <f>OR(AV770&gt;100%,(AV770+AV771)&gt;100%)</f>
        <v>0</v>
      </c>
      <c r="BE771" s="314"/>
      <c r="BF771" s="408" t="s">
        <v>157</v>
      </c>
      <c r="BG771" s="409" t="str">
        <f>IF(COUNTIF(AO769:AO770,TRUE)=0,"",BH771*AV777)</f>
        <v/>
      </c>
      <c r="BH771" s="409" t="str">
        <f>IF(COUNTIF(AO769:AO770,TRUE)=0,"",AV766*IF(AO769,1,AV768*AN770)*AV769*AV773)</f>
        <v/>
      </c>
      <c r="BJ771" s="314"/>
      <c r="BK771" s="314"/>
      <c r="BL771" s="314"/>
      <c r="BM771" s="314"/>
      <c r="BN771" s="314"/>
      <c r="BO771" s="314"/>
      <c r="BP771" s="314"/>
      <c r="BQ771" s="314"/>
      <c r="BR771" s="314"/>
      <c r="BS771" s="314"/>
      <c r="BT771" s="314"/>
      <c r="BU771" s="314"/>
      <c r="BV771" s="314"/>
      <c r="BW771" s="314"/>
      <c r="BX771" s="314"/>
      <c r="BY771" s="314"/>
      <c r="BZ771" s="314"/>
      <c r="CA771" s="314"/>
      <c r="CB771" s="314"/>
      <c r="CC771" s="314"/>
      <c r="CD771" s="314"/>
      <c r="CE771" s="314"/>
      <c r="CF771" s="314"/>
      <c r="CG771" s="314"/>
      <c r="CH771" s="314"/>
      <c r="CI771" s="314"/>
      <c r="CJ771" s="314"/>
      <c r="CK771" s="314"/>
      <c r="CL771" s="314"/>
      <c r="CM771" s="314"/>
      <c r="CN771" s="314"/>
      <c r="CO771" s="314"/>
      <c r="CP771" s="314"/>
      <c r="CQ771" s="407" t="b">
        <f>OR(CQ766,Y771=EUconst_NA)</f>
        <v>0</v>
      </c>
    </row>
    <row r="772" spans="1:95" ht="12.75" customHeight="1" thickBot="1" x14ac:dyDescent="0.3">
      <c r="A772" s="307"/>
      <c r="B772" s="68"/>
      <c r="C772" s="199" t="s">
        <v>17</v>
      </c>
      <c r="D772" s="344" t="str">
        <f>Translations!$B$610</f>
        <v>sust. RFNBO/RCF:</v>
      </c>
      <c r="E772" s="441"/>
      <c r="F772" s="19" t="s">
        <v>158</v>
      </c>
      <c r="G772" s="1261"/>
      <c r="H772" s="1262"/>
      <c r="I772" s="442" t="str">
        <f t="shared" si="230"/>
        <v/>
      </c>
      <c r="J772" s="411"/>
      <c r="K772" s="443"/>
      <c r="L772" s="55"/>
      <c r="M772" s="347" t="str">
        <f>IF(AND(E761&lt;&gt;"",OR(F772="",COUNT(L772)=0),Y772&lt;&gt;EUconst_NA),EUconst_ERR_Incomplete,"")</f>
        <v/>
      </c>
      <c r="N772" s="76"/>
      <c r="O772" s="160"/>
      <c r="P772" s="348"/>
      <c r="Q772" s="413"/>
      <c r="R772" s="413"/>
      <c r="S772" s="314"/>
      <c r="T772" s="388" t="str">
        <f>EUconst_CNTR_RFNBOetcContent&amp;E761</f>
        <v>RNFBOC_</v>
      </c>
      <c r="U772" s="312"/>
      <c r="V772" s="312"/>
      <c r="W772" s="312"/>
      <c r="X772" s="312"/>
      <c r="Y772" s="380" t="str">
        <f>IF(E761="","",IF(OR(F772=EUconst_NA,W772=TRUE),EUconst_NA,INDEX(EUwideConstants!$P$164:$P$200,MATCH(T772,EUwideConstants!$S$164:$S$200,0))))</f>
        <v/>
      </c>
      <c r="Z772" s="314"/>
      <c r="AA772" s="314"/>
      <c r="AB772" s="314"/>
      <c r="AC772" s="397" t="b">
        <f>AND(AC768,Y772&lt;&gt;EUconst_NA)</f>
        <v>0</v>
      </c>
      <c r="AD772" s="314"/>
      <c r="AE772" s="415"/>
      <c r="AF772" s="416"/>
      <c r="AG772" s="417"/>
      <c r="AH772" s="418"/>
      <c r="AI772" s="418"/>
      <c r="AJ772" s="418"/>
      <c r="AK772" s="419"/>
      <c r="AL772" s="326"/>
      <c r="AM772" s="326"/>
      <c r="AN772" s="326"/>
      <c r="AO772" s="326"/>
      <c r="AP772" s="326"/>
      <c r="AQ772" s="444" t="s">
        <v>159</v>
      </c>
      <c r="AR772" s="415"/>
      <c r="AS772" s="445" t="str">
        <f t="shared" si="231"/>
        <v/>
      </c>
      <c r="AT772" s="446"/>
      <c r="AU772" s="447" t="str">
        <f t="shared" si="232"/>
        <v/>
      </c>
      <c r="AV772" s="397">
        <f>IF(L772&lt;&gt;0,L772,L772)</f>
        <v>0</v>
      </c>
      <c r="AW772" s="398" t="b">
        <f t="shared" si="225"/>
        <v>0</v>
      </c>
      <c r="AX772" s="448" t="b">
        <f t="shared" si="226"/>
        <v>0</v>
      </c>
      <c r="AY772" s="314"/>
      <c r="AZ772" s="449" t="b">
        <f t="shared" si="227"/>
        <v>0</v>
      </c>
      <c r="BA772" s="450" t="b">
        <f t="shared" si="228"/>
        <v>0</v>
      </c>
      <c r="BB772" s="314"/>
      <c r="BC772" s="398" t="b">
        <f t="shared" si="229"/>
        <v>0</v>
      </c>
      <c r="BD772" s="369" t="b">
        <f>OR(AV772&gt;100%,(AV772+AV773)&gt;100%)</f>
        <v>0</v>
      </c>
      <c r="BE772" s="314"/>
      <c r="BF772" s="451" t="s">
        <v>160</v>
      </c>
      <c r="BG772" s="452" t="str">
        <f>IF(COUNTIF(AO769:AO770,TRUE)=0,"",BH772*AV777)</f>
        <v/>
      </c>
      <c r="BH772" s="452" t="str">
        <f>IF(COUNTIF(AO769:AO770,TRUE)=0,"",AV766*IF(AO769,1,AV768*AN770)*AV769*AV774)</f>
        <v/>
      </c>
      <c r="BJ772" s="314"/>
      <c r="BK772" s="314"/>
      <c r="BL772" s="314"/>
      <c r="BM772" s="314"/>
      <c r="BN772" s="314"/>
      <c r="BO772" s="314"/>
      <c r="BP772" s="314"/>
      <c r="BQ772" s="314"/>
      <c r="BR772" s="314"/>
      <c r="BS772" s="314"/>
      <c r="BT772" s="314"/>
      <c r="BU772" s="314"/>
      <c r="BV772" s="314"/>
      <c r="BW772" s="314"/>
      <c r="BX772" s="314"/>
      <c r="BY772" s="314"/>
      <c r="BZ772" s="314"/>
      <c r="CA772" s="314"/>
      <c r="CB772" s="314"/>
      <c r="CC772" s="314"/>
      <c r="CD772" s="314"/>
      <c r="CE772" s="314"/>
      <c r="CF772" s="314"/>
      <c r="CG772" s="314"/>
      <c r="CH772" s="314"/>
      <c r="CI772" s="314"/>
      <c r="CJ772" s="314"/>
      <c r="CK772" s="314"/>
      <c r="CL772" s="314"/>
      <c r="CM772" s="314"/>
      <c r="CN772" s="314"/>
      <c r="CO772" s="314"/>
      <c r="CP772" s="314"/>
      <c r="CQ772" s="407" t="b">
        <f>OR(CQ766,Y772=EUconst_NA)</f>
        <v>0</v>
      </c>
    </row>
    <row r="773" spans="1:95" ht="12.75" customHeight="1" thickBot="1" x14ac:dyDescent="0.3">
      <c r="A773" s="307"/>
      <c r="B773" s="68"/>
      <c r="C773" s="199" t="s">
        <v>161</v>
      </c>
      <c r="D773" s="344" t="str">
        <f>Translations!$B$613</f>
        <v>non-sust. RFNBO/RCF:</v>
      </c>
      <c r="E773" s="441"/>
      <c r="F773" s="20" t="s">
        <v>158</v>
      </c>
      <c r="G773" s="1261"/>
      <c r="H773" s="1262"/>
      <c r="I773" s="422" t="str">
        <f t="shared" si="230"/>
        <v/>
      </c>
      <c r="J773" s="423"/>
      <c r="K773" s="443"/>
      <c r="L773" s="56"/>
      <c r="M773" s="347" t="str">
        <f>IF(AND(E761&lt;&gt;"",OR(F773="",COUNT(L773)=0),Y773&lt;&gt;EUconst_NA),EUconst_ERR_Incomplete,"")</f>
        <v/>
      </c>
      <c r="N773" s="76"/>
      <c r="O773" s="160"/>
      <c r="P773" s="348"/>
      <c r="Q773" s="413"/>
      <c r="R773" s="413"/>
      <c r="S773" s="314"/>
      <c r="T773" s="425" t="str">
        <f>EUconst_CNTR_RFNBOetcContent&amp;E761</f>
        <v>RNFBOC_</v>
      </c>
      <c r="U773" s="312"/>
      <c r="V773" s="312"/>
      <c r="W773" s="312"/>
      <c r="X773" s="312"/>
      <c r="Y773" s="438" t="str">
        <f>IF(E761="","",IF(OR(F773=EUconst_NA,W773=TRUE),EUconst_NA,INDEX(EUwideConstants!$P$164:$P$200,MATCH(T773,EUwideConstants!$S$164:$S$200,0))))</f>
        <v/>
      </c>
      <c r="Z773" s="314"/>
      <c r="AA773" s="314"/>
      <c r="AB773" s="314"/>
      <c r="AC773" s="429" t="b">
        <f>AND(AC768,Y773&lt;&gt;EUconst_NA)</f>
        <v>0</v>
      </c>
      <c r="AD773" s="314"/>
      <c r="AE773" s="430"/>
      <c r="AF773" s="431"/>
      <c r="AG773" s="432"/>
      <c r="AH773" s="433"/>
      <c r="AI773" s="433"/>
      <c r="AJ773" s="433"/>
      <c r="AK773" s="434"/>
      <c r="AL773" s="326"/>
      <c r="AM773" s="326"/>
      <c r="AN773" s="326"/>
      <c r="AO773" s="326"/>
      <c r="AP773" s="326"/>
      <c r="AQ773" s="435" t="s">
        <v>159</v>
      </c>
      <c r="AR773" s="430"/>
      <c r="AS773" s="436" t="str">
        <f t="shared" si="231"/>
        <v/>
      </c>
      <c r="AT773" s="437"/>
      <c r="AU773" s="438" t="str">
        <f t="shared" si="232"/>
        <v/>
      </c>
      <c r="AV773" s="429">
        <f t="shared" ref="AV773:AV775" si="233">IF(L773&lt;&gt;0,L773,L773)</f>
        <v>0</v>
      </c>
      <c r="AW773" s="407" t="b">
        <f t="shared" si="225"/>
        <v>0</v>
      </c>
      <c r="AX773" s="439" t="b">
        <f t="shared" si="226"/>
        <v>0</v>
      </c>
      <c r="AY773" s="314"/>
      <c r="AZ773" s="408" t="b">
        <f t="shared" si="227"/>
        <v>0</v>
      </c>
      <c r="BA773" s="440" t="b">
        <f t="shared" si="228"/>
        <v>0</v>
      </c>
      <c r="BB773" s="314"/>
      <c r="BC773" s="407" t="b">
        <f t="shared" si="229"/>
        <v>0</v>
      </c>
      <c r="BD773" s="407" t="b">
        <f>OR(AV772&gt;100%,(AV772+AV773)&gt;100%)</f>
        <v>0</v>
      </c>
      <c r="BE773" s="314"/>
      <c r="BF773" s="408" t="s">
        <v>162</v>
      </c>
      <c r="BG773" s="409" t="str">
        <f>IF(COUNTIF(AO769:AO770,TRUE)=0,"",BH773*AV777)</f>
        <v/>
      </c>
      <c r="BH773" s="409" t="str">
        <f>IF(COUNTIF(AO769:AO770,TRUE)=0,"",AV766*IF(AO769,1,AV768*AN770)*AV769*AV775)</f>
        <v/>
      </c>
      <c r="BJ773" s="314"/>
      <c r="BK773" s="314"/>
      <c r="BL773" s="314"/>
      <c r="BM773" s="314"/>
      <c r="BN773" s="314"/>
      <c r="BO773" s="314"/>
      <c r="BP773" s="314"/>
      <c r="BQ773" s="314"/>
      <c r="BR773" s="314"/>
      <c r="BS773" s="314"/>
      <c r="BT773" s="314"/>
      <c r="BU773" s="314"/>
      <c r="BV773" s="314"/>
      <c r="BW773" s="314"/>
      <c r="BX773" s="314"/>
      <c r="BY773" s="314"/>
      <c r="BZ773" s="314"/>
      <c r="CA773" s="314"/>
      <c r="CB773" s="314"/>
      <c r="CC773" s="314"/>
      <c r="CD773" s="314"/>
      <c r="CE773" s="314"/>
      <c r="CF773" s="314"/>
      <c r="CG773" s="314"/>
      <c r="CH773" s="314"/>
      <c r="CI773" s="314"/>
      <c r="CJ773" s="314"/>
      <c r="CK773" s="314"/>
      <c r="CL773" s="314"/>
      <c r="CM773" s="314"/>
      <c r="CN773" s="314"/>
      <c r="CO773" s="314"/>
      <c r="CP773" s="314"/>
      <c r="CQ773" s="407" t="b">
        <f>OR(CQ766,Y773=EUconst_NA)</f>
        <v>0</v>
      </c>
    </row>
    <row r="774" spans="1:95" ht="12.75" customHeight="1" thickBot="1" x14ac:dyDescent="0.3">
      <c r="A774" s="307"/>
      <c r="B774" s="68"/>
      <c r="C774" s="199" t="s">
        <v>163</v>
      </c>
      <c r="D774" s="344" t="str">
        <f>Translations!$B$615</f>
        <v>sust. SLCF:</v>
      </c>
      <c r="E774" s="441"/>
      <c r="F774" s="19" t="s">
        <v>158</v>
      </c>
      <c r="G774" s="1261"/>
      <c r="H774" s="1262"/>
      <c r="I774" s="442" t="str">
        <f t="shared" si="230"/>
        <v/>
      </c>
      <c r="J774" s="411"/>
      <c r="K774" s="443"/>
      <c r="L774" s="57"/>
      <c r="M774" s="347" t="str">
        <f>IF(AND(E761&lt;&gt;"",OR(F774="",COUNT(L774)=0),Y774&lt;&gt;EUconst_NA),EUconst_ERR_Incomplete,"")</f>
        <v/>
      </c>
      <c r="N774" s="76"/>
      <c r="O774" s="160"/>
      <c r="P774" s="348"/>
      <c r="Q774" s="413"/>
      <c r="R774" s="413"/>
      <c r="S774" s="314"/>
      <c r="T774" s="388" t="str">
        <f>EUconst_CNTR_RFNBOetcContent&amp;E761</f>
        <v>RNFBOC_</v>
      </c>
      <c r="U774" s="312"/>
      <c r="V774" s="312"/>
      <c r="W774" s="312"/>
      <c r="X774" s="312"/>
      <c r="Y774" s="447" t="str">
        <f>IF(E761="","",IF(OR(F774=EUconst_NA,W774=TRUE),EUconst_NA,INDEX(EUwideConstants!$P$164:$P$200,MATCH(T774,EUwideConstants!$S$164:$S$200,0))))</f>
        <v/>
      </c>
      <c r="Z774" s="314"/>
      <c r="AA774" s="314"/>
      <c r="AB774" s="314"/>
      <c r="AC774" s="397" t="b">
        <f>AND(AC770,Y774&lt;&gt;EUconst_NA)</f>
        <v>0</v>
      </c>
      <c r="AD774" s="314"/>
      <c r="AE774" s="415"/>
      <c r="AF774" s="416"/>
      <c r="AG774" s="417"/>
      <c r="AH774" s="418"/>
      <c r="AI774" s="418"/>
      <c r="AJ774" s="418"/>
      <c r="AK774" s="419"/>
      <c r="AL774" s="326"/>
      <c r="AM774" s="326"/>
      <c r="AN774" s="326"/>
      <c r="AO774" s="326"/>
      <c r="AP774" s="326"/>
      <c r="AQ774" s="444" t="s">
        <v>159</v>
      </c>
      <c r="AR774" s="415"/>
      <c r="AS774" s="445" t="str">
        <f t="shared" si="231"/>
        <v/>
      </c>
      <c r="AT774" s="446"/>
      <c r="AU774" s="447" t="str">
        <f t="shared" si="232"/>
        <v/>
      </c>
      <c r="AV774" s="397">
        <f t="shared" si="233"/>
        <v>0</v>
      </c>
      <c r="AW774" s="398" t="b">
        <f t="shared" si="225"/>
        <v>0</v>
      </c>
      <c r="AX774" s="448" t="b">
        <f t="shared" si="226"/>
        <v>0</v>
      </c>
      <c r="AY774" s="314"/>
      <c r="AZ774" s="449" t="b">
        <f t="shared" si="227"/>
        <v>0</v>
      </c>
      <c r="BA774" s="450" t="b">
        <f t="shared" si="228"/>
        <v>0</v>
      </c>
      <c r="BB774" s="314"/>
      <c r="BC774" s="398" t="b">
        <f t="shared" si="229"/>
        <v>0</v>
      </c>
      <c r="BD774" s="369" t="b">
        <f>OR(AV774&gt;100%,(AV774+AV775)&gt;100%)</f>
        <v>0</v>
      </c>
      <c r="BE774" s="314"/>
      <c r="BF774" s="451" t="s">
        <v>164</v>
      </c>
      <c r="BG774" s="452">
        <f>IF(AN766=EUconst_TJ,AV766*(1-AV770),IF(AN768=EUconst_GJ,AV766*AV768/1000,0))-SUM(BG775:BG781)</f>
        <v>0</v>
      </c>
      <c r="BH774" s="314"/>
      <c r="BI774" s="314"/>
      <c r="BJ774" s="314"/>
      <c r="BK774" s="314"/>
      <c r="BL774" s="314"/>
      <c r="BM774" s="314"/>
      <c r="BN774" s="314"/>
      <c r="BO774" s="314"/>
      <c r="BP774" s="314"/>
      <c r="BQ774" s="314"/>
      <c r="BR774" s="314"/>
      <c r="BS774" s="314"/>
      <c r="BT774" s="314"/>
      <c r="BU774" s="314"/>
      <c r="BV774" s="314"/>
      <c r="BW774" s="314"/>
      <c r="BX774" s="314"/>
      <c r="BY774" s="314"/>
      <c r="BZ774" s="314"/>
      <c r="CA774" s="314"/>
      <c r="CB774" s="314"/>
      <c r="CC774" s="314"/>
      <c r="CD774" s="314"/>
      <c r="CE774" s="314"/>
      <c r="CF774" s="314"/>
      <c r="CG774" s="314"/>
      <c r="CH774" s="314"/>
      <c r="CI774" s="314"/>
      <c r="CJ774" s="314"/>
      <c r="CK774" s="314"/>
      <c r="CL774" s="314"/>
      <c r="CM774" s="314"/>
      <c r="CN774" s="314"/>
      <c r="CO774" s="314"/>
      <c r="CP774" s="314"/>
      <c r="CQ774" s="407" t="b">
        <f>OR(CQ766,Y774=EUconst_NA)</f>
        <v>0</v>
      </c>
    </row>
    <row r="775" spans="1:95" ht="12.75" customHeight="1" thickBot="1" x14ac:dyDescent="0.3">
      <c r="A775" s="307"/>
      <c r="B775" s="68"/>
      <c r="C775" s="199" t="s">
        <v>165</v>
      </c>
      <c r="D775" s="344" t="str">
        <f>Translations!$B$618</f>
        <v>non-sust. SLCF:</v>
      </c>
      <c r="E775" s="441"/>
      <c r="F775" s="20" t="s">
        <v>158</v>
      </c>
      <c r="G775" s="1261"/>
      <c r="H775" s="1262"/>
      <c r="I775" s="422" t="str">
        <f t="shared" si="230"/>
        <v/>
      </c>
      <c r="J775" s="423"/>
      <c r="K775" s="443"/>
      <c r="L775" s="56"/>
      <c r="M775" s="347" t="str">
        <f>IF(AND(E761&lt;&gt;"",OR(F775="",COUNT(L775)=0),Y775&lt;&gt;EUconst_NA),EUconst_ERR_Incomplete,"")</f>
        <v/>
      </c>
      <c r="N775" s="76"/>
      <c r="O775" s="160"/>
      <c r="P775" s="348"/>
      <c r="Q775" s="413"/>
      <c r="R775" s="413"/>
      <c r="S775" s="314"/>
      <c r="T775" s="425" t="str">
        <f>EUconst_CNTR_RFNBOetcContent&amp;E761</f>
        <v>RNFBOC_</v>
      </c>
      <c r="U775" s="312"/>
      <c r="V775" s="312"/>
      <c r="W775" s="312"/>
      <c r="X775" s="312"/>
      <c r="Y775" s="438" t="str">
        <f>IF(E761="","",IF(OR(F775=EUconst_NA,W775=TRUE),EUconst_NA,INDEX(EUwideConstants!$P$164:$P$200,MATCH(T775,EUwideConstants!$S$164:$S$200,0))))</f>
        <v/>
      </c>
      <c r="Z775" s="314"/>
      <c r="AA775" s="314"/>
      <c r="AB775" s="314"/>
      <c r="AC775" s="429" t="b">
        <f>AND(AC770,Y775&lt;&gt;EUconst_NA)</f>
        <v>0</v>
      </c>
      <c r="AD775" s="314"/>
      <c r="AE775" s="430"/>
      <c r="AF775" s="431"/>
      <c r="AG775" s="432"/>
      <c r="AH775" s="433"/>
      <c r="AI775" s="433"/>
      <c r="AJ775" s="433"/>
      <c r="AK775" s="434"/>
      <c r="AL775" s="326"/>
      <c r="AM775" s="326"/>
      <c r="AN775" s="326"/>
      <c r="AO775" s="326"/>
      <c r="AP775" s="326"/>
      <c r="AQ775" s="435" t="s">
        <v>159</v>
      </c>
      <c r="AR775" s="430"/>
      <c r="AS775" s="436" t="str">
        <f t="shared" si="231"/>
        <v/>
      </c>
      <c r="AT775" s="437"/>
      <c r="AU775" s="438" t="str">
        <f t="shared" si="232"/>
        <v/>
      </c>
      <c r="AV775" s="429">
        <f t="shared" si="233"/>
        <v>0</v>
      </c>
      <c r="AW775" s="407" t="b">
        <f t="shared" si="225"/>
        <v>0</v>
      </c>
      <c r="AX775" s="439" t="b">
        <f t="shared" si="226"/>
        <v>0</v>
      </c>
      <c r="AY775" s="314"/>
      <c r="AZ775" s="408" t="b">
        <f t="shared" si="227"/>
        <v>0</v>
      </c>
      <c r="BA775" s="440" t="b">
        <f t="shared" si="228"/>
        <v>0</v>
      </c>
      <c r="BB775" s="314"/>
      <c r="BC775" s="407" t="b">
        <f t="shared" si="229"/>
        <v>0</v>
      </c>
      <c r="BD775" s="407" t="b">
        <f>OR(AV774&gt;100%,(AV774+AV775)&gt;100%)</f>
        <v>0</v>
      </c>
      <c r="BE775" s="314"/>
      <c r="BF775" s="408" t="s">
        <v>166</v>
      </c>
      <c r="BG775" s="409" t="str">
        <f>IF(AN766=EUconst_TJ,AV766*AV770,IF(AN768=EUconst_GJ,AV766*AV768/1000*AV770,""))</f>
        <v/>
      </c>
      <c r="BH775" s="314"/>
      <c r="BI775" s="314"/>
      <c r="BJ775" s="314"/>
      <c r="BK775" s="314"/>
      <c r="BL775" s="314"/>
      <c r="BM775" s="314"/>
      <c r="BN775" s="314"/>
      <c r="BO775" s="314"/>
      <c r="BP775" s="314"/>
      <c r="BQ775" s="314"/>
      <c r="BR775" s="314"/>
      <c r="BS775" s="314"/>
      <c r="BT775" s="314"/>
      <c r="BU775" s="314"/>
      <c r="BV775" s="314"/>
      <c r="BW775" s="314"/>
      <c r="BX775" s="314"/>
      <c r="BY775" s="314"/>
      <c r="BZ775" s="314"/>
      <c r="CA775" s="314"/>
      <c r="CB775" s="314"/>
      <c r="CC775" s="314"/>
      <c r="CD775" s="314"/>
      <c r="CE775" s="314"/>
      <c r="CF775" s="314"/>
      <c r="CG775" s="314"/>
      <c r="CH775" s="314"/>
      <c r="CI775" s="314"/>
      <c r="CJ775" s="314"/>
      <c r="CK775" s="314"/>
      <c r="CL775" s="314"/>
      <c r="CM775" s="314"/>
      <c r="CN775" s="314"/>
      <c r="CO775" s="314"/>
      <c r="CP775" s="314"/>
      <c r="CQ775" s="407" t="b">
        <f>OR(CQ766,Y775=EUconst_NA)</f>
        <v>0</v>
      </c>
    </row>
    <row r="776" spans="1:95" ht="5.15" customHeight="1" thickBot="1" x14ac:dyDescent="0.3">
      <c r="A776" s="307"/>
      <c r="B776" s="68"/>
      <c r="C776" s="68"/>
      <c r="D776" s="205"/>
      <c r="E776" s="76"/>
      <c r="F776" s="76"/>
      <c r="G776" s="76"/>
      <c r="H776" s="76"/>
      <c r="I776" s="76"/>
      <c r="J776" s="76"/>
      <c r="K776" s="76"/>
      <c r="L776" s="76"/>
      <c r="M776" s="453"/>
      <c r="N776" s="76"/>
      <c r="O776" s="160"/>
      <c r="P776" s="109"/>
      <c r="Q776" s="312"/>
      <c r="R776" s="312"/>
      <c r="S776" s="314"/>
      <c r="T776" s="314"/>
      <c r="U776" s="314"/>
      <c r="V776" s="314"/>
      <c r="W776" s="314"/>
      <c r="X776" s="314"/>
      <c r="Y776" s="314"/>
      <c r="Z776" s="314"/>
      <c r="AA776" s="314"/>
      <c r="AB776" s="314"/>
      <c r="AC776" s="314"/>
      <c r="AD776" s="314"/>
      <c r="AE776" s="314"/>
      <c r="AF776" s="314"/>
      <c r="AG776" s="314"/>
      <c r="AH776" s="314"/>
      <c r="AI776" s="314"/>
      <c r="AJ776" s="314"/>
      <c r="AK776" s="314"/>
      <c r="AL776" s="314"/>
      <c r="AM776" s="314"/>
      <c r="AN776" s="314"/>
      <c r="AO776" s="314"/>
      <c r="AP776" s="314"/>
      <c r="AQ776" s="314"/>
      <c r="AR776" s="314"/>
      <c r="AS776" s="314"/>
      <c r="AT776" s="314"/>
      <c r="AU776" s="314"/>
      <c r="AV776" s="314"/>
      <c r="AW776" s="314"/>
      <c r="AX776" s="314"/>
      <c r="AY776" s="314"/>
      <c r="AZ776" s="314"/>
      <c r="BA776" s="314"/>
      <c r="BB776" s="314"/>
      <c r="BC776" s="314"/>
      <c r="BD776" s="314"/>
      <c r="BE776" s="314"/>
      <c r="BF776" s="314"/>
      <c r="BG776" s="364"/>
      <c r="BH776" s="314"/>
      <c r="BI776" s="314"/>
      <c r="BJ776" s="314"/>
      <c r="BK776" s="314"/>
      <c r="BL776" s="314"/>
      <c r="BM776" s="314"/>
      <c r="BN776" s="314"/>
      <c r="BO776" s="314"/>
      <c r="BP776" s="314"/>
      <c r="BQ776" s="314"/>
      <c r="BR776" s="314"/>
      <c r="BS776" s="314"/>
      <c r="BT776" s="314"/>
      <c r="BU776" s="314"/>
      <c r="BV776" s="314"/>
      <c r="BW776" s="314"/>
      <c r="BX776" s="314"/>
      <c r="BY776" s="314"/>
      <c r="BZ776" s="314"/>
      <c r="CA776" s="314"/>
      <c r="CB776" s="314"/>
      <c r="CC776" s="314"/>
      <c r="CD776" s="314"/>
      <c r="CE776" s="314"/>
      <c r="CF776" s="314"/>
      <c r="CG776" s="314"/>
      <c r="CH776" s="314"/>
      <c r="CI776" s="314"/>
      <c r="CJ776" s="314"/>
      <c r="CK776" s="314"/>
      <c r="CL776" s="314"/>
      <c r="CM776" s="314"/>
      <c r="CN776" s="314"/>
      <c r="CO776" s="314"/>
      <c r="CP776" s="314"/>
      <c r="CQ776" s="314"/>
    </row>
    <row r="777" spans="1:95" ht="12.75" customHeight="1" thickBot="1" x14ac:dyDescent="0.3">
      <c r="A777" s="307"/>
      <c r="B777" s="68"/>
      <c r="C777" s="199" t="s">
        <v>167</v>
      </c>
      <c r="D777" s="344" t="str">
        <f>Translations!$B$398</f>
        <v>Scope factor:</v>
      </c>
      <c r="E777" s="454"/>
      <c r="F777" s="992"/>
      <c r="G777" s="1263"/>
      <c r="H777" s="1264"/>
      <c r="I777" s="455" t="s">
        <v>46</v>
      </c>
      <c r="J777" s="456"/>
      <c r="K777" s="457" t="str">
        <f>IF(L777="",AU777,"")</f>
        <v/>
      </c>
      <c r="L777" s="16"/>
      <c r="M777" s="458" t="str">
        <f>IF(AND(E761&lt;&gt;"",OR(F777="",G777="",COUNT(K777:L777)=0)),EUconst_ERR_Incomplete,IF(COUNTIF(BB777:BD777,TRUE)&gt;0,EUconst_ERR_Inconsistent,""))</f>
        <v/>
      </c>
      <c r="N777" s="76"/>
      <c r="O777" s="160"/>
      <c r="P777" s="109"/>
      <c r="Q777" s="312"/>
      <c r="R777" s="314"/>
      <c r="S777" s="297"/>
      <c r="T777" s="459" t="str">
        <f>EUconst_CNTR_ScopeFactor&amp;E761</f>
        <v>ScopeFactor_</v>
      </c>
      <c r="U777" s="231" t="str">
        <f>IF(F777="","",INDEX(ScopeAddress,MATCH(F777,ScopeTiers,0)))</f>
        <v/>
      </c>
      <c r="V777" s="360" t="str">
        <f>V766</f>
        <v/>
      </c>
      <c r="W777" s="314"/>
      <c r="X777" s="314"/>
      <c r="Y777" s="460" t="str">
        <f>IF(E761="","",IF(F777=EUconst_NA,EUconst_NA,INDEX(EUwideConstants!$P$164:$P$200,MATCH(T777,EUwideConstants!$S$164:$S$200,0))))</f>
        <v/>
      </c>
      <c r="Z777" s="461" t="str">
        <f>IF(ISBLANK(F777),"",IF(F777=EUconst_NA,"",INDEX(EUwideConstants!$H:$O,MATCH(T777,EUwideConstants!$S:$S,0),MATCH(F777,CNTR_TierList,0))))</f>
        <v/>
      </c>
      <c r="AA777" s="331" t="str">
        <f>IF(G777=EUwideConstants!$A$89,1,"")</f>
        <v/>
      </c>
      <c r="AB777" s="314"/>
      <c r="AC777" s="331" t="b">
        <f>AND(AC766,Y777&lt;&gt;EUconst_NA)</f>
        <v>0</v>
      </c>
      <c r="AD777" s="314"/>
      <c r="AE777" s="314"/>
      <c r="AF777" s="314"/>
      <c r="AG777" s="319"/>
      <c r="AH777" s="314"/>
      <c r="AI777" s="314"/>
      <c r="AJ777" s="314"/>
      <c r="AK777" s="314"/>
      <c r="AL777" s="314"/>
      <c r="AM777" s="314"/>
      <c r="AN777" s="314"/>
      <c r="AO777" s="314"/>
      <c r="AP777" s="314"/>
      <c r="AQ777" s="314"/>
      <c r="AR777" s="314"/>
      <c r="AS777" s="328">
        <v>1</v>
      </c>
      <c r="AT777" s="314"/>
      <c r="AU777" s="319" t="str">
        <f>IF(G777=EUwideConstants!$A$89,AS777,"")</f>
        <v/>
      </c>
      <c r="AV777" s="331">
        <f>IF(AC777=TRUE,IF(COUNT(K777:L777)=0,0,IF(L777="",K777,L777)),0)</f>
        <v>0</v>
      </c>
      <c r="AW777" s="360" t="b">
        <f>AND(AC777=TRUE,OR(AND(F777&lt;&gt;"",NOT(ISNUMBER(AA777))),L777&lt;&gt;"",F777="",AU777=""))</f>
        <v>0</v>
      </c>
      <c r="AX777" s="357" t="b">
        <f>AND(AC777=TRUE,NOT(AW777))</f>
        <v>0</v>
      </c>
      <c r="AY777" s="314"/>
      <c r="AZ777" s="361" t="b">
        <f>AND(ISNUMBER(AA777),AU777="")</f>
        <v>0</v>
      </c>
      <c r="BA777" s="351" t="b">
        <f>AND(ISNUMBER(AA777),AU777&lt;&gt;AV777)</f>
        <v>0</v>
      </c>
      <c r="BB777" s="314"/>
      <c r="BC777" s="360" t="b">
        <f>AND(F777&lt;&gt;"",OR(COUNTIF(INDEX(ScopeMethods,F777,),G777)=0,AND(AA777&lt;&gt;"",AU777&lt;&gt;AV777)))</f>
        <v>0</v>
      </c>
      <c r="BD777" s="314"/>
      <c r="BE777" s="314"/>
      <c r="BF777" s="361" t="s">
        <v>168</v>
      </c>
      <c r="BG777" s="362" t="str">
        <f>IF(AN766=EUconst_TJ,AV766*AV772,IF(AN768=EUconst_GJ,AV766*AV768/1000*AV772,""))</f>
        <v/>
      </c>
      <c r="BH777" s="314"/>
      <c r="BI777" s="314"/>
      <c r="BJ777" s="314"/>
      <c r="BK777" s="314"/>
      <c r="BL777" s="314"/>
      <c r="BM777" s="314"/>
      <c r="BN777" s="314"/>
      <c r="BO777" s="314"/>
      <c r="BP777" s="314"/>
      <c r="BQ777" s="314"/>
      <c r="BR777" s="314"/>
      <c r="BS777" s="314"/>
      <c r="BT777" s="314"/>
      <c r="BU777" s="314"/>
      <c r="BV777" s="314"/>
      <c r="BW777" s="314"/>
      <c r="BX777" s="314"/>
      <c r="BY777" s="314"/>
      <c r="BZ777" s="314"/>
      <c r="CA777" s="314"/>
      <c r="CB777" s="314"/>
      <c r="CC777" s="314"/>
      <c r="CD777" s="314"/>
      <c r="CE777" s="314"/>
      <c r="CF777" s="314"/>
      <c r="CG777" s="314"/>
      <c r="CH777" s="314"/>
      <c r="CI777" s="314"/>
      <c r="CJ777" s="314"/>
      <c r="CK777" s="314"/>
      <c r="CL777" s="314"/>
      <c r="CM777" s="314"/>
      <c r="CN777" s="314"/>
      <c r="CO777" s="314"/>
      <c r="CP777" s="314"/>
      <c r="CQ777" s="314"/>
    </row>
    <row r="778" spans="1:95" ht="12.75" customHeight="1" x14ac:dyDescent="0.25">
      <c r="A778" s="307"/>
      <c r="B778" s="68"/>
      <c r="C778" s="68"/>
      <c r="D778" s="68"/>
      <c r="E778" s="68"/>
      <c r="F778" s="68"/>
      <c r="G778" s="1265" t="str">
        <f>IF(G777="","",INDEX(ScopeMethodsDetails,MATCH(G777,INDEX(ScopeMethodsDetails,,1),0),2))</f>
        <v/>
      </c>
      <c r="H778" s="1266"/>
      <c r="I778" s="1266"/>
      <c r="J778" s="1266"/>
      <c r="K778" s="1266"/>
      <c r="L778" s="1266"/>
      <c r="M778" s="1267"/>
      <c r="N778" s="76"/>
      <c r="O778" s="160"/>
      <c r="P778" s="109"/>
      <c r="Q778" s="312"/>
      <c r="R778" s="312"/>
      <c r="S778" s="314"/>
      <c r="T778" s="314"/>
      <c r="U778" s="314"/>
      <c r="V778" s="314"/>
      <c r="W778" s="314"/>
      <c r="X778" s="314"/>
      <c r="Y778" s="314"/>
      <c r="Z778" s="314"/>
      <c r="AA778" s="314"/>
      <c r="AB778" s="314"/>
      <c r="AC778" s="314"/>
      <c r="AD778" s="314"/>
      <c r="AE778" s="314"/>
      <c r="AF778" s="314"/>
      <c r="AG778" s="314"/>
      <c r="AH778" s="314"/>
      <c r="AI778" s="314"/>
      <c r="AJ778" s="314"/>
      <c r="AK778" s="314"/>
      <c r="AL778" s="314"/>
      <c r="AM778" s="314"/>
      <c r="AN778" s="314"/>
      <c r="AO778" s="314"/>
      <c r="AP778" s="314"/>
      <c r="AQ778" s="314"/>
      <c r="AR778" s="314"/>
      <c r="AS778" s="314"/>
      <c r="AT778" s="314"/>
      <c r="AU778" s="314"/>
      <c r="AV778" s="314"/>
      <c r="AW778" s="314"/>
      <c r="AX778" s="314"/>
      <c r="AY778" s="314"/>
      <c r="AZ778" s="314"/>
      <c r="BA778" s="314"/>
      <c r="BB778" s="314"/>
      <c r="BC778" s="314"/>
      <c r="BD778" s="314"/>
      <c r="BE778" s="314"/>
      <c r="BG778" s="364"/>
      <c r="BH778" s="314"/>
      <c r="BI778" s="314"/>
      <c r="BJ778" s="314"/>
      <c r="BK778" s="314"/>
      <c r="BL778" s="314"/>
      <c r="BM778" s="314"/>
      <c r="BN778" s="314"/>
      <c r="BO778" s="314"/>
      <c r="BP778" s="314"/>
      <c r="BQ778" s="314"/>
      <c r="BR778" s="314"/>
      <c r="BS778" s="314"/>
      <c r="BT778" s="314"/>
      <c r="BU778" s="314"/>
      <c r="BV778" s="314"/>
      <c r="BW778" s="314"/>
      <c r="BX778" s="314"/>
      <c r="BY778" s="314"/>
      <c r="BZ778" s="314"/>
      <c r="CA778" s="314"/>
      <c r="CB778" s="314"/>
      <c r="CC778" s="314"/>
      <c r="CD778" s="314"/>
      <c r="CE778" s="314"/>
      <c r="CF778" s="314"/>
      <c r="CG778" s="314"/>
      <c r="CH778" s="314"/>
      <c r="CI778" s="314"/>
      <c r="CJ778" s="314"/>
      <c r="CK778" s="314"/>
      <c r="CL778" s="314"/>
      <c r="CM778" s="314"/>
      <c r="CN778" s="314"/>
      <c r="CO778" s="314"/>
      <c r="CP778" s="314"/>
      <c r="CQ778" s="314"/>
    </row>
    <row r="779" spans="1:95" ht="5.15" customHeight="1" x14ac:dyDescent="0.25">
      <c r="A779" s="307"/>
      <c r="C779" s="76"/>
      <c r="D779" s="76"/>
      <c r="E779" s="76"/>
      <c r="F779" s="76"/>
      <c r="G779" s="76"/>
      <c r="H779" s="76"/>
      <c r="I779" s="76"/>
      <c r="J779" s="76"/>
      <c r="K779" s="76"/>
      <c r="L779" s="76"/>
      <c r="O779" s="160"/>
      <c r="P779" s="109"/>
      <c r="Q779" s="312"/>
      <c r="R779" s="312"/>
      <c r="S779" s="314"/>
      <c r="T779" s="314"/>
      <c r="U779" s="314"/>
      <c r="V779" s="314"/>
      <c r="W779" s="314"/>
      <c r="X779" s="314"/>
      <c r="Y779" s="314"/>
      <c r="Z779" s="314"/>
      <c r="AA779" s="314"/>
      <c r="AB779" s="314"/>
      <c r="AC779" s="314"/>
      <c r="AD779" s="314"/>
      <c r="AE779" s="314"/>
      <c r="AF779" s="314"/>
      <c r="AG779" s="314"/>
      <c r="AH779" s="314"/>
      <c r="AI779" s="314"/>
      <c r="AJ779" s="314"/>
      <c r="AK779" s="314"/>
      <c r="AL779" s="314"/>
      <c r="AM779" s="314"/>
      <c r="AN779" s="314"/>
      <c r="AO779" s="314"/>
      <c r="AP779" s="314"/>
      <c r="AQ779" s="314"/>
      <c r="AR779" s="314"/>
      <c r="AS779" s="314"/>
      <c r="AT779" s="314"/>
      <c r="AU779" s="314"/>
      <c r="AV779" s="314"/>
      <c r="AW779" s="314"/>
      <c r="AX779" s="314"/>
      <c r="AY779" s="314"/>
      <c r="AZ779" s="314"/>
      <c r="BA779" s="314"/>
      <c r="BB779" s="314"/>
      <c r="BC779" s="314"/>
      <c r="BD779" s="314"/>
      <c r="BE779" s="314"/>
      <c r="BG779" s="364"/>
      <c r="BH779" s="314"/>
      <c r="BI779" s="314"/>
      <c r="BJ779" s="314"/>
      <c r="BK779" s="314"/>
      <c r="BL779" s="314"/>
      <c r="BM779" s="314"/>
      <c r="BN779" s="314"/>
      <c r="BO779" s="314"/>
      <c r="BP779" s="314"/>
      <c r="BQ779" s="314"/>
      <c r="BR779" s="314"/>
      <c r="BS779" s="314"/>
      <c r="BT779" s="314"/>
      <c r="BU779" s="314"/>
      <c r="BV779" s="314"/>
      <c r="BW779" s="314"/>
      <c r="BX779" s="314"/>
      <c r="BY779" s="314"/>
      <c r="BZ779" s="314"/>
      <c r="CA779" s="314"/>
      <c r="CB779" s="314"/>
      <c r="CC779" s="314"/>
      <c r="CD779" s="314"/>
      <c r="CE779" s="314"/>
      <c r="CF779" s="314"/>
      <c r="CG779" s="314"/>
      <c r="CH779" s="314"/>
      <c r="CI779" s="314"/>
      <c r="CJ779" s="314"/>
      <c r="CK779" s="314"/>
      <c r="CL779" s="314"/>
      <c r="CM779" s="314"/>
      <c r="CN779" s="314"/>
      <c r="CO779" s="314"/>
      <c r="CP779" s="314"/>
      <c r="CQ779" s="314"/>
    </row>
    <row r="780" spans="1:95" ht="12.75" customHeight="1" thickBot="1" x14ac:dyDescent="0.3">
      <c r="A780" s="307"/>
      <c r="C780" s="76"/>
      <c r="D780" s="76"/>
      <c r="E780" s="76"/>
      <c r="F780" s="76"/>
      <c r="G780" s="1268">
        <v>1</v>
      </c>
      <c r="H780" s="1268"/>
      <c r="I780" s="1268">
        <v>2</v>
      </c>
      <c r="J780" s="1268"/>
      <c r="K780" s="1268">
        <v>3</v>
      </c>
      <c r="L780" s="1268"/>
      <c r="O780" s="160"/>
      <c r="P780" s="109"/>
      <c r="Q780" s="312"/>
      <c r="R780" s="312"/>
      <c r="S780" s="314"/>
      <c r="T780" s="314"/>
      <c r="U780" s="314"/>
      <c r="V780" s="314"/>
      <c r="W780" s="314"/>
      <c r="X780" s="314"/>
      <c r="Y780" s="314"/>
      <c r="Z780" s="314"/>
      <c r="AA780" s="314"/>
      <c r="AB780" s="314"/>
      <c r="AC780" s="314"/>
      <c r="AD780" s="314"/>
      <c r="AE780" s="314"/>
      <c r="AF780" s="314"/>
      <c r="AG780" s="314"/>
      <c r="AH780" s="314"/>
      <c r="AI780" s="314"/>
      <c r="AJ780" s="314"/>
      <c r="AK780" s="314"/>
      <c r="AL780" s="314"/>
      <c r="AM780" s="314"/>
      <c r="AN780" s="314"/>
      <c r="AO780" s="314"/>
      <c r="AP780" s="314"/>
      <c r="AQ780" s="314"/>
      <c r="AR780" s="314"/>
      <c r="AS780" s="314"/>
      <c r="AT780" s="314"/>
      <c r="AU780" s="314"/>
      <c r="AV780" s="314"/>
      <c r="AW780" s="314"/>
      <c r="AX780" s="314"/>
      <c r="AY780" s="314"/>
      <c r="AZ780" s="314"/>
      <c r="BA780" s="314"/>
      <c r="BB780" s="314"/>
      <c r="BC780" s="314"/>
      <c r="BD780" s="314"/>
      <c r="BE780" s="314"/>
      <c r="BF780" s="314"/>
      <c r="BG780" s="364"/>
      <c r="BH780" s="314"/>
      <c r="BI780" s="314"/>
      <c r="BJ780" s="314"/>
      <c r="BK780" s="314"/>
      <c r="BL780" s="314"/>
      <c r="BM780" s="314"/>
      <c r="BN780" s="314"/>
      <c r="BO780" s="314"/>
      <c r="BP780" s="314"/>
      <c r="BQ780" s="314"/>
      <c r="BR780" s="314"/>
      <c r="BS780" s="314"/>
      <c r="BT780" s="314"/>
      <c r="BU780" s="314"/>
      <c r="BV780" s="314"/>
      <c r="BW780" s="314"/>
      <c r="BX780" s="314"/>
      <c r="BY780" s="314"/>
      <c r="BZ780" s="314"/>
      <c r="CA780" s="314"/>
      <c r="CB780" s="314"/>
      <c r="CC780" s="314"/>
      <c r="CD780" s="314"/>
      <c r="CE780" s="314"/>
      <c r="CF780" s="314"/>
      <c r="CG780" s="314"/>
      <c r="CH780" s="314"/>
      <c r="CI780" s="314"/>
      <c r="CJ780" s="314"/>
      <c r="CK780" s="314"/>
      <c r="CL780" s="314"/>
      <c r="CM780" s="314"/>
      <c r="CN780" s="314"/>
      <c r="CO780" s="314"/>
      <c r="CP780" s="314"/>
      <c r="CQ780" s="314"/>
    </row>
    <row r="781" spans="1:95" ht="12.75" customHeight="1" thickBot="1" x14ac:dyDescent="0.3">
      <c r="A781" s="462"/>
      <c r="B781" s="76"/>
      <c r="C781" s="76"/>
      <c r="D781" s="1246" t="str">
        <f>Translations!$B$372</f>
        <v>Consumers' CRF category:</v>
      </c>
      <c r="E781" s="1246"/>
      <c r="F781" s="1247"/>
      <c r="G781" s="1248"/>
      <c r="H781" s="1249"/>
      <c r="I781" s="1248"/>
      <c r="J781" s="1249"/>
      <c r="K781" s="1248"/>
      <c r="L781" s="1249"/>
      <c r="M781" s="463" t="str">
        <f>IF(AND(E760&lt;&gt;"",COUNTA(G781:L781)=0,AX781=FALSE),EUconst_ERR_Incomplete,"")</f>
        <v/>
      </c>
      <c r="N781" s="76"/>
      <c r="O781" s="160"/>
      <c r="P781" s="109"/>
      <c r="Q781" s="312"/>
      <c r="R781" s="312"/>
      <c r="S781" s="314"/>
      <c r="T781" s="314"/>
      <c r="U781" s="314"/>
      <c r="V781" s="314"/>
      <c r="W781" s="314"/>
      <c r="X781" s="314"/>
      <c r="Y781" s="314"/>
      <c r="Z781" s="314"/>
      <c r="AA781" s="314"/>
      <c r="AB781" s="314"/>
      <c r="AC781" s="314"/>
      <c r="AD781" s="314"/>
      <c r="AE781" s="314"/>
      <c r="AF781" s="314"/>
      <c r="AG781" s="314"/>
      <c r="AH781" s="314"/>
      <c r="AI781" s="314"/>
      <c r="AJ781" s="314"/>
      <c r="AK781" s="314"/>
      <c r="AL781" s="314"/>
      <c r="AM781" s="314"/>
      <c r="AN781" s="314"/>
      <c r="AO781" s="314"/>
      <c r="AP781" s="314"/>
      <c r="AQ781" s="314"/>
      <c r="AR781" s="314"/>
      <c r="AS781" s="314"/>
      <c r="AT781" s="314"/>
      <c r="AU781" s="314"/>
      <c r="AV781" s="314"/>
      <c r="AW781" s="314"/>
      <c r="AX781" s="464" t="b">
        <f>AND(AV777&lt;&gt;"",SUM(AV777=1))</f>
        <v>0</v>
      </c>
      <c r="AY781" s="314"/>
      <c r="AZ781" s="314"/>
      <c r="BA781" s="314"/>
      <c r="BB781" s="314"/>
      <c r="BC781" s="314"/>
      <c r="BD781" s="314"/>
      <c r="BE781" s="314"/>
      <c r="BF781" s="361" t="s">
        <v>169</v>
      </c>
      <c r="BG781" s="362" t="str">
        <f>IF(AN766=EUconst_TJ,AV766*AV774,IF(AN768=EUconst_GJ,AV766*AV768/1000*AV774,""))</f>
        <v/>
      </c>
      <c r="BH781" s="314"/>
      <c r="BI781" s="314"/>
      <c r="BJ781" s="314"/>
      <c r="BK781" s="314"/>
      <c r="BL781" s="314"/>
      <c r="BM781" s="314"/>
      <c r="BN781" s="314"/>
      <c r="BO781" s="314"/>
      <c r="BP781" s="314"/>
      <c r="BQ781" s="314"/>
      <c r="BR781" s="314"/>
      <c r="BS781" s="314"/>
      <c r="BT781" s="314"/>
      <c r="BU781" s="314"/>
      <c r="BV781" s="314"/>
      <c r="BW781" s="314"/>
      <c r="BX781" s="314"/>
      <c r="BY781" s="314"/>
      <c r="BZ781" s="314"/>
      <c r="CA781" s="314"/>
      <c r="CB781" s="314"/>
      <c r="CC781" s="314"/>
      <c r="CD781" s="314"/>
      <c r="CE781" s="314"/>
      <c r="CF781" s="314"/>
      <c r="CG781" s="314"/>
      <c r="CH781" s="314"/>
      <c r="CI781" s="314"/>
      <c r="CJ781" s="314"/>
      <c r="CK781" s="314"/>
      <c r="CL781" s="314"/>
      <c r="CM781" s="314"/>
      <c r="CN781" s="314"/>
      <c r="CO781" s="314"/>
      <c r="CP781" s="314"/>
      <c r="CQ781" s="314"/>
    </row>
    <row r="782" spans="1:95" ht="5.15" customHeight="1" x14ac:dyDescent="0.25">
      <c r="A782" s="307"/>
      <c r="B782" s="68"/>
      <c r="C782" s="68"/>
      <c r="D782" s="68"/>
      <c r="E782" s="68"/>
      <c r="F782" s="68"/>
      <c r="G782" s="76"/>
      <c r="H782" s="76"/>
      <c r="I782" s="76"/>
      <c r="J782" s="76"/>
      <c r="K782" s="76"/>
      <c r="L782" s="76"/>
      <c r="M782" s="76"/>
      <c r="N782" s="76"/>
      <c r="O782" s="160"/>
      <c r="P782" s="109"/>
      <c r="Q782" s="312"/>
      <c r="R782" s="312"/>
      <c r="S782" s="314"/>
      <c r="T782" s="314"/>
      <c r="U782" s="314"/>
      <c r="V782" s="314"/>
      <c r="W782" s="314"/>
      <c r="X782" s="314"/>
      <c r="Y782" s="314"/>
      <c r="Z782" s="314"/>
      <c r="AA782" s="314"/>
      <c r="AB782" s="314"/>
      <c r="AC782" s="314"/>
      <c r="AD782" s="314"/>
      <c r="AE782" s="314"/>
      <c r="AF782" s="314"/>
      <c r="AG782" s="314"/>
      <c r="AH782" s="314"/>
      <c r="AI782" s="314"/>
      <c r="AJ782" s="314"/>
      <c r="AK782" s="314"/>
      <c r="AL782" s="314"/>
      <c r="AM782" s="314"/>
      <c r="AN782" s="314"/>
      <c r="AO782" s="314"/>
      <c r="AP782" s="314"/>
      <c r="AQ782" s="314"/>
      <c r="AR782" s="314"/>
      <c r="AS782" s="314"/>
      <c r="AT782" s="314"/>
      <c r="AU782" s="314"/>
      <c r="AV782" s="314"/>
      <c r="AW782" s="314"/>
      <c r="AX782" s="314"/>
      <c r="AY782" s="314"/>
      <c r="AZ782" s="314"/>
      <c r="BA782" s="314"/>
      <c r="BB782" s="314"/>
      <c r="BC782" s="314"/>
      <c r="BD782" s="314"/>
      <c r="BE782" s="314"/>
      <c r="BF782" s="314"/>
      <c r="BG782" s="314"/>
      <c r="BH782" s="314"/>
      <c r="BI782" s="314"/>
      <c r="BJ782" s="314"/>
      <c r="BK782" s="314"/>
      <c r="BL782" s="314"/>
      <c r="BM782" s="314"/>
      <c r="BN782" s="314"/>
      <c r="BO782" s="314"/>
      <c r="BP782" s="314"/>
      <c r="BQ782" s="314"/>
      <c r="BR782" s="314"/>
      <c r="BS782" s="314"/>
      <c r="BT782" s="314"/>
      <c r="BU782" s="314"/>
      <c r="BV782" s="314"/>
      <c r="BW782" s="314"/>
      <c r="BX782" s="314"/>
      <c r="BY782" s="314"/>
      <c r="BZ782" s="314"/>
      <c r="CA782" s="314"/>
      <c r="CB782" s="314"/>
      <c r="CC782" s="314"/>
      <c r="CD782" s="314"/>
      <c r="CE782" s="314"/>
      <c r="CF782" s="314"/>
      <c r="CG782" s="314"/>
      <c r="CH782" s="314"/>
      <c r="CI782" s="314"/>
      <c r="CJ782" s="314"/>
      <c r="CK782" s="314"/>
      <c r="CL782" s="314"/>
      <c r="CM782" s="314"/>
      <c r="CN782" s="314"/>
      <c r="CO782" s="314"/>
      <c r="CP782" s="314"/>
      <c r="CQ782" s="314"/>
    </row>
    <row r="783" spans="1:95" ht="12.75" customHeight="1" x14ac:dyDescent="0.25">
      <c r="A783" s="307"/>
      <c r="B783" s="68"/>
      <c r="C783" s="68"/>
      <c r="D783" s="1246" t="str">
        <f>Translations!$B$399</f>
        <v>Tiers valid from:</v>
      </c>
      <c r="E783" s="1246"/>
      <c r="F783" s="1247"/>
      <c r="G783" s="8"/>
      <c r="H783" s="199" t="str">
        <f>Translations!$B$400</f>
        <v>until:</v>
      </c>
      <c r="I783" s="8"/>
      <c r="J783" s="76"/>
      <c r="K783" s="76"/>
      <c r="L783" s="76"/>
      <c r="M783" s="199" t="str">
        <f>Translations!$B$401</f>
        <v>ID used in the monitoring plan for this fuel stream:</v>
      </c>
      <c r="N783" s="9"/>
      <c r="O783" s="160"/>
      <c r="P783" s="109"/>
      <c r="Q783" s="312"/>
      <c r="R783" s="312"/>
      <c r="S783" s="465"/>
      <c r="T783" s="314"/>
      <c r="U783" s="314"/>
      <c r="V783" s="314"/>
      <c r="W783" s="314"/>
      <c r="X783" s="314"/>
      <c r="Y783" s="314"/>
      <c r="Z783" s="314"/>
      <c r="AA783" s="314"/>
      <c r="AB783" s="314"/>
      <c r="AC783" s="314"/>
      <c r="AD783" s="314"/>
      <c r="AE783" s="314"/>
      <c r="AF783" s="314"/>
      <c r="AG783" s="314"/>
      <c r="AH783" s="314"/>
      <c r="AI783" s="314"/>
      <c r="AJ783" s="314"/>
      <c r="AK783" s="314"/>
      <c r="AL783" s="314"/>
      <c r="AM783" s="314"/>
      <c r="AN783" s="314"/>
      <c r="AO783" s="314"/>
      <c r="AP783" s="314"/>
      <c r="AQ783" s="314"/>
      <c r="AR783" s="314"/>
      <c r="AS783" s="314"/>
      <c r="AT783" s="314"/>
      <c r="AU783" s="314"/>
      <c r="AV783" s="314"/>
      <c r="AW783" s="314"/>
      <c r="AX783" s="314"/>
      <c r="AY783" s="314"/>
      <c r="AZ783" s="314"/>
      <c r="BA783" s="314"/>
      <c r="BB783" s="314"/>
      <c r="BC783" s="314"/>
      <c r="BD783" s="314"/>
      <c r="BE783" s="314"/>
      <c r="BF783" s="314"/>
      <c r="BG783" s="314"/>
      <c r="BH783" s="314"/>
      <c r="BI783" s="314"/>
      <c r="BJ783" s="314"/>
      <c r="BK783" s="314"/>
      <c r="BL783" s="314"/>
      <c r="BM783" s="314"/>
      <c r="BN783" s="314"/>
      <c r="BO783" s="314"/>
      <c r="BP783" s="314"/>
      <c r="BQ783" s="314"/>
      <c r="BR783" s="314"/>
      <c r="BS783" s="314"/>
      <c r="BT783" s="314"/>
      <c r="BU783" s="314"/>
      <c r="BV783" s="314"/>
      <c r="BW783" s="314"/>
      <c r="BX783" s="314"/>
      <c r="BY783" s="314"/>
      <c r="BZ783" s="314"/>
      <c r="CA783" s="314"/>
      <c r="CB783" s="314"/>
      <c r="CC783" s="314"/>
      <c r="CD783" s="314"/>
      <c r="CE783" s="314"/>
      <c r="CF783" s="314"/>
      <c r="CG783" s="314"/>
      <c r="CH783" s="314"/>
      <c r="CI783" s="314"/>
      <c r="CJ783" s="314"/>
      <c r="CK783" s="314"/>
      <c r="CL783" s="314"/>
      <c r="CM783" s="314"/>
      <c r="CN783" s="314"/>
      <c r="CO783" s="314"/>
      <c r="CP783" s="314"/>
      <c r="CQ783" s="464" t="b">
        <f>CQ766</f>
        <v>0</v>
      </c>
    </row>
    <row r="784" spans="1:95" ht="5.15" customHeight="1" x14ac:dyDescent="0.25">
      <c r="A784" s="462"/>
      <c r="B784" s="76"/>
      <c r="C784" s="76"/>
      <c r="D784" s="76"/>
      <c r="E784" s="76"/>
      <c r="F784" s="76"/>
      <c r="G784" s="76"/>
      <c r="H784" s="76"/>
      <c r="I784" s="76"/>
      <c r="J784" s="76"/>
      <c r="K784" s="76"/>
      <c r="L784" s="76"/>
      <c r="M784" s="76"/>
      <c r="N784" s="76"/>
      <c r="O784" s="160"/>
      <c r="P784" s="109"/>
      <c r="Q784" s="312"/>
      <c r="R784" s="312"/>
      <c r="S784" s="314"/>
      <c r="T784" s="314"/>
      <c r="U784" s="314"/>
      <c r="V784" s="314"/>
      <c r="W784" s="314"/>
      <c r="X784" s="314"/>
      <c r="Y784" s="314"/>
      <c r="Z784" s="314"/>
      <c r="AA784" s="314"/>
      <c r="AB784" s="314"/>
      <c r="AC784" s="314"/>
      <c r="AD784" s="314"/>
      <c r="AE784" s="314"/>
      <c r="AF784" s="314"/>
      <c r="AG784" s="314"/>
      <c r="AH784" s="314"/>
      <c r="AI784" s="314"/>
      <c r="AJ784" s="314"/>
      <c r="AK784" s="314"/>
      <c r="AL784" s="314"/>
      <c r="AM784" s="314"/>
      <c r="AN784" s="314"/>
      <c r="AO784" s="314"/>
      <c r="AP784" s="314"/>
      <c r="AQ784" s="314"/>
      <c r="AR784" s="314"/>
      <c r="AS784" s="314"/>
      <c r="AT784" s="314"/>
      <c r="AU784" s="314"/>
      <c r="AV784" s="314"/>
      <c r="AW784" s="314"/>
      <c r="AX784" s="314"/>
      <c r="AY784" s="314"/>
      <c r="AZ784" s="314"/>
      <c r="BA784" s="314"/>
      <c r="BB784" s="314"/>
      <c r="BC784" s="314"/>
      <c r="BD784" s="314"/>
      <c r="BE784" s="314"/>
      <c r="BF784" s="314"/>
      <c r="BG784" s="314"/>
      <c r="BH784" s="314"/>
      <c r="BI784" s="314"/>
      <c r="BJ784" s="314"/>
      <c r="BK784" s="314"/>
      <c r="BL784" s="314"/>
      <c r="BM784" s="314"/>
      <c r="BN784" s="314"/>
      <c r="BO784" s="314"/>
      <c r="BP784" s="314"/>
      <c r="BQ784" s="314"/>
      <c r="BR784" s="314"/>
      <c r="BS784" s="314"/>
      <c r="BT784" s="314"/>
      <c r="BU784" s="314"/>
      <c r="BV784" s="314"/>
      <c r="BW784" s="314"/>
      <c r="BX784" s="314"/>
      <c r="BY784" s="314"/>
      <c r="BZ784" s="314"/>
      <c r="CA784" s="314"/>
      <c r="CB784" s="314"/>
      <c r="CC784" s="314"/>
      <c r="CD784" s="314"/>
      <c r="CE784" s="314"/>
      <c r="CF784" s="314"/>
      <c r="CG784" s="314"/>
      <c r="CH784" s="314"/>
      <c r="CI784" s="314"/>
      <c r="CJ784" s="314"/>
      <c r="CK784" s="314"/>
      <c r="CL784" s="314"/>
      <c r="CM784" s="314"/>
      <c r="CN784" s="314"/>
      <c r="CO784" s="314"/>
      <c r="CP784" s="314"/>
      <c r="CQ784" s="314"/>
    </row>
    <row r="785" spans="1:95" ht="12.75" customHeight="1" x14ac:dyDescent="0.25">
      <c r="A785" s="462"/>
      <c r="B785" s="76"/>
      <c r="C785" s="76"/>
      <c r="D785" s="115"/>
      <c r="E785" s="85"/>
      <c r="F785" s="466" t="str">
        <f>Translations!$B$304</f>
        <v>Comments:</v>
      </c>
      <c r="G785" s="1250"/>
      <c r="H785" s="1251"/>
      <c r="I785" s="1251"/>
      <c r="J785" s="1251"/>
      <c r="K785" s="1251"/>
      <c r="L785" s="1251"/>
      <c r="M785" s="1251"/>
      <c r="N785" s="1252"/>
      <c r="O785" s="160"/>
      <c r="P785" s="109"/>
      <c r="Q785" s="312"/>
      <c r="R785" s="312"/>
      <c r="S785" s="314"/>
      <c r="T785" s="314"/>
      <c r="U785" s="314"/>
      <c r="V785" s="314"/>
      <c r="W785" s="314"/>
      <c r="X785" s="314"/>
      <c r="Y785" s="314"/>
      <c r="Z785" s="314"/>
      <c r="AA785" s="314"/>
      <c r="AB785" s="314"/>
      <c r="AC785" s="314"/>
      <c r="AD785" s="314"/>
      <c r="AE785" s="314"/>
      <c r="AF785" s="314"/>
      <c r="AG785" s="314"/>
      <c r="AH785" s="314"/>
      <c r="AI785" s="314"/>
      <c r="AJ785" s="314"/>
      <c r="AK785" s="314"/>
      <c r="AL785" s="314"/>
      <c r="AM785" s="314"/>
      <c r="AN785" s="314"/>
      <c r="AO785" s="314"/>
      <c r="AP785" s="314"/>
      <c r="AQ785" s="314"/>
      <c r="AR785" s="314"/>
      <c r="AS785" s="314"/>
      <c r="AT785" s="314"/>
      <c r="AU785" s="314"/>
      <c r="AV785" s="314"/>
      <c r="AW785" s="314"/>
      <c r="AX785" s="314"/>
      <c r="AY785" s="314"/>
      <c r="AZ785" s="314"/>
      <c r="BA785" s="314"/>
      <c r="BB785" s="314"/>
      <c r="BC785" s="314"/>
      <c r="BD785" s="314"/>
      <c r="BE785" s="314"/>
      <c r="BF785" s="314"/>
      <c r="BG785" s="314"/>
      <c r="BH785" s="314"/>
      <c r="BI785" s="314"/>
      <c r="BJ785" s="314"/>
      <c r="BK785" s="314"/>
      <c r="BL785" s="314"/>
      <c r="BM785" s="314"/>
      <c r="BN785" s="314"/>
      <c r="BO785" s="314"/>
      <c r="BP785" s="314"/>
      <c r="BQ785" s="314"/>
      <c r="BR785" s="314"/>
      <c r="BS785" s="314"/>
      <c r="BT785" s="314"/>
      <c r="BU785" s="314"/>
      <c r="BV785" s="314"/>
      <c r="BW785" s="314"/>
      <c r="BX785" s="314"/>
      <c r="BY785" s="314"/>
      <c r="BZ785" s="314"/>
      <c r="CA785" s="314"/>
      <c r="CB785" s="314"/>
      <c r="CC785" s="314"/>
      <c r="CD785" s="314"/>
      <c r="CE785" s="314"/>
      <c r="CF785" s="314"/>
      <c r="CG785" s="314"/>
      <c r="CH785" s="314"/>
      <c r="CI785" s="314"/>
      <c r="CJ785" s="314"/>
      <c r="CK785" s="314"/>
      <c r="CL785" s="314"/>
      <c r="CM785" s="314"/>
      <c r="CN785" s="314"/>
      <c r="CO785" s="314"/>
      <c r="CP785" s="314"/>
      <c r="CQ785" s="464" t="b">
        <f>CQ783</f>
        <v>0</v>
      </c>
    </row>
    <row r="786" spans="1:95" ht="12.75" customHeight="1" thickBot="1" x14ac:dyDescent="0.3">
      <c r="A786" s="307"/>
      <c r="B786" s="76"/>
      <c r="C786" s="308"/>
      <c r="D786" s="309"/>
      <c r="E786" s="310"/>
      <c r="F786" s="308"/>
      <c r="G786" s="311"/>
      <c r="H786" s="311"/>
      <c r="I786" s="311"/>
      <c r="J786" s="311"/>
      <c r="K786" s="311"/>
      <c r="L786" s="311"/>
      <c r="M786" s="311"/>
      <c r="N786" s="311"/>
      <c r="O786" s="160"/>
      <c r="P786" s="109"/>
      <c r="Q786" s="312"/>
      <c r="R786" s="312"/>
      <c r="S786" s="293"/>
      <c r="T786" s="293"/>
      <c r="U786" s="313"/>
      <c r="V786" s="293"/>
      <c r="W786" s="293"/>
      <c r="X786" s="313"/>
      <c r="Y786" s="293"/>
      <c r="Z786" s="293"/>
      <c r="AA786" s="293"/>
      <c r="AB786" s="293"/>
      <c r="AC786" s="293"/>
      <c r="AD786" s="293"/>
      <c r="AE786" s="293"/>
      <c r="AF786" s="293"/>
      <c r="AG786" s="293"/>
      <c r="AH786" s="293"/>
      <c r="AI786" s="293"/>
      <c r="AJ786" s="293"/>
      <c r="AK786" s="293"/>
      <c r="AL786" s="293"/>
      <c r="AM786" s="293"/>
      <c r="AN786" s="293"/>
      <c r="AO786" s="293"/>
      <c r="AP786" s="293"/>
      <c r="AQ786" s="293"/>
      <c r="AR786" s="293"/>
      <c r="AS786" s="293"/>
      <c r="AT786" s="293"/>
      <c r="AU786" s="293"/>
      <c r="AV786" s="293"/>
      <c r="AW786" s="293"/>
      <c r="AX786" s="293"/>
      <c r="AY786" s="293"/>
      <c r="AZ786" s="293"/>
      <c r="BA786" s="293"/>
      <c r="BB786" s="293"/>
      <c r="BC786" s="293"/>
      <c r="BD786" s="293"/>
      <c r="BE786" s="293"/>
      <c r="BF786" s="293"/>
      <c r="BG786" s="293"/>
      <c r="BH786" s="293"/>
      <c r="BI786" s="293"/>
      <c r="BJ786" s="293"/>
      <c r="BK786" s="293"/>
      <c r="BL786" s="293"/>
      <c r="BM786" s="314"/>
      <c r="BN786" s="314"/>
      <c r="BO786" s="314"/>
      <c r="BP786" s="314"/>
      <c r="BQ786" s="314"/>
      <c r="BR786" s="314"/>
      <c r="BS786" s="314"/>
      <c r="BT786" s="314"/>
      <c r="BU786" s="293"/>
      <c r="BV786" s="293"/>
      <c r="BW786" s="293"/>
      <c r="BX786" s="293"/>
      <c r="BY786" s="293"/>
      <c r="BZ786" s="293"/>
      <c r="CA786" s="293"/>
      <c r="CB786" s="293"/>
      <c r="CC786" s="293"/>
      <c r="CD786" s="293"/>
      <c r="CE786" s="293"/>
      <c r="CF786" s="293"/>
      <c r="CG786" s="293"/>
      <c r="CH786" s="293"/>
      <c r="CI786" s="293"/>
      <c r="CJ786" s="293"/>
      <c r="CK786" s="293"/>
      <c r="CL786" s="293"/>
      <c r="CM786" s="293"/>
      <c r="CN786" s="293"/>
      <c r="CO786" s="293"/>
      <c r="CP786" s="293"/>
      <c r="CQ786" s="293"/>
    </row>
    <row r="787" spans="1:95" ht="12.75" customHeight="1" thickBot="1" x14ac:dyDescent="0.3">
      <c r="A787" s="315"/>
      <c r="B787" s="76"/>
      <c r="C787" s="76"/>
      <c r="D787" s="205"/>
      <c r="E787" s="316"/>
      <c r="F787" s="76"/>
      <c r="G787" s="96"/>
      <c r="H787" s="96"/>
      <c r="I787" s="96"/>
      <c r="J787" s="96"/>
      <c r="K787" s="76"/>
      <c r="L787" s="96"/>
      <c r="M787" s="96"/>
      <c r="N787" s="96"/>
      <c r="O787" s="160"/>
      <c r="P787" s="109"/>
      <c r="Q787" s="312"/>
      <c r="R787" s="312"/>
      <c r="S787" s="287"/>
      <c r="T787" s="317" t="str">
        <f>IF(ISBLANK(E788),"",MATCH(E788,CNTR_SourceStreamNames,0))</f>
        <v/>
      </c>
      <c r="U787" s="318" t="str">
        <f>IF(ISBLANK(E788),"",INDEX(B_IdentifyFuelStreams!$D$67:$D$116,MATCH(E788,CNTR_SourceStreamNames,0)))</f>
        <v/>
      </c>
      <c r="V787" s="301"/>
      <c r="W787" s="138"/>
      <c r="X787" s="138"/>
      <c r="Y787" s="138"/>
      <c r="Z787" s="293"/>
      <c r="AA787" s="293"/>
      <c r="AB787" s="293"/>
      <c r="AC787" s="293"/>
      <c r="AD787" s="293"/>
      <c r="AE787" s="293"/>
      <c r="AF787" s="293"/>
      <c r="AG787" s="293"/>
      <c r="AH787" s="293"/>
      <c r="AI787" s="293"/>
      <c r="AJ787" s="293"/>
      <c r="AK787" s="312"/>
      <c r="AL787" s="293"/>
      <c r="AM787" s="293"/>
      <c r="AN787" s="293"/>
      <c r="AO787" s="293"/>
      <c r="AP787" s="293"/>
      <c r="AQ787" s="293"/>
      <c r="AR787" s="293"/>
      <c r="AS787" s="293"/>
      <c r="AT787" s="293"/>
      <c r="AU787" s="293"/>
      <c r="AV787" s="293"/>
      <c r="AW787" s="293"/>
      <c r="AX787" s="293"/>
      <c r="AY787" s="293"/>
      <c r="AZ787" s="293"/>
      <c r="BA787" s="293"/>
      <c r="BB787" s="293"/>
      <c r="BC787" s="293"/>
      <c r="BD787" s="293"/>
      <c r="BE787" s="293"/>
      <c r="BF787" s="293"/>
      <c r="BG787" s="293"/>
      <c r="BH787" s="293"/>
      <c r="BI787" s="293"/>
      <c r="BJ787" s="138"/>
      <c r="BK787" s="138"/>
      <c r="BL787" s="138"/>
      <c r="BM787" s="138"/>
      <c r="BN787" s="138"/>
      <c r="BO787" s="138"/>
      <c r="BP787" s="138"/>
      <c r="BQ787" s="138"/>
      <c r="BR787" s="138"/>
      <c r="BS787" s="138"/>
      <c r="BT787" s="138"/>
      <c r="BU787" s="138"/>
      <c r="BV787" s="138"/>
      <c r="BW787" s="138"/>
      <c r="BX787" s="138"/>
      <c r="BY787" s="138"/>
      <c r="BZ787" s="138"/>
      <c r="CA787" s="138"/>
      <c r="CB787" s="138"/>
      <c r="CC787" s="138"/>
      <c r="CD787" s="138"/>
      <c r="CE787" s="138"/>
      <c r="CF787" s="138"/>
      <c r="CG787" s="138"/>
      <c r="CH787" s="138"/>
      <c r="CI787" s="138"/>
      <c r="CJ787" s="138"/>
      <c r="CK787" s="138"/>
      <c r="CL787" s="138"/>
      <c r="CM787" s="138"/>
      <c r="CN787" s="138"/>
      <c r="CO787" s="138"/>
      <c r="CP787" s="138"/>
      <c r="CQ787" s="319" t="s">
        <v>107</v>
      </c>
    </row>
    <row r="788" spans="1:95" ht="15" customHeight="1" thickBot="1" x14ac:dyDescent="0.3">
      <c r="A788" s="320">
        <f>C788</f>
        <v>27</v>
      </c>
      <c r="B788" s="68"/>
      <c r="C788" s="321">
        <f>C760+1</f>
        <v>27</v>
      </c>
      <c r="D788" s="68"/>
      <c r="E788" s="1269"/>
      <c r="F788" s="1270"/>
      <c r="G788" s="1270"/>
      <c r="H788" s="1270"/>
      <c r="I788" s="1270"/>
      <c r="J788" s="1271"/>
      <c r="K788" s="1272" t="str">
        <f>IF(INDEX(B_IdentifyFuelStreams!$K$125:$K$174,MATCH(U787,B_IdentifyFuelStreams!$D$125:$D$174,0))&gt;0,INDEX(B_IdentifyFuelStreams!$K$125:$K$174,MATCH(U787,B_IdentifyFuelStreams!$D$125:$D$174,0)),"")</f>
        <v/>
      </c>
      <c r="L788" s="1273"/>
      <c r="M788" s="316" t="str">
        <f>Translations!$B$621</f>
        <v>Emissions:</v>
      </c>
      <c r="N788" s="322" t="str">
        <f>IF(E789="","",BG794)</f>
        <v/>
      </c>
      <c r="O788" s="323" t="str">
        <f>EUconst_tCO2</f>
        <v>tCO2</v>
      </c>
      <c r="P788" s="324" t="str">
        <f>IF(AND(E788&lt;&gt;"",COUNTIF(P789:$P$1649,"PRINT")=0),"PRINT","")</f>
        <v/>
      </c>
      <c r="Q788" s="325" t="str">
        <f>EUconst_SumCO2</f>
        <v>SUM_CO2</v>
      </c>
      <c r="R788" s="312"/>
      <c r="S788" s="287"/>
      <c r="T788" s="287"/>
      <c r="U788" s="287"/>
      <c r="V788" s="301"/>
      <c r="W788" s="138"/>
      <c r="X788" s="293"/>
      <c r="Y788" s="293"/>
      <c r="Z788" s="293"/>
      <c r="AA788" s="293"/>
      <c r="AB788" s="293"/>
      <c r="AC788" s="293"/>
      <c r="AD788" s="293"/>
      <c r="AE788" s="293"/>
      <c r="AF788" s="293"/>
      <c r="AG788" s="293"/>
      <c r="AH788" s="293"/>
      <c r="AI788" s="326"/>
      <c r="AJ788" s="326"/>
      <c r="AK788" s="326"/>
      <c r="AL788" s="326"/>
      <c r="AM788" s="326"/>
      <c r="AN788" s="326"/>
      <c r="AO788" s="326"/>
      <c r="AP788" s="326"/>
      <c r="AQ788" s="326"/>
      <c r="AR788" s="326"/>
      <c r="AS788" s="326"/>
      <c r="AT788" s="326"/>
      <c r="AU788" s="326"/>
      <c r="AV788" s="326"/>
      <c r="AW788" s="326"/>
      <c r="AX788" s="326"/>
      <c r="AY788" s="326"/>
      <c r="AZ788" s="326"/>
      <c r="BA788" s="326"/>
      <c r="BB788" s="326"/>
      <c r="BC788" s="326"/>
      <c r="BD788" s="326"/>
      <c r="BE788" s="326"/>
      <c r="BF788" s="326"/>
      <c r="BG788" s="326"/>
      <c r="BH788" s="326"/>
      <c r="BI788" s="327" t="str">
        <f>IF(E788="","",E788)</f>
        <v/>
      </c>
      <c r="BJ788" s="328" t="str">
        <f>IF(F794="","",F794)</f>
        <v/>
      </c>
      <c r="BK788" s="329">
        <f>AV794</f>
        <v>0</v>
      </c>
      <c r="BL788" s="329">
        <f>IF(BK788="","",BK788*(1-BP788))</f>
        <v>0</v>
      </c>
      <c r="BM788" s="328" t="str">
        <f>AJ794</f>
        <v/>
      </c>
      <c r="BN788" s="328" t="str">
        <f>IF(F805="","",F805)</f>
        <v/>
      </c>
      <c r="BO788" s="327" t="str">
        <f>IF(G805="","",G805)</f>
        <v/>
      </c>
      <c r="BP788" s="330">
        <f>AV805</f>
        <v>0</v>
      </c>
      <c r="BQ788" s="328" t="str">
        <f>IF(F797="","",F797)</f>
        <v/>
      </c>
      <c r="BR788" s="330">
        <f>AV797</f>
        <v>0</v>
      </c>
      <c r="BS788" s="330" t="str">
        <f>AJ797</f>
        <v/>
      </c>
      <c r="BT788" s="328" t="str">
        <f>IF(F796="","",F796)</f>
        <v/>
      </c>
      <c r="BU788" s="330">
        <f>IF(F796=EUconst_NA,"",AV796)</f>
        <v>0</v>
      </c>
      <c r="BV788" s="330" t="str">
        <f>AJ796</f>
        <v/>
      </c>
      <c r="BW788" s="328" t="str">
        <f>IF(F798="","",F798)</f>
        <v/>
      </c>
      <c r="BX788" s="330">
        <f>AV798</f>
        <v>0</v>
      </c>
      <c r="BY788" s="328" t="str">
        <f>IF(F799="","",F799)</f>
        <v/>
      </c>
      <c r="BZ788" s="330">
        <f>AV799</f>
        <v>0</v>
      </c>
      <c r="CA788" s="330">
        <f>AV800</f>
        <v>0</v>
      </c>
      <c r="CB788" s="330">
        <f>AV801</f>
        <v>0</v>
      </c>
      <c r="CC788" s="330">
        <f>AV802</f>
        <v>0</v>
      </c>
      <c r="CD788" s="330">
        <f>AV803</f>
        <v>0</v>
      </c>
      <c r="CE788" s="329" t="str">
        <f>BG794</f>
        <v/>
      </c>
      <c r="CF788" s="329" t="str">
        <f>BG796</f>
        <v/>
      </c>
      <c r="CG788" s="329" t="str">
        <f>BG797</f>
        <v/>
      </c>
      <c r="CH788" s="329" t="str">
        <f>BG798</f>
        <v/>
      </c>
      <c r="CI788" s="329" t="str">
        <f>BG799</f>
        <v/>
      </c>
      <c r="CJ788" s="329" t="str">
        <f>BG800</f>
        <v/>
      </c>
      <c r="CK788" s="329" t="str">
        <f>BG801</f>
        <v/>
      </c>
      <c r="CL788" s="329">
        <f>BG802</f>
        <v>0</v>
      </c>
      <c r="CM788" s="329" t="str">
        <f>BG803</f>
        <v/>
      </c>
      <c r="CN788" s="329" t="str">
        <f>BG805</f>
        <v/>
      </c>
      <c r="CO788" s="329" t="str">
        <f>BG809</f>
        <v/>
      </c>
      <c r="CP788" s="329" t="str">
        <f>IF(COUNTIF(AO797:AO798,TRUE)=0,"",BH794)</f>
        <v/>
      </c>
      <c r="CQ788" s="331" t="b">
        <v>0</v>
      </c>
    </row>
    <row r="789" spans="1:95" ht="15" customHeight="1" thickBot="1" x14ac:dyDescent="0.3">
      <c r="A789" s="307"/>
      <c r="B789" s="68"/>
      <c r="C789" s="68"/>
      <c r="D789" s="68"/>
      <c r="E789" s="1274" t="str">
        <f>IF(ISBLANK(E788),"",IF(INDEX(B_IdentifyFuelStreams!$E$67:$E$116,MATCH(U787,B_IdentifyFuelStreams!$D$67:$D$116,0))&gt;0,INDEX(B_IdentifyFuelStreams!$E$67:$E$116,MATCH(U787,B_IdentifyFuelStreams!$D$67:$D$116,0)),""))</f>
        <v/>
      </c>
      <c r="F789" s="1275"/>
      <c r="G789" s="1275"/>
      <c r="H789" s="1275"/>
      <c r="I789" s="1275"/>
      <c r="J789" s="1276"/>
      <c r="K789" s="1272" t="str">
        <f>IF(INDEX(B_IdentifyFuelStreams!$M$125:$M$174,MATCH(U787,B_IdentifyFuelStreams!$D$125:$D$174,0))&gt;0,INDEX(B_IdentifyFuelStreams!$M$125:$M$174,MATCH(U787,B_IdentifyFuelStreams!$D$125:$D$174,0)),"")</f>
        <v/>
      </c>
      <c r="L789" s="1273"/>
      <c r="M789" s="332" t="str">
        <f>Translations!$B$622</f>
        <v>zero-rated:</v>
      </c>
      <c r="N789" s="333" t="str">
        <f>IF(E789="","",SUM(BG796,BG798,BG800))</f>
        <v/>
      </c>
      <c r="O789" s="334" t="str">
        <f>EUconst_tCO2</f>
        <v>tCO2</v>
      </c>
      <c r="P789" s="109"/>
      <c r="Q789" s="325" t="str">
        <f>EUconst_SumBioCO2</f>
        <v>SUM_bioCO2</v>
      </c>
      <c r="R789" s="312"/>
      <c r="S789" s="287"/>
      <c r="T789" s="287"/>
      <c r="U789" s="287"/>
      <c r="V789" s="301"/>
      <c r="W789" s="138"/>
      <c r="X789" s="293"/>
      <c r="Y789" s="317" t="str">
        <f>Translations!$B$143</f>
        <v>Tiers</v>
      </c>
      <c r="Z789" s="314"/>
      <c r="AA789" s="314"/>
      <c r="AB789" s="314"/>
      <c r="AC789" s="314"/>
      <c r="AD789" s="314"/>
      <c r="AE789" s="317" t="s">
        <v>108</v>
      </c>
      <c r="AF789" s="293"/>
      <c r="AG789" s="335"/>
      <c r="AH789" s="314"/>
      <c r="AI789" s="314"/>
      <c r="AJ789" s="335"/>
      <c r="AK789" s="335"/>
      <c r="AL789" s="326"/>
      <c r="AM789" s="326"/>
      <c r="AN789" s="326"/>
      <c r="AO789" s="326"/>
      <c r="AP789" s="326"/>
      <c r="AQ789" s="317" t="s">
        <v>109</v>
      </c>
      <c r="AR789" s="336"/>
      <c r="AS789" s="336"/>
      <c r="AT789" s="314"/>
      <c r="AU789" s="314"/>
      <c r="AV789" s="314"/>
      <c r="AW789" s="314"/>
      <c r="AX789" s="314"/>
      <c r="AY789" s="314"/>
      <c r="AZ789" s="317" t="s">
        <v>110</v>
      </c>
      <c r="BA789" s="314"/>
      <c r="BB789" s="314"/>
      <c r="BC789" s="314"/>
      <c r="BD789" s="314"/>
      <c r="BE789" s="314"/>
      <c r="BF789" s="317" t="s">
        <v>111</v>
      </c>
      <c r="BG789" s="314"/>
      <c r="BH789" s="314"/>
      <c r="BI789" s="317" t="s">
        <v>112</v>
      </c>
      <c r="BJ789" s="328" t="str">
        <f>Translations!$B$376</f>
        <v>RFA Tier</v>
      </c>
      <c r="BK789" s="328" t="str">
        <f>Translations!$B$377</f>
        <v>RFA</v>
      </c>
      <c r="BL789" s="328" t="str">
        <f>Translations!$B$378</f>
        <v>RFA (in scope)</v>
      </c>
      <c r="BM789" s="328" t="str">
        <f>Translations!$B$379</f>
        <v>RFA Unit</v>
      </c>
      <c r="BN789" s="328" t="str">
        <f>Translations!$B$380</f>
        <v>SF Tier</v>
      </c>
      <c r="BO789" s="328" t="str">
        <f>Translations!$B$380</f>
        <v>SF Tier</v>
      </c>
      <c r="BP789" s="328" t="str">
        <f>Translations!$B$381</f>
        <v>SF</v>
      </c>
      <c r="BQ789" s="328" t="str">
        <f>Translations!$B$382</f>
        <v>EF Tier</v>
      </c>
      <c r="BR789" s="328" t="str">
        <f>Translations!$B$383</f>
        <v>EF</v>
      </c>
      <c r="BS789" s="328" t="str">
        <f>Translations!$B$384</f>
        <v>EF Unit</v>
      </c>
      <c r="BT789" s="328" t="str">
        <f>Translations!$B$385</f>
        <v>UCF Tier</v>
      </c>
      <c r="BU789" s="328" t="str">
        <f>Translations!$B$386</f>
        <v>UCF</v>
      </c>
      <c r="BV789" s="328" t="str">
        <f>Translations!$B$387</f>
        <v>UCF Unit</v>
      </c>
      <c r="BW789" s="328" t="str">
        <f>Translations!$B$388</f>
        <v>Bio Tier</v>
      </c>
      <c r="BX789" s="328" t="s">
        <v>113</v>
      </c>
      <c r="BY789" s="328" t="str">
        <f>Translations!$B$389</f>
        <v>NonSustBio Tier</v>
      </c>
      <c r="BZ789" s="328" t="s">
        <v>114</v>
      </c>
      <c r="CA789" s="328" t="s">
        <v>115</v>
      </c>
      <c r="CB789" s="328" t="s">
        <v>116</v>
      </c>
      <c r="CC789" s="328" t="s">
        <v>117</v>
      </c>
      <c r="CD789" s="328" t="s">
        <v>118</v>
      </c>
      <c r="CE789" s="328" t="s">
        <v>119</v>
      </c>
      <c r="CF789" s="328" t="s">
        <v>120</v>
      </c>
      <c r="CG789" s="328" t="str">
        <f>Translations!$B$392</f>
        <v>CO2 non-sust</v>
      </c>
      <c r="CH789" s="328" t="s">
        <v>121</v>
      </c>
      <c r="CI789" s="328" t="s">
        <v>122</v>
      </c>
      <c r="CJ789" s="328" t="s">
        <v>123</v>
      </c>
      <c r="CK789" s="328" t="s">
        <v>124</v>
      </c>
      <c r="CL789" s="328" t="s">
        <v>125</v>
      </c>
      <c r="CM789" s="328" t="str">
        <f>Translations!$B$551</f>
        <v>Energy content (bio), TJ</v>
      </c>
      <c r="CN789" s="328" t="s">
        <v>126</v>
      </c>
      <c r="CO789" s="328" t="s">
        <v>127</v>
      </c>
      <c r="CP789" s="328" t="s">
        <v>128</v>
      </c>
      <c r="CQ789" s="314"/>
    </row>
    <row r="790" spans="1:95" ht="5.15" customHeight="1" thickBot="1" x14ac:dyDescent="0.3">
      <c r="A790" s="307"/>
      <c r="B790" s="68"/>
      <c r="C790" s="68"/>
      <c r="D790" s="68"/>
      <c r="E790" s="68"/>
      <c r="F790" s="68"/>
      <c r="G790" s="68"/>
      <c r="H790" s="76"/>
      <c r="I790" s="76"/>
      <c r="J790" s="76"/>
      <c r="K790" s="76"/>
      <c r="L790" s="76"/>
      <c r="M790" s="76"/>
      <c r="N790" s="76"/>
      <c r="O790" s="160"/>
      <c r="P790" s="109"/>
      <c r="Q790" s="312"/>
      <c r="R790" s="312"/>
      <c r="S790" s="287"/>
      <c r="T790" s="287"/>
      <c r="U790" s="287"/>
      <c r="V790" s="301"/>
      <c r="W790" s="314"/>
      <c r="X790" s="314"/>
      <c r="Y790" s="312"/>
      <c r="Z790" s="314"/>
      <c r="AA790" s="314"/>
      <c r="AB790" s="314"/>
      <c r="AC790" s="314"/>
      <c r="AD790" s="314"/>
      <c r="AE790" s="314"/>
      <c r="AF790" s="293"/>
      <c r="AG790" s="314"/>
      <c r="AH790" s="314"/>
      <c r="AI790" s="314"/>
      <c r="AJ790" s="335"/>
      <c r="AK790" s="335"/>
      <c r="AL790" s="326"/>
      <c r="AM790" s="326"/>
      <c r="AN790" s="326"/>
      <c r="AO790" s="326"/>
      <c r="AP790" s="326"/>
      <c r="AQ790" s="314"/>
      <c r="AR790" s="314"/>
      <c r="AS790" s="314"/>
      <c r="AT790" s="314"/>
      <c r="AU790" s="314"/>
      <c r="AV790" s="314"/>
      <c r="AW790" s="314"/>
      <c r="AX790" s="314"/>
      <c r="AY790" s="314"/>
      <c r="AZ790" s="314"/>
      <c r="BA790" s="314"/>
      <c r="BB790" s="314"/>
      <c r="BC790" s="314"/>
      <c r="BD790" s="314"/>
      <c r="BE790" s="314"/>
      <c r="BF790" s="314"/>
      <c r="BG790" s="314"/>
      <c r="BH790" s="314"/>
      <c r="BI790" s="314"/>
      <c r="BJ790" s="314"/>
      <c r="BK790" s="314"/>
      <c r="BL790" s="314"/>
      <c r="BM790" s="314"/>
      <c r="BN790" s="314"/>
      <c r="BO790" s="314"/>
      <c r="BP790" s="314"/>
      <c r="BQ790" s="314"/>
      <c r="BR790" s="314"/>
      <c r="BS790" s="314"/>
      <c r="BT790" s="314"/>
      <c r="BU790" s="314"/>
      <c r="BV790" s="314"/>
      <c r="BW790" s="314"/>
      <c r="BX790" s="314"/>
      <c r="BY790" s="314"/>
      <c r="BZ790" s="314"/>
      <c r="CA790" s="314"/>
      <c r="CB790" s="314"/>
      <c r="CC790" s="314"/>
      <c r="CD790" s="314"/>
      <c r="CE790" s="314"/>
      <c r="CF790" s="314"/>
      <c r="CG790" s="314"/>
      <c r="CH790" s="314"/>
      <c r="CI790" s="314"/>
      <c r="CJ790" s="314"/>
      <c r="CK790" s="314"/>
      <c r="CL790" s="314"/>
      <c r="CM790" s="314"/>
      <c r="CN790" s="314"/>
      <c r="CO790" s="314"/>
      <c r="CP790" s="314"/>
      <c r="CQ790" s="314"/>
    </row>
    <row r="791" spans="1:95" ht="12.75" customHeight="1" thickBot="1" x14ac:dyDescent="0.3">
      <c r="A791" s="307"/>
      <c r="B791" s="68"/>
      <c r="C791" s="68"/>
      <c r="D791" s="68"/>
      <c r="E791" s="1253" t="str">
        <f>IF(E788="","",HYPERLINK("#JUMP_E_Top",EUconst_FurtherGuidancePoint1))</f>
        <v/>
      </c>
      <c r="F791" s="1253"/>
      <c r="G791" s="1253"/>
      <c r="H791" s="1253"/>
      <c r="I791" s="1253"/>
      <c r="J791" s="1253"/>
      <c r="K791" s="1253"/>
      <c r="L791" s="1253"/>
      <c r="M791" s="1253"/>
      <c r="N791" s="76"/>
      <c r="O791" s="160"/>
      <c r="P791" s="109"/>
      <c r="Q791" s="325" t="str">
        <f>EUconst_SumNonSustBioCO2</f>
        <v>SUM_bioNonSustCO2</v>
      </c>
      <c r="R791" s="337" t="str">
        <f>IF(E789="","",BG797)</f>
        <v/>
      </c>
      <c r="S791" s="287"/>
      <c r="T791" s="287"/>
      <c r="U791" s="287"/>
      <c r="V791" s="314"/>
      <c r="W791" s="314"/>
      <c r="X791" s="314"/>
      <c r="Y791" s="293"/>
      <c r="Z791" s="314"/>
      <c r="AA791" s="314"/>
      <c r="AB791" s="314"/>
      <c r="AC791" s="314"/>
      <c r="AD791" s="314"/>
      <c r="AE791" s="314"/>
      <c r="AF791" s="293"/>
      <c r="AG791" s="314"/>
      <c r="AH791" s="314"/>
      <c r="AI791" s="314"/>
      <c r="AJ791" s="335"/>
      <c r="AK791" s="335"/>
      <c r="AL791" s="326"/>
      <c r="AM791" s="326"/>
      <c r="AN791" s="326"/>
      <c r="AO791" s="326"/>
      <c r="AP791" s="326"/>
      <c r="AQ791" s="314"/>
      <c r="AR791" s="314"/>
      <c r="AS791" s="314"/>
      <c r="AT791" s="314"/>
      <c r="AU791" s="314"/>
      <c r="AV791" s="314"/>
      <c r="AW791" s="314"/>
      <c r="AX791" s="314"/>
      <c r="AY791" s="314"/>
      <c r="AZ791" s="314"/>
      <c r="BA791" s="314"/>
      <c r="BB791" s="314"/>
      <c r="BC791" s="314"/>
      <c r="BD791" s="314"/>
      <c r="BE791" s="314"/>
      <c r="BF791" s="314"/>
      <c r="BG791" s="314"/>
      <c r="BH791" s="314"/>
      <c r="BI791" s="317" t="s">
        <v>129</v>
      </c>
      <c r="BJ791" s="336"/>
      <c r="BK791" s="327" t="str">
        <f>IF(G809="","",G809)</f>
        <v/>
      </c>
      <c r="BL791" s="327" t="str">
        <f>IF(I809="","",I809)</f>
        <v/>
      </c>
      <c r="BM791" s="327" t="str">
        <f>IF(K809="","",K809)</f>
        <v/>
      </c>
      <c r="BN791" s="314"/>
      <c r="BO791" s="314"/>
      <c r="BP791" s="314"/>
      <c r="BQ791" s="314"/>
      <c r="BR791" s="314"/>
      <c r="BS791" s="314"/>
      <c r="BT791" s="319"/>
      <c r="BU791" s="314"/>
      <c r="BV791" s="314"/>
      <c r="BW791" s="314"/>
      <c r="BX791" s="314"/>
      <c r="BY791" s="314"/>
      <c r="BZ791" s="314"/>
      <c r="CA791" s="314"/>
      <c r="CB791" s="314"/>
      <c r="CC791" s="314"/>
      <c r="CD791" s="314"/>
      <c r="CE791" s="314"/>
      <c r="CF791" s="314"/>
      <c r="CG791" s="314"/>
      <c r="CH791" s="314"/>
      <c r="CI791" s="314"/>
      <c r="CJ791" s="314"/>
      <c r="CK791" s="314"/>
      <c r="CL791" s="314"/>
      <c r="CM791" s="314"/>
      <c r="CN791" s="314"/>
      <c r="CO791" s="314"/>
      <c r="CP791" s="314"/>
      <c r="CQ791" s="314"/>
    </row>
    <row r="792" spans="1:95" ht="5.15" customHeight="1" thickBot="1" x14ac:dyDescent="0.3">
      <c r="A792" s="307"/>
      <c r="B792" s="68"/>
      <c r="C792" s="68"/>
      <c r="D792" s="68"/>
      <c r="E792" s="68"/>
      <c r="F792" s="68"/>
      <c r="G792" s="68"/>
      <c r="H792" s="76"/>
      <c r="I792" s="76"/>
      <c r="J792" s="76"/>
      <c r="K792" s="76"/>
      <c r="L792" s="76"/>
      <c r="M792" s="76"/>
      <c r="N792" s="76"/>
      <c r="O792" s="160"/>
      <c r="P792" s="111"/>
      <c r="Q792" s="287"/>
      <c r="R792" s="111"/>
      <c r="S792" s="287"/>
      <c r="T792" s="287"/>
      <c r="U792" s="287"/>
      <c r="V792" s="314"/>
      <c r="W792" s="314"/>
      <c r="X792" s="314"/>
      <c r="Y792" s="312"/>
      <c r="Z792" s="314"/>
      <c r="AA792" s="314"/>
      <c r="AB792" s="314"/>
      <c r="AC792" s="314"/>
      <c r="AD792" s="314"/>
      <c r="AE792" s="314"/>
      <c r="AF792" s="293"/>
      <c r="AG792" s="314"/>
      <c r="AH792" s="314"/>
      <c r="AI792" s="314"/>
      <c r="AJ792" s="335"/>
      <c r="AK792" s="335"/>
      <c r="AL792" s="326"/>
      <c r="AM792" s="326"/>
      <c r="AN792" s="326"/>
      <c r="AO792" s="326"/>
      <c r="AP792" s="326"/>
      <c r="AQ792" s="314"/>
      <c r="AR792" s="314"/>
      <c r="AS792" s="314"/>
      <c r="AT792" s="314"/>
      <c r="AU792" s="314"/>
      <c r="AV792" s="314"/>
      <c r="AW792" s="314"/>
      <c r="AX792" s="314"/>
      <c r="AY792" s="314"/>
      <c r="AZ792" s="314"/>
      <c r="BA792" s="314"/>
      <c r="BB792" s="314"/>
      <c r="BC792" s="314"/>
      <c r="BD792" s="314"/>
      <c r="BE792" s="314"/>
      <c r="BF792" s="314"/>
      <c r="BG792" s="314"/>
      <c r="BH792" s="314"/>
      <c r="BI792" s="314"/>
      <c r="BJ792" s="314"/>
      <c r="BK792" s="314"/>
      <c r="BL792" s="314"/>
      <c r="BM792" s="314"/>
      <c r="BN792" s="314"/>
      <c r="BO792" s="314"/>
      <c r="BP792" s="314"/>
      <c r="BQ792" s="314"/>
      <c r="BR792" s="314"/>
      <c r="BS792" s="314"/>
      <c r="BT792" s="314"/>
      <c r="BU792" s="314"/>
      <c r="BV792" s="314"/>
      <c r="BW792" s="314"/>
      <c r="BX792" s="314"/>
      <c r="BY792" s="314"/>
      <c r="BZ792" s="314"/>
      <c r="CA792" s="314"/>
      <c r="CB792" s="314"/>
      <c r="CC792" s="314"/>
      <c r="CD792" s="314"/>
      <c r="CE792" s="314"/>
      <c r="CF792" s="314"/>
      <c r="CG792" s="314"/>
      <c r="CH792" s="314"/>
      <c r="CI792" s="314"/>
      <c r="CJ792" s="314"/>
      <c r="CK792" s="314"/>
      <c r="CL792" s="314"/>
      <c r="CM792" s="314"/>
      <c r="CN792" s="314"/>
      <c r="CO792" s="314"/>
      <c r="CP792" s="314"/>
      <c r="CQ792" s="314"/>
    </row>
    <row r="793" spans="1:95" ht="12.75" customHeight="1" thickBot="1" x14ac:dyDescent="0.3">
      <c r="A793" s="307"/>
      <c r="B793" s="68"/>
      <c r="C793" s="68"/>
      <c r="D793" s="68"/>
      <c r="E793" s="68"/>
      <c r="F793" s="338" t="str">
        <f>Translations!$B$127</f>
        <v>Tier</v>
      </c>
      <c r="G793" s="1254" t="str">
        <f>Translations!$B$393</f>
        <v>tier description</v>
      </c>
      <c r="H793" s="1254"/>
      <c r="I793" s="1255" t="str">
        <f>Translations!$B$394</f>
        <v>Unit</v>
      </c>
      <c r="J793" s="1255"/>
      <c r="K793" s="1255" t="str">
        <f>Translations!$B$395</f>
        <v>Value</v>
      </c>
      <c r="L793" s="1255"/>
      <c r="M793" s="205" t="str">
        <f>Translations!$B$396</f>
        <v>error</v>
      </c>
      <c r="N793" s="76"/>
      <c r="O793" s="160"/>
      <c r="P793" s="339"/>
      <c r="Q793" s="325" t="str">
        <f>EUconst_SumEnergyIN</f>
        <v>SUM_EnergyIN</v>
      </c>
      <c r="R793" s="340" t="str">
        <f>IF(E789="","",BG802)</f>
        <v/>
      </c>
      <c r="S793" s="314"/>
      <c r="T793" s="314"/>
      <c r="U793" s="314"/>
      <c r="V793" s="341" t="s">
        <v>130</v>
      </c>
      <c r="W793" s="314"/>
      <c r="X793" s="314"/>
      <c r="Y793" s="312" t="s">
        <v>131</v>
      </c>
      <c r="Z793" s="312" t="s">
        <v>132</v>
      </c>
      <c r="AA793" s="314"/>
      <c r="AB793" s="314"/>
      <c r="AC793" s="336" t="s">
        <v>133</v>
      </c>
      <c r="AD793" s="314"/>
      <c r="AE793" s="314"/>
      <c r="AF793" s="314" t="s">
        <v>134</v>
      </c>
      <c r="AG793" s="314" t="s">
        <v>135</v>
      </c>
      <c r="AH793" s="312" t="s">
        <v>136</v>
      </c>
      <c r="AI793" s="335" t="s">
        <v>137</v>
      </c>
      <c r="AJ793" s="335" t="s">
        <v>138</v>
      </c>
      <c r="AK793" s="342" t="s">
        <v>139</v>
      </c>
      <c r="AL793" s="326"/>
      <c r="AM793" s="326"/>
      <c r="AN793" s="326"/>
      <c r="AO793" s="326"/>
      <c r="AP793" s="326"/>
      <c r="AQ793" s="314"/>
      <c r="AR793" s="314" t="s">
        <v>134</v>
      </c>
      <c r="AS793" s="314" t="s">
        <v>135</v>
      </c>
      <c r="AT793" s="343" t="s">
        <v>140</v>
      </c>
      <c r="AU793" s="335" t="s">
        <v>141</v>
      </c>
      <c r="AV793" s="335" t="s">
        <v>142</v>
      </c>
      <c r="AW793" s="342" t="s">
        <v>139</v>
      </c>
      <c r="AX793" s="342" t="s">
        <v>139</v>
      </c>
      <c r="AY793" s="314"/>
      <c r="AZ793" s="314"/>
      <c r="BA793" s="314"/>
      <c r="BB793" s="314" t="s">
        <v>143</v>
      </c>
      <c r="BC793" s="314"/>
      <c r="BD793" s="314"/>
      <c r="BE793" s="314"/>
      <c r="BF793" s="314"/>
      <c r="BG793" s="319" t="s">
        <v>144</v>
      </c>
      <c r="BH793" s="314" t="s">
        <v>145</v>
      </c>
      <c r="BI793" s="314"/>
      <c r="BJ793" s="314"/>
      <c r="BK793" s="314"/>
      <c r="BL793" s="314"/>
      <c r="BM793" s="314"/>
      <c r="BN793" s="314"/>
      <c r="BO793" s="314"/>
      <c r="BP793" s="314"/>
      <c r="BQ793" s="314"/>
      <c r="BR793" s="314"/>
      <c r="BS793" s="314"/>
      <c r="BT793" s="314"/>
      <c r="BU793" s="314"/>
      <c r="BV793" s="314"/>
      <c r="BW793" s="314"/>
      <c r="BX793" s="314"/>
      <c r="BY793" s="314"/>
      <c r="BZ793" s="314"/>
      <c r="CA793" s="314"/>
      <c r="CB793" s="314"/>
      <c r="CC793" s="314"/>
      <c r="CD793" s="314"/>
      <c r="CE793" s="314"/>
      <c r="CF793" s="314"/>
      <c r="CG793" s="314"/>
      <c r="CH793" s="314"/>
      <c r="CI793" s="314"/>
      <c r="CJ793" s="314"/>
      <c r="CK793" s="314"/>
      <c r="CL793" s="314"/>
      <c r="CM793" s="314"/>
      <c r="CN793" s="314"/>
      <c r="CO793" s="314"/>
      <c r="CP793" s="314"/>
      <c r="CQ793" s="319" t="s">
        <v>107</v>
      </c>
    </row>
    <row r="794" spans="1:95" ht="12.75" customHeight="1" thickBot="1" x14ac:dyDescent="0.3">
      <c r="A794" s="307"/>
      <c r="B794" s="68"/>
      <c r="C794" s="199" t="s">
        <v>12</v>
      </c>
      <c r="D794" s="344" t="str">
        <f>Translations!$B$356</f>
        <v>RFA:</v>
      </c>
      <c r="E794" s="345"/>
      <c r="F794" s="6"/>
      <c r="G794" s="1256" t="str">
        <f>IF(OR(ISBLANK(F794),F794=EUconst_NoTier),"",IF(Z794=0,EUconst_NA,IF(ISERROR(Z794),"",Z794)))</f>
        <v/>
      </c>
      <c r="H794" s="1257"/>
      <c r="I794" s="346" t="str">
        <f>IF(J794&lt;&gt;"","",AI794)</f>
        <v/>
      </c>
      <c r="J794" s="7"/>
      <c r="K794" s="1258"/>
      <c r="L794" s="1259"/>
      <c r="M794" s="347" t="str">
        <f>IF(AND(E789&lt;&gt;"",OR(F794="",COUNT(K794)=0),Y794&lt;&gt;EUconst_NA),EUconst_ERR_Incomplete,"")</f>
        <v/>
      </c>
      <c r="N794" s="76"/>
      <c r="O794" s="160"/>
      <c r="P794" s="348"/>
      <c r="Q794" s="325" t="str">
        <f>EUconst_SumBioEnergyIN</f>
        <v>SUM_BioEnergyIN</v>
      </c>
      <c r="R794" s="340" t="str">
        <f>IF(E789="","",BG803)</f>
        <v/>
      </c>
      <c r="S794" s="314"/>
      <c r="T794" s="349" t="str">
        <f>EUconst_CNTR_ActivityData&amp;E789</f>
        <v>ActivityData_</v>
      </c>
      <c r="U794" s="312"/>
      <c r="V794" s="349" t="str">
        <f>IF(E788="","",INDEX(B_IdentifyFuelStreams!$I$67:$I$116,MATCH(U787,B_IdentifyFuelStreams!$D$67:$D$116,0)))</f>
        <v/>
      </c>
      <c r="W794" s="335" t="s">
        <v>146</v>
      </c>
      <c r="X794" s="312"/>
      <c r="Y794" s="350" t="str">
        <f>IF(E789="","",INDEX(EUwideConstants!$P$164:$P$200,MATCH(T794,EUwideConstants!$S$164:$S$200,0)))</f>
        <v/>
      </c>
      <c r="Z794" s="351" t="str">
        <f>IF(ISBLANK(F794),"",IF(F794=EUconst_NA,"",INDEX(EUwideConstants!$H:$O,MATCH(T794,EUwideConstants!$S:$S,0),MATCH(F794,CNTR_TierList,0))))</f>
        <v/>
      </c>
      <c r="AA794" s="352" t="s">
        <v>136</v>
      </c>
      <c r="AB794" s="335"/>
      <c r="AC794" s="331" t="b">
        <f>E788&lt;&gt;""</f>
        <v>0</v>
      </c>
      <c r="AD794" s="314"/>
      <c r="AE794" s="353" t="str">
        <f>EUconst_CNTR_ActivityData&amp;EUconst_Unit</f>
        <v>ActivityData_Unit</v>
      </c>
      <c r="AF794" s="354" t="str">
        <f>IF(AC794=TRUE, IF(COUNTIF(MSPara_SourceStreamCategory,V794)=0,"",INDEX(MSPara_CalcFactorsMatrix,MATCH(V794,MSPara_SourceStreamCategory,0),MATCH(AE794&amp;"_"&amp;2,MSPara_CalcFactors,0))),"")</f>
        <v/>
      </c>
      <c r="AG794" s="355" t="str">
        <f>IF(AC794=TRUE, IF(COUNTIF(MSPara_SourceStreamCategory,V794)=0,"",INDEX(MSPara_CalcFactorsMatrix,MATCH(V794,MSPara_SourceStreamCategory,0),MATCH(AE794&amp;"_"&amp;1,MSPara_CalcFactors,0))),"")</f>
        <v/>
      </c>
      <c r="AH794" s="331" t="str">
        <f>IF(OR(AF794="",AF794=EUconst_NA),IF(OR(AG794=EUconst_NA,AG794=""),"",AG794),AF794)</f>
        <v/>
      </c>
      <c r="AI794" s="350" t="str">
        <f>IF(AC794=TRUE,IF(AH794="",EUconst_t,AH794),"")</f>
        <v/>
      </c>
      <c r="AJ794" s="356" t="str">
        <f>IF(J794="",AI794,J794)</f>
        <v/>
      </c>
      <c r="AK794" s="357" t="b">
        <f>AND(E788&lt;&gt;"",J794&lt;&gt;"")</f>
        <v>0</v>
      </c>
      <c r="AL794" s="326"/>
      <c r="AM794" s="358" t="s">
        <v>147</v>
      </c>
      <c r="AN794" s="359" t="str">
        <f>AJ794</f>
        <v/>
      </c>
      <c r="AO794" s="326"/>
      <c r="AP794" s="326"/>
      <c r="AQ794" s="349" t="str">
        <f>EUconst_CNTR_ActivityData&amp;EUconst_Value</f>
        <v>ActivityData_Value</v>
      </c>
      <c r="AR794" s="336"/>
      <c r="AS794" s="336"/>
      <c r="AT794" s="331" t="b">
        <f>AND(AND(AH794&lt;&gt;"",AJ794&lt;&gt;""),AJ794=AH794)</f>
        <v>0</v>
      </c>
      <c r="AU794" s="314"/>
      <c r="AV794" s="331">
        <f>IF(Y794=EUconst_NA,0,IF(COUNT(K794:K794)=0,0,IF(K794="",#REF!,K794)))</f>
        <v>0</v>
      </c>
      <c r="AW794" s="360" t="b">
        <f>AND(AC794=TRUE,OR(K794&lt;&gt;"",AU794=""))</f>
        <v>0</v>
      </c>
      <c r="AX794" s="360" t="b">
        <f>AND(AC794=TRUE,NOT(AW794))</f>
        <v>0</v>
      </c>
      <c r="AY794" s="314"/>
      <c r="AZ794" s="314" t="s">
        <v>148</v>
      </c>
      <c r="BA794" s="314" t="s">
        <v>149</v>
      </c>
      <c r="BB794" s="360"/>
      <c r="BC794" s="314" t="s">
        <v>150</v>
      </c>
      <c r="BD794" s="314"/>
      <c r="BE794" s="314"/>
      <c r="BF794" s="361" t="s">
        <v>119</v>
      </c>
      <c r="BG794" s="362" t="str">
        <f>IF(COUNTIF(AO797:AO798,TRUE)=0,"",BH794*AV805)</f>
        <v/>
      </c>
      <c r="BH794" s="362" t="str">
        <f>IF(COUNTIF(AO797:AO798,TRUE)=0,"",AV794*IF(AO797,1,AV796*AN798)*AV797-BH796-BH798-BH800)</f>
        <v/>
      </c>
      <c r="BI794" s="314"/>
      <c r="BJ794" s="314"/>
      <c r="BK794" s="314"/>
      <c r="BL794" s="314"/>
      <c r="BM794" s="314"/>
      <c r="BN794" s="314"/>
      <c r="BO794" s="314"/>
      <c r="BP794" s="314"/>
      <c r="BQ794" s="314"/>
      <c r="BR794" s="314"/>
      <c r="BS794" s="314"/>
      <c r="BT794" s="314"/>
      <c r="BU794" s="314"/>
      <c r="BV794" s="314"/>
      <c r="BW794" s="314"/>
      <c r="BX794" s="314"/>
      <c r="BY794" s="314"/>
      <c r="BZ794" s="314"/>
      <c r="CA794" s="314"/>
      <c r="CB794" s="314"/>
      <c r="CC794" s="314"/>
      <c r="CD794" s="314"/>
      <c r="CE794" s="314"/>
      <c r="CF794" s="314"/>
      <c r="CG794" s="314"/>
      <c r="CH794" s="314"/>
      <c r="CI794" s="314"/>
      <c r="CJ794" s="314"/>
      <c r="CK794" s="314"/>
      <c r="CL794" s="314"/>
      <c r="CM794" s="314"/>
      <c r="CN794" s="314"/>
      <c r="CO794" s="314"/>
      <c r="CP794" s="314"/>
      <c r="CQ794" s="360" t="b">
        <v>0</v>
      </c>
    </row>
    <row r="795" spans="1:95" ht="5.15" customHeight="1" thickBot="1" x14ac:dyDescent="0.3">
      <c r="A795" s="307"/>
      <c r="B795" s="68"/>
      <c r="C795" s="199"/>
      <c r="D795" s="202"/>
      <c r="E795" s="76"/>
      <c r="F795" s="76"/>
      <c r="G795" s="76"/>
      <c r="H795" s="76" t="str">
        <f>Translations!$B$397</f>
        <v xml:space="preserve"> </v>
      </c>
      <c r="I795" s="162"/>
      <c r="J795" s="162"/>
      <c r="K795" s="76"/>
      <c r="L795" s="76"/>
      <c r="M795" s="363"/>
      <c r="N795" s="76"/>
      <c r="O795" s="160"/>
      <c r="P795" s="109"/>
      <c r="Q795" s="312"/>
      <c r="R795" s="312"/>
      <c r="S795" s="314"/>
      <c r="T795" s="62"/>
      <c r="U795" s="312"/>
      <c r="V795" s="314"/>
      <c r="W795" s="314"/>
      <c r="X795" s="312"/>
      <c r="Y795" s="319"/>
      <c r="Z795" s="314"/>
      <c r="AA795" s="314"/>
      <c r="AB795" s="314"/>
      <c r="AC795" s="314"/>
      <c r="AD795" s="314"/>
      <c r="AE795" s="314"/>
      <c r="AF795" s="314"/>
      <c r="AG795" s="314"/>
      <c r="AH795" s="314"/>
      <c r="AI795" s="314"/>
      <c r="AJ795" s="314"/>
      <c r="AK795" s="314"/>
      <c r="AL795" s="326"/>
      <c r="AM795" s="326"/>
      <c r="AN795" s="326"/>
      <c r="AO795" s="326"/>
      <c r="AP795" s="326"/>
      <c r="AQ795" s="314"/>
      <c r="AR795" s="314"/>
      <c r="AS795" s="314"/>
      <c r="AT795" s="314"/>
      <c r="AU795" s="314"/>
      <c r="AV795" s="314"/>
      <c r="AW795" s="314"/>
      <c r="AX795" s="314"/>
      <c r="AY795" s="314"/>
      <c r="AZ795" s="314"/>
      <c r="BA795" s="314"/>
      <c r="BB795" s="314"/>
      <c r="BC795" s="314"/>
      <c r="BD795" s="314"/>
      <c r="BE795" s="314"/>
      <c r="BF795" s="314"/>
      <c r="BG795" s="364"/>
      <c r="BH795" s="364"/>
      <c r="BI795" s="314"/>
      <c r="BJ795" s="314"/>
      <c r="BK795" s="314"/>
      <c r="BL795" s="314"/>
      <c r="BM795" s="314"/>
      <c r="BN795" s="314"/>
      <c r="BO795" s="314"/>
      <c r="BP795" s="314"/>
      <c r="BQ795" s="314"/>
      <c r="BR795" s="314"/>
      <c r="BS795" s="314"/>
      <c r="BT795" s="314"/>
      <c r="BU795" s="314"/>
      <c r="BV795" s="314"/>
      <c r="BW795" s="314"/>
      <c r="BX795" s="314"/>
      <c r="BY795" s="314"/>
      <c r="BZ795" s="314"/>
      <c r="CA795" s="314"/>
      <c r="CB795" s="314"/>
      <c r="CC795" s="314"/>
      <c r="CD795" s="314"/>
      <c r="CE795" s="314"/>
      <c r="CF795" s="314"/>
      <c r="CG795" s="314"/>
      <c r="CH795" s="314"/>
      <c r="CI795" s="314"/>
      <c r="CJ795" s="314"/>
      <c r="CK795" s="314"/>
      <c r="CL795" s="314"/>
      <c r="CM795" s="314"/>
      <c r="CN795" s="314"/>
      <c r="CO795" s="314"/>
      <c r="CP795" s="314"/>
      <c r="CQ795" s="319"/>
    </row>
    <row r="796" spans="1:95" ht="12.75" customHeight="1" x14ac:dyDescent="0.25">
      <c r="A796" s="307"/>
      <c r="B796" s="68"/>
      <c r="C796" s="199" t="s">
        <v>13</v>
      </c>
      <c r="D796" s="344" t="str">
        <f>Translations!$B$360</f>
        <v>UCF:</v>
      </c>
      <c r="E796" s="345"/>
      <c r="F796" s="10"/>
      <c r="G796" s="1256" t="str">
        <f>IF(OR(ISBLANK(F796),F796=EUconst_NoTier),"",IF(Z796=0,EUconst_NotApplicable,IF(ISERROR(Z796),"",Z796)))</f>
        <v/>
      </c>
      <c r="H796" s="1257"/>
      <c r="I796" s="365" t="str">
        <f>IF(J796&lt;&gt;"","",AI796)</f>
        <v/>
      </c>
      <c r="J796" s="11"/>
      <c r="K796" s="366" t="str">
        <f>IF(L796="",AU796,"")</f>
        <v/>
      </c>
      <c r="L796" s="23"/>
      <c r="M796" s="347" t="str">
        <f>IF(AND(E789&lt;&gt;"",OR(F796="",COUNT(K796:L796)=0),Y796&lt;&gt;EUconst_NA),EUconst_ERR_Incomplete,IF(COUNTIF(BB796:BD796,TRUE)&gt;0,EUconst_ERR_Inconsistent,""))</f>
        <v/>
      </c>
      <c r="N796" s="367"/>
      <c r="O796" s="160"/>
      <c r="P796" s="109"/>
      <c r="Q796" s="312"/>
      <c r="R796" s="312"/>
      <c r="S796" s="314"/>
      <c r="T796" s="368" t="str">
        <f>EUconst_CNTR_UCF&amp;E789</f>
        <v>UCF_</v>
      </c>
      <c r="U796" s="312"/>
      <c r="V796" s="369" t="str">
        <f>V797</f>
        <v/>
      </c>
      <c r="W796" s="314"/>
      <c r="X796" s="312"/>
      <c r="Y796" s="370" t="str">
        <f>IF(E789="","",IF(OR(F796=EUconst_NA,W796=TRUE),EUconst_NA,INDEX(EUwideConstants!$P$164:$P$200,MATCH(T796,EUwideConstants!$S$164:$S$200,0))))</f>
        <v/>
      </c>
      <c r="Z796" s="371" t="str">
        <f>IF(ISBLANK(F796),"",IF(F796=EUconst_NA,"",INDEX(EUwideConstants!$H:$O,MATCH(T796,EUwideConstants!$S:$S,0),MATCH(F796,CNTR_TierList,0))))</f>
        <v/>
      </c>
      <c r="AA796" s="372" t="str">
        <f>IF(COUNTIF(EUconst_DefaultValues,Z796)&gt;0,MATCH(Z796,EUconst_DefaultValues,0),"")</f>
        <v/>
      </c>
      <c r="AB796" s="314"/>
      <c r="AC796" s="373" t="b">
        <f>AND(AC794,Y796&lt;&gt;EUconst_NA)</f>
        <v>0</v>
      </c>
      <c r="AD796" s="314"/>
      <c r="AE796" s="353" t="str">
        <f>EUconst_CNTR_UCF&amp;EUconst_Unit</f>
        <v>UCF_Unit</v>
      </c>
      <c r="AF796" s="374" t="str">
        <f>IF(AC796=TRUE, IF(COUNTIF(MSPara_SourceStreamCategory,V796)=0,"",INDEX(MSPara_CalcFactorsMatrix,MATCH(V796,MSPara_SourceStreamCategory,0),MATCH(AE796&amp;"_"&amp;2,MSPara_CalcFactors,0))),"")</f>
        <v/>
      </c>
      <c r="AG796" s="375" t="str">
        <f>IF(AC796=TRUE, IF(COUNTIF(MSPara_SourceStreamCategory,V796)=0,"",INDEX(MSPara_CalcFactorsMatrix,MATCH(V796,MSPara_SourceStreamCategory,0),MATCH(AE796&amp;"_"&amp;1,MSPara_CalcFactors,0))),"")</f>
        <v/>
      </c>
      <c r="AH796" s="373" t="str">
        <f>IF(AA796="","",INDEX(AF796:AG796,3-AA796))</f>
        <v/>
      </c>
      <c r="AI796" s="373" t="str">
        <f>IF(AC796=TRUE,IF(OR(AH796="",AH796=EUconst_NA),EUconst_GJ&amp;"/"&amp;AJ794,AH796),"")</f>
        <v/>
      </c>
      <c r="AJ796" s="373" t="str">
        <f>IF(J796="",AI796,J796)</f>
        <v/>
      </c>
      <c r="AK796" s="369" t="b">
        <f>AND(E788&lt;&gt;"",J796&lt;&gt;"")</f>
        <v>0</v>
      </c>
      <c r="AL796" s="326"/>
      <c r="AM796" s="358" t="s">
        <v>151</v>
      </c>
      <c r="AN796" s="359" t="str">
        <f>IF(AJ796="",EUconst_NA,IF(AN794=EUconst_TJ,EUconst_TJ,INDEX(EUwideConstants!$C$135:$G$139,MATCH(AN794,RFAUnits,0),MATCH(AJ796,UCFUnits,0))))</f>
        <v>n.a.</v>
      </c>
      <c r="AO796" s="326"/>
      <c r="AP796" s="326"/>
      <c r="AQ796" s="376" t="str">
        <f>EUconst_CNTR_UCF&amp;EUconst_Value</f>
        <v>UCF_Value</v>
      </c>
      <c r="AR796" s="377" t="str">
        <f>IF(AC796=TRUE,IF(COUNTIF(MSPara_SourceStreamCategory,V796)=0,"",INDEX(MSPara_CalcFactorsMatrix,MATCH(V796,MSPara_SourceStreamCategory,0),MATCH(AQ796&amp;"_"&amp;2,MSPara_CalcFactors,0))),"")</f>
        <v/>
      </c>
      <c r="AS796" s="378" t="str">
        <f>IF(AC796=TRUE,IF(COUNTIF(MSPara_SourceStreamCategory,V796)=0,"",INDEX(MSPara_CalcFactorsMatrix,MATCH(V796,MSPara_SourceStreamCategory,0),MATCH(AQ796&amp;"_"&amp;1,MSPara_CalcFactors,0))),"")</f>
        <v/>
      </c>
      <c r="AT796" s="379" t="b">
        <f>AND(AND(AH796&lt;&gt;"",AJ796&lt;&gt;""),AJ796=AH796)</f>
        <v>0</v>
      </c>
      <c r="AU796" s="380" t="str">
        <f>IF(AND(AA796&lt;&gt;"",AT796=TRUE),IF(OR(INDEX(AR796:AS796,3-AA796)=EUconst_NA,INDEX(AR796:AS796,3-AA796)=0),"",INDEX(AR796:AS796,3-AA796)),"")</f>
        <v/>
      </c>
      <c r="AV796" s="373">
        <f>IF(AC796=TRUE,IF(COUNT(K796:L796)=0,0,IF(L796="",K796,L796)),0)</f>
        <v>0</v>
      </c>
      <c r="AW796" s="369" t="b">
        <f t="shared" ref="AW796:AW803" si="234">AND(AC796=TRUE,OR(AND(F796&lt;&gt;"",NOT(ISNUMBER(AA796))),L796&lt;&gt;"",F796="",AU796=""))</f>
        <v>0</v>
      </c>
      <c r="AX796" s="381" t="b">
        <f t="shared" ref="AX796:AX803" si="235">AND(AC796=TRUE,NOT(AW796))</f>
        <v>0</v>
      </c>
      <c r="AY796" s="314"/>
      <c r="AZ796" s="382" t="b">
        <f t="shared" ref="AZ796:AZ803" si="236">AND(ISNUMBER(AA796),AU796="")</f>
        <v>0</v>
      </c>
      <c r="BA796" s="383" t="b">
        <f t="shared" ref="BA796:BA803" si="237">AND(ISNUMBER(AA796),AU796&lt;&gt;AV796)</f>
        <v>0</v>
      </c>
      <c r="BB796" s="369" t="b">
        <f>AND(E789&lt;&gt;"",F796&lt;&gt;EUconst_NA,AN796=EUconst_NA)</f>
        <v>0</v>
      </c>
      <c r="BC796" s="369" t="b">
        <f t="shared" ref="BC796:BC803" si="238">AND(L796&lt;&gt;"",Y796=EUconst_NA)</f>
        <v>0</v>
      </c>
      <c r="BD796" s="314"/>
      <c r="BE796" s="314"/>
      <c r="BF796" s="382" t="s">
        <v>152</v>
      </c>
      <c r="BG796" s="384" t="str">
        <f>IF(COUNTIF(AO797:AO798,TRUE)=0,"",BH796*AV805)</f>
        <v/>
      </c>
      <c r="BH796" s="384" t="str">
        <f>IF(COUNTIF(AO797:AO798,TRUE)=0,"",AV794*IF(AO797,1,AV796*AN798)*AV797*AV798)</f>
        <v/>
      </c>
      <c r="BI796" s="314"/>
      <c r="BJ796" s="314"/>
      <c r="BK796" s="314"/>
      <c r="BL796" s="314"/>
      <c r="BM796" s="314"/>
      <c r="BN796" s="314"/>
      <c r="BO796" s="314"/>
      <c r="BP796" s="314"/>
      <c r="BQ796" s="314"/>
      <c r="BR796" s="314"/>
      <c r="BS796" s="314"/>
      <c r="BT796" s="314"/>
      <c r="BU796" s="314"/>
      <c r="BV796" s="314"/>
      <c r="BW796" s="314"/>
      <c r="BX796" s="314"/>
      <c r="BY796" s="314"/>
      <c r="BZ796" s="314"/>
      <c r="CA796" s="314"/>
      <c r="CB796" s="314"/>
      <c r="CC796" s="314"/>
      <c r="CD796" s="314"/>
      <c r="CE796" s="314"/>
      <c r="CF796" s="314"/>
      <c r="CG796" s="314"/>
      <c r="CH796" s="314"/>
      <c r="CI796" s="314"/>
      <c r="CJ796" s="314"/>
      <c r="CK796" s="314"/>
      <c r="CL796" s="314"/>
      <c r="CM796" s="314"/>
      <c r="CN796" s="314"/>
      <c r="CO796" s="314"/>
      <c r="CP796" s="314"/>
      <c r="CQ796" s="369" t="b">
        <f>OR(CQ794,Y796=EUconst_NA)</f>
        <v>0</v>
      </c>
    </row>
    <row r="797" spans="1:95" ht="12.75" customHeight="1" thickBot="1" x14ac:dyDescent="0.3">
      <c r="A797" s="307"/>
      <c r="B797" s="68"/>
      <c r="C797" s="199" t="s">
        <v>14</v>
      </c>
      <c r="D797" s="344" t="str">
        <f>Translations!$B$358</f>
        <v>(prelim) EF:</v>
      </c>
      <c r="E797" s="345"/>
      <c r="F797" s="59"/>
      <c r="G797" s="1256" t="str">
        <f>IF(OR(ISBLANK(F797),F797=EUconst_NoTier),"",IF(Z797=0,EUconst_NotApplicable,IF(ISERROR(Z797),"",Z797)))</f>
        <v/>
      </c>
      <c r="H797" s="1260"/>
      <c r="I797" s="385" t="str">
        <f>IF(J797&lt;&gt;"","",AI797)</f>
        <v/>
      </c>
      <c r="J797" s="22"/>
      <c r="K797" s="386" t="str">
        <f>IF(L797="",AU797,"")</f>
        <v/>
      </c>
      <c r="L797" s="58"/>
      <c r="M797" s="347" t="str">
        <f>IF(AND(E789&lt;&gt;"",OR(F797="",COUNT(K797:L797)=0),Y797&lt;&gt;EUconst_NA),EUconst_ERR_Incomplete,IF(COUNTIF(BB797:BD797,TRUE)&gt;0,EUconst_ERR_Inconsistent,""))</f>
        <v/>
      </c>
      <c r="N797" s="387"/>
      <c r="O797" s="160"/>
      <c r="P797" s="109"/>
      <c r="Q797" s="312"/>
      <c r="R797" s="312"/>
      <c r="S797" s="314"/>
      <c r="T797" s="388" t="str">
        <f>EUconst_CNTR_EF&amp;E789</f>
        <v>EF_</v>
      </c>
      <c r="U797" s="312"/>
      <c r="V797" s="389" t="str">
        <f>V794</f>
        <v/>
      </c>
      <c r="W797" s="314"/>
      <c r="X797" s="312"/>
      <c r="Y797" s="390" t="str">
        <f>IF(E789="","",IF(OR(F797=EUconst_NA,W797=TRUE),EUconst_NA,INDEX(EUwideConstants!$P$164:$P$200,MATCH(T797,EUwideConstants!$S$164:$S$200,0))))</f>
        <v/>
      </c>
      <c r="Z797" s="391" t="str">
        <f>IF(ISBLANK(F797),"",IF(F797=EUconst_NA,"",INDEX(EUwideConstants!$H:$O,MATCH(T797,EUwideConstants!$S:$S,0),MATCH(F797,CNTR_TierList,0))))</f>
        <v/>
      </c>
      <c r="AA797" s="392" t="str">
        <f>IF(COUNTIF(EUconst_DefaultValues,Z797)&gt;0,MATCH(Z797,EUconst_DefaultValues,0),"")</f>
        <v/>
      </c>
      <c r="AB797" s="314"/>
      <c r="AC797" s="393" t="b">
        <f>AND(AC794,Y797&lt;&gt;EUconst_NA)</f>
        <v>0</v>
      </c>
      <c r="AD797" s="314"/>
      <c r="AE797" s="394" t="str">
        <f>EUconst_CNTR_EF&amp;EUconst_Unit</f>
        <v>EF_Unit</v>
      </c>
      <c r="AF797" s="395" t="str">
        <f>IF(AC797=TRUE, IF(COUNTIF(MSPara_SourceStreamCategory,V797)=0,"",INDEX(MSPara_CalcFactorsMatrix,MATCH(V797,MSPara_SourceStreamCategory,0),MATCH(AE797&amp;"_"&amp;2,MSPara_CalcFactors,0))),"")</f>
        <v/>
      </c>
      <c r="AG797" s="396" t="str">
        <f>IF(AC797=TRUE, IF(COUNTIF(MSPara_SourceStreamCategory,V797)=0,"",INDEX(MSPara_CalcFactorsMatrix,MATCH(V797,MSPara_SourceStreamCategory,0),MATCH(AE797&amp;"_"&amp;1,MSPara_CalcFactors,0))),"")</f>
        <v/>
      </c>
      <c r="AH797" s="397" t="str">
        <f>IF(AA797="","",INDEX(AF797:AG797,3-AA797))</f>
        <v/>
      </c>
      <c r="AI797" s="397" t="str">
        <f>IF(AC797=TRUE,IF(OR(AH797="",AH797=EUconst_NA),EUconst_tCO2&amp;"/"&amp;IF(AN796=EUconst_NA,AN794,IF(AN796=EUconst_GJ,EUconst_TJ,AN796)),AH797),"")</f>
        <v/>
      </c>
      <c r="AJ797" s="397" t="str">
        <f>IF(J797="",AI797,J797)</f>
        <v/>
      </c>
      <c r="AK797" s="398" t="b">
        <f>AND(E789&lt;&gt;"",J797&lt;&gt;"")</f>
        <v>0</v>
      </c>
      <c r="AL797" s="326"/>
      <c r="AM797" s="358" t="s">
        <v>153</v>
      </c>
      <c r="AN797" s="359" t="str">
        <f>IF(COUNTIF(RFAUnits,AN794)=0,EUconst_NA,INDEX(EUwideConstants!$C$150:$H$154,MATCH(AJ797,EFUnits,0),MATCH(AN794,EUwideConstants!$C$149:$H$149,0)))</f>
        <v>n.a.</v>
      </c>
      <c r="AO797" s="359" t="b">
        <f>AN797&lt;&gt;EUconst_NA</f>
        <v>0</v>
      </c>
      <c r="AP797" s="326"/>
      <c r="AQ797" s="399" t="str">
        <f>EUconst_CNTR_EF&amp;EUconst_Value</f>
        <v>EF_Value</v>
      </c>
      <c r="AR797" s="400" t="str">
        <f>IF(AC797=TRUE,IF(COUNTIF(MSPara_SourceStreamCategory,V797)=0,"",INDEX(MSPara_CalcFactorsMatrix,MATCH(V797,MSPara_SourceStreamCategory,0),MATCH(AQ797&amp;"_"&amp;2,MSPara_CalcFactors,0))),"")</f>
        <v/>
      </c>
      <c r="AS797" s="401" t="str">
        <f>IF(AC797=TRUE,IF(COUNTIF(MSPara_SourceStreamCategory,V797)=0,"",INDEX(MSPara_CalcFactorsMatrix,MATCH(V797,MSPara_SourceStreamCategory,0),MATCH(AQ797&amp;"_"&amp;1,MSPara_CalcFactors,0))),"")</f>
        <v/>
      </c>
      <c r="AT797" s="402" t="b">
        <f>AND(AND(AH797&lt;&gt;"",AJ797&lt;&gt;""),AJ797=AH797)</f>
        <v>0</v>
      </c>
      <c r="AU797" s="403" t="str">
        <f>IF(AND(AA797&lt;&gt;"",AT797=TRUE),IF(OR(INDEX(AR797:AS797,3-AA797)=EUconst_NA,INDEX(AR797:AS797,3-AA797)=0),"",INDEX(AR797:AS797,3-AA797)),"")</f>
        <v/>
      </c>
      <c r="AV797" s="393">
        <f>IF(AC797=TRUE,IF(COUNT(K797:L797)=0,0,IF(L797="",K797,L797)),0)</f>
        <v>0</v>
      </c>
      <c r="AW797" s="389" t="b">
        <f t="shared" si="234"/>
        <v>0</v>
      </c>
      <c r="AX797" s="404" t="b">
        <f t="shared" si="235"/>
        <v>0</v>
      </c>
      <c r="AY797" s="314"/>
      <c r="AZ797" s="405" t="b">
        <f t="shared" si="236"/>
        <v>0</v>
      </c>
      <c r="BA797" s="406" t="b">
        <f t="shared" si="237"/>
        <v>0</v>
      </c>
      <c r="BB797" s="407" t="b">
        <f>AND(E789&lt;&gt;"",COUNTIF(AO797:AO798,TRUE)=0)</f>
        <v>0</v>
      </c>
      <c r="BC797" s="389" t="b">
        <f t="shared" si="238"/>
        <v>0</v>
      </c>
      <c r="BD797" s="314"/>
      <c r="BE797" s="314"/>
      <c r="BF797" s="408" t="s">
        <v>154</v>
      </c>
      <c r="BG797" s="409" t="str">
        <f>IF(COUNTIF(AO797:AO798,TRUE)=0,"",BH797*AV805)</f>
        <v/>
      </c>
      <c r="BH797" s="409" t="str">
        <f>IF(COUNTIF(AO797:AO798,TRUE)=0,"",AV794*IF(AO797,1,AV796*AN798)*AV797*AV799)</f>
        <v/>
      </c>
      <c r="BI797" s="314"/>
      <c r="BJ797" s="314"/>
      <c r="BK797" s="314"/>
      <c r="BL797" s="314"/>
      <c r="BM797" s="314"/>
      <c r="BN797" s="314"/>
      <c r="BO797" s="314"/>
      <c r="BP797" s="314"/>
      <c r="BQ797" s="314"/>
      <c r="BR797" s="314"/>
      <c r="BS797" s="314"/>
      <c r="BT797" s="314"/>
      <c r="BU797" s="314"/>
      <c r="BV797" s="314"/>
      <c r="BW797" s="314"/>
      <c r="BX797" s="314"/>
      <c r="BY797" s="314"/>
      <c r="BZ797" s="314"/>
      <c r="CA797" s="314"/>
      <c r="CB797" s="314"/>
      <c r="CC797" s="314"/>
      <c r="CD797" s="314"/>
      <c r="CE797" s="314"/>
      <c r="CF797" s="314"/>
      <c r="CG797" s="314"/>
      <c r="CH797" s="314"/>
      <c r="CI797" s="314"/>
      <c r="CJ797" s="314"/>
      <c r="CK797" s="314"/>
      <c r="CL797" s="314"/>
      <c r="CM797" s="314"/>
      <c r="CN797" s="314"/>
      <c r="CO797" s="314"/>
      <c r="CP797" s="314"/>
      <c r="CQ797" s="407" t="b">
        <f>OR(CQ794,Y797=EUconst_NA)</f>
        <v>0</v>
      </c>
    </row>
    <row r="798" spans="1:95" ht="12.75" customHeight="1" x14ac:dyDescent="0.25">
      <c r="A798" s="307"/>
      <c r="B798" s="68"/>
      <c r="C798" s="199" t="s">
        <v>15</v>
      </c>
      <c r="D798" s="344" t="str">
        <f>Translations!$B$362</f>
        <v>BioF:</v>
      </c>
      <c r="E798" s="345"/>
      <c r="F798" s="10"/>
      <c r="G798" s="1256" t="str">
        <f>IF(OR(ISBLANK(F798),F798=EUconst_NoTier),"",IF(Z798=0,EUconst_NotApplicable,IF(ISERROR(Z798),"",Z798)))</f>
        <v/>
      </c>
      <c r="H798" s="1257"/>
      <c r="I798" s="410" t="str">
        <f t="shared" ref="I798:I803" si="239">IF(OR(AC798=FALSE,Y798=EUconst_NA),"","-")</f>
        <v/>
      </c>
      <c r="J798" s="411"/>
      <c r="K798" s="412" t="str">
        <f>IF(L798="",AU798,"")</f>
        <v/>
      </c>
      <c r="L798" s="60"/>
      <c r="M798" s="347" t="str">
        <f>IF(AND(E789&lt;&gt;"",OR(F798="",COUNT(K798:L798)=0),Y798&lt;&gt;EUconst_NA),EUconst_ERR_Incomplete,IF(COUNTIF(BB798:BD798,TRUE)&gt;0,EUconst_ERR_Inconsistent,""))</f>
        <v/>
      </c>
      <c r="O798" s="160"/>
      <c r="P798" s="348"/>
      <c r="Q798" s="413"/>
      <c r="R798" s="413"/>
      <c r="S798" s="314"/>
      <c r="T798" s="388" t="str">
        <f>EUconst_CNTR_BiomassContent&amp;E789</f>
        <v>BioC_</v>
      </c>
      <c r="U798" s="312"/>
      <c r="V798" s="369" t="str">
        <f>V796</f>
        <v/>
      </c>
      <c r="W798" s="369" t="str">
        <f>IF(OR(V798="",COUNTIF(MSPara_SourceStreamCategory,V798)=0),"",INDEX(MSPara_IsFossil,MATCH(V798,MSPara_SourceStreamCategory,0)))</f>
        <v/>
      </c>
      <c r="X798" s="312"/>
      <c r="Y798" s="370" t="str">
        <f>IF(E789="","",IF(OR(F798=EUconst_NA,W798=TRUE),EUconst_NA,INDEX(EUwideConstants!$P$164:$P$200,MATCH(T798,EUwideConstants!$S$164:$S$200,0))))</f>
        <v/>
      </c>
      <c r="Z798" s="371" t="str">
        <f>IF(ISBLANK(F798),"",IF(F798=EUconst_NA,"",INDEX(EUwideConstants!$H:$O,MATCH(T798,EUwideConstants!$S:$S,0),MATCH(F798,CNTR_TierList,0))))</f>
        <v/>
      </c>
      <c r="AA798" s="414" t="str">
        <f>IF(F798=1,1,"")</f>
        <v/>
      </c>
      <c r="AB798" s="314"/>
      <c r="AC798" s="373" t="b">
        <f>AND(AC794,Y798&lt;&gt;EUconst_NA)</f>
        <v>0</v>
      </c>
      <c r="AD798" s="314"/>
      <c r="AE798" s="415"/>
      <c r="AF798" s="416"/>
      <c r="AG798" s="417"/>
      <c r="AH798" s="418"/>
      <c r="AI798" s="418"/>
      <c r="AJ798" s="418"/>
      <c r="AK798" s="419"/>
      <c r="AL798" s="326"/>
      <c r="AM798" s="358" t="s">
        <v>155</v>
      </c>
      <c r="AN798" s="359" t="str">
        <f>IF(AN796=EUconst_NA,EUconst_NA,INDEX(EUwideConstants!$C$150:$H$154,MATCH(AJ797,EFUnits,0),MATCH(AN796,EUwideConstants!$C$149:$H$149,0)))</f>
        <v>n.a.</v>
      </c>
      <c r="AO798" s="359" t="b">
        <f>AN798&lt;&gt;EUconst_NA</f>
        <v>0</v>
      </c>
      <c r="AP798" s="326"/>
      <c r="AQ798" s="376" t="str">
        <f>EUconst_CNTR_BiomassContent&amp;EUconst_Value</f>
        <v>BioC_Value</v>
      </c>
      <c r="AR798" s="420"/>
      <c r="AS798" s="378" t="str">
        <f t="shared" ref="AS798:AS803" si="240">IF(AC798=TRUE,IF(COUNTIF(MSPara_SourceStreamCategory,V798)=0,"",INDEX(MSPara_CalcFactorsMatrix,MATCH(V798,MSPara_SourceStreamCategory,0),MATCH(AQ798&amp;"_"&amp;2,MSPara_CalcFactors,0))),"")</f>
        <v/>
      </c>
      <c r="AT798" s="421"/>
      <c r="AU798" s="380" t="str">
        <f t="shared" ref="AU798:AU803" si="241">IF(OR(AA798="",AS798=EUconst_NA),"",AS798)</f>
        <v/>
      </c>
      <c r="AV798" s="373">
        <f>IF(AC798=TRUE,IF(COUNT(K798:L798)=0,0,IF(L798="",K798,L798)),0)</f>
        <v>0</v>
      </c>
      <c r="AW798" s="369" t="b">
        <f t="shared" si="234"/>
        <v>0</v>
      </c>
      <c r="AX798" s="381" t="b">
        <f t="shared" si="235"/>
        <v>0</v>
      </c>
      <c r="AY798" s="314"/>
      <c r="AZ798" s="382" t="b">
        <f t="shared" si="236"/>
        <v>0</v>
      </c>
      <c r="BA798" s="383" t="b">
        <f t="shared" si="237"/>
        <v>0</v>
      </c>
      <c r="BB798" s="314"/>
      <c r="BC798" s="369" t="b">
        <f t="shared" si="238"/>
        <v>0</v>
      </c>
      <c r="BD798" s="369" t="b">
        <f>OR(AV798&gt;100%,(AV798+AV799)&gt;100%)</f>
        <v>0</v>
      </c>
      <c r="BE798" s="314"/>
      <c r="BF798" s="382" t="s">
        <v>156</v>
      </c>
      <c r="BG798" s="384" t="str">
        <f>IF(COUNTIF(AO797:AO798,TRUE)=0,"",BH798*AV805)</f>
        <v/>
      </c>
      <c r="BH798" s="384" t="str">
        <f>IF(COUNTIF(AO797:AO798,TRUE)=0,"",AV794*IF(AO797,1,AV796*AN798)*AV797*AV800)</f>
        <v/>
      </c>
      <c r="BJ798" s="314"/>
      <c r="BK798" s="314"/>
      <c r="BL798" s="314"/>
      <c r="BM798" s="314"/>
      <c r="BN798" s="314"/>
      <c r="BO798" s="314"/>
      <c r="BP798" s="314"/>
      <c r="BQ798" s="314"/>
      <c r="BR798" s="314"/>
      <c r="BS798" s="314"/>
      <c r="BT798" s="314"/>
      <c r="BU798" s="314"/>
      <c r="BV798" s="314"/>
      <c r="BW798" s="314"/>
      <c r="BX798" s="314"/>
      <c r="BY798" s="314"/>
      <c r="BZ798" s="314"/>
      <c r="CA798" s="314"/>
      <c r="CB798" s="314"/>
      <c r="CC798" s="314"/>
      <c r="CD798" s="314"/>
      <c r="CE798" s="314"/>
      <c r="CF798" s="314"/>
      <c r="CG798" s="314"/>
      <c r="CH798" s="314"/>
      <c r="CI798" s="314"/>
      <c r="CJ798" s="314"/>
      <c r="CK798" s="314"/>
      <c r="CL798" s="314"/>
      <c r="CM798" s="314"/>
      <c r="CN798" s="314"/>
      <c r="CO798" s="314"/>
      <c r="CP798" s="314"/>
      <c r="CQ798" s="369" t="b">
        <f>OR(CQ794,Y798=EUconst_NA)</f>
        <v>0</v>
      </c>
    </row>
    <row r="799" spans="1:95" ht="12.75" customHeight="1" thickBot="1" x14ac:dyDescent="0.3">
      <c r="A799" s="307"/>
      <c r="B799" s="68"/>
      <c r="C799" s="199" t="s">
        <v>16</v>
      </c>
      <c r="D799" s="344" t="str">
        <f>Translations!$B$368</f>
        <v>non-sust. BioF:</v>
      </c>
      <c r="E799" s="345"/>
      <c r="F799" s="20"/>
      <c r="G799" s="1256" t="str">
        <f>IF(OR(ISBLANK(F799),F799=EUconst_NoTier),"",IF(Z799=0,EUconst_NotApplicable,IF(ISERROR(Z799),"",Z799)))</f>
        <v/>
      </c>
      <c r="H799" s="1257"/>
      <c r="I799" s="422" t="str">
        <f t="shared" si="239"/>
        <v/>
      </c>
      <c r="J799" s="423"/>
      <c r="K799" s="424" t="str">
        <f>IF(L799="",AU799,"")</f>
        <v/>
      </c>
      <c r="L799" s="21"/>
      <c r="M799" s="347" t="str">
        <f>IF(AND(E789&lt;&gt;"",OR(F799="",COUNT(K799:L799)=0),Y799&lt;&gt;EUconst_NA),EUconst_ERR_Incomplete,IF(COUNTIF(BB799:BD799,TRUE)&gt;0,EUconst_ERR_Inconsistent,""))</f>
        <v/>
      </c>
      <c r="N799" s="76"/>
      <c r="O799" s="160"/>
      <c r="P799" s="348"/>
      <c r="Q799" s="413"/>
      <c r="R799" s="413"/>
      <c r="S799" s="314"/>
      <c r="T799" s="425" t="str">
        <f>EUconst_CNTR_BiomassContent&amp;E789</f>
        <v>BioC_</v>
      </c>
      <c r="U799" s="312"/>
      <c r="V799" s="407" t="str">
        <f>V798</f>
        <v/>
      </c>
      <c r="W799" s="407" t="str">
        <f>IF(OR(V798="",COUNTIF(MSPara_SourceStreamCategory,V799)=0),"",INDEX(MSPara_IsFossil,MATCH(V799,MSPara_SourceStreamCategory,0)))</f>
        <v/>
      </c>
      <c r="X799" s="312"/>
      <c r="Y799" s="426" t="str">
        <f>IF(E789="","",IF(OR(F799=EUconst_NA,W799=TRUE),EUconst_NA,INDEX(EUwideConstants!$P$164:$P$200,MATCH(T799,EUwideConstants!$S$164:$S$200,0))))</f>
        <v/>
      </c>
      <c r="Z799" s="427" t="str">
        <f>IF(ISBLANK(F799),"",IF(F799=EUconst_NA,"",INDEX(EUwideConstants!$H:$O,MATCH(T799,EUwideConstants!$S:$S,0),MATCH(F799,CNTR_TierList,0))))</f>
        <v/>
      </c>
      <c r="AA799" s="428" t="str">
        <f>IF(F799=1,1,"")</f>
        <v/>
      </c>
      <c r="AB799" s="314"/>
      <c r="AC799" s="429" t="b">
        <f>AND(AC794,Y799&lt;&gt;EUconst_NA)</f>
        <v>0</v>
      </c>
      <c r="AD799" s="314"/>
      <c r="AE799" s="430"/>
      <c r="AF799" s="431"/>
      <c r="AG799" s="432"/>
      <c r="AH799" s="433"/>
      <c r="AI799" s="433"/>
      <c r="AJ799" s="433"/>
      <c r="AK799" s="434"/>
      <c r="AL799" s="326"/>
      <c r="AM799" s="326"/>
      <c r="AN799" s="326"/>
      <c r="AO799" s="326"/>
      <c r="AP799" s="326"/>
      <c r="AQ799" s="435" t="str">
        <f>EUconst_CNTR_BiomassContent&amp;EUconst_Value</f>
        <v>BioC_Value</v>
      </c>
      <c r="AR799" s="430"/>
      <c r="AS799" s="436" t="str">
        <f t="shared" si="240"/>
        <v/>
      </c>
      <c r="AT799" s="437"/>
      <c r="AU799" s="438" t="str">
        <f t="shared" si="241"/>
        <v/>
      </c>
      <c r="AV799" s="429">
        <f>IF(AC799=TRUE,IF(COUNT(K799:L799)=0,0,IF(L799="",K799,L799)),0)</f>
        <v>0</v>
      </c>
      <c r="AW799" s="407" t="b">
        <f t="shared" si="234"/>
        <v>0</v>
      </c>
      <c r="AX799" s="439" t="b">
        <f t="shared" si="235"/>
        <v>0</v>
      </c>
      <c r="AY799" s="314"/>
      <c r="AZ799" s="408" t="b">
        <f t="shared" si="236"/>
        <v>0</v>
      </c>
      <c r="BA799" s="440" t="b">
        <f t="shared" si="237"/>
        <v>0</v>
      </c>
      <c r="BB799" s="314"/>
      <c r="BC799" s="407" t="b">
        <f t="shared" si="238"/>
        <v>0</v>
      </c>
      <c r="BD799" s="407" t="b">
        <f>OR(AV798&gt;100%,(AV798+AV799)&gt;100%)</f>
        <v>0</v>
      </c>
      <c r="BE799" s="314"/>
      <c r="BF799" s="408" t="s">
        <v>157</v>
      </c>
      <c r="BG799" s="409" t="str">
        <f>IF(COUNTIF(AO797:AO798,TRUE)=0,"",BH799*AV805)</f>
        <v/>
      </c>
      <c r="BH799" s="409" t="str">
        <f>IF(COUNTIF(AO797:AO798,TRUE)=0,"",AV794*IF(AO797,1,AV796*AN798)*AV797*AV801)</f>
        <v/>
      </c>
      <c r="BJ799" s="314"/>
      <c r="BK799" s="314"/>
      <c r="BL799" s="314"/>
      <c r="BM799" s="314"/>
      <c r="BN799" s="314"/>
      <c r="BO799" s="314"/>
      <c r="BP799" s="314"/>
      <c r="BQ799" s="314"/>
      <c r="BR799" s="314"/>
      <c r="BS799" s="314"/>
      <c r="BT799" s="314"/>
      <c r="BU799" s="314"/>
      <c r="BV799" s="314"/>
      <c r="BW799" s="314"/>
      <c r="BX799" s="314"/>
      <c r="BY799" s="314"/>
      <c r="BZ799" s="314"/>
      <c r="CA799" s="314"/>
      <c r="CB799" s="314"/>
      <c r="CC799" s="314"/>
      <c r="CD799" s="314"/>
      <c r="CE799" s="314"/>
      <c r="CF799" s="314"/>
      <c r="CG799" s="314"/>
      <c r="CH799" s="314"/>
      <c r="CI799" s="314"/>
      <c r="CJ799" s="314"/>
      <c r="CK799" s="314"/>
      <c r="CL799" s="314"/>
      <c r="CM799" s="314"/>
      <c r="CN799" s="314"/>
      <c r="CO799" s="314"/>
      <c r="CP799" s="314"/>
      <c r="CQ799" s="407" t="b">
        <f>OR(CQ794,Y799=EUconst_NA)</f>
        <v>0</v>
      </c>
    </row>
    <row r="800" spans="1:95" ht="12.75" customHeight="1" thickBot="1" x14ac:dyDescent="0.3">
      <c r="A800" s="307"/>
      <c r="B800" s="68"/>
      <c r="C800" s="199" t="s">
        <v>17</v>
      </c>
      <c r="D800" s="344" t="str">
        <f>Translations!$B$610</f>
        <v>sust. RFNBO/RCF:</v>
      </c>
      <c r="E800" s="441"/>
      <c r="F800" s="19" t="s">
        <v>158</v>
      </c>
      <c r="G800" s="1261"/>
      <c r="H800" s="1262"/>
      <c r="I800" s="442" t="str">
        <f t="shared" si="239"/>
        <v/>
      </c>
      <c r="J800" s="411"/>
      <c r="K800" s="443"/>
      <c r="L800" s="55"/>
      <c r="M800" s="347" t="str">
        <f>IF(AND(E789&lt;&gt;"",OR(F800="",COUNT(L800)=0),Y800&lt;&gt;EUconst_NA),EUconst_ERR_Incomplete,"")</f>
        <v/>
      </c>
      <c r="N800" s="76"/>
      <c r="O800" s="160"/>
      <c r="P800" s="348"/>
      <c r="Q800" s="413"/>
      <c r="R800" s="413"/>
      <c r="S800" s="314"/>
      <c r="T800" s="388" t="str">
        <f>EUconst_CNTR_RFNBOetcContent&amp;E789</f>
        <v>RNFBOC_</v>
      </c>
      <c r="U800" s="312"/>
      <c r="V800" s="312"/>
      <c r="W800" s="312"/>
      <c r="X800" s="312"/>
      <c r="Y800" s="380" t="str">
        <f>IF(E789="","",IF(OR(F800=EUconst_NA,W800=TRUE),EUconst_NA,INDEX(EUwideConstants!$P$164:$P$200,MATCH(T800,EUwideConstants!$S$164:$S$200,0))))</f>
        <v/>
      </c>
      <c r="Z800" s="314"/>
      <c r="AA800" s="314"/>
      <c r="AB800" s="314"/>
      <c r="AC800" s="397" t="b">
        <f>AND(AC796,Y800&lt;&gt;EUconst_NA)</f>
        <v>0</v>
      </c>
      <c r="AD800" s="314"/>
      <c r="AE800" s="415"/>
      <c r="AF800" s="416"/>
      <c r="AG800" s="417"/>
      <c r="AH800" s="418"/>
      <c r="AI800" s="418"/>
      <c r="AJ800" s="418"/>
      <c r="AK800" s="419"/>
      <c r="AL800" s="326"/>
      <c r="AM800" s="326"/>
      <c r="AN800" s="326"/>
      <c r="AO800" s="326"/>
      <c r="AP800" s="326"/>
      <c r="AQ800" s="444" t="s">
        <v>159</v>
      </c>
      <c r="AR800" s="415"/>
      <c r="AS800" s="445" t="str">
        <f t="shared" si="240"/>
        <v/>
      </c>
      <c r="AT800" s="446"/>
      <c r="AU800" s="447" t="str">
        <f t="shared" si="241"/>
        <v/>
      </c>
      <c r="AV800" s="397">
        <f>IF(L800&lt;&gt;0,L800,L800)</f>
        <v>0</v>
      </c>
      <c r="AW800" s="398" t="b">
        <f t="shared" si="234"/>
        <v>0</v>
      </c>
      <c r="AX800" s="448" t="b">
        <f t="shared" si="235"/>
        <v>0</v>
      </c>
      <c r="AY800" s="314"/>
      <c r="AZ800" s="449" t="b">
        <f t="shared" si="236"/>
        <v>0</v>
      </c>
      <c r="BA800" s="450" t="b">
        <f t="shared" si="237"/>
        <v>0</v>
      </c>
      <c r="BB800" s="314"/>
      <c r="BC800" s="398" t="b">
        <f t="shared" si="238"/>
        <v>0</v>
      </c>
      <c r="BD800" s="369" t="b">
        <f>OR(AV800&gt;100%,(AV800+AV801)&gt;100%)</f>
        <v>0</v>
      </c>
      <c r="BE800" s="314"/>
      <c r="BF800" s="451" t="s">
        <v>160</v>
      </c>
      <c r="BG800" s="452" t="str">
        <f>IF(COUNTIF(AO797:AO798,TRUE)=0,"",BH800*AV805)</f>
        <v/>
      </c>
      <c r="BH800" s="452" t="str">
        <f>IF(COUNTIF(AO797:AO798,TRUE)=0,"",AV794*IF(AO797,1,AV796*AN798)*AV797*AV802)</f>
        <v/>
      </c>
      <c r="BJ800" s="314"/>
      <c r="BK800" s="314"/>
      <c r="BL800" s="314"/>
      <c r="BM800" s="314"/>
      <c r="BN800" s="314"/>
      <c r="BO800" s="314"/>
      <c r="BP800" s="314"/>
      <c r="BQ800" s="314"/>
      <c r="BR800" s="314"/>
      <c r="BS800" s="314"/>
      <c r="BT800" s="314"/>
      <c r="BU800" s="314"/>
      <c r="BV800" s="314"/>
      <c r="BW800" s="314"/>
      <c r="BX800" s="314"/>
      <c r="BY800" s="314"/>
      <c r="BZ800" s="314"/>
      <c r="CA800" s="314"/>
      <c r="CB800" s="314"/>
      <c r="CC800" s="314"/>
      <c r="CD800" s="314"/>
      <c r="CE800" s="314"/>
      <c r="CF800" s="314"/>
      <c r="CG800" s="314"/>
      <c r="CH800" s="314"/>
      <c r="CI800" s="314"/>
      <c r="CJ800" s="314"/>
      <c r="CK800" s="314"/>
      <c r="CL800" s="314"/>
      <c r="CM800" s="314"/>
      <c r="CN800" s="314"/>
      <c r="CO800" s="314"/>
      <c r="CP800" s="314"/>
      <c r="CQ800" s="407" t="b">
        <f>OR(CQ794,Y800=EUconst_NA)</f>
        <v>0</v>
      </c>
    </row>
    <row r="801" spans="1:95" ht="12.75" customHeight="1" thickBot="1" x14ac:dyDescent="0.3">
      <c r="A801" s="307"/>
      <c r="B801" s="68"/>
      <c r="C801" s="199" t="s">
        <v>161</v>
      </c>
      <c r="D801" s="344" t="str">
        <f>Translations!$B$613</f>
        <v>non-sust. RFNBO/RCF:</v>
      </c>
      <c r="E801" s="441"/>
      <c r="F801" s="20" t="s">
        <v>158</v>
      </c>
      <c r="G801" s="1261"/>
      <c r="H801" s="1262"/>
      <c r="I801" s="422" t="str">
        <f t="shared" si="239"/>
        <v/>
      </c>
      <c r="J801" s="423"/>
      <c r="K801" s="443"/>
      <c r="L801" s="56"/>
      <c r="M801" s="347" t="str">
        <f>IF(AND(E789&lt;&gt;"",OR(F801="",COUNT(L801)=0),Y801&lt;&gt;EUconst_NA),EUconst_ERR_Incomplete,"")</f>
        <v/>
      </c>
      <c r="N801" s="76"/>
      <c r="O801" s="160"/>
      <c r="P801" s="348"/>
      <c r="Q801" s="413"/>
      <c r="R801" s="413"/>
      <c r="S801" s="314"/>
      <c r="T801" s="425" t="str">
        <f>EUconst_CNTR_RFNBOetcContent&amp;E789</f>
        <v>RNFBOC_</v>
      </c>
      <c r="U801" s="312"/>
      <c r="V801" s="312"/>
      <c r="W801" s="312"/>
      <c r="X801" s="312"/>
      <c r="Y801" s="438" t="str">
        <f>IF(E789="","",IF(OR(F801=EUconst_NA,W801=TRUE),EUconst_NA,INDEX(EUwideConstants!$P$164:$P$200,MATCH(T801,EUwideConstants!$S$164:$S$200,0))))</f>
        <v/>
      </c>
      <c r="Z801" s="314"/>
      <c r="AA801" s="314"/>
      <c r="AB801" s="314"/>
      <c r="AC801" s="429" t="b">
        <f>AND(AC796,Y801&lt;&gt;EUconst_NA)</f>
        <v>0</v>
      </c>
      <c r="AD801" s="314"/>
      <c r="AE801" s="430"/>
      <c r="AF801" s="431"/>
      <c r="AG801" s="432"/>
      <c r="AH801" s="433"/>
      <c r="AI801" s="433"/>
      <c r="AJ801" s="433"/>
      <c r="AK801" s="434"/>
      <c r="AL801" s="326"/>
      <c r="AM801" s="326"/>
      <c r="AN801" s="326"/>
      <c r="AO801" s="326"/>
      <c r="AP801" s="326"/>
      <c r="AQ801" s="435" t="s">
        <v>159</v>
      </c>
      <c r="AR801" s="430"/>
      <c r="AS801" s="436" t="str">
        <f t="shared" si="240"/>
        <v/>
      </c>
      <c r="AT801" s="437"/>
      <c r="AU801" s="438" t="str">
        <f t="shared" si="241"/>
        <v/>
      </c>
      <c r="AV801" s="429">
        <f t="shared" ref="AV801:AV803" si="242">IF(L801&lt;&gt;0,L801,L801)</f>
        <v>0</v>
      </c>
      <c r="AW801" s="407" t="b">
        <f t="shared" si="234"/>
        <v>0</v>
      </c>
      <c r="AX801" s="439" t="b">
        <f t="shared" si="235"/>
        <v>0</v>
      </c>
      <c r="AY801" s="314"/>
      <c r="AZ801" s="408" t="b">
        <f t="shared" si="236"/>
        <v>0</v>
      </c>
      <c r="BA801" s="440" t="b">
        <f t="shared" si="237"/>
        <v>0</v>
      </c>
      <c r="BB801" s="314"/>
      <c r="BC801" s="407" t="b">
        <f t="shared" si="238"/>
        <v>0</v>
      </c>
      <c r="BD801" s="407" t="b">
        <f>OR(AV800&gt;100%,(AV800+AV801)&gt;100%)</f>
        <v>0</v>
      </c>
      <c r="BE801" s="314"/>
      <c r="BF801" s="408" t="s">
        <v>162</v>
      </c>
      <c r="BG801" s="409" t="str">
        <f>IF(COUNTIF(AO797:AO798,TRUE)=0,"",BH801*AV805)</f>
        <v/>
      </c>
      <c r="BH801" s="409" t="str">
        <f>IF(COUNTIF(AO797:AO798,TRUE)=0,"",AV794*IF(AO797,1,AV796*AN798)*AV797*AV803)</f>
        <v/>
      </c>
      <c r="BJ801" s="314"/>
      <c r="BK801" s="314"/>
      <c r="BL801" s="314"/>
      <c r="BM801" s="314"/>
      <c r="BN801" s="314"/>
      <c r="BO801" s="314"/>
      <c r="BP801" s="314"/>
      <c r="BQ801" s="314"/>
      <c r="BR801" s="314"/>
      <c r="BS801" s="314"/>
      <c r="BT801" s="314"/>
      <c r="BU801" s="314"/>
      <c r="BV801" s="314"/>
      <c r="BW801" s="314"/>
      <c r="BX801" s="314"/>
      <c r="BY801" s="314"/>
      <c r="BZ801" s="314"/>
      <c r="CA801" s="314"/>
      <c r="CB801" s="314"/>
      <c r="CC801" s="314"/>
      <c r="CD801" s="314"/>
      <c r="CE801" s="314"/>
      <c r="CF801" s="314"/>
      <c r="CG801" s="314"/>
      <c r="CH801" s="314"/>
      <c r="CI801" s="314"/>
      <c r="CJ801" s="314"/>
      <c r="CK801" s="314"/>
      <c r="CL801" s="314"/>
      <c r="CM801" s="314"/>
      <c r="CN801" s="314"/>
      <c r="CO801" s="314"/>
      <c r="CP801" s="314"/>
      <c r="CQ801" s="407" t="b">
        <f>OR(CQ794,Y801=EUconst_NA)</f>
        <v>0</v>
      </c>
    </row>
    <row r="802" spans="1:95" ht="12.75" customHeight="1" thickBot="1" x14ac:dyDescent="0.3">
      <c r="A802" s="307"/>
      <c r="B802" s="68"/>
      <c r="C802" s="199" t="s">
        <v>163</v>
      </c>
      <c r="D802" s="344" t="str">
        <f>Translations!$B$615</f>
        <v>sust. SLCF:</v>
      </c>
      <c r="E802" s="441"/>
      <c r="F802" s="19" t="s">
        <v>158</v>
      </c>
      <c r="G802" s="1261"/>
      <c r="H802" s="1262"/>
      <c r="I802" s="442" t="str">
        <f t="shared" si="239"/>
        <v/>
      </c>
      <c r="J802" s="411"/>
      <c r="K802" s="443"/>
      <c r="L802" s="57"/>
      <c r="M802" s="347" t="str">
        <f>IF(AND(E789&lt;&gt;"",OR(F802="",COUNT(L802)=0),Y802&lt;&gt;EUconst_NA),EUconst_ERR_Incomplete,"")</f>
        <v/>
      </c>
      <c r="N802" s="76"/>
      <c r="O802" s="160"/>
      <c r="P802" s="348"/>
      <c r="Q802" s="413"/>
      <c r="R802" s="413"/>
      <c r="S802" s="314"/>
      <c r="T802" s="388" t="str">
        <f>EUconst_CNTR_RFNBOetcContent&amp;E789</f>
        <v>RNFBOC_</v>
      </c>
      <c r="U802" s="312"/>
      <c r="V802" s="312"/>
      <c r="W802" s="312"/>
      <c r="X802" s="312"/>
      <c r="Y802" s="447" t="str">
        <f>IF(E789="","",IF(OR(F802=EUconst_NA,W802=TRUE),EUconst_NA,INDEX(EUwideConstants!$P$164:$P$200,MATCH(T802,EUwideConstants!$S$164:$S$200,0))))</f>
        <v/>
      </c>
      <c r="Z802" s="314"/>
      <c r="AA802" s="314"/>
      <c r="AB802" s="314"/>
      <c r="AC802" s="397" t="b">
        <f>AND(AC798,Y802&lt;&gt;EUconst_NA)</f>
        <v>0</v>
      </c>
      <c r="AD802" s="314"/>
      <c r="AE802" s="415"/>
      <c r="AF802" s="416"/>
      <c r="AG802" s="417"/>
      <c r="AH802" s="418"/>
      <c r="AI802" s="418"/>
      <c r="AJ802" s="418"/>
      <c r="AK802" s="419"/>
      <c r="AL802" s="326"/>
      <c r="AM802" s="326"/>
      <c r="AN802" s="326"/>
      <c r="AO802" s="326"/>
      <c r="AP802" s="326"/>
      <c r="AQ802" s="444" t="s">
        <v>159</v>
      </c>
      <c r="AR802" s="415"/>
      <c r="AS802" s="445" t="str">
        <f t="shared" si="240"/>
        <v/>
      </c>
      <c r="AT802" s="446"/>
      <c r="AU802" s="447" t="str">
        <f t="shared" si="241"/>
        <v/>
      </c>
      <c r="AV802" s="397">
        <f t="shared" si="242"/>
        <v>0</v>
      </c>
      <c r="AW802" s="398" t="b">
        <f t="shared" si="234"/>
        <v>0</v>
      </c>
      <c r="AX802" s="448" t="b">
        <f t="shared" si="235"/>
        <v>0</v>
      </c>
      <c r="AY802" s="314"/>
      <c r="AZ802" s="449" t="b">
        <f t="shared" si="236"/>
        <v>0</v>
      </c>
      <c r="BA802" s="450" t="b">
        <f t="shared" si="237"/>
        <v>0</v>
      </c>
      <c r="BB802" s="314"/>
      <c r="BC802" s="398" t="b">
        <f t="shared" si="238"/>
        <v>0</v>
      </c>
      <c r="BD802" s="369" t="b">
        <f>OR(AV802&gt;100%,(AV802+AV803)&gt;100%)</f>
        <v>0</v>
      </c>
      <c r="BE802" s="314"/>
      <c r="BF802" s="451" t="s">
        <v>164</v>
      </c>
      <c r="BG802" s="452">
        <f>IF(AN794=EUconst_TJ,AV794*(1-AV798),IF(AN796=EUconst_GJ,AV794*AV796/1000,0))-SUM(BG803:BG809)</f>
        <v>0</v>
      </c>
      <c r="BH802" s="314"/>
      <c r="BI802" s="314"/>
      <c r="BJ802" s="314"/>
      <c r="BK802" s="314"/>
      <c r="BL802" s="314"/>
      <c r="BM802" s="314"/>
      <c r="BN802" s="314"/>
      <c r="BO802" s="314"/>
      <c r="BP802" s="314"/>
      <c r="BQ802" s="314"/>
      <c r="BR802" s="314"/>
      <c r="BS802" s="314"/>
      <c r="BT802" s="314"/>
      <c r="BU802" s="314"/>
      <c r="BV802" s="314"/>
      <c r="BW802" s="314"/>
      <c r="BX802" s="314"/>
      <c r="BY802" s="314"/>
      <c r="BZ802" s="314"/>
      <c r="CA802" s="314"/>
      <c r="CB802" s="314"/>
      <c r="CC802" s="314"/>
      <c r="CD802" s="314"/>
      <c r="CE802" s="314"/>
      <c r="CF802" s="314"/>
      <c r="CG802" s="314"/>
      <c r="CH802" s="314"/>
      <c r="CI802" s="314"/>
      <c r="CJ802" s="314"/>
      <c r="CK802" s="314"/>
      <c r="CL802" s="314"/>
      <c r="CM802" s="314"/>
      <c r="CN802" s="314"/>
      <c r="CO802" s="314"/>
      <c r="CP802" s="314"/>
      <c r="CQ802" s="407" t="b">
        <f>OR(CQ794,Y802=EUconst_NA)</f>
        <v>0</v>
      </c>
    </row>
    <row r="803" spans="1:95" ht="12.75" customHeight="1" thickBot="1" x14ac:dyDescent="0.3">
      <c r="A803" s="307"/>
      <c r="B803" s="68"/>
      <c r="C803" s="199" t="s">
        <v>165</v>
      </c>
      <c r="D803" s="344" t="str">
        <f>Translations!$B$618</f>
        <v>non-sust. SLCF:</v>
      </c>
      <c r="E803" s="441"/>
      <c r="F803" s="20" t="s">
        <v>158</v>
      </c>
      <c r="G803" s="1261"/>
      <c r="H803" s="1262"/>
      <c r="I803" s="422" t="str">
        <f t="shared" si="239"/>
        <v/>
      </c>
      <c r="J803" s="423"/>
      <c r="K803" s="443"/>
      <c r="L803" s="56"/>
      <c r="M803" s="347" t="str">
        <f>IF(AND(E789&lt;&gt;"",OR(F803="",COUNT(L803)=0),Y803&lt;&gt;EUconst_NA),EUconst_ERR_Incomplete,"")</f>
        <v/>
      </c>
      <c r="N803" s="76"/>
      <c r="O803" s="160"/>
      <c r="P803" s="348"/>
      <c r="Q803" s="413"/>
      <c r="R803" s="413"/>
      <c r="S803" s="314"/>
      <c r="T803" s="425" t="str">
        <f>EUconst_CNTR_RFNBOetcContent&amp;E789</f>
        <v>RNFBOC_</v>
      </c>
      <c r="U803" s="312"/>
      <c r="V803" s="312"/>
      <c r="W803" s="312"/>
      <c r="X803" s="312"/>
      <c r="Y803" s="438" t="str">
        <f>IF(E789="","",IF(OR(F803=EUconst_NA,W803=TRUE),EUconst_NA,INDEX(EUwideConstants!$P$164:$P$200,MATCH(T803,EUwideConstants!$S$164:$S$200,0))))</f>
        <v/>
      </c>
      <c r="Z803" s="314"/>
      <c r="AA803" s="314"/>
      <c r="AB803" s="314"/>
      <c r="AC803" s="429" t="b">
        <f>AND(AC798,Y803&lt;&gt;EUconst_NA)</f>
        <v>0</v>
      </c>
      <c r="AD803" s="314"/>
      <c r="AE803" s="430"/>
      <c r="AF803" s="431"/>
      <c r="AG803" s="432"/>
      <c r="AH803" s="433"/>
      <c r="AI803" s="433"/>
      <c r="AJ803" s="433"/>
      <c r="AK803" s="434"/>
      <c r="AL803" s="326"/>
      <c r="AM803" s="326"/>
      <c r="AN803" s="326"/>
      <c r="AO803" s="326"/>
      <c r="AP803" s="326"/>
      <c r="AQ803" s="435" t="s">
        <v>159</v>
      </c>
      <c r="AR803" s="430"/>
      <c r="AS803" s="436" t="str">
        <f t="shared" si="240"/>
        <v/>
      </c>
      <c r="AT803" s="437"/>
      <c r="AU803" s="438" t="str">
        <f t="shared" si="241"/>
        <v/>
      </c>
      <c r="AV803" s="429">
        <f t="shared" si="242"/>
        <v>0</v>
      </c>
      <c r="AW803" s="407" t="b">
        <f t="shared" si="234"/>
        <v>0</v>
      </c>
      <c r="AX803" s="439" t="b">
        <f t="shared" si="235"/>
        <v>0</v>
      </c>
      <c r="AY803" s="314"/>
      <c r="AZ803" s="408" t="b">
        <f t="shared" si="236"/>
        <v>0</v>
      </c>
      <c r="BA803" s="440" t="b">
        <f t="shared" si="237"/>
        <v>0</v>
      </c>
      <c r="BB803" s="314"/>
      <c r="BC803" s="407" t="b">
        <f t="shared" si="238"/>
        <v>0</v>
      </c>
      <c r="BD803" s="407" t="b">
        <f>OR(AV802&gt;100%,(AV802+AV803)&gt;100%)</f>
        <v>0</v>
      </c>
      <c r="BE803" s="314"/>
      <c r="BF803" s="408" t="s">
        <v>166</v>
      </c>
      <c r="BG803" s="409" t="str">
        <f>IF(AN794=EUconst_TJ,AV794*AV798,IF(AN796=EUconst_GJ,AV794*AV796/1000*AV798,""))</f>
        <v/>
      </c>
      <c r="BH803" s="314"/>
      <c r="BI803" s="314"/>
      <c r="BJ803" s="314"/>
      <c r="BK803" s="314"/>
      <c r="BL803" s="314"/>
      <c r="BM803" s="314"/>
      <c r="BN803" s="314"/>
      <c r="BO803" s="314"/>
      <c r="BP803" s="314"/>
      <c r="BQ803" s="314"/>
      <c r="BR803" s="314"/>
      <c r="BS803" s="314"/>
      <c r="BT803" s="314"/>
      <c r="BU803" s="314"/>
      <c r="BV803" s="314"/>
      <c r="BW803" s="314"/>
      <c r="BX803" s="314"/>
      <c r="BY803" s="314"/>
      <c r="BZ803" s="314"/>
      <c r="CA803" s="314"/>
      <c r="CB803" s="314"/>
      <c r="CC803" s="314"/>
      <c r="CD803" s="314"/>
      <c r="CE803" s="314"/>
      <c r="CF803" s="314"/>
      <c r="CG803" s="314"/>
      <c r="CH803" s="314"/>
      <c r="CI803" s="314"/>
      <c r="CJ803" s="314"/>
      <c r="CK803" s="314"/>
      <c r="CL803" s="314"/>
      <c r="CM803" s="314"/>
      <c r="CN803" s="314"/>
      <c r="CO803" s="314"/>
      <c r="CP803" s="314"/>
      <c r="CQ803" s="407" t="b">
        <f>OR(CQ794,Y803=EUconst_NA)</f>
        <v>0</v>
      </c>
    </row>
    <row r="804" spans="1:95" ht="5.15" customHeight="1" thickBot="1" x14ac:dyDescent="0.3">
      <c r="A804" s="307"/>
      <c r="B804" s="68"/>
      <c r="C804" s="68"/>
      <c r="D804" s="205"/>
      <c r="E804" s="76"/>
      <c r="F804" s="76"/>
      <c r="G804" s="76"/>
      <c r="H804" s="76"/>
      <c r="I804" s="76"/>
      <c r="J804" s="76"/>
      <c r="K804" s="76"/>
      <c r="L804" s="76"/>
      <c r="M804" s="453"/>
      <c r="N804" s="76"/>
      <c r="O804" s="160"/>
      <c r="P804" s="109"/>
      <c r="Q804" s="312"/>
      <c r="R804" s="312"/>
      <c r="S804" s="314"/>
      <c r="T804" s="314"/>
      <c r="U804" s="314"/>
      <c r="V804" s="314"/>
      <c r="W804" s="314"/>
      <c r="X804" s="314"/>
      <c r="Y804" s="314"/>
      <c r="Z804" s="314"/>
      <c r="AA804" s="314"/>
      <c r="AB804" s="314"/>
      <c r="AC804" s="314"/>
      <c r="AD804" s="314"/>
      <c r="AE804" s="314"/>
      <c r="AF804" s="314"/>
      <c r="AG804" s="314"/>
      <c r="AH804" s="314"/>
      <c r="AI804" s="314"/>
      <c r="AJ804" s="314"/>
      <c r="AK804" s="314"/>
      <c r="AL804" s="314"/>
      <c r="AM804" s="314"/>
      <c r="AN804" s="314"/>
      <c r="AO804" s="314"/>
      <c r="AP804" s="314"/>
      <c r="AQ804" s="314"/>
      <c r="AR804" s="314"/>
      <c r="AS804" s="314"/>
      <c r="AT804" s="314"/>
      <c r="AU804" s="314"/>
      <c r="AV804" s="314"/>
      <c r="AW804" s="314"/>
      <c r="AX804" s="314"/>
      <c r="AY804" s="314"/>
      <c r="AZ804" s="314"/>
      <c r="BA804" s="314"/>
      <c r="BB804" s="314"/>
      <c r="BC804" s="314"/>
      <c r="BD804" s="314"/>
      <c r="BE804" s="314"/>
      <c r="BF804" s="314"/>
      <c r="BG804" s="364"/>
      <c r="BH804" s="314"/>
      <c r="BI804" s="314"/>
      <c r="BJ804" s="314"/>
      <c r="BK804" s="314"/>
      <c r="BL804" s="314"/>
      <c r="BM804" s="314"/>
      <c r="BN804" s="314"/>
      <c r="BO804" s="314"/>
      <c r="BP804" s="314"/>
      <c r="BQ804" s="314"/>
      <c r="BR804" s="314"/>
      <c r="BS804" s="314"/>
      <c r="BT804" s="314"/>
      <c r="BU804" s="314"/>
      <c r="BV804" s="314"/>
      <c r="BW804" s="314"/>
      <c r="BX804" s="314"/>
      <c r="BY804" s="314"/>
      <c r="BZ804" s="314"/>
      <c r="CA804" s="314"/>
      <c r="CB804" s="314"/>
      <c r="CC804" s="314"/>
      <c r="CD804" s="314"/>
      <c r="CE804" s="314"/>
      <c r="CF804" s="314"/>
      <c r="CG804" s="314"/>
      <c r="CH804" s="314"/>
      <c r="CI804" s="314"/>
      <c r="CJ804" s="314"/>
      <c r="CK804" s="314"/>
      <c r="CL804" s="314"/>
      <c r="CM804" s="314"/>
      <c r="CN804" s="314"/>
      <c r="CO804" s="314"/>
      <c r="CP804" s="314"/>
      <c r="CQ804" s="314"/>
    </row>
    <row r="805" spans="1:95" ht="12.75" customHeight="1" thickBot="1" x14ac:dyDescent="0.3">
      <c r="A805" s="307"/>
      <c r="B805" s="68"/>
      <c r="C805" s="199" t="s">
        <v>167</v>
      </c>
      <c r="D805" s="344" t="str">
        <f>Translations!$B$398</f>
        <v>Scope factor:</v>
      </c>
      <c r="E805" s="454"/>
      <c r="F805" s="992"/>
      <c r="G805" s="1263"/>
      <c r="H805" s="1264"/>
      <c r="I805" s="455" t="s">
        <v>46</v>
      </c>
      <c r="J805" s="456"/>
      <c r="K805" s="457" t="str">
        <f>IF(L805="",AU805,"")</f>
        <v/>
      </c>
      <c r="L805" s="16"/>
      <c r="M805" s="458" t="str">
        <f>IF(AND(E789&lt;&gt;"",OR(F805="",G805="",COUNT(K805:L805)=0)),EUconst_ERR_Incomplete,IF(COUNTIF(BB805:BD805,TRUE)&gt;0,EUconst_ERR_Inconsistent,""))</f>
        <v/>
      </c>
      <c r="N805" s="76"/>
      <c r="O805" s="160"/>
      <c r="P805" s="109"/>
      <c r="Q805" s="312"/>
      <c r="R805" s="314"/>
      <c r="S805" s="297"/>
      <c r="T805" s="459" t="str">
        <f>EUconst_CNTR_ScopeFactor&amp;E789</f>
        <v>ScopeFactor_</v>
      </c>
      <c r="U805" s="231" t="str">
        <f>IF(F805="","",INDEX(ScopeAddress,MATCH(F805,ScopeTiers,0)))</f>
        <v/>
      </c>
      <c r="V805" s="360" t="str">
        <f>V794</f>
        <v/>
      </c>
      <c r="W805" s="314"/>
      <c r="X805" s="314"/>
      <c r="Y805" s="460" t="str">
        <f>IF(E789="","",IF(F805=EUconst_NA,EUconst_NA,INDEX(EUwideConstants!$P$164:$P$200,MATCH(T805,EUwideConstants!$S$164:$S$200,0))))</f>
        <v/>
      </c>
      <c r="Z805" s="461" t="str">
        <f>IF(ISBLANK(F805),"",IF(F805=EUconst_NA,"",INDEX(EUwideConstants!$H:$O,MATCH(T805,EUwideConstants!$S:$S,0),MATCH(F805,CNTR_TierList,0))))</f>
        <v/>
      </c>
      <c r="AA805" s="331" t="str">
        <f>IF(G805=EUwideConstants!$A$89,1,"")</f>
        <v/>
      </c>
      <c r="AB805" s="314"/>
      <c r="AC805" s="331" t="b">
        <f>AND(AC794,Y805&lt;&gt;EUconst_NA)</f>
        <v>0</v>
      </c>
      <c r="AD805" s="314"/>
      <c r="AE805" s="314"/>
      <c r="AF805" s="314"/>
      <c r="AG805" s="319"/>
      <c r="AH805" s="314"/>
      <c r="AI805" s="314"/>
      <c r="AJ805" s="314"/>
      <c r="AK805" s="314"/>
      <c r="AL805" s="314"/>
      <c r="AM805" s="314"/>
      <c r="AN805" s="314"/>
      <c r="AO805" s="314"/>
      <c r="AP805" s="314"/>
      <c r="AQ805" s="314"/>
      <c r="AR805" s="314"/>
      <c r="AS805" s="328">
        <v>1</v>
      </c>
      <c r="AT805" s="314"/>
      <c r="AU805" s="319" t="str">
        <f>IF(G805=EUwideConstants!$A$89,AS805,"")</f>
        <v/>
      </c>
      <c r="AV805" s="331">
        <f>IF(AC805=TRUE,IF(COUNT(K805:L805)=0,0,IF(L805="",K805,L805)),0)</f>
        <v>0</v>
      </c>
      <c r="AW805" s="360" t="b">
        <f>AND(AC805=TRUE,OR(AND(F805&lt;&gt;"",NOT(ISNUMBER(AA805))),L805&lt;&gt;"",F805="",AU805=""))</f>
        <v>0</v>
      </c>
      <c r="AX805" s="357" t="b">
        <f>AND(AC805=TRUE,NOT(AW805))</f>
        <v>0</v>
      </c>
      <c r="AY805" s="314"/>
      <c r="AZ805" s="361" t="b">
        <f>AND(ISNUMBER(AA805),AU805="")</f>
        <v>0</v>
      </c>
      <c r="BA805" s="351" t="b">
        <f>AND(ISNUMBER(AA805),AU805&lt;&gt;AV805)</f>
        <v>0</v>
      </c>
      <c r="BB805" s="314"/>
      <c r="BC805" s="360" t="b">
        <f>AND(F805&lt;&gt;"",OR(COUNTIF(INDEX(ScopeMethods,F805,),G805)=0,AND(AA805&lt;&gt;"",AU805&lt;&gt;AV805)))</f>
        <v>0</v>
      </c>
      <c r="BD805" s="314"/>
      <c r="BE805" s="314"/>
      <c r="BF805" s="361" t="s">
        <v>168</v>
      </c>
      <c r="BG805" s="362" t="str">
        <f>IF(AN794=EUconst_TJ,AV794*AV800,IF(AN796=EUconst_GJ,AV794*AV796/1000*AV800,""))</f>
        <v/>
      </c>
      <c r="BH805" s="314"/>
      <c r="BI805" s="314"/>
      <c r="BJ805" s="314"/>
      <c r="BK805" s="314"/>
      <c r="BL805" s="314"/>
      <c r="BM805" s="314"/>
      <c r="BN805" s="314"/>
      <c r="BO805" s="314"/>
      <c r="BP805" s="314"/>
      <c r="BQ805" s="314"/>
      <c r="BR805" s="314"/>
      <c r="BS805" s="314"/>
      <c r="BT805" s="314"/>
      <c r="BU805" s="314"/>
      <c r="BV805" s="314"/>
      <c r="BW805" s="314"/>
      <c r="BX805" s="314"/>
      <c r="BY805" s="314"/>
      <c r="BZ805" s="314"/>
      <c r="CA805" s="314"/>
      <c r="CB805" s="314"/>
      <c r="CC805" s="314"/>
      <c r="CD805" s="314"/>
      <c r="CE805" s="314"/>
      <c r="CF805" s="314"/>
      <c r="CG805" s="314"/>
      <c r="CH805" s="314"/>
      <c r="CI805" s="314"/>
      <c r="CJ805" s="314"/>
      <c r="CK805" s="314"/>
      <c r="CL805" s="314"/>
      <c r="CM805" s="314"/>
      <c r="CN805" s="314"/>
      <c r="CO805" s="314"/>
      <c r="CP805" s="314"/>
      <c r="CQ805" s="314"/>
    </row>
    <row r="806" spans="1:95" ht="12.75" customHeight="1" x14ac:dyDescent="0.25">
      <c r="A806" s="307"/>
      <c r="B806" s="68"/>
      <c r="C806" s="68"/>
      <c r="D806" s="68"/>
      <c r="E806" s="68"/>
      <c r="F806" s="68"/>
      <c r="G806" s="1265" t="str">
        <f>IF(G805="","",INDEX(ScopeMethodsDetails,MATCH(G805,INDEX(ScopeMethodsDetails,,1),0),2))</f>
        <v/>
      </c>
      <c r="H806" s="1266"/>
      <c r="I806" s="1266"/>
      <c r="J806" s="1266"/>
      <c r="K806" s="1266"/>
      <c r="L806" s="1266"/>
      <c r="M806" s="1267"/>
      <c r="N806" s="76"/>
      <c r="O806" s="160"/>
      <c r="P806" s="109"/>
      <c r="Q806" s="312"/>
      <c r="R806" s="312"/>
      <c r="S806" s="314"/>
      <c r="T806" s="314"/>
      <c r="U806" s="314"/>
      <c r="V806" s="314"/>
      <c r="W806" s="314"/>
      <c r="X806" s="314"/>
      <c r="Y806" s="314"/>
      <c r="Z806" s="314"/>
      <c r="AA806" s="314"/>
      <c r="AB806" s="314"/>
      <c r="AC806" s="314"/>
      <c r="AD806" s="314"/>
      <c r="AE806" s="314"/>
      <c r="AF806" s="314"/>
      <c r="AG806" s="314"/>
      <c r="AH806" s="314"/>
      <c r="AI806" s="314"/>
      <c r="AJ806" s="314"/>
      <c r="AK806" s="314"/>
      <c r="AL806" s="314"/>
      <c r="AM806" s="314"/>
      <c r="AN806" s="314"/>
      <c r="AO806" s="314"/>
      <c r="AP806" s="314"/>
      <c r="AQ806" s="314"/>
      <c r="AR806" s="314"/>
      <c r="AS806" s="314"/>
      <c r="AT806" s="314"/>
      <c r="AU806" s="314"/>
      <c r="AV806" s="314"/>
      <c r="AW806" s="314"/>
      <c r="AX806" s="314"/>
      <c r="AY806" s="314"/>
      <c r="AZ806" s="314"/>
      <c r="BA806" s="314"/>
      <c r="BB806" s="314"/>
      <c r="BC806" s="314"/>
      <c r="BD806" s="314"/>
      <c r="BE806" s="314"/>
      <c r="BG806" s="364"/>
      <c r="BH806" s="314"/>
      <c r="BI806" s="314"/>
      <c r="BJ806" s="314"/>
      <c r="BK806" s="314"/>
      <c r="BL806" s="314"/>
      <c r="BM806" s="314"/>
      <c r="BN806" s="314"/>
      <c r="BO806" s="314"/>
      <c r="BP806" s="314"/>
      <c r="BQ806" s="314"/>
      <c r="BR806" s="314"/>
      <c r="BS806" s="314"/>
      <c r="BT806" s="314"/>
      <c r="BU806" s="314"/>
      <c r="BV806" s="314"/>
      <c r="BW806" s="314"/>
      <c r="BX806" s="314"/>
      <c r="BY806" s="314"/>
      <c r="BZ806" s="314"/>
      <c r="CA806" s="314"/>
      <c r="CB806" s="314"/>
      <c r="CC806" s="314"/>
      <c r="CD806" s="314"/>
      <c r="CE806" s="314"/>
      <c r="CF806" s="314"/>
      <c r="CG806" s="314"/>
      <c r="CH806" s="314"/>
      <c r="CI806" s="314"/>
      <c r="CJ806" s="314"/>
      <c r="CK806" s="314"/>
      <c r="CL806" s="314"/>
      <c r="CM806" s="314"/>
      <c r="CN806" s="314"/>
      <c r="CO806" s="314"/>
      <c r="CP806" s="314"/>
      <c r="CQ806" s="314"/>
    </row>
    <row r="807" spans="1:95" ht="5.15" customHeight="1" x14ac:dyDescent="0.25">
      <c r="A807" s="307"/>
      <c r="C807" s="76"/>
      <c r="D807" s="76"/>
      <c r="E807" s="76"/>
      <c r="F807" s="76"/>
      <c r="G807" s="76"/>
      <c r="H807" s="76"/>
      <c r="I807" s="76"/>
      <c r="J807" s="76"/>
      <c r="K807" s="76"/>
      <c r="L807" s="76"/>
      <c r="O807" s="160"/>
      <c r="P807" s="109"/>
      <c r="Q807" s="312"/>
      <c r="R807" s="312"/>
      <c r="S807" s="314"/>
      <c r="T807" s="314"/>
      <c r="U807" s="314"/>
      <c r="V807" s="314"/>
      <c r="W807" s="314"/>
      <c r="X807" s="314"/>
      <c r="Y807" s="314"/>
      <c r="Z807" s="314"/>
      <c r="AA807" s="314"/>
      <c r="AB807" s="314"/>
      <c r="AC807" s="314"/>
      <c r="AD807" s="314"/>
      <c r="AE807" s="314"/>
      <c r="AF807" s="314"/>
      <c r="AG807" s="314"/>
      <c r="AH807" s="314"/>
      <c r="AI807" s="314"/>
      <c r="AJ807" s="314"/>
      <c r="AK807" s="314"/>
      <c r="AL807" s="314"/>
      <c r="AM807" s="314"/>
      <c r="AN807" s="314"/>
      <c r="AO807" s="314"/>
      <c r="AP807" s="314"/>
      <c r="AQ807" s="314"/>
      <c r="AR807" s="314"/>
      <c r="AS807" s="314"/>
      <c r="AT807" s="314"/>
      <c r="AU807" s="314"/>
      <c r="AV807" s="314"/>
      <c r="AW807" s="314"/>
      <c r="AX807" s="314"/>
      <c r="AY807" s="314"/>
      <c r="AZ807" s="314"/>
      <c r="BA807" s="314"/>
      <c r="BB807" s="314"/>
      <c r="BC807" s="314"/>
      <c r="BD807" s="314"/>
      <c r="BE807" s="314"/>
      <c r="BG807" s="364"/>
      <c r="BH807" s="314"/>
      <c r="BI807" s="314"/>
      <c r="BJ807" s="314"/>
      <c r="BK807" s="314"/>
      <c r="BL807" s="314"/>
      <c r="BM807" s="314"/>
      <c r="BN807" s="314"/>
      <c r="BO807" s="314"/>
      <c r="BP807" s="314"/>
      <c r="BQ807" s="314"/>
      <c r="BR807" s="314"/>
      <c r="BS807" s="314"/>
      <c r="BT807" s="314"/>
      <c r="BU807" s="314"/>
      <c r="BV807" s="314"/>
      <c r="BW807" s="314"/>
      <c r="BX807" s="314"/>
      <c r="BY807" s="314"/>
      <c r="BZ807" s="314"/>
      <c r="CA807" s="314"/>
      <c r="CB807" s="314"/>
      <c r="CC807" s="314"/>
      <c r="CD807" s="314"/>
      <c r="CE807" s="314"/>
      <c r="CF807" s="314"/>
      <c r="CG807" s="314"/>
      <c r="CH807" s="314"/>
      <c r="CI807" s="314"/>
      <c r="CJ807" s="314"/>
      <c r="CK807" s="314"/>
      <c r="CL807" s="314"/>
      <c r="CM807" s="314"/>
      <c r="CN807" s="314"/>
      <c r="CO807" s="314"/>
      <c r="CP807" s="314"/>
      <c r="CQ807" s="314"/>
    </row>
    <row r="808" spans="1:95" ht="12.75" customHeight="1" thickBot="1" x14ac:dyDescent="0.3">
      <c r="A808" s="307"/>
      <c r="C808" s="76"/>
      <c r="D808" s="76"/>
      <c r="E808" s="76"/>
      <c r="F808" s="76"/>
      <c r="G808" s="1268">
        <v>1</v>
      </c>
      <c r="H808" s="1268"/>
      <c r="I808" s="1268">
        <v>2</v>
      </c>
      <c r="J808" s="1268"/>
      <c r="K808" s="1268">
        <v>3</v>
      </c>
      <c r="L808" s="1268"/>
      <c r="O808" s="160"/>
      <c r="P808" s="109"/>
      <c r="Q808" s="312"/>
      <c r="R808" s="312"/>
      <c r="S808" s="314"/>
      <c r="T808" s="314"/>
      <c r="U808" s="314"/>
      <c r="V808" s="314"/>
      <c r="W808" s="314"/>
      <c r="X808" s="314"/>
      <c r="Y808" s="314"/>
      <c r="Z808" s="314"/>
      <c r="AA808" s="314"/>
      <c r="AB808" s="314"/>
      <c r="AC808" s="314"/>
      <c r="AD808" s="314"/>
      <c r="AE808" s="314"/>
      <c r="AF808" s="314"/>
      <c r="AG808" s="314"/>
      <c r="AH808" s="314"/>
      <c r="AI808" s="314"/>
      <c r="AJ808" s="314"/>
      <c r="AK808" s="314"/>
      <c r="AL808" s="314"/>
      <c r="AM808" s="314"/>
      <c r="AN808" s="314"/>
      <c r="AO808" s="314"/>
      <c r="AP808" s="314"/>
      <c r="AQ808" s="314"/>
      <c r="AR808" s="314"/>
      <c r="AS808" s="314"/>
      <c r="AT808" s="314"/>
      <c r="AU808" s="314"/>
      <c r="AV808" s="314"/>
      <c r="AW808" s="314"/>
      <c r="AX808" s="314"/>
      <c r="AY808" s="314"/>
      <c r="AZ808" s="314"/>
      <c r="BA808" s="314"/>
      <c r="BB808" s="314"/>
      <c r="BC808" s="314"/>
      <c r="BD808" s="314"/>
      <c r="BE808" s="314"/>
      <c r="BF808" s="314"/>
      <c r="BG808" s="364"/>
      <c r="BH808" s="314"/>
      <c r="BI808" s="314"/>
      <c r="BJ808" s="314"/>
      <c r="BK808" s="314"/>
      <c r="BL808" s="314"/>
      <c r="BM808" s="314"/>
      <c r="BN808" s="314"/>
      <c r="BO808" s="314"/>
      <c r="BP808" s="314"/>
      <c r="BQ808" s="314"/>
      <c r="BR808" s="314"/>
      <c r="BS808" s="314"/>
      <c r="BT808" s="314"/>
      <c r="BU808" s="314"/>
      <c r="BV808" s="314"/>
      <c r="BW808" s="314"/>
      <c r="BX808" s="314"/>
      <c r="BY808" s="314"/>
      <c r="BZ808" s="314"/>
      <c r="CA808" s="314"/>
      <c r="CB808" s="314"/>
      <c r="CC808" s="314"/>
      <c r="CD808" s="314"/>
      <c r="CE808" s="314"/>
      <c r="CF808" s="314"/>
      <c r="CG808" s="314"/>
      <c r="CH808" s="314"/>
      <c r="CI808" s="314"/>
      <c r="CJ808" s="314"/>
      <c r="CK808" s="314"/>
      <c r="CL808" s="314"/>
      <c r="CM808" s="314"/>
      <c r="CN808" s="314"/>
      <c r="CO808" s="314"/>
      <c r="CP808" s="314"/>
      <c r="CQ808" s="314"/>
    </row>
    <row r="809" spans="1:95" ht="12.75" customHeight="1" thickBot="1" x14ac:dyDescent="0.3">
      <c r="A809" s="462"/>
      <c r="B809" s="76"/>
      <c r="C809" s="76"/>
      <c r="D809" s="1246" t="str">
        <f>Translations!$B$372</f>
        <v>Consumers' CRF category:</v>
      </c>
      <c r="E809" s="1246"/>
      <c r="F809" s="1247"/>
      <c r="G809" s="1248"/>
      <c r="H809" s="1249"/>
      <c r="I809" s="1248"/>
      <c r="J809" s="1249"/>
      <c r="K809" s="1248"/>
      <c r="L809" s="1249"/>
      <c r="M809" s="463" t="str">
        <f>IF(AND(E788&lt;&gt;"",COUNTA(G809:L809)=0,AX809=FALSE),EUconst_ERR_Incomplete,"")</f>
        <v/>
      </c>
      <c r="N809" s="76"/>
      <c r="O809" s="160"/>
      <c r="P809" s="109"/>
      <c r="Q809" s="312"/>
      <c r="R809" s="312"/>
      <c r="S809" s="314"/>
      <c r="T809" s="314"/>
      <c r="U809" s="314"/>
      <c r="V809" s="314"/>
      <c r="W809" s="314"/>
      <c r="X809" s="314"/>
      <c r="Y809" s="314"/>
      <c r="Z809" s="314"/>
      <c r="AA809" s="314"/>
      <c r="AB809" s="314"/>
      <c r="AC809" s="314"/>
      <c r="AD809" s="314"/>
      <c r="AE809" s="314"/>
      <c r="AF809" s="314"/>
      <c r="AG809" s="314"/>
      <c r="AH809" s="314"/>
      <c r="AI809" s="314"/>
      <c r="AJ809" s="314"/>
      <c r="AK809" s="314"/>
      <c r="AL809" s="314"/>
      <c r="AM809" s="314"/>
      <c r="AN809" s="314"/>
      <c r="AO809" s="314"/>
      <c r="AP809" s="314"/>
      <c r="AQ809" s="314"/>
      <c r="AR809" s="314"/>
      <c r="AS809" s="314"/>
      <c r="AT809" s="314"/>
      <c r="AU809" s="314"/>
      <c r="AV809" s="314"/>
      <c r="AW809" s="314"/>
      <c r="AX809" s="464" t="b">
        <f>AND(AV805&lt;&gt;"",SUM(AV805=1))</f>
        <v>0</v>
      </c>
      <c r="AY809" s="314"/>
      <c r="AZ809" s="314"/>
      <c r="BA809" s="314"/>
      <c r="BB809" s="314"/>
      <c r="BC809" s="314"/>
      <c r="BD809" s="314"/>
      <c r="BE809" s="314"/>
      <c r="BF809" s="361" t="s">
        <v>169</v>
      </c>
      <c r="BG809" s="362" t="str">
        <f>IF(AN794=EUconst_TJ,AV794*AV802,IF(AN796=EUconst_GJ,AV794*AV796/1000*AV802,""))</f>
        <v/>
      </c>
      <c r="BH809" s="314"/>
      <c r="BI809" s="314"/>
      <c r="BJ809" s="314"/>
      <c r="BK809" s="314"/>
      <c r="BL809" s="314"/>
      <c r="BM809" s="314"/>
      <c r="BN809" s="314"/>
      <c r="BO809" s="314"/>
      <c r="BP809" s="314"/>
      <c r="BQ809" s="314"/>
      <c r="BR809" s="314"/>
      <c r="BS809" s="314"/>
      <c r="BT809" s="314"/>
      <c r="BU809" s="314"/>
      <c r="BV809" s="314"/>
      <c r="BW809" s="314"/>
      <c r="BX809" s="314"/>
      <c r="BY809" s="314"/>
      <c r="BZ809" s="314"/>
      <c r="CA809" s="314"/>
      <c r="CB809" s="314"/>
      <c r="CC809" s="314"/>
      <c r="CD809" s="314"/>
      <c r="CE809" s="314"/>
      <c r="CF809" s="314"/>
      <c r="CG809" s="314"/>
      <c r="CH809" s="314"/>
      <c r="CI809" s="314"/>
      <c r="CJ809" s="314"/>
      <c r="CK809" s="314"/>
      <c r="CL809" s="314"/>
      <c r="CM809" s="314"/>
      <c r="CN809" s="314"/>
      <c r="CO809" s="314"/>
      <c r="CP809" s="314"/>
      <c r="CQ809" s="314"/>
    </row>
    <row r="810" spans="1:95" ht="5.15" customHeight="1" x14ac:dyDescent="0.25">
      <c r="A810" s="307"/>
      <c r="B810" s="68"/>
      <c r="C810" s="68"/>
      <c r="D810" s="68"/>
      <c r="E810" s="68"/>
      <c r="F810" s="68"/>
      <c r="G810" s="76"/>
      <c r="H810" s="76"/>
      <c r="I810" s="76"/>
      <c r="J810" s="76"/>
      <c r="K810" s="76"/>
      <c r="L810" s="76"/>
      <c r="M810" s="76"/>
      <c r="N810" s="76"/>
      <c r="O810" s="160"/>
      <c r="P810" s="109"/>
      <c r="Q810" s="312"/>
      <c r="R810" s="312"/>
      <c r="S810" s="314"/>
      <c r="T810" s="314"/>
      <c r="U810" s="314"/>
      <c r="V810" s="314"/>
      <c r="W810" s="314"/>
      <c r="X810" s="314"/>
      <c r="Y810" s="314"/>
      <c r="Z810" s="314"/>
      <c r="AA810" s="314"/>
      <c r="AB810" s="314"/>
      <c r="AC810" s="314"/>
      <c r="AD810" s="314"/>
      <c r="AE810" s="314"/>
      <c r="AF810" s="314"/>
      <c r="AG810" s="314"/>
      <c r="AH810" s="314"/>
      <c r="AI810" s="314"/>
      <c r="AJ810" s="314"/>
      <c r="AK810" s="314"/>
      <c r="AL810" s="314"/>
      <c r="AM810" s="314"/>
      <c r="AN810" s="314"/>
      <c r="AO810" s="314"/>
      <c r="AP810" s="314"/>
      <c r="AQ810" s="314"/>
      <c r="AR810" s="314"/>
      <c r="AS810" s="314"/>
      <c r="AT810" s="314"/>
      <c r="AU810" s="314"/>
      <c r="AV810" s="314"/>
      <c r="AW810" s="314"/>
      <c r="AX810" s="314"/>
      <c r="AY810" s="314"/>
      <c r="AZ810" s="314"/>
      <c r="BA810" s="314"/>
      <c r="BB810" s="314"/>
      <c r="BC810" s="314"/>
      <c r="BD810" s="314"/>
      <c r="BE810" s="314"/>
      <c r="BF810" s="314"/>
      <c r="BG810" s="314"/>
      <c r="BH810" s="314"/>
      <c r="BI810" s="314"/>
      <c r="BJ810" s="314"/>
      <c r="BK810" s="314"/>
      <c r="BL810" s="314"/>
      <c r="BM810" s="314"/>
      <c r="BN810" s="314"/>
      <c r="BO810" s="314"/>
      <c r="BP810" s="314"/>
      <c r="BQ810" s="314"/>
      <c r="BR810" s="314"/>
      <c r="BS810" s="314"/>
      <c r="BT810" s="314"/>
      <c r="BU810" s="314"/>
      <c r="BV810" s="314"/>
      <c r="BW810" s="314"/>
      <c r="BX810" s="314"/>
      <c r="BY810" s="314"/>
      <c r="BZ810" s="314"/>
      <c r="CA810" s="314"/>
      <c r="CB810" s="314"/>
      <c r="CC810" s="314"/>
      <c r="CD810" s="314"/>
      <c r="CE810" s="314"/>
      <c r="CF810" s="314"/>
      <c r="CG810" s="314"/>
      <c r="CH810" s="314"/>
      <c r="CI810" s="314"/>
      <c r="CJ810" s="314"/>
      <c r="CK810" s="314"/>
      <c r="CL810" s="314"/>
      <c r="CM810" s="314"/>
      <c r="CN810" s="314"/>
      <c r="CO810" s="314"/>
      <c r="CP810" s="314"/>
      <c r="CQ810" s="314"/>
    </row>
    <row r="811" spans="1:95" ht="12.75" customHeight="1" x14ac:dyDescent="0.25">
      <c r="A811" s="307"/>
      <c r="B811" s="68"/>
      <c r="C811" s="68"/>
      <c r="D811" s="1246" t="str">
        <f>Translations!$B$399</f>
        <v>Tiers valid from:</v>
      </c>
      <c r="E811" s="1246"/>
      <c r="F811" s="1247"/>
      <c r="G811" s="8"/>
      <c r="H811" s="199" t="str">
        <f>Translations!$B$400</f>
        <v>until:</v>
      </c>
      <c r="I811" s="8"/>
      <c r="J811" s="76"/>
      <c r="K811" s="76"/>
      <c r="L811" s="76"/>
      <c r="M811" s="199" t="str">
        <f>Translations!$B$401</f>
        <v>ID used in the monitoring plan for this fuel stream:</v>
      </c>
      <c r="N811" s="9"/>
      <c r="O811" s="160"/>
      <c r="P811" s="109"/>
      <c r="Q811" s="312"/>
      <c r="R811" s="312"/>
      <c r="S811" s="465"/>
      <c r="T811" s="314"/>
      <c r="U811" s="314"/>
      <c r="V811" s="314"/>
      <c r="W811" s="314"/>
      <c r="X811" s="314"/>
      <c r="Y811" s="314"/>
      <c r="Z811" s="314"/>
      <c r="AA811" s="314"/>
      <c r="AB811" s="314"/>
      <c r="AC811" s="314"/>
      <c r="AD811" s="314"/>
      <c r="AE811" s="314"/>
      <c r="AF811" s="314"/>
      <c r="AG811" s="314"/>
      <c r="AH811" s="314"/>
      <c r="AI811" s="314"/>
      <c r="AJ811" s="314"/>
      <c r="AK811" s="314"/>
      <c r="AL811" s="314"/>
      <c r="AM811" s="314"/>
      <c r="AN811" s="314"/>
      <c r="AO811" s="314"/>
      <c r="AP811" s="314"/>
      <c r="AQ811" s="314"/>
      <c r="AR811" s="314"/>
      <c r="AS811" s="314"/>
      <c r="AT811" s="314"/>
      <c r="AU811" s="314"/>
      <c r="AV811" s="314"/>
      <c r="AW811" s="314"/>
      <c r="AX811" s="314"/>
      <c r="AY811" s="314"/>
      <c r="AZ811" s="314"/>
      <c r="BA811" s="314"/>
      <c r="BB811" s="314"/>
      <c r="BC811" s="314"/>
      <c r="BD811" s="314"/>
      <c r="BE811" s="314"/>
      <c r="BF811" s="314"/>
      <c r="BG811" s="314"/>
      <c r="BH811" s="314"/>
      <c r="BI811" s="314"/>
      <c r="BJ811" s="314"/>
      <c r="BK811" s="314"/>
      <c r="BL811" s="314"/>
      <c r="BM811" s="314"/>
      <c r="BN811" s="314"/>
      <c r="BO811" s="314"/>
      <c r="BP811" s="314"/>
      <c r="BQ811" s="314"/>
      <c r="BR811" s="314"/>
      <c r="BS811" s="314"/>
      <c r="BT811" s="314"/>
      <c r="BU811" s="314"/>
      <c r="BV811" s="314"/>
      <c r="BW811" s="314"/>
      <c r="BX811" s="314"/>
      <c r="BY811" s="314"/>
      <c r="BZ811" s="314"/>
      <c r="CA811" s="314"/>
      <c r="CB811" s="314"/>
      <c r="CC811" s="314"/>
      <c r="CD811" s="314"/>
      <c r="CE811" s="314"/>
      <c r="CF811" s="314"/>
      <c r="CG811" s="314"/>
      <c r="CH811" s="314"/>
      <c r="CI811" s="314"/>
      <c r="CJ811" s="314"/>
      <c r="CK811" s="314"/>
      <c r="CL811" s="314"/>
      <c r="CM811" s="314"/>
      <c r="CN811" s="314"/>
      <c r="CO811" s="314"/>
      <c r="CP811" s="314"/>
      <c r="CQ811" s="464" t="b">
        <f>CQ794</f>
        <v>0</v>
      </c>
    </row>
    <row r="812" spans="1:95" ht="5.15" customHeight="1" x14ac:dyDescent="0.25">
      <c r="A812" s="462"/>
      <c r="B812" s="76"/>
      <c r="C812" s="76"/>
      <c r="D812" s="76"/>
      <c r="E812" s="76"/>
      <c r="F812" s="76"/>
      <c r="G812" s="76"/>
      <c r="H812" s="76"/>
      <c r="I812" s="76"/>
      <c r="J812" s="76"/>
      <c r="K812" s="76"/>
      <c r="L812" s="76"/>
      <c r="M812" s="76"/>
      <c r="N812" s="76"/>
      <c r="O812" s="160"/>
      <c r="P812" s="109"/>
      <c r="Q812" s="312"/>
      <c r="R812" s="312"/>
      <c r="S812" s="314"/>
      <c r="T812" s="314"/>
      <c r="U812" s="314"/>
      <c r="V812" s="314"/>
      <c r="W812" s="314"/>
      <c r="X812" s="314"/>
      <c r="Y812" s="314"/>
      <c r="Z812" s="314"/>
      <c r="AA812" s="314"/>
      <c r="AB812" s="314"/>
      <c r="AC812" s="314"/>
      <c r="AD812" s="314"/>
      <c r="AE812" s="314"/>
      <c r="AF812" s="314"/>
      <c r="AG812" s="314"/>
      <c r="AH812" s="314"/>
      <c r="AI812" s="314"/>
      <c r="AJ812" s="314"/>
      <c r="AK812" s="314"/>
      <c r="AL812" s="314"/>
      <c r="AM812" s="314"/>
      <c r="AN812" s="314"/>
      <c r="AO812" s="314"/>
      <c r="AP812" s="314"/>
      <c r="AQ812" s="314"/>
      <c r="AR812" s="314"/>
      <c r="AS812" s="314"/>
      <c r="AT812" s="314"/>
      <c r="AU812" s="314"/>
      <c r="AV812" s="314"/>
      <c r="AW812" s="314"/>
      <c r="AX812" s="314"/>
      <c r="AY812" s="314"/>
      <c r="AZ812" s="314"/>
      <c r="BA812" s="314"/>
      <c r="BB812" s="314"/>
      <c r="BC812" s="314"/>
      <c r="BD812" s="314"/>
      <c r="BE812" s="314"/>
      <c r="BF812" s="314"/>
      <c r="BG812" s="314"/>
      <c r="BH812" s="314"/>
      <c r="BI812" s="314"/>
      <c r="BJ812" s="314"/>
      <c r="BK812" s="314"/>
      <c r="BL812" s="314"/>
      <c r="BM812" s="314"/>
      <c r="BN812" s="314"/>
      <c r="BO812" s="314"/>
      <c r="BP812" s="314"/>
      <c r="BQ812" s="314"/>
      <c r="BR812" s="314"/>
      <c r="BS812" s="314"/>
      <c r="BT812" s="314"/>
      <c r="BU812" s="314"/>
      <c r="BV812" s="314"/>
      <c r="BW812" s="314"/>
      <c r="BX812" s="314"/>
      <c r="BY812" s="314"/>
      <c r="BZ812" s="314"/>
      <c r="CA812" s="314"/>
      <c r="CB812" s="314"/>
      <c r="CC812" s="314"/>
      <c r="CD812" s="314"/>
      <c r="CE812" s="314"/>
      <c r="CF812" s="314"/>
      <c r="CG812" s="314"/>
      <c r="CH812" s="314"/>
      <c r="CI812" s="314"/>
      <c r="CJ812" s="314"/>
      <c r="CK812" s="314"/>
      <c r="CL812" s="314"/>
      <c r="CM812" s="314"/>
      <c r="CN812" s="314"/>
      <c r="CO812" s="314"/>
      <c r="CP812" s="314"/>
      <c r="CQ812" s="314"/>
    </row>
    <row r="813" spans="1:95" ht="12.75" customHeight="1" x14ac:dyDescent="0.25">
      <c r="A813" s="462"/>
      <c r="B813" s="76"/>
      <c r="C813" s="76"/>
      <c r="D813" s="115"/>
      <c r="E813" s="85"/>
      <c r="F813" s="466" t="str">
        <f>Translations!$B$304</f>
        <v>Comments:</v>
      </c>
      <c r="G813" s="1250"/>
      <c r="H813" s="1251"/>
      <c r="I813" s="1251"/>
      <c r="J813" s="1251"/>
      <c r="K813" s="1251"/>
      <c r="L813" s="1251"/>
      <c r="M813" s="1251"/>
      <c r="N813" s="1252"/>
      <c r="O813" s="160"/>
      <c r="P813" s="109"/>
      <c r="Q813" s="312"/>
      <c r="R813" s="312"/>
      <c r="S813" s="314"/>
      <c r="T813" s="314"/>
      <c r="U813" s="314"/>
      <c r="V813" s="314"/>
      <c r="W813" s="314"/>
      <c r="X813" s="314"/>
      <c r="Y813" s="314"/>
      <c r="Z813" s="314"/>
      <c r="AA813" s="314"/>
      <c r="AB813" s="314"/>
      <c r="AC813" s="314"/>
      <c r="AD813" s="314"/>
      <c r="AE813" s="314"/>
      <c r="AF813" s="314"/>
      <c r="AG813" s="314"/>
      <c r="AH813" s="314"/>
      <c r="AI813" s="314"/>
      <c r="AJ813" s="314"/>
      <c r="AK813" s="314"/>
      <c r="AL813" s="314"/>
      <c r="AM813" s="314"/>
      <c r="AN813" s="314"/>
      <c r="AO813" s="314"/>
      <c r="AP813" s="314"/>
      <c r="AQ813" s="314"/>
      <c r="AR813" s="314"/>
      <c r="AS813" s="314"/>
      <c r="AT813" s="314"/>
      <c r="AU813" s="314"/>
      <c r="AV813" s="314"/>
      <c r="AW813" s="314"/>
      <c r="AX813" s="314"/>
      <c r="AY813" s="314"/>
      <c r="AZ813" s="314"/>
      <c r="BA813" s="314"/>
      <c r="BB813" s="314"/>
      <c r="BC813" s="314"/>
      <c r="BD813" s="314"/>
      <c r="BE813" s="314"/>
      <c r="BF813" s="314"/>
      <c r="BG813" s="314"/>
      <c r="BH813" s="314"/>
      <c r="BI813" s="314"/>
      <c r="BJ813" s="314"/>
      <c r="BK813" s="314"/>
      <c r="BL813" s="314"/>
      <c r="BM813" s="314"/>
      <c r="BN813" s="314"/>
      <c r="BO813" s="314"/>
      <c r="BP813" s="314"/>
      <c r="BQ813" s="314"/>
      <c r="BR813" s="314"/>
      <c r="BS813" s="314"/>
      <c r="BT813" s="314"/>
      <c r="BU813" s="314"/>
      <c r="BV813" s="314"/>
      <c r="BW813" s="314"/>
      <c r="BX813" s="314"/>
      <c r="BY813" s="314"/>
      <c r="BZ813" s="314"/>
      <c r="CA813" s="314"/>
      <c r="CB813" s="314"/>
      <c r="CC813" s="314"/>
      <c r="CD813" s="314"/>
      <c r="CE813" s="314"/>
      <c r="CF813" s="314"/>
      <c r="CG813" s="314"/>
      <c r="CH813" s="314"/>
      <c r="CI813" s="314"/>
      <c r="CJ813" s="314"/>
      <c r="CK813" s="314"/>
      <c r="CL813" s="314"/>
      <c r="CM813" s="314"/>
      <c r="CN813" s="314"/>
      <c r="CO813" s="314"/>
      <c r="CP813" s="314"/>
      <c r="CQ813" s="464" t="b">
        <f>CQ811</f>
        <v>0</v>
      </c>
    </row>
    <row r="814" spans="1:95" ht="12.75" customHeight="1" thickBot="1" x14ac:dyDescent="0.3">
      <c r="A814" s="307"/>
      <c r="B814" s="76"/>
      <c r="C814" s="308"/>
      <c r="D814" s="309"/>
      <c r="E814" s="310"/>
      <c r="F814" s="308"/>
      <c r="G814" s="311"/>
      <c r="H814" s="311"/>
      <c r="I814" s="311"/>
      <c r="J814" s="311"/>
      <c r="K814" s="311"/>
      <c r="L814" s="311"/>
      <c r="M814" s="311"/>
      <c r="N814" s="311"/>
      <c r="O814" s="160"/>
      <c r="P814" s="109"/>
      <c r="Q814" s="312"/>
      <c r="R814" s="312"/>
      <c r="S814" s="293"/>
      <c r="T814" s="293"/>
      <c r="U814" s="313"/>
      <c r="V814" s="293"/>
      <c r="W814" s="293"/>
      <c r="X814" s="313"/>
      <c r="Y814" s="293"/>
      <c r="Z814" s="293"/>
      <c r="AA814" s="293"/>
      <c r="AB814" s="293"/>
      <c r="AC814" s="293"/>
      <c r="AD814" s="293"/>
      <c r="AE814" s="293"/>
      <c r="AF814" s="293"/>
      <c r="AG814" s="293"/>
      <c r="AH814" s="293"/>
      <c r="AI814" s="293"/>
      <c r="AJ814" s="293"/>
      <c r="AK814" s="293"/>
      <c r="AL814" s="293"/>
      <c r="AM814" s="293"/>
      <c r="AN814" s="293"/>
      <c r="AO814" s="293"/>
      <c r="AP814" s="293"/>
      <c r="AQ814" s="293"/>
      <c r="AR814" s="293"/>
      <c r="AS814" s="293"/>
      <c r="AT814" s="293"/>
      <c r="AU814" s="293"/>
      <c r="AV814" s="293"/>
      <c r="AW814" s="293"/>
      <c r="AX814" s="293"/>
      <c r="AY814" s="293"/>
      <c r="AZ814" s="293"/>
      <c r="BA814" s="293"/>
      <c r="BB814" s="293"/>
      <c r="BC814" s="293"/>
      <c r="BD814" s="293"/>
      <c r="BE814" s="293"/>
      <c r="BF814" s="293"/>
      <c r="BG814" s="293"/>
      <c r="BH814" s="293"/>
      <c r="BI814" s="293"/>
      <c r="BJ814" s="293"/>
      <c r="BK814" s="293"/>
      <c r="BL814" s="293"/>
      <c r="BM814" s="314"/>
      <c r="BN814" s="314"/>
      <c r="BO814" s="314"/>
      <c r="BP814" s="314"/>
      <c r="BQ814" s="314"/>
      <c r="BR814" s="314"/>
      <c r="BS814" s="314"/>
      <c r="BT814" s="314"/>
      <c r="BU814" s="293"/>
      <c r="BV814" s="293"/>
      <c r="BW814" s="293"/>
      <c r="BX814" s="293"/>
      <c r="BY814" s="293"/>
      <c r="BZ814" s="293"/>
      <c r="CA814" s="293"/>
      <c r="CB814" s="293"/>
      <c r="CC814" s="293"/>
      <c r="CD814" s="293"/>
      <c r="CE814" s="293"/>
      <c r="CF814" s="293"/>
      <c r="CG814" s="293"/>
      <c r="CH814" s="293"/>
      <c r="CI814" s="293"/>
      <c r="CJ814" s="293"/>
      <c r="CK814" s="293"/>
      <c r="CL814" s="293"/>
      <c r="CM814" s="293"/>
      <c r="CN814" s="293"/>
      <c r="CO814" s="293"/>
      <c r="CP814" s="293"/>
      <c r="CQ814" s="293"/>
    </row>
    <row r="815" spans="1:95" ht="12.75" customHeight="1" thickBot="1" x14ac:dyDescent="0.3">
      <c r="A815" s="315"/>
      <c r="B815" s="76"/>
      <c r="C815" s="76"/>
      <c r="D815" s="205"/>
      <c r="E815" s="316"/>
      <c r="F815" s="76"/>
      <c r="G815" s="96"/>
      <c r="H815" s="96"/>
      <c r="I815" s="96"/>
      <c r="J815" s="96"/>
      <c r="K815" s="76"/>
      <c r="L815" s="96"/>
      <c r="M815" s="96"/>
      <c r="N815" s="96"/>
      <c r="O815" s="160"/>
      <c r="P815" s="109"/>
      <c r="Q815" s="312"/>
      <c r="R815" s="312"/>
      <c r="S815" s="287"/>
      <c r="T815" s="317" t="str">
        <f>IF(ISBLANK(E816),"",MATCH(E816,CNTR_SourceStreamNames,0))</f>
        <v/>
      </c>
      <c r="U815" s="318" t="str">
        <f>IF(ISBLANK(E816),"",INDEX(B_IdentifyFuelStreams!$D$67:$D$116,MATCH(E816,CNTR_SourceStreamNames,0)))</f>
        <v/>
      </c>
      <c r="V815" s="301"/>
      <c r="W815" s="138"/>
      <c r="X815" s="138"/>
      <c r="Y815" s="138"/>
      <c r="Z815" s="293"/>
      <c r="AA815" s="293"/>
      <c r="AB815" s="293"/>
      <c r="AC815" s="293"/>
      <c r="AD815" s="293"/>
      <c r="AE815" s="293"/>
      <c r="AF815" s="293"/>
      <c r="AG815" s="293"/>
      <c r="AH815" s="293"/>
      <c r="AI815" s="293"/>
      <c r="AJ815" s="293"/>
      <c r="AK815" s="312"/>
      <c r="AL815" s="293"/>
      <c r="AM815" s="293"/>
      <c r="AN815" s="293"/>
      <c r="AO815" s="293"/>
      <c r="AP815" s="293"/>
      <c r="AQ815" s="293"/>
      <c r="AR815" s="293"/>
      <c r="AS815" s="293"/>
      <c r="AT815" s="293"/>
      <c r="AU815" s="293"/>
      <c r="AV815" s="293"/>
      <c r="AW815" s="293"/>
      <c r="AX815" s="293"/>
      <c r="AY815" s="293"/>
      <c r="AZ815" s="293"/>
      <c r="BA815" s="293"/>
      <c r="BB815" s="293"/>
      <c r="BC815" s="293"/>
      <c r="BD815" s="293"/>
      <c r="BE815" s="293"/>
      <c r="BF815" s="293"/>
      <c r="BG815" s="293"/>
      <c r="BH815" s="293"/>
      <c r="BI815" s="293"/>
      <c r="BJ815" s="138"/>
      <c r="BK815" s="138"/>
      <c r="BL815" s="138"/>
      <c r="BM815" s="138"/>
      <c r="BN815" s="138"/>
      <c r="BO815" s="138"/>
      <c r="BP815" s="138"/>
      <c r="BQ815" s="138"/>
      <c r="BR815" s="138"/>
      <c r="BS815" s="138"/>
      <c r="BT815" s="138"/>
      <c r="BU815" s="138"/>
      <c r="BV815" s="138"/>
      <c r="BW815" s="138"/>
      <c r="BX815" s="138"/>
      <c r="BY815" s="138"/>
      <c r="BZ815" s="138"/>
      <c r="CA815" s="138"/>
      <c r="CB815" s="138"/>
      <c r="CC815" s="138"/>
      <c r="CD815" s="138"/>
      <c r="CE815" s="138"/>
      <c r="CF815" s="138"/>
      <c r="CG815" s="138"/>
      <c r="CH815" s="138"/>
      <c r="CI815" s="138"/>
      <c r="CJ815" s="138"/>
      <c r="CK815" s="138"/>
      <c r="CL815" s="138"/>
      <c r="CM815" s="138"/>
      <c r="CN815" s="138"/>
      <c r="CO815" s="138"/>
      <c r="CP815" s="138"/>
      <c r="CQ815" s="319" t="s">
        <v>107</v>
      </c>
    </row>
    <row r="816" spans="1:95" ht="15" customHeight="1" thickBot="1" x14ac:dyDescent="0.3">
      <c r="A816" s="320">
        <f>C816</f>
        <v>28</v>
      </c>
      <c r="B816" s="68"/>
      <c r="C816" s="321">
        <f>C788+1</f>
        <v>28</v>
      </c>
      <c r="D816" s="68"/>
      <c r="E816" s="1269"/>
      <c r="F816" s="1270"/>
      <c r="G816" s="1270"/>
      <c r="H816" s="1270"/>
      <c r="I816" s="1270"/>
      <c r="J816" s="1271"/>
      <c r="K816" s="1272" t="str">
        <f>IF(INDEX(B_IdentifyFuelStreams!$K$125:$K$174,MATCH(U815,B_IdentifyFuelStreams!$D$125:$D$174,0))&gt;0,INDEX(B_IdentifyFuelStreams!$K$125:$K$174,MATCH(U815,B_IdentifyFuelStreams!$D$125:$D$174,0)),"")</f>
        <v/>
      </c>
      <c r="L816" s="1273"/>
      <c r="M816" s="316" t="str">
        <f>Translations!$B$621</f>
        <v>Emissions:</v>
      </c>
      <c r="N816" s="322" t="str">
        <f>IF(E817="","",BG822)</f>
        <v/>
      </c>
      <c r="O816" s="323" t="str">
        <f>EUconst_tCO2</f>
        <v>tCO2</v>
      </c>
      <c r="P816" s="324" t="str">
        <f>IF(AND(E816&lt;&gt;"",COUNTIF(P817:$P$1649,"PRINT")=0),"PRINT","")</f>
        <v/>
      </c>
      <c r="Q816" s="325" t="str">
        <f>EUconst_SumCO2</f>
        <v>SUM_CO2</v>
      </c>
      <c r="R816" s="312"/>
      <c r="S816" s="287"/>
      <c r="T816" s="287"/>
      <c r="U816" s="287"/>
      <c r="V816" s="301"/>
      <c r="W816" s="138"/>
      <c r="X816" s="293"/>
      <c r="Y816" s="293"/>
      <c r="Z816" s="293"/>
      <c r="AA816" s="293"/>
      <c r="AB816" s="293"/>
      <c r="AC816" s="293"/>
      <c r="AD816" s="293"/>
      <c r="AE816" s="293"/>
      <c r="AF816" s="293"/>
      <c r="AG816" s="293"/>
      <c r="AH816" s="293"/>
      <c r="AI816" s="326"/>
      <c r="AJ816" s="326"/>
      <c r="AK816" s="326"/>
      <c r="AL816" s="326"/>
      <c r="AM816" s="326"/>
      <c r="AN816" s="326"/>
      <c r="AO816" s="326"/>
      <c r="AP816" s="326"/>
      <c r="AQ816" s="326"/>
      <c r="AR816" s="326"/>
      <c r="AS816" s="326"/>
      <c r="AT816" s="326"/>
      <c r="AU816" s="326"/>
      <c r="AV816" s="326"/>
      <c r="AW816" s="326"/>
      <c r="AX816" s="326"/>
      <c r="AY816" s="326"/>
      <c r="AZ816" s="326"/>
      <c r="BA816" s="326"/>
      <c r="BB816" s="326"/>
      <c r="BC816" s="326"/>
      <c r="BD816" s="326"/>
      <c r="BE816" s="326"/>
      <c r="BF816" s="326"/>
      <c r="BG816" s="326"/>
      <c r="BH816" s="326"/>
      <c r="BI816" s="327" t="str">
        <f>IF(E816="","",E816)</f>
        <v/>
      </c>
      <c r="BJ816" s="328" t="str">
        <f>IF(F822="","",F822)</f>
        <v/>
      </c>
      <c r="BK816" s="329">
        <f>AV822</f>
        <v>0</v>
      </c>
      <c r="BL816" s="329">
        <f>IF(BK816="","",BK816*(1-BP816))</f>
        <v>0</v>
      </c>
      <c r="BM816" s="328" t="str">
        <f>AJ822</f>
        <v/>
      </c>
      <c r="BN816" s="328" t="str">
        <f>IF(F833="","",F833)</f>
        <v/>
      </c>
      <c r="BO816" s="327" t="str">
        <f>IF(G833="","",G833)</f>
        <v/>
      </c>
      <c r="BP816" s="330">
        <f>AV833</f>
        <v>0</v>
      </c>
      <c r="BQ816" s="328" t="str">
        <f>IF(F825="","",F825)</f>
        <v/>
      </c>
      <c r="BR816" s="330">
        <f>AV825</f>
        <v>0</v>
      </c>
      <c r="BS816" s="330" t="str">
        <f>AJ825</f>
        <v/>
      </c>
      <c r="BT816" s="328" t="str">
        <f>IF(F824="","",F824)</f>
        <v/>
      </c>
      <c r="BU816" s="330">
        <f>IF(F824=EUconst_NA,"",AV824)</f>
        <v>0</v>
      </c>
      <c r="BV816" s="330" t="str">
        <f>AJ824</f>
        <v/>
      </c>
      <c r="BW816" s="328" t="str">
        <f>IF(F826="","",F826)</f>
        <v/>
      </c>
      <c r="BX816" s="330">
        <f>AV826</f>
        <v>0</v>
      </c>
      <c r="BY816" s="328" t="str">
        <f>IF(F827="","",F827)</f>
        <v/>
      </c>
      <c r="BZ816" s="330">
        <f>AV827</f>
        <v>0</v>
      </c>
      <c r="CA816" s="330">
        <f>AV828</f>
        <v>0</v>
      </c>
      <c r="CB816" s="330">
        <f>AV829</f>
        <v>0</v>
      </c>
      <c r="CC816" s="330">
        <f>AV830</f>
        <v>0</v>
      </c>
      <c r="CD816" s="330">
        <f>AV831</f>
        <v>0</v>
      </c>
      <c r="CE816" s="329" t="str">
        <f>BG822</f>
        <v/>
      </c>
      <c r="CF816" s="329" t="str">
        <f>BG824</f>
        <v/>
      </c>
      <c r="CG816" s="329" t="str">
        <f>BG825</f>
        <v/>
      </c>
      <c r="CH816" s="329" t="str">
        <f>BG826</f>
        <v/>
      </c>
      <c r="CI816" s="329" t="str">
        <f>BG827</f>
        <v/>
      </c>
      <c r="CJ816" s="329" t="str">
        <f>BG828</f>
        <v/>
      </c>
      <c r="CK816" s="329" t="str">
        <f>BG829</f>
        <v/>
      </c>
      <c r="CL816" s="329">
        <f>BG830</f>
        <v>0</v>
      </c>
      <c r="CM816" s="329" t="str">
        <f>BG831</f>
        <v/>
      </c>
      <c r="CN816" s="329" t="str">
        <f>BG833</f>
        <v/>
      </c>
      <c r="CO816" s="329" t="str">
        <f>BG837</f>
        <v/>
      </c>
      <c r="CP816" s="329" t="str">
        <f>IF(COUNTIF(AO825:AO826,TRUE)=0,"",BH822)</f>
        <v/>
      </c>
      <c r="CQ816" s="331" t="b">
        <v>0</v>
      </c>
    </row>
    <row r="817" spans="1:95" ht="15" customHeight="1" thickBot="1" x14ac:dyDescent="0.3">
      <c r="A817" s="307"/>
      <c r="B817" s="68"/>
      <c r="C817" s="68"/>
      <c r="D817" s="68"/>
      <c r="E817" s="1274" t="str">
        <f>IF(ISBLANK(E816),"",IF(INDEX(B_IdentifyFuelStreams!$E$67:$E$116,MATCH(U815,B_IdentifyFuelStreams!$D$67:$D$116,0))&gt;0,INDEX(B_IdentifyFuelStreams!$E$67:$E$116,MATCH(U815,B_IdentifyFuelStreams!$D$67:$D$116,0)),""))</f>
        <v/>
      </c>
      <c r="F817" s="1275"/>
      <c r="G817" s="1275"/>
      <c r="H817" s="1275"/>
      <c r="I817" s="1275"/>
      <c r="J817" s="1276"/>
      <c r="K817" s="1272" t="str">
        <f>IF(INDEX(B_IdentifyFuelStreams!$M$125:$M$174,MATCH(U815,B_IdentifyFuelStreams!$D$125:$D$174,0))&gt;0,INDEX(B_IdentifyFuelStreams!$M$125:$M$174,MATCH(U815,B_IdentifyFuelStreams!$D$125:$D$174,0)),"")</f>
        <v/>
      </c>
      <c r="L817" s="1273"/>
      <c r="M817" s="332" t="str">
        <f>Translations!$B$622</f>
        <v>zero-rated:</v>
      </c>
      <c r="N817" s="333" t="str">
        <f>IF(E817="","",SUM(BG824,BG826,BG828))</f>
        <v/>
      </c>
      <c r="O817" s="334" t="str">
        <f>EUconst_tCO2</f>
        <v>tCO2</v>
      </c>
      <c r="P817" s="109"/>
      <c r="Q817" s="325" t="str">
        <f>EUconst_SumBioCO2</f>
        <v>SUM_bioCO2</v>
      </c>
      <c r="R817" s="312"/>
      <c r="S817" s="287"/>
      <c r="T817" s="287"/>
      <c r="U817" s="287"/>
      <c r="V817" s="301"/>
      <c r="W817" s="138"/>
      <c r="X817" s="293"/>
      <c r="Y817" s="317" t="str">
        <f>Translations!$B$143</f>
        <v>Tiers</v>
      </c>
      <c r="Z817" s="314"/>
      <c r="AA817" s="314"/>
      <c r="AB817" s="314"/>
      <c r="AC817" s="314"/>
      <c r="AD817" s="314"/>
      <c r="AE817" s="317" t="s">
        <v>108</v>
      </c>
      <c r="AF817" s="293"/>
      <c r="AG817" s="335"/>
      <c r="AH817" s="314"/>
      <c r="AI817" s="314"/>
      <c r="AJ817" s="335"/>
      <c r="AK817" s="335"/>
      <c r="AL817" s="326"/>
      <c r="AM817" s="326"/>
      <c r="AN817" s="326"/>
      <c r="AO817" s="326"/>
      <c r="AP817" s="326"/>
      <c r="AQ817" s="317" t="s">
        <v>109</v>
      </c>
      <c r="AR817" s="336"/>
      <c r="AS817" s="336"/>
      <c r="AT817" s="314"/>
      <c r="AU817" s="314"/>
      <c r="AV817" s="314"/>
      <c r="AW817" s="314"/>
      <c r="AX817" s="314"/>
      <c r="AY817" s="314"/>
      <c r="AZ817" s="317" t="s">
        <v>110</v>
      </c>
      <c r="BA817" s="314"/>
      <c r="BB817" s="314"/>
      <c r="BC817" s="314"/>
      <c r="BD817" s="314"/>
      <c r="BE817" s="314"/>
      <c r="BF817" s="317" t="s">
        <v>111</v>
      </c>
      <c r="BG817" s="314"/>
      <c r="BH817" s="314"/>
      <c r="BI817" s="317" t="s">
        <v>112</v>
      </c>
      <c r="BJ817" s="328" t="str">
        <f>Translations!$B$376</f>
        <v>RFA Tier</v>
      </c>
      <c r="BK817" s="328" t="str">
        <f>Translations!$B$377</f>
        <v>RFA</v>
      </c>
      <c r="BL817" s="328" t="str">
        <f>Translations!$B$378</f>
        <v>RFA (in scope)</v>
      </c>
      <c r="BM817" s="328" t="str">
        <f>Translations!$B$379</f>
        <v>RFA Unit</v>
      </c>
      <c r="BN817" s="328" t="str">
        <f>Translations!$B$380</f>
        <v>SF Tier</v>
      </c>
      <c r="BO817" s="328" t="str">
        <f>Translations!$B$380</f>
        <v>SF Tier</v>
      </c>
      <c r="BP817" s="328" t="str">
        <f>Translations!$B$381</f>
        <v>SF</v>
      </c>
      <c r="BQ817" s="328" t="str">
        <f>Translations!$B$382</f>
        <v>EF Tier</v>
      </c>
      <c r="BR817" s="328" t="str">
        <f>Translations!$B$383</f>
        <v>EF</v>
      </c>
      <c r="BS817" s="328" t="str">
        <f>Translations!$B$384</f>
        <v>EF Unit</v>
      </c>
      <c r="BT817" s="328" t="str">
        <f>Translations!$B$385</f>
        <v>UCF Tier</v>
      </c>
      <c r="BU817" s="328" t="str">
        <f>Translations!$B$386</f>
        <v>UCF</v>
      </c>
      <c r="BV817" s="328" t="str">
        <f>Translations!$B$387</f>
        <v>UCF Unit</v>
      </c>
      <c r="BW817" s="328" t="str">
        <f>Translations!$B$388</f>
        <v>Bio Tier</v>
      </c>
      <c r="BX817" s="328" t="s">
        <v>113</v>
      </c>
      <c r="BY817" s="328" t="str">
        <f>Translations!$B$389</f>
        <v>NonSustBio Tier</v>
      </c>
      <c r="BZ817" s="328" t="s">
        <v>114</v>
      </c>
      <c r="CA817" s="328" t="s">
        <v>115</v>
      </c>
      <c r="CB817" s="328" t="s">
        <v>116</v>
      </c>
      <c r="CC817" s="328" t="s">
        <v>117</v>
      </c>
      <c r="CD817" s="328" t="s">
        <v>118</v>
      </c>
      <c r="CE817" s="328" t="s">
        <v>119</v>
      </c>
      <c r="CF817" s="328" t="s">
        <v>120</v>
      </c>
      <c r="CG817" s="328" t="str">
        <f>Translations!$B$392</f>
        <v>CO2 non-sust</v>
      </c>
      <c r="CH817" s="328" t="s">
        <v>121</v>
      </c>
      <c r="CI817" s="328" t="s">
        <v>122</v>
      </c>
      <c r="CJ817" s="328" t="s">
        <v>123</v>
      </c>
      <c r="CK817" s="328" t="s">
        <v>124</v>
      </c>
      <c r="CL817" s="328" t="s">
        <v>125</v>
      </c>
      <c r="CM817" s="328" t="str">
        <f>Translations!$B$551</f>
        <v>Energy content (bio), TJ</v>
      </c>
      <c r="CN817" s="328" t="s">
        <v>126</v>
      </c>
      <c r="CO817" s="328" t="s">
        <v>127</v>
      </c>
      <c r="CP817" s="328" t="s">
        <v>128</v>
      </c>
      <c r="CQ817" s="314"/>
    </row>
    <row r="818" spans="1:95" ht="5.15" customHeight="1" thickBot="1" x14ac:dyDescent="0.3">
      <c r="A818" s="307"/>
      <c r="B818" s="68"/>
      <c r="C818" s="68"/>
      <c r="D818" s="68"/>
      <c r="E818" s="68"/>
      <c r="F818" s="68"/>
      <c r="G818" s="68"/>
      <c r="H818" s="76"/>
      <c r="I818" s="76"/>
      <c r="J818" s="76"/>
      <c r="K818" s="76"/>
      <c r="L818" s="76"/>
      <c r="M818" s="76"/>
      <c r="N818" s="76"/>
      <c r="O818" s="160"/>
      <c r="P818" s="109"/>
      <c r="Q818" s="312"/>
      <c r="R818" s="312"/>
      <c r="S818" s="287"/>
      <c r="T818" s="287"/>
      <c r="U818" s="287"/>
      <c r="V818" s="301"/>
      <c r="W818" s="314"/>
      <c r="X818" s="314"/>
      <c r="Y818" s="312"/>
      <c r="Z818" s="314"/>
      <c r="AA818" s="314"/>
      <c r="AB818" s="314"/>
      <c r="AC818" s="314"/>
      <c r="AD818" s="314"/>
      <c r="AE818" s="314"/>
      <c r="AF818" s="293"/>
      <c r="AG818" s="314"/>
      <c r="AH818" s="314"/>
      <c r="AI818" s="314"/>
      <c r="AJ818" s="335"/>
      <c r="AK818" s="335"/>
      <c r="AL818" s="326"/>
      <c r="AM818" s="326"/>
      <c r="AN818" s="326"/>
      <c r="AO818" s="326"/>
      <c r="AP818" s="326"/>
      <c r="AQ818" s="314"/>
      <c r="AR818" s="314"/>
      <c r="AS818" s="314"/>
      <c r="AT818" s="314"/>
      <c r="AU818" s="314"/>
      <c r="AV818" s="314"/>
      <c r="AW818" s="314"/>
      <c r="AX818" s="314"/>
      <c r="AY818" s="314"/>
      <c r="AZ818" s="314"/>
      <c r="BA818" s="314"/>
      <c r="BB818" s="314"/>
      <c r="BC818" s="314"/>
      <c r="BD818" s="314"/>
      <c r="BE818" s="314"/>
      <c r="BF818" s="314"/>
      <c r="BG818" s="314"/>
      <c r="BH818" s="314"/>
      <c r="BI818" s="314"/>
      <c r="BJ818" s="314"/>
      <c r="BK818" s="314"/>
      <c r="BL818" s="314"/>
      <c r="BM818" s="314"/>
      <c r="BN818" s="314"/>
      <c r="BO818" s="314"/>
      <c r="BP818" s="314"/>
      <c r="BQ818" s="314"/>
      <c r="BR818" s="314"/>
      <c r="BS818" s="314"/>
      <c r="BT818" s="314"/>
      <c r="BU818" s="314"/>
      <c r="BV818" s="314"/>
      <c r="BW818" s="314"/>
      <c r="BX818" s="314"/>
      <c r="BY818" s="314"/>
      <c r="BZ818" s="314"/>
      <c r="CA818" s="314"/>
      <c r="CB818" s="314"/>
      <c r="CC818" s="314"/>
      <c r="CD818" s="314"/>
      <c r="CE818" s="314"/>
      <c r="CF818" s="314"/>
      <c r="CG818" s="314"/>
      <c r="CH818" s="314"/>
      <c r="CI818" s="314"/>
      <c r="CJ818" s="314"/>
      <c r="CK818" s="314"/>
      <c r="CL818" s="314"/>
      <c r="CM818" s="314"/>
      <c r="CN818" s="314"/>
      <c r="CO818" s="314"/>
      <c r="CP818" s="314"/>
      <c r="CQ818" s="314"/>
    </row>
    <row r="819" spans="1:95" ht="12.75" customHeight="1" thickBot="1" x14ac:dyDescent="0.3">
      <c r="A819" s="307"/>
      <c r="B819" s="68"/>
      <c r="C819" s="68"/>
      <c r="D819" s="68"/>
      <c r="E819" s="1253" t="str">
        <f>IF(E816="","",HYPERLINK("#JUMP_E_Top",EUconst_FurtherGuidancePoint1))</f>
        <v/>
      </c>
      <c r="F819" s="1253"/>
      <c r="G819" s="1253"/>
      <c r="H819" s="1253"/>
      <c r="I819" s="1253"/>
      <c r="J819" s="1253"/>
      <c r="K819" s="1253"/>
      <c r="L819" s="1253"/>
      <c r="M819" s="1253"/>
      <c r="N819" s="76"/>
      <c r="O819" s="160"/>
      <c r="P819" s="109"/>
      <c r="Q819" s="325" t="str">
        <f>EUconst_SumNonSustBioCO2</f>
        <v>SUM_bioNonSustCO2</v>
      </c>
      <c r="R819" s="337" t="str">
        <f>IF(E817="","",BG825)</f>
        <v/>
      </c>
      <c r="S819" s="287"/>
      <c r="T819" s="287"/>
      <c r="U819" s="287"/>
      <c r="V819" s="314"/>
      <c r="W819" s="314"/>
      <c r="X819" s="314"/>
      <c r="Y819" s="293"/>
      <c r="Z819" s="314"/>
      <c r="AA819" s="314"/>
      <c r="AB819" s="314"/>
      <c r="AC819" s="314"/>
      <c r="AD819" s="314"/>
      <c r="AE819" s="314"/>
      <c r="AF819" s="293"/>
      <c r="AG819" s="314"/>
      <c r="AH819" s="314"/>
      <c r="AI819" s="314"/>
      <c r="AJ819" s="335"/>
      <c r="AK819" s="335"/>
      <c r="AL819" s="326"/>
      <c r="AM819" s="326"/>
      <c r="AN819" s="326"/>
      <c r="AO819" s="326"/>
      <c r="AP819" s="326"/>
      <c r="AQ819" s="314"/>
      <c r="AR819" s="314"/>
      <c r="AS819" s="314"/>
      <c r="AT819" s="314"/>
      <c r="AU819" s="314"/>
      <c r="AV819" s="314"/>
      <c r="AW819" s="314"/>
      <c r="AX819" s="314"/>
      <c r="AY819" s="314"/>
      <c r="AZ819" s="314"/>
      <c r="BA819" s="314"/>
      <c r="BB819" s="314"/>
      <c r="BC819" s="314"/>
      <c r="BD819" s="314"/>
      <c r="BE819" s="314"/>
      <c r="BF819" s="314"/>
      <c r="BG819" s="314"/>
      <c r="BH819" s="314"/>
      <c r="BI819" s="317" t="s">
        <v>129</v>
      </c>
      <c r="BJ819" s="336"/>
      <c r="BK819" s="327" t="str">
        <f>IF(G837="","",G837)</f>
        <v/>
      </c>
      <c r="BL819" s="327" t="str">
        <f>IF(I837="","",I837)</f>
        <v/>
      </c>
      <c r="BM819" s="327" t="str">
        <f>IF(K837="","",K837)</f>
        <v/>
      </c>
      <c r="BN819" s="314"/>
      <c r="BO819" s="314"/>
      <c r="BP819" s="314"/>
      <c r="BQ819" s="314"/>
      <c r="BR819" s="314"/>
      <c r="BS819" s="314"/>
      <c r="BT819" s="319"/>
      <c r="BU819" s="314"/>
      <c r="BV819" s="314"/>
      <c r="BW819" s="314"/>
      <c r="BX819" s="314"/>
      <c r="BY819" s="314"/>
      <c r="BZ819" s="314"/>
      <c r="CA819" s="314"/>
      <c r="CB819" s="314"/>
      <c r="CC819" s="314"/>
      <c r="CD819" s="314"/>
      <c r="CE819" s="314"/>
      <c r="CF819" s="314"/>
      <c r="CG819" s="314"/>
      <c r="CH819" s="314"/>
      <c r="CI819" s="314"/>
      <c r="CJ819" s="314"/>
      <c r="CK819" s="314"/>
      <c r="CL819" s="314"/>
      <c r="CM819" s="314"/>
      <c r="CN819" s="314"/>
      <c r="CO819" s="314"/>
      <c r="CP819" s="314"/>
      <c r="CQ819" s="314"/>
    </row>
    <row r="820" spans="1:95" ht="5.15" customHeight="1" thickBot="1" x14ac:dyDescent="0.3">
      <c r="A820" s="307"/>
      <c r="B820" s="68"/>
      <c r="C820" s="68"/>
      <c r="D820" s="68"/>
      <c r="E820" s="68"/>
      <c r="F820" s="68"/>
      <c r="G820" s="68"/>
      <c r="H820" s="76"/>
      <c r="I820" s="76"/>
      <c r="J820" s="76"/>
      <c r="K820" s="76"/>
      <c r="L820" s="76"/>
      <c r="M820" s="76"/>
      <c r="N820" s="76"/>
      <c r="O820" s="160"/>
      <c r="P820" s="111"/>
      <c r="Q820" s="287"/>
      <c r="R820" s="111"/>
      <c r="S820" s="287"/>
      <c r="T820" s="287"/>
      <c r="U820" s="287"/>
      <c r="V820" s="314"/>
      <c r="W820" s="314"/>
      <c r="X820" s="314"/>
      <c r="Y820" s="312"/>
      <c r="Z820" s="314"/>
      <c r="AA820" s="314"/>
      <c r="AB820" s="314"/>
      <c r="AC820" s="314"/>
      <c r="AD820" s="314"/>
      <c r="AE820" s="314"/>
      <c r="AF820" s="293"/>
      <c r="AG820" s="314"/>
      <c r="AH820" s="314"/>
      <c r="AI820" s="314"/>
      <c r="AJ820" s="335"/>
      <c r="AK820" s="335"/>
      <c r="AL820" s="326"/>
      <c r="AM820" s="326"/>
      <c r="AN820" s="326"/>
      <c r="AO820" s="326"/>
      <c r="AP820" s="326"/>
      <c r="AQ820" s="314"/>
      <c r="AR820" s="314"/>
      <c r="AS820" s="314"/>
      <c r="AT820" s="314"/>
      <c r="AU820" s="314"/>
      <c r="AV820" s="314"/>
      <c r="AW820" s="314"/>
      <c r="AX820" s="314"/>
      <c r="AY820" s="314"/>
      <c r="AZ820" s="314"/>
      <c r="BA820" s="314"/>
      <c r="BB820" s="314"/>
      <c r="BC820" s="314"/>
      <c r="BD820" s="314"/>
      <c r="BE820" s="314"/>
      <c r="BF820" s="314"/>
      <c r="BG820" s="314"/>
      <c r="BH820" s="314"/>
      <c r="BI820" s="314"/>
      <c r="BJ820" s="314"/>
      <c r="BK820" s="314"/>
      <c r="BL820" s="314"/>
      <c r="BM820" s="314"/>
      <c r="BN820" s="314"/>
      <c r="BO820" s="314"/>
      <c r="BP820" s="314"/>
      <c r="BQ820" s="314"/>
      <c r="BR820" s="314"/>
      <c r="BS820" s="314"/>
      <c r="BT820" s="314"/>
      <c r="BU820" s="314"/>
      <c r="BV820" s="314"/>
      <c r="BW820" s="314"/>
      <c r="BX820" s="314"/>
      <c r="BY820" s="314"/>
      <c r="BZ820" s="314"/>
      <c r="CA820" s="314"/>
      <c r="CB820" s="314"/>
      <c r="CC820" s="314"/>
      <c r="CD820" s="314"/>
      <c r="CE820" s="314"/>
      <c r="CF820" s="314"/>
      <c r="CG820" s="314"/>
      <c r="CH820" s="314"/>
      <c r="CI820" s="314"/>
      <c r="CJ820" s="314"/>
      <c r="CK820" s="314"/>
      <c r="CL820" s="314"/>
      <c r="CM820" s="314"/>
      <c r="CN820" s="314"/>
      <c r="CO820" s="314"/>
      <c r="CP820" s="314"/>
      <c r="CQ820" s="314"/>
    </row>
    <row r="821" spans="1:95" ht="12.75" customHeight="1" thickBot="1" x14ac:dyDescent="0.3">
      <c r="A821" s="307"/>
      <c r="B821" s="68"/>
      <c r="C821" s="68"/>
      <c r="D821" s="68"/>
      <c r="E821" s="68"/>
      <c r="F821" s="338" t="str">
        <f>Translations!$B$127</f>
        <v>Tier</v>
      </c>
      <c r="G821" s="1254" t="str">
        <f>Translations!$B$393</f>
        <v>tier description</v>
      </c>
      <c r="H821" s="1254"/>
      <c r="I821" s="1255" t="str">
        <f>Translations!$B$394</f>
        <v>Unit</v>
      </c>
      <c r="J821" s="1255"/>
      <c r="K821" s="1255" t="str">
        <f>Translations!$B$395</f>
        <v>Value</v>
      </c>
      <c r="L821" s="1255"/>
      <c r="M821" s="205" t="str">
        <f>Translations!$B$396</f>
        <v>error</v>
      </c>
      <c r="N821" s="76"/>
      <c r="O821" s="160"/>
      <c r="P821" s="339"/>
      <c r="Q821" s="325" t="str">
        <f>EUconst_SumEnergyIN</f>
        <v>SUM_EnergyIN</v>
      </c>
      <c r="R821" s="340" t="str">
        <f>IF(E817="","",BG830)</f>
        <v/>
      </c>
      <c r="S821" s="314"/>
      <c r="T821" s="314"/>
      <c r="U821" s="314"/>
      <c r="V821" s="341" t="s">
        <v>130</v>
      </c>
      <c r="W821" s="314"/>
      <c r="X821" s="314"/>
      <c r="Y821" s="312" t="s">
        <v>131</v>
      </c>
      <c r="Z821" s="312" t="s">
        <v>132</v>
      </c>
      <c r="AA821" s="314"/>
      <c r="AB821" s="314"/>
      <c r="AC821" s="336" t="s">
        <v>133</v>
      </c>
      <c r="AD821" s="314"/>
      <c r="AE821" s="314"/>
      <c r="AF821" s="314" t="s">
        <v>134</v>
      </c>
      <c r="AG821" s="314" t="s">
        <v>135</v>
      </c>
      <c r="AH821" s="312" t="s">
        <v>136</v>
      </c>
      <c r="AI821" s="335" t="s">
        <v>137</v>
      </c>
      <c r="AJ821" s="335" t="s">
        <v>138</v>
      </c>
      <c r="AK821" s="342" t="s">
        <v>139</v>
      </c>
      <c r="AL821" s="326"/>
      <c r="AM821" s="326"/>
      <c r="AN821" s="326"/>
      <c r="AO821" s="326"/>
      <c r="AP821" s="326"/>
      <c r="AQ821" s="314"/>
      <c r="AR821" s="314" t="s">
        <v>134</v>
      </c>
      <c r="AS821" s="314" t="s">
        <v>135</v>
      </c>
      <c r="AT821" s="343" t="s">
        <v>140</v>
      </c>
      <c r="AU821" s="335" t="s">
        <v>141</v>
      </c>
      <c r="AV821" s="335" t="s">
        <v>142</v>
      </c>
      <c r="AW821" s="342" t="s">
        <v>139</v>
      </c>
      <c r="AX821" s="342" t="s">
        <v>139</v>
      </c>
      <c r="AY821" s="314"/>
      <c r="AZ821" s="314"/>
      <c r="BA821" s="314"/>
      <c r="BB821" s="314" t="s">
        <v>143</v>
      </c>
      <c r="BC821" s="314"/>
      <c r="BD821" s="314"/>
      <c r="BE821" s="314"/>
      <c r="BF821" s="314"/>
      <c r="BG821" s="319" t="s">
        <v>144</v>
      </c>
      <c r="BH821" s="314" t="s">
        <v>145</v>
      </c>
      <c r="BI821" s="314"/>
      <c r="BJ821" s="314"/>
      <c r="BK821" s="314"/>
      <c r="BL821" s="314"/>
      <c r="BM821" s="314"/>
      <c r="BN821" s="314"/>
      <c r="BO821" s="314"/>
      <c r="BP821" s="314"/>
      <c r="BQ821" s="314"/>
      <c r="BR821" s="314"/>
      <c r="BS821" s="314"/>
      <c r="BT821" s="314"/>
      <c r="BU821" s="314"/>
      <c r="BV821" s="314"/>
      <c r="BW821" s="314"/>
      <c r="BX821" s="314"/>
      <c r="BY821" s="314"/>
      <c r="BZ821" s="314"/>
      <c r="CA821" s="314"/>
      <c r="CB821" s="314"/>
      <c r="CC821" s="314"/>
      <c r="CD821" s="314"/>
      <c r="CE821" s="314"/>
      <c r="CF821" s="314"/>
      <c r="CG821" s="314"/>
      <c r="CH821" s="314"/>
      <c r="CI821" s="314"/>
      <c r="CJ821" s="314"/>
      <c r="CK821" s="314"/>
      <c r="CL821" s="314"/>
      <c r="CM821" s="314"/>
      <c r="CN821" s="314"/>
      <c r="CO821" s="314"/>
      <c r="CP821" s="314"/>
      <c r="CQ821" s="319" t="s">
        <v>107</v>
      </c>
    </row>
    <row r="822" spans="1:95" ht="12.75" customHeight="1" thickBot="1" x14ac:dyDescent="0.3">
      <c r="A822" s="307"/>
      <c r="B822" s="68"/>
      <c r="C822" s="199" t="s">
        <v>12</v>
      </c>
      <c r="D822" s="344" t="str">
        <f>Translations!$B$356</f>
        <v>RFA:</v>
      </c>
      <c r="E822" s="345"/>
      <c r="F822" s="6"/>
      <c r="G822" s="1256" t="str">
        <f>IF(OR(ISBLANK(F822),F822=EUconst_NoTier),"",IF(Z822=0,EUconst_NA,IF(ISERROR(Z822),"",Z822)))</f>
        <v/>
      </c>
      <c r="H822" s="1257"/>
      <c r="I822" s="346" t="str">
        <f>IF(J822&lt;&gt;"","",AI822)</f>
        <v/>
      </c>
      <c r="J822" s="7"/>
      <c r="K822" s="1258"/>
      <c r="L822" s="1259"/>
      <c r="M822" s="347" t="str">
        <f>IF(AND(E817&lt;&gt;"",OR(F822="",COUNT(K822)=0),Y822&lt;&gt;EUconst_NA),EUconst_ERR_Incomplete,"")</f>
        <v/>
      </c>
      <c r="N822" s="76"/>
      <c r="O822" s="160"/>
      <c r="P822" s="348"/>
      <c r="Q822" s="325" t="str">
        <f>EUconst_SumBioEnergyIN</f>
        <v>SUM_BioEnergyIN</v>
      </c>
      <c r="R822" s="340" t="str">
        <f>IF(E817="","",BG831)</f>
        <v/>
      </c>
      <c r="S822" s="314"/>
      <c r="T822" s="349" t="str">
        <f>EUconst_CNTR_ActivityData&amp;E817</f>
        <v>ActivityData_</v>
      </c>
      <c r="U822" s="312"/>
      <c r="V822" s="349" t="str">
        <f>IF(E816="","",INDEX(B_IdentifyFuelStreams!$I$67:$I$116,MATCH(U815,B_IdentifyFuelStreams!$D$67:$D$116,0)))</f>
        <v/>
      </c>
      <c r="W822" s="335" t="s">
        <v>146</v>
      </c>
      <c r="X822" s="312"/>
      <c r="Y822" s="350" t="str">
        <f>IF(E817="","",INDEX(EUwideConstants!$P$164:$P$200,MATCH(T822,EUwideConstants!$S$164:$S$200,0)))</f>
        <v/>
      </c>
      <c r="Z822" s="351" t="str">
        <f>IF(ISBLANK(F822),"",IF(F822=EUconst_NA,"",INDEX(EUwideConstants!$H:$O,MATCH(T822,EUwideConstants!$S:$S,0),MATCH(F822,CNTR_TierList,0))))</f>
        <v/>
      </c>
      <c r="AA822" s="352" t="s">
        <v>136</v>
      </c>
      <c r="AB822" s="335"/>
      <c r="AC822" s="331" t="b">
        <f>E816&lt;&gt;""</f>
        <v>0</v>
      </c>
      <c r="AD822" s="314"/>
      <c r="AE822" s="353" t="str">
        <f>EUconst_CNTR_ActivityData&amp;EUconst_Unit</f>
        <v>ActivityData_Unit</v>
      </c>
      <c r="AF822" s="354" t="str">
        <f>IF(AC822=TRUE, IF(COUNTIF(MSPara_SourceStreamCategory,V822)=0,"",INDEX(MSPara_CalcFactorsMatrix,MATCH(V822,MSPara_SourceStreamCategory,0),MATCH(AE822&amp;"_"&amp;2,MSPara_CalcFactors,0))),"")</f>
        <v/>
      </c>
      <c r="AG822" s="355" t="str">
        <f>IF(AC822=TRUE, IF(COUNTIF(MSPara_SourceStreamCategory,V822)=0,"",INDEX(MSPara_CalcFactorsMatrix,MATCH(V822,MSPara_SourceStreamCategory,0),MATCH(AE822&amp;"_"&amp;1,MSPara_CalcFactors,0))),"")</f>
        <v/>
      </c>
      <c r="AH822" s="331" t="str">
        <f>IF(OR(AF822="",AF822=EUconst_NA),IF(OR(AG822=EUconst_NA,AG822=""),"",AG822),AF822)</f>
        <v/>
      </c>
      <c r="AI822" s="350" t="str">
        <f>IF(AC822=TRUE,IF(AH822="",EUconst_t,AH822),"")</f>
        <v/>
      </c>
      <c r="AJ822" s="356" t="str">
        <f>IF(J822="",AI822,J822)</f>
        <v/>
      </c>
      <c r="AK822" s="357" t="b">
        <f>AND(E816&lt;&gt;"",J822&lt;&gt;"")</f>
        <v>0</v>
      </c>
      <c r="AL822" s="326"/>
      <c r="AM822" s="358" t="s">
        <v>147</v>
      </c>
      <c r="AN822" s="359" t="str">
        <f>AJ822</f>
        <v/>
      </c>
      <c r="AO822" s="326"/>
      <c r="AP822" s="326"/>
      <c r="AQ822" s="349" t="str">
        <f>EUconst_CNTR_ActivityData&amp;EUconst_Value</f>
        <v>ActivityData_Value</v>
      </c>
      <c r="AR822" s="336"/>
      <c r="AS822" s="336"/>
      <c r="AT822" s="331" t="b">
        <f>AND(AND(AH822&lt;&gt;"",AJ822&lt;&gt;""),AJ822=AH822)</f>
        <v>0</v>
      </c>
      <c r="AU822" s="314"/>
      <c r="AV822" s="331">
        <f>IF(Y822=EUconst_NA,0,IF(COUNT(K822:K822)=0,0,IF(K822="",#REF!,K822)))</f>
        <v>0</v>
      </c>
      <c r="AW822" s="360" t="b">
        <f>AND(AC822=TRUE,OR(K822&lt;&gt;"",AU822=""))</f>
        <v>0</v>
      </c>
      <c r="AX822" s="360" t="b">
        <f>AND(AC822=TRUE,NOT(AW822))</f>
        <v>0</v>
      </c>
      <c r="AY822" s="314"/>
      <c r="AZ822" s="314" t="s">
        <v>148</v>
      </c>
      <c r="BA822" s="314" t="s">
        <v>149</v>
      </c>
      <c r="BB822" s="360"/>
      <c r="BC822" s="314" t="s">
        <v>150</v>
      </c>
      <c r="BD822" s="314"/>
      <c r="BE822" s="314"/>
      <c r="BF822" s="361" t="s">
        <v>119</v>
      </c>
      <c r="BG822" s="362" t="str">
        <f>IF(COUNTIF(AO825:AO826,TRUE)=0,"",BH822*AV833)</f>
        <v/>
      </c>
      <c r="BH822" s="362" t="str">
        <f>IF(COUNTIF(AO825:AO826,TRUE)=0,"",AV822*IF(AO825,1,AV824*AN826)*AV825-BH824-BH826-BH828)</f>
        <v/>
      </c>
      <c r="BI822" s="314"/>
      <c r="BJ822" s="314"/>
      <c r="BK822" s="314"/>
      <c r="BL822" s="314"/>
      <c r="BM822" s="314"/>
      <c r="BN822" s="314"/>
      <c r="BO822" s="314"/>
      <c r="BP822" s="314"/>
      <c r="BQ822" s="314"/>
      <c r="BR822" s="314"/>
      <c r="BS822" s="314"/>
      <c r="BT822" s="314"/>
      <c r="BU822" s="314"/>
      <c r="BV822" s="314"/>
      <c r="BW822" s="314"/>
      <c r="BX822" s="314"/>
      <c r="BY822" s="314"/>
      <c r="BZ822" s="314"/>
      <c r="CA822" s="314"/>
      <c r="CB822" s="314"/>
      <c r="CC822" s="314"/>
      <c r="CD822" s="314"/>
      <c r="CE822" s="314"/>
      <c r="CF822" s="314"/>
      <c r="CG822" s="314"/>
      <c r="CH822" s="314"/>
      <c r="CI822" s="314"/>
      <c r="CJ822" s="314"/>
      <c r="CK822" s="314"/>
      <c r="CL822" s="314"/>
      <c r="CM822" s="314"/>
      <c r="CN822" s="314"/>
      <c r="CO822" s="314"/>
      <c r="CP822" s="314"/>
      <c r="CQ822" s="360" t="b">
        <v>0</v>
      </c>
    </row>
    <row r="823" spans="1:95" ht="5.15" customHeight="1" thickBot="1" x14ac:dyDescent="0.3">
      <c r="A823" s="307"/>
      <c r="B823" s="68"/>
      <c r="C823" s="199"/>
      <c r="D823" s="202"/>
      <c r="E823" s="76"/>
      <c r="F823" s="76"/>
      <c r="G823" s="76"/>
      <c r="H823" s="76" t="str">
        <f>Translations!$B$397</f>
        <v xml:space="preserve"> </v>
      </c>
      <c r="I823" s="162"/>
      <c r="J823" s="162"/>
      <c r="K823" s="76"/>
      <c r="L823" s="76"/>
      <c r="M823" s="363"/>
      <c r="N823" s="76"/>
      <c r="O823" s="160"/>
      <c r="P823" s="109"/>
      <c r="Q823" s="312"/>
      <c r="R823" s="312"/>
      <c r="S823" s="314"/>
      <c r="T823" s="62"/>
      <c r="U823" s="312"/>
      <c r="V823" s="314"/>
      <c r="W823" s="314"/>
      <c r="X823" s="312"/>
      <c r="Y823" s="319"/>
      <c r="Z823" s="314"/>
      <c r="AA823" s="314"/>
      <c r="AB823" s="314"/>
      <c r="AC823" s="314"/>
      <c r="AD823" s="314"/>
      <c r="AE823" s="314"/>
      <c r="AF823" s="314"/>
      <c r="AG823" s="314"/>
      <c r="AH823" s="314"/>
      <c r="AI823" s="314"/>
      <c r="AJ823" s="314"/>
      <c r="AK823" s="314"/>
      <c r="AL823" s="326"/>
      <c r="AM823" s="326"/>
      <c r="AN823" s="326"/>
      <c r="AO823" s="326"/>
      <c r="AP823" s="326"/>
      <c r="AQ823" s="314"/>
      <c r="AR823" s="314"/>
      <c r="AS823" s="314"/>
      <c r="AT823" s="314"/>
      <c r="AU823" s="314"/>
      <c r="AV823" s="314"/>
      <c r="AW823" s="314"/>
      <c r="AX823" s="314"/>
      <c r="AY823" s="314"/>
      <c r="AZ823" s="314"/>
      <c r="BA823" s="314"/>
      <c r="BB823" s="314"/>
      <c r="BC823" s="314"/>
      <c r="BD823" s="314"/>
      <c r="BE823" s="314"/>
      <c r="BF823" s="314"/>
      <c r="BG823" s="364"/>
      <c r="BH823" s="364"/>
      <c r="BI823" s="314"/>
      <c r="BJ823" s="314"/>
      <c r="BK823" s="314"/>
      <c r="BL823" s="314"/>
      <c r="BM823" s="314"/>
      <c r="BN823" s="314"/>
      <c r="BO823" s="314"/>
      <c r="BP823" s="314"/>
      <c r="BQ823" s="314"/>
      <c r="BR823" s="314"/>
      <c r="BS823" s="314"/>
      <c r="BT823" s="314"/>
      <c r="BU823" s="314"/>
      <c r="BV823" s="314"/>
      <c r="BW823" s="314"/>
      <c r="BX823" s="314"/>
      <c r="BY823" s="314"/>
      <c r="BZ823" s="314"/>
      <c r="CA823" s="314"/>
      <c r="CB823" s="314"/>
      <c r="CC823" s="314"/>
      <c r="CD823" s="314"/>
      <c r="CE823" s="314"/>
      <c r="CF823" s="314"/>
      <c r="CG823" s="314"/>
      <c r="CH823" s="314"/>
      <c r="CI823" s="314"/>
      <c r="CJ823" s="314"/>
      <c r="CK823" s="314"/>
      <c r="CL823" s="314"/>
      <c r="CM823" s="314"/>
      <c r="CN823" s="314"/>
      <c r="CO823" s="314"/>
      <c r="CP823" s="314"/>
      <c r="CQ823" s="319"/>
    </row>
    <row r="824" spans="1:95" ht="12.75" customHeight="1" x14ac:dyDescent="0.25">
      <c r="A824" s="307"/>
      <c r="B824" s="68"/>
      <c r="C824" s="199" t="s">
        <v>13</v>
      </c>
      <c r="D824" s="344" t="str">
        <f>Translations!$B$360</f>
        <v>UCF:</v>
      </c>
      <c r="E824" s="345"/>
      <c r="F824" s="10"/>
      <c r="G824" s="1256" t="str">
        <f>IF(OR(ISBLANK(F824),F824=EUconst_NoTier),"",IF(Z824=0,EUconst_NotApplicable,IF(ISERROR(Z824),"",Z824)))</f>
        <v/>
      </c>
      <c r="H824" s="1257"/>
      <c r="I824" s="365" t="str">
        <f>IF(J824&lt;&gt;"","",AI824)</f>
        <v/>
      </c>
      <c r="J824" s="11"/>
      <c r="K824" s="366" t="str">
        <f>IF(L824="",AU824,"")</f>
        <v/>
      </c>
      <c r="L824" s="23"/>
      <c r="M824" s="347" t="str">
        <f>IF(AND(E817&lt;&gt;"",OR(F824="",COUNT(K824:L824)=0),Y824&lt;&gt;EUconst_NA),EUconst_ERR_Incomplete,IF(COUNTIF(BB824:BD824,TRUE)&gt;0,EUconst_ERR_Inconsistent,""))</f>
        <v/>
      </c>
      <c r="N824" s="367"/>
      <c r="O824" s="160"/>
      <c r="P824" s="109"/>
      <c r="Q824" s="312"/>
      <c r="R824" s="312"/>
      <c r="S824" s="314"/>
      <c r="T824" s="368" t="str">
        <f>EUconst_CNTR_UCF&amp;E817</f>
        <v>UCF_</v>
      </c>
      <c r="U824" s="312"/>
      <c r="V824" s="369" t="str">
        <f>V825</f>
        <v/>
      </c>
      <c r="W824" s="314"/>
      <c r="X824" s="312"/>
      <c r="Y824" s="370" t="str">
        <f>IF(E817="","",IF(OR(F824=EUconst_NA,W824=TRUE),EUconst_NA,INDEX(EUwideConstants!$P$164:$P$200,MATCH(T824,EUwideConstants!$S$164:$S$200,0))))</f>
        <v/>
      </c>
      <c r="Z824" s="371" t="str">
        <f>IF(ISBLANK(F824),"",IF(F824=EUconst_NA,"",INDEX(EUwideConstants!$H:$O,MATCH(T824,EUwideConstants!$S:$S,0),MATCH(F824,CNTR_TierList,0))))</f>
        <v/>
      </c>
      <c r="AA824" s="372" t="str">
        <f>IF(COUNTIF(EUconst_DefaultValues,Z824)&gt;0,MATCH(Z824,EUconst_DefaultValues,0),"")</f>
        <v/>
      </c>
      <c r="AB824" s="314"/>
      <c r="AC824" s="373" t="b">
        <f>AND(AC822,Y824&lt;&gt;EUconst_NA)</f>
        <v>0</v>
      </c>
      <c r="AD824" s="314"/>
      <c r="AE824" s="353" t="str">
        <f>EUconst_CNTR_UCF&amp;EUconst_Unit</f>
        <v>UCF_Unit</v>
      </c>
      <c r="AF824" s="374" t="str">
        <f>IF(AC824=TRUE, IF(COUNTIF(MSPara_SourceStreamCategory,V824)=0,"",INDEX(MSPara_CalcFactorsMatrix,MATCH(V824,MSPara_SourceStreamCategory,0),MATCH(AE824&amp;"_"&amp;2,MSPara_CalcFactors,0))),"")</f>
        <v/>
      </c>
      <c r="AG824" s="375" t="str">
        <f>IF(AC824=TRUE, IF(COUNTIF(MSPara_SourceStreamCategory,V824)=0,"",INDEX(MSPara_CalcFactorsMatrix,MATCH(V824,MSPara_SourceStreamCategory,0),MATCH(AE824&amp;"_"&amp;1,MSPara_CalcFactors,0))),"")</f>
        <v/>
      </c>
      <c r="AH824" s="373" t="str">
        <f>IF(AA824="","",INDEX(AF824:AG824,3-AA824))</f>
        <v/>
      </c>
      <c r="AI824" s="373" t="str">
        <f>IF(AC824=TRUE,IF(OR(AH824="",AH824=EUconst_NA),EUconst_GJ&amp;"/"&amp;AJ822,AH824),"")</f>
        <v/>
      </c>
      <c r="AJ824" s="373" t="str">
        <f>IF(J824="",AI824,J824)</f>
        <v/>
      </c>
      <c r="AK824" s="369" t="b">
        <f>AND(E816&lt;&gt;"",J824&lt;&gt;"")</f>
        <v>0</v>
      </c>
      <c r="AL824" s="326"/>
      <c r="AM824" s="358" t="s">
        <v>151</v>
      </c>
      <c r="AN824" s="359" t="str">
        <f>IF(AJ824="",EUconst_NA,IF(AN822=EUconst_TJ,EUconst_TJ,INDEX(EUwideConstants!$C$135:$G$139,MATCH(AN822,RFAUnits,0),MATCH(AJ824,UCFUnits,0))))</f>
        <v>n.a.</v>
      </c>
      <c r="AO824" s="326"/>
      <c r="AP824" s="326"/>
      <c r="AQ824" s="376" t="str">
        <f>EUconst_CNTR_UCF&amp;EUconst_Value</f>
        <v>UCF_Value</v>
      </c>
      <c r="AR824" s="377" t="str">
        <f>IF(AC824=TRUE,IF(COUNTIF(MSPara_SourceStreamCategory,V824)=0,"",INDEX(MSPara_CalcFactorsMatrix,MATCH(V824,MSPara_SourceStreamCategory,0),MATCH(AQ824&amp;"_"&amp;2,MSPara_CalcFactors,0))),"")</f>
        <v/>
      </c>
      <c r="AS824" s="378" t="str">
        <f>IF(AC824=TRUE,IF(COUNTIF(MSPara_SourceStreamCategory,V824)=0,"",INDEX(MSPara_CalcFactorsMatrix,MATCH(V824,MSPara_SourceStreamCategory,0),MATCH(AQ824&amp;"_"&amp;1,MSPara_CalcFactors,0))),"")</f>
        <v/>
      </c>
      <c r="AT824" s="379" t="b">
        <f>AND(AND(AH824&lt;&gt;"",AJ824&lt;&gt;""),AJ824=AH824)</f>
        <v>0</v>
      </c>
      <c r="AU824" s="380" t="str">
        <f>IF(AND(AA824&lt;&gt;"",AT824=TRUE),IF(OR(INDEX(AR824:AS824,3-AA824)=EUconst_NA,INDEX(AR824:AS824,3-AA824)=0),"",INDEX(AR824:AS824,3-AA824)),"")</f>
        <v/>
      </c>
      <c r="AV824" s="373">
        <f>IF(AC824=TRUE,IF(COUNT(K824:L824)=0,0,IF(L824="",K824,L824)),0)</f>
        <v>0</v>
      </c>
      <c r="AW824" s="369" t="b">
        <f t="shared" ref="AW824:AW831" si="243">AND(AC824=TRUE,OR(AND(F824&lt;&gt;"",NOT(ISNUMBER(AA824))),L824&lt;&gt;"",F824="",AU824=""))</f>
        <v>0</v>
      </c>
      <c r="AX824" s="381" t="b">
        <f t="shared" ref="AX824:AX831" si="244">AND(AC824=TRUE,NOT(AW824))</f>
        <v>0</v>
      </c>
      <c r="AY824" s="314"/>
      <c r="AZ824" s="382" t="b">
        <f t="shared" ref="AZ824:AZ831" si="245">AND(ISNUMBER(AA824),AU824="")</f>
        <v>0</v>
      </c>
      <c r="BA824" s="383" t="b">
        <f t="shared" ref="BA824:BA831" si="246">AND(ISNUMBER(AA824),AU824&lt;&gt;AV824)</f>
        <v>0</v>
      </c>
      <c r="BB824" s="369" t="b">
        <f>AND(E817&lt;&gt;"",F824&lt;&gt;EUconst_NA,AN824=EUconst_NA)</f>
        <v>0</v>
      </c>
      <c r="BC824" s="369" t="b">
        <f t="shared" ref="BC824:BC831" si="247">AND(L824&lt;&gt;"",Y824=EUconst_NA)</f>
        <v>0</v>
      </c>
      <c r="BD824" s="314"/>
      <c r="BE824" s="314"/>
      <c r="BF824" s="382" t="s">
        <v>152</v>
      </c>
      <c r="BG824" s="384" t="str">
        <f>IF(COUNTIF(AO825:AO826,TRUE)=0,"",BH824*AV833)</f>
        <v/>
      </c>
      <c r="BH824" s="384" t="str">
        <f>IF(COUNTIF(AO825:AO826,TRUE)=0,"",AV822*IF(AO825,1,AV824*AN826)*AV825*AV826)</f>
        <v/>
      </c>
      <c r="BI824" s="314"/>
      <c r="BJ824" s="314"/>
      <c r="BK824" s="314"/>
      <c r="BL824" s="314"/>
      <c r="BM824" s="314"/>
      <c r="BN824" s="314"/>
      <c r="BO824" s="314"/>
      <c r="BP824" s="314"/>
      <c r="BQ824" s="314"/>
      <c r="BR824" s="314"/>
      <c r="BS824" s="314"/>
      <c r="BT824" s="314"/>
      <c r="BU824" s="314"/>
      <c r="BV824" s="314"/>
      <c r="BW824" s="314"/>
      <c r="BX824" s="314"/>
      <c r="BY824" s="314"/>
      <c r="BZ824" s="314"/>
      <c r="CA824" s="314"/>
      <c r="CB824" s="314"/>
      <c r="CC824" s="314"/>
      <c r="CD824" s="314"/>
      <c r="CE824" s="314"/>
      <c r="CF824" s="314"/>
      <c r="CG824" s="314"/>
      <c r="CH824" s="314"/>
      <c r="CI824" s="314"/>
      <c r="CJ824" s="314"/>
      <c r="CK824" s="314"/>
      <c r="CL824" s="314"/>
      <c r="CM824" s="314"/>
      <c r="CN824" s="314"/>
      <c r="CO824" s="314"/>
      <c r="CP824" s="314"/>
      <c r="CQ824" s="369" t="b">
        <f>OR(CQ822,Y824=EUconst_NA)</f>
        <v>0</v>
      </c>
    </row>
    <row r="825" spans="1:95" ht="12.75" customHeight="1" thickBot="1" x14ac:dyDescent="0.3">
      <c r="A825" s="307"/>
      <c r="B825" s="68"/>
      <c r="C825" s="199" t="s">
        <v>14</v>
      </c>
      <c r="D825" s="344" t="str">
        <f>Translations!$B$358</f>
        <v>(prelim) EF:</v>
      </c>
      <c r="E825" s="345"/>
      <c r="F825" s="59"/>
      <c r="G825" s="1256" t="str">
        <f>IF(OR(ISBLANK(F825),F825=EUconst_NoTier),"",IF(Z825=0,EUconst_NotApplicable,IF(ISERROR(Z825),"",Z825)))</f>
        <v/>
      </c>
      <c r="H825" s="1260"/>
      <c r="I825" s="385" t="str">
        <f>IF(J825&lt;&gt;"","",AI825)</f>
        <v/>
      </c>
      <c r="J825" s="22"/>
      <c r="K825" s="386" t="str">
        <f>IF(L825="",AU825,"")</f>
        <v/>
      </c>
      <c r="L825" s="58"/>
      <c r="M825" s="347" t="str">
        <f>IF(AND(E817&lt;&gt;"",OR(F825="",COUNT(K825:L825)=0),Y825&lt;&gt;EUconst_NA),EUconst_ERR_Incomplete,IF(COUNTIF(BB825:BD825,TRUE)&gt;0,EUconst_ERR_Inconsistent,""))</f>
        <v/>
      </c>
      <c r="N825" s="387"/>
      <c r="O825" s="160"/>
      <c r="P825" s="109"/>
      <c r="Q825" s="312"/>
      <c r="R825" s="312"/>
      <c r="S825" s="314"/>
      <c r="T825" s="388" t="str">
        <f>EUconst_CNTR_EF&amp;E817</f>
        <v>EF_</v>
      </c>
      <c r="U825" s="312"/>
      <c r="V825" s="389" t="str">
        <f>V822</f>
        <v/>
      </c>
      <c r="W825" s="314"/>
      <c r="X825" s="312"/>
      <c r="Y825" s="390" t="str">
        <f>IF(E817="","",IF(OR(F825=EUconst_NA,W825=TRUE),EUconst_NA,INDEX(EUwideConstants!$P$164:$P$200,MATCH(T825,EUwideConstants!$S$164:$S$200,0))))</f>
        <v/>
      </c>
      <c r="Z825" s="391" t="str">
        <f>IF(ISBLANK(F825),"",IF(F825=EUconst_NA,"",INDEX(EUwideConstants!$H:$O,MATCH(T825,EUwideConstants!$S:$S,0),MATCH(F825,CNTR_TierList,0))))</f>
        <v/>
      </c>
      <c r="AA825" s="392" t="str">
        <f>IF(COUNTIF(EUconst_DefaultValues,Z825)&gt;0,MATCH(Z825,EUconst_DefaultValues,0),"")</f>
        <v/>
      </c>
      <c r="AB825" s="314"/>
      <c r="AC825" s="393" t="b">
        <f>AND(AC822,Y825&lt;&gt;EUconst_NA)</f>
        <v>0</v>
      </c>
      <c r="AD825" s="314"/>
      <c r="AE825" s="394" t="str">
        <f>EUconst_CNTR_EF&amp;EUconst_Unit</f>
        <v>EF_Unit</v>
      </c>
      <c r="AF825" s="395" t="str">
        <f>IF(AC825=TRUE, IF(COUNTIF(MSPara_SourceStreamCategory,V825)=0,"",INDEX(MSPara_CalcFactorsMatrix,MATCH(V825,MSPara_SourceStreamCategory,0),MATCH(AE825&amp;"_"&amp;2,MSPara_CalcFactors,0))),"")</f>
        <v/>
      </c>
      <c r="AG825" s="396" t="str">
        <f>IF(AC825=TRUE, IF(COUNTIF(MSPara_SourceStreamCategory,V825)=0,"",INDEX(MSPara_CalcFactorsMatrix,MATCH(V825,MSPara_SourceStreamCategory,0),MATCH(AE825&amp;"_"&amp;1,MSPara_CalcFactors,0))),"")</f>
        <v/>
      </c>
      <c r="AH825" s="397" t="str">
        <f>IF(AA825="","",INDEX(AF825:AG825,3-AA825))</f>
        <v/>
      </c>
      <c r="AI825" s="397" t="str">
        <f>IF(AC825=TRUE,IF(OR(AH825="",AH825=EUconst_NA),EUconst_tCO2&amp;"/"&amp;IF(AN824=EUconst_NA,AN822,IF(AN824=EUconst_GJ,EUconst_TJ,AN824)),AH825),"")</f>
        <v/>
      </c>
      <c r="AJ825" s="397" t="str">
        <f>IF(J825="",AI825,J825)</f>
        <v/>
      </c>
      <c r="AK825" s="398" t="b">
        <f>AND(E817&lt;&gt;"",J825&lt;&gt;"")</f>
        <v>0</v>
      </c>
      <c r="AL825" s="326"/>
      <c r="AM825" s="358" t="s">
        <v>153</v>
      </c>
      <c r="AN825" s="359" t="str">
        <f>IF(COUNTIF(RFAUnits,AN822)=0,EUconst_NA,INDEX(EUwideConstants!$C$150:$H$154,MATCH(AJ825,EFUnits,0),MATCH(AN822,EUwideConstants!$C$149:$H$149,0)))</f>
        <v>n.a.</v>
      </c>
      <c r="AO825" s="359" t="b">
        <f>AN825&lt;&gt;EUconst_NA</f>
        <v>0</v>
      </c>
      <c r="AP825" s="326"/>
      <c r="AQ825" s="399" t="str">
        <f>EUconst_CNTR_EF&amp;EUconst_Value</f>
        <v>EF_Value</v>
      </c>
      <c r="AR825" s="400" t="str">
        <f>IF(AC825=TRUE,IF(COUNTIF(MSPara_SourceStreamCategory,V825)=0,"",INDEX(MSPara_CalcFactorsMatrix,MATCH(V825,MSPara_SourceStreamCategory,0),MATCH(AQ825&amp;"_"&amp;2,MSPara_CalcFactors,0))),"")</f>
        <v/>
      </c>
      <c r="AS825" s="401" t="str">
        <f>IF(AC825=TRUE,IF(COUNTIF(MSPara_SourceStreamCategory,V825)=0,"",INDEX(MSPara_CalcFactorsMatrix,MATCH(V825,MSPara_SourceStreamCategory,0),MATCH(AQ825&amp;"_"&amp;1,MSPara_CalcFactors,0))),"")</f>
        <v/>
      </c>
      <c r="AT825" s="402" t="b">
        <f>AND(AND(AH825&lt;&gt;"",AJ825&lt;&gt;""),AJ825=AH825)</f>
        <v>0</v>
      </c>
      <c r="AU825" s="403" t="str">
        <f>IF(AND(AA825&lt;&gt;"",AT825=TRUE),IF(OR(INDEX(AR825:AS825,3-AA825)=EUconst_NA,INDEX(AR825:AS825,3-AA825)=0),"",INDEX(AR825:AS825,3-AA825)),"")</f>
        <v/>
      </c>
      <c r="AV825" s="393">
        <f>IF(AC825=TRUE,IF(COUNT(K825:L825)=0,0,IF(L825="",K825,L825)),0)</f>
        <v>0</v>
      </c>
      <c r="AW825" s="389" t="b">
        <f t="shared" si="243"/>
        <v>0</v>
      </c>
      <c r="AX825" s="404" t="b">
        <f t="shared" si="244"/>
        <v>0</v>
      </c>
      <c r="AY825" s="314"/>
      <c r="AZ825" s="405" t="b">
        <f t="shared" si="245"/>
        <v>0</v>
      </c>
      <c r="BA825" s="406" t="b">
        <f t="shared" si="246"/>
        <v>0</v>
      </c>
      <c r="BB825" s="407" t="b">
        <f>AND(E817&lt;&gt;"",COUNTIF(AO825:AO826,TRUE)=0)</f>
        <v>0</v>
      </c>
      <c r="BC825" s="389" t="b">
        <f t="shared" si="247"/>
        <v>0</v>
      </c>
      <c r="BD825" s="314"/>
      <c r="BE825" s="314"/>
      <c r="BF825" s="408" t="s">
        <v>154</v>
      </c>
      <c r="BG825" s="409" t="str">
        <f>IF(COUNTIF(AO825:AO826,TRUE)=0,"",BH825*AV833)</f>
        <v/>
      </c>
      <c r="BH825" s="409" t="str">
        <f>IF(COUNTIF(AO825:AO826,TRUE)=0,"",AV822*IF(AO825,1,AV824*AN826)*AV825*AV827)</f>
        <v/>
      </c>
      <c r="BI825" s="314"/>
      <c r="BJ825" s="314"/>
      <c r="BK825" s="314"/>
      <c r="BL825" s="314"/>
      <c r="BM825" s="314"/>
      <c r="BN825" s="314"/>
      <c r="BO825" s="314"/>
      <c r="BP825" s="314"/>
      <c r="BQ825" s="314"/>
      <c r="BR825" s="314"/>
      <c r="BS825" s="314"/>
      <c r="BT825" s="314"/>
      <c r="BU825" s="314"/>
      <c r="BV825" s="314"/>
      <c r="BW825" s="314"/>
      <c r="BX825" s="314"/>
      <c r="BY825" s="314"/>
      <c r="BZ825" s="314"/>
      <c r="CA825" s="314"/>
      <c r="CB825" s="314"/>
      <c r="CC825" s="314"/>
      <c r="CD825" s="314"/>
      <c r="CE825" s="314"/>
      <c r="CF825" s="314"/>
      <c r="CG825" s="314"/>
      <c r="CH825" s="314"/>
      <c r="CI825" s="314"/>
      <c r="CJ825" s="314"/>
      <c r="CK825" s="314"/>
      <c r="CL825" s="314"/>
      <c r="CM825" s="314"/>
      <c r="CN825" s="314"/>
      <c r="CO825" s="314"/>
      <c r="CP825" s="314"/>
      <c r="CQ825" s="407" t="b">
        <f>OR(CQ822,Y825=EUconst_NA)</f>
        <v>0</v>
      </c>
    </row>
    <row r="826" spans="1:95" ht="12.75" customHeight="1" x14ac:dyDescent="0.25">
      <c r="A826" s="307"/>
      <c r="B826" s="68"/>
      <c r="C826" s="199" t="s">
        <v>15</v>
      </c>
      <c r="D826" s="344" t="str">
        <f>Translations!$B$362</f>
        <v>BioF:</v>
      </c>
      <c r="E826" s="345"/>
      <c r="F826" s="10"/>
      <c r="G826" s="1256" t="str">
        <f>IF(OR(ISBLANK(F826),F826=EUconst_NoTier),"",IF(Z826=0,EUconst_NotApplicable,IF(ISERROR(Z826),"",Z826)))</f>
        <v/>
      </c>
      <c r="H826" s="1257"/>
      <c r="I826" s="410" t="str">
        <f t="shared" ref="I826:I831" si="248">IF(OR(AC826=FALSE,Y826=EUconst_NA),"","-")</f>
        <v/>
      </c>
      <c r="J826" s="411"/>
      <c r="K826" s="412" t="str">
        <f>IF(L826="",AU826,"")</f>
        <v/>
      </c>
      <c r="L826" s="60"/>
      <c r="M826" s="347" t="str">
        <f>IF(AND(E817&lt;&gt;"",OR(F826="",COUNT(K826:L826)=0),Y826&lt;&gt;EUconst_NA),EUconst_ERR_Incomplete,IF(COUNTIF(BB826:BD826,TRUE)&gt;0,EUconst_ERR_Inconsistent,""))</f>
        <v/>
      </c>
      <c r="O826" s="160"/>
      <c r="P826" s="348"/>
      <c r="Q826" s="413"/>
      <c r="R826" s="413"/>
      <c r="S826" s="314"/>
      <c r="T826" s="388" t="str">
        <f>EUconst_CNTR_BiomassContent&amp;E817</f>
        <v>BioC_</v>
      </c>
      <c r="U826" s="312"/>
      <c r="V826" s="369" t="str">
        <f>V824</f>
        <v/>
      </c>
      <c r="W826" s="369" t="str">
        <f>IF(OR(V826="",COUNTIF(MSPara_SourceStreamCategory,V826)=0),"",INDEX(MSPara_IsFossil,MATCH(V826,MSPara_SourceStreamCategory,0)))</f>
        <v/>
      </c>
      <c r="X826" s="312"/>
      <c r="Y826" s="370" t="str">
        <f>IF(E817="","",IF(OR(F826=EUconst_NA,W826=TRUE),EUconst_NA,INDEX(EUwideConstants!$P$164:$P$200,MATCH(T826,EUwideConstants!$S$164:$S$200,0))))</f>
        <v/>
      </c>
      <c r="Z826" s="371" t="str">
        <f>IF(ISBLANK(F826),"",IF(F826=EUconst_NA,"",INDEX(EUwideConstants!$H:$O,MATCH(T826,EUwideConstants!$S:$S,0),MATCH(F826,CNTR_TierList,0))))</f>
        <v/>
      </c>
      <c r="AA826" s="414" t="str">
        <f>IF(F826=1,1,"")</f>
        <v/>
      </c>
      <c r="AB826" s="314"/>
      <c r="AC826" s="373" t="b">
        <f>AND(AC822,Y826&lt;&gt;EUconst_NA)</f>
        <v>0</v>
      </c>
      <c r="AD826" s="314"/>
      <c r="AE826" s="415"/>
      <c r="AF826" s="416"/>
      <c r="AG826" s="417"/>
      <c r="AH826" s="418"/>
      <c r="AI826" s="418"/>
      <c r="AJ826" s="418"/>
      <c r="AK826" s="419"/>
      <c r="AL826" s="326"/>
      <c r="AM826" s="358" t="s">
        <v>155</v>
      </c>
      <c r="AN826" s="359" t="str">
        <f>IF(AN824=EUconst_NA,EUconst_NA,INDEX(EUwideConstants!$C$150:$H$154,MATCH(AJ825,EFUnits,0),MATCH(AN824,EUwideConstants!$C$149:$H$149,0)))</f>
        <v>n.a.</v>
      </c>
      <c r="AO826" s="359" t="b">
        <f>AN826&lt;&gt;EUconst_NA</f>
        <v>0</v>
      </c>
      <c r="AP826" s="326"/>
      <c r="AQ826" s="376" t="str">
        <f>EUconst_CNTR_BiomassContent&amp;EUconst_Value</f>
        <v>BioC_Value</v>
      </c>
      <c r="AR826" s="420"/>
      <c r="AS826" s="378" t="str">
        <f t="shared" ref="AS826:AS831" si="249">IF(AC826=TRUE,IF(COUNTIF(MSPara_SourceStreamCategory,V826)=0,"",INDEX(MSPara_CalcFactorsMatrix,MATCH(V826,MSPara_SourceStreamCategory,0),MATCH(AQ826&amp;"_"&amp;2,MSPara_CalcFactors,0))),"")</f>
        <v/>
      </c>
      <c r="AT826" s="421"/>
      <c r="AU826" s="380" t="str">
        <f t="shared" ref="AU826:AU831" si="250">IF(OR(AA826="",AS826=EUconst_NA),"",AS826)</f>
        <v/>
      </c>
      <c r="AV826" s="373">
        <f>IF(AC826=TRUE,IF(COUNT(K826:L826)=0,0,IF(L826="",K826,L826)),0)</f>
        <v>0</v>
      </c>
      <c r="AW826" s="369" t="b">
        <f t="shared" si="243"/>
        <v>0</v>
      </c>
      <c r="AX826" s="381" t="b">
        <f t="shared" si="244"/>
        <v>0</v>
      </c>
      <c r="AY826" s="314"/>
      <c r="AZ826" s="382" t="b">
        <f t="shared" si="245"/>
        <v>0</v>
      </c>
      <c r="BA826" s="383" t="b">
        <f t="shared" si="246"/>
        <v>0</v>
      </c>
      <c r="BB826" s="314"/>
      <c r="BC826" s="369" t="b">
        <f t="shared" si="247"/>
        <v>0</v>
      </c>
      <c r="BD826" s="369" t="b">
        <f>OR(AV826&gt;100%,(AV826+AV827)&gt;100%)</f>
        <v>0</v>
      </c>
      <c r="BE826" s="314"/>
      <c r="BF826" s="382" t="s">
        <v>156</v>
      </c>
      <c r="BG826" s="384" t="str">
        <f>IF(COUNTIF(AO825:AO826,TRUE)=0,"",BH826*AV833)</f>
        <v/>
      </c>
      <c r="BH826" s="384" t="str">
        <f>IF(COUNTIF(AO825:AO826,TRUE)=0,"",AV822*IF(AO825,1,AV824*AN826)*AV825*AV828)</f>
        <v/>
      </c>
      <c r="BJ826" s="314"/>
      <c r="BK826" s="314"/>
      <c r="BL826" s="314"/>
      <c r="BM826" s="314"/>
      <c r="BN826" s="314"/>
      <c r="BO826" s="314"/>
      <c r="BP826" s="314"/>
      <c r="BQ826" s="314"/>
      <c r="BR826" s="314"/>
      <c r="BS826" s="314"/>
      <c r="BT826" s="314"/>
      <c r="BU826" s="314"/>
      <c r="BV826" s="314"/>
      <c r="BW826" s="314"/>
      <c r="BX826" s="314"/>
      <c r="BY826" s="314"/>
      <c r="BZ826" s="314"/>
      <c r="CA826" s="314"/>
      <c r="CB826" s="314"/>
      <c r="CC826" s="314"/>
      <c r="CD826" s="314"/>
      <c r="CE826" s="314"/>
      <c r="CF826" s="314"/>
      <c r="CG826" s="314"/>
      <c r="CH826" s="314"/>
      <c r="CI826" s="314"/>
      <c r="CJ826" s="314"/>
      <c r="CK826" s="314"/>
      <c r="CL826" s="314"/>
      <c r="CM826" s="314"/>
      <c r="CN826" s="314"/>
      <c r="CO826" s="314"/>
      <c r="CP826" s="314"/>
      <c r="CQ826" s="369" t="b">
        <f>OR(CQ822,Y826=EUconst_NA)</f>
        <v>0</v>
      </c>
    </row>
    <row r="827" spans="1:95" ht="12.75" customHeight="1" thickBot="1" x14ac:dyDescent="0.3">
      <c r="A827" s="307"/>
      <c r="B827" s="68"/>
      <c r="C827" s="199" t="s">
        <v>16</v>
      </c>
      <c r="D827" s="344" t="str">
        <f>Translations!$B$368</f>
        <v>non-sust. BioF:</v>
      </c>
      <c r="E827" s="345"/>
      <c r="F827" s="20"/>
      <c r="G827" s="1256" t="str">
        <f>IF(OR(ISBLANK(F827),F827=EUconst_NoTier),"",IF(Z827=0,EUconst_NotApplicable,IF(ISERROR(Z827),"",Z827)))</f>
        <v/>
      </c>
      <c r="H827" s="1257"/>
      <c r="I827" s="422" t="str">
        <f t="shared" si="248"/>
        <v/>
      </c>
      <c r="J827" s="423"/>
      <c r="K827" s="424" t="str">
        <f>IF(L827="",AU827,"")</f>
        <v/>
      </c>
      <c r="L827" s="21"/>
      <c r="M827" s="347" t="str">
        <f>IF(AND(E817&lt;&gt;"",OR(F827="",COUNT(K827:L827)=0),Y827&lt;&gt;EUconst_NA),EUconst_ERR_Incomplete,IF(COUNTIF(BB827:BD827,TRUE)&gt;0,EUconst_ERR_Inconsistent,""))</f>
        <v/>
      </c>
      <c r="N827" s="76"/>
      <c r="O827" s="160"/>
      <c r="P827" s="348"/>
      <c r="Q827" s="413"/>
      <c r="R827" s="413"/>
      <c r="S827" s="314"/>
      <c r="T827" s="425" t="str">
        <f>EUconst_CNTR_BiomassContent&amp;E817</f>
        <v>BioC_</v>
      </c>
      <c r="U827" s="312"/>
      <c r="V827" s="407" t="str">
        <f>V826</f>
        <v/>
      </c>
      <c r="W827" s="407" t="str">
        <f>IF(OR(V826="",COUNTIF(MSPara_SourceStreamCategory,V827)=0),"",INDEX(MSPara_IsFossil,MATCH(V827,MSPara_SourceStreamCategory,0)))</f>
        <v/>
      </c>
      <c r="X827" s="312"/>
      <c r="Y827" s="426" t="str">
        <f>IF(E817="","",IF(OR(F827=EUconst_NA,W827=TRUE),EUconst_NA,INDEX(EUwideConstants!$P$164:$P$200,MATCH(T827,EUwideConstants!$S$164:$S$200,0))))</f>
        <v/>
      </c>
      <c r="Z827" s="427" t="str">
        <f>IF(ISBLANK(F827),"",IF(F827=EUconst_NA,"",INDEX(EUwideConstants!$H:$O,MATCH(T827,EUwideConstants!$S:$S,0),MATCH(F827,CNTR_TierList,0))))</f>
        <v/>
      </c>
      <c r="AA827" s="428" t="str">
        <f>IF(F827=1,1,"")</f>
        <v/>
      </c>
      <c r="AB827" s="314"/>
      <c r="AC827" s="429" t="b">
        <f>AND(AC822,Y827&lt;&gt;EUconst_NA)</f>
        <v>0</v>
      </c>
      <c r="AD827" s="314"/>
      <c r="AE827" s="430"/>
      <c r="AF827" s="431"/>
      <c r="AG827" s="432"/>
      <c r="AH827" s="433"/>
      <c r="AI827" s="433"/>
      <c r="AJ827" s="433"/>
      <c r="AK827" s="434"/>
      <c r="AL827" s="326"/>
      <c r="AM827" s="326"/>
      <c r="AN827" s="326"/>
      <c r="AO827" s="326"/>
      <c r="AP827" s="326"/>
      <c r="AQ827" s="435" t="str">
        <f>EUconst_CNTR_BiomassContent&amp;EUconst_Value</f>
        <v>BioC_Value</v>
      </c>
      <c r="AR827" s="430"/>
      <c r="AS827" s="436" t="str">
        <f t="shared" si="249"/>
        <v/>
      </c>
      <c r="AT827" s="437"/>
      <c r="AU827" s="438" t="str">
        <f t="shared" si="250"/>
        <v/>
      </c>
      <c r="AV827" s="429">
        <f>IF(AC827=TRUE,IF(COUNT(K827:L827)=0,0,IF(L827="",K827,L827)),0)</f>
        <v>0</v>
      </c>
      <c r="AW827" s="407" t="b">
        <f t="shared" si="243"/>
        <v>0</v>
      </c>
      <c r="AX827" s="439" t="b">
        <f t="shared" si="244"/>
        <v>0</v>
      </c>
      <c r="AY827" s="314"/>
      <c r="AZ827" s="408" t="b">
        <f t="shared" si="245"/>
        <v>0</v>
      </c>
      <c r="BA827" s="440" t="b">
        <f t="shared" si="246"/>
        <v>0</v>
      </c>
      <c r="BB827" s="314"/>
      <c r="BC827" s="407" t="b">
        <f t="shared" si="247"/>
        <v>0</v>
      </c>
      <c r="BD827" s="407" t="b">
        <f>OR(AV826&gt;100%,(AV826+AV827)&gt;100%)</f>
        <v>0</v>
      </c>
      <c r="BE827" s="314"/>
      <c r="BF827" s="408" t="s">
        <v>157</v>
      </c>
      <c r="BG827" s="409" t="str">
        <f>IF(COUNTIF(AO825:AO826,TRUE)=0,"",BH827*AV833)</f>
        <v/>
      </c>
      <c r="BH827" s="409" t="str">
        <f>IF(COUNTIF(AO825:AO826,TRUE)=0,"",AV822*IF(AO825,1,AV824*AN826)*AV825*AV829)</f>
        <v/>
      </c>
      <c r="BJ827" s="314"/>
      <c r="BK827" s="314"/>
      <c r="BL827" s="314"/>
      <c r="BM827" s="314"/>
      <c r="BN827" s="314"/>
      <c r="BO827" s="314"/>
      <c r="BP827" s="314"/>
      <c r="BQ827" s="314"/>
      <c r="BR827" s="314"/>
      <c r="BS827" s="314"/>
      <c r="BT827" s="314"/>
      <c r="BU827" s="314"/>
      <c r="BV827" s="314"/>
      <c r="BW827" s="314"/>
      <c r="BX827" s="314"/>
      <c r="BY827" s="314"/>
      <c r="BZ827" s="314"/>
      <c r="CA827" s="314"/>
      <c r="CB827" s="314"/>
      <c r="CC827" s="314"/>
      <c r="CD827" s="314"/>
      <c r="CE827" s="314"/>
      <c r="CF827" s="314"/>
      <c r="CG827" s="314"/>
      <c r="CH827" s="314"/>
      <c r="CI827" s="314"/>
      <c r="CJ827" s="314"/>
      <c r="CK827" s="314"/>
      <c r="CL827" s="314"/>
      <c r="CM827" s="314"/>
      <c r="CN827" s="314"/>
      <c r="CO827" s="314"/>
      <c r="CP827" s="314"/>
      <c r="CQ827" s="407" t="b">
        <f>OR(CQ822,Y827=EUconst_NA)</f>
        <v>0</v>
      </c>
    </row>
    <row r="828" spans="1:95" ht="12.75" customHeight="1" thickBot="1" x14ac:dyDescent="0.3">
      <c r="A828" s="307"/>
      <c r="B828" s="68"/>
      <c r="C828" s="199" t="s">
        <v>17</v>
      </c>
      <c r="D828" s="344" t="str">
        <f>Translations!$B$610</f>
        <v>sust. RFNBO/RCF:</v>
      </c>
      <c r="E828" s="441"/>
      <c r="F828" s="19" t="s">
        <v>158</v>
      </c>
      <c r="G828" s="1261"/>
      <c r="H828" s="1262"/>
      <c r="I828" s="442" t="str">
        <f t="shared" si="248"/>
        <v/>
      </c>
      <c r="J828" s="411"/>
      <c r="K828" s="443"/>
      <c r="L828" s="55"/>
      <c r="M828" s="347" t="str">
        <f>IF(AND(E817&lt;&gt;"",OR(F828="",COUNT(L828)=0),Y828&lt;&gt;EUconst_NA),EUconst_ERR_Incomplete,"")</f>
        <v/>
      </c>
      <c r="N828" s="76"/>
      <c r="O828" s="160"/>
      <c r="P828" s="348"/>
      <c r="Q828" s="413"/>
      <c r="R828" s="413"/>
      <c r="S828" s="314"/>
      <c r="T828" s="388" t="str">
        <f>EUconst_CNTR_RFNBOetcContent&amp;E817</f>
        <v>RNFBOC_</v>
      </c>
      <c r="U828" s="312"/>
      <c r="V828" s="312"/>
      <c r="W828" s="312"/>
      <c r="X828" s="312"/>
      <c r="Y828" s="380" t="str">
        <f>IF(E817="","",IF(OR(F828=EUconst_NA,W828=TRUE),EUconst_NA,INDEX(EUwideConstants!$P$164:$P$200,MATCH(T828,EUwideConstants!$S$164:$S$200,0))))</f>
        <v/>
      </c>
      <c r="Z828" s="314"/>
      <c r="AA828" s="314"/>
      <c r="AB828" s="314"/>
      <c r="AC828" s="397" t="b">
        <f>AND(AC824,Y828&lt;&gt;EUconst_NA)</f>
        <v>0</v>
      </c>
      <c r="AD828" s="314"/>
      <c r="AE828" s="415"/>
      <c r="AF828" s="416"/>
      <c r="AG828" s="417"/>
      <c r="AH828" s="418"/>
      <c r="AI828" s="418"/>
      <c r="AJ828" s="418"/>
      <c r="AK828" s="419"/>
      <c r="AL828" s="326"/>
      <c r="AM828" s="326"/>
      <c r="AN828" s="326"/>
      <c r="AO828" s="326"/>
      <c r="AP828" s="326"/>
      <c r="AQ828" s="444" t="s">
        <v>159</v>
      </c>
      <c r="AR828" s="415"/>
      <c r="AS828" s="445" t="str">
        <f t="shared" si="249"/>
        <v/>
      </c>
      <c r="AT828" s="446"/>
      <c r="AU828" s="447" t="str">
        <f t="shared" si="250"/>
        <v/>
      </c>
      <c r="AV828" s="397">
        <f>IF(L828&lt;&gt;0,L828,L828)</f>
        <v>0</v>
      </c>
      <c r="AW828" s="398" t="b">
        <f t="shared" si="243"/>
        <v>0</v>
      </c>
      <c r="AX828" s="448" t="b">
        <f t="shared" si="244"/>
        <v>0</v>
      </c>
      <c r="AY828" s="314"/>
      <c r="AZ828" s="449" t="b">
        <f t="shared" si="245"/>
        <v>0</v>
      </c>
      <c r="BA828" s="450" t="b">
        <f t="shared" si="246"/>
        <v>0</v>
      </c>
      <c r="BB828" s="314"/>
      <c r="BC828" s="398" t="b">
        <f t="shared" si="247"/>
        <v>0</v>
      </c>
      <c r="BD828" s="369" t="b">
        <f>OR(AV828&gt;100%,(AV828+AV829)&gt;100%)</f>
        <v>0</v>
      </c>
      <c r="BE828" s="314"/>
      <c r="BF828" s="451" t="s">
        <v>160</v>
      </c>
      <c r="BG828" s="452" t="str">
        <f>IF(COUNTIF(AO825:AO826,TRUE)=0,"",BH828*AV833)</f>
        <v/>
      </c>
      <c r="BH828" s="452" t="str">
        <f>IF(COUNTIF(AO825:AO826,TRUE)=0,"",AV822*IF(AO825,1,AV824*AN826)*AV825*AV830)</f>
        <v/>
      </c>
      <c r="BJ828" s="314"/>
      <c r="BK828" s="314"/>
      <c r="BL828" s="314"/>
      <c r="BM828" s="314"/>
      <c r="BN828" s="314"/>
      <c r="BO828" s="314"/>
      <c r="BP828" s="314"/>
      <c r="BQ828" s="314"/>
      <c r="BR828" s="314"/>
      <c r="BS828" s="314"/>
      <c r="BT828" s="314"/>
      <c r="BU828" s="314"/>
      <c r="BV828" s="314"/>
      <c r="BW828" s="314"/>
      <c r="BX828" s="314"/>
      <c r="BY828" s="314"/>
      <c r="BZ828" s="314"/>
      <c r="CA828" s="314"/>
      <c r="CB828" s="314"/>
      <c r="CC828" s="314"/>
      <c r="CD828" s="314"/>
      <c r="CE828" s="314"/>
      <c r="CF828" s="314"/>
      <c r="CG828" s="314"/>
      <c r="CH828" s="314"/>
      <c r="CI828" s="314"/>
      <c r="CJ828" s="314"/>
      <c r="CK828" s="314"/>
      <c r="CL828" s="314"/>
      <c r="CM828" s="314"/>
      <c r="CN828" s="314"/>
      <c r="CO828" s="314"/>
      <c r="CP828" s="314"/>
      <c r="CQ828" s="407" t="b">
        <f>OR(CQ822,Y828=EUconst_NA)</f>
        <v>0</v>
      </c>
    </row>
    <row r="829" spans="1:95" ht="12.75" customHeight="1" thickBot="1" x14ac:dyDescent="0.3">
      <c r="A829" s="307"/>
      <c r="B829" s="68"/>
      <c r="C829" s="199" t="s">
        <v>161</v>
      </c>
      <c r="D829" s="344" t="str">
        <f>Translations!$B$613</f>
        <v>non-sust. RFNBO/RCF:</v>
      </c>
      <c r="E829" s="441"/>
      <c r="F829" s="20" t="s">
        <v>158</v>
      </c>
      <c r="G829" s="1261"/>
      <c r="H829" s="1262"/>
      <c r="I829" s="422" t="str">
        <f t="shared" si="248"/>
        <v/>
      </c>
      <c r="J829" s="423"/>
      <c r="K829" s="443"/>
      <c r="L829" s="56"/>
      <c r="M829" s="347" t="str">
        <f>IF(AND(E817&lt;&gt;"",OR(F829="",COUNT(L829)=0),Y829&lt;&gt;EUconst_NA),EUconst_ERR_Incomplete,"")</f>
        <v/>
      </c>
      <c r="N829" s="76"/>
      <c r="O829" s="160"/>
      <c r="P829" s="348"/>
      <c r="Q829" s="413"/>
      <c r="R829" s="413"/>
      <c r="S829" s="314"/>
      <c r="T829" s="425" t="str">
        <f>EUconst_CNTR_RFNBOetcContent&amp;E817</f>
        <v>RNFBOC_</v>
      </c>
      <c r="U829" s="312"/>
      <c r="V829" s="312"/>
      <c r="W829" s="312"/>
      <c r="X829" s="312"/>
      <c r="Y829" s="438" t="str">
        <f>IF(E817="","",IF(OR(F829=EUconst_NA,W829=TRUE),EUconst_NA,INDEX(EUwideConstants!$P$164:$P$200,MATCH(T829,EUwideConstants!$S$164:$S$200,0))))</f>
        <v/>
      </c>
      <c r="Z829" s="314"/>
      <c r="AA829" s="314"/>
      <c r="AB829" s="314"/>
      <c r="AC829" s="429" t="b">
        <f>AND(AC824,Y829&lt;&gt;EUconst_NA)</f>
        <v>0</v>
      </c>
      <c r="AD829" s="314"/>
      <c r="AE829" s="430"/>
      <c r="AF829" s="431"/>
      <c r="AG829" s="432"/>
      <c r="AH829" s="433"/>
      <c r="AI829" s="433"/>
      <c r="AJ829" s="433"/>
      <c r="AK829" s="434"/>
      <c r="AL829" s="326"/>
      <c r="AM829" s="326"/>
      <c r="AN829" s="326"/>
      <c r="AO829" s="326"/>
      <c r="AP829" s="326"/>
      <c r="AQ829" s="435" t="s">
        <v>159</v>
      </c>
      <c r="AR829" s="430"/>
      <c r="AS829" s="436" t="str">
        <f t="shared" si="249"/>
        <v/>
      </c>
      <c r="AT829" s="437"/>
      <c r="AU829" s="438" t="str">
        <f t="shared" si="250"/>
        <v/>
      </c>
      <c r="AV829" s="429">
        <f t="shared" ref="AV829:AV831" si="251">IF(L829&lt;&gt;0,L829,L829)</f>
        <v>0</v>
      </c>
      <c r="AW829" s="407" t="b">
        <f t="shared" si="243"/>
        <v>0</v>
      </c>
      <c r="AX829" s="439" t="b">
        <f t="shared" si="244"/>
        <v>0</v>
      </c>
      <c r="AY829" s="314"/>
      <c r="AZ829" s="408" t="b">
        <f t="shared" si="245"/>
        <v>0</v>
      </c>
      <c r="BA829" s="440" t="b">
        <f t="shared" si="246"/>
        <v>0</v>
      </c>
      <c r="BB829" s="314"/>
      <c r="BC829" s="407" t="b">
        <f t="shared" si="247"/>
        <v>0</v>
      </c>
      <c r="BD829" s="407" t="b">
        <f>OR(AV828&gt;100%,(AV828+AV829)&gt;100%)</f>
        <v>0</v>
      </c>
      <c r="BE829" s="314"/>
      <c r="BF829" s="408" t="s">
        <v>162</v>
      </c>
      <c r="BG829" s="409" t="str">
        <f>IF(COUNTIF(AO825:AO826,TRUE)=0,"",BH829*AV833)</f>
        <v/>
      </c>
      <c r="BH829" s="409" t="str">
        <f>IF(COUNTIF(AO825:AO826,TRUE)=0,"",AV822*IF(AO825,1,AV824*AN826)*AV825*AV831)</f>
        <v/>
      </c>
      <c r="BJ829" s="314"/>
      <c r="BK829" s="314"/>
      <c r="BL829" s="314"/>
      <c r="BM829" s="314"/>
      <c r="BN829" s="314"/>
      <c r="BO829" s="314"/>
      <c r="BP829" s="314"/>
      <c r="BQ829" s="314"/>
      <c r="BR829" s="314"/>
      <c r="BS829" s="314"/>
      <c r="BT829" s="314"/>
      <c r="BU829" s="314"/>
      <c r="BV829" s="314"/>
      <c r="BW829" s="314"/>
      <c r="BX829" s="314"/>
      <c r="BY829" s="314"/>
      <c r="BZ829" s="314"/>
      <c r="CA829" s="314"/>
      <c r="CB829" s="314"/>
      <c r="CC829" s="314"/>
      <c r="CD829" s="314"/>
      <c r="CE829" s="314"/>
      <c r="CF829" s="314"/>
      <c r="CG829" s="314"/>
      <c r="CH829" s="314"/>
      <c r="CI829" s="314"/>
      <c r="CJ829" s="314"/>
      <c r="CK829" s="314"/>
      <c r="CL829" s="314"/>
      <c r="CM829" s="314"/>
      <c r="CN829" s="314"/>
      <c r="CO829" s="314"/>
      <c r="CP829" s="314"/>
      <c r="CQ829" s="407" t="b">
        <f>OR(CQ822,Y829=EUconst_NA)</f>
        <v>0</v>
      </c>
    </row>
    <row r="830" spans="1:95" ht="12.75" customHeight="1" thickBot="1" x14ac:dyDescent="0.3">
      <c r="A830" s="307"/>
      <c r="B830" s="68"/>
      <c r="C830" s="199" t="s">
        <v>163</v>
      </c>
      <c r="D830" s="344" t="str">
        <f>Translations!$B$615</f>
        <v>sust. SLCF:</v>
      </c>
      <c r="E830" s="441"/>
      <c r="F830" s="19" t="s">
        <v>158</v>
      </c>
      <c r="G830" s="1261"/>
      <c r="H830" s="1262"/>
      <c r="I830" s="442" t="str">
        <f t="shared" si="248"/>
        <v/>
      </c>
      <c r="J830" s="411"/>
      <c r="K830" s="443"/>
      <c r="L830" s="57"/>
      <c r="M830" s="347" t="str">
        <f>IF(AND(E817&lt;&gt;"",OR(F830="",COUNT(L830)=0),Y830&lt;&gt;EUconst_NA),EUconst_ERR_Incomplete,"")</f>
        <v/>
      </c>
      <c r="N830" s="76"/>
      <c r="O830" s="160"/>
      <c r="P830" s="348"/>
      <c r="Q830" s="413"/>
      <c r="R830" s="413"/>
      <c r="S830" s="314"/>
      <c r="T830" s="388" t="str">
        <f>EUconst_CNTR_RFNBOetcContent&amp;E817</f>
        <v>RNFBOC_</v>
      </c>
      <c r="U830" s="312"/>
      <c r="V830" s="312"/>
      <c r="W830" s="312"/>
      <c r="X830" s="312"/>
      <c r="Y830" s="447" t="str">
        <f>IF(E817="","",IF(OR(F830=EUconst_NA,W830=TRUE),EUconst_NA,INDEX(EUwideConstants!$P$164:$P$200,MATCH(T830,EUwideConstants!$S$164:$S$200,0))))</f>
        <v/>
      </c>
      <c r="Z830" s="314"/>
      <c r="AA830" s="314"/>
      <c r="AB830" s="314"/>
      <c r="AC830" s="397" t="b">
        <f>AND(AC826,Y830&lt;&gt;EUconst_NA)</f>
        <v>0</v>
      </c>
      <c r="AD830" s="314"/>
      <c r="AE830" s="415"/>
      <c r="AF830" s="416"/>
      <c r="AG830" s="417"/>
      <c r="AH830" s="418"/>
      <c r="AI830" s="418"/>
      <c r="AJ830" s="418"/>
      <c r="AK830" s="419"/>
      <c r="AL830" s="326"/>
      <c r="AM830" s="326"/>
      <c r="AN830" s="326"/>
      <c r="AO830" s="326"/>
      <c r="AP830" s="326"/>
      <c r="AQ830" s="444" t="s">
        <v>159</v>
      </c>
      <c r="AR830" s="415"/>
      <c r="AS830" s="445" t="str">
        <f t="shared" si="249"/>
        <v/>
      </c>
      <c r="AT830" s="446"/>
      <c r="AU830" s="447" t="str">
        <f t="shared" si="250"/>
        <v/>
      </c>
      <c r="AV830" s="397">
        <f t="shared" si="251"/>
        <v>0</v>
      </c>
      <c r="AW830" s="398" t="b">
        <f t="shared" si="243"/>
        <v>0</v>
      </c>
      <c r="AX830" s="448" t="b">
        <f t="shared" si="244"/>
        <v>0</v>
      </c>
      <c r="AY830" s="314"/>
      <c r="AZ830" s="449" t="b">
        <f t="shared" si="245"/>
        <v>0</v>
      </c>
      <c r="BA830" s="450" t="b">
        <f t="shared" si="246"/>
        <v>0</v>
      </c>
      <c r="BB830" s="314"/>
      <c r="BC830" s="398" t="b">
        <f t="shared" si="247"/>
        <v>0</v>
      </c>
      <c r="BD830" s="369" t="b">
        <f>OR(AV830&gt;100%,(AV830+AV831)&gt;100%)</f>
        <v>0</v>
      </c>
      <c r="BE830" s="314"/>
      <c r="BF830" s="451" t="s">
        <v>164</v>
      </c>
      <c r="BG830" s="452">
        <f>IF(AN822=EUconst_TJ,AV822*(1-AV826),IF(AN824=EUconst_GJ,AV822*AV824/1000,0))-SUM(BG831:BG837)</f>
        <v>0</v>
      </c>
      <c r="BH830" s="314"/>
      <c r="BI830" s="314"/>
      <c r="BJ830" s="314"/>
      <c r="BK830" s="314"/>
      <c r="BL830" s="314"/>
      <c r="BM830" s="314"/>
      <c r="BN830" s="314"/>
      <c r="BO830" s="314"/>
      <c r="BP830" s="314"/>
      <c r="BQ830" s="314"/>
      <c r="BR830" s="314"/>
      <c r="BS830" s="314"/>
      <c r="BT830" s="314"/>
      <c r="BU830" s="314"/>
      <c r="BV830" s="314"/>
      <c r="BW830" s="314"/>
      <c r="BX830" s="314"/>
      <c r="BY830" s="314"/>
      <c r="BZ830" s="314"/>
      <c r="CA830" s="314"/>
      <c r="CB830" s="314"/>
      <c r="CC830" s="314"/>
      <c r="CD830" s="314"/>
      <c r="CE830" s="314"/>
      <c r="CF830" s="314"/>
      <c r="CG830" s="314"/>
      <c r="CH830" s="314"/>
      <c r="CI830" s="314"/>
      <c r="CJ830" s="314"/>
      <c r="CK830" s="314"/>
      <c r="CL830" s="314"/>
      <c r="CM830" s="314"/>
      <c r="CN830" s="314"/>
      <c r="CO830" s="314"/>
      <c r="CP830" s="314"/>
      <c r="CQ830" s="407" t="b">
        <f>OR(CQ822,Y830=EUconst_NA)</f>
        <v>0</v>
      </c>
    </row>
    <row r="831" spans="1:95" ht="12.75" customHeight="1" thickBot="1" x14ac:dyDescent="0.3">
      <c r="A831" s="307"/>
      <c r="B831" s="68"/>
      <c r="C831" s="199" t="s">
        <v>165</v>
      </c>
      <c r="D831" s="344" t="str">
        <f>Translations!$B$618</f>
        <v>non-sust. SLCF:</v>
      </c>
      <c r="E831" s="441"/>
      <c r="F831" s="20" t="s">
        <v>158</v>
      </c>
      <c r="G831" s="1261"/>
      <c r="H831" s="1262"/>
      <c r="I831" s="422" t="str">
        <f t="shared" si="248"/>
        <v/>
      </c>
      <c r="J831" s="423"/>
      <c r="K831" s="443"/>
      <c r="L831" s="56"/>
      <c r="M831" s="347" t="str">
        <f>IF(AND(E817&lt;&gt;"",OR(F831="",COUNT(L831)=0),Y831&lt;&gt;EUconst_NA),EUconst_ERR_Incomplete,"")</f>
        <v/>
      </c>
      <c r="N831" s="76"/>
      <c r="O831" s="160"/>
      <c r="P831" s="348"/>
      <c r="Q831" s="413"/>
      <c r="R831" s="413"/>
      <c r="S831" s="314"/>
      <c r="T831" s="425" t="str">
        <f>EUconst_CNTR_RFNBOetcContent&amp;E817</f>
        <v>RNFBOC_</v>
      </c>
      <c r="U831" s="312"/>
      <c r="V831" s="312"/>
      <c r="W831" s="312"/>
      <c r="X831" s="312"/>
      <c r="Y831" s="438" t="str">
        <f>IF(E817="","",IF(OR(F831=EUconst_NA,W831=TRUE),EUconst_NA,INDEX(EUwideConstants!$P$164:$P$200,MATCH(T831,EUwideConstants!$S$164:$S$200,0))))</f>
        <v/>
      </c>
      <c r="Z831" s="314"/>
      <c r="AA831" s="314"/>
      <c r="AB831" s="314"/>
      <c r="AC831" s="429" t="b">
        <f>AND(AC826,Y831&lt;&gt;EUconst_NA)</f>
        <v>0</v>
      </c>
      <c r="AD831" s="314"/>
      <c r="AE831" s="430"/>
      <c r="AF831" s="431"/>
      <c r="AG831" s="432"/>
      <c r="AH831" s="433"/>
      <c r="AI831" s="433"/>
      <c r="AJ831" s="433"/>
      <c r="AK831" s="434"/>
      <c r="AL831" s="326"/>
      <c r="AM831" s="326"/>
      <c r="AN831" s="326"/>
      <c r="AO831" s="326"/>
      <c r="AP831" s="326"/>
      <c r="AQ831" s="435" t="s">
        <v>159</v>
      </c>
      <c r="AR831" s="430"/>
      <c r="AS831" s="436" t="str">
        <f t="shared" si="249"/>
        <v/>
      </c>
      <c r="AT831" s="437"/>
      <c r="AU831" s="438" t="str">
        <f t="shared" si="250"/>
        <v/>
      </c>
      <c r="AV831" s="429">
        <f t="shared" si="251"/>
        <v>0</v>
      </c>
      <c r="AW831" s="407" t="b">
        <f t="shared" si="243"/>
        <v>0</v>
      </c>
      <c r="AX831" s="439" t="b">
        <f t="shared" si="244"/>
        <v>0</v>
      </c>
      <c r="AY831" s="314"/>
      <c r="AZ831" s="408" t="b">
        <f t="shared" si="245"/>
        <v>0</v>
      </c>
      <c r="BA831" s="440" t="b">
        <f t="shared" si="246"/>
        <v>0</v>
      </c>
      <c r="BB831" s="314"/>
      <c r="BC831" s="407" t="b">
        <f t="shared" si="247"/>
        <v>0</v>
      </c>
      <c r="BD831" s="407" t="b">
        <f>OR(AV830&gt;100%,(AV830+AV831)&gt;100%)</f>
        <v>0</v>
      </c>
      <c r="BE831" s="314"/>
      <c r="BF831" s="408" t="s">
        <v>166</v>
      </c>
      <c r="BG831" s="409" t="str">
        <f>IF(AN822=EUconst_TJ,AV822*AV826,IF(AN824=EUconst_GJ,AV822*AV824/1000*AV826,""))</f>
        <v/>
      </c>
      <c r="BH831" s="314"/>
      <c r="BI831" s="314"/>
      <c r="BJ831" s="314"/>
      <c r="BK831" s="314"/>
      <c r="BL831" s="314"/>
      <c r="BM831" s="314"/>
      <c r="BN831" s="314"/>
      <c r="BO831" s="314"/>
      <c r="BP831" s="314"/>
      <c r="BQ831" s="314"/>
      <c r="BR831" s="314"/>
      <c r="BS831" s="314"/>
      <c r="BT831" s="314"/>
      <c r="BU831" s="314"/>
      <c r="BV831" s="314"/>
      <c r="BW831" s="314"/>
      <c r="BX831" s="314"/>
      <c r="BY831" s="314"/>
      <c r="BZ831" s="314"/>
      <c r="CA831" s="314"/>
      <c r="CB831" s="314"/>
      <c r="CC831" s="314"/>
      <c r="CD831" s="314"/>
      <c r="CE831" s="314"/>
      <c r="CF831" s="314"/>
      <c r="CG831" s="314"/>
      <c r="CH831" s="314"/>
      <c r="CI831" s="314"/>
      <c r="CJ831" s="314"/>
      <c r="CK831" s="314"/>
      <c r="CL831" s="314"/>
      <c r="CM831" s="314"/>
      <c r="CN831" s="314"/>
      <c r="CO831" s="314"/>
      <c r="CP831" s="314"/>
      <c r="CQ831" s="407" t="b">
        <f>OR(CQ822,Y831=EUconst_NA)</f>
        <v>0</v>
      </c>
    </row>
    <row r="832" spans="1:95" ht="5.15" customHeight="1" thickBot="1" x14ac:dyDescent="0.3">
      <c r="A832" s="307"/>
      <c r="B832" s="68"/>
      <c r="C832" s="68"/>
      <c r="D832" s="205"/>
      <c r="E832" s="76"/>
      <c r="F832" s="76"/>
      <c r="G832" s="76"/>
      <c r="H832" s="76"/>
      <c r="I832" s="76"/>
      <c r="J832" s="76"/>
      <c r="K832" s="76"/>
      <c r="L832" s="76"/>
      <c r="M832" s="453"/>
      <c r="N832" s="76"/>
      <c r="O832" s="160"/>
      <c r="P832" s="109"/>
      <c r="Q832" s="312"/>
      <c r="R832" s="312"/>
      <c r="S832" s="314"/>
      <c r="T832" s="314"/>
      <c r="U832" s="314"/>
      <c r="V832" s="314"/>
      <c r="W832" s="314"/>
      <c r="X832" s="314"/>
      <c r="Y832" s="314"/>
      <c r="Z832" s="314"/>
      <c r="AA832" s="314"/>
      <c r="AB832" s="314"/>
      <c r="AC832" s="314"/>
      <c r="AD832" s="314"/>
      <c r="AE832" s="314"/>
      <c r="AF832" s="314"/>
      <c r="AG832" s="314"/>
      <c r="AH832" s="314"/>
      <c r="AI832" s="314"/>
      <c r="AJ832" s="314"/>
      <c r="AK832" s="314"/>
      <c r="AL832" s="314"/>
      <c r="AM832" s="314"/>
      <c r="AN832" s="314"/>
      <c r="AO832" s="314"/>
      <c r="AP832" s="314"/>
      <c r="AQ832" s="314"/>
      <c r="AR832" s="314"/>
      <c r="AS832" s="314"/>
      <c r="AT832" s="314"/>
      <c r="AU832" s="314"/>
      <c r="AV832" s="314"/>
      <c r="AW832" s="314"/>
      <c r="AX832" s="314"/>
      <c r="AY832" s="314"/>
      <c r="AZ832" s="314"/>
      <c r="BA832" s="314"/>
      <c r="BB832" s="314"/>
      <c r="BC832" s="314"/>
      <c r="BD832" s="314"/>
      <c r="BE832" s="314"/>
      <c r="BF832" s="314"/>
      <c r="BG832" s="364"/>
      <c r="BH832" s="314"/>
      <c r="BI832" s="314"/>
      <c r="BJ832" s="314"/>
      <c r="BK832" s="314"/>
      <c r="BL832" s="314"/>
      <c r="BM832" s="314"/>
      <c r="BN832" s="314"/>
      <c r="BO832" s="314"/>
      <c r="BP832" s="314"/>
      <c r="BQ832" s="314"/>
      <c r="BR832" s="314"/>
      <c r="BS832" s="314"/>
      <c r="BT832" s="314"/>
      <c r="BU832" s="314"/>
      <c r="BV832" s="314"/>
      <c r="BW832" s="314"/>
      <c r="BX832" s="314"/>
      <c r="BY832" s="314"/>
      <c r="BZ832" s="314"/>
      <c r="CA832" s="314"/>
      <c r="CB832" s="314"/>
      <c r="CC832" s="314"/>
      <c r="CD832" s="314"/>
      <c r="CE832" s="314"/>
      <c r="CF832" s="314"/>
      <c r="CG832" s="314"/>
      <c r="CH832" s="314"/>
      <c r="CI832" s="314"/>
      <c r="CJ832" s="314"/>
      <c r="CK832" s="314"/>
      <c r="CL832" s="314"/>
      <c r="CM832" s="314"/>
      <c r="CN832" s="314"/>
      <c r="CO832" s="314"/>
      <c r="CP832" s="314"/>
      <c r="CQ832" s="314"/>
    </row>
    <row r="833" spans="1:95" ht="12.75" customHeight="1" thickBot="1" x14ac:dyDescent="0.3">
      <c r="A833" s="307"/>
      <c r="B833" s="68"/>
      <c r="C833" s="199" t="s">
        <v>167</v>
      </c>
      <c r="D833" s="344" t="str">
        <f>Translations!$B$398</f>
        <v>Scope factor:</v>
      </c>
      <c r="E833" s="454"/>
      <c r="F833" s="992"/>
      <c r="G833" s="1263"/>
      <c r="H833" s="1264"/>
      <c r="I833" s="455" t="s">
        <v>46</v>
      </c>
      <c r="J833" s="456"/>
      <c r="K833" s="457" t="str">
        <f>IF(L833="",AU833,"")</f>
        <v/>
      </c>
      <c r="L833" s="16"/>
      <c r="M833" s="458" t="str">
        <f>IF(AND(E817&lt;&gt;"",OR(F833="",G833="",COUNT(K833:L833)=0)),EUconst_ERR_Incomplete,IF(COUNTIF(BB833:BD833,TRUE)&gt;0,EUconst_ERR_Inconsistent,""))</f>
        <v/>
      </c>
      <c r="N833" s="76"/>
      <c r="O833" s="160"/>
      <c r="P833" s="109"/>
      <c r="Q833" s="312"/>
      <c r="R833" s="314"/>
      <c r="S833" s="297"/>
      <c r="T833" s="459" t="str">
        <f>EUconst_CNTR_ScopeFactor&amp;E817</f>
        <v>ScopeFactor_</v>
      </c>
      <c r="U833" s="231" t="str">
        <f>IF(F833="","",INDEX(ScopeAddress,MATCH(F833,ScopeTiers,0)))</f>
        <v/>
      </c>
      <c r="V833" s="360" t="str">
        <f>V822</f>
        <v/>
      </c>
      <c r="W833" s="314"/>
      <c r="X833" s="314"/>
      <c r="Y833" s="460" t="str">
        <f>IF(E817="","",IF(F833=EUconst_NA,EUconst_NA,INDEX(EUwideConstants!$P$164:$P$200,MATCH(T833,EUwideConstants!$S$164:$S$200,0))))</f>
        <v/>
      </c>
      <c r="Z833" s="461" t="str">
        <f>IF(ISBLANK(F833),"",IF(F833=EUconst_NA,"",INDEX(EUwideConstants!$H:$O,MATCH(T833,EUwideConstants!$S:$S,0),MATCH(F833,CNTR_TierList,0))))</f>
        <v/>
      </c>
      <c r="AA833" s="331" t="str">
        <f>IF(G833=EUwideConstants!$A$89,1,"")</f>
        <v/>
      </c>
      <c r="AB833" s="314"/>
      <c r="AC833" s="331" t="b">
        <f>AND(AC822,Y833&lt;&gt;EUconst_NA)</f>
        <v>0</v>
      </c>
      <c r="AD833" s="314"/>
      <c r="AE833" s="314"/>
      <c r="AF833" s="314"/>
      <c r="AG833" s="319"/>
      <c r="AH833" s="314"/>
      <c r="AI833" s="314"/>
      <c r="AJ833" s="314"/>
      <c r="AK833" s="314"/>
      <c r="AL833" s="314"/>
      <c r="AM833" s="314"/>
      <c r="AN833" s="314"/>
      <c r="AO833" s="314"/>
      <c r="AP833" s="314"/>
      <c r="AQ833" s="314"/>
      <c r="AR833" s="314"/>
      <c r="AS833" s="328">
        <v>1</v>
      </c>
      <c r="AT833" s="314"/>
      <c r="AU833" s="319" t="str">
        <f>IF(G833=EUwideConstants!$A$89,AS833,"")</f>
        <v/>
      </c>
      <c r="AV833" s="331">
        <f>IF(AC833=TRUE,IF(COUNT(K833:L833)=0,0,IF(L833="",K833,L833)),0)</f>
        <v>0</v>
      </c>
      <c r="AW833" s="360" t="b">
        <f>AND(AC833=TRUE,OR(AND(F833&lt;&gt;"",NOT(ISNUMBER(AA833))),L833&lt;&gt;"",F833="",AU833=""))</f>
        <v>0</v>
      </c>
      <c r="AX833" s="357" t="b">
        <f>AND(AC833=TRUE,NOT(AW833))</f>
        <v>0</v>
      </c>
      <c r="AY833" s="314"/>
      <c r="AZ833" s="361" t="b">
        <f>AND(ISNUMBER(AA833),AU833="")</f>
        <v>0</v>
      </c>
      <c r="BA833" s="351" t="b">
        <f>AND(ISNUMBER(AA833),AU833&lt;&gt;AV833)</f>
        <v>0</v>
      </c>
      <c r="BB833" s="314"/>
      <c r="BC833" s="360" t="b">
        <f>AND(F833&lt;&gt;"",OR(COUNTIF(INDEX(ScopeMethods,F833,),G833)=0,AND(AA833&lt;&gt;"",AU833&lt;&gt;AV833)))</f>
        <v>0</v>
      </c>
      <c r="BD833" s="314"/>
      <c r="BE833" s="314"/>
      <c r="BF833" s="361" t="s">
        <v>168</v>
      </c>
      <c r="BG833" s="362" t="str">
        <f>IF(AN822=EUconst_TJ,AV822*AV828,IF(AN824=EUconst_GJ,AV822*AV824/1000*AV828,""))</f>
        <v/>
      </c>
      <c r="BH833" s="314"/>
      <c r="BI833" s="314"/>
      <c r="BJ833" s="314"/>
      <c r="BK833" s="314"/>
      <c r="BL833" s="314"/>
      <c r="BM833" s="314"/>
      <c r="BN833" s="314"/>
      <c r="BO833" s="314"/>
      <c r="BP833" s="314"/>
      <c r="BQ833" s="314"/>
      <c r="BR833" s="314"/>
      <c r="BS833" s="314"/>
      <c r="BT833" s="314"/>
      <c r="BU833" s="314"/>
      <c r="BV833" s="314"/>
      <c r="BW833" s="314"/>
      <c r="BX833" s="314"/>
      <c r="BY833" s="314"/>
      <c r="BZ833" s="314"/>
      <c r="CA833" s="314"/>
      <c r="CB833" s="314"/>
      <c r="CC833" s="314"/>
      <c r="CD833" s="314"/>
      <c r="CE833" s="314"/>
      <c r="CF833" s="314"/>
      <c r="CG833" s="314"/>
      <c r="CH833" s="314"/>
      <c r="CI833" s="314"/>
      <c r="CJ833" s="314"/>
      <c r="CK833" s="314"/>
      <c r="CL833" s="314"/>
      <c r="CM833" s="314"/>
      <c r="CN833" s="314"/>
      <c r="CO833" s="314"/>
      <c r="CP833" s="314"/>
      <c r="CQ833" s="314"/>
    </row>
    <row r="834" spans="1:95" ht="12.75" customHeight="1" x14ac:dyDescent="0.25">
      <c r="A834" s="307"/>
      <c r="B834" s="68"/>
      <c r="C834" s="68"/>
      <c r="D834" s="68"/>
      <c r="E834" s="68"/>
      <c r="F834" s="68"/>
      <c r="G834" s="1265" t="str">
        <f>IF(G833="","",INDEX(ScopeMethodsDetails,MATCH(G833,INDEX(ScopeMethodsDetails,,1),0),2))</f>
        <v/>
      </c>
      <c r="H834" s="1266"/>
      <c r="I834" s="1266"/>
      <c r="J834" s="1266"/>
      <c r="K834" s="1266"/>
      <c r="L834" s="1266"/>
      <c r="M834" s="1267"/>
      <c r="N834" s="76"/>
      <c r="O834" s="160"/>
      <c r="P834" s="109"/>
      <c r="Q834" s="312"/>
      <c r="R834" s="312"/>
      <c r="S834" s="314"/>
      <c r="T834" s="314"/>
      <c r="U834" s="314"/>
      <c r="V834" s="314"/>
      <c r="W834" s="314"/>
      <c r="X834" s="314"/>
      <c r="Y834" s="314"/>
      <c r="Z834" s="314"/>
      <c r="AA834" s="314"/>
      <c r="AB834" s="314"/>
      <c r="AC834" s="314"/>
      <c r="AD834" s="314"/>
      <c r="AE834" s="314"/>
      <c r="AF834" s="314"/>
      <c r="AG834" s="314"/>
      <c r="AH834" s="314"/>
      <c r="AI834" s="314"/>
      <c r="AJ834" s="314"/>
      <c r="AK834" s="314"/>
      <c r="AL834" s="314"/>
      <c r="AM834" s="314"/>
      <c r="AN834" s="314"/>
      <c r="AO834" s="314"/>
      <c r="AP834" s="314"/>
      <c r="AQ834" s="314"/>
      <c r="AR834" s="314"/>
      <c r="AS834" s="314"/>
      <c r="AT834" s="314"/>
      <c r="AU834" s="314"/>
      <c r="AV834" s="314"/>
      <c r="AW834" s="314"/>
      <c r="AX834" s="314"/>
      <c r="AY834" s="314"/>
      <c r="AZ834" s="314"/>
      <c r="BA834" s="314"/>
      <c r="BB834" s="314"/>
      <c r="BC834" s="314"/>
      <c r="BD834" s="314"/>
      <c r="BE834" s="314"/>
      <c r="BG834" s="364"/>
      <c r="BH834" s="314"/>
      <c r="BI834" s="314"/>
      <c r="BJ834" s="314"/>
      <c r="BK834" s="314"/>
      <c r="BL834" s="314"/>
      <c r="BM834" s="314"/>
      <c r="BN834" s="314"/>
      <c r="BO834" s="314"/>
      <c r="BP834" s="314"/>
      <c r="BQ834" s="314"/>
      <c r="BR834" s="314"/>
      <c r="BS834" s="314"/>
      <c r="BT834" s="314"/>
      <c r="BU834" s="314"/>
      <c r="BV834" s="314"/>
      <c r="BW834" s="314"/>
      <c r="BX834" s="314"/>
      <c r="BY834" s="314"/>
      <c r="BZ834" s="314"/>
      <c r="CA834" s="314"/>
      <c r="CB834" s="314"/>
      <c r="CC834" s="314"/>
      <c r="CD834" s="314"/>
      <c r="CE834" s="314"/>
      <c r="CF834" s="314"/>
      <c r="CG834" s="314"/>
      <c r="CH834" s="314"/>
      <c r="CI834" s="314"/>
      <c r="CJ834" s="314"/>
      <c r="CK834" s="314"/>
      <c r="CL834" s="314"/>
      <c r="CM834" s="314"/>
      <c r="CN834" s="314"/>
      <c r="CO834" s="314"/>
      <c r="CP834" s="314"/>
      <c r="CQ834" s="314"/>
    </row>
    <row r="835" spans="1:95" ht="5.15" customHeight="1" x14ac:dyDescent="0.25">
      <c r="A835" s="307"/>
      <c r="C835" s="76"/>
      <c r="D835" s="76"/>
      <c r="E835" s="76"/>
      <c r="F835" s="76"/>
      <c r="G835" s="76"/>
      <c r="H835" s="76"/>
      <c r="I835" s="76"/>
      <c r="J835" s="76"/>
      <c r="K835" s="76"/>
      <c r="L835" s="76"/>
      <c r="O835" s="160"/>
      <c r="P835" s="109"/>
      <c r="Q835" s="312"/>
      <c r="R835" s="312"/>
      <c r="S835" s="314"/>
      <c r="T835" s="314"/>
      <c r="U835" s="314"/>
      <c r="V835" s="314"/>
      <c r="W835" s="314"/>
      <c r="X835" s="314"/>
      <c r="Y835" s="314"/>
      <c r="Z835" s="314"/>
      <c r="AA835" s="314"/>
      <c r="AB835" s="314"/>
      <c r="AC835" s="314"/>
      <c r="AD835" s="314"/>
      <c r="AE835" s="314"/>
      <c r="AF835" s="314"/>
      <c r="AG835" s="314"/>
      <c r="AH835" s="314"/>
      <c r="AI835" s="314"/>
      <c r="AJ835" s="314"/>
      <c r="AK835" s="314"/>
      <c r="AL835" s="314"/>
      <c r="AM835" s="314"/>
      <c r="AN835" s="314"/>
      <c r="AO835" s="314"/>
      <c r="AP835" s="314"/>
      <c r="AQ835" s="314"/>
      <c r="AR835" s="314"/>
      <c r="AS835" s="314"/>
      <c r="AT835" s="314"/>
      <c r="AU835" s="314"/>
      <c r="AV835" s="314"/>
      <c r="AW835" s="314"/>
      <c r="AX835" s="314"/>
      <c r="AY835" s="314"/>
      <c r="AZ835" s="314"/>
      <c r="BA835" s="314"/>
      <c r="BB835" s="314"/>
      <c r="BC835" s="314"/>
      <c r="BD835" s="314"/>
      <c r="BE835" s="314"/>
      <c r="BG835" s="364"/>
      <c r="BH835" s="314"/>
      <c r="BI835" s="314"/>
      <c r="BJ835" s="314"/>
      <c r="BK835" s="314"/>
      <c r="BL835" s="314"/>
      <c r="BM835" s="314"/>
      <c r="BN835" s="314"/>
      <c r="BO835" s="314"/>
      <c r="BP835" s="314"/>
      <c r="BQ835" s="314"/>
      <c r="BR835" s="314"/>
      <c r="BS835" s="314"/>
      <c r="BT835" s="314"/>
      <c r="BU835" s="314"/>
      <c r="BV835" s="314"/>
      <c r="BW835" s="314"/>
      <c r="BX835" s="314"/>
      <c r="BY835" s="314"/>
      <c r="BZ835" s="314"/>
      <c r="CA835" s="314"/>
      <c r="CB835" s="314"/>
      <c r="CC835" s="314"/>
      <c r="CD835" s="314"/>
      <c r="CE835" s="314"/>
      <c r="CF835" s="314"/>
      <c r="CG835" s="314"/>
      <c r="CH835" s="314"/>
      <c r="CI835" s="314"/>
      <c r="CJ835" s="314"/>
      <c r="CK835" s="314"/>
      <c r="CL835" s="314"/>
      <c r="CM835" s="314"/>
      <c r="CN835" s="314"/>
      <c r="CO835" s="314"/>
      <c r="CP835" s="314"/>
      <c r="CQ835" s="314"/>
    </row>
    <row r="836" spans="1:95" ht="12.75" customHeight="1" thickBot="1" x14ac:dyDescent="0.3">
      <c r="A836" s="307"/>
      <c r="C836" s="76"/>
      <c r="D836" s="76"/>
      <c r="E836" s="76"/>
      <c r="F836" s="76"/>
      <c r="G836" s="1268">
        <v>1</v>
      </c>
      <c r="H836" s="1268"/>
      <c r="I836" s="1268">
        <v>2</v>
      </c>
      <c r="J836" s="1268"/>
      <c r="K836" s="1268">
        <v>3</v>
      </c>
      <c r="L836" s="1268"/>
      <c r="O836" s="160"/>
      <c r="P836" s="109"/>
      <c r="Q836" s="312"/>
      <c r="R836" s="312"/>
      <c r="S836" s="314"/>
      <c r="T836" s="314"/>
      <c r="U836" s="314"/>
      <c r="V836" s="314"/>
      <c r="W836" s="314"/>
      <c r="X836" s="314"/>
      <c r="Y836" s="314"/>
      <c r="Z836" s="314"/>
      <c r="AA836" s="314"/>
      <c r="AB836" s="314"/>
      <c r="AC836" s="314"/>
      <c r="AD836" s="314"/>
      <c r="AE836" s="314"/>
      <c r="AF836" s="314"/>
      <c r="AG836" s="314"/>
      <c r="AH836" s="314"/>
      <c r="AI836" s="314"/>
      <c r="AJ836" s="314"/>
      <c r="AK836" s="314"/>
      <c r="AL836" s="314"/>
      <c r="AM836" s="314"/>
      <c r="AN836" s="314"/>
      <c r="AO836" s="314"/>
      <c r="AP836" s="314"/>
      <c r="AQ836" s="314"/>
      <c r="AR836" s="314"/>
      <c r="AS836" s="314"/>
      <c r="AT836" s="314"/>
      <c r="AU836" s="314"/>
      <c r="AV836" s="314"/>
      <c r="AW836" s="314"/>
      <c r="AX836" s="314"/>
      <c r="AY836" s="314"/>
      <c r="AZ836" s="314"/>
      <c r="BA836" s="314"/>
      <c r="BB836" s="314"/>
      <c r="BC836" s="314"/>
      <c r="BD836" s="314"/>
      <c r="BE836" s="314"/>
      <c r="BF836" s="314"/>
      <c r="BG836" s="364"/>
      <c r="BH836" s="314"/>
      <c r="BI836" s="314"/>
      <c r="BJ836" s="314"/>
      <c r="BK836" s="314"/>
      <c r="BL836" s="314"/>
      <c r="BM836" s="314"/>
      <c r="BN836" s="314"/>
      <c r="BO836" s="314"/>
      <c r="BP836" s="314"/>
      <c r="BQ836" s="314"/>
      <c r="BR836" s="314"/>
      <c r="BS836" s="314"/>
      <c r="BT836" s="314"/>
      <c r="BU836" s="314"/>
      <c r="BV836" s="314"/>
      <c r="BW836" s="314"/>
      <c r="BX836" s="314"/>
      <c r="BY836" s="314"/>
      <c r="BZ836" s="314"/>
      <c r="CA836" s="314"/>
      <c r="CB836" s="314"/>
      <c r="CC836" s="314"/>
      <c r="CD836" s="314"/>
      <c r="CE836" s="314"/>
      <c r="CF836" s="314"/>
      <c r="CG836" s="314"/>
      <c r="CH836" s="314"/>
      <c r="CI836" s="314"/>
      <c r="CJ836" s="314"/>
      <c r="CK836" s="314"/>
      <c r="CL836" s="314"/>
      <c r="CM836" s="314"/>
      <c r="CN836" s="314"/>
      <c r="CO836" s="314"/>
      <c r="CP836" s="314"/>
      <c r="CQ836" s="314"/>
    </row>
    <row r="837" spans="1:95" ht="12.75" customHeight="1" thickBot="1" x14ac:dyDescent="0.3">
      <c r="A837" s="462"/>
      <c r="B837" s="76"/>
      <c r="C837" s="76"/>
      <c r="D837" s="1246" t="str">
        <f>Translations!$B$372</f>
        <v>Consumers' CRF category:</v>
      </c>
      <c r="E837" s="1246"/>
      <c r="F837" s="1247"/>
      <c r="G837" s="1248"/>
      <c r="H837" s="1249"/>
      <c r="I837" s="1248"/>
      <c r="J837" s="1249"/>
      <c r="K837" s="1248"/>
      <c r="L837" s="1249"/>
      <c r="M837" s="463" t="str">
        <f>IF(AND(E816&lt;&gt;"",COUNTA(G837:L837)=0,AX837=FALSE),EUconst_ERR_Incomplete,"")</f>
        <v/>
      </c>
      <c r="N837" s="76"/>
      <c r="O837" s="160"/>
      <c r="P837" s="109"/>
      <c r="Q837" s="312"/>
      <c r="R837" s="312"/>
      <c r="S837" s="314"/>
      <c r="T837" s="314"/>
      <c r="U837" s="314"/>
      <c r="V837" s="314"/>
      <c r="W837" s="314"/>
      <c r="X837" s="314"/>
      <c r="Y837" s="314"/>
      <c r="Z837" s="314"/>
      <c r="AA837" s="314"/>
      <c r="AB837" s="314"/>
      <c r="AC837" s="314"/>
      <c r="AD837" s="314"/>
      <c r="AE837" s="314"/>
      <c r="AF837" s="314"/>
      <c r="AG837" s="314"/>
      <c r="AH837" s="314"/>
      <c r="AI837" s="314"/>
      <c r="AJ837" s="314"/>
      <c r="AK837" s="314"/>
      <c r="AL837" s="314"/>
      <c r="AM837" s="314"/>
      <c r="AN837" s="314"/>
      <c r="AO837" s="314"/>
      <c r="AP837" s="314"/>
      <c r="AQ837" s="314"/>
      <c r="AR837" s="314"/>
      <c r="AS837" s="314"/>
      <c r="AT837" s="314"/>
      <c r="AU837" s="314"/>
      <c r="AV837" s="314"/>
      <c r="AW837" s="314"/>
      <c r="AX837" s="464" t="b">
        <f>AND(AV833&lt;&gt;"",SUM(AV833=1))</f>
        <v>0</v>
      </c>
      <c r="AY837" s="314"/>
      <c r="AZ837" s="314"/>
      <c r="BA837" s="314"/>
      <c r="BB837" s="314"/>
      <c r="BC837" s="314"/>
      <c r="BD837" s="314"/>
      <c r="BE837" s="314"/>
      <c r="BF837" s="361" t="s">
        <v>169</v>
      </c>
      <c r="BG837" s="362" t="str">
        <f>IF(AN822=EUconst_TJ,AV822*AV830,IF(AN824=EUconst_GJ,AV822*AV824/1000*AV830,""))</f>
        <v/>
      </c>
      <c r="BH837" s="314"/>
      <c r="BI837" s="314"/>
      <c r="BJ837" s="314"/>
      <c r="BK837" s="314"/>
      <c r="BL837" s="314"/>
      <c r="BM837" s="314"/>
      <c r="BN837" s="314"/>
      <c r="BO837" s="314"/>
      <c r="BP837" s="314"/>
      <c r="BQ837" s="314"/>
      <c r="BR837" s="314"/>
      <c r="BS837" s="314"/>
      <c r="BT837" s="314"/>
      <c r="BU837" s="314"/>
      <c r="BV837" s="314"/>
      <c r="BW837" s="314"/>
      <c r="BX837" s="314"/>
      <c r="BY837" s="314"/>
      <c r="BZ837" s="314"/>
      <c r="CA837" s="314"/>
      <c r="CB837" s="314"/>
      <c r="CC837" s="314"/>
      <c r="CD837" s="314"/>
      <c r="CE837" s="314"/>
      <c r="CF837" s="314"/>
      <c r="CG837" s="314"/>
      <c r="CH837" s="314"/>
      <c r="CI837" s="314"/>
      <c r="CJ837" s="314"/>
      <c r="CK837" s="314"/>
      <c r="CL837" s="314"/>
      <c r="CM837" s="314"/>
      <c r="CN837" s="314"/>
      <c r="CO837" s="314"/>
      <c r="CP837" s="314"/>
      <c r="CQ837" s="314"/>
    </row>
    <row r="838" spans="1:95" ht="5.15" customHeight="1" x14ac:dyDescent="0.25">
      <c r="A838" s="307"/>
      <c r="B838" s="68"/>
      <c r="C838" s="68"/>
      <c r="D838" s="68"/>
      <c r="E838" s="68"/>
      <c r="F838" s="68"/>
      <c r="G838" s="76"/>
      <c r="H838" s="76"/>
      <c r="I838" s="76"/>
      <c r="J838" s="76"/>
      <c r="K838" s="76"/>
      <c r="L838" s="76"/>
      <c r="M838" s="76"/>
      <c r="N838" s="76"/>
      <c r="O838" s="160"/>
      <c r="P838" s="109"/>
      <c r="Q838" s="312"/>
      <c r="R838" s="312"/>
      <c r="S838" s="314"/>
      <c r="T838" s="314"/>
      <c r="U838" s="314"/>
      <c r="V838" s="314"/>
      <c r="W838" s="314"/>
      <c r="X838" s="314"/>
      <c r="Y838" s="314"/>
      <c r="Z838" s="314"/>
      <c r="AA838" s="314"/>
      <c r="AB838" s="314"/>
      <c r="AC838" s="314"/>
      <c r="AD838" s="314"/>
      <c r="AE838" s="314"/>
      <c r="AF838" s="314"/>
      <c r="AG838" s="314"/>
      <c r="AH838" s="314"/>
      <c r="AI838" s="314"/>
      <c r="AJ838" s="314"/>
      <c r="AK838" s="314"/>
      <c r="AL838" s="314"/>
      <c r="AM838" s="314"/>
      <c r="AN838" s="314"/>
      <c r="AO838" s="314"/>
      <c r="AP838" s="314"/>
      <c r="AQ838" s="314"/>
      <c r="AR838" s="314"/>
      <c r="AS838" s="314"/>
      <c r="AT838" s="314"/>
      <c r="AU838" s="314"/>
      <c r="AV838" s="314"/>
      <c r="AW838" s="314"/>
      <c r="AX838" s="314"/>
      <c r="AY838" s="314"/>
      <c r="AZ838" s="314"/>
      <c r="BA838" s="314"/>
      <c r="BB838" s="314"/>
      <c r="BC838" s="314"/>
      <c r="BD838" s="314"/>
      <c r="BE838" s="314"/>
      <c r="BF838" s="314"/>
      <c r="BG838" s="314"/>
      <c r="BH838" s="314"/>
      <c r="BI838" s="314"/>
      <c r="BJ838" s="314"/>
      <c r="BK838" s="314"/>
      <c r="BL838" s="314"/>
      <c r="BM838" s="314"/>
      <c r="BN838" s="314"/>
      <c r="BO838" s="314"/>
      <c r="BP838" s="314"/>
      <c r="BQ838" s="314"/>
      <c r="BR838" s="314"/>
      <c r="BS838" s="314"/>
      <c r="BT838" s="314"/>
      <c r="BU838" s="314"/>
      <c r="BV838" s="314"/>
      <c r="BW838" s="314"/>
      <c r="BX838" s="314"/>
      <c r="BY838" s="314"/>
      <c r="BZ838" s="314"/>
      <c r="CA838" s="314"/>
      <c r="CB838" s="314"/>
      <c r="CC838" s="314"/>
      <c r="CD838" s="314"/>
      <c r="CE838" s="314"/>
      <c r="CF838" s="314"/>
      <c r="CG838" s="314"/>
      <c r="CH838" s="314"/>
      <c r="CI838" s="314"/>
      <c r="CJ838" s="314"/>
      <c r="CK838" s="314"/>
      <c r="CL838" s="314"/>
      <c r="CM838" s="314"/>
      <c r="CN838" s="314"/>
      <c r="CO838" s="314"/>
      <c r="CP838" s="314"/>
      <c r="CQ838" s="314"/>
    </row>
    <row r="839" spans="1:95" ht="12.75" customHeight="1" x14ac:dyDescent="0.25">
      <c r="A839" s="307"/>
      <c r="B839" s="68"/>
      <c r="C839" s="68"/>
      <c r="D839" s="1246" t="str">
        <f>Translations!$B$399</f>
        <v>Tiers valid from:</v>
      </c>
      <c r="E839" s="1246"/>
      <c r="F839" s="1247"/>
      <c r="G839" s="8"/>
      <c r="H839" s="199" t="str">
        <f>Translations!$B$400</f>
        <v>until:</v>
      </c>
      <c r="I839" s="8"/>
      <c r="J839" s="76"/>
      <c r="K839" s="76"/>
      <c r="L839" s="76"/>
      <c r="M839" s="199" t="str">
        <f>Translations!$B$401</f>
        <v>ID used in the monitoring plan for this fuel stream:</v>
      </c>
      <c r="N839" s="9"/>
      <c r="O839" s="160"/>
      <c r="P839" s="109"/>
      <c r="Q839" s="312"/>
      <c r="R839" s="312"/>
      <c r="S839" s="465"/>
      <c r="T839" s="314"/>
      <c r="U839" s="314"/>
      <c r="V839" s="314"/>
      <c r="W839" s="314"/>
      <c r="X839" s="314"/>
      <c r="Y839" s="314"/>
      <c r="Z839" s="314"/>
      <c r="AA839" s="314"/>
      <c r="AB839" s="314"/>
      <c r="AC839" s="314"/>
      <c r="AD839" s="314"/>
      <c r="AE839" s="314"/>
      <c r="AF839" s="314"/>
      <c r="AG839" s="314"/>
      <c r="AH839" s="314"/>
      <c r="AI839" s="314"/>
      <c r="AJ839" s="314"/>
      <c r="AK839" s="314"/>
      <c r="AL839" s="314"/>
      <c r="AM839" s="314"/>
      <c r="AN839" s="314"/>
      <c r="AO839" s="314"/>
      <c r="AP839" s="314"/>
      <c r="AQ839" s="314"/>
      <c r="AR839" s="314"/>
      <c r="AS839" s="314"/>
      <c r="AT839" s="314"/>
      <c r="AU839" s="314"/>
      <c r="AV839" s="314"/>
      <c r="AW839" s="314"/>
      <c r="AX839" s="314"/>
      <c r="AY839" s="314"/>
      <c r="AZ839" s="314"/>
      <c r="BA839" s="314"/>
      <c r="BB839" s="314"/>
      <c r="BC839" s="314"/>
      <c r="BD839" s="314"/>
      <c r="BE839" s="314"/>
      <c r="BF839" s="314"/>
      <c r="BG839" s="314"/>
      <c r="BH839" s="314"/>
      <c r="BI839" s="314"/>
      <c r="BJ839" s="314"/>
      <c r="BK839" s="314"/>
      <c r="BL839" s="314"/>
      <c r="BM839" s="314"/>
      <c r="BN839" s="314"/>
      <c r="BO839" s="314"/>
      <c r="BP839" s="314"/>
      <c r="BQ839" s="314"/>
      <c r="BR839" s="314"/>
      <c r="BS839" s="314"/>
      <c r="BT839" s="314"/>
      <c r="BU839" s="314"/>
      <c r="BV839" s="314"/>
      <c r="BW839" s="314"/>
      <c r="BX839" s="314"/>
      <c r="BY839" s="314"/>
      <c r="BZ839" s="314"/>
      <c r="CA839" s="314"/>
      <c r="CB839" s="314"/>
      <c r="CC839" s="314"/>
      <c r="CD839" s="314"/>
      <c r="CE839" s="314"/>
      <c r="CF839" s="314"/>
      <c r="CG839" s="314"/>
      <c r="CH839" s="314"/>
      <c r="CI839" s="314"/>
      <c r="CJ839" s="314"/>
      <c r="CK839" s="314"/>
      <c r="CL839" s="314"/>
      <c r="CM839" s="314"/>
      <c r="CN839" s="314"/>
      <c r="CO839" s="314"/>
      <c r="CP839" s="314"/>
      <c r="CQ839" s="464" t="b">
        <f>CQ822</f>
        <v>0</v>
      </c>
    </row>
    <row r="840" spans="1:95" ht="5.15" customHeight="1" x14ac:dyDescent="0.25">
      <c r="A840" s="462"/>
      <c r="B840" s="76"/>
      <c r="C840" s="76"/>
      <c r="D840" s="76"/>
      <c r="E840" s="76"/>
      <c r="F840" s="76"/>
      <c r="G840" s="76"/>
      <c r="H840" s="76"/>
      <c r="I840" s="76"/>
      <c r="J840" s="76"/>
      <c r="K840" s="76"/>
      <c r="L840" s="76"/>
      <c r="M840" s="76"/>
      <c r="N840" s="76"/>
      <c r="O840" s="160"/>
      <c r="P840" s="109"/>
      <c r="Q840" s="312"/>
      <c r="R840" s="312"/>
      <c r="S840" s="314"/>
      <c r="T840" s="314"/>
      <c r="U840" s="314"/>
      <c r="V840" s="314"/>
      <c r="W840" s="314"/>
      <c r="X840" s="314"/>
      <c r="Y840" s="314"/>
      <c r="Z840" s="314"/>
      <c r="AA840" s="314"/>
      <c r="AB840" s="314"/>
      <c r="AC840" s="314"/>
      <c r="AD840" s="314"/>
      <c r="AE840" s="314"/>
      <c r="AF840" s="314"/>
      <c r="AG840" s="314"/>
      <c r="AH840" s="314"/>
      <c r="AI840" s="314"/>
      <c r="AJ840" s="314"/>
      <c r="AK840" s="314"/>
      <c r="AL840" s="314"/>
      <c r="AM840" s="314"/>
      <c r="AN840" s="314"/>
      <c r="AO840" s="314"/>
      <c r="AP840" s="314"/>
      <c r="AQ840" s="314"/>
      <c r="AR840" s="314"/>
      <c r="AS840" s="314"/>
      <c r="AT840" s="314"/>
      <c r="AU840" s="314"/>
      <c r="AV840" s="314"/>
      <c r="AW840" s="314"/>
      <c r="AX840" s="314"/>
      <c r="AY840" s="314"/>
      <c r="AZ840" s="314"/>
      <c r="BA840" s="314"/>
      <c r="BB840" s="314"/>
      <c r="BC840" s="314"/>
      <c r="BD840" s="314"/>
      <c r="BE840" s="314"/>
      <c r="BF840" s="314"/>
      <c r="BG840" s="314"/>
      <c r="BH840" s="314"/>
      <c r="BI840" s="314"/>
      <c r="BJ840" s="314"/>
      <c r="BK840" s="314"/>
      <c r="BL840" s="314"/>
      <c r="BM840" s="314"/>
      <c r="BN840" s="314"/>
      <c r="BO840" s="314"/>
      <c r="BP840" s="314"/>
      <c r="BQ840" s="314"/>
      <c r="BR840" s="314"/>
      <c r="BS840" s="314"/>
      <c r="BT840" s="314"/>
      <c r="BU840" s="314"/>
      <c r="BV840" s="314"/>
      <c r="BW840" s="314"/>
      <c r="BX840" s="314"/>
      <c r="BY840" s="314"/>
      <c r="BZ840" s="314"/>
      <c r="CA840" s="314"/>
      <c r="CB840" s="314"/>
      <c r="CC840" s="314"/>
      <c r="CD840" s="314"/>
      <c r="CE840" s="314"/>
      <c r="CF840" s="314"/>
      <c r="CG840" s="314"/>
      <c r="CH840" s="314"/>
      <c r="CI840" s="314"/>
      <c r="CJ840" s="314"/>
      <c r="CK840" s="314"/>
      <c r="CL840" s="314"/>
      <c r="CM840" s="314"/>
      <c r="CN840" s="314"/>
      <c r="CO840" s="314"/>
      <c r="CP840" s="314"/>
      <c r="CQ840" s="314"/>
    </row>
    <row r="841" spans="1:95" ht="12.75" customHeight="1" x14ac:dyDescent="0.25">
      <c r="A841" s="462"/>
      <c r="B841" s="76"/>
      <c r="C841" s="76"/>
      <c r="D841" s="115"/>
      <c r="E841" s="85"/>
      <c r="F841" s="466" t="str">
        <f>Translations!$B$304</f>
        <v>Comments:</v>
      </c>
      <c r="G841" s="1250"/>
      <c r="H841" s="1251"/>
      <c r="I841" s="1251"/>
      <c r="J841" s="1251"/>
      <c r="K841" s="1251"/>
      <c r="L841" s="1251"/>
      <c r="M841" s="1251"/>
      <c r="N841" s="1252"/>
      <c r="O841" s="160"/>
      <c r="P841" s="109"/>
      <c r="Q841" s="312"/>
      <c r="R841" s="312"/>
      <c r="S841" s="314"/>
      <c r="T841" s="314"/>
      <c r="U841" s="314"/>
      <c r="V841" s="314"/>
      <c r="W841" s="314"/>
      <c r="X841" s="314"/>
      <c r="Y841" s="314"/>
      <c r="Z841" s="314"/>
      <c r="AA841" s="314"/>
      <c r="AB841" s="314"/>
      <c r="AC841" s="314"/>
      <c r="AD841" s="314"/>
      <c r="AE841" s="314"/>
      <c r="AF841" s="314"/>
      <c r="AG841" s="314"/>
      <c r="AH841" s="314"/>
      <c r="AI841" s="314"/>
      <c r="AJ841" s="314"/>
      <c r="AK841" s="314"/>
      <c r="AL841" s="314"/>
      <c r="AM841" s="314"/>
      <c r="AN841" s="314"/>
      <c r="AO841" s="314"/>
      <c r="AP841" s="314"/>
      <c r="AQ841" s="314"/>
      <c r="AR841" s="314"/>
      <c r="AS841" s="314"/>
      <c r="AT841" s="314"/>
      <c r="AU841" s="314"/>
      <c r="AV841" s="314"/>
      <c r="AW841" s="314"/>
      <c r="AX841" s="314"/>
      <c r="AY841" s="314"/>
      <c r="AZ841" s="314"/>
      <c r="BA841" s="314"/>
      <c r="BB841" s="314"/>
      <c r="BC841" s="314"/>
      <c r="BD841" s="314"/>
      <c r="BE841" s="314"/>
      <c r="BF841" s="314"/>
      <c r="BG841" s="314"/>
      <c r="BH841" s="314"/>
      <c r="BI841" s="314"/>
      <c r="BJ841" s="314"/>
      <c r="BK841" s="314"/>
      <c r="BL841" s="314"/>
      <c r="BM841" s="314"/>
      <c r="BN841" s="314"/>
      <c r="BO841" s="314"/>
      <c r="BP841" s="314"/>
      <c r="BQ841" s="314"/>
      <c r="BR841" s="314"/>
      <c r="BS841" s="314"/>
      <c r="BT841" s="314"/>
      <c r="BU841" s="314"/>
      <c r="BV841" s="314"/>
      <c r="BW841" s="314"/>
      <c r="BX841" s="314"/>
      <c r="BY841" s="314"/>
      <c r="BZ841" s="314"/>
      <c r="CA841" s="314"/>
      <c r="CB841" s="314"/>
      <c r="CC841" s="314"/>
      <c r="CD841" s="314"/>
      <c r="CE841" s="314"/>
      <c r="CF841" s="314"/>
      <c r="CG841" s="314"/>
      <c r="CH841" s="314"/>
      <c r="CI841" s="314"/>
      <c r="CJ841" s="314"/>
      <c r="CK841" s="314"/>
      <c r="CL841" s="314"/>
      <c r="CM841" s="314"/>
      <c r="CN841" s="314"/>
      <c r="CO841" s="314"/>
      <c r="CP841" s="314"/>
      <c r="CQ841" s="464" t="b">
        <f>CQ839</f>
        <v>0</v>
      </c>
    </row>
    <row r="842" spans="1:95" ht="12.75" customHeight="1" thickBot="1" x14ac:dyDescent="0.3">
      <c r="A842" s="307"/>
      <c r="B842" s="76"/>
      <c r="C842" s="308"/>
      <c r="D842" s="309"/>
      <c r="E842" s="310"/>
      <c r="F842" s="308"/>
      <c r="G842" s="311"/>
      <c r="H842" s="311"/>
      <c r="I842" s="311"/>
      <c r="J842" s="311"/>
      <c r="K842" s="311"/>
      <c r="L842" s="311"/>
      <c r="M842" s="311"/>
      <c r="N842" s="311"/>
      <c r="O842" s="160"/>
      <c r="P842" s="109"/>
      <c r="Q842" s="312"/>
      <c r="R842" s="312"/>
      <c r="S842" s="293"/>
      <c r="T842" s="293"/>
      <c r="U842" s="313"/>
      <c r="V842" s="293"/>
      <c r="W842" s="293"/>
      <c r="X842" s="313"/>
      <c r="Y842" s="293"/>
      <c r="Z842" s="293"/>
      <c r="AA842" s="293"/>
      <c r="AB842" s="293"/>
      <c r="AC842" s="293"/>
      <c r="AD842" s="293"/>
      <c r="AE842" s="293"/>
      <c r="AF842" s="293"/>
      <c r="AG842" s="293"/>
      <c r="AH842" s="293"/>
      <c r="AI842" s="293"/>
      <c r="AJ842" s="293"/>
      <c r="AK842" s="293"/>
      <c r="AL842" s="293"/>
      <c r="AM842" s="293"/>
      <c r="AN842" s="293"/>
      <c r="AO842" s="293"/>
      <c r="AP842" s="293"/>
      <c r="AQ842" s="293"/>
      <c r="AR842" s="293"/>
      <c r="AS842" s="293"/>
      <c r="AT842" s="293"/>
      <c r="AU842" s="293"/>
      <c r="AV842" s="293"/>
      <c r="AW842" s="293"/>
      <c r="AX842" s="293"/>
      <c r="AY842" s="293"/>
      <c r="AZ842" s="293"/>
      <c r="BA842" s="293"/>
      <c r="BB842" s="293"/>
      <c r="BC842" s="293"/>
      <c r="BD842" s="293"/>
      <c r="BE842" s="293"/>
      <c r="BF842" s="293"/>
      <c r="BG842" s="293"/>
      <c r="BH842" s="293"/>
      <c r="BI842" s="293"/>
      <c r="BJ842" s="293"/>
      <c r="BK842" s="293"/>
      <c r="BL842" s="293"/>
      <c r="BM842" s="314"/>
      <c r="BN842" s="314"/>
      <c r="BO842" s="314"/>
      <c r="BP842" s="314"/>
      <c r="BQ842" s="314"/>
      <c r="BR842" s="314"/>
      <c r="BS842" s="314"/>
      <c r="BT842" s="314"/>
      <c r="BU842" s="293"/>
      <c r="BV842" s="293"/>
      <c r="BW842" s="293"/>
      <c r="BX842" s="293"/>
      <c r="BY842" s="293"/>
      <c r="BZ842" s="293"/>
      <c r="CA842" s="293"/>
      <c r="CB842" s="293"/>
      <c r="CC842" s="293"/>
      <c r="CD842" s="293"/>
      <c r="CE842" s="293"/>
      <c r="CF842" s="293"/>
      <c r="CG842" s="293"/>
      <c r="CH842" s="293"/>
      <c r="CI842" s="293"/>
      <c r="CJ842" s="293"/>
      <c r="CK842" s="293"/>
      <c r="CL842" s="293"/>
      <c r="CM842" s="293"/>
      <c r="CN842" s="293"/>
      <c r="CO842" s="293"/>
      <c r="CP842" s="293"/>
      <c r="CQ842" s="293"/>
    </row>
    <row r="843" spans="1:95" ht="12.75" customHeight="1" thickBot="1" x14ac:dyDescent="0.3">
      <c r="A843" s="315"/>
      <c r="B843" s="76"/>
      <c r="C843" s="76"/>
      <c r="D843" s="205"/>
      <c r="E843" s="316"/>
      <c r="F843" s="76"/>
      <c r="G843" s="96"/>
      <c r="H843" s="96"/>
      <c r="I843" s="96"/>
      <c r="J843" s="96"/>
      <c r="K843" s="76"/>
      <c r="L843" s="96"/>
      <c r="M843" s="96"/>
      <c r="N843" s="96"/>
      <c r="O843" s="160"/>
      <c r="P843" s="109"/>
      <c r="Q843" s="312"/>
      <c r="R843" s="312"/>
      <c r="S843" s="287"/>
      <c r="T843" s="317" t="str">
        <f>IF(ISBLANK(E844),"",MATCH(E844,CNTR_SourceStreamNames,0))</f>
        <v/>
      </c>
      <c r="U843" s="318" t="str">
        <f>IF(ISBLANK(E844),"",INDEX(B_IdentifyFuelStreams!$D$67:$D$116,MATCH(E844,CNTR_SourceStreamNames,0)))</f>
        <v/>
      </c>
      <c r="V843" s="301"/>
      <c r="W843" s="138"/>
      <c r="X843" s="138"/>
      <c r="Y843" s="138"/>
      <c r="Z843" s="293"/>
      <c r="AA843" s="293"/>
      <c r="AB843" s="293"/>
      <c r="AC843" s="293"/>
      <c r="AD843" s="293"/>
      <c r="AE843" s="293"/>
      <c r="AF843" s="293"/>
      <c r="AG843" s="293"/>
      <c r="AH843" s="293"/>
      <c r="AI843" s="293"/>
      <c r="AJ843" s="293"/>
      <c r="AK843" s="312"/>
      <c r="AL843" s="293"/>
      <c r="AM843" s="293"/>
      <c r="AN843" s="293"/>
      <c r="AO843" s="293"/>
      <c r="AP843" s="293"/>
      <c r="AQ843" s="293"/>
      <c r="AR843" s="293"/>
      <c r="AS843" s="293"/>
      <c r="AT843" s="293"/>
      <c r="AU843" s="293"/>
      <c r="AV843" s="293"/>
      <c r="AW843" s="293"/>
      <c r="AX843" s="293"/>
      <c r="AY843" s="293"/>
      <c r="AZ843" s="293"/>
      <c r="BA843" s="293"/>
      <c r="BB843" s="293"/>
      <c r="BC843" s="293"/>
      <c r="BD843" s="293"/>
      <c r="BE843" s="293"/>
      <c r="BF843" s="293"/>
      <c r="BG843" s="293"/>
      <c r="BH843" s="293"/>
      <c r="BI843" s="293"/>
      <c r="BJ843" s="138"/>
      <c r="BK843" s="138"/>
      <c r="BL843" s="138"/>
      <c r="BM843" s="138"/>
      <c r="BN843" s="138"/>
      <c r="BO843" s="138"/>
      <c r="BP843" s="138"/>
      <c r="BQ843" s="138"/>
      <c r="BR843" s="138"/>
      <c r="BS843" s="138"/>
      <c r="BT843" s="138"/>
      <c r="BU843" s="138"/>
      <c r="BV843" s="138"/>
      <c r="BW843" s="138"/>
      <c r="BX843" s="138"/>
      <c r="BY843" s="138"/>
      <c r="BZ843" s="138"/>
      <c r="CA843" s="138"/>
      <c r="CB843" s="138"/>
      <c r="CC843" s="138"/>
      <c r="CD843" s="138"/>
      <c r="CE843" s="138"/>
      <c r="CF843" s="138"/>
      <c r="CG843" s="138"/>
      <c r="CH843" s="138"/>
      <c r="CI843" s="138"/>
      <c r="CJ843" s="138"/>
      <c r="CK843" s="138"/>
      <c r="CL843" s="138"/>
      <c r="CM843" s="138"/>
      <c r="CN843" s="138"/>
      <c r="CO843" s="138"/>
      <c r="CP843" s="138"/>
      <c r="CQ843" s="319" t="s">
        <v>107</v>
      </c>
    </row>
    <row r="844" spans="1:95" ht="15" customHeight="1" thickBot="1" x14ac:dyDescent="0.3">
      <c r="A844" s="320">
        <f>C844</f>
        <v>29</v>
      </c>
      <c r="B844" s="68"/>
      <c r="C844" s="321">
        <f>C816+1</f>
        <v>29</v>
      </c>
      <c r="D844" s="68"/>
      <c r="E844" s="1269"/>
      <c r="F844" s="1270"/>
      <c r="G844" s="1270"/>
      <c r="H844" s="1270"/>
      <c r="I844" s="1270"/>
      <c r="J844" s="1271"/>
      <c r="K844" s="1272" t="str">
        <f>IF(INDEX(B_IdentifyFuelStreams!$K$125:$K$174,MATCH(U843,B_IdentifyFuelStreams!$D$125:$D$174,0))&gt;0,INDEX(B_IdentifyFuelStreams!$K$125:$K$174,MATCH(U843,B_IdentifyFuelStreams!$D$125:$D$174,0)),"")</f>
        <v/>
      </c>
      <c r="L844" s="1273"/>
      <c r="M844" s="316" t="str">
        <f>Translations!$B$621</f>
        <v>Emissions:</v>
      </c>
      <c r="N844" s="322" t="str">
        <f>IF(E845="","",BG850)</f>
        <v/>
      </c>
      <c r="O844" s="323" t="str">
        <f>EUconst_tCO2</f>
        <v>tCO2</v>
      </c>
      <c r="P844" s="324" t="str">
        <f>IF(AND(E844&lt;&gt;"",COUNTIF(P845:$P$1649,"PRINT")=0),"PRINT","")</f>
        <v/>
      </c>
      <c r="Q844" s="325" t="str">
        <f>EUconst_SumCO2</f>
        <v>SUM_CO2</v>
      </c>
      <c r="R844" s="312"/>
      <c r="S844" s="287"/>
      <c r="T844" s="287"/>
      <c r="U844" s="287"/>
      <c r="V844" s="301"/>
      <c r="W844" s="138"/>
      <c r="X844" s="293"/>
      <c r="Y844" s="293"/>
      <c r="Z844" s="293"/>
      <c r="AA844" s="293"/>
      <c r="AB844" s="293"/>
      <c r="AC844" s="293"/>
      <c r="AD844" s="293"/>
      <c r="AE844" s="293"/>
      <c r="AF844" s="293"/>
      <c r="AG844" s="293"/>
      <c r="AH844" s="293"/>
      <c r="AI844" s="326"/>
      <c r="AJ844" s="326"/>
      <c r="AK844" s="326"/>
      <c r="AL844" s="326"/>
      <c r="AM844" s="326"/>
      <c r="AN844" s="326"/>
      <c r="AO844" s="326"/>
      <c r="AP844" s="326"/>
      <c r="AQ844" s="326"/>
      <c r="AR844" s="326"/>
      <c r="AS844" s="326"/>
      <c r="AT844" s="326"/>
      <c r="AU844" s="326"/>
      <c r="AV844" s="326"/>
      <c r="AW844" s="326"/>
      <c r="AX844" s="326"/>
      <c r="AY844" s="326"/>
      <c r="AZ844" s="326"/>
      <c r="BA844" s="326"/>
      <c r="BB844" s="326"/>
      <c r="BC844" s="326"/>
      <c r="BD844" s="326"/>
      <c r="BE844" s="326"/>
      <c r="BF844" s="326"/>
      <c r="BG844" s="326"/>
      <c r="BH844" s="326"/>
      <c r="BI844" s="327" t="str">
        <f>IF(E844="","",E844)</f>
        <v/>
      </c>
      <c r="BJ844" s="328" t="str">
        <f>IF(F850="","",F850)</f>
        <v/>
      </c>
      <c r="BK844" s="329">
        <f>AV850</f>
        <v>0</v>
      </c>
      <c r="BL844" s="329">
        <f>IF(BK844="","",BK844*(1-BP844))</f>
        <v>0</v>
      </c>
      <c r="BM844" s="328" t="str">
        <f>AJ850</f>
        <v/>
      </c>
      <c r="BN844" s="328" t="str">
        <f>IF(F861="","",F861)</f>
        <v/>
      </c>
      <c r="BO844" s="327" t="str">
        <f>IF(G861="","",G861)</f>
        <v/>
      </c>
      <c r="BP844" s="330">
        <f>AV861</f>
        <v>0</v>
      </c>
      <c r="BQ844" s="328" t="str">
        <f>IF(F853="","",F853)</f>
        <v/>
      </c>
      <c r="BR844" s="330">
        <f>AV853</f>
        <v>0</v>
      </c>
      <c r="BS844" s="330" t="str">
        <f>AJ853</f>
        <v/>
      </c>
      <c r="BT844" s="328" t="str">
        <f>IF(F852="","",F852)</f>
        <v/>
      </c>
      <c r="BU844" s="330">
        <f>IF(F852=EUconst_NA,"",AV852)</f>
        <v>0</v>
      </c>
      <c r="BV844" s="330" t="str">
        <f>AJ852</f>
        <v/>
      </c>
      <c r="BW844" s="328" t="str">
        <f>IF(F854="","",F854)</f>
        <v/>
      </c>
      <c r="BX844" s="330">
        <f>AV854</f>
        <v>0</v>
      </c>
      <c r="BY844" s="328" t="str">
        <f>IF(F855="","",F855)</f>
        <v/>
      </c>
      <c r="BZ844" s="330">
        <f>AV855</f>
        <v>0</v>
      </c>
      <c r="CA844" s="330">
        <f>AV856</f>
        <v>0</v>
      </c>
      <c r="CB844" s="330">
        <f>AV857</f>
        <v>0</v>
      </c>
      <c r="CC844" s="330">
        <f>AV858</f>
        <v>0</v>
      </c>
      <c r="CD844" s="330">
        <f>AV859</f>
        <v>0</v>
      </c>
      <c r="CE844" s="329" t="str">
        <f>BG850</f>
        <v/>
      </c>
      <c r="CF844" s="329" t="str">
        <f>BG852</f>
        <v/>
      </c>
      <c r="CG844" s="329" t="str">
        <f>BG853</f>
        <v/>
      </c>
      <c r="CH844" s="329" t="str">
        <f>BG854</f>
        <v/>
      </c>
      <c r="CI844" s="329" t="str">
        <f>BG855</f>
        <v/>
      </c>
      <c r="CJ844" s="329" t="str">
        <f>BG856</f>
        <v/>
      </c>
      <c r="CK844" s="329" t="str">
        <f>BG857</f>
        <v/>
      </c>
      <c r="CL844" s="329">
        <f>BG858</f>
        <v>0</v>
      </c>
      <c r="CM844" s="329" t="str">
        <f>BG859</f>
        <v/>
      </c>
      <c r="CN844" s="329" t="str">
        <f>BG861</f>
        <v/>
      </c>
      <c r="CO844" s="329" t="str">
        <f>BG865</f>
        <v/>
      </c>
      <c r="CP844" s="329" t="str">
        <f>IF(COUNTIF(AO853:AO854,TRUE)=0,"",BH850)</f>
        <v/>
      </c>
      <c r="CQ844" s="331" t="b">
        <v>0</v>
      </c>
    </row>
    <row r="845" spans="1:95" ht="15" customHeight="1" thickBot="1" x14ac:dyDescent="0.3">
      <c r="A845" s="307"/>
      <c r="B845" s="68"/>
      <c r="C845" s="68"/>
      <c r="D845" s="68"/>
      <c r="E845" s="1274" t="str">
        <f>IF(ISBLANK(E844),"",IF(INDEX(B_IdentifyFuelStreams!$E$67:$E$116,MATCH(U843,B_IdentifyFuelStreams!$D$67:$D$116,0))&gt;0,INDEX(B_IdentifyFuelStreams!$E$67:$E$116,MATCH(U843,B_IdentifyFuelStreams!$D$67:$D$116,0)),""))</f>
        <v/>
      </c>
      <c r="F845" s="1275"/>
      <c r="G845" s="1275"/>
      <c r="H845" s="1275"/>
      <c r="I845" s="1275"/>
      <c r="J845" s="1276"/>
      <c r="K845" s="1272" t="str">
        <f>IF(INDEX(B_IdentifyFuelStreams!$M$125:$M$174,MATCH(U843,B_IdentifyFuelStreams!$D$125:$D$174,0))&gt;0,INDEX(B_IdentifyFuelStreams!$M$125:$M$174,MATCH(U843,B_IdentifyFuelStreams!$D$125:$D$174,0)),"")</f>
        <v/>
      </c>
      <c r="L845" s="1273"/>
      <c r="M845" s="332" t="str">
        <f>Translations!$B$622</f>
        <v>zero-rated:</v>
      </c>
      <c r="N845" s="333" t="str">
        <f>IF(E845="","",SUM(BG852,BG854,BG856))</f>
        <v/>
      </c>
      <c r="O845" s="334" t="str">
        <f>EUconst_tCO2</f>
        <v>tCO2</v>
      </c>
      <c r="P845" s="109"/>
      <c r="Q845" s="325" t="str">
        <f>EUconst_SumBioCO2</f>
        <v>SUM_bioCO2</v>
      </c>
      <c r="R845" s="312"/>
      <c r="S845" s="287"/>
      <c r="T845" s="287"/>
      <c r="U845" s="287"/>
      <c r="V845" s="301"/>
      <c r="W845" s="138"/>
      <c r="X845" s="293"/>
      <c r="Y845" s="317" t="str">
        <f>Translations!$B$143</f>
        <v>Tiers</v>
      </c>
      <c r="Z845" s="314"/>
      <c r="AA845" s="314"/>
      <c r="AB845" s="314"/>
      <c r="AC845" s="314"/>
      <c r="AD845" s="314"/>
      <c r="AE845" s="317" t="s">
        <v>108</v>
      </c>
      <c r="AF845" s="293"/>
      <c r="AG845" s="335"/>
      <c r="AH845" s="314"/>
      <c r="AI845" s="314"/>
      <c r="AJ845" s="335"/>
      <c r="AK845" s="335"/>
      <c r="AL845" s="326"/>
      <c r="AM845" s="326"/>
      <c r="AN845" s="326"/>
      <c r="AO845" s="326"/>
      <c r="AP845" s="326"/>
      <c r="AQ845" s="317" t="s">
        <v>109</v>
      </c>
      <c r="AR845" s="336"/>
      <c r="AS845" s="336"/>
      <c r="AT845" s="314"/>
      <c r="AU845" s="314"/>
      <c r="AV845" s="314"/>
      <c r="AW845" s="314"/>
      <c r="AX845" s="314"/>
      <c r="AY845" s="314"/>
      <c r="AZ845" s="317" t="s">
        <v>110</v>
      </c>
      <c r="BA845" s="314"/>
      <c r="BB845" s="314"/>
      <c r="BC845" s="314"/>
      <c r="BD845" s="314"/>
      <c r="BE845" s="314"/>
      <c r="BF845" s="317" t="s">
        <v>111</v>
      </c>
      <c r="BG845" s="314"/>
      <c r="BH845" s="314"/>
      <c r="BI845" s="317" t="s">
        <v>112</v>
      </c>
      <c r="BJ845" s="328" t="str">
        <f>Translations!$B$376</f>
        <v>RFA Tier</v>
      </c>
      <c r="BK845" s="328" t="str">
        <f>Translations!$B$377</f>
        <v>RFA</v>
      </c>
      <c r="BL845" s="328" t="str">
        <f>Translations!$B$378</f>
        <v>RFA (in scope)</v>
      </c>
      <c r="BM845" s="328" t="str">
        <f>Translations!$B$379</f>
        <v>RFA Unit</v>
      </c>
      <c r="BN845" s="328" t="str">
        <f>Translations!$B$380</f>
        <v>SF Tier</v>
      </c>
      <c r="BO845" s="328" t="str">
        <f>Translations!$B$380</f>
        <v>SF Tier</v>
      </c>
      <c r="BP845" s="328" t="str">
        <f>Translations!$B$381</f>
        <v>SF</v>
      </c>
      <c r="BQ845" s="328" t="str">
        <f>Translations!$B$382</f>
        <v>EF Tier</v>
      </c>
      <c r="BR845" s="328" t="str">
        <f>Translations!$B$383</f>
        <v>EF</v>
      </c>
      <c r="BS845" s="328" t="str">
        <f>Translations!$B$384</f>
        <v>EF Unit</v>
      </c>
      <c r="BT845" s="328" t="str">
        <f>Translations!$B$385</f>
        <v>UCF Tier</v>
      </c>
      <c r="BU845" s="328" t="str">
        <f>Translations!$B$386</f>
        <v>UCF</v>
      </c>
      <c r="BV845" s="328" t="str">
        <f>Translations!$B$387</f>
        <v>UCF Unit</v>
      </c>
      <c r="BW845" s="328" t="str">
        <f>Translations!$B$388</f>
        <v>Bio Tier</v>
      </c>
      <c r="BX845" s="328" t="s">
        <v>113</v>
      </c>
      <c r="BY845" s="328" t="str">
        <f>Translations!$B$389</f>
        <v>NonSustBio Tier</v>
      </c>
      <c r="BZ845" s="328" t="s">
        <v>114</v>
      </c>
      <c r="CA845" s="328" t="s">
        <v>115</v>
      </c>
      <c r="CB845" s="328" t="s">
        <v>116</v>
      </c>
      <c r="CC845" s="328" t="s">
        <v>117</v>
      </c>
      <c r="CD845" s="328" t="s">
        <v>118</v>
      </c>
      <c r="CE845" s="328" t="s">
        <v>119</v>
      </c>
      <c r="CF845" s="328" t="s">
        <v>120</v>
      </c>
      <c r="CG845" s="328" t="str">
        <f>Translations!$B$392</f>
        <v>CO2 non-sust</v>
      </c>
      <c r="CH845" s="328" t="s">
        <v>121</v>
      </c>
      <c r="CI845" s="328" t="s">
        <v>122</v>
      </c>
      <c r="CJ845" s="328" t="s">
        <v>123</v>
      </c>
      <c r="CK845" s="328" t="s">
        <v>124</v>
      </c>
      <c r="CL845" s="328" t="s">
        <v>125</v>
      </c>
      <c r="CM845" s="328" t="str">
        <f>Translations!$B$551</f>
        <v>Energy content (bio), TJ</v>
      </c>
      <c r="CN845" s="328" t="s">
        <v>126</v>
      </c>
      <c r="CO845" s="328" t="s">
        <v>127</v>
      </c>
      <c r="CP845" s="328" t="s">
        <v>128</v>
      </c>
      <c r="CQ845" s="314"/>
    </row>
    <row r="846" spans="1:95" ht="5.15" customHeight="1" thickBot="1" x14ac:dyDescent="0.3">
      <c r="A846" s="307"/>
      <c r="B846" s="68"/>
      <c r="C846" s="68"/>
      <c r="D846" s="68"/>
      <c r="E846" s="68"/>
      <c r="F846" s="68"/>
      <c r="G846" s="68"/>
      <c r="H846" s="76"/>
      <c r="I846" s="76"/>
      <c r="J846" s="76"/>
      <c r="K846" s="76"/>
      <c r="L846" s="76"/>
      <c r="M846" s="76"/>
      <c r="N846" s="76"/>
      <c r="O846" s="160"/>
      <c r="P846" s="109"/>
      <c r="Q846" s="312"/>
      <c r="R846" s="312"/>
      <c r="S846" s="287"/>
      <c r="T846" s="287"/>
      <c r="U846" s="287"/>
      <c r="V846" s="301"/>
      <c r="W846" s="314"/>
      <c r="X846" s="314"/>
      <c r="Y846" s="312"/>
      <c r="Z846" s="314"/>
      <c r="AA846" s="314"/>
      <c r="AB846" s="314"/>
      <c r="AC846" s="314"/>
      <c r="AD846" s="314"/>
      <c r="AE846" s="314"/>
      <c r="AF846" s="293"/>
      <c r="AG846" s="314"/>
      <c r="AH846" s="314"/>
      <c r="AI846" s="314"/>
      <c r="AJ846" s="335"/>
      <c r="AK846" s="335"/>
      <c r="AL846" s="326"/>
      <c r="AM846" s="326"/>
      <c r="AN846" s="326"/>
      <c r="AO846" s="326"/>
      <c r="AP846" s="326"/>
      <c r="AQ846" s="314"/>
      <c r="AR846" s="314"/>
      <c r="AS846" s="314"/>
      <c r="AT846" s="314"/>
      <c r="AU846" s="314"/>
      <c r="AV846" s="314"/>
      <c r="AW846" s="314"/>
      <c r="AX846" s="314"/>
      <c r="AY846" s="314"/>
      <c r="AZ846" s="314"/>
      <c r="BA846" s="314"/>
      <c r="BB846" s="314"/>
      <c r="BC846" s="314"/>
      <c r="BD846" s="314"/>
      <c r="BE846" s="314"/>
      <c r="BF846" s="314"/>
      <c r="BG846" s="314"/>
      <c r="BH846" s="314"/>
      <c r="BI846" s="314"/>
      <c r="BJ846" s="314"/>
      <c r="BK846" s="314"/>
      <c r="BL846" s="314"/>
      <c r="BM846" s="314"/>
      <c r="BN846" s="314"/>
      <c r="BO846" s="314"/>
      <c r="BP846" s="314"/>
      <c r="BQ846" s="314"/>
      <c r="BR846" s="314"/>
      <c r="BS846" s="314"/>
      <c r="BT846" s="314"/>
      <c r="BU846" s="314"/>
      <c r="BV846" s="314"/>
      <c r="BW846" s="314"/>
      <c r="BX846" s="314"/>
      <c r="BY846" s="314"/>
      <c r="BZ846" s="314"/>
      <c r="CA846" s="314"/>
      <c r="CB846" s="314"/>
      <c r="CC846" s="314"/>
      <c r="CD846" s="314"/>
      <c r="CE846" s="314"/>
      <c r="CF846" s="314"/>
      <c r="CG846" s="314"/>
      <c r="CH846" s="314"/>
      <c r="CI846" s="314"/>
      <c r="CJ846" s="314"/>
      <c r="CK846" s="314"/>
      <c r="CL846" s="314"/>
      <c r="CM846" s="314"/>
      <c r="CN846" s="314"/>
      <c r="CO846" s="314"/>
      <c r="CP846" s="314"/>
      <c r="CQ846" s="314"/>
    </row>
    <row r="847" spans="1:95" ht="12.75" customHeight="1" thickBot="1" x14ac:dyDescent="0.3">
      <c r="A847" s="307"/>
      <c r="B847" s="68"/>
      <c r="C847" s="68"/>
      <c r="D847" s="68"/>
      <c r="E847" s="1253" t="str">
        <f>IF(E844="","",HYPERLINK("#JUMP_E_Top",EUconst_FurtherGuidancePoint1))</f>
        <v/>
      </c>
      <c r="F847" s="1253"/>
      <c r="G847" s="1253"/>
      <c r="H847" s="1253"/>
      <c r="I847" s="1253"/>
      <c r="J847" s="1253"/>
      <c r="K847" s="1253"/>
      <c r="L847" s="1253"/>
      <c r="M847" s="1253"/>
      <c r="N847" s="76"/>
      <c r="O847" s="160"/>
      <c r="P847" s="109"/>
      <c r="Q847" s="325" t="str">
        <f>EUconst_SumNonSustBioCO2</f>
        <v>SUM_bioNonSustCO2</v>
      </c>
      <c r="R847" s="337" t="str">
        <f>IF(E845="","",BG853)</f>
        <v/>
      </c>
      <c r="S847" s="287"/>
      <c r="T847" s="287"/>
      <c r="U847" s="287"/>
      <c r="V847" s="314"/>
      <c r="W847" s="314"/>
      <c r="X847" s="314"/>
      <c r="Y847" s="293"/>
      <c r="Z847" s="314"/>
      <c r="AA847" s="314"/>
      <c r="AB847" s="314"/>
      <c r="AC847" s="314"/>
      <c r="AD847" s="314"/>
      <c r="AE847" s="314"/>
      <c r="AF847" s="293"/>
      <c r="AG847" s="314"/>
      <c r="AH847" s="314"/>
      <c r="AI847" s="314"/>
      <c r="AJ847" s="335"/>
      <c r="AK847" s="335"/>
      <c r="AL847" s="326"/>
      <c r="AM847" s="326"/>
      <c r="AN847" s="326"/>
      <c r="AO847" s="326"/>
      <c r="AP847" s="326"/>
      <c r="AQ847" s="314"/>
      <c r="AR847" s="314"/>
      <c r="AS847" s="314"/>
      <c r="AT847" s="314"/>
      <c r="AU847" s="314"/>
      <c r="AV847" s="314"/>
      <c r="AW847" s="314"/>
      <c r="AX847" s="314"/>
      <c r="AY847" s="314"/>
      <c r="AZ847" s="314"/>
      <c r="BA847" s="314"/>
      <c r="BB847" s="314"/>
      <c r="BC847" s="314"/>
      <c r="BD847" s="314"/>
      <c r="BE847" s="314"/>
      <c r="BF847" s="314"/>
      <c r="BG847" s="314"/>
      <c r="BH847" s="314"/>
      <c r="BI847" s="317" t="s">
        <v>129</v>
      </c>
      <c r="BJ847" s="336"/>
      <c r="BK847" s="327" t="str">
        <f>IF(G865="","",G865)</f>
        <v/>
      </c>
      <c r="BL847" s="327" t="str">
        <f>IF(I865="","",I865)</f>
        <v/>
      </c>
      <c r="BM847" s="327" t="str">
        <f>IF(K865="","",K865)</f>
        <v/>
      </c>
      <c r="BN847" s="314"/>
      <c r="BO847" s="314"/>
      <c r="BP847" s="314"/>
      <c r="BQ847" s="314"/>
      <c r="BR847" s="314"/>
      <c r="BS847" s="314"/>
      <c r="BT847" s="319"/>
      <c r="BU847" s="314"/>
      <c r="BV847" s="314"/>
      <c r="BW847" s="314"/>
      <c r="BX847" s="314"/>
      <c r="BY847" s="314"/>
      <c r="BZ847" s="314"/>
      <c r="CA847" s="314"/>
      <c r="CB847" s="314"/>
      <c r="CC847" s="314"/>
      <c r="CD847" s="314"/>
      <c r="CE847" s="314"/>
      <c r="CF847" s="314"/>
      <c r="CG847" s="314"/>
      <c r="CH847" s="314"/>
      <c r="CI847" s="314"/>
      <c r="CJ847" s="314"/>
      <c r="CK847" s="314"/>
      <c r="CL847" s="314"/>
      <c r="CM847" s="314"/>
      <c r="CN847" s="314"/>
      <c r="CO847" s="314"/>
      <c r="CP847" s="314"/>
      <c r="CQ847" s="314"/>
    </row>
    <row r="848" spans="1:95" ht="5.15" customHeight="1" thickBot="1" x14ac:dyDescent="0.3">
      <c r="A848" s="307"/>
      <c r="B848" s="68"/>
      <c r="C848" s="68"/>
      <c r="D848" s="68"/>
      <c r="E848" s="68"/>
      <c r="F848" s="68"/>
      <c r="G848" s="68"/>
      <c r="H848" s="76"/>
      <c r="I848" s="76"/>
      <c r="J848" s="76"/>
      <c r="K848" s="76"/>
      <c r="L848" s="76"/>
      <c r="M848" s="76"/>
      <c r="N848" s="76"/>
      <c r="O848" s="160"/>
      <c r="P848" s="111"/>
      <c r="Q848" s="287"/>
      <c r="R848" s="111"/>
      <c r="S848" s="287"/>
      <c r="T848" s="287"/>
      <c r="U848" s="287"/>
      <c r="V848" s="314"/>
      <c r="W848" s="314"/>
      <c r="X848" s="314"/>
      <c r="Y848" s="312"/>
      <c r="Z848" s="314"/>
      <c r="AA848" s="314"/>
      <c r="AB848" s="314"/>
      <c r="AC848" s="314"/>
      <c r="AD848" s="314"/>
      <c r="AE848" s="314"/>
      <c r="AF848" s="293"/>
      <c r="AG848" s="314"/>
      <c r="AH848" s="314"/>
      <c r="AI848" s="314"/>
      <c r="AJ848" s="335"/>
      <c r="AK848" s="335"/>
      <c r="AL848" s="326"/>
      <c r="AM848" s="326"/>
      <c r="AN848" s="326"/>
      <c r="AO848" s="326"/>
      <c r="AP848" s="326"/>
      <c r="AQ848" s="314"/>
      <c r="AR848" s="314"/>
      <c r="AS848" s="314"/>
      <c r="AT848" s="314"/>
      <c r="AU848" s="314"/>
      <c r="AV848" s="314"/>
      <c r="AW848" s="314"/>
      <c r="AX848" s="314"/>
      <c r="AY848" s="314"/>
      <c r="AZ848" s="314"/>
      <c r="BA848" s="314"/>
      <c r="BB848" s="314"/>
      <c r="BC848" s="314"/>
      <c r="BD848" s="314"/>
      <c r="BE848" s="314"/>
      <c r="BF848" s="314"/>
      <c r="BG848" s="314"/>
      <c r="BH848" s="314"/>
      <c r="BI848" s="314"/>
      <c r="BJ848" s="314"/>
      <c r="BK848" s="314"/>
      <c r="BL848" s="314"/>
      <c r="BM848" s="314"/>
      <c r="BN848" s="314"/>
      <c r="BO848" s="314"/>
      <c r="BP848" s="314"/>
      <c r="BQ848" s="314"/>
      <c r="BR848" s="314"/>
      <c r="BS848" s="314"/>
      <c r="BT848" s="314"/>
      <c r="BU848" s="314"/>
      <c r="BV848" s="314"/>
      <c r="BW848" s="314"/>
      <c r="BX848" s="314"/>
      <c r="BY848" s="314"/>
      <c r="BZ848" s="314"/>
      <c r="CA848" s="314"/>
      <c r="CB848" s="314"/>
      <c r="CC848" s="314"/>
      <c r="CD848" s="314"/>
      <c r="CE848" s="314"/>
      <c r="CF848" s="314"/>
      <c r="CG848" s="314"/>
      <c r="CH848" s="314"/>
      <c r="CI848" s="314"/>
      <c r="CJ848" s="314"/>
      <c r="CK848" s="314"/>
      <c r="CL848" s="314"/>
      <c r="CM848" s="314"/>
      <c r="CN848" s="314"/>
      <c r="CO848" s="314"/>
      <c r="CP848" s="314"/>
      <c r="CQ848" s="314"/>
    </row>
    <row r="849" spans="1:95" ht="12.75" customHeight="1" thickBot="1" x14ac:dyDescent="0.3">
      <c r="A849" s="307"/>
      <c r="B849" s="68"/>
      <c r="C849" s="68"/>
      <c r="D849" s="68"/>
      <c r="E849" s="68"/>
      <c r="F849" s="338" t="str">
        <f>Translations!$B$127</f>
        <v>Tier</v>
      </c>
      <c r="G849" s="1254" t="str">
        <f>Translations!$B$393</f>
        <v>tier description</v>
      </c>
      <c r="H849" s="1254"/>
      <c r="I849" s="1255" t="str">
        <f>Translations!$B$394</f>
        <v>Unit</v>
      </c>
      <c r="J849" s="1255"/>
      <c r="K849" s="1255" t="str">
        <f>Translations!$B$395</f>
        <v>Value</v>
      </c>
      <c r="L849" s="1255"/>
      <c r="M849" s="205" t="str">
        <f>Translations!$B$396</f>
        <v>error</v>
      </c>
      <c r="N849" s="76"/>
      <c r="O849" s="160"/>
      <c r="P849" s="339"/>
      <c r="Q849" s="325" t="str">
        <f>EUconst_SumEnergyIN</f>
        <v>SUM_EnergyIN</v>
      </c>
      <c r="R849" s="340" t="str">
        <f>IF(E845="","",BG858)</f>
        <v/>
      </c>
      <c r="S849" s="314"/>
      <c r="T849" s="314"/>
      <c r="U849" s="314"/>
      <c r="V849" s="341" t="s">
        <v>130</v>
      </c>
      <c r="W849" s="314"/>
      <c r="X849" s="314"/>
      <c r="Y849" s="312" t="s">
        <v>131</v>
      </c>
      <c r="Z849" s="312" t="s">
        <v>132</v>
      </c>
      <c r="AA849" s="314"/>
      <c r="AB849" s="314"/>
      <c r="AC849" s="336" t="s">
        <v>133</v>
      </c>
      <c r="AD849" s="314"/>
      <c r="AE849" s="314"/>
      <c r="AF849" s="314" t="s">
        <v>134</v>
      </c>
      <c r="AG849" s="314" t="s">
        <v>135</v>
      </c>
      <c r="AH849" s="312" t="s">
        <v>136</v>
      </c>
      <c r="AI849" s="335" t="s">
        <v>137</v>
      </c>
      <c r="AJ849" s="335" t="s">
        <v>138</v>
      </c>
      <c r="AK849" s="342" t="s">
        <v>139</v>
      </c>
      <c r="AL849" s="326"/>
      <c r="AM849" s="326"/>
      <c r="AN849" s="326"/>
      <c r="AO849" s="326"/>
      <c r="AP849" s="326"/>
      <c r="AQ849" s="314"/>
      <c r="AR849" s="314" t="s">
        <v>134</v>
      </c>
      <c r="AS849" s="314" t="s">
        <v>135</v>
      </c>
      <c r="AT849" s="343" t="s">
        <v>140</v>
      </c>
      <c r="AU849" s="335" t="s">
        <v>141</v>
      </c>
      <c r="AV849" s="335" t="s">
        <v>142</v>
      </c>
      <c r="AW849" s="342" t="s">
        <v>139</v>
      </c>
      <c r="AX849" s="342" t="s">
        <v>139</v>
      </c>
      <c r="AY849" s="314"/>
      <c r="AZ849" s="314"/>
      <c r="BA849" s="314"/>
      <c r="BB849" s="314" t="s">
        <v>143</v>
      </c>
      <c r="BC849" s="314"/>
      <c r="BD849" s="314"/>
      <c r="BE849" s="314"/>
      <c r="BF849" s="314"/>
      <c r="BG849" s="319" t="s">
        <v>144</v>
      </c>
      <c r="BH849" s="314" t="s">
        <v>145</v>
      </c>
      <c r="BI849" s="314"/>
      <c r="BJ849" s="314"/>
      <c r="BK849" s="314"/>
      <c r="BL849" s="314"/>
      <c r="BM849" s="314"/>
      <c r="BN849" s="314"/>
      <c r="BO849" s="314"/>
      <c r="BP849" s="314"/>
      <c r="BQ849" s="314"/>
      <c r="BR849" s="314"/>
      <c r="BS849" s="314"/>
      <c r="BT849" s="314"/>
      <c r="BU849" s="314"/>
      <c r="BV849" s="314"/>
      <c r="BW849" s="314"/>
      <c r="BX849" s="314"/>
      <c r="BY849" s="314"/>
      <c r="BZ849" s="314"/>
      <c r="CA849" s="314"/>
      <c r="CB849" s="314"/>
      <c r="CC849" s="314"/>
      <c r="CD849" s="314"/>
      <c r="CE849" s="314"/>
      <c r="CF849" s="314"/>
      <c r="CG849" s="314"/>
      <c r="CH849" s="314"/>
      <c r="CI849" s="314"/>
      <c r="CJ849" s="314"/>
      <c r="CK849" s="314"/>
      <c r="CL849" s="314"/>
      <c r="CM849" s="314"/>
      <c r="CN849" s="314"/>
      <c r="CO849" s="314"/>
      <c r="CP849" s="314"/>
      <c r="CQ849" s="319" t="s">
        <v>107</v>
      </c>
    </row>
    <row r="850" spans="1:95" ht="12.75" customHeight="1" thickBot="1" x14ac:dyDescent="0.3">
      <c r="A850" s="307"/>
      <c r="B850" s="68"/>
      <c r="C850" s="199" t="s">
        <v>12</v>
      </c>
      <c r="D850" s="344" t="str">
        <f>Translations!$B$356</f>
        <v>RFA:</v>
      </c>
      <c r="E850" s="345"/>
      <c r="F850" s="6"/>
      <c r="G850" s="1256" t="str">
        <f>IF(OR(ISBLANK(F850),F850=EUconst_NoTier),"",IF(Z850=0,EUconst_NA,IF(ISERROR(Z850),"",Z850)))</f>
        <v/>
      </c>
      <c r="H850" s="1257"/>
      <c r="I850" s="346" t="str">
        <f>IF(J850&lt;&gt;"","",AI850)</f>
        <v/>
      </c>
      <c r="J850" s="7"/>
      <c r="K850" s="1258"/>
      <c r="L850" s="1259"/>
      <c r="M850" s="347" t="str">
        <f>IF(AND(E845&lt;&gt;"",OR(F850="",COUNT(K850)=0),Y850&lt;&gt;EUconst_NA),EUconst_ERR_Incomplete,"")</f>
        <v/>
      </c>
      <c r="N850" s="76"/>
      <c r="O850" s="160"/>
      <c r="P850" s="348"/>
      <c r="Q850" s="325" t="str">
        <f>EUconst_SumBioEnergyIN</f>
        <v>SUM_BioEnergyIN</v>
      </c>
      <c r="R850" s="340" t="str">
        <f>IF(E845="","",BG859)</f>
        <v/>
      </c>
      <c r="S850" s="314"/>
      <c r="T850" s="349" t="str">
        <f>EUconst_CNTR_ActivityData&amp;E845</f>
        <v>ActivityData_</v>
      </c>
      <c r="U850" s="312"/>
      <c r="V850" s="349" t="str">
        <f>IF(E844="","",INDEX(B_IdentifyFuelStreams!$I$67:$I$116,MATCH(U843,B_IdentifyFuelStreams!$D$67:$D$116,0)))</f>
        <v/>
      </c>
      <c r="W850" s="335" t="s">
        <v>146</v>
      </c>
      <c r="X850" s="312"/>
      <c r="Y850" s="350" t="str">
        <f>IF(E845="","",INDEX(EUwideConstants!$P$164:$P$200,MATCH(T850,EUwideConstants!$S$164:$S$200,0)))</f>
        <v/>
      </c>
      <c r="Z850" s="351" t="str">
        <f>IF(ISBLANK(F850),"",IF(F850=EUconst_NA,"",INDEX(EUwideConstants!$H:$O,MATCH(T850,EUwideConstants!$S:$S,0),MATCH(F850,CNTR_TierList,0))))</f>
        <v/>
      </c>
      <c r="AA850" s="352" t="s">
        <v>136</v>
      </c>
      <c r="AB850" s="335"/>
      <c r="AC850" s="331" t="b">
        <f>E844&lt;&gt;""</f>
        <v>0</v>
      </c>
      <c r="AD850" s="314"/>
      <c r="AE850" s="353" t="str">
        <f>EUconst_CNTR_ActivityData&amp;EUconst_Unit</f>
        <v>ActivityData_Unit</v>
      </c>
      <c r="AF850" s="354" t="str">
        <f>IF(AC850=TRUE, IF(COUNTIF(MSPara_SourceStreamCategory,V850)=0,"",INDEX(MSPara_CalcFactorsMatrix,MATCH(V850,MSPara_SourceStreamCategory,0),MATCH(AE850&amp;"_"&amp;2,MSPara_CalcFactors,0))),"")</f>
        <v/>
      </c>
      <c r="AG850" s="355" t="str">
        <f>IF(AC850=TRUE, IF(COUNTIF(MSPara_SourceStreamCategory,V850)=0,"",INDEX(MSPara_CalcFactorsMatrix,MATCH(V850,MSPara_SourceStreamCategory,0),MATCH(AE850&amp;"_"&amp;1,MSPara_CalcFactors,0))),"")</f>
        <v/>
      </c>
      <c r="AH850" s="331" t="str">
        <f>IF(OR(AF850="",AF850=EUconst_NA),IF(OR(AG850=EUconst_NA,AG850=""),"",AG850),AF850)</f>
        <v/>
      </c>
      <c r="AI850" s="350" t="str">
        <f>IF(AC850=TRUE,IF(AH850="",EUconst_t,AH850),"")</f>
        <v/>
      </c>
      <c r="AJ850" s="356" t="str">
        <f>IF(J850="",AI850,J850)</f>
        <v/>
      </c>
      <c r="AK850" s="357" t="b">
        <f>AND(E844&lt;&gt;"",J850&lt;&gt;"")</f>
        <v>0</v>
      </c>
      <c r="AL850" s="326"/>
      <c r="AM850" s="358" t="s">
        <v>147</v>
      </c>
      <c r="AN850" s="359" t="str">
        <f>AJ850</f>
        <v/>
      </c>
      <c r="AO850" s="326"/>
      <c r="AP850" s="326"/>
      <c r="AQ850" s="349" t="str">
        <f>EUconst_CNTR_ActivityData&amp;EUconst_Value</f>
        <v>ActivityData_Value</v>
      </c>
      <c r="AR850" s="336"/>
      <c r="AS850" s="336"/>
      <c r="AT850" s="331" t="b">
        <f>AND(AND(AH850&lt;&gt;"",AJ850&lt;&gt;""),AJ850=AH850)</f>
        <v>0</v>
      </c>
      <c r="AU850" s="314"/>
      <c r="AV850" s="331">
        <f>IF(Y850=EUconst_NA,0,IF(COUNT(K850:K850)=0,0,IF(K850="",#REF!,K850)))</f>
        <v>0</v>
      </c>
      <c r="AW850" s="360" t="b">
        <f>AND(AC850=TRUE,OR(K850&lt;&gt;"",AU850=""))</f>
        <v>0</v>
      </c>
      <c r="AX850" s="360" t="b">
        <f>AND(AC850=TRUE,NOT(AW850))</f>
        <v>0</v>
      </c>
      <c r="AY850" s="314"/>
      <c r="AZ850" s="314" t="s">
        <v>148</v>
      </c>
      <c r="BA850" s="314" t="s">
        <v>149</v>
      </c>
      <c r="BB850" s="360"/>
      <c r="BC850" s="314" t="s">
        <v>150</v>
      </c>
      <c r="BD850" s="314"/>
      <c r="BE850" s="314"/>
      <c r="BF850" s="361" t="s">
        <v>119</v>
      </c>
      <c r="BG850" s="362" t="str">
        <f>IF(COUNTIF(AO853:AO854,TRUE)=0,"",BH850*AV861)</f>
        <v/>
      </c>
      <c r="BH850" s="362" t="str">
        <f>IF(COUNTIF(AO853:AO854,TRUE)=0,"",AV850*IF(AO853,1,AV852*AN854)*AV853-BH852-BH854-BH856)</f>
        <v/>
      </c>
      <c r="BI850" s="314"/>
      <c r="BJ850" s="314"/>
      <c r="BK850" s="314"/>
      <c r="BL850" s="314"/>
      <c r="BM850" s="314"/>
      <c r="BN850" s="314"/>
      <c r="BO850" s="314"/>
      <c r="BP850" s="314"/>
      <c r="BQ850" s="314"/>
      <c r="BR850" s="314"/>
      <c r="BS850" s="314"/>
      <c r="BT850" s="314"/>
      <c r="BU850" s="314"/>
      <c r="BV850" s="314"/>
      <c r="BW850" s="314"/>
      <c r="BX850" s="314"/>
      <c r="BY850" s="314"/>
      <c r="BZ850" s="314"/>
      <c r="CA850" s="314"/>
      <c r="CB850" s="314"/>
      <c r="CC850" s="314"/>
      <c r="CD850" s="314"/>
      <c r="CE850" s="314"/>
      <c r="CF850" s="314"/>
      <c r="CG850" s="314"/>
      <c r="CH850" s="314"/>
      <c r="CI850" s="314"/>
      <c r="CJ850" s="314"/>
      <c r="CK850" s="314"/>
      <c r="CL850" s="314"/>
      <c r="CM850" s="314"/>
      <c r="CN850" s="314"/>
      <c r="CO850" s="314"/>
      <c r="CP850" s="314"/>
      <c r="CQ850" s="360" t="b">
        <v>0</v>
      </c>
    </row>
    <row r="851" spans="1:95" ht="5.15" customHeight="1" thickBot="1" x14ac:dyDescent="0.3">
      <c r="A851" s="307"/>
      <c r="B851" s="68"/>
      <c r="C851" s="199"/>
      <c r="D851" s="202"/>
      <c r="E851" s="76"/>
      <c r="F851" s="76"/>
      <c r="G851" s="76"/>
      <c r="H851" s="76" t="str">
        <f>Translations!$B$397</f>
        <v xml:space="preserve"> </v>
      </c>
      <c r="I851" s="162"/>
      <c r="J851" s="162"/>
      <c r="K851" s="76"/>
      <c r="L851" s="76"/>
      <c r="M851" s="363"/>
      <c r="N851" s="76"/>
      <c r="O851" s="160"/>
      <c r="P851" s="109"/>
      <c r="Q851" s="312"/>
      <c r="R851" s="312"/>
      <c r="S851" s="314"/>
      <c r="T851" s="62"/>
      <c r="U851" s="312"/>
      <c r="V851" s="314"/>
      <c r="W851" s="314"/>
      <c r="X851" s="312"/>
      <c r="Y851" s="319"/>
      <c r="Z851" s="314"/>
      <c r="AA851" s="314"/>
      <c r="AB851" s="314"/>
      <c r="AC851" s="314"/>
      <c r="AD851" s="314"/>
      <c r="AE851" s="314"/>
      <c r="AF851" s="314"/>
      <c r="AG851" s="314"/>
      <c r="AH851" s="314"/>
      <c r="AI851" s="314"/>
      <c r="AJ851" s="314"/>
      <c r="AK851" s="314"/>
      <c r="AL851" s="326"/>
      <c r="AM851" s="326"/>
      <c r="AN851" s="326"/>
      <c r="AO851" s="326"/>
      <c r="AP851" s="326"/>
      <c r="AQ851" s="314"/>
      <c r="AR851" s="314"/>
      <c r="AS851" s="314"/>
      <c r="AT851" s="314"/>
      <c r="AU851" s="314"/>
      <c r="AV851" s="314"/>
      <c r="AW851" s="314"/>
      <c r="AX851" s="314"/>
      <c r="AY851" s="314"/>
      <c r="AZ851" s="314"/>
      <c r="BA851" s="314"/>
      <c r="BB851" s="314"/>
      <c r="BC851" s="314"/>
      <c r="BD851" s="314"/>
      <c r="BE851" s="314"/>
      <c r="BF851" s="314"/>
      <c r="BG851" s="364"/>
      <c r="BH851" s="364"/>
      <c r="BI851" s="314"/>
      <c r="BJ851" s="314"/>
      <c r="BK851" s="314"/>
      <c r="BL851" s="314"/>
      <c r="BM851" s="314"/>
      <c r="BN851" s="314"/>
      <c r="BO851" s="314"/>
      <c r="BP851" s="314"/>
      <c r="BQ851" s="314"/>
      <c r="BR851" s="314"/>
      <c r="BS851" s="314"/>
      <c r="BT851" s="314"/>
      <c r="BU851" s="314"/>
      <c r="BV851" s="314"/>
      <c r="BW851" s="314"/>
      <c r="BX851" s="314"/>
      <c r="BY851" s="314"/>
      <c r="BZ851" s="314"/>
      <c r="CA851" s="314"/>
      <c r="CB851" s="314"/>
      <c r="CC851" s="314"/>
      <c r="CD851" s="314"/>
      <c r="CE851" s="314"/>
      <c r="CF851" s="314"/>
      <c r="CG851" s="314"/>
      <c r="CH851" s="314"/>
      <c r="CI851" s="314"/>
      <c r="CJ851" s="314"/>
      <c r="CK851" s="314"/>
      <c r="CL851" s="314"/>
      <c r="CM851" s="314"/>
      <c r="CN851" s="314"/>
      <c r="CO851" s="314"/>
      <c r="CP851" s="314"/>
      <c r="CQ851" s="319"/>
    </row>
    <row r="852" spans="1:95" ht="12.75" customHeight="1" x14ac:dyDescent="0.25">
      <c r="A852" s="307"/>
      <c r="B852" s="68"/>
      <c r="C852" s="199" t="s">
        <v>13</v>
      </c>
      <c r="D852" s="344" t="str">
        <f>Translations!$B$360</f>
        <v>UCF:</v>
      </c>
      <c r="E852" s="345"/>
      <c r="F852" s="10"/>
      <c r="G852" s="1256" t="str">
        <f>IF(OR(ISBLANK(F852),F852=EUconst_NoTier),"",IF(Z852=0,EUconst_NotApplicable,IF(ISERROR(Z852),"",Z852)))</f>
        <v/>
      </c>
      <c r="H852" s="1257"/>
      <c r="I852" s="365" t="str">
        <f>IF(J852&lt;&gt;"","",AI852)</f>
        <v/>
      </c>
      <c r="J852" s="11"/>
      <c r="K852" s="366" t="str">
        <f>IF(L852="",AU852,"")</f>
        <v/>
      </c>
      <c r="L852" s="23"/>
      <c r="M852" s="347" t="str">
        <f>IF(AND(E845&lt;&gt;"",OR(F852="",COUNT(K852:L852)=0),Y852&lt;&gt;EUconst_NA),EUconst_ERR_Incomplete,IF(COUNTIF(BB852:BD852,TRUE)&gt;0,EUconst_ERR_Inconsistent,""))</f>
        <v/>
      </c>
      <c r="N852" s="367"/>
      <c r="O852" s="160"/>
      <c r="P852" s="109"/>
      <c r="Q852" s="312"/>
      <c r="R852" s="312"/>
      <c r="S852" s="314"/>
      <c r="T852" s="368" t="str">
        <f>EUconst_CNTR_UCF&amp;E845</f>
        <v>UCF_</v>
      </c>
      <c r="U852" s="312"/>
      <c r="V852" s="369" t="str">
        <f>V853</f>
        <v/>
      </c>
      <c r="W852" s="314"/>
      <c r="X852" s="312"/>
      <c r="Y852" s="370" t="str">
        <f>IF(E845="","",IF(OR(F852=EUconst_NA,W852=TRUE),EUconst_NA,INDEX(EUwideConstants!$P$164:$P$200,MATCH(T852,EUwideConstants!$S$164:$S$200,0))))</f>
        <v/>
      </c>
      <c r="Z852" s="371" t="str">
        <f>IF(ISBLANK(F852),"",IF(F852=EUconst_NA,"",INDEX(EUwideConstants!$H:$O,MATCH(T852,EUwideConstants!$S:$S,0),MATCH(F852,CNTR_TierList,0))))</f>
        <v/>
      </c>
      <c r="AA852" s="372" t="str">
        <f>IF(COUNTIF(EUconst_DefaultValues,Z852)&gt;0,MATCH(Z852,EUconst_DefaultValues,0),"")</f>
        <v/>
      </c>
      <c r="AB852" s="314"/>
      <c r="AC852" s="373" t="b">
        <f>AND(AC850,Y852&lt;&gt;EUconst_NA)</f>
        <v>0</v>
      </c>
      <c r="AD852" s="314"/>
      <c r="AE852" s="353" t="str">
        <f>EUconst_CNTR_UCF&amp;EUconst_Unit</f>
        <v>UCF_Unit</v>
      </c>
      <c r="AF852" s="374" t="str">
        <f>IF(AC852=TRUE, IF(COUNTIF(MSPara_SourceStreamCategory,V852)=0,"",INDEX(MSPara_CalcFactorsMatrix,MATCH(V852,MSPara_SourceStreamCategory,0),MATCH(AE852&amp;"_"&amp;2,MSPara_CalcFactors,0))),"")</f>
        <v/>
      </c>
      <c r="AG852" s="375" t="str">
        <f>IF(AC852=TRUE, IF(COUNTIF(MSPara_SourceStreamCategory,V852)=0,"",INDEX(MSPara_CalcFactorsMatrix,MATCH(V852,MSPara_SourceStreamCategory,0),MATCH(AE852&amp;"_"&amp;1,MSPara_CalcFactors,0))),"")</f>
        <v/>
      </c>
      <c r="AH852" s="373" t="str">
        <f>IF(AA852="","",INDEX(AF852:AG852,3-AA852))</f>
        <v/>
      </c>
      <c r="AI852" s="373" t="str">
        <f>IF(AC852=TRUE,IF(OR(AH852="",AH852=EUconst_NA),EUconst_GJ&amp;"/"&amp;AJ850,AH852),"")</f>
        <v/>
      </c>
      <c r="AJ852" s="373" t="str">
        <f>IF(J852="",AI852,J852)</f>
        <v/>
      </c>
      <c r="AK852" s="369" t="b">
        <f>AND(E844&lt;&gt;"",J852&lt;&gt;"")</f>
        <v>0</v>
      </c>
      <c r="AL852" s="326"/>
      <c r="AM852" s="358" t="s">
        <v>151</v>
      </c>
      <c r="AN852" s="359" t="str">
        <f>IF(AJ852="",EUconst_NA,IF(AN850=EUconst_TJ,EUconst_TJ,INDEX(EUwideConstants!$C$135:$G$139,MATCH(AN850,RFAUnits,0),MATCH(AJ852,UCFUnits,0))))</f>
        <v>n.a.</v>
      </c>
      <c r="AO852" s="326"/>
      <c r="AP852" s="326"/>
      <c r="AQ852" s="376" t="str">
        <f>EUconst_CNTR_UCF&amp;EUconst_Value</f>
        <v>UCF_Value</v>
      </c>
      <c r="AR852" s="377" t="str">
        <f>IF(AC852=TRUE,IF(COUNTIF(MSPara_SourceStreamCategory,V852)=0,"",INDEX(MSPara_CalcFactorsMatrix,MATCH(V852,MSPara_SourceStreamCategory,0),MATCH(AQ852&amp;"_"&amp;2,MSPara_CalcFactors,0))),"")</f>
        <v/>
      </c>
      <c r="AS852" s="378" t="str">
        <f>IF(AC852=TRUE,IF(COUNTIF(MSPara_SourceStreamCategory,V852)=0,"",INDEX(MSPara_CalcFactorsMatrix,MATCH(V852,MSPara_SourceStreamCategory,0),MATCH(AQ852&amp;"_"&amp;1,MSPara_CalcFactors,0))),"")</f>
        <v/>
      </c>
      <c r="AT852" s="379" t="b">
        <f>AND(AND(AH852&lt;&gt;"",AJ852&lt;&gt;""),AJ852=AH852)</f>
        <v>0</v>
      </c>
      <c r="AU852" s="380" t="str">
        <f>IF(AND(AA852&lt;&gt;"",AT852=TRUE),IF(OR(INDEX(AR852:AS852,3-AA852)=EUconst_NA,INDEX(AR852:AS852,3-AA852)=0),"",INDEX(AR852:AS852,3-AA852)),"")</f>
        <v/>
      </c>
      <c r="AV852" s="373">
        <f>IF(AC852=TRUE,IF(COUNT(K852:L852)=0,0,IF(L852="",K852,L852)),0)</f>
        <v>0</v>
      </c>
      <c r="AW852" s="369" t="b">
        <f t="shared" ref="AW852:AW859" si="252">AND(AC852=TRUE,OR(AND(F852&lt;&gt;"",NOT(ISNUMBER(AA852))),L852&lt;&gt;"",F852="",AU852=""))</f>
        <v>0</v>
      </c>
      <c r="AX852" s="381" t="b">
        <f t="shared" ref="AX852:AX859" si="253">AND(AC852=TRUE,NOT(AW852))</f>
        <v>0</v>
      </c>
      <c r="AY852" s="314"/>
      <c r="AZ852" s="382" t="b">
        <f t="shared" ref="AZ852:AZ859" si="254">AND(ISNUMBER(AA852),AU852="")</f>
        <v>0</v>
      </c>
      <c r="BA852" s="383" t="b">
        <f t="shared" ref="BA852:BA859" si="255">AND(ISNUMBER(AA852),AU852&lt;&gt;AV852)</f>
        <v>0</v>
      </c>
      <c r="BB852" s="369" t="b">
        <f>AND(E845&lt;&gt;"",F852&lt;&gt;EUconst_NA,AN852=EUconst_NA)</f>
        <v>0</v>
      </c>
      <c r="BC852" s="369" t="b">
        <f t="shared" ref="BC852:BC859" si="256">AND(L852&lt;&gt;"",Y852=EUconst_NA)</f>
        <v>0</v>
      </c>
      <c r="BD852" s="314"/>
      <c r="BE852" s="314"/>
      <c r="BF852" s="382" t="s">
        <v>152</v>
      </c>
      <c r="BG852" s="384" t="str">
        <f>IF(COUNTIF(AO853:AO854,TRUE)=0,"",BH852*AV861)</f>
        <v/>
      </c>
      <c r="BH852" s="384" t="str">
        <f>IF(COUNTIF(AO853:AO854,TRUE)=0,"",AV850*IF(AO853,1,AV852*AN854)*AV853*AV854)</f>
        <v/>
      </c>
      <c r="BI852" s="314"/>
      <c r="BJ852" s="314"/>
      <c r="BK852" s="314"/>
      <c r="BL852" s="314"/>
      <c r="BM852" s="314"/>
      <c r="BN852" s="314"/>
      <c r="BO852" s="314"/>
      <c r="BP852" s="314"/>
      <c r="BQ852" s="314"/>
      <c r="BR852" s="314"/>
      <c r="BS852" s="314"/>
      <c r="BT852" s="314"/>
      <c r="BU852" s="314"/>
      <c r="BV852" s="314"/>
      <c r="BW852" s="314"/>
      <c r="BX852" s="314"/>
      <c r="BY852" s="314"/>
      <c r="BZ852" s="314"/>
      <c r="CA852" s="314"/>
      <c r="CB852" s="314"/>
      <c r="CC852" s="314"/>
      <c r="CD852" s="314"/>
      <c r="CE852" s="314"/>
      <c r="CF852" s="314"/>
      <c r="CG852" s="314"/>
      <c r="CH852" s="314"/>
      <c r="CI852" s="314"/>
      <c r="CJ852" s="314"/>
      <c r="CK852" s="314"/>
      <c r="CL852" s="314"/>
      <c r="CM852" s="314"/>
      <c r="CN852" s="314"/>
      <c r="CO852" s="314"/>
      <c r="CP852" s="314"/>
      <c r="CQ852" s="369" t="b">
        <f>OR(CQ850,Y852=EUconst_NA)</f>
        <v>0</v>
      </c>
    </row>
    <row r="853" spans="1:95" ht="12.75" customHeight="1" thickBot="1" x14ac:dyDescent="0.3">
      <c r="A853" s="307"/>
      <c r="B853" s="68"/>
      <c r="C853" s="199" t="s">
        <v>14</v>
      </c>
      <c r="D853" s="344" t="str">
        <f>Translations!$B$358</f>
        <v>(prelim) EF:</v>
      </c>
      <c r="E853" s="345"/>
      <c r="F853" s="59"/>
      <c r="G853" s="1256" t="str">
        <f>IF(OR(ISBLANK(F853),F853=EUconst_NoTier),"",IF(Z853=0,EUconst_NotApplicable,IF(ISERROR(Z853),"",Z853)))</f>
        <v/>
      </c>
      <c r="H853" s="1260"/>
      <c r="I853" s="385" t="str">
        <f>IF(J853&lt;&gt;"","",AI853)</f>
        <v/>
      </c>
      <c r="J853" s="22"/>
      <c r="K853" s="386" t="str">
        <f>IF(L853="",AU853,"")</f>
        <v/>
      </c>
      <c r="L853" s="58"/>
      <c r="M853" s="347" t="str">
        <f>IF(AND(E845&lt;&gt;"",OR(F853="",COUNT(K853:L853)=0),Y853&lt;&gt;EUconst_NA),EUconst_ERR_Incomplete,IF(COUNTIF(BB853:BD853,TRUE)&gt;0,EUconst_ERR_Inconsistent,""))</f>
        <v/>
      </c>
      <c r="N853" s="387"/>
      <c r="O853" s="160"/>
      <c r="P853" s="109"/>
      <c r="Q853" s="312"/>
      <c r="R853" s="312"/>
      <c r="S853" s="314"/>
      <c r="T853" s="388" t="str">
        <f>EUconst_CNTR_EF&amp;E845</f>
        <v>EF_</v>
      </c>
      <c r="U853" s="312"/>
      <c r="V853" s="389" t="str">
        <f>V850</f>
        <v/>
      </c>
      <c r="W853" s="314"/>
      <c r="X853" s="312"/>
      <c r="Y853" s="390" t="str">
        <f>IF(E845="","",IF(OR(F853=EUconst_NA,W853=TRUE),EUconst_NA,INDEX(EUwideConstants!$P$164:$P$200,MATCH(T853,EUwideConstants!$S$164:$S$200,0))))</f>
        <v/>
      </c>
      <c r="Z853" s="391" t="str">
        <f>IF(ISBLANK(F853),"",IF(F853=EUconst_NA,"",INDEX(EUwideConstants!$H:$O,MATCH(T853,EUwideConstants!$S:$S,0),MATCH(F853,CNTR_TierList,0))))</f>
        <v/>
      </c>
      <c r="AA853" s="392" t="str">
        <f>IF(COUNTIF(EUconst_DefaultValues,Z853)&gt;0,MATCH(Z853,EUconst_DefaultValues,0),"")</f>
        <v/>
      </c>
      <c r="AB853" s="314"/>
      <c r="AC853" s="393" t="b">
        <f>AND(AC850,Y853&lt;&gt;EUconst_NA)</f>
        <v>0</v>
      </c>
      <c r="AD853" s="314"/>
      <c r="AE853" s="394" t="str">
        <f>EUconst_CNTR_EF&amp;EUconst_Unit</f>
        <v>EF_Unit</v>
      </c>
      <c r="AF853" s="395" t="str">
        <f>IF(AC853=TRUE, IF(COUNTIF(MSPara_SourceStreamCategory,V853)=0,"",INDEX(MSPara_CalcFactorsMatrix,MATCH(V853,MSPara_SourceStreamCategory,0),MATCH(AE853&amp;"_"&amp;2,MSPara_CalcFactors,0))),"")</f>
        <v/>
      </c>
      <c r="AG853" s="396" t="str">
        <f>IF(AC853=TRUE, IF(COUNTIF(MSPara_SourceStreamCategory,V853)=0,"",INDEX(MSPara_CalcFactorsMatrix,MATCH(V853,MSPara_SourceStreamCategory,0),MATCH(AE853&amp;"_"&amp;1,MSPara_CalcFactors,0))),"")</f>
        <v/>
      </c>
      <c r="AH853" s="397" t="str">
        <f>IF(AA853="","",INDEX(AF853:AG853,3-AA853))</f>
        <v/>
      </c>
      <c r="AI853" s="397" t="str">
        <f>IF(AC853=TRUE,IF(OR(AH853="",AH853=EUconst_NA),EUconst_tCO2&amp;"/"&amp;IF(AN852=EUconst_NA,AN850,IF(AN852=EUconst_GJ,EUconst_TJ,AN852)),AH853),"")</f>
        <v/>
      </c>
      <c r="AJ853" s="397" t="str">
        <f>IF(J853="",AI853,J853)</f>
        <v/>
      </c>
      <c r="AK853" s="398" t="b">
        <f>AND(E845&lt;&gt;"",J853&lt;&gt;"")</f>
        <v>0</v>
      </c>
      <c r="AL853" s="326"/>
      <c r="AM853" s="358" t="s">
        <v>153</v>
      </c>
      <c r="AN853" s="359" t="str">
        <f>IF(COUNTIF(RFAUnits,AN850)=0,EUconst_NA,INDEX(EUwideConstants!$C$150:$H$154,MATCH(AJ853,EFUnits,0),MATCH(AN850,EUwideConstants!$C$149:$H$149,0)))</f>
        <v>n.a.</v>
      </c>
      <c r="AO853" s="359" t="b">
        <f>AN853&lt;&gt;EUconst_NA</f>
        <v>0</v>
      </c>
      <c r="AP853" s="326"/>
      <c r="AQ853" s="399" t="str">
        <f>EUconst_CNTR_EF&amp;EUconst_Value</f>
        <v>EF_Value</v>
      </c>
      <c r="AR853" s="400" t="str">
        <f>IF(AC853=TRUE,IF(COUNTIF(MSPara_SourceStreamCategory,V853)=0,"",INDEX(MSPara_CalcFactorsMatrix,MATCH(V853,MSPara_SourceStreamCategory,0),MATCH(AQ853&amp;"_"&amp;2,MSPara_CalcFactors,0))),"")</f>
        <v/>
      </c>
      <c r="AS853" s="401" t="str">
        <f>IF(AC853=TRUE,IF(COUNTIF(MSPara_SourceStreamCategory,V853)=0,"",INDEX(MSPara_CalcFactorsMatrix,MATCH(V853,MSPara_SourceStreamCategory,0),MATCH(AQ853&amp;"_"&amp;1,MSPara_CalcFactors,0))),"")</f>
        <v/>
      </c>
      <c r="AT853" s="402" t="b">
        <f>AND(AND(AH853&lt;&gt;"",AJ853&lt;&gt;""),AJ853=AH853)</f>
        <v>0</v>
      </c>
      <c r="AU853" s="403" t="str">
        <f>IF(AND(AA853&lt;&gt;"",AT853=TRUE),IF(OR(INDEX(AR853:AS853,3-AA853)=EUconst_NA,INDEX(AR853:AS853,3-AA853)=0),"",INDEX(AR853:AS853,3-AA853)),"")</f>
        <v/>
      </c>
      <c r="AV853" s="393">
        <f>IF(AC853=TRUE,IF(COUNT(K853:L853)=0,0,IF(L853="",K853,L853)),0)</f>
        <v>0</v>
      </c>
      <c r="AW853" s="389" t="b">
        <f t="shared" si="252"/>
        <v>0</v>
      </c>
      <c r="AX853" s="404" t="b">
        <f t="shared" si="253"/>
        <v>0</v>
      </c>
      <c r="AY853" s="314"/>
      <c r="AZ853" s="405" t="b">
        <f t="shared" si="254"/>
        <v>0</v>
      </c>
      <c r="BA853" s="406" t="b">
        <f t="shared" si="255"/>
        <v>0</v>
      </c>
      <c r="BB853" s="407" t="b">
        <f>AND(E845&lt;&gt;"",COUNTIF(AO853:AO854,TRUE)=0)</f>
        <v>0</v>
      </c>
      <c r="BC853" s="389" t="b">
        <f t="shared" si="256"/>
        <v>0</v>
      </c>
      <c r="BD853" s="314"/>
      <c r="BE853" s="314"/>
      <c r="BF853" s="408" t="s">
        <v>154</v>
      </c>
      <c r="BG853" s="409" t="str">
        <f>IF(COUNTIF(AO853:AO854,TRUE)=0,"",BH853*AV861)</f>
        <v/>
      </c>
      <c r="BH853" s="409" t="str">
        <f>IF(COUNTIF(AO853:AO854,TRUE)=0,"",AV850*IF(AO853,1,AV852*AN854)*AV853*AV855)</f>
        <v/>
      </c>
      <c r="BI853" s="314"/>
      <c r="BJ853" s="314"/>
      <c r="BK853" s="314"/>
      <c r="BL853" s="314"/>
      <c r="BM853" s="314"/>
      <c r="BN853" s="314"/>
      <c r="BO853" s="314"/>
      <c r="BP853" s="314"/>
      <c r="BQ853" s="314"/>
      <c r="BR853" s="314"/>
      <c r="BS853" s="314"/>
      <c r="BT853" s="314"/>
      <c r="BU853" s="314"/>
      <c r="BV853" s="314"/>
      <c r="BW853" s="314"/>
      <c r="BX853" s="314"/>
      <c r="BY853" s="314"/>
      <c r="BZ853" s="314"/>
      <c r="CA853" s="314"/>
      <c r="CB853" s="314"/>
      <c r="CC853" s="314"/>
      <c r="CD853" s="314"/>
      <c r="CE853" s="314"/>
      <c r="CF853" s="314"/>
      <c r="CG853" s="314"/>
      <c r="CH853" s="314"/>
      <c r="CI853" s="314"/>
      <c r="CJ853" s="314"/>
      <c r="CK853" s="314"/>
      <c r="CL853" s="314"/>
      <c r="CM853" s="314"/>
      <c r="CN853" s="314"/>
      <c r="CO853" s="314"/>
      <c r="CP853" s="314"/>
      <c r="CQ853" s="407" t="b">
        <f>OR(CQ850,Y853=EUconst_NA)</f>
        <v>0</v>
      </c>
    </row>
    <row r="854" spans="1:95" ht="12.75" customHeight="1" x14ac:dyDescent="0.25">
      <c r="A854" s="307"/>
      <c r="B854" s="68"/>
      <c r="C854" s="199" t="s">
        <v>15</v>
      </c>
      <c r="D854" s="344" t="str">
        <f>Translations!$B$362</f>
        <v>BioF:</v>
      </c>
      <c r="E854" s="345"/>
      <c r="F854" s="10"/>
      <c r="G854" s="1256" t="str">
        <f>IF(OR(ISBLANK(F854),F854=EUconst_NoTier),"",IF(Z854=0,EUconst_NotApplicable,IF(ISERROR(Z854),"",Z854)))</f>
        <v/>
      </c>
      <c r="H854" s="1257"/>
      <c r="I854" s="410" t="str">
        <f t="shared" ref="I854:I859" si="257">IF(OR(AC854=FALSE,Y854=EUconst_NA),"","-")</f>
        <v/>
      </c>
      <c r="J854" s="411"/>
      <c r="K854" s="412" t="str">
        <f>IF(L854="",AU854,"")</f>
        <v/>
      </c>
      <c r="L854" s="60"/>
      <c r="M854" s="347" t="str">
        <f>IF(AND(E845&lt;&gt;"",OR(F854="",COUNT(K854:L854)=0),Y854&lt;&gt;EUconst_NA),EUconst_ERR_Incomplete,IF(COUNTIF(BB854:BD854,TRUE)&gt;0,EUconst_ERR_Inconsistent,""))</f>
        <v/>
      </c>
      <c r="O854" s="160"/>
      <c r="P854" s="348"/>
      <c r="Q854" s="413"/>
      <c r="R854" s="413"/>
      <c r="S854" s="314"/>
      <c r="T854" s="388" t="str">
        <f>EUconst_CNTR_BiomassContent&amp;E845</f>
        <v>BioC_</v>
      </c>
      <c r="U854" s="312"/>
      <c r="V854" s="369" t="str">
        <f>V852</f>
        <v/>
      </c>
      <c r="W854" s="369" t="str">
        <f>IF(OR(V854="",COUNTIF(MSPara_SourceStreamCategory,V854)=0),"",INDEX(MSPara_IsFossil,MATCH(V854,MSPara_SourceStreamCategory,0)))</f>
        <v/>
      </c>
      <c r="X854" s="312"/>
      <c r="Y854" s="370" t="str">
        <f>IF(E845="","",IF(OR(F854=EUconst_NA,W854=TRUE),EUconst_NA,INDEX(EUwideConstants!$P$164:$P$200,MATCH(T854,EUwideConstants!$S$164:$S$200,0))))</f>
        <v/>
      </c>
      <c r="Z854" s="371" t="str">
        <f>IF(ISBLANK(F854),"",IF(F854=EUconst_NA,"",INDEX(EUwideConstants!$H:$O,MATCH(T854,EUwideConstants!$S:$S,0),MATCH(F854,CNTR_TierList,0))))</f>
        <v/>
      </c>
      <c r="AA854" s="414" t="str">
        <f>IF(F854=1,1,"")</f>
        <v/>
      </c>
      <c r="AB854" s="314"/>
      <c r="AC854" s="373" t="b">
        <f>AND(AC850,Y854&lt;&gt;EUconst_NA)</f>
        <v>0</v>
      </c>
      <c r="AD854" s="314"/>
      <c r="AE854" s="415"/>
      <c r="AF854" s="416"/>
      <c r="AG854" s="417"/>
      <c r="AH854" s="418"/>
      <c r="AI854" s="418"/>
      <c r="AJ854" s="418"/>
      <c r="AK854" s="419"/>
      <c r="AL854" s="326"/>
      <c r="AM854" s="358" t="s">
        <v>155</v>
      </c>
      <c r="AN854" s="359" t="str">
        <f>IF(AN852=EUconst_NA,EUconst_NA,INDEX(EUwideConstants!$C$150:$H$154,MATCH(AJ853,EFUnits,0),MATCH(AN852,EUwideConstants!$C$149:$H$149,0)))</f>
        <v>n.a.</v>
      </c>
      <c r="AO854" s="359" t="b">
        <f>AN854&lt;&gt;EUconst_NA</f>
        <v>0</v>
      </c>
      <c r="AP854" s="326"/>
      <c r="AQ854" s="376" t="str">
        <f>EUconst_CNTR_BiomassContent&amp;EUconst_Value</f>
        <v>BioC_Value</v>
      </c>
      <c r="AR854" s="420"/>
      <c r="AS854" s="378" t="str">
        <f t="shared" ref="AS854:AS859" si="258">IF(AC854=TRUE,IF(COUNTIF(MSPara_SourceStreamCategory,V854)=0,"",INDEX(MSPara_CalcFactorsMatrix,MATCH(V854,MSPara_SourceStreamCategory,0),MATCH(AQ854&amp;"_"&amp;2,MSPara_CalcFactors,0))),"")</f>
        <v/>
      </c>
      <c r="AT854" s="421"/>
      <c r="AU854" s="380" t="str">
        <f t="shared" ref="AU854:AU859" si="259">IF(OR(AA854="",AS854=EUconst_NA),"",AS854)</f>
        <v/>
      </c>
      <c r="AV854" s="373">
        <f>IF(AC854=TRUE,IF(COUNT(K854:L854)=0,0,IF(L854="",K854,L854)),0)</f>
        <v>0</v>
      </c>
      <c r="AW854" s="369" t="b">
        <f t="shared" si="252"/>
        <v>0</v>
      </c>
      <c r="AX854" s="381" t="b">
        <f t="shared" si="253"/>
        <v>0</v>
      </c>
      <c r="AY854" s="314"/>
      <c r="AZ854" s="382" t="b">
        <f t="shared" si="254"/>
        <v>0</v>
      </c>
      <c r="BA854" s="383" t="b">
        <f t="shared" si="255"/>
        <v>0</v>
      </c>
      <c r="BB854" s="314"/>
      <c r="BC854" s="369" t="b">
        <f t="shared" si="256"/>
        <v>0</v>
      </c>
      <c r="BD854" s="369" t="b">
        <f>OR(AV854&gt;100%,(AV854+AV855)&gt;100%)</f>
        <v>0</v>
      </c>
      <c r="BE854" s="314"/>
      <c r="BF854" s="382" t="s">
        <v>156</v>
      </c>
      <c r="BG854" s="384" t="str">
        <f>IF(COUNTIF(AO853:AO854,TRUE)=0,"",BH854*AV861)</f>
        <v/>
      </c>
      <c r="BH854" s="384" t="str">
        <f>IF(COUNTIF(AO853:AO854,TRUE)=0,"",AV850*IF(AO853,1,AV852*AN854)*AV853*AV856)</f>
        <v/>
      </c>
      <c r="BJ854" s="314"/>
      <c r="BK854" s="314"/>
      <c r="BL854" s="314"/>
      <c r="BM854" s="314"/>
      <c r="BN854" s="314"/>
      <c r="BO854" s="314"/>
      <c r="BP854" s="314"/>
      <c r="BQ854" s="314"/>
      <c r="BR854" s="314"/>
      <c r="BS854" s="314"/>
      <c r="BT854" s="314"/>
      <c r="BU854" s="314"/>
      <c r="BV854" s="314"/>
      <c r="BW854" s="314"/>
      <c r="BX854" s="314"/>
      <c r="BY854" s="314"/>
      <c r="BZ854" s="314"/>
      <c r="CA854" s="314"/>
      <c r="CB854" s="314"/>
      <c r="CC854" s="314"/>
      <c r="CD854" s="314"/>
      <c r="CE854" s="314"/>
      <c r="CF854" s="314"/>
      <c r="CG854" s="314"/>
      <c r="CH854" s="314"/>
      <c r="CI854" s="314"/>
      <c r="CJ854" s="314"/>
      <c r="CK854" s="314"/>
      <c r="CL854" s="314"/>
      <c r="CM854" s="314"/>
      <c r="CN854" s="314"/>
      <c r="CO854" s="314"/>
      <c r="CP854" s="314"/>
      <c r="CQ854" s="369" t="b">
        <f>OR(CQ850,Y854=EUconst_NA)</f>
        <v>0</v>
      </c>
    </row>
    <row r="855" spans="1:95" ht="12.75" customHeight="1" thickBot="1" x14ac:dyDescent="0.3">
      <c r="A855" s="307"/>
      <c r="B855" s="68"/>
      <c r="C855" s="199" t="s">
        <v>16</v>
      </c>
      <c r="D855" s="344" t="str">
        <f>Translations!$B$368</f>
        <v>non-sust. BioF:</v>
      </c>
      <c r="E855" s="345"/>
      <c r="F855" s="20"/>
      <c r="G855" s="1256" t="str">
        <f>IF(OR(ISBLANK(F855),F855=EUconst_NoTier),"",IF(Z855=0,EUconst_NotApplicable,IF(ISERROR(Z855),"",Z855)))</f>
        <v/>
      </c>
      <c r="H855" s="1257"/>
      <c r="I855" s="422" t="str">
        <f t="shared" si="257"/>
        <v/>
      </c>
      <c r="J855" s="423"/>
      <c r="K855" s="424" t="str">
        <f>IF(L855="",AU855,"")</f>
        <v/>
      </c>
      <c r="L855" s="21"/>
      <c r="M855" s="347" t="str">
        <f>IF(AND(E845&lt;&gt;"",OR(F855="",COUNT(K855:L855)=0),Y855&lt;&gt;EUconst_NA),EUconst_ERR_Incomplete,IF(COUNTIF(BB855:BD855,TRUE)&gt;0,EUconst_ERR_Inconsistent,""))</f>
        <v/>
      </c>
      <c r="N855" s="76"/>
      <c r="O855" s="160"/>
      <c r="P855" s="348"/>
      <c r="Q855" s="413"/>
      <c r="R855" s="413"/>
      <c r="S855" s="314"/>
      <c r="T855" s="425" t="str">
        <f>EUconst_CNTR_BiomassContent&amp;E845</f>
        <v>BioC_</v>
      </c>
      <c r="U855" s="312"/>
      <c r="V855" s="407" t="str">
        <f>V854</f>
        <v/>
      </c>
      <c r="W855" s="407" t="str">
        <f>IF(OR(V854="",COUNTIF(MSPara_SourceStreamCategory,V855)=0),"",INDEX(MSPara_IsFossil,MATCH(V855,MSPara_SourceStreamCategory,0)))</f>
        <v/>
      </c>
      <c r="X855" s="312"/>
      <c r="Y855" s="426" t="str">
        <f>IF(E845="","",IF(OR(F855=EUconst_NA,W855=TRUE),EUconst_NA,INDEX(EUwideConstants!$P$164:$P$200,MATCH(T855,EUwideConstants!$S$164:$S$200,0))))</f>
        <v/>
      </c>
      <c r="Z855" s="427" t="str">
        <f>IF(ISBLANK(F855),"",IF(F855=EUconst_NA,"",INDEX(EUwideConstants!$H:$O,MATCH(T855,EUwideConstants!$S:$S,0),MATCH(F855,CNTR_TierList,0))))</f>
        <v/>
      </c>
      <c r="AA855" s="428" t="str">
        <f>IF(F855=1,1,"")</f>
        <v/>
      </c>
      <c r="AB855" s="314"/>
      <c r="AC855" s="429" t="b">
        <f>AND(AC850,Y855&lt;&gt;EUconst_NA)</f>
        <v>0</v>
      </c>
      <c r="AD855" s="314"/>
      <c r="AE855" s="430"/>
      <c r="AF855" s="431"/>
      <c r="AG855" s="432"/>
      <c r="AH855" s="433"/>
      <c r="AI855" s="433"/>
      <c r="AJ855" s="433"/>
      <c r="AK855" s="434"/>
      <c r="AL855" s="326"/>
      <c r="AM855" s="326"/>
      <c r="AN855" s="326"/>
      <c r="AO855" s="326"/>
      <c r="AP855" s="326"/>
      <c r="AQ855" s="435" t="str">
        <f>EUconst_CNTR_BiomassContent&amp;EUconst_Value</f>
        <v>BioC_Value</v>
      </c>
      <c r="AR855" s="430"/>
      <c r="AS855" s="436" t="str">
        <f t="shared" si="258"/>
        <v/>
      </c>
      <c r="AT855" s="437"/>
      <c r="AU855" s="438" t="str">
        <f t="shared" si="259"/>
        <v/>
      </c>
      <c r="AV855" s="429">
        <f>IF(AC855=TRUE,IF(COUNT(K855:L855)=0,0,IF(L855="",K855,L855)),0)</f>
        <v>0</v>
      </c>
      <c r="AW855" s="407" t="b">
        <f t="shared" si="252"/>
        <v>0</v>
      </c>
      <c r="AX855" s="439" t="b">
        <f t="shared" si="253"/>
        <v>0</v>
      </c>
      <c r="AY855" s="314"/>
      <c r="AZ855" s="408" t="b">
        <f t="shared" si="254"/>
        <v>0</v>
      </c>
      <c r="BA855" s="440" t="b">
        <f t="shared" si="255"/>
        <v>0</v>
      </c>
      <c r="BB855" s="314"/>
      <c r="BC855" s="407" t="b">
        <f t="shared" si="256"/>
        <v>0</v>
      </c>
      <c r="BD855" s="407" t="b">
        <f>OR(AV854&gt;100%,(AV854+AV855)&gt;100%)</f>
        <v>0</v>
      </c>
      <c r="BE855" s="314"/>
      <c r="BF855" s="408" t="s">
        <v>157</v>
      </c>
      <c r="BG855" s="409" t="str">
        <f>IF(COUNTIF(AO853:AO854,TRUE)=0,"",BH855*AV861)</f>
        <v/>
      </c>
      <c r="BH855" s="409" t="str">
        <f>IF(COUNTIF(AO853:AO854,TRUE)=0,"",AV850*IF(AO853,1,AV852*AN854)*AV853*AV857)</f>
        <v/>
      </c>
      <c r="BJ855" s="314"/>
      <c r="BK855" s="314"/>
      <c r="BL855" s="314"/>
      <c r="BM855" s="314"/>
      <c r="BN855" s="314"/>
      <c r="BO855" s="314"/>
      <c r="BP855" s="314"/>
      <c r="BQ855" s="314"/>
      <c r="BR855" s="314"/>
      <c r="BS855" s="314"/>
      <c r="BT855" s="314"/>
      <c r="BU855" s="314"/>
      <c r="BV855" s="314"/>
      <c r="BW855" s="314"/>
      <c r="BX855" s="314"/>
      <c r="BY855" s="314"/>
      <c r="BZ855" s="314"/>
      <c r="CA855" s="314"/>
      <c r="CB855" s="314"/>
      <c r="CC855" s="314"/>
      <c r="CD855" s="314"/>
      <c r="CE855" s="314"/>
      <c r="CF855" s="314"/>
      <c r="CG855" s="314"/>
      <c r="CH855" s="314"/>
      <c r="CI855" s="314"/>
      <c r="CJ855" s="314"/>
      <c r="CK855" s="314"/>
      <c r="CL855" s="314"/>
      <c r="CM855" s="314"/>
      <c r="CN855" s="314"/>
      <c r="CO855" s="314"/>
      <c r="CP855" s="314"/>
      <c r="CQ855" s="407" t="b">
        <f>OR(CQ850,Y855=EUconst_NA)</f>
        <v>0</v>
      </c>
    </row>
    <row r="856" spans="1:95" ht="12.75" customHeight="1" thickBot="1" x14ac:dyDescent="0.3">
      <c r="A856" s="307"/>
      <c r="B856" s="68"/>
      <c r="C856" s="199" t="s">
        <v>17</v>
      </c>
      <c r="D856" s="344" t="str">
        <f>Translations!$B$610</f>
        <v>sust. RFNBO/RCF:</v>
      </c>
      <c r="E856" s="441"/>
      <c r="F856" s="19" t="s">
        <v>158</v>
      </c>
      <c r="G856" s="1261"/>
      <c r="H856" s="1262"/>
      <c r="I856" s="442" t="str">
        <f t="shared" si="257"/>
        <v/>
      </c>
      <c r="J856" s="411"/>
      <c r="K856" s="443"/>
      <c r="L856" s="55"/>
      <c r="M856" s="347" t="str">
        <f>IF(AND(E845&lt;&gt;"",OR(F856="",COUNT(L856)=0),Y856&lt;&gt;EUconst_NA),EUconst_ERR_Incomplete,"")</f>
        <v/>
      </c>
      <c r="N856" s="76"/>
      <c r="O856" s="160"/>
      <c r="P856" s="348"/>
      <c r="Q856" s="413"/>
      <c r="R856" s="413"/>
      <c r="S856" s="314"/>
      <c r="T856" s="388" t="str">
        <f>EUconst_CNTR_RFNBOetcContent&amp;E845</f>
        <v>RNFBOC_</v>
      </c>
      <c r="U856" s="312"/>
      <c r="V856" s="312"/>
      <c r="W856" s="312"/>
      <c r="X856" s="312"/>
      <c r="Y856" s="380" t="str">
        <f>IF(E845="","",IF(OR(F856=EUconst_NA,W856=TRUE),EUconst_NA,INDEX(EUwideConstants!$P$164:$P$200,MATCH(T856,EUwideConstants!$S$164:$S$200,0))))</f>
        <v/>
      </c>
      <c r="Z856" s="314"/>
      <c r="AA856" s="314"/>
      <c r="AB856" s="314"/>
      <c r="AC856" s="397" t="b">
        <f>AND(AC852,Y856&lt;&gt;EUconst_NA)</f>
        <v>0</v>
      </c>
      <c r="AD856" s="314"/>
      <c r="AE856" s="415"/>
      <c r="AF856" s="416"/>
      <c r="AG856" s="417"/>
      <c r="AH856" s="418"/>
      <c r="AI856" s="418"/>
      <c r="AJ856" s="418"/>
      <c r="AK856" s="419"/>
      <c r="AL856" s="326"/>
      <c r="AM856" s="326"/>
      <c r="AN856" s="326"/>
      <c r="AO856" s="326"/>
      <c r="AP856" s="326"/>
      <c r="AQ856" s="444" t="s">
        <v>159</v>
      </c>
      <c r="AR856" s="415"/>
      <c r="AS856" s="445" t="str">
        <f t="shared" si="258"/>
        <v/>
      </c>
      <c r="AT856" s="446"/>
      <c r="AU856" s="447" t="str">
        <f t="shared" si="259"/>
        <v/>
      </c>
      <c r="AV856" s="397">
        <f>IF(L856&lt;&gt;0,L856,L856)</f>
        <v>0</v>
      </c>
      <c r="AW856" s="398" t="b">
        <f t="shared" si="252"/>
        <v>0</v>
      </c>
      <c r="AX856" s="448" t="b">
        <f t="shared" si="253"/>
        <v>0</v>
      </c>
      <c r="AY856" s="314"/>
      <c r="AZ856" s="449" t="b">
        <f t="shared" si="254"/>
        <v>0</v>
      </c>
      <c r="BA856" s="450" t="b">
        <f t="shared" si="255"/>
        <v>0</v>
      </c>
      <c r="BB856" s="314"/>
      <c r="BC856" s="398" t="b">
        <f t="shared" si="256"/>
        <v>0</v>
      </c>
      <c r="BD856" s="369" t="b">
        <f>OR(AV856&gt;100%,(AV856+AV857)&gt;100%)</f>
        <v>0</v>
      </c>
      <c r="BE856" s="314"/>
      <c r="BF856" s="451" t="s">
        <v>160</v>
      </c>
      <c r="BG856" s="452" t="str">
        <f>IF(COUNTIF(AO853:AO854,TRUE)=0,"",BH856*AV861)</f>
        <v/>
      </c>
      <c r="BH856" s="452" t="str">
        <f>IF(COUNTIF(AO853:AO854,TRUE)=0,"",AV850*IF(AO853,1,AV852*AN854)*AV853*AV858)</f>
        <v/>
      </c>
      <c r="BJ856" s="314"/>
      <c r="BK856" s="314"/>
      <c r="BL856" s="314"/>
      <c r="BM856" s="314"/>
      <c r="BN856" s="314"/>
      <c r="BO856" s="314"/>
      <c r="BP856" s="314"/>
      <c r="BQ856" s="314"/>
      <c r="BR856" s="314"/>
      <c r="BS856" s="314"/>
      <c r="BT856" s="314"/>
      <c r="BU856" s="314"/>
      <c r="BV856" s="314"/>
      <c r="BW856" s="314"/>
      <c r="BX856" s="314"/>
      <c r="BY856" s="314"/>
      <c r="BZ856" s="314"/>
      <c r="CA856" s="314"/>
      <c r="CB856" s="314"/>
      <c r="CC856" s="314"/>
      <c r="CD856" s="314"/>
      <c r="CE856" s="314"/>
      <c r="CF856" s="314"/>
      <c r="CG856" s="314"/>
      <c r="CH856" s="314"/>
      <c r="CI856" s="314"/>
      <c r="CJ856" s="314"/>
      <c r="CK856" s="314"/>
      <c r="CL856" s="314"/>
      <c r="CM856" s="314"/>
      <c r="CN856" s="314"/>
      <c r="CO856" s="314"/>
      <c r="CP856" s="314"/>
      <c r="CQ856" s="407" t="b">
        <f>OR(CQ850,Y856=EUconst_NA)</f>
        <v>0</v>
      </c>
    </row>
    <row r="857" spans="1:95" ht="12.75" customHeight="1" thickBot="1" x14ac:dyDescent="0.3">
      <c r="A857" s="307"/>
      <c r="B857" s="68"/>
      <c r="C857" s="199" t="s">
        <v>161</v>
      </c>
      <c r="D857" s="344" t="str">
        <f>Translations!$B$613</f>
        <v>non-sust. RFNBO/RCF:</v>
      </c>
      <c r="E857" s="441"/>
      <c r="F857" s="20" t="s">
        <v>158</v>
      </c>
      <c r="G857" s="1261"/>
      <c r="H857" s="1262"/>
      <c r="I857" s="422" t="str">
        <f t="shared" si="257"/>
        <v/>
      </c>
      <c r="J857" s="423"/>
      <c r="K857" s="443"/>
      <c r="L857" s="56"/>
      <c r="M857" s="347" t="str">
        <f>IF(AND(E845&lt;&gt;"",OR(F857="",COUNT(L857)=0),Y857&lt;&gt;EUconst_NA),EUconst_ERR_Incomplete,"")</f>
        <v/>
      </c>
      <c r="N857" s="76"/>
      <c r="O857" s="160"/>
      <c r="P857" s="348"/>
      <c r="Q857" s="413"/>
      <c r="R857" s="413"/>
      <c r="S857" s="314"/>
      <c r="T857" s="425" t="str">
        <f>EUconst_CNTR_RFNBOetcContent&amp;E845</f>
        <v>RNFBOC_</v>
      </c>
      <c r="U857" s="312"/>
      <c r="V857" s="312"/>
      <c r="W857" s="312"/>
      <c r="X857" s="312"/>
      <c r="Y857" s="438" t="str">
        <f>IF(E845="","",IF(OR(F857=EUconst_NA,W857=TRUE),EUconst_NA,INDEX(EUwideConstants!$P$164:$P$200,MATCH(T857,EUwideConstants!$S$164:$S$200,0))))</f>
        <v/>
      </c>
      <c r="Z857" s="314"/>
      <c r="AA857" s="314"/>
      <c r="AB857" s="314"/>
      <c r="AC857" s="429" t="b">
        <f>AND(AC852,Y857&lt;&gt;EUconst_NA)</f>
        <v>0</v>
      </c>
      <c r="AD857" s="314"/>
      <c r="AE857" s="430"/>
      <c r="AF857" s="431"/>
      <c r="AG857" s="432"/>
      <c r="AH857" s="433"/>
      <c r="AI857" s="433"/>
      <c r="AJ857" s="433"/>
      <c r="AK857" s="434"/>
      <c r="AL857" s="326"/>
      <c r="AM857" s="326"/>
      <c r="AN857" s="326"/>
      <c r="AO857" s="326"/>
      <c r="AP857" s="326"/>
      <c r="AQ857" s="435" t="s">
        <v>159</v>
      </c>
      <c r="AR857" s="430"/>
      <c r="AS857" s="436" t="str">
        <f t="shared" si="258"/>
        <v/>
      </c>
      <c r="AT857" s="437"/>
      <c r="AU857" s="438" t="str">
        <f t="shared" si="259"/>
        <v/>
      </c>
      <c r="AV857" s="429">
        <f t="shared" ref="AV857:AV859" si="260">IF(L857&lt;&gt;0,L857,L857)</f>
        <v>0</v>
      </c>
      <c r="AW857" s="407" t="b">
        <f t="shared" si="252"/>
        <v>0</v>
      </c>
      <c r="AX857" s="439" t="b">
        <f t="shared" si="253"/>
        <v>0</v>
      </c>
      <c r="AY857" s="314"/>
      <c r="AZ857" s="408" t="b">
        <f t="shared" si="254"/>
        <v>0</v>
      </c>
      <c r="BA857" s="440" t="b">
        <f t="shared" si="255"/>
        <v>0</v>
      </c>
      <c r="BB857" s="314"/>
      <c r="BC857" s="407" t="b">
        <f t="shared" si="256"/>
        <v>0</v>
      </c>
      <c r="BD857" s="407" t="b">
        <f>OR(AV856&gt;100%,(AV856+AV857)&gt;100%)</f>
        <v>0</v>
      </c>
      <c r="BE857" s="314"/>
      <c r="BF857" s="408" t="s">
        <v>162</v>
      </c>
      <c r="BG857" s="409" t="str">
        <f>IF(COUNTIF(AO853:AO854,TRUE)=0,"",BH857*AV861)</f>
        <v/>
      </c>
      <c r="BH857" s="409" t="str">
        <f>IF(COUNTIF(AO853:AO854,TRUE)=0,"",AV850*IF(AO853,1,AV852*AN854)*AV853*AV859)</f>
        <v/>
      </c>
      <c r="BJ857" s="314"/>
      <c r="BK857" s="314"/>
      <c r="BL857" s="314"/>
      <c r="BM857" s="314"/>
      <c r="BN857" s="314"/>
      <c r="BO857" s="314"/>
      <c r="BP857" s="314"/>
      <c r="BQ857" s="314"/>
      <c r="BR857" s="314"/>
      <c r="BS857" s="314"/>
      <c r="BT857" s="314"/>
      <c r="BU857" s="314"/>
      <c r="BV857" s="314"/>
      <c r="BW857" s="314"/>
      <c r="BX857" s="314"/>
      <c r="BY857" s="314"/>
      <c r="BZ857" s="314"/>
      <c r="CA857" s="314"/>
      <c r="CB857" s="314"/>
      <c r="CC857" s="314"/>
      <c r="CD857" s="314"/>
      <c r="CE857" s="314"/>
      <c r="CF857" s="314"/>
      <c r="CG857" s="314"/>
      <c r="CH857" s="314"/>
      <c r="CI857" s="314"/>
      <c r="CJ857" s="314"/>
      <c r="CK857" s="314"/>
      <c r="CL857" s="314"/>
      <c r="CM857" s="314"/>
      <c r="CN857" s="314"/>
      <c r="CO857" s="314"/>
      <c r="CP857" s="314"/>
      <c r="CQ857" s="407" t="b">
        <f>OR(CQ850,Y857=EUconst_NA)</f>
        <v>0</v>
      </c>
    </row>
    <row r="858" spans="1:95" ht="12.75" customHeight="1" thickBot="1" x14ac:dyDescent="0.3">
      <c r="A858" s="307"/>
      <c r="B858" s="68"/>
      <c r="C858" s="199" t="s">
        <v>163</v>
      </c>
      <c r="D858" s="344" t="str">
        <f>Translations!$B$615</f>
        <v>sust. SLCF:</v>
      </c>
      <c r="E858" s="441"/>
      <c r="F858" s="19" t="s">
        <v>158</v>
      </c>
      <c r="G858" s="1261"/>
      <c r="H858" s="1262"/>
      <c r="I858" s="442" t="str">
        <f t="shared" si="257"/>
        <v/>
      </c>
      <c r="J858" s="411"/>
      <c r="K858" s="443"/>
      <c r="L858" s="57"/>
      <c r="M858" s="347" t="str">
        <f>IF(AND(E845&lt;&gt;"",OR(F858="",COUNT(L858)=0),Y858&lt;&gt;EUconst_NA),EUconst_ERR_Incomplete,"")</f>
        <v/>
      </c>
      <c r="N858" s="76"/>
      <c r="O858" s="160"/>
      <c r="P858" s="348"/>
      <c r="Q858" s="413"/>
      <c r="R858" s="413"/>
      <c r="S858" s="314"/>
      <c r="T858" s="388" t="str">
        <f>EUconst_CNTR_RFNBOetcContent&amp;E845</f>
        <v>RNFBOC_</v>
      </c>
      <c r="U858" s="312"/>
      <c r="V858" s="312"/>
      <c r="W858" s="312"/>
      <c r="X858" s="312"/>
      <c r="Y858" s="447" t="str">
        <f>IF(E845="","",IF(OR(F858=EUconst_NA,W858=TRUE),EUconst_NA,INDEX(EUwideConstants!$P$164:$P$200,MATCH(T858,EUwideConstants!$S$164:$S$200,0))))</f>
        <v/>
      </c>
      <c r="Z858" s="314"/>
      <c r="AA858" s="314"/>
      <c r="AB858" s="314"/>
      <c r="AC858" s="397" t="b">
        <f>AND(AC854,Y858&lt;&gt;EUconst_NA)</f>
        <v>0</v>
      </c>
      <c r="AD858" s="314"/>
      <c r="AE858" s="415"/>
      <c r="AF858" s="416"/>
      <c r="AG858" s="417"/>
      <c r="AH858" s="418"/>
      <c r="AI858" s="418"/>
      <c r="AJ858" s="418"/>
      <c r="AK858" s="419"/>
      <c r="AL858" s="326"/>
      <c r="AM858" s="326"/>
      <c r="AN858" s="326"/>
      <c r="AO858" s="326"/>
      <c r="AP858" s="326"/>
      <c r="AQ858" s="444" t="s">
        <v>159</v>
      </c>
      <c r="AR858" s="415"/>
      <c r="AS858" s="445" t="str">
        <f t="shared" si="258"/>
        <v/>
      </c>
      <c r="AT858" s="446"/>
      <c r="AU858" s="447" t="str">
        <f t="shared" si="259"/>
        <v/>
      </c>
      <c r="AV858" s="397">
        <f t="shared" si="260"/>
        <v>0</v>
      </c>
      <c r="AW858" s="398" t="b">
        <f t="shared" si="252"/>
        <v>0</v>
      </c>
      <c r="AX858" s="448" t="b">
        <f t="shared" si="253"/>
        <v>0</v>
      </c>
      <c r="AY858" s="314"/>
      <c r="AZ858" s="449" t="b">
        <f t="shared" si="254"/>
        <v>0</v>
      </c>
      <c r="BA858" s="450" t="b">
        <f t="shared" si="255"/>
        <v>0</v>
      </c>
      <c r="BB858" s="314"/>
      <c r="BC858" s="398" t="b">
        <f t="shared" si="256"/>
        <v>0</v>
      </c>
      <c r="BD858" s="369" t="b">
        <f>OR(AV858&gt;100%,(AV858+AV859)&gt;100%)</f>
        <v>0</v>
      </c>
      <c r="BE858" s="314"/>
      <c r="BF858" s="451" t="s">
        <v>164</v>
      </c>
      <c r="BG858" s="452">
        <f>IF(AN850=EUconst_TJ,AV850*(1-AV854),IF(AN852=EUconst_GJ,AV850*AV852/1000,0))-SUM(BG859:BG865)</f>
        <v>0</v>
      </c>
      <c r="BH858" s="314"/>
      <c r="BI858" s="314"/>
      <c r="BJ858" s="314"/>
      <c r="BK858" s="314"/>
      <c r="BL858" s="314"/>
      <c r="BM858" s="314"/>
      <c r="BN858" s="314"/>
      <c r="BO858" s="314"/>
      <c r="BP858" s="314"/>
      <c r="BQ858" s="314"/>
      <c r="BR858" s="314"/>
      <c r="BS858" s="314"/>
      <c r="BT858" s="314"/>
      <c r="BU858" s="314"/>
      <c r="BV858" s="314"/>
      <c r="BW858" s="314"/>
      <c r="BX858" s="314"/>
      <c r="BY858" s="314"/>
      <c r="BZ858" s="314"/>
      <c r="CA858" s="314"/>
      <c r="CB858" s="314"/>
      <c r="CC858" s="314"/>
      <c r="CD858" s="314"/>
      <c r="CE858" s="314"/>
      <c r="CF858" s="314"/>
      <c r="CG858" s="314"/>
      <c r="CH858" s="314"/>
      <c r="CI858" s="314"/>
      <c r="CJ858" s="314"/>
      <c r="CK858" s="314"/>
      <c r="CL858" s="314"/>
      <c r="CM858" s="314"/>
      <c r="CN858" s="314"/>
      <c r="CO858" s="314"/>
      <c r="CP858" s="314"/>
      <c r="CQ858" s="407" t="b">
        <f>OR(CQ850,Y858=EUconst_NA)</f>
        <v>0</v>
      </c>
    </row>
    <row r="859" spans="1:95" ht="12.75" customHeight="1" thickBot="1" x14ac:dyDescent="0.3">
      <c r="A859" s="307"/>
      <c r="B859" s="68"/>
      <c r="C859" s="199" t="s">
        <v>165</v>
      </c>
      <c r="D859" s="344" t="str">
        <f>Translations!$B$618</f>
        <v>non-sust. SLCF:</v>
      </c>
      <c r="E859" s="441"/>
      <c r="F859" s="20" t="s">
        <v>158</v>
      </c>
      <c r="G859" s="1261"/>
      <c r="H859" s="1262"/>
      <c r="I859" s="422" t="str">
        <f t="shared" si="257"/>
        <v/>
      </c>
      <c r="J859" s="423"/>
      <c r="K859" s="443"/>
      <c r="L859" s="56"/>
      <c r="M859" s="347" t="str">
        <f>IF(AND(E845&lt;&gt;"",OR(F859="",COUNT(L859)=0),Y859&lt;&gt;EUconst_NA),EUconst_ERR_Incomplete,"")</f>
        <v/>
      </c>
      <c r="N859" s="76"/>
      <c r="O859" s="160"/>
      <c r="P859" s="348"/>
      <c r="Q859" s="413"/>
      <c r="R859" s="413"/>
      <c r="S859" s="314"/>
      <c r="T859" s="425" t="str">
        <f>EUconst_CNTR_RFNBOetcContent&amp;E845</f>
        <v>RNFBOC_</v>
      </c>
      <c r="U859" s="312"/>
      <c r="V859" s="312"/>
      <c r="W859" s="312"/>
      <c r="X859" s="312"/>
      <c r="Y859" s="438" t="str">
        <f>IF(E845="","",IF(OR(F859=EUconst_NA,W859=TRUE),EUconst_NA,INDEX(EUwideConstants!$P$164:$P$200,MATCH(T859,EUwideConstants!$S$164:$S$200,0))))</f>
        <v/>
      </c>
      <c r="Z859" s="314"/>
      <c r="AA859" s="314"/>
      <c r="AB859" s="314"/>
      <c r="AC859" s="429" t="b">
        <f>AND(AC854,Y859&lt;&gt;EUconst_NA)</f>
        <v>0</v>
      </c>
      <c r="AD859" s="314"/>
      <c r="AE859" s="430"/>
      <c r="AF859" s="431"/>
      <c r="AG859" s="432"/>
      <c r="AH859" s="433"/>
      <c r="AI859" s="433"/>
      <c r="AJ859" s="433"/>
      <c r="AK859" s="434"/>
      <c r="AL859" s="326"/>
      <c r="AM859" s="326"/>
      <c r="AN859" s="326"/>
      <c r="AO859" s="326"/>
      <c r="AP859" s="326"/>
      <c r="AQ859" s="435" t="s">
        <v>159</v>
      </c>
      <c r="AR859" s="430"/>
      <c r="AS859" s="436" t="str">
        <f t="shared" si="258"/>
        <v/>
      </c>
      <c r="AT859" s="437"/>
      <c r="AU859" s="438" t="str">
        <f t="shared" si="259"/>
        <v/>
      </c>
      <c r="AV859" s="429">
        <f t="shared" si="260"/>
        <v>0</v>
      </c>
      <c r="AW859" s="407" t="b">
        <f t="shared" si="252"/>
        <v>0</v>
      </c>
      <c r="AX859" s="439" t="b">
        <f t="shared" si="253"/>
        <v>0</v>
      </c>
      <c r="AY859" s="314"/>
      <c r="AZ859" s="408" t="b">
        <f t="shared" si="254"/>
        <v>0</v>
      </c>
      <c r="BA859" s="440" t="b">
        <f t="shared" si="255"/>
        <v>0</v>
      </c>
      <c r="BB859" s="314"/>
      <c r="BC859" s="407" t="b">
        <f t="shared" si="256"/>
        <v>0</v>
      </c>
      <c r="BD859" s="407" t="b">
        <f>OR(AV858&gt;100%,(AV858+AV859)&gt;100%)</f>
        <v>0</v>
      </c>
      <c r="BE859" s="314"/>
      <c r="BF859" s="408" t="s">
        <v>166</v>
      </c>
      <c r="BG859" s="409" t="str">
        <f>IF(AN850=EUconst_TJ,AV850*AV854,IF(AN852=EUconst_GJ,AV850*AV852/1000*AV854,""))</f>
        <v/>
      </c>
      <c r="BH859" s="314"/>
      <c r="BI859" s="314"/>
      <c r="BJ859" s="314"/>
      <c r="BK859" s="314"/>
      <c r="BL859" s="314"/>
      <c r="BM859" s="314"/>
      <c r="BN859" s="314"/>
      <c r="BO859" s="314"/>
      <c r="BP859" s="314"/>
      <c r="BQ859" s="314"/>
      <c r="BR859" s="314"/>
      <c r="BS859" s="314"/>
      <c r="BT859" s="314"/>
      <c r="BU859" s="314"/>
      <c r="BV859" s="314"/>
      <c r="BW859" s="314"/>
      <c r="BX859" s="314"/>
      <c r="BY859" s="314"/>
      <c r="BZ859" s="314"/>
      <c r="CA859" s="314"/>
      <c r="CB859" s="314"/>
      <c r="CC859" s="314"/>
      <c r="CD859" s="314"/>
      <c r="CE859" s="314"/>
      <c r="CF859" s="314"/>
      <c r="CG859" s="314"/>
      <c r="CH859" s="314"/>
      <c r="CI859" s="314"/>
      <c r="CJ859" s="314"/>
      <c r="CK859" s="314"/>
      <c r="CL859" s="314"/>
      <c r="CM859" s="314"/>
      <c r="CN859" s="314"/>
      <c r="CO859" s="314"/>
      <c r="CP859" s="314"/>
      <c r="CQ859" s="407" t="b">
        <f>OR(CQ850,Y859=EUconst_NA)</f>
        <v>0</v>
      </c>
    </row>
    <row r="860" spans="1:95" ht="5.15" customHeight="1" thickBot="1" x14ac:dyDescent="0.3">
      <c r="A860" s="307"/>
      <c r="B860" s="68"/>
      <c r="C860" s="68"/>
      <c r="D860" s="205"/>
      <c r="E860" s="76"/>
      <c r="F860" s="76"/>
      <c r="G860" s="76"/>
      <c r="H860" s="76"/>
      <c r="I860" s="76"/>
      <c r="J860" s="76"/>
      <c r="K860" s="76"/>
      <c r="L860" s="76"/>
      <c r="M860" s="453"/>
      <c r="N860" s="76"/>
      <c r="O860" s="160"/>
      <c r="P860" s="109"/>
      <c r="Q860" s="312"/>
      <c r="R860" s="312"/>
      <c r="S860" s="314"/>
      <c r="T860" s="314"/>
      <c r="U860" s="314"/>
      <c r="V860" s="314"/>
      <c r="W860" s="314"/>
      <c r="X860" s="314"/>
      <c r="Y860" s="314"/>
      <c r="Z860" s="314"/>
      <c r="AA860" s="314"/>
      <c r="AB860" s="314"/>
      <c r="AC860" s="314"/>
      <c r="AD860" s="314"/>
      <c r="AE860" s="314"/>
      <c r="AF860" s="314"/>
      <c r="AG860" s="314"/>
      <c r="AH860" s="314"/>
      <c r="AI860" s="314"/>
      <c r="AJ860" s="314"/>
      <c r="AK860" s="314"/>
      <c r="AL860" s="314"/>
      <c r="AM860" s="314"/>
      <c r="AN860" s="314"/>
      <c r="AO860" s="314"/>
      <c r="AP860" s="314"/>
      <c r="AQ860" s="314"/>
      <c r="AR860" s="314"/>
      <c r="AS860" s="314"/>
      <c r="AT860" s="314"/>
      <c r="AU860" s="314"/>
      <c r="AV860" s="314"/>
      <c r="AW860" s="314"/>
      <c r="AX860" s="314"/>
      <c r="AY860" s="314"/>
      <c r="AZ860" s="314"/>
      <c r="BA860" s="314"/>
      <c r="BB860" s="314"/>
      <c r="BC860" s="314"/>
      <c r="BD860" s="314"/>
      <c r="BE860" s="314"/>
      <c r="BF860" s="314"/>
      <c r="BG860" s="364"/>
      <c r="BH860" s="314"/>
      <c r="BI860" s="314"/>
      <c r="BJ860" s="314"/>
      <c r="BK860" s="314"/>
      <c r="BL860" s="314"/>
      <c r="BM860" s="314"/>
      <c r="BN860" s="314"/>
      <c r="BO860" s="314"/>
      <c r="BP860" s="314"/>
      <c r="BQ860" s="314"/>
      <c r="BR860" s="314"/>
      <c r="BS860" s="314"/>
      <c r="BT860" s="314"/>
      <c r="BU860" s="314"/>
      <c r="BV860" s="314"/>
      <c r="BW860" s="314"/>
      <c r="BX860" s="314"/>
      <c r="BY860" s="314"/>
      <c r="BZ860" s="314"/>
      <c r="CA860" s="314"/>
      <c r="CB860" s="314"/>
      <c r="CC860" s="314"/>
      <c r="CD860" s="314"/>
      <c r="CE860" s="314"/>
      <c r="CF860" s="314"/>
      <c r="CG860" s="314"/>
      <c r="CH860" s="314"/>
      <c r="CI860" s="314"/>
      <c r="CJ860" s="314"/>
      <c r="CK860" s="314"/>
      <c r="CL860" s="314"/>
      <c r="CM860" s="314"/>
      <c r="CN860" s="314"/>
      <c r="CO860" s="314"/>
      <c r="CP860" s="314"/>
      <c r="CQ860" s="314"/>
    </row>
    <row r="861" spans="1:95" ht="12.75" customHeight="1" thickBot="1" x14ac:dyDescent="0.3">
      <c r="A861" s="307"/>
      <c r="B861" s="68"/>
      <c r="C861" s="199" t="s">
        <v>167</v>
      </c>
      <c r="D861" s="344" t="str">
        <f>Translations!$B$398</f>
        <v>Scope factor:</v>
      </c>
      <c r="E861" s="454"/>
      <c r="F861" s="992"/>
      <c r="G861" s="1263"/>
      <c r="H861" s="1264"/>
      <c r="I861" s="455" t="s">
        <v>46</v>
      </c>
      <c r="J861" s="456"/>
      <c r="K861" s="457" t="str">
        <f>IF(L861="",AU861,"")</f>
        <v/>
      </c>
      <c r="L861" s="16"/>
      <c r="M861" s="458" t="str">
        <f>IF(AND(E845&lt;&gt;"",OR(F861="",G861="",COUNT(K861:L861)=0)),EUconst_ERR_Incomplete,IF(COUNTIF(BB861:BD861,TRUE)&gt;0,EUconst_ERR_Inconsistent,""))</f>
        <v/>
      </c>
      <c r="N861" s="76"/>
      <c r="O861" s="160"/>
      <c r="P861" s="109"/>
      <c r="Q861" s="312"/>
      <c r="R861" s="314"/>
      <c r="S861" s="297"/>
      <c r="T861" s="459" t="str">
        <f>EUconst_CNTR_ScopeFactor&amp;E845</f>
        <v>ScopeFactor_</v>
      </c>
      <c r="U861" s="231" t="str">
        <f>IF(F861="","",INDEX(ScopeAddress,MATCH(F861,ScopeTiers,0)))</f>
        <v/>
      </c>
      <c r="V861" s="360" t="str">
        <f>V850</f>
        <v/>
      </c>
      <c r="W861" s="314"/>
      <c r="X861" s="314"/>
      <c r="Y861" s="460" t="str">
        <f>IF(E845="","",IF(F861=EUconst_NA,EUconst_NA,INDEX(EUwideConstants!$P$164:$P$200,MATCH(T861,EUwideConstants!$S$164:$S$200,0))))</f>
        <v/>
      </c>
      <c r="Z861" s="461" t="str">
        <f>IF(ISBLANK(F861),"",IF(F861=EUconst_NA,"",INDEX(EUwideConstants!$H:$O,MATCH(T861,EUwideConstants!$S:$S,0),MATCH(F861,CNTR_TierList,0))))</f>
        <v/>
      </c>
      <c r="AA861" s="331" t="str">
        <f>IF(G861=EUwideConstants!$A$89,1,"")</f>
        <v/>
      </c>
      <c r="AB861" s="314"/>
      <c r="AC861" s="331" t="b">
        <f>AND(AC850,Y861&lt;&gt;EUconst_NA)</f>
        <v>0</v>
      </c>
      <c r="AD861" s="314"/>
      <c r="AE861" s="314"/>
      <c r="AF861" s="314"/>
      <c r="AG861" s="319"/>
      <c r="AH861" s="314"/>
      <c r="AI861" s="314"/>
      <c r="AJ861" s="314"/>
      <c r="AK861" s="314"/>
      <c r="AL861" s="314"/>
      <c r="AM861" s="314"/>
      <c r="AN861" s="314"/>
      <c r="AO861" s="314"/>
      <c r="AP861" s="314"/>
      <c r="AQ861" s="314"/>
      <c r="AR861" s="314"/>
      <c r="AS861" s="328">
        <v>1</v>
      </c>
      <c r="AT861" s="314"/>
      <c r="AU861" s="319" t="str">
        <f>IF(G861=EUwideConstants!$A$89,AS861,"")</f>
        <v/>
      </c>
      <c r="AV861" s="331">
        <f>IF(AC861=TRUE,IF(COUNT(K861:L861)=0,0,IF(L861="",K861,L861)),0)</f>
        <v>0</v>
      </c>
      <c r="AW861" s="360" t="b">
        <f>AND(AC861=TRUE,OR(AND(F861&lt;&gt;"",NOT(ISNUMBER(AA861))),L861&lt;&gt;"",F861="",AU861=""))</f>
        <v>0</v>
      </c>
      <c r="AX861" s="357" t="b">
        <f>AND(AC861=TRUE,NOT(AW861))</f>
        <v>0</v>
      </c>
      <c r="AY861" s="314"/>
      <c r="AZ861" s="361" t="b">
        <f>AND(ISNUMBER(AA861),AU861="")</f>
        <v>0</v>
      </c>
      <c r="BA861" s="351" t="b">
        <f>AND(ISNUMBER(AA861),AU861&lt;&gt;AV861)</f>
        <v>0</v>
      </c>
      <c r="BB861" s="314"/>
      <c r="BC861" s="360" t="b">
        <f>AND(F861&lt;&gt;"",OR(COUNTIF(INDEX(ScopeMethods,F861,),G861)=0,AND(AA861&lt;&gt;"",AU861&lt;&gt;AV861)))</f>
        <v>0</v>
      </c>
      <c r="BD861" s="314"/>
      <c r="BE861" s="314"/>
      <c r="BF861" s="361" t="s">
        <v>168</v>
      </c>
      <c r="BG861" s="362" t="str">
        <f>IF(AN850=EUconst_TJ,AV850*AV856,IF(AN852=EUconst_GJ,AV850*AV852/1000*AV856,""))</f>
        <v/>
      </c>
      <c r="BH861" s="314"/>
      <c r="BI861" s="314"/>
      <c r="BJ861" s="314"/>
      <c r="BK861" s="314"/>
      <c r="BL861" s="314"/>
      <c r="BM861" s="314"/>
      <c r="BN861" s="314"/>
      <c r="BO861" s="314"/>
      <c r="BP861" s="314"/>
      <c r="BQ861" s="314"/>
      <c r="BR861" s="314"/>
      <c r="BS861" s="314"/>
      <c r="BT861" s="314"/>
      <c r="BU861" s="314"/>
      <c r="BV861" s="314"/>
      <c r="BW861" s="314"/>
      <c r="BX861" s="314"/>
      <c r="BY861" s="314"/>
      <c r="BZ861" s="314"/>
      <c r="CA861" s="314"/>
      <c r="CB861" s="314"/>
      <c r="CC861" s="314"/>
      <c r="CD861" s="314"/>
      <c r="CE861" s="314"/>
      <c r="CF861" s="314"/>
      <c r="CG861" s="314"/>
      <c r="CH861" s="314"/>
      <c r="CI861" s="314"/>
      <c r="CJ861" s="314"/>
      <c r="CK861" s="314"/>
      <c r="CL861" s="314"/>
      <c r="CM861" s="314"/>
      <c r="CN861" s="314"/>
      <c r="CO861" s="314"/>
      <c r="CP861" s="314"/>
      <c r="CQ861" s="314"/>
    </row>
    <row r="862" spans="1:95" ht="12.75" customHeight="1" x14ac:dyDescent="0.25">
      <c r="A862" s="307"/>
      <c r="B862" s="68"/>
      <c r="C862" s="68"/>
      <c r="D862" s="68"/>
      <c r="E862" s="68"/>
      <c r="F862" s="68"/>
      <c r="G862" s="1265" t="str">
        <f>IF(G861="","",INDEX(ScopeMethodsDetails,MATCH(G861,INDEX(ScopeMethodsDetails,,1),0),2))</f>
        <v/>
      </c>
      <c r="H862" s="1266"/>
      <c r="I862" s="1266"/>
      <c r="J862" s="1266"/>
      <c r="K862" s="1266"/>
      <c r="L862" s="1266"/>
      <c r="M862" s="1267"/>
      <c r="N862" s="76"/>
      <c r="O862" s="160"/>
      <c r="P862" s="109"/>
      <c r="Q862" s="312"/>
      <c r="R862" s="312"/>
      <c r="S862" s="314"/>
      <c r="T862" s="314"/>
      <c r="U862" s="314"/>
      <c r="V862" s="314"/>
      <c r="W862" s="314"/>
      <c r="X862" s="314"/>
      <c r="Y862" s="314"/>
      <c r="Z862" s="314"/>
      <c r="AA862" s="314"/>
      <c r="AB862" s="314"/>
      <c r="AC862" s="314"/>
      <c r="AD862" s="314"/>
      <c r="AE862" s="314"/>
      <c r="AF862" s="314"/>
      <c r="AG862" s="314"/>
      <c r="AH862" s="314"/>
      <c r="AI862" s="314"/>
      <c r="AJ862" s="314"/>
      <c r="AK862" s="314"/>
      <c r="AL862" s="314"/>
      <c r="AM862" s="314"/>
      <c r="AN862" s="314"/>
      <c r="AO862" s="314"/>
      <c r="AP862" s="314"/>
      <c r="AQ862" s="314"/>
      <c r="AR862" s="314"/>
      <c r="AS862" s="314"/>
      <c r="AT862" s="314"/>
      <c r="AU862" s="314"/>
      <c r="AV862" s="314"/>
      <c r="AW862" s="314"/>
      <c r="AX862" s="314"/>
      <c r="AY862" s="314"/>
      <c r="AZ862" s="314"/>
      <c r="BA862" s="314"/>
      <c r="BB862" s="314"/>
      <c r="BC862" s="314"/>
      <c r="BD862" s="314"/>
      <c r="BE862" s="314"/>
      <c r="BG862" s="364"/>
      <c r="BH862" s="314"/>
      <c r="BI862" s="314"/>
      <c r="BJ862" s="314"/>
      <c r="BK862" s="314"/>
      <c r="BL862" s="314"/>
      <c r="BM862" s="314"/>
      <c r="BN862" s="314"/>
      <c r="BO862" s="314"/>
      <c r="BP862" s="314"/>
      <c r="BQ862" s="314"/>
      <c r="BR862" s="314"/>
      <c r="BS862" s="314"/>
      <c r="BT862" s="314"/>
      <c r="BU862" s="314"/>
      <c r="BV862" s="314"/>
      <c r="BW862" s="314"/>
      <c r="BX862" s="314"/>
      <c r="BY862" s="314"/>
      <c r="BZ862" s="314"/>
      <c r="CA862" s="314"/>
      <c r="CB862" s="314"/>
      <c r="CC862" s="314"/>
      <c r="CD862" s="314"/>
      <c r="CE862" s="314"/>
      <c r="CF862" s="314"/>
      <c r="CG862" s="314"/>
      <c r="CH862" s="314"/>
      <c r="CI862" s="314"/>
      <c r="CJ862" s="314"/>
      <c r="CK862" s="314"/>
      <c r="CL862" s="314"/>
      <c r="CM862" s="314"/>
      <c r="CN862" s="314"/>
      <c r="CO862" s="314"/>
      <c r="CP862" s="314"/>
      <c r="CQ862" s="314"/>
    </row>
    <row r="863" spans="1:95" ht="5.15" customHeight="1" x14ac:dyDescent="0.25">
      <c r="A863" s="307"/>
      <c r="C863" s="76"/>
      <c r="D863" s="76"/>
      <c r="E863" s="76"/>
      <c r="F863" s="76"/>
      <c r="G863" s="76"/>
      <c r="H863" s="76"/>
      <c r="I863" s="76"/>
      <c r="J863" s="76"/>
      <c r="K863" s="76"/>
      <c r="L863" s="76"/>
      <c r="O863" s="160"/>
      <c r="P863" s="109"/>
      <c r="Q863" s="312"/>
      <c r="R863" s="312"/>
      <c r="S863" s="314"/>
      <c r="T863" s="314"/>
      <c r="U863" s="314"/>
      <c r="V863" s="314"/>
      <c r="W863" s="314"/>
      <c r="X863" s="314"/>
      <c r="Y863" s="314"/>
      <c r="Z863" s="314"/>
      <c r="AA863" s="314"/>
      <c r="AB863" s="314"/>
      <c r="AC863" s="314"/>
      <c r="AD863" s="314"/>
      <c r="AE863" s="314"/>
      <c r="AF863" s="314"/>
      <c r="AG863" s="314"/>
      <c r="AH863" s="314"/>
      <c r="AI863" s="314"/>
      <c r="AJ863" s="314"/>
      <c r="AK863" s="314"/>
      <c r="AL863" s="314"/>
      <c r="AM863" s="314"/>
      <c r="AN863" s="314"/>
      <c r="AO863" s="314"/>
      <c r="AP863" s="314"/>
      <c r="AQ863" s="314"/>
      <c r="AR863" s="314"/>
      <c r="AS863" s="314"/>
      <c r="AT863" s="314"/>
      <c r="AU863" s="314"/>
      <c r="AV863" s="314"/>
      <c r="AW863" s="314"/>
      <c r="AX863" s="314"/>
      <c r="AY863" s="314"/>
      <c r="AZ863" s="314"/>
      <c r="BA863" s="314"/>
      <c r="BB863" s="314"/>
      <c r="BC863" s="314"/>
      <c r="BD863" s="314"/>
      <c r="BE863" s="314"/>
      <c r="BG863" s="364"/>
      <c r="BH863" s="314"/>
      <c r="BI863" s="314"/>
      <c r="BJ863" s="314"/>
      <c r="BK863" s="314"/>
      <c r="BL863" s="314"/>
      <c r="BM863" s="314"/>
      <c r="BN863" s="314"/>
      <c r="BO863" s="314"/>
      <c r="BP863" s="314"/>
      <c r="BQ863" s="314"/>
      <c r="BR863" s="314"/>
      <c r="BS863" s="314"/>
      <c r="BT863" s="314"/>
      <c r="BU863" s="314"/>
      <c r="BV863" s="314"/>
      <c r="BW863" s="314"/>
      <c r="BX863" s="314"/>
      <c r="BY863" s="314"/>
      <c r="BZ863" s="314"/>
      <c r="CA863" s="314"/>
      <c r="CB863" s="314"/>
      <c r="CC863" s="314"/>
      <c r="CD863" s="314"/>
      <c r="CE863" s="314"/>
      <c r="CF863" s="314"/>
      <c r="CG863" s="314"/>
      <c r="CH863" s="314"/>
      <c r="CI863" s="314"/>
      <c r="CJ863" s="314"/>
      <c r="CK863" s="314"/>
      <c r="CL863" s="314"/>
      <c r="CM863" s="314"/>
      <c r="CN863" s="314"/>
      <c r="CO863" s="314"/>
      <c r="CP863" s="314"/>
      <c r="CQ863" s="314"/>
    </row>
    <row r="864" spans="1:95" ht="12.75" customHeight="1" thickBot="1" x14ac:dyDescent="0.3">
      <c r="A864" s="307"/>
      <c r="C864" s="76"/>
      <c r="D864" s="76"/>
      <c r="E864" s="76"/>
      <c r="F864" s="76"/>
      <c r="G864" s="1268">
        <v>1</v>
      </c>
      <c r="H864" s="1268"/>
      <c r="I864" s="1268">
        <v>2</v>
      </c>
      <c r="J864" s="1268"/>
      <c r="K864" s="1268">
        <v>3</v>
      </c>
      <c r="L864" s="1268"/>
      <c r="O864" s="160"/>
      <c r="P864" s="109"/>
      <c r="Q864" s="312"/>
      <c r="R864" s="312"/>
      <c r="S864" s="314"/>
      <c r="T864" s="314"/>
      <c r="U864" s="314"/>
      <c r="V864" s="314"/>
      <c r="W864" s="314"/>
      <c r="X864" s="314"/>
      <c r="Y864" s="314"/>
      <c r="Z864" s="314"/>
      <c r="AA864" s="314"/>
      <c r="AB864" s="314"/>
      <c r="AC864" s="314"/>
      <c r="AD864" s="314"/>
      <c r="AE864" s="314"/>
      <c r="AF864" s="314"/>
      <c r="AG864" s="314"/>
      <c r="AH864" s="314"/>
      <c r="AI864" s="314"/>
      <c r="AJ864" s="314"/>
      <c r="AK864" s="314"/>
      <c r="AL864" s="314"/>
      <c r="AM864" s="314"/>
      <c r="AN864" s="314"/>
      <c r="AO864" s="314"/>
      <c r="AP864" s="314"/>
      <c r="AQ864" s="314"/>
      <c r="AR864" s="314"/>
      <c r="AS864" s="314"/>
      <c r="AT864" s="314"/>
      <c r="AU864" s="314"/>
      <c r="AV864" s="314"/>
      <c r="AW864" s="314"/>
      <c r="AX864" s="314"/>
      <c r="AY864" s="314"/>
      <c r="AZ864" s="314"/>
      <c r="BA864" s="314"/>
      <c r="BB864" s="314"/>
      <c r="BC864" s="314"/>
      <c r="BD864" s="314"/>
      <c r="BE864" s="314"/>
      <c r="BF864" s="314"/>
      <c r="BG864" s="364"/>
      <c r="BH864" s="314"/>
      <c r="BI864" s="314"/>
      <c r="BJ864" s="314"/>
      <c r="BK864" s="314"/>
      <c r="BL864" s="314"/>
      <c r="BM864" s="314"/>
      <c r="BN864" s="314"/>
      <c r="BO864" s="314"/>
      <c r="BP864" s="314"/>
      <c r="BQ864" s="314"/>
      <c r="BR864" s="314"/>
      <c r="BS864" s="314"/>
      <c r="BT864" s="314"/>
      <c r="BU864" s="314"/>
      <c r="BV864" s="314"/>
      <c r="BW864" s="314"/>
      <c r="BX864" s="314"/>
      <c r="BY864" s="314"/>
      <c r="BZ864" s="314"/>
      <c r="CA864" s="314"/>
      <c r="CB864" s="314"/>
      <c r="CC864" s="314"/>
      <c r="CD864" s="314"/>
      <c r="CE864" s="314"/>
      <c r="CF864" s="314"/>
      <c r="CG864" s="314"/>
      <c r="CH864" s="314"/>
      <c r="CI864" s="314"/>
      <c r="CJ864" s="314"/>
      <c r="CK864" s="314"/>
      <c r="CL864" s="314"/>
      <c r="CM864" s="314"/>
      <c r="CN864" s="314"/>
      <c r="CO864" s="314"/>
      <c r="CP864" s="314"/>
      <c r="CQ864" s="314"/>
    </row>
    <row r="865" spans="1:95" ht="12.75" customHeight="1" thickBot="1" x14ac:dyDescent="0.3">
      <c r="A865" s="462"/>
      <c r="B865" s="76"/>
      <c r="C865" s="76"/>
      <c r="D865" s="1246" t="str">
        <f>Translations!$B$372</f>
        <v>Consumers' CRF category:</v>
      </c>
      <c r="E865" s="1246"/>
      <c r="F865" s="1247"/>
      <c r="G865" s="1248"/>
      <c r="H865" s="1249"/>
      <c r="I865" s="1248"/>
      <c r="J865" s="1249"/>
      <c r="K865" s="1248"/>
      <c r="L865" s="1249"/>
      <c r="M865" s="463" t="str">
        <f>IF(AND(E844&lt;&gt;"",COUNTA(G865:L865)=0,AX865=FALSE),EUconst_ERR_Incomplete,"")</f>
        <v/>
      </c>
      <c r="N865" s="76"/>
      <c r="O865" s="160"/>
      <c r="P865" s="109"/>
      <c r="Q865" s="312"/>
      <c r="R865" s="312"/>
      <c r="S865" s="314"/>
      <c r="T865" s="314"/>
      <c r="U865" s="314"/>
      <c r="V865" s="314"/>
      <c r="W865" s="314"/>
      <c r="X865" s="314"/>
      <c r="Y865" s="314"/>
      <c r="Z865" s="314"/>
      <c r="AA865" s="314"/>
      <c r="AB865" s="314"/>
      <c r="AC865" s="314"/>
      <c r="AD865" s="314"/>
      <c r="AE865" s="314"/>
      <c r="AF865" s="314"/>
      <c r="AG865" s="314"/>
      <c r="AH865" s="314"/>
      <c r="AI865" s="314"/>
      <c r="AJ865" s="314"/>
      <c r="AK865" s="314"/>
      <c r="AL865" s="314"/>
      <c r="AM865" s="314"/>
      <c r="AN865" s="314"/>
      <c r="AO865" s="314"/>
      <c r="AP865" s="314"/>
      <c r="AQ865" s="314"/>
      <c r="AR865" s="314"/>
      <c r="AS865" s="314"/>
      <c r="AT865" s="314"/>
      <c r="AU865" s="314"/>
      <c r="AV865" s="314"/>
      <c r="AW865" s="314"/>
      <c r="AX865" s="464" t="b">
        <f>AND(AV861&lt;&gt;"",SUM(AV861=1))</f>
        <v>0</v>
      </c>
      <c r="AY865" s="314"/>
      <c r="AZ865" s="314"/>
      <c r="BA865" s="314"/>
      <c r="BB865" s="314"/>
      <c r="BC865" s="314"/>
      <c r="BD865" s="314"/>
      <c r="BE865" s="314"/>
      <c r="BF865" s="361" t="s">
        <v>169</v>
      </c>
      <c r="BG865" s="362" t="str">
        <f>IF(AN850=EUconst_TJ,AV850*AV858,IF(AN852=EUconst_GJ,AV850*AV852/1000*AV858,""))</f>
        <v/>
      </c>
      <c r="BH865" s="314"/>
      <c r="BI865" s="314"/>
      <c r="BJ865" s="314"/>
      <c r="BK865" s="314"/>
      <c r="BL865" s="314"/>
      <c r="BM865" s="314"/>
      <c r="BN865" s="314"/>
      <c r="BO865" s="314"/>
      <c r="BP865" s="314"/>
      <c r="BQ865" s="314"/>
      <c r="BR865" s="314"/>
      <c r="BS865" s="314"/>
      <c r="BT865" s="314"/>
      <c r="BU865" s="314"/>
      <c r="BV865" s="314"/>
      <c r="BW865" s="314"/>
      <c r="BX865" s="314"/>
      <c r="BY865" s="314"/>
      <c r="BZ865" s="314"/>
      <c r="CA865" s="314"/>
      <c r="CB865" s="314"/>
      <c r="CC865" s="314"/>
      <c r="CD865" s="314"/>
      <c r="CE865" s="314"/>
      <c r="CF865" s="314"/>
      <c r="CG865" s="314"/>
      <c r="CH865" s="314"/>
      <c r="CI865" s="314"/>
      <c r="CJ865" s="314"/>
      <c r="CK865" s="314"/>
      <c r="CL865" s="314"/>
      <c r="CM865" s="314"/>
      <c r="CN865" s="314"/>
      <c r="CO865" s="314"/>
      <c r="CP865" s="314"/>
      <c r="CQ865" s="314"/>
    </row>
    <row r="866" spans="1:95" ht="5.15" customHeight="1" x14ac:dyDescent="0.25">
      <c r="A866" s="307"/>
      <c r="B866" s="68"/>
      <c r="C866" s="68"/>
      <c r="D866" s="68"/>
      <c r="E866" s="68"/>
      <c r="F866" s="68"/>
      <c r="G866" s="76"/>
      <c r="H866" s="76"/>
      <c r="I866" s="76"/>
      <c r="J866" s="76"/>
      <c r="K866" s="76"/>
      <c r="L866" s="76"/>
      <c r="M866" s="76"/>
      <c r="N866" s="76"/>
      <c r="O866" s="160"/>
      <c r="P866" s="109"/>
      <c r="Q866" s="312"/>
      <c r="R866" s="312"/>
      <c r="S866" s="314"/>
      <c r="T866" s="314"/>
      <c r="U866" s="314"/>
      <c r="V866" s="314"/>
      <c r="W866" s="314"/>
      <c r="X866" s="314"/>
      <c r="Y866" s="314"/>
      <c r="Z866" s="314"/>
      <c r="AA866" s="314"/>
      <c r="AB866" s="314"/>
      <c r="AC866" s="314"/>
      <c r="AD866" s="314"/>
      <c r="AE866" s="314"/>
      <c r="AF866" s="314"/>
      <c r="AG866" s="314"/>
      <c r="AH866" s="314"/>
      <c r="AI866" s="314"/>
      <c r="AJ866" s="314"/>
      <c r="AK866" s="314"/>
      <c r="AL866" s="314"/>
      <c r="AM866" s="314"/>
      <c r="AN866" s="314"/>
      <c r="AO866" s="314"/>
      <c r="AP866" s="314"/>
      <c r="AQ866" s="314"/>
      <c r="AR866" s="314"/>
      <c r="AS866" s="314"/>
      <c r="AT866" s="314"/>
      <c r="AU866" s="314"/>
      <c r="AV866" s="314"/>
      <c r="AW866" s="314"/>
      <c r="AX866" s="314"/>
      <c r="AY866" s="314"/>
      <c r="AZ866" s="314"/>
      <c r="BA866" s="314"/>
      <c r="BB866" s="314"/>
      <c r="BC866" s="314"/>
      <c r="BD866" s="314"/>
      <c r="BE866" s="314"/>
      <c r="BF866" s="314"/>
      <c r="BG866" s="314"/>
      <c r="BH866" s="314"/>
      <c r="BI866" s="314"/>
      <c r="BJ866" s="314"/>
      <c r="BK866" s="314"/>
      <c r="BL866" s="314"/>
      <c r="BM866" s="314"/>
      <c r="BN866" s="314"/>
      <c r="BO866" s="314"/>
      <c r="BP866" s="314"/>
      <c r="BQ866" s="314"/>
      <c r="BR866" s="314"/>
      <c r="BS866" s="314"/>
      <c r="BT866" s="314"/>
      <c r="BU866" s="314"/>
      <c r="BV866" s="314"/>
      <c r="BW866" s="314"/>
      <c r="BX866" s="314"/>
      <c r="BY866" s="314"/>
      <c r="BZ866" s="314"/>
      <c r="CA866" s="314"/>
      <c r="CB866" s="314"/>
      <c r="CC866" s="314"/>
      <c r="CD866" s="314"/>
      <c r="CE866" s="314"/>
      <c r="CF866" s="314"/>
      <c r="CG866" s="314"/>
      <c r="CH866" s="314"/>
      <c r="CI866" s="314"/>
      <c r="CJ866" s="314"/>
      <c r="CK866" s="314"/>
      <c r="CL866" s="314"/>
      <c r="CM866" s="314"/>
      <c r="CN866" s="314"/>
      <c r="CO866" s="314"/>
      <c r="CP866" s="314"/>
      <c r="CQ866" s="314"/>
    </row>
    <row r="867" spans="1:95" ht="12.75" customHeight="1" x14ac:dyDescent="0.25">
      <c r="A867" s="307"/>
      <c r="B867" s="68"/>
      <c r="C867" s="68"/>
      <c r="D867" s="1246" t="str">
        <f>Translations!$B$399</f>
        <v>Tiers valid from:</v>
      </c>
      <c r="E867" s="1246"/>
      <c r="F867" s="1247"/>
      <c r="G867" s="8"/>
      <c r="H867" s="199" t="str">
        <f>Translations!$B$400</f>
        <v>until:</v>
      </c>
      <c r="I867" s="8"/>
      <c r="J867" s="76"/>
      <c r="K867" s="76"/>
      <c r="L867" s="76"/>
      <c r="M867" s="199" t="str">
        <f>Translations!$B$401</f>
        <v>ID used in the monitoring plan for this fuel stream:</v>
      </c>
      <c r="N867" s="9"/>
      <c r="O867" s="160"/>
      <c r="P867" s="109"/>
      <c r="Q867" s="312"/>
      <c r="R867" s="312"/>
      <c r="S867" s="465"/>
      <c r="T867" s="314"/>
      <c r="U867" s="314"/>
      <c r="V867" s="314"/>
      <c r="W867" s="314"/>
      <c r="X867" s="314"/>
      <c r="Y867" s="314"/>
      <c r="Z867" s="314"/>
      <c r="AA867" s="314"/>
      <c r="AB867" s="314"/>
      <c r="AC867" s="314"/>
      <c r="AD867" s="314"/>
      <c r="AE867" s="314"/>
      <c r="AF867" s="314"/>
      <c r="AG867" s="314"/>
      <c r="AH867" s="314"/>
      <c r="AI867" s="314"/>
      <c r="AJ867" s="314"/>
      <c r="AK867" s="314"/>
      <c r="AL867" s="314"/>
      <c r="AM867" s="314"/>
      <c r="AN867" s="314"/>
      <c r="AO867" s="314"/>
      <c r="AP867" s="314"/>
      <c r="AQ867" s="314"/>
      <c r="AR867" s="314"/>
      <c r="AS867" s="314"/>
      <c r="AT867" s="314"/>
      <c r="AU867" s="314"/>
      <c r="AV867" s="314"/>
      <c r="AW867" s="314"/>
      <c r="AX867" s="314"/>
      <c r="AY867" s="314"/>
      <c r="AZ867" s="314"/>
      <c r="BA867" s="314"/>
      <c r="BB867" s="314"/>
      <c r="BC867" s="314"/>
      <c r="BD867" s="314"/>
      <c r="BE867" s="314"/>
      <c r="BF867" s="314"/>
      <c r="BG867" s="314"/>
      <c r="BH867" s="314"/>
      <c r="BI867" s="314"/>
      <c r="BJ867" s="314"/>
      <c r="BK867" s="314"/>
      <c r="BL867" s="314"/>
      <c r="BM867" s="314"/>
      <c r="BN867" s="314"/>
      <c r="BO867" s="314"/>
      <c r="BP867" s="314"/>
      <c r="BQ867" s="314"/>
      <c r="BR867" s="314"/>
      <c r="BS867" s="314"/>
      <c r="BT867" s="314"/>
      <c r="BU867" s="314"/>
      <c r="BV867" s="314"/>
      <c r="BW867" s="314"/>
      <c r="BX867" s="314"/>
      <c r="BY867" s="314"/>
      <c r="BZ867" s="314"/>
      <c r="CA867" s="314"/>
      <c r="CB867" s="314"/>
      <c r="CC867" s="314"/>
      <c r="CD867" s="314"/>
      <c r="CE867" s="314"/>
      <c r="CF867" s="314"/>
      <c r="CG867" s="314"/>
      <c r="CH867" s="314"/>
      <c r="CI867" s="314"/>
      <c r="CJ867" s="314"/>
      <c r="CK867" s="314"/>
      <c r="CL867" s="314"/>
      <c r="CM867" s="314"/>
      <c r="CN867" s="314"/>
      <c r="CO867" s="314"/>
      <c r="CP867" s="314"/>
      <c r="CQ867" s="464" t="b">
        <f>CQ850</f>
        <v>0</v>
      </c>
    </row>
    <row r="868" spans="1:95" ht="5.15" customHeight="1" x14ac:dyDescent="0.25">
      <c r="A868" s="462"/>
      <c r="B868" s="76"/>
      <c r="C868" s="76"/>
      <c r="D868" s="76"/>
      <c r="E868" s="76"/>
      <c r="F868" s="76"/>
      <c r="G868" s="76"/>
      <c r="H868" s="76"/>
      <c r="I868" s="76"/>
      <c r="J868" s="76"/>
      <c r="K868" s="76"/>
      <c r="L868" s="76"/>
      <c r="M868" s="76"/>
      <c r="N868" s="76"/>
      <c r="O868" s="160"/>
      <c r="P868" s="109"/>
      <c r="Q868" s="312"/>
      <c r="R868" s="312"/>
      <c r="S868" s="314"/>
      <c r="T868" s="314"/>
      <c r="U868" s="314"/>
      <c r="V868" s="314"/>
      <c r="W868" s="314"/>
      <c r="X868" s="314"/>
      <c r="Y868" s="314"/>
      <c r="Z868" s="314"/>
      <c r="AA868" s="314"/>
      <c r="AB868" s="314"/>
      <c r="AC868" s="314"/>
      <c r="AD868" s="314"/>
      <c r="AE868" s="314"/>
      <c r="AF868" s="314"/>
      <c r="AG868" s="314"/>
      <c r="AH868" s="314"/>
      <c r="AI868" s="314"/>
      <c r="AJ868" s="314"/>
      <c r="AK868" s="314"/>
      <c r="AL868" s="314"/>
      <c r="AM868" s="314"/>
      <c r="AN868" s="314"/>
      <c r="AO868" s="314"/>
      <c r="AP868" s="314"/>
      <c r="AQ868" s="314"/>
      <c r="AR868" s="314"/>
      <c r="AS868" s="314"/>
      <c r="AT868" s="314"/>
      <c r="AU868" s="314"/>
      <c r="AV868" s="314"/>
      <c r="AW868" s="314"/>
      <c r="AX868" s="314"/>
      <c r="AY868" s="314"/>
      <c r="AZ868" s="314"/>
      <c r="BA868" s="314"/>
      <c r="BB868" s="314"/>
      <c r="BC868" s="314"/>
      <c r="BD868" s="314"/>
      <c r="BE868" s="314"/>
      <c r="BF868" s="314"/>
      <c r="BG868" s="314"/>
      <c r="BH868" s="314"/>
      <c r="BI868" s="314"/>
      <c r="BJ868" s="314"/>
      <c r="BK868" s="314"/>
      <c r="BL868" s="314"/>
      <c r="BM868" s="314"/>
      <c r="BN868" s="314"/>
      <c r="BO868" s="314"/>
      <c r="BP868" s="314"/>
      <c r="BQ868" s="314"/>
      <c r="BR868" s="314"/>
      <c r="BS868" s="314"/>
      <c r="BT868" s="314"/>
      <c r="BU868" s="314"/>
      <c r="BV868" s="314"/>
      <c r="BW868" s="314"/>
      <c r="BX868" s="314"/>
      <c r="BY868" s="314"/>
      <c r="BZ868" s="314"/>
      <c r="CA868" s="314"/>
      <c r="CB868" s="314"/>
      <c r="CC868" s="314"/>
      <c r="CD868" s="314"/>
      <c r="CE868" s="314"/>
      <c r="CF868" s="314"/>
      <c r="CG868" s="314"/>
      <c r="CH868" s="314"/>
      <c r="CI868" s="314"/>
      <c r="CJ868" s="314"/>
      <c r="CK868" s="314"/>
      <c r="CL868" s="314"/>
      <c r="CM868" s="314"/>
      <c r="CN868" s="314"/>
      <c r="CO868" s="314"/>
      <c r="CP868" s="314"/>
      <c r="CQ868" s="314"/>
    </row>
    <row r="869" spans="1:95" ht="12.75" customHeight="1" x14ac:dyDescent="0.25">
      <c r="A869" s="462"/>
      <c r="B869" s="76"/>
      <c r="C869" s="76"/>
      <c r="D869" s="115"/>
      <c r="E869" s="85"/>
      <c r="F869" s="466" t="str">
        <f>Translations!$B$304</f>
        <v>Comments:</v>
      </c>
      <c r="G869" s="1250"/>
      <c r="H869" s="1251"/>
      <c r="I869" s="1251"/>
      <c r="J869" s="1251"/>
      <c r="K869" s="1251"/>
      <c r="L869" s="1251"/>
      <c r="M869" s="1251"/>
      <c r="N869" s="1252"/>
      <c r="O869" s="160"/>
      <c r="P869" s="109"/>
      <c r="Q869" s="312"/>
      <c r="R869" s="312"/>
      <c r="S869" s="314"/>
      <c r="T869" s="314"/>
      <c r="U869" s="314"/>
      <c r="V869" s="314"/>
      <c r="W869" s="314"/>
      <c r="X869" s="314"/>
      <c r="Y869" s="314"/>
      <c r="Z869" s="314"/>
      <c r="AA869" s="314"/>
      <c r="AB869" s="314"/>
      <c r="AC869" s="314"/>
      <c r="AD869" s="314"/>
      <c r="AE869" s="314"/>
      <c r="AF869" s="314"/>
      <c r="AG869" s="314"/>
      <c r="AH869" s="314"/>
      <c r="AI869" s="314"/>
      <c r="AJ869" s="314"/>
      <c r="AK869" s="314"/>
      <c r="AL869" s="314"/>
      <c r="AM869" s="314"/>
      <c r="AN869" s="314"/>
      <c r="AO869" s="314"/>
      <c r="AP869" s="314"/>
      <c r="AQ869" s="314"/>
      <c r="AR869" s="314"/>
      <c r="AS869" s="314"/>
      <c r="AT869" s="314"/>
      <c r="AU869" s="314"/>
      <c r="AV869" s="314"/>
      <c r="AW869" s="314"/>
      <c r="AX869" s="314"/>
      <c r="AY869" s="314"/>
      <c r="AZ869" s="314"/>
      <c r="BA869" s="314"/>
      <c r="BB869" s="314"/>
      <c r="BC869" s="314"/>
      <c r="BD869" s="314"/>
      <c r="BE869" s="314"/>
      <c r="BF869" s="314"/>
      <c r="BG869" s="314"/>
      <c r="BH869" s="314"/>
      <c r="BI869" s="314"/>
      <c r="BJ869" s="314"/>
      <c r="BK869" s="314"/>
      <c r="BL869" s="314"/>
      <c r="BM869" s="314"/>
      <c r="BN869" s="314"/>
      <c r="BO869" s="314"/>
      <c r="BP869" s="314"/>
      <c r="BQ869" s="314"/>
      <c r="BR869" s="314"/>
      <c r="BS869" s="314"/>
      <c r="BT869" s="314"/>
      <c r="BU869" s="314"/>
      <c r="BV869" s="314"/>
      <c r="BW869" s="314"/>
      <c r="BX869" s="314"/>
      <c r="BY869" s="314"/>
      <c r="BZ869" s="314"/>
      <c r="CA869" s="314"/>
      <c r="CB869" s="314"/>
      <c r="CC869" s="314"/>
      <c r="CD869" s="314"/>
      <c r="CE869" s="314"/>
      <c r="CF869" s="314"/>
      <c r="CG869" s="314"/>
      <c r="CH869" s="314"/>
      <c r="CI869" s="314"/>
      <c r="CJ869" s="314"/>
      <c r="CK869" s="314"/>
      <c r="CL869" s="314"/>
      <c r="CM869" s="314"/>
      <c r="CN869" s="314"/>
      <c r="CO869" s="314"/>
      <c r="CP869" s="314"/>
      <c r="CQ869" s="464" t="b">
        <f>CQ867</f>
        <v>0</v>
      </c>
    </row>
    <row r="870" spans="1:95" ht="12.75" customHeight="1" thickBot="1" x14ac:dyDescent="0.3">
      <c r="A870" s="307"/>
      <c r="B870" s="76"/>
      <c r="C870" s="308"/>
      <c r="D870" s="309"/>
      <c r="E870" s="310"/>
      <c r="F870" s="308"/>
      <c r="G870" s="311"/>
      <c r="H870" s="311"/>
      <c r="I870" s="311"/>
      <c r="J870" s="311"/>
      <c r="K870" s="311"/>
      <c r="L870" s="311"/>
      <c r="M870" s="311"/>
      <c r="N870" s="311"/>
      <c r="O870" s="160"/>
      <c r="P870" s="109"/>
      <c r="Q870" s="312"/>
      <c r="R870" s="312"/>
      <c r="S870" s="293"/>
      <c r="T870" s="293"/>
      <c r="U870" s="313"/>
      <c r="V870" s="293"/>
      <c r="W870" s="293"/>
      <c r="X870" s="313"/>
      <c r="Y870" s="293"/>
      <c r="Z870" s="293"/>
      <c r="AA870" s="293"/>
      <c r="AB870" s="293"/>
      <c r="AC870" s="293"/>
      <c r="AD870" s="293"/>
      <c r="AE870" s="293"/>
      <c r="AF870" s="293"/>
      <c r="AG870" s="293"/>
      <c r="AH870" s="293"/>
      <c r="AI870" s="293"/>
      <c r="AJ870" s="293"/>
      <c r="AK870" s="293"/>
      <c r="AL870" s="293"/>
      <c r="AM870" s="293"/>
      <c r="AN870" s="293"/>
      <c r="AO870" s="293"/>
      <c r="AP870" s="293"/>
      <c r="AQ870" s="293"/>
      <c r="AR870" s="293"/>
      <c r="AS870" s="293"/>
      <c r="AT870" s="293"/>
      <c r="AU870" s="293"/>
      <c r="AV870" s="293"/>
      <c r="AW870" s="293"/>
      <c r="AX870" s="293"/>
      <c r="AY870" s="293"/>
      <c r="AZ870" s="293"/>
      <c r="BA870" s="293"/>
      <c r="BB870" s="293"/>
      <c r="BC870" s="293"/>
      <c r="BD870" s="293"/>
      <c r="BE870" s="293"/>
      <c r="BF870" s="293"/>
      <c r="BG870" s="293"/>
      <c r="BH870" s="293"/>
      <c r="BI870" s="293"/>
      <c r="BJ870" s="293"/>
      <c r="BK870" s="293"/>
      <c r="BL870" s="293"/>
      <c r="BM870" s="314"/>
      <c r="BN870" s="314"/>
      <c r="BO870" s="314"/>
      <c r="BP870" s="314"/>
      <c r="BQ870" s="314"/>
      <c r="BR870" s="314"/>
      <c r="BS870" s="314"/>
      <c r="BT870" s="314"/>
      <c r="BU870" s="293"/>
      <c r="BV870" s="293"/>
      <c r="BW870" s="293"/>
      <c r="BX870" s="293"/>
      <c r="BY870" s="293"/>
      <c r="BZ870" s="293"/>
      <c r="CA870" s="293"/>
      <c r="CB870" s="293"/>
      <c r="CC870" s="293"/>
      <c r="CD870" s="293"/>
      <c r="CE870" s="293"/>
      <c r="CF870" s="293"/>
      <c r="CG870" s="293"/>
      <c r="CH870" s="293"/>
      <c r="CI870" s="293"/>
      <c r="CJ870" s="293"/>
      <c r="CK870" s="293"/>
      <c r="CL870" s="293"/>
      <c r="CM870" s="293"/>
      <c r="CN870" s="293"/>
      <c r="CO870" s="293"/>
      <c r="CP870" s="293"/>
      <c r="CQ870" s="293"/>
    </row>
    <row r="871" spans="1:95" ht="12.75" customHeight="1" thickBot="1" x14ac:dyDescent="0.3">
      <c r="A871" s="315"/>
      <c r="B871" s="76"/>
      <c r="C871" s="76"/>
      <c r="D871" s="205"/>
      <c r="E871" s="316"/>
      <c r="F871" s="76"/>
      <c r="G871" s="96"/>
      <c r="H871" s="96"/>
      <c r="I871" s="96"/>
      <c r="J871" s="96"/>
      <c r="K871" s="76"/>
      <c r="L871" s="96"/>
      <c r="M871" s="96"/>
      <c r="N871" s="96"/>
      <c r="O871" s="160"/>
      <c r="P871" s="109"/>
      <c r="Q871" s="312"/>
      <c r="R871" s="312"/>
      <c r="S871" s="287"/>
      <c r="T871" s="317" t="str">
        <f>IF(ISBLANK(E872),"",MATCH(E872,CNTR_SourceStreamNames,0))</f>
        <v/>
      </c>
      <c r="U871" s="318" t="str">
        <f>IF(ISBLANK(E872),"",INDEX(B_IdentifyFuelStreams!$D$67:$D$116,MATCH(E872,CNTR_SourceStreamNames,0)))</f>
        <v/>
      </c>
      <c r="V871" s="301"/>
      <c r="W871" s="138"/>
      <c r="X871" s="138"/>
      <c r="Y871" s="138"/>
      <c r="Z871" s="293"/>
      <c r="AA871" s="293"/>
      <c r="AB871" s="293"/>
      <c r="AC871" s="293"/>
      <c r="AD871" s="293"/>
      <c r="AE871" s="293"/>
      <c r="AF871" s="293"/>
      <c r="AG871" s="293"/>
      <c r="AH871" s="293"/>
      <c r="AI871" s="293"/>
      <c r="AJ871" s="293"/>
      <c r="AK871" s="312"/>
      <c r="AL871" s="293"/>
      <c r="AM871" s="293"/>
      <c r="AN871" s="293"/>
      <c r="AO871" s="293"/>
      <c r="AP871" s="293"/>
      <c r="AQ871" s="293"/>
      <c r="AR871" s="293"/>
      <c r="AS871" s="293"/>
      <c r="AT871" s="293"/>
      <c r="AU871" s="293"/>
      <c r="AV871" s="293"/>
      <c r="AW871" s="293"/>
      <c r="AX871" s="293"/>
      <c r="AY871" s="293"/>
      <c r="AZ871" s="293"/>
      <c r="BA871" s="293"/>
      <c r="BB871" s="293"/>
      <c r="BC871" s="293"/>
      <c r="BD871" s="293"/>
      <c r="BE871" s="293"/>
      <c r="BF871" s="293"/>
      <c r="BG871" s="293"/>
      <c r="BH871" s="293"/>
      <c r="BI871" s="293"/>
      <c r="BJ871" s="138"/>
      <c r="BK871" s="138"/>
      <c r="BL871" s="138"/>
      <c r="BM871" s="138"/>
      <c r="BN871" s="138"/>
      <c r="BO871" s="138"/>
      <c r="BP871" s="138"/>
      <c r="BQ871" s="138"/>
      <c r="BR871" s="138"/>
      <c r="BS871" s="138"/>
      <c r="BT871" s="138"/>
      <c r="BU871" s="138"/>
      <c r="BV871" s="138"/>
      <c r="BW871" s="138"/>
      <c r="BX871" s="138"/>
      <c r="BY871" s="138"/>
      <c r="BZ871" s="138"/>
      <c r="CA871" s="138"/>
      <c r="CB871" s="138"/>
      <c r="CC871" s="138"/>
      <c r="CD871" s="138"/>
      <c r="CE871" s="138"/>
      <c r="CF871" s="138"/>
      <c r="CG871" s="138"/>
      <c r="CH871" s="138"/>
      <c r="CI871" s="138"/>
      <c r="CJ871" s="138"/>
      <c r="CK871" s="138"/>
      <c r="CL871" s="138"/>
      <c r="CM871" s="138"/>
      <c r="CN871" s="138"/>
      <c r="CO871" s="138"/>
      <c r="CP871" s="138"/>
      <c r="CQ871" s="319" t="s">
        <v>107</v>
      </c>
    </row>
    <row r="872" spans="1:95" ht="15" customHeight="1" thickBot="1" x14ac:dyDescent="0.3">
      <c r="A872" s="320">
        <f>C872</f>
        <v>30</v>
      </c>
      <c r="B872" s="68"/>
      <c r="C872" s="321">
        <f>C844+1</f>
        <v>30</v>
      </c>
      <c r="D872" s="68"/>
      <c r="E872" s="1269"/>
      <c r="F872" s="1270"/>
      <c r="G872" s="1270"/>
      <c r="H872" s="1270"/>
      <c r="I872" s="1270"/>
      <c r="J872" s="1271"/>
      <c r="K872" s="1272" t="str">
        <f>IF(INDEX(B_IdentifyFuelStreams!$K$125:$K$174,MATCH(U871,B_IdentifyFuelStreams!$D$125:$D$174,0))&gt;0,INDEX(B_IdentifyFuelStreams!$K$125:$K$174,MATCH(U871,B_IdentifyFuelStreams!$D$125:$D$174,0)),"")</f>
        <v/>
      </c>
      <c r="L872" s="1273"/>
      <c r="M872" s="316" t="str">
        <f>Translations!$B$621</f>
        <v>Emissions:</v>
      </c>
      <c r="N872" s="322" t="str">
        <f>IF(E873="","",BG878)</f>
        <v/>
      </c>
      <c r="O872" s="323" t="str">
        <f>EUconst_tCO2</f>
        <v>tCO2</v>
      </c>
      <c r="P872" s="324" t="str">
        <f>IF(AND(E872&lt;&gt;"",COUNTIF(P873:$P$1649,"PRINT")=0),"PRINT","")</f>
        <v/>
      </c>
      <c r="Q872" s="325" t="str">
        <f>EUconst_SumCO2</f>
        <v>SUM_CO2</v>
      </c>
      <c r="R872" s="312"/>
      <c r="S872" s="287"/>
      <c r="T872" s="287"/>
      <c r="U872" s="287"/>
      <c r="V872" s="301"/>
      <c r="W872" s="138"/>
      <c r="X872" s="293"/>
      <c r="Y872" s="293"/>
      <c r="Z872" s="293"/>
      <c r="AA872" s="293"/>
      <c r="AB872" s="293"/>
      <c r="AC872" s="293"/>
      <c r="AD872" s="293"/>
      <c r="AE872" s="293"/>
      <c r="AF872" s="293"/>
      <c r="AG872" s="293"/>
      <c r="AH872" s="293"/>
      <c r="AI872" s="326"/>
      <c r="AJ872" s="326"/>
      <c r="AK872" s="326"/>
      <c r="AL872" s="326"/>
      <c r="AM872" s="326"/>
      <c r="AN872" s="326"/>
      <c r="AO872" s="326"/>
      <c r="AP872" s="326"/>
      <c r="AQ872" s="326"/>
      <c r="AR872" s="326"/>
      <c r="AS872" s="326"/>
      <c r="AT872" s="326"/>
      <c r="AU872" s="326"/>
      <c r="AV872" s="326"/>
      <c r="AW872" s="326"/>
      <c r="AX872" s="326"/>
      <c r="AY872" s="326"/>
      <c r="AZ872" s="326"/>
      <c r="BA872" s="326"/>
      <c r="BB872" s="326"/>
      <c r="BC872" s="326"/>
      <c r="BD872" s="326"/>
      <c r="BE872" s="326"/>
      <c r="BF872" s="326"/>
      <c r="BG872" s="326"/>
      <c r="BH872" s="326"/>
      <c r="BI872" s="327" t="str">
        <f>IF(E872="","",E872)</f>
        <v/>
      </c>
      <c r="BJ872" s="328" t="str">
        <f>IF(F878="","",F878)</f>
        <v/>
      </c>
      <c r="BK872" s="329">
        <f>AV878</f>
        <v>0</v>
      </c>
      <c r="BL872" s="329">
        <f>IF(BK872="","",BK872*(1-BP872))</f>
        <v>0</v>
      </c>
      <c r="BM872" s="328" t="str">
        <f>AJ878</f>
        <v/>
      </c>
      <c r="BN872" s="328" t="str">
        <f>IF(F889="","",F889)</f>
        <v/>
      </c>
      <c r="BO872" s="327" t="str">
        <f>IF(G889="","",G889)</f>
        <v/>
      </c>
      <c r="BP872" s="330">
        <f>AV889</f>
        <v>0</v>
      </c>
      <c r="BQ872" s="328" t="str">
        <f>IF(F881="","",F881)</f>
        <v/>
      </c>
      <c r="BR872" s="330">
        <f>AV881</f>
        <v>0</v>
      </c>
      <c r="BS872" s="330" t="str">
        <f>AJ881</f>
        <v/>
      </c>
      <c r="BT872" s="328" t="str">
        <f>IF(F880="","",F880)</f>
        <v/>
      </c>
      <c r="BU872" s="330">
        <f>IF(F880=EUconst_NA,"",AV880)</f>
        <v>0</v>
      </c>
      <c r="BV872" s="330" t="str">
        <f>AJ880</f>
        <v/>
      </c>
      <c r="BW872" s="328" t="str">
        <f>IF(F882="","",F882)</f>
        <v/>
      </c>
      <c r="BX872" s="330">
        <f>AV882</f>
        <v>0</v>
      </c>
      <c r="BY872" s="328" t="str">
        <f>IF(F883="","",F883)</f>
        <v/>
      </c>
      <c r="BZ872" s="330">
        <f>AV883</f>
        <v>0</v>
      </c>
      <c r="CA872" s="330">
        <f>AV884</f>
        <v>0</v>
      </c>
      <c r="CB872" s="330">
        <f>AV885</f>
        <v>0</v>
      </c>
      <c r="CC872" s="330">
        <f>AV886</f>
        <v>0</v>
      </c>
      <c r="CD872" s="330">
        <f>AV887</f>
        <v>0</v>
      </c>
      <c r="CE872" s="329" t="str">
        <f>BG878</f>
        <v/>
      </c>
      <c r="CF872" s="329" t="str">
        <f>BG880</f>
        <v/>
      </c>
      <c r="CG872" s="329" t="str">
        <f>BG881</f>
        <v/>
      </c>
      <c r="CH872" s="329" t="str">
        <f>BG882</f>
        <v/>
      </c>
      <c r="CI872" s="329" t="str">
        <f>BG883</f>
        <v/>
      </c>
      <c r="CJ872" s="329" t="str">
        <f>BG884</f>
        <v/>
      </c>
      <c r="CK872" s="329" t="str">
        <f>BG885</f>
        <v/>
      </c>
      <c r="CL872" s="329">
        <f>BG886</f>
        <v>0</v>
      </c>
      <c r="CM872" s="329" t="str">
        <f>BG887</f>
        <v/>
      </c>
      <c r="CN872" s="329" t="str">
        <f>BG889</f>
        <v/>
      </c>
      <c r="CO872" s="329" t="str">
        <f>BG893</f>
        <v/>
      </c>
      <c r="CP872" s="329" t="str">
        <f>IF(COUNTIF(AO881:AO882,TRUE)=0,"",BH878)</f>
        <v/>
      </c>
      <c r="CQ872" s="331" t="b">
        <v>0</v>
      </c>
    </row>
    <row r="873" spans="1:95" ht="15" customHeight="1" thickBot="1" x14ac:dyDescent="0.3">
      <c r="A873" s="307"/>
      <c r="B873" s="68"/>
      <c r="C873" s="68"/>
      <c r="D873" s="68"/>
      <c r="E873" s="1274" t="str">
        <f>IF(ISBLANK(E872),"",IF(INDEX(B_IdentifyFuelStreams!$E$67:$E$116,MATCH(U871,B_IdentifyFuelStreams!$D$67:$D$116,0))&gt;0,INDEX(B_IdentifyFuelStreams!$E$67:$E$116,MATCH(U871,B_IdentifyFuelStreams!$D$67:$D$116,0)),""))</f>
        <v/>
      </c>
      <c r="F873" s="1275"/>
      <c r="G873" s="1275"/>
      <c r="H873" s="1275"/>
      <c r="I873" s="1275"/>
      <c r="J873" s="1276"/>
      <c r="K873" s="1272" t="str">
        <f>IF(INDEX(B_IdentifyFuelStreams!$M$125:$M$174,MATCH(U871,B_IdentifyFuelStreams!$D$125:$D$174,0))&gt;0,INDEX(B_IdentifyFuelStreams!$M$125:$M$174,MATCH(U871,B_IdentifyFuelStreams!$D$125:$D$174,0)),"")</f>
        <v/>
      </c>
      <c r="L873" s="1273"/>
      <c r="M873" s="332" t="str">
        <f>Translations!$B$622</f>
        <v>zero-rated:</v>
      </c>
      <c r="N873" s="333" t="str">
        <f>IF(E873="","",SUM(BG880,BG882,BG884))</f>
        <v/>
      </c>
      <c r="O873" s="334" t="str">
        <f>EUconst_tCO2</f>
        <v>tCO2</v>
      </c>
      <c r="P873" s="109"/>
      <c r="Q873" s="325" t="str">
        <f>EUconst_SumBioCO2</f>
        <v>SUM_bioCO2</v>
      </c>
      <c r="R873" s="312"/>
      <c r="S873" s="287"/>
      <c r="T873" s="287"/>
      <c r="U873" s="287"/>
      <c r="V873" s="301"/>
      <c r="W873" s="138"/>
      <c r="X873" s="293"/>
      <c r="Y873" s="317" t="str">
        <f>Translations!$B$143</f>
        <v>Tiers</v>
      </c>
      <c r="Z873" s="314"/>
      <c r="AA873" s="314"/>
      <c r="AB873" s="314"/>
      <c r="AC873" s="314"/>
      <c r="AD873" s="314"/>
      <c r="AE873" s="317" t="s">
        <v>108</v>
      </c>
      <c r="AF873" s="293"/>
      <c r="AG873" s="335"/>
      <c r="AH873" s="314"/>
      <c r="AI873" s="314"/>
      <c r="AJ873" s="335"/>
      <c r="AK873" s="335"/>
      <c r="AL873" s="326"/>
      <c r="AM873" s="326"/>
      <c r="AN873" s="326"/>
      <c r="AO873" s="326"/>
      <c r="AP873" s="326"/>
      <c r="AQ873" s="317" t="s">
        <v>109</v>
      </c>
      <c r="AR873" s="336"/>
      <c r="AS873" s="336"/>
      <c r="AT873" s="314"/>
      <c r="AU873" s="314"/>
      <c r="AV873" s="314"/>
      <c r="AW873" s="314"/>
      <c r="AX873" s="314"/>
      <c r="AY873" s="314"/>
      <c r="AZ873" s="317" t="s">
        <v>110</v>
      </c>
      <c r="BA873" s="314"/>
      <c r="BB873" s="314"/>
      <c r="BC873" s="314"/>
      <c r="BD873" s="314"/>
      <c r="BE873" s="314"/>
      <c r="BF873" s="317" t="s">
        <v>111</v>
      </c>
      <c r="BG873" s="314"/>
      <c r="BH873" s="314"/>
      <c r="BI873" s="317" t="s">
        <v>112</v>
      </c>
      <c r="BJ873" s="328" t="str">
        <f>Translations!$B$376</f>
        <v>RFA Tier</v>
      </c>
      <c r="BK873" s="328" t="str">
        <f>Translations!$B$377</f>
        <v>RFA</v>
      </c>
      <c r="BL873" s="328" t="str">
        <f>Translations!$B$378</f>
        <v>RFA (in scope)</v>
      </c>
      <c r="BM873" s="328" t="str">
        <f>Translations!$B$379</f>
        <v>RFA Unit</v>
      </c>
      <c r="BN873" s="328" t="str">
        <f>Translations!$B$380</f>
        <v>SF Tier</v>
      </c>
      <c r="BO873" s="328" t="str">
        <f>Translations!$B$380</f>
        <v>SF Tier</v>
      </c>
      <c r="BP873" s="328" t="str">
        <f>Translations!$B$381</f>
        <v>SF</v>
      </c>
      <c r="BQ873" s="328" t="str">
        <f>Translations!$B$382</f>
        <v>EF Tier</v>
      </c>
      <c r="BR873" s="328" t="str">
        <f>Translations!$B$383</f>
        <v>EF</v>
      </c>
      <c r="BS873" s="328" t="str">
        <f>Translations!$B$384</f>
        <v>EF Unit</v>
      </c>
      <c r="BT873" s="328" t="str">
        <f>Translations!$B$385</f>
        <v>UCF Tier</v>
      </c>
      <c r="BU873" s="328" t="str">
        <f>Translations!$B$386</f>
        <v>UCF</v>
      </c>
      <c r="BV873" s="328" t="str">
        <f>Translations!$B$387</f>
        <v>UCF Unit</v>
      </c>
      <c r="BW873" s="328" t="str">
        <f>Translations!$B$388</f>
        <v>Bio Tier</v>
      </c>
      <c r="BX873" s="328" t="s">
        <v>113</v>
      </c>
      <c r="BY873" s="328" t="str">
        <f>Translations!$B$389</f>
        <v>NonSustBio Tier</v>
      </c>
      <c r="BZ873" s="328" t="s">
        <v>114</v>
      </c>
      <c r="CA873" s="328" t="s">
        <v>115</v>
      </c>
      <c r="CB873" s="328" t="s">
        <v>116</v>
      </c>
      <c r="CC873" s="328" t="s">
        <v>117</v>
      </c>
      <c r="CD873" s="328" t="s">
        <v>118</v>
      </c>
      <c r="CE873" s="328" t="s">
        <v>119</v>
      </c>
      <c r="CF873" s="328" t="s">
        <v>120</v>
      </c>
      <c r="CG873" s="328" t="str">
        <f>Translations!$B$392</f>
        <v>CO2 non-sust</v>
      </c>
      <c r="CH873" s="328" t="s">
        <v>121</v>
      </c>
      <c r="CI873" s="328" t="s">
        <v>122</v>
      </c>
      <c r="CJ873" s="328" t="s">
        <v>123</v>
      </c>
      <c r="CK873" s="328" t="s">
        <v>124</v>
      </c>
      <c r="CL873" s="328" t="s">
        <v>125</v>
      </c>
      <c r="CM873" s="328" t="str">
        <f>Translations!$B$551</f>
        <v>Energy content (bio), TJ</v>
      </c>
      <c r="CN873" s="328" t="s">
        <v>126</v>
      </c>
      <c r="CO873" s="328" t="s">
        <v>127</v>
      </c>
      <c r="CP873" s="328" t="s">
        <v>128</v>
      </c>
      <c r="CQ873" s="314"/>
    </row>
    <row r="874" spans="1:95" ht="5.15" customHeight="1" thickBot="1" x14ac:dyDescent="0.3">
      <c r="A874" s="307"/>
      <c r="B874" s="68"/>
      <c r="C874" s="68"/>
      <c r="D874" s="68"/>
      <c r="E874" s="68"/>
      <c r="F874" s="68"/>
      <c r="G874" s="68"/>
      <c r="H874" s="76"/>
      <c r="I874" s="76"/>
      <c r="J874" s="76"/>
      <c r="K874" s="76"/>
      <c r="L874" s="76"/>
      <c r="M874" s="76"/>
      <c r="N874" s="76"/>
      <c r="O874" s="160"/>
      <c r="P874" s="109"/>
      <c r="Q874" s="312"/>
      <c r="R874" s="312"/>
      <c r="S874" s="287"/>
      <c r="T874" s="287"/>
      <c r="U874" s="287"/>
      <c r="V874" s="301"/>
      <c r="W874" s="314"/>
      <c r="X874" s="314"/>
      <c r="Y874" s="312"/>
      <c r="Z874" s="314"/>
      <c r="AA874" s="314"/>
      <c r="AB874" s="314"/>
      <c r="AC874" s="314"/>
      <c r="AD874" s="314"/>
      <c r="AE874" s="314"/>
      <c r="AF874" s="293"/>
      <c r="AG874" s="314"/>
      <c r="AH874" s="314"/>
      <c r="AI874" s="314"/>
      <c r="AJ874" s="335"/>
      <c r="AK874" s="335"/>
      <c r="AL874" s="326"/>
      <c r="AM874" s="326"/>
      <c r="AN874" s="326"/>
      <c r="AO874" s="326"/>
      <c r="AP874" s="326"/>
      <c r="AQ874" s="314"/>
      <c r="AR874" s="314"/>
      <c r="AS874" s="314"/>
      <c r="AT874" s="314"/>
      <c r="AU874" s="314"/>
      <c r="AV874" s="314"/>
      <c r="AW874" s="314"/>
      <c r="AX874" s="314"/>
      <c r="AY874" s="314"/>
      <c r="AZ874" s="314"/>
      <c r="BA874" s="314"/>
      <c r="BB874" s="314"/>
      <c r="BC874" s="314"/>
      <c r="BD874" s="314"/>
      <c r="BE874" s="314"/>
      <c r="BF874" s="314"/>
      <c r="BG874" s="314"/>
      <c r="BH874" s="314"/>
      <c r="BI874" s="314"/>
      <c r="BJ874" s="314"/>
      <c r="BK874" s="314"/>
      <c r="BL874" s="314"/>
      <c r="BM874" s="314"/>
      <c r="BN874" s="314"/>
      <c r="BO874" s="314"/>
      <c r="BP874" s="314"/>
      <c r="BQ874" s="314"/>
      <c r="BR874" s="314"/>
      <c r="BS874" s="314"/>
      <c r="BT874" s="314"/>
      <c r="BU874" s="314"/>
      <c r="BV874" s="314"/>
      <c r="BW874" s="314"/>
      <c r="BX874" s="314"/>
      <c r="BY874" s="314"/>
      <c r="BZ874" s="314"/>
      <c r="CA874" s="314"/>
      <c r="CB874" s="314"/>
      <c r="CC874" s="314"/>
      <c r="CD874" s="314"/>
      <c r="CE874" s="314"/>
      <c r="CF874" s="314"/>
      <c r="CG874" s="314"/>
      <c r="CH874" s="314"/>
      <c r="CI874" s="314"/>
      <c r="CJ874" s="314"/>
      <c r="CK874" s="314"/>
      <c r="CL874" s="314"/>
      <c r="CM874" s="314"/>
      <c r="CN874" s="314"/>
      <c r="CO874" s="314"/>
      <c r="CP874" s="314"/>
      <c r="CQ874" s="314"/>
    </row>
    <row r="875" spans="1:95" ht="12.75" customHeight="1" thickBot="1" x14ac:dyDescent="0.3">
      <c r="A875" s="307"/>
      <c r="B875" s="68"/>
      <c r="C875" s="68"/>
      <c r="D875" s="68"/>
      <c r="E875" s="1253" t="str">
        <f>IF(E872="","",HYPERLINK("#JUMP_E_Top",EUconst_FurtherGuidancePoint1))</f>
        <v/>
      </c>
      <c r="F875" s="1253"/>
      <c r="G875" s="1253"/>
      <c r="H875" s="1253"/>
      <c r="I875" s="1253"/>
      <c r="J875" s="1253"/>
      <c r="K875" s="1253"/>
      <c r="L875" s="1253"/>
      <c r="M875" s="1253"/>
      <c r="N875" s="76"/>
      <c r="O875" s="160"/>
      <c r="P875" s="109"/>
      <c r="Q875" s="325" t="str">
        <f>EUconst_SumNonSustBioCO2</f>
        <v>SUM_bioNonSustCO2</v>
      </c>
      <c r="R875" s="337" t="str">
        <f>IF(E873="","",BG881)</f>
        <v/>
      </c>
      <c r="S875" s="287"/>
      <c r="T875" s="287"/>
      <c r="U875" s="287"/>
      <c r="V875" s="314"/>
      <c r="W875" s="314"/>
      <c r="X875" s="314"/>
      <c r="Y875" s="293"/>
      <c r="Z875" s="314"/>
      <c r="AA875" s="314"/>
      <c r="AB875" s="314"/>
      <c r="AC875" s="314"/>
      <c r="AD875" s="314"/>
      <c r="AE875" s="314"/>
      <c r="AF875" s="293"/>
      <c r="AG875" s="314"/>
      <c r="AH875" s="314"/>
      <c r="AI875" s="314"/>
      <c r="AJ875" s="335"/>
      <c r="AK875" s="335"/>
      <c r="AL875" s="326"/>
      <c r="AM875" s="326"/>
      <c r="AN875" s="326"/>
      <c r="AO875" s="326"/>
      <c r="AP875" s="326"/>
      <c r="AQ875" s="314"/>
      <c r="AR875" s="314"/>
      <c r="AS875" s="314"/>
      <c r="AT875" s="314"/>
      <c r="AU875" s="314"/>
      <c r="AV875" s="314"/>
      <c r="AW875" s="314"/>
      <c r="AX875" s="314"/>
      <c r="AY875" s="314"/>
      <c r="AZ875" s="314"/>
      <c r="BA875" s="314"/>
      <c r="BB875" s="314"/>
      <c r="BC875" s="314"/>
      <c r="BD875" s="314"/>
      <c r="BE875" s="314"/>
      <c r="BF875" s="314"/>
      <c r="BG875" s="314"/>
      <c r="BH875" s="314"/>
      <c r="BI875" s="317" t="s">
        <v>129</v>
      </c>
      <c r="BJ875" s="336"/>
      <c r="BK875" s="327" t="str">
        <f>IF(G893="","",G893)</f>
        <v/>
      </c>
      <c r="BL875" s="327" t="str">
        <f>IF(I893="","",I893)</f>
        <v/>
      </c>
      <c r="BM875" s="327" t="str">
        <f>IF(K893="","",K893)</f>
        <v/>
      </c>
      <c r="BN875" s="314"/>
      <c r="BO875" s="314"/>
      <c r="BP875" s="314"/>
      <c r="BQ875" s="314"/>
      <c r="BR875" s="314"/>
      <c r="BS875" s="314"/>
      <c r="BT875" s="319"/>
      <c r="BU875" s="314"/>
      <c r="BV875" s="314"/>
      <c r="BW875" s="314"/>
      <c r="BX875" s="314"/>
      <c r="BY875" s="314"/>
      <c r="BZ875" s="314"/>
      <c r="CA875" s="314"/>
      <c r="CB875" s="314"/>
      <c r="CC875" s="314"/>
      <c r="CD875" s="314"/>
      <c r="CE875" s="314"/>
      <c r="CF875" s="314"/>
      <c r="CG875" s="314"/>
      <c r="CH875" s="314"/>
      <c r="CI875" s="314"/>
      <c r="CJ875" s="314"/>
      <c r="CK875" s="314"/>
      <c r="CL875" s="314"/>
      <c r="CM875" s="314"/>
      <c r="CN875" s="314"/>
      <c r="CO875" s="314"/>
      <c r="CP875" s="314"/>
      <c r="CQ875" s="314"/>
    </row>
    <row r="876" spans="1:95" ht="5.15" customHeight="1" thickBot="1" x14ac:dyDescent="0.3">
      <c r="A876" s="307"/>
      <c r="B876" s="68"/>
      <c r="C876" s="68"/>
      <c r="D876" s="68"/>
      <c r="E876" s="68"/>
      <c r="F876" s="68"/>
      <c r="G876" s="68"/>
      <c r="H876" s="76"/>
      <c r="I876" s="76"/>
      <c r="J876" s="76"/>
      <c r="K876" s="76"/>
      <c r="L876" s="76"/>
      <c r="M876" s="76"/>
      <c r="N876" s="76"/>
      <c r="O876" s="160"/>
      <c r="P876" s="111"/>
      <c r="Q876" s="287"/>
      <c r="R876" s="111"/>
      <c r="S876" s="287"/>
      <c r="T876" s="287"/>
      <c r="U876" s="287"/>
      <c r="V876" s="314"/>
      <c r="W876" s="314"/>
      <c r="X876" s="314"/>
      <c r="Y876" s="312"/>
      <c r="Z876" s="314"/>
      <c r="AA876" s="314"/>
      <c r="AB876" s="314"/>
      <c r="AC876" s="314"/>
      <c r="AD876" s="314"/>
      <c r="AE876" s="314"/>
      <c r="AF876" s="293"/>
      <c r="AG876" s="314"/>
      <c r="AH876" s="314"/>
      <c r="AI876" s="314"/>
      <c r="AJ876" s="335"/>
      <c r="AK876" s="335"/>
      <c r="AL876" s="326"/>
      <c r="AM876" s="326"/>
      <c r="AN876" s="326"/>
      <c r="AO876" s="326"/>
      <c r="AP876" s="326"/>
      <c r="AQ876" s="314"/>
      <c r="AR876" s="314"/>
      <c r="AS876" s="314"/>
      <c r="AT876" s="314"/>
      <c r="AU876" s="314"/>
      <c r="AV876" s="314"/>
      <c r="AW876" s="314"/>
      <c r="AX876" s="314"/>
      <c r="AY876" s="314"/>
      <c r="AZ876" s="314"/>
      <c r="BA876" s="314"/>
      <c r="BB876" s="314"/>
      <c r="BC876" s="314"/>
      <c r="BD876" s="314"/>
      <c r="BE876" s="314"/>
      <c r="BF876" s="314"/>
      <c r="BG876" s="314"/>
      <c r="BH876" s="314"/>
      <c r="BI876" s="314"/>
      <c r="BJ876" s="314"/>
      <c r="BK876" s="314"/>
      <c r="BL876" s="314"/>
      <c r="BM876" s="314"/>
      <c r="BN876" s="314"/>
      <c r="BO876" s="314"/>
      <c r="BP876" s="314"/>
      <c r="BQ876" s="314"/>
      <c r="BR876" s="314"/>
      <c r="BS876" s="314"/>
      <c r="BT876" s="314"/>
      <c r="BU876" s="314"/>
      <c r="BV876" s="314"/>
      <c r="BW876" s="314"/>
      <c r="BX876" s="314"/>
      <c r="BY876" s="314"/>
      <c r="BZ876" s="314"/>
      <c r="CA876" s="314"/>
      <c r="CB876" s="314"/>
      <c r="CC876" s="314"/>
      <c r="CD876" s="314"/>
      <c r="CE876" s="314"/>
      <c r="CF876" s="314"/>
      <c r="CG876" s="314"/>
      <c r="CH876" s="314"/>
      <c r="CI876" s="314"/>
      <c r="CJ876" s="314"/>
      <c r="CK876" s="314"/>
      <c r="CL876" s="314"/>
      <c r="CM876" s="314"/>
      <c r="CN876" s="314"/>
      <c r="CO876" s="314"/>
      <c r="CP876" s="314"/>
      <c r="CQ876" s="314"/>
    </row>
    <row r="877" spans="1:95" ht="12.75" customHeight="1" thickBot="1" x14ac:dyDescent="0.3">
      <c r="A877" s="307"/>
      <c r="B877" s="68"/>
      <c r="C877" s="68"/>
      <c r="D877" s="68"/>
      <c r="E877" s="68"/>
      <c r="F877" s="338" t="str">
        <f>Translations!$B$127</f>
        <v>Tier</v>
      </c>
      <c r="G877" s="1254" t="str">
        <f>Translations!$B$393</f>
        <v>tier description</v>
      </c>
      <c r="H877" s="1254"/>
      <c r="I877" s="1255" t="str">
        <f>Translations!$B$394</f>
        <v>Unit</v>
      </c>
      <c r="J877" s="1255"/>
      <c r="K877" s="1255" t="str">
        <f>Translations!$B$395</f>
        <v>Value</v>
      </c>
      <c r="L877" s="1255"/>
      <c r="M877" s="205" t="str">
        <f>Translations!$B$396</f>
        <v>error</v>
      </c>
      <c r="N877" s="76"/>
      <c r="O877" s="160"/>
      <c r="P877" s="339"/>
      <c r="Q877" s="325" t="str">
        <f>EUconst_SumEnergyIN</f>
        <v>SUM_EnergyIN</v>
      </c>
      <c r="R877" s="340" t="str">
        <f>IF(E873="","",BG886)</f>
        <v/>
      </c>
      <c r="S877" s="314"/>
      <c r="T877" s="314"/>
      <c r="U877" s="314"/>
      <c r="V877" s="341" t="s">
        <v>130</v>
      </c>
      <c r="W877" s="314"/>
      <c r="X877" s="314"/>
      <c r="Y877" s="312" t="s">
        <v>131</v>
      </c>
      <c r="Z877" s="312" t="s">
        <v>132</v>
      </c>
      <c r="AA877" s="314"/>
      <c r="AB877" s="314"/>
      <c r="AC877" s="336" t="s">
        <v>133</v>
      </c>
      <c r="AD877" s="314"/>
      <c r="AE877" s="314"/>
      <c r="AF877" s="314" t="s">
        <v>134</v>
      </c>
      <c r="AG877" s="314" t="s">
        <v>135</v>
      </c>
      <c r="AH877" s="312" t="s">
        <v>136</v>
      </c>
      <c r="AI877" s="335" t="s">
        <v>137</v>
      </c>
      <c r="AJ877" s="335" t="s">
        <v>138</v>
      </c>
      <c r="AK877" s="342" t="s">
        <v>139</v>
      </c>
      <c r="AL877" s="326"/>
      <c r="AM877" s="326"/>
      <c r="AN877" s="326"/>
      <c r="AO877" s="326"/>
      <c r="AP877" s="326"/>
      <c r="AQ877" s="314"/>
      <c r="AR877" s="314" t="s">
        <v>134</v>
      </c>
      <c r="AS877" s="314" t="s">
        <v>135</v>
      </c>
      <c r="AT877" s="343" t="s">
        <v>140</v>
      </c>
      <c r="AU877" s="335" t="s">
        <v>141</v>
      </c>
      <c r="AV877" s="335" t="s">
        <v>142</v>
      </c>
      <c r="AW877" s="342" t="s">
        <v>139</v>
      </c>
      <c r="AX877" s="342" t="s">
        <v>139</v>
      </c>
      <c r="AY877" s="314"/>
      <c r="AZ877" s="314"/>
      <c r="BA877" s="314"/>
      <c r="BB877" s="314" t="s">
        <v>143</v>
      </c>
      <c r="BC877" s="314"/>
      <c r="BD877" s="314"/>
      <c r="BE877" s="314"/>
      <c r="BF877" s="314"/>
      <c r="BG877" s="319" t="s">
        <v>144</v>
      </c>
      <c r="BH877" s="314" t="s">
        <v>145</v>
      </c>
      <c r="BI877" s="314"/>
      <c r="BJ877" s="314"/>
      <c r="BK877" s="314"/>
      <c r="BL877" s="314"/>
      <c r="BM877" s="314"/>
      <c r="BN877" s="314"/>
      <c r="BO877" s="314"/>
      <c r="BP877" s="314"/>
      <c r="BQ877" s="314"/>
      <c r="BR877" s="314"/>
      <c r="BS877" s="314"/>
      <c r="BT877" s="314"/>
      <c r="BU877" s="314"/>
      <c r="BV877" s="314"/>
      <c r="BW877" s="314"/>
      <c r="BX877" s="314"/>
      <c r="BY877" s="314"/>
      <c r="BZ877" s="314"/>
      <c r="CA877" s="314"/>
      <c r="CB877" s="314"/>
      <c r="CC877" s="314"/>
      <c r="CD877" s="314"/>
      <c r="CE877" s="314"/>
      <c r="CF877" s="314"/>
      <c r="CG877" s="314"/>
      <c r="CH877" s="314"/>
      <c r="CI877" s="314"/>
      <c r="CJ877" s="314"/>
      <c r="CK877" s="314"/>
      <c r="CL877" s="314"/>
      <c r="CM877" s="314"/>
      <c r="CN877" s="314"/>
      <c r="CO877" s="314"/>
      <c r="CP877" s="314"/>
      <c r="CQ877" s="319" t="s">
        <v>107</v>
      </c>
    </row>
    <row r="878" spans="1:95" ht="12.75" customHeight="1" thickBot="1" x14ac:dyDescent="0.3">
      <c r="A878" s="307"/>
      <c r="B878" s="68"/>
      <c r="C878" s="199" t="s">
        <v>12</v>
      </c>
      <c r="D878" s="344" t="str">
        <f>Translations!$B$356</f>
        <v>RFA:</v>
      </c>
      <c r="E878" s="345"/>
      <c r="F878" s="6"/>
      <c r="G878" s="1256" t="str">
        <f>IF(OR(ISBLANK(F878),F878=EUconst_NoTier),"",IF(Z878=0,EUconst_NA,IF(ISERROR(Z878),"",Z878)))</f>
        <v/>
      </c>
      <c r="H878" s="1257"/>
      <c r="I878" s="346" t="str">
        <f>IF(J878&lt;&gt;"","",AI878)</f>
        <v/>
      </c>
      <c r="J878" s="7"/>
      <c r="K878" s="1258"/>
      <c r="L878" s="1259"/>
      <c r="M878" s="347" t="str">
        <f>IF(AND(E873&lt;&gt;"",OR(F878="",COUNT(K878)=0),Y878&lt;&gt;EUconst_NA),EUconst_ERR_Incomplete,"")</f>
        <v/>
      </c>
      <c r="N878" s="76"/>
      <c r="O878" s="160"/>
      <c r="P878" s="348"/>
      <c r="Q878" s="325" t="str">
        <f>EUconst_SumBioEnergyIN</f>
        <v>SUM_BioEnergyIN</v>
      </c>
      <c r="R878" s="340" t="str">
        <f>IF(E873="","",BG887)</f>
        <v/>
      </c>
      <c r="S878" s="314"/>
      <c r="T878" s="349" t="str">
        <f>EUconst_CNTR_ActivityData&amp;E873</f>
        <v>ActivityData_</v>
      </c>
      <c r="U878" s="312"/>
      <c r="V878" s="349" t="str">
        <f>IF(E872="","",INDEX(B_IdentifyFuelStreams!$I$67:$I$116,MATCH(U871,B_IdentifyFuelStreams!$D$67:$D$116,0)))</f>
        <v/>
      </c>
      <c r="W878" s="335" t="s">
        <v>146</v>
      </c>
      <c r="X878" s="312"/>
      <c r="Y878" s="350" t="str">
        <f>IF(E873="","",INDEX(EUwideConstants!$P$164:$P$200,MATCH(T878,EUwideConstants!$S$164:$S$200,0)))</f>
        <v/>
      </c>
      <c r="Z878" s="351" t="str">
        <f>IF(ISBLANK(F878),"",IF(F878=EUconst_NA,"",INDEX(EUwideConstants!$H:$O,MATCH(T878,EUwideConstants!$S:$S,0),MATCH(F878,CNTR_TierList,0))))</f>
        <v/>
      </c>
      <c r="AA878" s="352" t="s">
        <v>136</v>
      </c>
      <c r="AB878" s="335"/>
      <c r="AC878" s="331" t="b">
        <f>E872&lt;&gt;""</f>
        <v>0</v>
      </c>
      <c r="AD878" s="314"/>
      <c r="AE878" s="353" t="str">
        <f>EUconst_CNTR_ActivityData&amp;EUconst_Unit</f>
        <v>ActivityData_Unit</v>
      </c>
      <c r="AF878" s="354" t="str">
        <f>IF(AC878=TRUE, IF(COUNTIF(MSPara_SourceStreamCategory,V878)=0,"",INDEX(MSPara_CalcFactorsMatrix,MATCH(V878,MSPara_SourceStreamCategory,0),MATCH(AE878&amp;"_"&amp;2,MSPara_CalcFactors,0))),"")</f>
        <v/>
      </c>
      <c r="AG878" s="355" t="str">
        <f>IF(AC878=TRUE, IF(COUNTIF(MSPara_SourceStreamCategory,V878)=0,"",INDEX(MSPara_CalcFactorsMatrix,MATCH(V878,MSPara_SourceStreamCategory,0),MATCH(AE878&amp;"_"&amp;1,MSPara_CalcFactors,0))),"")</f>
        <v/>
      </c>
      <c r="AH878" s="331" t="str">
        <f>IF(OR(AF878="",AF878=EUconst_NA),IF(OR(AG878=EUconst_NA,AG878=""),"",AG878),AF878)</f>
        <v/>
      </c>
      <c r="AI878" s="350" t="str">
        <f>IF(AC878=TRUE,IF(AH878="",EUconst_t,AH878),"")</f>
        <v/>
      </c>
      <c r="AJ878" s="356" t="str">
        <f>IF(J878="",AI878,J878)</f>
        <v/>
      </c>
      <c r="AK878" s="357" t="b">
        <f>AND(E872&lt;&gt;"",J878&lt;&gt;"")</f>
        <v>0</v>
      </c>
      <c r="AL878" s="326"/>
      <c r="AM878" s="358" t="s">
        <v>147</v>
      </c>
      <c r="AN878" s="359" t="str">
        <f>AJ878</f>
        <v/>
      </c>
      <c r="AO878" s="326"/>
      <c r="AP878" s="326"/>
      <c r="AQ878" s="349" t="str">
        <f>EUconst_CNTR_ActivityData&amp;EUconst_Value</f>
        <v>ActivityData_Value</v>
      </c>
      <c r="AR878" s="336"/>
      <c r="AS878" s="336"/>
      <c r="AT878" s="331" t="b">
        <f>AND(AND(AH878&lt;&gt;"",AJ878&lt;&gt;""),AJ878=AH878)</f>
        <v>0</v>
      </c>
      <c r="AU878" s="314"/>
      <c r="AV878" s="331">
        <f>IF(Y878=EUconst_NA,0,IF(COUNT(K878:K878)=0,0,IF(K878="",#REF!,K878)))</f>
        <v>0</v>
      </c>
      <c r="AW878" s="360" t="b">
        <f>AND(AC878=TRUE,OR(K878&lt;&gt;"",AU878=""))</f>
        <v>0</v>
      </c>
      <c r="AX878" s="360" t="b">
        <f>AND(AC878=TRUE,NOT(AW878))</f>
        <v>0</v>
      </c>
      <c r="AY878" s="314"/>
      <c r="AZ878" s="314" t="s">
        <v>148</v>
      </c>
      <c r="BA878" s="314" t="s">
        <v>149</v>
      </c>
      <c r="BB878" s="360"/>
      <c r="BC878" s="314" t="s">
        <v>150</v>
      </c>
      <c r="BD878" s="314"/>
      <c r="BE878" s="314"/>
      <c r="BF878" s="361" t="s">
        <v>119</v>
      </c>
      <c r="BG878" s="362" t="str">
        <f>IF(COUNTIF(AO881:AO882,TRUE)=0,"",BH878*AV889)</f>
        <v/>
      </c>
      <c r="BH878" s="362" t="str">
        <f>IF(COUNTIF(AO881:AO882,TRUE)=0,"",AV878*IF(AO881,1,AV880*AN882)*AV881-BH880-BH882-BH884)</f>
        <v/>
      </c>
      <c r="BI878" s="314"/>
      <c r="BJ878" s="314"/>
      <c r="BK878" s="314"/>
      <c r="BL878" s="314"/>
      <c r="BM878" s="314"/>
      <c r="BN878" s="314"/>
      <c r="BO878" s="314"/>
      <c r="BP878" s="314"/>
      <c r="BQ878" s="314"/>
      <c r="BR878" s="314"/>
      <c r="BS878" s="314"/>
      <c r="BT878" s="314"/>
      <c r="BU878" s="314"/>
      <c r="BV878" s="314"/>
      <c r="BW878" s="314"/>
      <c r="BX878" s="314"/>
      <c r="BY878" s="314"/>
      <c r="BZ878" s="314"/>
      <c r="CA878" s="314"/>
      <c r="CB878" s="314"/>
      <c r="CC878" s="314"/>
      <c r="CD878" s="314"/>
      <c r="CE878" s="314"/>
      <c r="CF878" s="314"/>
      <c r="CG878" s="314"/>
      <c r="CH878" s="314"/>
      <c r="CI878" s="314"/>
      <c r="CJ878" s="314"/>
      <c r="CK878" s="314"/>
      <c r="CL878" s="314"/>
      <c r="CM878" s="314"/>
      <c r="CN878" s="314"/>
      <c r="CO878" s="314"/>
      <c r="CP878" s="314"/>
      <c r="CQ878" s="360" t="b">
        <v>0</v>
      </c>
    </row>
    <row r="879" spans="1:95" ht="5.15" customHeight="1" thickBot="1" x14ac:dyDescent="0.3">
      <c r="A879" s="307"/>
      <c r="B879" s="68"/>
      <c r="C879" s="199"/>
      <c r="D879" s="202"/>
      <c r="E879" s="76"/>
      <c r="F879" s="76"/>
      <c r="G879" s="76"/>
      <c r="H879" s="76" t="str">
        <f>Translations!$B$397</f>
        <v xml:space="preserve"> </v>
      </c>
      <c r="I879" s="162"/>
      <c r="J879" s="162"/>
      <c r="K879" s="76"/>
      <c r="L879" s="76"/>
      <c r="M879" s="363"/>
      <c r="N879" s="76"/>
      <c r="O879" s="160"/>
      <c r="P879" s="109"/>
      <c r="Q879" s="312"/>
      <c r="R879" s="312"/>
      <c r="S879" s="314"/>
      <c r="T879" s="62"/>
      <c r="U879" s="312"/>
      <c r="V879" s="314"/>
      <c r="W879" s="314"/>
      <c r="X879" s="312"/>
      <c r="Y879" s="319"/>
      <c r="Z879" s="314"/>
      <c r="AA879" s="314"/>
      <c r="AB879" s="314"/>
      <c r="AC879" s="314"/>
      <c r="AD879" s="314"/>
      <c r="AE879" s="314"/>
      <c r="AF879" s="314"/>
      <c r="AG879" s="314"/>
      <c r="AH879" s="314"/>
      <c r="AI879" s="314"/>
      <c r="AJ879" s="314"/>
      <c r="AK879" s="314"/>
      <c r="AL879" s="326"/>
      <c r="AM879" s="326"/>
      <c r="AN879" s="326"/>
      <c r="AO879" s="326"/>
      <c r="AP879" s="326"/>
      <c r="AQ879" s="314"/>
      <c r="AR879" s="314"/>
      <c r="AS879" s="314"/>
      <c r="AT879" s="314"/>
      <c r="AU879" s="314"/>
      <c r="AV879" s="314"/>
      <c r="AW879" s="314"/>
      <c r="AX879" s="314"/>
      <c r="AY879" s="314"/>
      <c r="AZ879" s="314"/>
      <c r="BA879" s="314"/>
      <c r="BB879" s="314"/>
      <c r="BC879" s="314"/>
      <c r="BD879" s="314"/>
      <c r="BE879" s="314"/>
      <c r="BF879" s="314"/>
      <c r="BG879" s="364"/>
      <c r="BH879" s="364"/>
      <c r="BI879" s="314"/>
      <c r="BJ879" s="314"/>
      <c r="BK879" s="314"/>
      <c r="BL879" s="314"/>
      <c r="BM879" s="314"/>
      <c r="BN879" s="314"/>
      <c r="BO879" s="314"/>
      <c r="BP879" s="314"/>
      <c r="BQ879" s="314"/>
      <c r="BR879" s="314"/>
      <c r="BS879" s="314"/>
      <c r="BT879" s="314"/>
      <c r="BU879" s="314"/>
      <c r="BV879" s="314"/>
      <c r="BW879" s="314"/>
      <c r="BX879" s="314"/>
      <c r="BY879" s="314"/>
      <c r="BZ879" s="314"/>
      <c r="CA879" s="314"/>
      <c r="CB879" s="314"/>
      <c r="CC879" s="314"/>
      <c r="CD879" s="314"/>
      <c r="CE879" s="314"/>
      <c r="CF879" s="314"/>
      <c r="CG879" s="314"/>
      <c r="CH879" s="314"/>
      <c r="CI879" s="314"/>
      <c r="CJ879" s="314"/>
      <c r="CK879" s="314"/>
      <c r="CL879" s="314"/>
      <c r="CM879" s="314"/>
      <c r="CN879" s="314"/>
      <c r="CO879" s="314"/>
      <c r="CP879" s="314"/>
      <c r="CQ879" s="319"/>
    </row>
    <row r="880" spans="1:95" ht="12.75" customHeight="1" x14ac:dyDescent="0.25">
      <c r="A880" s="307"/>
      <c r="B880" s="68"/>
      <c r="C880" s="199" t="s">
        <v>13</v>
      </c>
      <c r="D880" s="344" t="str">
        <f>Translations!$B$360</f>
        <v>UCF:</v>
      </c>
      <c r="E880" s="345"/>
      <c r="F880" s="10"/>
      <c r="G880" s="1256" t="str">
        <f>IF(OR(ISBLANK(F880),F880=EUconst_NoTier),"",IF(Z880=0,EUconst_NotApplicable,IF(ISERROR(Z880),"",Z880)))</f>
        <v/>
      </c>
      <c r="H880" s="1257"/>
      <c r="I880" s="365" t="str">
        <f>IF(J880&lt;&gt;"","",AI880)</f>
        <v/>
      </c>
      <c r="J880" s="11"/>
      <c r="K880" s="366" t="str">
        <f>IF(L880="",AU880,"")</f>
        <v/>
      </c>
      <c r="L880" s="23"/>
      <c r="M880" s="347" t="str">
        <f>IF(AND(E873&lt;&gt;"",OR(F880="",COUNT(K880:L880)=0),Y880&lt;&gt;EUconst_NA),EUconst_ERR_Incomplete,IF(COUNTIF(BB880:BD880,TRUE)&gt;0,EUconst_ERR_Inconsistent,""))</f>
        <v/>
      </c>
      <c r="N880" s="367"/>
      <c r="O880" s="160"/>
      <c r="P880" s="109"/>
      <c r="Q880" s="312"/>
      <c r="R880" s="312"/>
      <c r="S880" s="314"/>
      <c r="T880" s="368" t="str">
        <f>EUconst_CNTR_UCF&amp;E873</f>
        <v>UCF_</v>
      </c>
      <c r="U880" s="312"/>
      <c r="V880" s="369" t="str">
        <f>V881</f>
        <v/>
      </c>
      <c r="W880" s="314"/>
      <c r="X880" s="312"/>
      <c r="Y880" s="370" t="str">
        <f>IF(E873="","",IF(OR(F880=EUconst_NA,W880=TRUE),EUconst_NA,INDEX(EUwideConstants!$P$164:$P$200,MATCH(T880,EUwideConstants!$S$164:$S$200,0))))</f>
        <v/>
      </c>
      <c r="Z880" s="371" t="str">
        <f>IF(ISBLANK(F880),"",IF(F880=EUconst_NA,"",INDEX(EUwideConstants!$H:$O,MATCH(T880,EUwideConstants!$S:$S,0),MATCH(F880,CNTR_TierList,0))))</f>
        <v/>
      </c>
      <c r="AA880" s="372" t="str">
        <f>IF(COUNTIF(EUconst_DefaultValues,Z880)&gt;0,MATCH(Z880,EUconst_DefaultValues,0),"")</f>
        <v/>
      </c>
      <c r="AB880" s="314"/>
      <c r="AC880" s="373" t="b">
        <f>AND(AC878,Y880&lt;&gt;EUconst_NA)</f>
        <v>0</v>
      </c>
      <c r="AD880" s="314"/>
      <c r="AE880" s="353" t="str">
        <f>EUconst_CNTR_UCF&amp;EUconst_Unit</f>
        <v>UCF_Unit</v>
      </c>
      <c r="AF880" s="374" t="str">
        <f>IF(AC880=TRUE, IF(COUNTIF(MSPara_SourceStreamCategory,V880)=0,"",INDEX(MSPara_CalcFactorsMatrix,MATCH(V880,MSPara_SourceStreamCategory,0),MATCH(AE880&amp;"_"&amp;2,MSPara_CalcFactors,0))),"")</f>
        <v/>
      </c>
      <c r="AG880" s="375" t="str">
        <f>IF(AC880=TRUE, IF(COUNTIF(MSPara_SourceStreamCategory,V880)=0,"",INDEX(MSPara_CalcFactorsMatrix,MATCH(V880,MSPara_SourceStreamCategory,0),MATCH(AE880&amp;"_"&amp;1,MSPara_CalcFactors,0))),"")</f>
        <v/>
      </c>
      <c r="AH880" s="373" t="str">
        <f>IF(AA880="","",INDEX(AF880:AG880,3-AA880))</f>
        <v/>
      </c>
      <c r="AI880" s="373" t="str">
        <f>IF(AC880=TRUE,IF(OR(AH880="",AH880=EUconst_NA),EUconst_GJ&amp;"/"&amp;AJ878,AH880),"")</f>
        <v/>
      </c>
      <c r="AJ880" s="373" t="str">
        <f>IF(J880="",AI880,J880)</f>
        <v/>
      </c>
      <c r="AK880" s="369" t="b">
        <f>AND(E872&lt;&gt;"",J880&lt;&gt;"")</f>
        <v>0</v>
      </c>
      <c r="AL880" s="326"/>
      <c r="AM880" s="358" t="s">
        <v>151</v>
      </c>
      <c r="AN880" s="359" t="str">
        <f>IF(AJ880="",EUconst_NA,IF(AN878=EUconst_TJ,EUconst_TJ,INDEX(EUwideConstants!$C$135:$G$139,MATCH(AN878,RFAUnits,0),MATCH(AJ880,UCFUnits,0))))</f>
        <v>n.a.</v>
      </c>
      <c r="AO880" s="326"/>
      <c r="AP880" s="326"/>
      <c r="AQ880" s="376" t="str">
        <f>EUconst_CNTR_UCF&amp;EUconst_Value</f>
        <v>UCF_Value</v>
      </c>
      <c r="AR880" s="377" t="str">
        <f>IF(AC880=TRUE,IF(COUNTIF(MSPara_SourceStreamCategory,V880)=0,"",INDEX(MSPara_CalcFactorsMatrix,MATCH(V880,MSPara_SourceStreamCategory,0),MATCH(AQ880&amp;"_"&amp;2,MSPara_CalcFactors,0))),"")</f>
        <v/>
      </c>
      <c r="AS880" s="378" t="str">
        <f>IF(AC880=TRUE,IF(COUNTIF(MSPara_SourceStreamCategory,V880)=0,"",INDEX(MSPara_CalcFactorsMatrix,MATCH(V880,MSPara_SourceStreamCategory,0),MATCH(AQ880&amp;"_"&amp;1,MSPara_CalcFactors,0))),"")</f>
        <v/>
      </c>
      <c r="AT880" s="379" t="b">
        <f>AND(AND(AH880&lt;&gt;"",AJ880&lt;&gt;""),AJ880=AH880)</f>
        <v>0</v>
      </c>
      <c r="AU880" s="380" t="str">
        <f>IF(AND(AA880&lt;&gt;"",AT880=TRUE),IF(OR(INDEX(AR880:AS880,3-AA880)=EUconst_NA,INDEX(AR880:AS880,3-AA880)=0),"",INDEX(AR880:AS880,3-AA880)),"")</f>
        <v/>
      </c>
      <c r="AV880" s="373">
        <f>IF(AC880=TRUE,IF(COUNT(K880:L880)=0,0,IF(L880="",K880,L880)),0)</f>
        <v>0</v>
      </c>
      <c r="AW880" s="369" t="b">
        <f t="shared" ref="AW880:AW887" si="261">AND(AC880=TRUE,OR(AND(F880&lt;&gt;"",NOT(ISNUMBER(AA880))),L880&lt;&gt;"",F880="",AU880=""))</f>
        <v>0</v>
      </c>
      <c r="AX880" s="381" t="b">
        <f t="shared" ref="AX880:AX887" si="262">AND(AC880=TRUE,NOT(AW880))</f>
        <v>0</v>
      </c>
      <c r="AY880" s="314"/>
      <c r="AZ880" s="382" t="b">
        <f t="shared" ref="AZ880:AZ887" si="263">AND(ISNUMBER(AA880),AU880="")</f>
        <v>0</v>
      </c>
      <c r="BA880" s="383" t="b">
        <f t="shared" ref="BA880:BA887" si="264">AND(ISNUMBER(AA880),AU880&lt;&gt;AV880)</f>
        <v>0</v>
      </c>
      <c r="BB880" s="369" t="b">
        <f>AND(E873&lt;&gt;"",F880&lt;&gt;EUconst_NA,AN880=EUconst_NA)</f>
        <v>0</v>
      </c>
      <c r="BC880" s="369" t="b">
        <f t="shared" ref="BC880:BC887" si="265">AND(L880&lt;&gt;"",Y880=EUconst_NA)</f>
        <v>0</v>
      </c>
      <c r="BD880" s="314"/>
      <c r="BE880" s="314"/>
      <c r="BF880" s="382" t="s">
        <v>152</v>
      </c>
      <c r="BG880" s="384" t="str">
        <f>IF(COUNTIF(AO881:AO882,TRUE)=0,"",BH880*AV889)</f>
        <v/>
      </c>
      <c r="BH880" s="384" t="str">
        <f>IF(COUNTIF(AO881:AO882,TRUE)=0,"",AV878*IF(AO881,1,AV880*AN882)*AV881*AV882)</f>
        <v/>
      </c>
      <c r="BI880" s="314"/>
      <c r="BJ880" s="314"/>
      <c r="BK880" s="314"/>
      <c r="BL880" s="314"/>
      <c r="BM880" s="314"/>
      <c r="BN880" s="314"/>
      <c r="BO880" s="314"/>
      <c r="BP880" s="314"/>
      <c r="BQ880" s="314"/>
      <c r="BR880" s="314"/>
      <c r="BS880" s="314"/>
      <c r="BT880" s="314"/>
      <c r="BU880" s="314"/>
      <c r="BV880" s="314"/>
      <c r="BW880" s="314"/>
      <c r="BX880" s="314"/>
      <c r="BY880" s="314"/>
      <c r="BZ880" s="314"/>
      <c r="CA880" s="314"/>
      <c r="CB880" s="314"/>
      <c r="CC880" s="314"/>
      <c r="CD880" s="314"/>
      <c r="CE880" s="314"/>
      <c r="CF880" s="314"/>
      <c r="CG880" s="314"/>
      <c r="CH880" s="314"/>
      <c r="CI880" s="314"/>
      <c r="CJ880" s="314"/>
      <c r="CK880" s="314"/>
      <c r="CL880" s="314"/>
      <c r="CM880" s="314"/>
      <c r="CN880" s="314"/>
      <c r="CO880" s="314"/>
      <c r="CP880" s="314"/>
      <c r="CQ880" s="369" t="b">
        <f>OR(CQ878,Y880=EUconst_NA)</f>
        <v>0</v>
      </c>
    </row>
    <row r="881" spans="1:95" ht="12.75" customHeight="1" thickBot="1" x14ac:dyDescent="0.3">
      <c r="A881" s="307"/>
      <c r="B881" s="68"/>
      <c r="C881" s="199" t="s">
        <v>14</v>
      </c>
      <c r="D881" s="344" t="str">
        <f>Translations!$B$358</f>
        <v>(prelim) EF:</v>
      </c>
      <c r="E881" s="345"/>
      <c r="F881" s="59"/>
      <c r="G881" s="1256" t="str">
        <f>IF(OR(ISBLANK(F881),F881=EUconst_NoTier),"",IF(Z881=0,EUconst_NotApplicable,IF(ISERROR(Z881),"",Z881)))</f>
        <v/>
      </c>
      <c r="H881" s="1260"/>
      <c r="I881" s="385" t="str">
        <f>IF(J881&lt;&gt;"","",AI881)</f>
        <v/>
      </c>
      <c r="J881" s="22"/>
      <c r="K881" s="386" t="str">
        <f>IF(L881="",AU881,"")</f>
        <v/>
      </c>
      <c r="L881" s="58"/>
      <c r="M881" s="347" t="str">
        <f>IF(AND(E873&lt;&gt;"",OR(F881="",COUNT(K881:L881)=0),Y881&lt;&gt;EUconst_NA),EUconst_ERR_Incomplete,IF(COUNTIF(BB881:BD881,TRUE)&gt;0,EUconst_ERR_Inconsistent,""))</f>
        <v/>
      </c>
      <c r="N881" s="387"/>
      <c r="O881" s="160"/>
      <c r="P881" s="109"/>
      <c r="Q881" s="312"/>
      <c r="R881" s="312"/>
      <c r="S881" s="314"/>
      <c r="T881" s="388" t="str">
        <f>EUconst_CNTR_EF&amp;E873</f>
        <v>EF_</v>
      </c>
      <c r="U881" s="312"/>
      <c r="V881" s="389" t="str">
        <f>V878</f>
        <v/>
      </c>
      <c r="W881" s="314"/>
      <c r="X881" s="312"/>
      <c r="Y881" s="390" t="str">
        <f>IF(E873="","",IF(OR(F881=EUconst_NA,W881=TRUE),EUconst_NA,INDEX(EUwideConstants!$P$164:$P$200,MATCH(T881,EUwideConstants!$S$164:$S$200,0))))</f>
        <v/>
      </c>
      <c r="Z881" s="391" t="str">
        <f>IF(ISBLANK(F881),"",IF(F881=EUconst_NA,"",INDEX(EUwideConstants!$H:$O,MATCH(T881,EUwideConstants!$S:$S,0),MATCH(F881,CNTR_TierList,0))))</f>
        <v/>
      </c>
      <c r="AA881" s="392" t="str">
        <f>IF(COUNTIF(EUconst_DefaultValues,Z881)&gt;0,MATCH(Z881,EUconst_DefaultValues,0),"")</f>
        <v/>
      </c>
      <c r="AB881" s="314"/>
      <c r="AC881" s="393" t="b">
        <f>AND(AC878,Y881&lt;&gt;EUconst_NA)</f>
        <v>0</v>
      </c>
      <c r="AD881" s="314"/>
      <c r="AE881" s="394" t="str">
        <f>EUconst_CNTR_EF&amp;EUconst_Unit</f>
        <v>EF_Unit</v>
      </c>
      <c r="AF881" s="395" t="str">
        <f>IF(AC881=TRUE, IF(COUNTIF(MSPara_SourceStreamCategory,V881)=0,"",INDEX(MSPara_CalcFactorsMatrix,MATCH(V881,MSPara_SourceStreamCategory,0),MATCH(AE881&amp;"_"&amp;2,MSPara_CalcFactors,0))),"")</f>
        <v/>
      </c>
      <c r="AG881" s="396" t="str">
        <f>IF(AC881=TRUE, IF(COUNTIF(MSPara_SourceStreamCategory,V881)=0,"",INDEX(MSPara_CalcFactorsMatrix,MATCH(V881,MSPara_SourceStreamCategory,0),MATCH(AE881&amp;"_"&amp;1,MSPara_CalcFactors,0))),"")</f>
        <v/>
      </c>
      <c r="AH881" s="397" t="str">
        <f>IF(AA881="","",INDEX(AF881:AG881,3-AA881))</f>
        <v/>
      </c>
      <c r="AI881" s="397" t="str">
        <f>IF(AC881=TRUE,IF(OR(AH881="",AH881=EUconst_NA),EUconst_tCO2&amp;"/"&amp;IF(AN880=EUconst_NA,AN878,IF(AN880=EUconst_GJ,EUconst_TJ,AN880)),AH881),"")</f>
        <v/>
      </c>
      <c r="AJ881" s="397" t="str">
        <f>IF(J881="",AI881,J881)</f>
        <v/>
      </c>
      <c r="AK881" s="398" t="b">
        <f>AND(E873&lt;&gt;"",J881&lt;&gt;"")</f>
        <v>0</v>
      </c>
      <c r="AL881" s="326"/>
      <c r="AM881" s="358" t="s">
        <v>153</v>
      </c>
      <c r="AN881" s="359" t="str">
        <f>IF(COUNTIF(RFAUnits,AN878)=0,EUconst_NA,INDEX(EUwideConstants!$C$150:$H$154,MATCH(AJ881,EFUnits,0),MATCH(AN878,EUwideConstants!$C$149:$H$149,0)))</f>
        <v>n.a.</v>
      </c>
      <c r="AO881" s="359" t="b">
        <f>AN881&lt;&gt;EUconst_NA</f>
        <v>0</v>
      </c>
      <c r="AP881" s="326"/>
      <c r="AQ881" s="399" t="str">
        <f>EUconst_CNTR_EF&amp;EUconst_Value</f>
        <v>EF_Value</v>
      </c>
      <c r="AR881" s="400" t="str">
        <f>IF(AC881=TRUE,IF(COUNTIF(MSPara_SourceStreamCategory,V881)=0,"",INDEX(MSPara_CalcFactorsMatrix,MATCH(V881,MSPara_SourceStreamCategory,0),MATCH(AQ881&amp;"_"&amp;2,MSPara_CalcFactors,0))),"")</f>
        <v/>
      </c>
      <c r="AS881" s="401" t="str">
        <f>IF(AC881=TRUE,IF(COUNTIF(MSPara_SourceStreamCategory,V881)=0,"",INDEX(MSPara_CalcFactorsMatrix,MATCH(V881,MSPara_SourceStreamCategory,0),MATCH(AQ881&amp;"_"&amp;1,MSPara_CalcFactors,0))),"")</f>
        <v/>
      </c>
      <c r="AT881" s="402" t="b">
        <f>AND(AND(AH881&lt;&gt;"",AJ881&lt;&gt;""),AJ881=AH881)</f>
        <v>0</v>
      </c>
      <c r="AU881" s="403" t="str">
        <f>IF(AND(AA881&lt;&gt;"",AT881=TRUE),IF(OR(INDEX(AR881:AS881,3-AA881)=EUconst_NA,INDEX(AR881:AS881,3-AA881)=0),"",INDEX(AR881:AS881,3-AA881)),"")</f>
        <v/>
      </c>
      <c r="AV881" s="393">
        <f>IF(AC881=TRUE,IF(COUNT(K881:L881)=0,0,IF(L881="",K881,L881)),0)</f>
        <v>0</v>
      </c>
      <c r="AW881" s="389" t="b">
        <f t="shared" si="261"/>
        <v>0</v>
      </c>
      <c r="AX881" s="404" t="b">
        <f t="shared" si="262"/>
        <v>0</v>
      </c>
      <c r="AY881" s="314"/>
      <c r="AZ881" s="405" t="b">
        <f t="shared" si="263"/>
        <v>0</v>
      </c>
      <c r="BA881" s="406" t="b">
        <f t="shared" si="264"/>
        <v>0</v>
      </c>
      <c r="BB881" s="407" t="b">
        <f>AND(E873&lt;&gt;"",COUNTIF(AO881:AO882,TRUE)=0)</f>
        <v>0</v>
      </c>
      <c r="BC881" s="389" t="b">
        <f t="shared" si="265"/>
        <v>0</v>
      </c>
      <c r="BD881" s="314"/>
      <c r="BE881" s="314"/>
      <c r="BF881" s="408" t="s">
        <v>154</v>
      </c>
      <c r="BG881" s="409" t="str">
        <f>IF(COUNTIF(AO881:AO882,TRUE)=0,"",BH881*AV889)</f>
        <v/>
      </c>
      <c r="BH881" s="409" t="str">
        <f>IF(COUNTIF(AO881:AO882,TRUE)=0,"",AV878*IF(AO881,1,AV880*AN882)*AV881*AV883)</f>
        <v/>
      </c>
      <c r="BI881" s="314"/>
      <c r="BJ881" s="314"/>
      <c r="BK881" s="314"/>
      <c r="BL881" s="314"/>
      <c r="BM881" s="314"/>
      <c r="BN881" s="314"/>
      <c r="BO881" s="314"/>
      <c r="BP881" s="314"/>
      <c r="BQ881" s="314"/>
      <c r="BR881" s="314"/>
      <c r="BS881" s="314"/>
      <c r="BT881" s="314"/>
      <c r="BU881" s="314"/>
      <c r="BV881" s="314"/>
      <c r="BW881" s="314"/>
      <c r="BX881" s="314"/>
      <c r="BY881" s="314"/>
      <c r="BZ881" s="314"/>
      <c r="CA881" s="314"/>
      <c r="CB881" s="314"/>
      <c r="CC881" s="314"/>
      <c r="CD881" s="314"/>
      <c r="CE881" s="314"/>
      <c r="CF881" s="314"/>
      <c r="CG881" s="314"/>
      <c r="CH881" s="314"/>
      <c r="CI881" s="314"/>
      <c r="CJ881" s="314"/>
      <c r="CK881" s="314"/>
      <c r="CL881" s="314"/>
      <c r="CM881" s="314"/>
      <c r="CN881" s="314"/>
      <c r="CO881" s="314"/>
      <c r="CP881" s="314"/>
      <c r="CQ881" s="407" t="b">
        <f>OR(CQ878,Y881=EUconst_NA)</f>
        <v>0</v>
      </c>
    </row>
    <row r="882" spans="1:95" ht="12.75" customHeight="1" x14ac:dyDescent="0.25">
      <c r="A882" s="307"/>
      <c r="B882" s="68"/>
      <c r="C882" s="199" t="s">
        <v>15</v>
      </c>
      <c r="D882" s="344" t="str">
        <f>Translations!$B$362</f>
        <v>BioF:</v>
      </c>
      <c r="E882" s="345"/>
      <c r="F882" s="10"/>
      <c r="G882" s="1256" t="str">
        <f>IF(OR(ISBLANK(F882),F882=EUconst_NoTier),"",IF(Z882=0,EUconst_NotApplicable,IF(ISERROR(Z882),"",Z882)))</f>
        <v/>
      </c>
      <c r="H882" s="1257"/>
      <c r="I882" s="410" t="str">
        <f t="shared" ref="I882:I887" si="266">IF(OR(AC882=FALSE,Y882=EUconst_NA),"","-")</f>
        <v/>
      </c>
      <c r="J882" s="411"/>
      <c r="K882" s="412" t="str">
        <f>IF(L882="",AU882,"")</f>
        <v/>
      </c>
      <c r="L882" s="60"/>
      <c r="M882" s="347" t="str">
        <f>IF(AND(E873&lt;&gt;"",OR(F882="",COUNT(K882:L882)=0),Y882&lt;&gt;EUconst_NA),EUconst_ERR_Incomplete,IF(COUNTIF(BB882:BD882,TRUE)&gt;0,EUconst_ERR_Inconsistent,""))</f>
        <v/>
      </c>
      <c r="O882" s="160"/>
      <c r="P882" s="348"/>
      <c r="Q882" s="413"/>
      <c r="R882" s="413"/>
      <c r="S882" s="314"/>
      <c r="T882" s="388" t="str">
        <f>EUconst_CNTR_BiomassContent&amp;E873</f>
        <v>BioC_</v>
      </c>
      <c r="U882" s="312"/>
      <c r="V882" s="369" t="str">
        <f>V880</f>
        <v/>
      </c>
      <c r="W882" s="369" t="str">
        <f>IF(OR(V882="",COUNTIF(MSPara_SourceStreamCategory,V882)=0),"",INDEX(MSPara_IsFossil,MATCH(V882,MSPara_SourceStreamCategory,0)))</f>
        <v/>
      </c>
      <c r="X882" s="312"/>
      <c r="Y882" s="370" t="str">
        <f>IF(E873="","",IF(OR(F882=EUconst_NA,W882=TRUE),EUconst_NA,INDEX(EUwideConstants!$P$164:$P$200,MATCH(T882,EUwideConstants!$S$164:$S$200,0))))</f>
        <v/>
      </c>
      <c r="Z882" s="371" t="str">
        <f>IF(ISBLANK(F882),"",IF(F882=EUconst_NA,"",INDEX(EUwideConstants!$H:$O,MATCH(T882,EUwideConstants!$S:$S,0),MATCH(F882,CNTR_TierList,0))))</f>
        <v/>
      </c>
      <c r="AA882" s="414" t="str">
        <f>IF(F882=1,1,"")</f>
        <v/>
      </c>
      <c r="AB882" s="314"/>
      <c r="AC882" s="373" t="b">
        <f>AND(AC878,Y882&lt;&gt;EUconst_NA)</f>
        <v>0</v>
      </c>
      <c r="AD882" s="314"/>
      <c r="AE882" s="415"/>
      <c r="AF882" s="416"/>
      <c r="AG882" s="417"/>
      <c r="AH882" s="418"/>
      <c r="AI882" s="418"/>
      <c r="AJ882" s="418"/>
      <c r="AK882" s="419"/>
      <c r="AL882" s="326"/>
      <c r="AM882" s="358" t="s">
        <v>155</v>
      </c>
      <c r="AN882" s="359" t="str">
        <f>IF(AN880=EUconst_NA,EUconst_NA,INDEX(EUwideConstants!$C$150:$H$154,MATCH(AJ881,EFUnits,0),MATCH(AN880,EUwideConstants!$C$149:$H$149,0)))</f>
        <v>n.a.</v>
      </c>
      <c r="AO882" s="359" t="b">
        <f>AN882&lt;&gt;EUconst_NA</f>
        <v>0</v>
      </c>
      <c r="AP882" s="326"/>
      <c r="AQ882" s="376" t="str">
        <f>EUconst_CNTR_BiomassContent&amp;EUconst_Value</f>
        <v>BioC_Value</v>
      </c>
      <c r="AR882" s="420"/>
      <c r="AS882" s="378" t="str">
        <f t="shared" ref="AS882:AS887" si="267">IF(AC882=TRUE,IF(COUNTIF(MSPara_SourceStreamCategory,V882)=0,"",INDEX(MSPara_CalcFactorsMatrix,MATCH(V882,MSPara_SourceStreamCategory,0),MATCH(AQ882&amp;"_"&amp;2,MSPara_CalcFactors,0))),"")</f>
        <v/>
      </c>
      <c r="AT882" s="421"/>
      <c r="AU882" s="380" t="str">
        <f t="shared" ref="AU882:AU887" si="268">IF(OR(AA882="",AS882=EUconst_NA),"",AS882)</f>
        <v/>
      </c>
      <c r="AV882" s="373">
        <f>IF(AC882=TRUE,IF(COUNT(K882:L882)=0,0,IF(L882="",K882,L882)),0)</f>
        <v>0</v>
      </c>
      <c r="AW882" s="369" t="b">
        <f t="shared" si="261"/>
        <v>0</v>
      </c>
      <c r="AX882" s="381" t="b">
        <f t="shared" si="262"/>
        <v>0</v>
      </c>
      <c r="AY882" s="314"/>
      <c r="AZ882" s="382" t="b">
        <f t="shared" si="263"/>
        <v>0</v>
      </c>
      <c r="BA882" s="383" t="b">
        <f t="shared" si="264"/>
        <v>0</v>
      </c>
      <c r="BB882" s="314"/>
      <c r="BC882" s="369" t="b">
        <f t="shared" si="265"/>
        <v>0</v>
      </c>
      <c r="BD882" s="369" t="b">
        <f>OR(AV882&gt;100%,(AV882+AV883)&gt;100%)</f>
        <v>0</v>
      </c>
      <c r="BE882" s="314"/>
      <c r="BF882" s="382" t="s">
        <v>156</v>
      </c>
      <c r="BG882" s="384" t="str">
        <f>IF(COUNTIF(AO881:AO882,TRUE)=0,"",BH882*AV889)</f>
        <v/>
      </c>
      <c r="BH882" s="384" t="str">
        <f>IF(COUNTIF(AO881:AO882,TRUE)=0,"",AV878*IF(AO881,1,AV880*AN882)*AV881*AV884)</f>
        <v/>
      </c>
      <c r="BJ882" s="314"/>
      <c r="BK882" s="314"/>
      <c r="BL882" s="314"/>
      <c r="BM882" s="314"/>
      <c r="BN882" s="314"/>
      <c r="BO882" s="314"/>
      <c r="BP882" s="314"/>
      <c r="BQ882" s="314"/>
      <c r="BR882" s="314"/>
      <c r="BS882" s="314"/>
      <c r="BT882" s="314"/>
      <c r="BU882" s="314"/>
      <c r="BV882" s="314"/>
      <c r="BW882" s="314"/>
      <c r="BX882" s="314"/>
      <c r="BY882" s="314"/>
      <c r="BZ882" s="314"/>
      <c r="CA882" s="314"/>
      <c r="CB882" s="314"/>
      <c r="CC882" s="314"/>
      <c r="CD882" s="314"/>
      <c r="CE882" s="314"/>
      <c r="CF882" s="314"/>
      <c r="CG882" s="314"/>
      <c r="CH882" s="314"/>
      <c r="CI882" s="314"/>
      <c r="CJ882" s="314"/>
      <c r="CK882" s="314"/>
      <c r="CL882" s="314"/>
      <c r="CM882" s="314"/>
      <c r="CN882" s="314"/>
      <c r="CO882" s="314"/>
      <c r="CP882" s="314"/>
      <c r="CQ882" s="369" t="b">
        <f>OR(CQ878,Y882=EUconst_NA)</f>
        <v>0</v>
      </c>
    </row>
    <row r="883" spans="1:95" ht="12.75" customHeight="1" thickBot="1" x14ac:dyDescent="0.3">
      <c r="A883" s="307"/>
      <c r="B883" s="68"/>
      <c r="C883" s="199" t="s">
        <v>16</v>
      </c>
      <c r="D883" s="344" t="str">
        <f>Translations!$B$368</f>
        <v>non-sust. BioF:</v>
      </c>
      <c r="E883" s="345"/>
      <c r="F883" s="20"/>
      <c r="G883" s="1256" t="str">
        <f>IF(OR(ISBLANK(F883),F883=EUconst_NoTier),"",IF(Z883=0,EUconst_NotApplicable,IF(ISERROR(Z883),"",Z883)))</f>
        <v/>
      </c>
      <c r="H883" s="1257"/>
      <c r="I883" s="422" t="str">
        <f t="shared" si="266"/>
        <v/>
      </c>
      <c r="J883" s="423"/>
      <c r="K883" s="424" t="str">
        <f>IF(L883="",AU883,"")</f>
        <v/>
      </c>
      <c r="L883" s="21"/>
      <c r="M883" s="347" t="str">
        <f>IF(AND(E873&lt;&gt;"",OR(F883="",COUNT(K883:L883)=0),Y883&lt;&gt;EUconst_NA),EUconst_ERR_Incomplete,IF(COUNTIF(BB883:BD883,TRUE)&gt;0,EUconst_ERR_Inconsistent,""))</f>
        <v/>
      </c>
      <c r="N883" s="76"/>
      <c r="O883" s="160"/>
      <c r="P883" s="348"/>
      <c r="Q883" s="413"/>
      <c r="R883" s="413"/>
      <c r="S883" s="314"/>
      <c r="T883" s="425" t="str">
        <f>EUconst_CNTR_BiomassContent&amp;E873</f>
        <v>BioC_</v>
      </c>
      <c r="U883" s="312"/>
      <c r="V883" s="407" t="str">
        <f>V882</f>
        <v/>
      </c>
      <c r="W883" s="407" t="str">
        <f>IF(OR(V882="",COUNTIF(MSPara_SourceStreamCategory,V883)=0),"",INDEX(MSPara_IsFossil,MATCH(V883,MSPara_SourceStreamCategory,0)))</f>
        <v/>
      </c>
      <c r="X883" s="312"/>
      <c r="Y883" s="426" t="str">
        <f>IF(E873="","",IF(OR(F883=EUconst_NA,W883=TRUE),EUconst_NA,INDEX(EUwideConstants!$P$164:$P$200,MATCH(T883,EUwideConstants!$S$164:$S$200,0))))</f>
        <v/>
      </c>
      <c r="Z883" s="427" t="str">
        <f>IF(ISBLANK(F883),"",IF(F883=EUconst_NA,"",INDEX(EUwideConstants!$H:$O,MATCH(T883,EUwideConstants!$S:$S,0),MATCH(F883,CNTR_TierList,0))))</f>
        <v/>
      </c>
      <c r="AA883" s="428" t="str">
        <f>IF(F883=1,1,"")</f>
        <v/>
      </c>
      <c r="AB883" s="314"/>
      <c r="AC883" s="429" t="b">
        <f>AND(AC878,Y883&lt;&gt;EUconst_NA)</f>
        <v>0</v>
      </c>
      <c r="AD883" s="314"/>
      <c r="AE883" s="430"/>
      <c r="AF883" s="431"/>
      <c r="AG883" s="432"/>
      <c r="AH883" s="433"/>
      <c r="AI883" s="433"/>
      <c r="AJ883" s="433"/>
      <c r="AK883" s="434"/>
      <c r="AL883" s="326"/>
      <c r="AM883" s="326"/>
      <c r="AN883" s="326"/>
      <c r="AO883" s="326"/>
      <c r="AP883" s="326"/>
      <c r="AQ883" s="435" t="str">
        <f>EUconst_CNTR_BiomassContent&amp;EUconst_Value</f>
        <v>BioC_Value</v>
      </c>
      <c r="AR883" s="430"/>
      <c r="AS883" s="436" t="str">
        <f t="shared" si="267"/>
        <v/>
      </c>
      <c r="AT883" s="437"/>
      <c r="AU883" s="438" t="str">
        <f t="shared" si="268"/>
        <v/>
      </c>
      <c r="AV883" s="429">
        <f>IF(AC883=TRUE,IF(COUNT(K883:L883)=0,0,IF(L883="",K883,L883)),0)</f>
        <v>0</v>
      </c>
      <c r="AW883" s="407" t="b">
        <f t="shared" si="261"/>
        <v>0</v>
      </c>
      <c r="AX883" s="439" t="b">
        <f t="shared" si="262"/>
        <v>0</v>
      </c>
      <c r="AY883" s="314"/>
      <c r="AZ883" s="408" t="b">
        <f t="shared" si="263"/>
        <v>0</v>
      </c>
      <c r="BA883" s="440" t="b">
        <f t="shared" si="264"/>
        <v>0</v>
      </c>
      <c r="BB883" s="314"/>
      <c r="BC883" s="407" t="b">
        <f t="shared" si="265"/>
        <v>0</v>
      </c>
      <c r="BD883" s="407" t="b">
        <f>OR(AV882&gt;100%,(AV882+AV883)&gt;100%)</f>
        <v>0</v>
      </c>
      <c r="BE883" s="314"/>
      <c r="BF883" s="408" t="s">
        <v>157</v>
      </c>
      <c r="BG883" s="409" t="str">
        <f>IF(COUNTIF(AO881:AO882,TRUE)=0,"",BH883*AV889)</f>
        <v/>
      </c>
      <c r="BH883" s="409" t="str">
        <f>IF(COUNTIF(AO881:AO882,TRUE)=0,"",AV878*IF(AO881,1,AV880*AN882)*AV881*AV885)</f>
        <v/>
      </c>
      <c r="BJ883" s="314"/>
      <c r="BK883" s="314"/>
      <c r="BL883" s="314"/>
      <c r="BM883" s="314"/>
      <c r="BN883" s="314"/>
      <c r="BO883" s="314"/>
      <c r="BP883" s="314"/>
      <c r="BQ883" s="314"/>
      <c r="BR883" s="314"/>
      <c r="BS883" s="314"/>
      <c r="BT883" s="314"/>
      <c r="BU883" s="314"/>
      <c r="BV883" s="314"/>
      <c r="BW883" s="314"/>
      <c r="BX883" s="314"/>
      <c r="BY883" s="314"/>
      <c r="BZ883" s="314"/>
      <c r="CA883" s="314"/>
      <c r="CB883" s="314"/>
      <c r="CC883" s="314"/>
      <c r="CD883" s="314"/>
      <c r="CE883" s="314"/>
      <c r="CF883" s="314"/>
      <c r="CG883" s="314"/>
      <c r="CH883" s="314"/>
      <c r="CI883" s="314"/>
      <c r="CJ883" s="314"/>
      <c r="CK883" s="314"/>
      <c r="CL883" s="314"/>
      <c r="CM883" s="314"/>
      <c r="CN883" s="314"/>
      <c r="CO883" s="314"/>
      <c r="CP883" s="314"/>
      <c r="CQ883" s="407" t="b">
        <f>OR(CQ878,Y883=EUconst_NA)</f>
        <v>0</v>
      </c>
    </row>
    <row r="884" spans="1:95" ht="12.75" customHeight="1" thickBot="1" x14ac:dyDescent="0.3">
      <c r="A884" s="307"/>
      <c r="B884" s="68"/>
      <c r="C884" s="199" t="s">
        <v>17</v>
      </c>
      <c r="D884" s="344" t="str">
        <f>Translations!$B$610</f>
        <v>sust. RFNBO/RCF:</v>
      </c>
      <c r="E884" s="441"/>
      <c r="F884" s="19" t="s">
        <v>158</v>
      </c>
      <c r="G884" s="1261"/>
      <c r="H884" s="1262"/>
      <c r="I884" s="442" t="str">
        <f t="shared" si="266"/>
        <v/>
      </c>
      <c r="J884" s="411"/>
      <c r="K884" s="443"/>
      <c r="L884" s="55"/>
      <c r="M884" s="347" t="str">
        <f>IF(AND(E873&lt;&gt;"",OR(F884="",COUNT(L884)=0),Y884&lt;&gt;EUconst_NA),EUconst_ERR_Incomplete,"")</f>
        <v/>
      </c>
      <c r="N884" s="76"/>
      <c r="O884" s="160"/>
      <c r="P884" s="348"/>
      <c r="Q884" s="413"/>
      <c r="R884" s="413"/>
      <c r="S884" s="314"/>
      <c r="T884" s="388" t="str">
        <f>EUconst_CNTR_RFNBOetcContent&amp;E873</f>
        <v>RNFBOC_</v>
      </c>
      <c r="U884" s="312"/>
      <c r="V884" s="312"/>
      <c r="W884" s="312"/>
      <c r="X884" s="312"/>
      <c r="Y884" s="380" t="str">
        <f>IF(E873="","",IF(OR(F884=EUconst_NA,W884=TRUE),EUconst_NA,INDEX(EUwideConstants!$P$164:$P$200,MATCH(T884,EUwideConstants!$S$164:$S$200,0))))</f>
        <v/>
      </c>
      <c r="Z884" s="314"/>
      <c r="AA884" s="314"/>
      <c r="AB884" s="314"/>
      <c r="AC884" s="397" t="b">
        <f>AND(AC880,Y884&lt;&gt;EUconst_NA)</f>
        <v>0</v>
      </c>
      <c r="AD884" s="314"/>
      <c r="AE884" s="415"/>
      <c r="AF884" s="416"/>
      <c r="AG884" s="417"/>
      <c r="AH884" s="418"/>
      <c r="AI884" s="418"/>
      <c r="AJ884" s="418"/>
      <c r="AK884" s="419"/>
      <c r="AL884" s="326"/>
      <c r="AM884" s="326"/>
      <c r="AN884" s="326"/>
      <c r="AO884" s="326"/>
      <c r="AP884" s="326"/>
      <c r="AQ884" s="444" t="s">
        <v>159</v>
      </c>
      <c r="AR884" s="415"/>
      <c r="AS884" s="445" t="str">
        <f t="shared" si="267"/>
        <v/>
      </c>
      <c r="AT884" s="446"/>
      <c r="AU884" s="447" t="str">
        <f t="shared" si="268"/>
        <v/>
      </c>
      <c r="AV884" s="397">
        <f>IF(L884&lt;&gt;0,L884,L884)</f>
        <v>0</v>
      </c>
      <c r="AW884" s="398" t="b">
        <f t="shared" si="261"/>
        <v>0</v>
      </c>
      <c r="AX884" s="448" t="b">
        <f t="shared" si="262"/>
        <v>0</v>
      </c>
      <c r="AY884" s="314"/>
      <c r="AZ884" s="449" t="b">
        <f t="shared" si="263"/>
        <v>0</v>
      </c>
      <c r="BA884" s="450" t="b">
        <f t="shared" si="264"/>
        <v>0</v>
      </c>
      <c r="BB884" s="314"/>
      <c r="BC884" s="398" t="b">
        <f t="shared" si="265"/>
        <v>0</v>
      </c>
      <c r="BD884" s="369" t="b">
        <f>OR(AV884&gt;100%,(AV884+AV885)&gt;100%)</f>
        <v>0</v>
      </c>
      <c r="BE884" s="314"/>
      <c r="BF884" s="451" t="s">
        <v>160</v>
      </c>
      <c r="BG884" s="452" t="str">
        <f>IF(COUNTIF(AO881:AO882,TRUE)=0,"",BH884*AV889)</f>
        <v/>
      </c>
      <c r="BH884" s="452" t="str">
        <f>IF(COUNTIF(AO881:AO882,TRUE)=0,"",AV878*IF(AO881,1,AV880*AN882)*AV881*AV886)</f>
        <v/>
      </c>
      <c r="BJ884" s="314"/>
      <c r="BK884" s="314"/>
      <c r="BL884" s="314"/>
      <c r="BM884" s="314"/>
      <c r="BN884" s="314"/>
      <c r="BO884" s="314"/>
      <c r="BP884" s="314"/>
      <c r="BQ884" s="314"/>
      <c r="BR884" s="314"/>
      <c r="BS884" s="314"/>
      <c r="BT884" s="314"/>
      <c r="BU884" s="314"/>
      <c r="BV884" s="314"/>
      <c r="BW884" s="314"/>
      <c r="BX884" s="314"/>
      <c r="BY884" s="314"/>
      <c r="BZ884" s="314"/>
      <c r="CA884" s="314"/>
      <c r="CB884" s="314"/>
      <c r="CC884" s="314"/>
      <c r="CD884" s="314"/>
      <c r="CE884" s="314"/>
      <c r="CF884" s="314"/>
      <c r="CG884" s="314"/>
      <c r="CH884" s="314"/>
      <c r="CI884" s="314"/>
      <c r="CJ884" s="314"/>
      <c r="CK884" s="314"/>
      <c r="CL884" s="314"/>
      <c r="CM884" s="314"/>
      <c r="CN884" s="314"/>
      <c r="CO884" s="314"/>
      <c r="CP884" s="314"/>
      <c r="CQ884" s="407" t="b">
        <f>OR(CQ878,Y884=EUconst_NA)</f>
        <v>0</v>
      </c>
    </row>
    <row r="885" spans="1:95" ht="12.75" customHeight="1" thickBot="1" x14ac:dyDescent="0.3">
      <c r="A885" s="307"/>
      <c r="B885" s="68"/>
      <c r="C885" s="199" t="s">
        <v>161</v>
      </c>
      <c r="D885" s="344" t="str">
        <f>Translations!$B$613</f>
        <v>non-sust. RFNBO/RCF:</v>
      </c>
      <c r="E885" s="441"/>
      <c r="F885" s="20" t="s">
        <v>158</v>
      </c>
      <c r="G885" s="1261"/>
      <c r="H885" s="1262"/>
      <c r="I885" s="422" t="str">
        <f t="shared" si="266"/>
        <v/>
      </c>
      <c r="J885" s="423"/>
      <c r="K885" s="443"/>
      <c r="L885" s="56"/>
      <c r="M885" s="347" t="str">
        <f>IF(AND(E873&lt;&gt;"",OR(F885="",COUNT(L885)=0),Y885&lt;&gt;EUconst_NA),EUconst_ERR_Incomplete,"")</f>
        <v/>
      </c>
      <c r="N885" s="76"/>
      <c r="O885" s="160"/>
      <c r="P885" s="348"/>
      <c r="Q885" s="413"/>
      <c r="R885" s="413"/>
      <c r="S885" s="314"/>
      <c r="T885" s="425" t="str">
        <f>EUconst_CNTR_RFNBOetcContent&amp;E873</f>
        <v>RNFBOC_</v>
      </c>
      <c r="U885" s="312"/>
      <c r="V885" s="312"/>
      <c r="W885" s="312"/>
      <c r="X885" s="312"/>
      <c r="Y885" s="438" t="str">
        <f>IF(E873="","",IF(OR(F885=EUconst_NA,W885=TRUE),EUconst_NA,INDEX(EUwideConstants!$P$164:$P$200,MATCH(T885,EUwideConstants!$S$164:$S$200,0))))</f>
        <v/>
      </c>
      <c r="Z885" s="314"/>
      <c r="AA885" s="314"/>
      <c r="AB885" s="314"/>
      <c r="AC885" s="429" t="b">
        <f>AND(AC880,Y885&lt;&gt;EUconst_NA)</f>
        <v>0</v>
      </c>
      <c r="AD885" s="314"/>
      <c r="AE885" s="430"/>
      <c r="AF885" s="431"/>
      <c r="AG885" s="432"/>
      <c r="AH885" s="433"/>
      <c r="AI885" s="433"/>
      <c r="AJ885" s="433"/>
      <c r="AK885" s="434"/>
      <c r="AL885" s="326"/>
      <c r="AM885" s="326"/>
      <c r="AN885" s="326"/>
      <c r="AO885" s="326"/>
      <c r="AP885" s="326"/>
      <c r="AQ885" s="435" t="s">
        <v>159</v>
      </c>
      <c r="AR885" s="430"/>
      <c r="AS885" s="436" t="str">
        <f t="shared" si="267"/>
        <v/>
      </c>
      <c r="AT885" s="437"/>
      <c r="AU885" s="438" t="str">
        <f t="shared" si="268"/>
        <v/>
      </c>
      <c r="AV885" s="429">
        <f t="shared" ref="AV885:AV887" si="269">IF(L885&lt;&gt;0,L885,L885)</f>
        <v>0</v>
      </c>
      <c r="AW885" s="407" t="b">
        <f t="shared" si="261"/>
        <v>0</v>
      </c>
      <c r="AX885" s="439" t="b">
        <f t="shared" si="262"/>
        <v>0</v>
      </c>
      <c r="AY885" s="314"/>
      <c r="AZ885" s="408" t="b">
        <f t="shared" si="263"/>
        <v>0</v>
      </c>
      <c r="BA885" s="440" t="b">
        <f t="shared" si="264"/>
        <v>0</v>
      </c>
      <c r="BB885" s="314"/>
      <c r="BC885" s="407" t="b">
        <f t="shared" si="265"/>
        <v>0</v>
      </c>
      <c r="BD885" s="407" t="b">
        <f>OR(AV884&gt;100%,(AV884+AV885)&gt;100%)</f>
        <v>0</v>
      </c>
      <c r="BE885" s="314"/>
      <c r="BF885" s="408" t="s">
        <v>162</v>
      </c>
      <c r="BG885" s="409" t="str">
        <f>IF(COUNTIF(AO881:AO882,TRUE)=0,"",BH885*AV889)</f>
        <v/>
      </c>
      <c r="BH885" s="409" t="str">
        <f>IF(COUNTIF(AO881:AO882,TRUE)=0,"",AV878*IF(AO881,1,AV880*AN882)*AV881*AV887)</f>
        <v/>
      </c>
      <c r="BJ885" s="314"/>
      <c r="BK885" s="314"/>
      <c r="BL885" s="314"/>
      <c r="BM885" s="314"/>
      <c r="BN885" s="314"/>
      <c r="BO885" s="314"/>
      <c r="BP885" s="314"/>
      <c r="BQ885" s="314"/>
      <c r="BR885" s="314"/>
      <c r="BS885" s="314"/>
      <c r="BT885" s="314"/>
      <c r="BU885" s="314"/>
      <c r="BV885" s="314"/>
      <c r="BW885" s="314"/>
      <c r="BX885" s="314"/>
      <c r="BY885" s="314"/>
      <c r="BZ885" s="314"/>
      <c r="CA885" s="314"/>
      <c r="CB885" s="314"/>
      <c r="CC885" s="314"/>
      <c r="CD885" s="314"/>
      <c r="CE885" s="314"/>
      <c r="CF885" s="314"/>
      <c r="CG885" s="314"/>
      <c r="CH885" s="314"/>
      <c r="CI885" s="314"/>
      <c r="CJ885" s="314"/>
      <c r="CK885" s="314"/>
      <c r="CL885" s="314"/>
      <c r="CM885" s="314"/>
      <c r="CN885" s="314"/>
      <c r="CO885" s="314"/>
      <c r="CP885" s="314"/>
      <c r="CQ885" s="407" t="b">
        <f>OR(CQ878,Y885=EUconst_NA)</f>
        <v>0</v>
      </c>
    </row>
    <row r="886" spans="1:95" ht="12.75" customHeight="1" thickBot="1" x14ac:dyDescent="0.3">
      <c r="A886" s="307"/>
      <c r="B886" s="68"/>
      <c r="C886" s="199" t="s">
        <v>163</v>
      </c>
      <c r="D886" s="344" t="str">
        <f>Translations!$B$615</f>
        <v>sust. SLCF:</v>
      </c>
      <c r="E886" s="441"/>
      <c r="F886" s="19" t="s">
        <v>158</v>
      </c>
      <c r="G886" s="1261"/>
      <c r="H886" s="1262"/>
      <c r="I886" s="442" t="str">
        <f t="shared" si="266"/>
        <v/>
      </c>
      <c r="J886" s="411"/>
      <c r="K886" s="443"/>
      <c r="L886" s="57"/>
      <c r="M886" s="347" t="str">
        <f>IF(AND(E873&lt;&gt;"",OR(F886="",COUNT(L886)=0),Y886&lt;&gt;EUconst_NA),EUconst_ERR_Incomplete,"")</f>
        <v/>
      </c>
      <c r="N886" s="76"/>
      <c r="O886" s="160"/>
      <c r="P886" s="348"/>
      <c r="Q886" s="413"/>
      <c r="R886" s="413"/>
      <c r="S886" s="314"/>
      <c r="T886" s="388" t="str">
        <f>EUconst_CNTR_RFNBOetcContent&amp;E873</f>
        <v>RNFBOC_</v>
      </c>
      <c r="U886" s="312"/>
      <c r="V886" s="312"/>
      <c r="W886" s="312"/>
      <c r="X886" s="312"/>
      <c r="Y886" s="447" t="str">
        <f>IF(E873="","",IF(OR(F886=EUconst_NA,W886=TRUE),EUconst_NA,INDEX(EUwideConstants!$P$164:$P$200,MATCH(T886,EUwideConstants!$S$164:$S$200,0))))</f>
        <v/>
      </c>
      <c r="Z886" s="314"/>
      <c r="AA886" s="314"/>
      <c r="AB886" s="314"/>
      <c r="AC886" s="397" t="b">
        <f>AND(AC882,Y886&lt;&gt;EUconst_NA)</f>
        <v>0</v>
      </c>
      <c r="AD886" s="314"/>
      <c r="AE886" s="415"/>
      <c r="AF886" s="416"/>
      <c r="AG886" s="417"/>
      <c r="AH886" s="418"/>
      <c r="AI886" s="418"/>
      <c r="AJ886" s="418"/>
      <c r="AK886" s="419"/>
      <c r="AL886" s="326"/>
      <c r="AM886" s="326"/>
      <c r="AN886" s="326"/>
      <c r="AO886" s="326"/>
      <c r="AP886" s="326"/>
      <c r="AQ886" s="444" t="s">
        <v>159</v>
      </c>
      <c r="AR886" s="415"/>
      <c r="AS886" s="445" t="str">
        <f t="shared" si="267"/>
        <v/>
      </c>
      <c r="AT886" s="446"/>
      <c r="AU886" s="447" t="str">
        <f t="shared" si="268"/>
        <v/>
      </c>
      <c r="AV886" s="397">
        <f t="shared" si="269"/>
        <v>0</v>
      </c>
      <c r="AW886" s="398" t="b">
        <f t="shared" si="261"/>
        <v>0</v>
      </c>
      <c r="AX886" s="448" t="b">
        <f t="shared" si="262"/>
        <v>0</v>
      </c>
      <c r="AY886" s="314"/>
      <c r="AZ886" s="449" t="b">
        <f t="shared" si="263"/>
        <v>0</v>
      </c>
      <c r="BA886" s="450" t="b">
        <f t="shared" si="264"/>
        <v>0</v>
      </c>
      <c r="BB886" s="314"/>
      <c r="BC886" s="398" t="b">
        <f t="shared" si="265"/>
        <v>0</v>
      </c>
      <c r="BD886" s="369" t="b">
        <f>OR(AV886&gt;100%,(AV886+AV887)&gt;100%)</f>
        <v>0</v>
      </c>
      <c r="BE886" s="314"/>
      <c r="BF886" s="451" t="s">
        <v>164</v>
      </c>
      <c r="BG886" s="452">
        <f>IF(AN878=EUconst_TJ,AV878*(1-AV882),IF(AN880=EUconst_GJ,AV878*AV880/1000,0))-SUM(BG887:BG893)</f>
        <v>0</v>
      </c>
      <c r="BH886" s="314"/>
      <c r="BI886" s="314"/>
      <c r="BJ886" s="314"/>
      <c r="BK886" s="314"/>
      <c r="BL886" s="314"/>
      <c r="BM886" s="314"/>
      <c r="BN886" s="314"/>
      <c r="BO886" s="314"/>
      <c r="BP886" s="314"/>
      <c r="BQ886" s="314"/>
      <c r="BR886" s="314"/>
      <c r="BS886" s="314"/>
      <c r="BT886" s="314"/>
      <c r="BU886" s="314"/>
      <c r="BV886" s="314"/>
      <c r="BW886" s="314"/>
      <c r="BX886" s="314"/>
      <c r="BY886" s="314"/>
      <c r="BZ886" s="314"/>
      <c r="CA886" s="314"/>
      <c r="CB886" s="314"/>
      <c r="CC886" s="314"/>
      <c r="CD886" s="314"/>
      <c r="CE886" s="314"/>
      <c r="CF886" s="314"/>
      <c r="CG886" s="314"/>
      <c r="CH886" s="314"/>
      <c r="CI886" s="314"/>
      <c r="CJ886" s="314"/>
      <c r="CK886" s="314"/>
      <c r="CL886" s="314"/>
      <c r="CM886" s="314"/>
      <c r="CN886" s="314"/>
      <c r="CO886" s="314"/>
      <c r="CP886" s="314"/>
      <c r="CQ886" s="407" t="b">
        <f>OR(CQ878,Y886=EUconst_NA)</f>
        <v>0</v>
      </c>
    </row>
    <row r="887" spans="1:95" ht="12.75" customHeight="1" thickBot="1" x14ac:dyDescent="0.3">
      <c r="A887" s="307"/>
      <c r="B887" s="68"/>
      <c r="C887" s="199" t="s">
        <v>165</v>
      </c>
      <c r="D887" s="344" t="str">
        <f>Translations!$B$618</f>
        <v>non-sust. SLCF:</v>
      </c>
      <c r="E887" s="441"/>
      <c r="F887" s="20" t="s">
        <v>158</v>
      </c>
      <c r="G887" s="1261"/>
      <c r="H887" s="1262"/>
      <c r="I887" s="422" t="str">
        <f t="shared" si="266"/>
        <v/>
      </c>
      <c r="J887" s="423"/>
      <c r="K887" s="443"/>
      <c r="L887" s="56"/>
      <c r="M887" s="347" t="str">
        <f>IF(AND(E873&lt;&gt;"",OR(F887="",COUNT(L887)=0),Y887&lt;&gt;EUconst_NA),EUconst_ERR_Incomplete,"")</f>
        <v/>
      </c>
      <c r="N887" s="76"/>
      <c r="O887" s="160"/>
      <c r="P887" s="348"/>
      <c r="Q887" s="413"/>
      <c r="R887" s="413"/>
      <c r="S887" s="314"/>
      <c r="T887" s="425" t="str">
        <f>EUconst_CNTR_RFNBOetcContent&amp;E873</f>
        <v>RNFBOC_</v>
      </c>
      <c r="U887" s="312"/>
      <c r="V887" s="312"/>
      <c r="W887" s="312"/>
      <c r="X887" s="312"/>
      <c r="Y887" s="438" t="str">
        <f>IF(E873="","",IF(OR(F887=EUconst_NA,W887=TRUE),EUconst_NA,INDEX(EUwideConstants!$P$164:$P$200,MATCH(T887,EUwideConstants!$S$164:$S$200,0))))</f>
        <v/>
      </c>
      <c r="Z887" s="314"/>
      <c r="AA887" s="314"/>
      <c r="AB887" s="314"/>
      <c r="AC887" s="429" t="b">
        <f>AND(AC882,Y887&lt;&gt;EUconst_NA)</f>
        <v>0</v>
      </c>
      <c r="AD887" s="314"/>
      <c r="AE887" s="430"/>
      <c r="AF887" s="431"/>
      <c r="AG887" s="432"/>
      <c r="AH887" s="433"/>
      <c r="AI887" s="433"/>
      <c r="AJ887" s="433"/>
      <c r="AK887" s="434"/>
      <c r="AL887" s="326"/>
      <c r="AM887" s="326"/>
      <c r="AN887" s="326"/>
      <c r="AO887" s="326"/>
      <c r="AP887" s="326"/>
      <c r="AQ887" s="435" t="s">
        <v>159</v>
      </c>
      <c r="AR887" s="430"/>
      <c r="AS887" s="436" t="str">
        <f t="shared" si="267"/>
        <v/>
      </c>
      <c r="AT887" s="437"/>
      <c r="AU887" s="438" t="str">
        <f t="shared" si="268"/>
        <v/>
      </c>
      <c r="AV887" s="429">
        <f t="shared" si="269"/>
        <v>0</v>
      </c>
      <c r="AW887" s="407" t="b">
        <f t="shared" si="261"/>
        <v>0</v>
      </c>
      <c r="AX887" s="439" t="b">
        <f t="shared" si="262"/>
        <v>0</v>
      </c>
      <c r="AY887" s="314"/>
      <c r="AZ887" s="408" t="b">
        <f t="shared" si="263"/>
        <v>0</v>
      </c>
      <c r="BA887" s="440" t="b">
        <f t="shared" si="264"/>
        <v>0</v>
      </c>
      <c r="BB887" s="314"/>
      <c r="BC887" s="407" t="b">
        <f t="shared" si="265"/>
        <v>0</v>
      </c>
      <c r="BD887" s="407" t="b">
        <f>OR(AV886&gt;100%,(AV886+AV887)&gt;100%)</f>
        <v>0</v>
      </c>
      <c r="BE887" s="314"/>
      <c r="BF887" s="408" t="s">
        <v>166</v>
      </c>
      <c r="BG887" s="409" t="str">
        <f>IF(AN878=EUconst_TJ,AV878*AV882,IF(AN880=EUconst_GJ,AV878*AV880/1000*AV882,""))</f>
        <v/>
      </c>
      <c r="BH887" s="314"/>
      <c r="BI887" s="314"/>
      <c r="BJ887" s="314"/>
      <c r="BK887" s="314"/>
      <c r="BL887" s="314"/>
      <c r="BM887" s="314"/>
      <c r="BN887" s="314"/>
      <c r="BO887" s="314"/>
      <c r="BP887" s="314"/>
      <c r="BQ887" s="314"/>
      <c r="BR887" s="314"/>
      <c r="BS887" s="314"/>
      <c r="BT887" s="314"/>
      <c r="BU887" s="314"/>
      <c r="BV887" s="314"/>
      <c r="BW887" s="314"/>
      <c r="BX887" s="314"/>
      <c r="BY887" s="314"/>
      <c r="BZ887" s="314"/>
      <c r="CA887" s="314"/>
      <c r="CB887" s="314"/>
      <c r="CC887" s="314"/>
      <c r="CD887" s="314"/>
      <c r="CE887" s="314"/>
      <c r="CF887" s="314"/>
      <c r="CG887" s="314"/>
      <c r="CH887" s="314"/>
      <c r="CI887" s="314"/>
      <c r="CJ887" s="314"/>
      <c r="CK887" s="314"/>
      <c r="CL887" s="314"/>
      <c r="CM887" s="314"/>
      <c r="CN887" s="314"/>
      <c r="CO887" s="314"/>
      <c r="CP887" s="314"/>
      <c r="CQ887" s="407" t="b">
        <f>OR(CQ878,Y887=EUconst_NA)</f>
        <v>0</v>
      </c>
    </row>
    <row r="888" spans="1:95" ht="5.15" customHeight="1" thickBot="1" x14ac:dyDescent="0.3">
      <c r="A888" s="307"/>
      <c r="B888" s="68"/>
      <c r="C888" s="68"/>
      <c r="D888" s="205"/>
      <c r="E888" s="76"/>
      <c r="F888" s="76"/>
      <c r="G888" s="76"/>
      <c r="H888" s="76"/>
      <c r="I888" s="76"/>
      <c r="J888" s="76"/>
      <c r="K888" s="76"/>
      <c r="L888" s="76"/>
      <c r="M888" s="453"/>
      <c r="N888" s="76"/>
      <c r="O888" s="160"/>
      <c r="P888" s="109"/>
      <c r="Q888" s="312"/>
      <c r="R888" s="312"/>
      <c r="S888" s="314"/>
      <c r="T888" s="314"/>
      <c r="U888" s="314"/>
      <c r="V888" s="314"/>
      <c r="W888" s="314"/>
      <c r="X888" s="314"/>
      <c r="Y888" s="314"/>
      <c r="Z888" s="314"/>
      <c r="AA888" s="314"/>
      <c r="AB888" s="314"/>
      <c r="AC888" s="314"/>
      <c r="AD888" s="314"/>
      <c r="AE888" s="314"/>
      <c r="AF888" s="314"/>
      <c r="AG888" s="314"/>
      <c r="AH888" s="314"/>
      <c r="AI888" s="314"/>
      <c r="AJ888" s="314"/>
      <c r="AK888" s="314"/>
      <c r="AL888" s="314"/>
      <c r="AM888" s="314"/>
      <c r="AN888" s="314"/>
      <c r="AO888" s="314"/>
      <c r="AP888" s="314"/>
      <c r="AQ888" s="314"/>
      <c r="AR888" s="314"/>
      <c r="AS888" s="314"/>
      <c r="AT888" s="314"/>
      <c r="AU888" s="314"/>
      <c r="AV888" s="314"/>
      <c r="AW888" s="314"/>
      <c r="AX888" s="314"/>
      <c r="AY888" s="314"/>
      <c r="AZ888" s="314"/>
      <c r="BA888" s="314"/>
      <c r="BB888" s="314"/>
      <c r="BC888" s="314"/>
      <c r="BD888" s="314"/>
      <c r="BE888" s="314"/>
      <c r="BF888" s="314"/>
      <c r="BG888" s="364"/>
      <c r="BH888" s="314"/>
      <c r="BI888" s="314"/>
      <c r="BJ888" s="314"/>
      <c r="BK888" s="314"/>
      <c r="BL888" s="314"/>
      <c r="BM888" s="314"/>
      <c r="BN888" s="314"/>
      <c r="BO888" s="314"/>
      <c r="BP888" s="314"/>
      <c r="BQ888" s="314"/>
      <c r="BR888" s="314"/>
      <c r="BS888" s="314"/>
      <c r="BT888" s="314"/>
      <c r="BU888" s="314"/>
      <c r="BV888" s="314"/>
      <c r="BW888" s="314"/>
      <c r="BX888" s="314"/>
      <c r="BY888" s="314"/>
      <c r="BZ888" s="314"/>
      <c r="CA888" s="314"/>
      <c r="CB888" s="314"/>
      <c r="CC888" s="314"/>
      <c r="CD888" s="314"/>
      <c r="CE888" s="314"/>
      <c r="CF888" s="314"/>
      <c r="CG888" s="314"/>
      <c r="CH888" s="314"/>
      <c r="CI888" s="314"/>
      <c r="CJ888" s="314"/>
      <c r="CK888" s="314"/>
      <c r="CL888" s="314"/>
      <c r="CM888" s="314"/>
      <c r="CN888" s="314"/>
      <c r="CO888" s="314"/>
      <c r="CP888" s="314"/>
      <c r="CQ888" s="314"/>
    </row>
    <row r="889" spans="1:95" ht="12.75" customHeight="1" thickBot="1" x14ac:dyDescent="0.3">
      <c r="A889" s="307"/>
      <c r="B889" s="68"/>
      <c r="C889" s="199" t="s">
        <v>167</v>
      </c>
      <c r="D889" s="344" t="str">
        <f>Translations!$B$398</f>
        <v>Scope factor:</v>
      </c>
      <c r="E889" s="454"/>
      <c r="F889" s="992"/>
      <c r="G889" s="1263"/>
      <c r="H889" s="1264"/>
      <c r="I889" s="455" t="s">
        <v>46</v>
      </c>
      <c r="J889" s="456"/>
      <c r="K889" s="457" t="str">
        <f>IF(L889="",AU889,"")</f>
        <v/>
      </c>
      <c r="L889" s="16"/>
      <c r="M889" s="458" t="str">
        <f>IF(AND(E873&lt;&gt;"",OR(F889="",G889="",COUNT(K889:L889)=0)),EUconst_ERR_Incomplete,IF(COUNTIF(BB889:BD889,TRUE)&gt;0,EUconst_ERR_Inconsistent,""))</f>
        <v/>
      </c>
      <c r="N889" s="76"/>
      <c r="O889" s="160"/>
      <c r="P889" s="109"/>
      <c r="Q889" s="312"/>
      <c r="R889" s="314"/>
      <c r="S889" s="297"/>
      <c r="T889" s="459" t="str">
        <f>EUconst_CNTR_ScopeFactor&amp;E873</f>
        <v>ScopeFactor_</v>
      </c>
      <c r="U889" s="231" t="str">
        <f>IF(F889="","",INDEX(ScopeAddress,MATCH(F889,ScopeTiers,0)))</f>
        <v/>
      </c>
      <c r="V889" s="360" t="str">
        <f>V878</f>
        <v/>
      </c>
      <c r="W889" s="314"/>
      <c r="X889" s="314"/>
      <c r="Y889" s="460" t="str">
        <f>IF(E873="","",IF(F889=EUconst_NA,EUconst_NA,INDEX(EUwideConstants!$P$164:$P$200,MATCH(T889,EUwideConstants!$S$164:$S$200,0))))</f>
        <v/>
      </c>
      <c r="Z889" s="461" t="str">
        <f>IF(ISBLANK(F889),"",IF(F889=EUconst_NA,"",INDEX(EUwideConstants!$H:$O,MATCH(T889,EUwideConstants!$S:$S,0),MATCH(F889,CNTR_TierList,0))))</f>
        <v/>
      </c>
      <c r="AA889" s="331" t="str">
        <f>IF(G889=EUwideConstants!$A$89,1,"")</f>
        <v/>
      </c>
      <c r="AB889" s="314"/>
      <c r="AC889" s="331" t="b">
        <f>AND(AC878,Y889&lt;&gt;EUconst_NA)</f>
        <v>0</v>
      </c>
      <c r="AD889" s="314"/>
      <c r="AE889" s="314"/>
      <c r="AF889" s="314"/>
      <c r="AG889" s="319"/>
      <c r="AH889" s="314"/>
      <c r="AI889" s="314"/>
      <c r="AJ889" s="314"/>
      <c r="AK889" s="314"/>
      <c r="AL889" s="314"/>
      <c r="AM889" s="314"/>
      <c r="AN889" s="314"/>
      <c r="AO889" s="314"/>
      <c r="AP889" s="314"/>
      <c r="AQ889" s="314"/>
      <c r="AR889" s="314"/>
      <c r="AS889" s="328">
        <v>1</v>
      </c>
      <c r="AT889" s="314"/>
      <c r="AU889" s="319" t="str">
        <f>IF(G889=EUwideConstants!$A$89,AS889,"")</f>
        <v/>
      </c>
      <c r="AV889" s="331">
        <f>IF(AC889=TRUE,IF(COUNT(K889:L889)=0,0,IF(L889="",K889,L889)),0)</f>
        <v>0</v>
      </c>
      <c r="AW889" s="360" t="b">
        <f>AND(AC889=TRUE,OR(AND(F889&lt;&gt;"",NOT(ISNUMBER(AA889))),L889&lt;&gt;"",F889="",AU889=""))</f>
        <v>0</v>
      </c>
      <c r="AX889" s="357" t="b">
        <f>AND(AC889=TRUE,NOT(AW889))</f>
        <v>0</v>
      </c>
      <c r="AY889" s="314"/>
      <c r="AZ889" s="361" t="b">
        <f>AND(ISNUMBER(AA889),AU889="")</f>
        <v>0</v>
      </c>
      <c r="BA889" s="351" t="b">
        <f>AND(ISNUMBER(AA889),AU889&lt;&gt;AV889)</f>
        <v>0</v>
      </c>
      <c r="BB889" s="314"/>
      <c r="BC889" s="360" t="b">
        <f>AND(F889&lt;&gt;"",OR(COUNTIF(INDEX(ScopeMethods,F889,),G889)=0,AND(AA889&lt;&gt;"",AU889&lt;&gt;AV889)))</f>
        <v>0</v>
      </c>
      <c r="BD889" s="314"/>
      <c r="BE889" s="314"/>
      <c r="BF889" s="361" t="s">
        <v>168</v>
      </c>
      <c r="BG889" s="362" t="str">
        <f>IF(AN878=EUconst_TJ,AV878*AV884,IF(AN880=EUconst_GJ,AV878*AV880/1000*AV884,""))</f>
        <v/>
      </c>
      <c r="BH889" s="314"/>
      <c r="BI889" s="314"/>
      <c r="BJ889" s="314"/>
      <c r="BK889" s="314"/>
      <c r="BL889" s="314"/>
      <c r="BM889" s="314"/>
      <c r="BN889" s="314"/>
      <c r="BO889" s="314"/>
      <c r="BP889" s="314"/>
      <c r="BQ889" s="314"/>
      <c r="BR889" s="314"/>
      <c r="BS889" s="314"/>
      <c r="BT889" s="314"/>
      <c r="BU889" s="314"/>
      <c r="BV889" s="314"/>
      <c r="BW889" s="314"/>
      <c r="BX889" s="314"/>
      <c r="BY889" s="314"/>
      <c r="BZ889" s="314"/>
      <c r="CA889" s="314"/>
      <c r="CB889" s="314"/>
      <c r="CC889" s="314"/>
      <c r="CD889" s="314"/>
      <c r="CE889" s="314"/>
      <c r="CF889" s="314"/>
      <c r="CG889" s="314"/>
      <c r="CH889" s="314"/>
      <c r="CI889" s="314"/>
      <c r="CJ889" s="314"/>
      <c r="CK889" s="314"/>
      <c r="CL889" s="314"/>
      <c r="CM889" s="314"/>
      <c r="CN889" s="314"/>
      <c r="CO889" s="314"/>
      <c r="CP889" s="314"/>
      <c r="CQ889" s="314"/>
    </row>
    <row r="890" spans="1:95" ht="12.75" customHeight="1" x14ac:dyDescent="0.25">
      <c r="A890" s="307"/>
      <c r="B890" s="68"/>
      <c r="C890" s="68"/>
      <c r="D890" s="68"/>
      <c r="E890" s="68"/>
      <c r="F890" s="68"/>
      <c r="G890" s="1265" t="str">
        <f>IF(G889="","",INDEX(ScopeMethodsDetails,MATCH(G889,INDEX(ScopeMethodsDetails,,1),0),2))</f>
        <v/>
      </c>
      <c r="H890" s="1266"/>
      <c r="I890" s="1266"/>
      <c r="J890" s="1266"/>
      <c r="K890" s="1266"/>
      <c r="L890" s="1266"/>
      <c r="M890" s="1267"/>
      <c r="N890" s="76"/>
      <c r="O890" s="160"/>
      <c r="P890" s="109"/>
      <c r="Q890" s="312"/>
      <c r="R890" s="312"/>
      <c r="S890" s="314"/>
      <c r="T890" s="314"/>
      <c r="U890" s="314"/>
      <c r="V890" s="314"/>
      <c r="W890" s="314"/>
      <c r="X890" s="314"/>
      <c r="Y890" s="314"/>
      <c r="Z890" s="314"/>
      <c r="AA890" s="314"/>
      <c r="AB890" s="314"/>
      <c r="AC890" s="314"/>
      <c r="AD890" s="314"/>
      <c r="AE890" s="314"/>
      <c r="AF890" s="314"/>
      <c r="AG890" s="314"/>
      <c r="AH890" s="314"/>
      <c r="AI890" s="314"/>
      <c r="AJ890" s="314"/>
      <c r="AK890" s="314"/>
      <c r="AL890" s="314"/>
      <c r="AM890" s="314"/>
      <c r="AN890" s="314"/>
      <c r="AO890" s="314"/>
      <c r="AP890" s="314"/>
      <c r="AQ890" s="314"/>
      <c r="AR890" s="314"/>
      <c r="AS890" s="314"/>
      <c r="AT890" s="314"/>
      <c r="AU890" s="314"/>
      <c r="AV890" s="314"/>
      <c r="AW890" s="314"/>
      <c r="AX890" s="314"/>
      <c r="AY890" s="314"/>
      <c r="AZ890" s="314"/>
      <c r="BA890" s="314"/>
      <c r="BB890" s="314"/>
      <c r="BC890" s="314"/>
      <c r="BD890" s="314"/>
      <c r="BE890" s="314"/>
      <c r="BG890" s="364"/>
      <c r="BH890" s="314"/>
      <c r="BI890" s="314"/>
      <c r="BJ890" s="314"/>
      <c r="BK890" s="314"/>
      <c r="BL890" s="314"/>
      <c r="BM890" s="314"/>
      <c r="BN890" s="314"/>
      <c r="BO890" s="314"/>
      <c r="BP890" s="314"/>
      <c r="BQ890" s="314"/>
      <c r="BR890" s="314"/>
      <c r="BS890" s="314"/>
      <c r="BT890" s="314"/>
      <c r="BU890" s="314"/>
      <c r="BV890" s="314"/>
      <c r="BW890" s="314"/>
      <c r="BX890" s="314"/>
      <c r="BY890" s="314"/>
      <c r="BZ890" s="314"/>
      <c r="CA890" s="314"/>
      <c r="CB890" s="314"/>
      <c r="CC890" s="314"/>
      <c r="CD890" s="314"/>
      <c r="CE890" s="314"/>
      <c r="CF890" s="314"/>
      <c r="CG890" s="314"/>
      <c r="CH890" s="314"/>
      <c r="CI890" s="314"/>
      <c r="CJ890" s="314"/>
      <c r="CK890" s="314"/>
      <c r="CL890" s="314"/>
      <c r="CM890" s="314"/>
      <c r="CN890" s="314"/>
      <c r="CO890" s="314"/>
      <c r="CP890" s="314"/>
      <c r="CQ890" s="314"/>
    </row>
    <row r="891" spans="1:95" ht="5.15" customHeight="1" x14ac:dyDescent="0.25">
      <c r="A891" s="307"/>
      <c r="C891" s="76"/>
      <c r="D891" s="76"/>
      <c r="E891" s="76"/>
      <c r="F891" s="76"/>
      <c r="G891" s="76"/>
      <c r="H891" s="76"/>
      <c r="I891" s="76"/>
      <c r="J891" s="76"/>
      <c r="K891" s="76"/>
      <c r="L891" s="76"/>
      <c r="O891" s="160"/>
      <c r="P891" s="109"/>
      <c r="Q891" s="312"/>
      <c r="R891" s="312"/>
      <c r="S891" s="314"/>
      <c r="T891" s="314"/>
      <c r="U891" s="314"/>
      <c r="V891" s="314"/>
      <c r="W891" s="314"/>
      <c r="X891" s="314"/>
      <c r="Y891" s="314"/>
      <c r="Z891" s="314"/>
      <c r="AA891" s="314"/>
      <c r="AB891" s="314"/>
      <c r="AC891" s="314"/>
      <c r="AD891" s="314"/>
      <c r="AE891" s="314"/>
      <c r="AF891" s="314"/>
      <c r="AG891" s="314"/>
      <c r="AH891" s="314"/>
      <c r="AI891" s="314"/>
      <c r="AJ891" s="314"/>
      <c r="AK891" s="314"/>
      <c r="AL891" s="314"/>
      <c r="AM891" s="314"/>
      <c r="AN891" s="314"/>
      <c r="AO891" s="314"/>
      <c r="AP891" s="314"/>
      <c r="AQ891" s="314"/>
      <c r="AR891" s="314"/>
      <c r="AS891" s="314"/>
      <c r="AT891" s="314"/>
      <c r="AU891" s="314"/>
      <c r="AV891" s="314"/>
      <c r="AW891" s="314"/>
      <c r="AX891" s="314"/>
      <c r="AY891" s="314"/>
      <c r="AZ891" s="314"/>
      <c r="BA891" s="314"/>
      <c r="BB891" s="314"/>
      <c r="BC891" s="314"/>
      <c r="BD891" s="314"/>
      <c r="BE891" s="314"/>
      <c r="BG891" s="364"/>
      <c r="BH891" s="314"/>
      <c r="BI891" s="314"/>
      <c r="BJ891" s="314"/>
      <c r="BK891" s="314"/>
      <c r="BL891" s="314"/>
      <c r="BM891" s="314"/>
      <c r="BN891" s="314"/>
      <c r="BO891" s="314"/>
      <c r="BP891" s="314"/>
      <c r="BQ891" s="314"/>
      <c r="BR891" s="314"/>
      <c r="BS891" s="314"/>
      <c r="BT891" s="314"/>
      <c r="BU891" s="314"/>
      <c r="BV891" s="314"/>
      <c r="BW891" s="314"/>
      <c r="BX891" s="314"/>
      <c r="BY891" s="314"/>
      <c r="BZ891" s="314"/>
      <c r="CA891" s="314"/>
      <c r="CB891" s="314"/>
      <c r="CC891" s="314"/>
      <c r="CD891" s="314"/>
      <c r="CE891" s="314"/>
      <c r="CF891" s="314"/>
      <c r="CG891" s="314"/>
      <c r="CH891" s="314"/>
      <c r="CI891" s="314"/>
      <c r="CJ891" s="314"/>
      <c r="CK891" s="314"/>
      <c r="CL891" s="314"/>
      <c r="CM891" s="314"/>
      <c r="CN891" s="314"/>
      <c r="CO891" s="314"/>
      <c r="CP891" s="314"/>
      <c r="CQ891" s="314"/>
    </row>
    <row r="892" spans="1:95" ht="12.75" customHeight="1" thickBot="1" x14ac:dyDescent="0.3">
      <c r="A892" s="307"/>
      <c r="C892" s="76"/>
      <c r="D892" s="76"/>
      <c r="E892" s="76"/>
      <c r="F892" s="76"/>
      <c r="G892" s="1268">
        <v>1</v>
      </c>
      <c r="H892" s="1268"/>
      <c r="I892" s="1268">
        <v>2</v>
      </c>
      <c r="J892" s="1268"/>
      <c r="K892" s="1268">
        <v>3</v>
      </c>
      <c r="L892" s="1268"/>
      <c r="O892" s="160"/>
      <c r="P892" s="109"/>
      <c r="Q892" s="312"/>
      <c r="R892" s="312"/>
      <c r="S892" s="314"/>
      <c r="T892" s="314"/>
      <c r="U892" s="314"/>
      <c r="V892" s="314"/>
      <c r="W892" s="314"/>
      <c r="X892" s="314"/>
      <c r="Y892" s="314"/>
      <c r="Z892" s="314"/>
      <c r="AA892" s="314"/>
      <c r="AB892" s="314"/>
      <c r="AC892" s="314"/>
      <c r="AD892" s="314"/>
      <c r="AE892" s="314"/>
      <c r="AF892" s="314"/>
      <c r="AG892" s="314"/>
      <c r="AH892" s="314"/>
      <c r="AI892" s="314"/>
      <c r="AJ892" s="314"/>
      <c r="AK892" s="314"/>
      <c r="AL892" s="314"/>
      <c r="AM892" s="314"/>
      <c r="AN892" s="314"/>
      <c r="AO892" s="314"/>
      <c r="AP892" s="314"/>
      <c r="AQ892" s="314"/>
      <c r="AR892" s="314"/>
      <c r="AS892" s="314"/>
      <c r="AT892" s="314"/>
      <c r="AU892" s="314"/>
      <c r="AV892" s="314"/>
      <c r="AW892" s="314"/>
      <c r="AX892" s="314"/>
      <c r="AY892" s="314"/>
      <c r="AZ892" s="314"/>
      <c r="BA892" s="314"/>
      <c r="BB892" s="314"/>
      <c r="BC892" s="314"/>
      <c r="BD892" s="314"/>
      <c r="BE892" s="314"/>
      <c r="BF892" s="314"/>
      <c r="BG892" s="364"/>
      <c r="BH892" s="314"/>
      <c r="BI892" s="314"/>
      <c r="BJ892" s="314"/>
      <c r="BK892" s="314"/>
      <c r="BL892" s="314"/>
      <c r="BM892" s="314"/>
      <c r="BN892" s="314"/>
      <c r="BO892" s="314"/>
      <c r="BP892" s="314"/>
      <c r="BQ892" s="314"/>
      <c r="BR892" s="314"/>
      <c r="BS892" s="314"/>
      <c r="BT892" s="314"/>
      <c r="BU892" s="314"/>
      <c r="BV892" s="314"/>
      <c r="BW892" s="314"/>
      <c r="BX892" s="314"/>
      <c r="BY892" s="314"/>
      <c r="BZ892" s="314"/>
      <c r="CA892" s="314"/>
      <c r="CB892" s="314"/>
      <c r="CC892" s="314"/>
      <c r="CD892" s="314"/>
      <c r="CE892" s="314"/>
      <c r="CF892" s="314"/>
      <c r="CG892" s="314"/>
      <c r="CH892" s="314"/>
      <c r="CI892" s="314"/>
      <c r="CJ892" s="314"/>
      <c r="CK892" s="314"/>
      <c r="CL892" s="314"/>
      <c r="CM892" s="314"/>
      <c r="CN892" s="314"/>
      <c r="CO892" s="314"/>
      <c r="CP892" s="314"/>
      <c r="CQ892" s="314"/>
    </row>
    <row r="893" spans="1:95" ht="12.75" customHeight="1" thickBot="1" x14ac:dyDescent="0.3">
      <c r="A893" s="462"/>
      <c r="B893" s="76"/>
      <c r="C893" s="76"/>
      <c r="D893" s="1246" t="str">
        <f>Translations!$B$372</f>
        <v>Consumers' CRF category:</v>
      </c>
      <c r="E893" s="1246"/>
      <c r="F893" s="1247"/>
      <c r="G893" s="1248"/>
      <c r="H893" s="1249"/>
      <c r="I893" s="1248"/>
      <c r="J893" s="1249"/>
      <c r="K893" s="1248"/>
      <c r="L893" s="1249"/>
      <c r="M893" s="463" t="str">
        <f>IF(AND(E872&lt;&gt;"",COUNTA(G893:L893)=0,AX893=FALSE),EUconst_ERR_Incomplete,"")</f>
        <v/>
      </c>
      <c r="N893" s="76"/>
      <c r="O893" s="160"/>
      <c r="P893" s="109"/>
      <c r="Q893" s="312"/>
      <c r="R893" s="312"/>
      <c r="S893" s="314"/>
      <c r="T893" s="314"/>
      <c r="U893" s="314"/>
      <c r="V893" s="314"/>
      <c r="W893" s="314"/>
      <c r="X893" s="314"/>
      <c r="Y893" s="314"/>
      <c r="Z893" s="314"/>
      <c r="AA893" s="314"/>
      <c r="AB893" s="314"/>
      <c r="AC893" s="314"/>
      <c r="AD893" s="314"/>
      <c r="AE893" s="314"/>
      <c r="AF893" s="314"/>
      <c r="AG893" s="314"/>
      <c r="AH893" s="314"/>
      <c r="AI893" s="314"/>
      <c r="AJ893" s="314"/>
      <c r="AK893" s="314"/>
      <c r="AL893" s="314"/>
      <c r="AM893" s="314"/>
      <c r="AN893" s="314"/>
      <c r="AO893" s="314"/>
      <c r="AP893" s="314"/>
      <c r="AQ893" s="314"/>
      <c r="AR893" s="314"/>
      <c r="AS893" s="314"/>
      <c r="AT893" s="314"/>
      <c r="AU893" s="314"/>
      <c r="AV893" s="314"/>
      <c r="AW893" s="314"/>
      <c r="AX893" s="464" t="b">
        <f>AND(AV889&lt;&gt;"",SUM(AV889=1))</f>
        <v>0</v>
      </c>
      <c r="AY893" s="314"/>
      <c r="AZ893" s="314"/>
      <c r="BA893" s="314"/>
      <c r="BB893" s="314"/>
      <c r="BC893" s="314"/>
      <c r="BD893" s="314"/>
      <c r="BE893" s="314"/>
      <c r="BF893" s="361" t="s">
        <v>169</v>
      </c>
      <c r="BG893" s="362" t="str">
        <f>IF(AN878=EUconst_TJ,AV878*AV886,IF(AN880=EUconst_GJ,AV878*AV880/1000*AV886,""))</f>
        <v/>
      </c>
      <c r="BH893" s="314"/>
      <c r="BI893" s="314"/>
      <c r="BJ893" s="314"/>
      <c r="BK893" s="314"/>
      <c r="BL893" s="314"/>
      <c r="BM893" s="314"/>
      <c r="BN893" s="314"/>
      <c r="BO893" s="314"/>
      <c r="BP893" s="314"/>
      <c r="BQ893" s="314"/>
      <c r="BR893" s="314"/>
      <c r="BS893" s="314"/>
      <c r="BT893" s="314"/>
      <c r="BU893" s="314"/>
      <c r="BV893" s="314"/>
      <c r="BW893" s="314"/>
      <c r="BX893" s="314"/>
      <c r="BY893" s="314"/>
      <c r="BZ893" s="314"/>
      <c r="CA893" s="314"/>
      <c r="CB893" s="314"/>
      <c r="CC893" s="314"/>
      <c r="CD893" s="314"/>
      <c r="CE893" s="314"/>
      <c r="CF893" s="314"/>
      <c r="CG893" s="314"/>
      <c r="CH893" s="314"/>
      <c r="CI893" s="314"/>
      <c r="CJ893" s="314"/>
      <c r="CK893" s="314"/>
      <c r="CL893" s="314"/>
      <c r="CM893" s="314"/>
      <c r="CN893" s="314"/>
      <c r="CO893" s="314"/>
      <c r="CP893" s="314"/>
      <c r="CQ893" s="314"/>
    </row>
    <row r="894" spans="1:95" ht="5.15" customHeight="1" x14ac:dyDescent="0.25">
      <c r="A894" s="307"/>
      <c r="B894" s="68"/>
      <c r="C894" s="68"/>
      <c r="D894" s="68"/>
      <c r="E894" s="68"/>
      <c r="F894" s="68"/>
      <c r="G894" s="76"/>
      <c r="H894" s="76"/>
      <c r="I894" s="76"/>
      <c r="J894" s="76"/>
      <c r="K894" s="76"/>
      <c r="L894" s="76"/>
      <c r="M894" s="76"/>
      <c r="N894" s="76"/>
      <c r="O894" s="160"/>
      <c r="P894" s="109"/>
      <c r="Q894" s="312"/>
      <c r="R894" s="312"/>
      <c r="S894" s="314"/>
      <c r="T894" s="314"/>
      <c r="U894" s="314"/>
      <c r="V894" s="314"/>
      <c r="W894" s="314"/>
      <c r="X894" s="314"/>
      <c r="Y894" s="314"/>
      <c r="Z894" s="314"/>
      <c r="AA894" s="314"/>
      <c r="AB894" s="314"/>
      <c r="AC894" s="314"/>
      <c r="AD894" s="314"/>
      <c r="AE894" s="314"/>
      <c r="AF894" s="314"/>
      <c r="AG894" s="314"/>
      <c r="AH894" s="314"/>
      <c r="AI894" s="314"/>
      <c r="AJ894" s="314"/>
      <c r="AK894" s="314"/>
      <c r="AL894" s="314"/>
      <c r="AM894" s="314"/>
      <c r="AN894" s="314"/>
      <c r="AO894" s="314"/>
      <c r="AP894" s="314"/>
      <c r="AQ894" s="314"/>
      <c r="AR894" s="314"/>
      <c r="AS894" s="314"/>
      <c r="AT894" s="314"/>
      <c r="AU894" s="314"/>
      <c r="AV894" s="314"/>
      <c r="AW894" s="314"/>
      <c r="AX894" s="314"/>
      <c r="AY894" s="314"/>
      <c r="AZ894" s="314"/>
      <c r="BA894" s="314"/>
      <c r="BB894" s="314"/>
      <c r="BC894" s="314"/>
      <c r="BD894" s="314"/>
      <c r="BE894" s="314"/>
      <c r="BF894" s="314"/>
      <c r="BG894" s="314"/>
      <c r="BH894" s="314"/>
      <c r="BI894" s="314"/>
      <c r="BJ894" s="314"/>
      <c r="BK894" s="314"/>
      <c r="BL894" s="314"/>
      <c r="BM894" s="314"/>
      <c r="BN894" s="314"/>
      <c r="BO894" s="314"/>
      <c r="BP894" s="314"/>
      <c r="BQ894" s="314"/>
      <c r="BR894" s="314"/>
      <c r="BS894" s="314"/>
      <c r="BT894" s="314"/>
      <c r="BU894" s="314"/>
      <c r="BV894" s="314"/>
      <c r="BW894" s="314"/>
      <c r="BX894" s="314"/>
      <c r="BY894" s="314"/>
      <c r="BZ894" s="314"/>
      <c r="CA894" s="314"/>
      <c r="CB894" s="314"/>
      <c r="CC894" s="314"/>
      <c r="CD894" s="314"/>
      <c r="CE894" s="314"/>
      <c r="CF894" s="314"/>
      <c r="CG894" s="314"/>
      <c r="CH894" s="314"/>
      <c r="CI894" s="314"/>
      <c r="CJ894" s="314"/>
      <c r="CK894" s="314"/>
      <c r="CL894" s="314"/>
      <c r="CM894" s="314"/>
      <c r="CN894" s="314"/>
      <c r="CO894" s="314"/>
      <c r="CP894" s="314"/>
      <c r="CQ894" s="314"/>
    </row>
    <row r="895" spans="1:95" ht="12.75" customHeight="1" x14ac:dyDescent="0.25">
      <c r="A895" s="307"/>
      <c r="B895" s="68"/>
      <c r="C895" s="68"/>
      <c r="D895" s="1246" t="str">
        <f>Translations!$B$399</f>
        <v>Tiers valid from:</v>
      </c>
      <c r="E895" s="1246"/>
      <c r="F895" s="1247"/>
      <c r="G895" s="8"/>
      <c r="H895" s="199" t="str">
        <f>Translations!$B$400</f>
        <v>until:</v>
      </c>
      <c r="I895" s="8"/>
      <c r="J895" s="76"/>
      <c r="K895" s="76"/>
      <c r="L895" s="76"/>
      <c r="M895" s="199" t="str">
        <f>Translations!$B$401</f>
        <v>ID used in the monitoring plan for this fuel stream:</v>
      </c>
      <c r="N895" s="9"/>
      <c r="O895" s="160"/>
      <c r="P895" s="109"/>
      <c r="Q895" s="312"/>
      <c r="R895" s="312"/>
      <c r="S895" s="465"/>
      <c r="T895" s="314"/>
      <c r="U895" s="314"/>
      <c r="V895" s="314"/>
      <c r="W895" s="314"/>
      <c r="X895" s="314"/>
      <c r="Y895" s="314"/>
      <c r="Z895" s="314"/>
      <c r="AA895" s="314"/>
      <c r="AB895" s="314"/>
      <c r="AC895" s="314"/>
      <c r="AD895" s="314"/>
      <c r="AE895" s="314"/>
      <c r="AF895" s="314"/>
      <c r="AG895" s="314"/>
      <c r="AH895" s="314"/>
      <c r="AI895" s="314"/>
      <c r="AJ895" s="314"/>
      <c r="AK895" s="314"/>
      <c r="AL895" s="314"/>
      <c r="AM895" s="314"/>
      <c r="AN895" s="314"/>
      <c r="AO895" s="314"/>
      <c r="AP895" s="314"/>
      <c r="AQ895" s="314"/>
      <c r="AR895" s="314"/>
      <c r="AS895" s="314"/>
      <c r="AT895" s="314"/>
      <c r="AU895" s="314"/>
      <c r="AV895" s="314"/>
      <c r="AW895" s="314"/>
      <c r="AX895" s="314"/>
      <c r="AY895" s="314"/>
      <c r="AZ895" s="314"/>
      <c r="BA895" s="314"/>
      <c r="BB895" s="314"/>
      <c r="BC895" s="314"/>
      <c r="BD895" s="314"/>
      <c r="BE895" s="314"/>
      <c r="BF895" s="314"/>
      <c r="BG895" s="314"/>
      <c r="BH895" s="314"/>
      <c r="BI895" s="314"/>
      <c r="BJ895" s="314"/>
      <c r="BK895" s="314"/>
      <c r="BL895" s="314"/>
      <c r="BM895" s="314"/>
      <c r="BN895" s="314"/>
      <c r="BO895" s="314"/>
      <c r="BP895" s="314"/>
      <c r="BQ895" s="314"/>
      <c r="BR895" s="314"/>
      <c r="BS895" s="314"/>
      <c r="BT895" s="314"/>
      <c r="BU895" s="314"/>
      <c r="BV895" s="314"/>
      <c r="BW895" s="314"/>
      <c r="BX895" s="314"/>
      <c r="BY895" s="314"/>
      <c r="BZ895" s="314"/>
      <c r="CA895" s="314"/>
      <c r="CB895" s="314"/>
      <c r="CC895" s="314"/>
      <c r="CD895" s="314"/>
      <c r="CE895" s="314"/>
      <c r="CF895" s="314"/>
      <c r="CG895" s="314"/>
      <c r="CH895" s="314"/>
      <c r="CI895" s="314"/>
      <c r="CJ895" s="314"/>
      <c r="CK895" s="314"/>
      <c r="CL895" s="314"/>
      <c r="CM895" s="314"/>
      <c r="CN895" s="314"/>
      <c r="CO895" s="314"/>
      <c r="CP895" s="314"/>
      <c r="CQ895" s="464" t="b">
        <f>CQ878</f>
        <v>0</v>
      </c>
    </row>
    <row r="896" spans="1:95" ht="5.15" customHeight="1" x14ac:dyDescent="0.25">
      <c r="A896" s="462"/>
      <c r="B896" s="76"/>
      <c r="C896" s="76"/>
      <c r="D896" s="76"/>
      <c r="E896" s="76"/>
      <c r="F896" s="76"/>
      <c r="G896" s="76"/>
      <c r="H896" s="76"/>
      <c r="I896" s="76"/>
      <c r="J896" s="76"/>
      <c r="K896" s="76"/>
      <c r="L896" s="76"/>
      <c r="M896" s="76"/>
      <c r="N896" s="76"/>
      <c r="O896" s="160"/>
      <c r="P896" s="109"/>
      <c r="Q896" s="312"/>
      <c r="R896" s="312"/>
      <c r="S896" s="314"/>
      <c r="T896" s="314"/>
      <c r="U896" s="314"/>
      <c r="V896" s="314"/>
      <c r="W896" s="314"/>
      <c r="X896" s="314"/>
      <c r="Y896" s="314"/>
      <c r="Z896" s="314"/>
      <c r="AA896" s="314"/>
      <c r="AB896" s="314"/>
      <c r="AC896" s="314"/>
      <c r="AD896" s="314"/>
      <c r="AE896" s="314"/>
      <c r="AF896" s="314"/>
      <c r="AG896" s="314"/>
      <c r="AH896" s="314"/>
      <c r="AI896" s="314"/>
      <c r="AJ896" s="314"/>
      <c r="AK896" s="314"/>
      <c r="AL896" s="314"/>
      <c r="AM896" s="314"/>
      <c r="AN896" s="314"/>
      <c r="AO896" s="314"/>
      <c r="AP896" s="314"/>
      <c r="AQ896" s="314"/>
      <c r="AR896" s="314"/>
      <c r="AS896" s="314"/>
      <c r="AT896" s="314"/>
      <c r="AU896" s="314"/>
      <c r="AV896" s="314"/>
      <c r="AW896" s="314"/>
      <c r="AX896" s="314"/>
      <c r="AY896" s="314"/>
      <c r="AZ896" s="314"/>
      <c r="BA896" s="314"/>
      <c r="BB896" s="314"/>
      <c r="BC896" s="314"/>
      <c r="BD896" s="314"/>
      <c r="BE896" s="314"/>
      <c r="BF896" s="314"/>
      <c r="BG896" s="314"/>
      <c r="BH896" s="314"/>
      <c r="BI896" s="314"/>
      <c r="BJ896" s="314"/>
      <c r="BK896" s="314"/>
      <c r="BL896" s="314"/>
      <c r="BM896" s="314"/>
      <c r="BN896" s="314"/>
      <c r="BO896" s="314"/>
      <c r="BP896" s="314"/>
      <c r="BQ896" s="314"/>
      <c r="BR896" s="314"/>
      <c r="BS896" s="314"/>
      <c r="BT896" s="314"/>
      <c r="BU896" s="314"/>
      <c r="BV896" s="314"/>
      <c r="BW896" s="314"/>
      <c r="BX896" s="314"/>
      <c r="BY896" s="314"/>
      <c r="BZ896" s="314"/>
      <c r="CA896" s="314"/>
      <c r="CB896" s="314"/>
      <c r="CC896" s="314"/>
      <c r="CD896" s="314"/>
      <c r="CE896" s="314"/>
      <c r="CF896" s="314"/>
      <c r="CG896" s="314"/>
      <c r="CH896" s="314"/>
      <c r="CI896" s="314"/>
      <c r="CJ896" s="314"/>
      <c r="CK896" s="314"/>
      <c r="CL896" s="314"/>
      <c r="CM896" s="314"/>
      <c r="CN896" s="314"/>
      <c r="CO896" s="314"/>
      <c r="CP896" s="314"/>
      <c r="CQ896" s="314"/>
    </row>
    <row r="897" spans="1:95" ht="12.75" customHeight="1" x14ac:dyDescent="0.25">
      <c r="A897" s="462"/>
      <c r="B897" s="76"/>
      <c r="C897" s="76"/>
      <c r="D897" s="115"/>
      <c r="E897" s="85"/>
      <c r="F897" s="466" t="str">
        <f>Translations!$B$304</f>
        <v>Comments:</v>
      </c>
      <c r="G897" s="1250"/>
      <c r="H897" s="1251"/>
      <c r="I897" s="1251"/>
      <c r="J897" s="1251"/>
      <c r="K897" s="1251"/>
      <c r="L897" s="1251"/>
      <c r="M897" s="1251"/>
      <c r="N897" s="1252"/>
      <c r="O897" s="160"/>
      <c r="P897" s="109"/>
      <c r="Q897" s="312"/>
      <c r="R897" s="312"/>
      <c r="S897" s="314"/>
      <c r="T897" s="314"/>
      <c r="U897" s="314"/>
      <c r="V897" s="314"/>
      <c r="W897" s="314"/>
      <c r="X897" s="314"/>
      <c r="Y897" s="314"/>
      <c r="Z897" s="314"/>
      <c r="AA897" s="314"/>
      <c r="AB897" s="314"/>
      <c r="AC897" s="314"/>
      <c r="AD897" s="314"/>
      <c r="AE897" s="314"/>
      <c r="AF897" s="314"/>
      <c r="AG897" s="314"/>
      <c r="AH897" s="314"/>
      <c r="AI897" s="314"/>
      <c r="AJ897" s="314"/>
      <c r="AK897" s="314"/>
      <c r="AL897" s="314"/>
      <c r="AM897" s="314"/>
      <c r="AN897" s="314"/>
      <c r="AO897" s="314"/>
      <c r="AP897" s="314"/>
      <c r="AQ897" s="314"/>
      <c r="AR897" s="314"/>
      <c r="AS897" s="314"/>
      <c r="AT897" s="314"/>
      <c r="AU897" s="314"/>
      <c r="AV897" s="314"/>
      <c r="AW897" s="314"/>
      <c r="AX897" s="314"/>
      <c r="AY897" s="314"/>
      <c r="AZ897" s="314"/>
      <c r="BA897" s="314"/>
      <c r="BB897" s="314"/>
      <c r="BC897" s="314"/>
      <c r="BD897" s="314"/>
      <c r="BE897" s="314"/>
      <c r="BF897" s="314"/>
      <c r="BG897" s="314"/>
      <c r="BH897" s="314"/>
      <c r="BI897" s="314"/>
      <c r="BJ897" s="314"/>
      <c r="BK897" s="314"/>
      <c r="BL897" s="314"/>
      <c r="BM897" s="314"/>
      <c r="BN897" s="314"/>
      <c r="BO897" s="314"/>
      <c r="BP897" s="314"/>
      <c r="BQ897" s="314"/>
      <c r="BR897" s="314"/>
      <c r="BS897" s="314"/>
      <c r="BT897" s="314"/>
      <c r="BU897" s="314"/>
      <c r="BV897" s="314"/>
      <c r="BW897" s="314"/>
      <c r="BX897" s="314"/>
      <c r="BY897" s="314"/>
      <c r="BZ897" s="314"/>
      <c r="CA897" s="314"/>
      <c r="CB897" s="314"/>
      <c r="CC897" s="314"/>
      <c r="CD897" s="314"/>
      <c r="CE897" s="314"/>
      <c r="CF897" s="314"/>
      <c r="CG897" s="314"/>
      <c r="CH897" s="314"/>
      <c r="CI897" s="314"/>
      <c r="CJ897" s="314"/>
      <c r="CK897" s="314"/>
      <c r="CL897" s="314"/>
      <c r="CM897" s="314"/>
      <c r="CN897" s="314"/>
      <c r="CO897" s="314"/>
      <c r="CP897" s="314"/>
      <c r="CQ897" s="464" t="b">
        <f>CQ895</f>
        <v>0</v>
      </c>
    </row>
    <row r="898" spans="1:95" ht="12.75" customHeight="1" thickBot="1" x14ac:dyDescent="0.3">
      <c r="A898" s="307"/>
      <c r="B898" s="76"/>
      <c r="C898" s="308"/>
      <c r="D898" s="309"/>
      <c r="E898" s="310"/>
      <c r="F898" s="308"/>
      <c r="G898" s="311"/>
      <c r="H898" s="311"/>
      <c r="I898" s="311"/>
      <c r="J898" s="311"/>
      <c r="K898" s="311"/>
      <c r="L898" s="311"/>
      <c r="M898" s="311"/>
      <c r="N898" s="311"/>
      <c r="O898" s="160"/>
      <c r="P898" s="109"/>
      <c r="Q898" s="312"/>
      <c r="R898" s="312"/>
      <c r="S898" s="293"/>
      <c r="T898" s="293"/>
      <c r="U898" s="313"/>
      <c r="V898" s="293"/>
      <c r="W898" s="293"/>
      <c r="X898" s="313"/>
      <c r="Y898" s="293"/>
      <c r="Z898" s="293"/>
      <c r="AA898" s="293"/>
      <c r="AB898" s="293"/>
      <c r="AC898" s="293"/>
      <c r="AD898" s="293"/>
      <c r="AE898" s="293"/>
      <c r="AF898" s="293"/>
      <c r="AG898" s="293"/>
      <c r="AH898" s="293"/>
      <c r="AI898" s="293"/>
      <c r="AJ898" s="293"/>
      <c r="AK898" s="293"/>
      <c r="AL898" s="293"/>
      <c r="AM898" s="293"/>
      <c r="AN898" s="293"/>
      <c r="AO898" s="293"/>
      <c r="AP898" s="293"/>
      <c r="AQ898" s="293"/>
      <c r="AR898" s="293"/>
      <c r="AS898" s="293"/>
      <c r="AT898" s="293"/>
      <c r="AU898" s="293"/>
      <c r="AV898" s="293"/>
      <c r="AW898" s="293"/>
      <c r="AX898" s="293"/>
      <c r="AY898" s="293"/>
      <c r="AZ898" s="293"/>
      <c r="BA898" s="293"/>
      <c r="BB898" s="293"/>
      <c r="BC898" s="293"/>
      <c r="BD898" s="293"/>
      <c r="BE898" s="293"/>
      <c r="BF898" s="293"/>
      <c r="BG898" s="293"/>
      <c r="BH898" s="293"/>
      <c r="BI898" s="293"/>
      <c r="BJ898" s="293"/>
      <c r="BK898" s="293"/>
      <c r="BL898" s="293"/>
      <c r="BM898" s="314"/>
      <c r="BN898" s="314"/>
      <c r="BO898" s="314"/>
      <c r="BP898" s="314"/>
      <c r="BQ898" s="314"/>
      <c r="BR898" s="314"/>
      <c r="BS898" s="314"/>
      <c r="BT898" s="314"/>
      <c r="BU898" s="293"/>
      <c r="BV898" s="293"/>
      <c r="BW898" s="293"/>
      <c r="BX898" s="293"/>
      <c r="BY898" s="293"/>
      <c r="BZ898" s="293"/>
      <c r="CA898" s="293"/>
      <c r="CB898" s="293"/>
      <c r="CC898" s="293"/>
      <c r="CD898" s="293"/>
      <c r="CE898" s="293"/>
      <c r="CF898" s="293"/>
      <c r="CG898" s="293"/>
      <c r="CH898" s="293"/>
      <c r="CI898" s="293"/>
      <c r="CJ898" s="293"/>
      <c r="CK898" s="293"/>
      <c r="CL898" s="293"/>
      <c r="CM898" s="293"/>
      <c r="CN898" s="293"/>
      <c r="CO898" s="293"/>
      <c r="CP898" s="293"/>
      <c r="CQ898" s="293"/>
    </row>
    <row r="899" spans="1:95" ht="12.75" customHeight="1" thickBot="1" x14ac:dyDescent="0.3">
      <c r="A899" s="315"/>
      <c r="B899" s="76"/>
      <c r="C899" s="76"/>
      <c r="D899" s="205"/>
      <c r="E899" s="316"/>
      <c r="F899" s="76"/>
      <c r="G899" s="96"/>
      <c r="H899" s="96"/>
      <c r="I899" s="96"/>
      <c r="J899" s="96"/>
      <c r="K899" s="76"/>
      <c r="L899" s="96"/>
      <c r="M899" s="96"/>
      <c r="N899" s="96"/>
      <c r="O899" s="160"/>
      <c r="P899" s="109"/>
      <c r="Q899" s="312"/>
      <c r="R899" s="312"/>
      <c r="S899" s="287"/>
      <c r="T899" s="317" t="str">
        <f>IF(ISBLANK(E900),"",MATCH(E900,CNTR_SourceStreamNames,0))</f>
        <v/>
      </c>
      <c r="U899" s="318" t="str">
        <f>IF(ISBLANK(E900),"",INDEX(B_IdentifyFuelStreams!$D$67:$D$116,MATCH(E900,CNTR_SourceStreamNames,0)))</f>
        <v/>
      </c>
      <c r="V899" s="301"/>
      <c r="W899" s="138"/>
      <c r="X899" s="138"/>
      <c r="Y899" s="138"/>
      <c r="Z899" s="293"/>
      <c r="AA899" s="293"/>
      <c r="AB899" s="293"/>
      <c r="AC899" s="293"/>
      <c r="AD899" s="293"/>
      <c r="AE899" s="293"/>
      <c r="AF899" s="293"/>
      <c r="AG899" s="293"/>
      <c r="AH899" s="293"/>
      <c r="AI899" s="293"/>
      <c r="AJ899" s="293"/>
      <c r="AK899" s="312"/>
      <c r="AL899" s="293"/>
      <c r="AM899" s="293"/>
      <c r="AN899" s="293"/>
      <c r="AO899" s="293"/>
      <c r="AP899" s="293"/>
      <c r="AQ899" s="293"/>
      <c r="AR899" s="293"/>
      <c r="AS899" s="293"/>
      <c r="AT899" s="293"/>
      <c r="AU899" s="293"/>
      <c r="AV899" s="293"/>
      <c r="AW899" s="293"/>
      <c r="AX899" s="293"/>
      <c r="AY899" s="293"/>
      <c r="AZ899" s="293"/>
      <c r="BA899" s="293"/>
      <c r="BB899" s="293"/>
      <c r="BC899" s="293"/>
      <c r="BD899" s="293"/>
      <c r="BE899" s="293"/>
      <c r="BF899" s="293"/>
      <c r="BG899" s="293"/>
      <c r="BH899" s="293"/>
      <c r="BI899" s="293"/>
      <c r="BJ899" s="138"/>
      <c r="BK899" s="138"/>
      <c r="BL899" s="138"/>
      <c r="BM899" s="138"/>
      <c r="BN899" s="138"/>
      <c r="BO899" s="138"/>
      <c r="BP899" s="138"/>
      <c r="BQ899" s="138"/>
      <c r="BR899" s="138"/>
      <c r="BS899" s="138"/>
      <c r="BT899" s="138"/>
      <c r="BU899" s="138"/>
      <c r="BV899" s="138"/>
      <c r="BW899" s="138"/>
      <c r="BX899" s="138"/>
      <c r="BY899" s="138"/>
      <c r="BZ899" s="138"/>
      <c r="CA899" s="138"/>
      <c r="CB899" s="138"/>
      <c r="CC899" s="138"/>
      <c r="CD899" s="138"/>
      <c r="CE899" s="138"/>
      <c r="CF899" s="138"/>
      <c r="CG899" s="138"/>
      <c r="CH899" s="138"/>
      <c r="CI899" s="138"/>
      <c r="CJ899" s="138"/>
      <c r="CK899" s="138"/>
      <c r="CL899" s="138"/>
      <c r="CM899" s="138"/>
      <c r="CN899" s="138"/>
      <c r="CO899" s="138"/>
      <c r="CP899" s="138"/>
      <c r="CQ899" s="319" t="s">
        <v>107</v>
      </c>
    </row>
    <row r="900" spans="1:95" ht="15" customHeight="1" thickBot="1" x14ac:dyDescent="0.3">
      <c r="A900" s="320">
        <f>C900</f>
        <v>31</v>
      </c>
      <c r="B900" s="68"/>
      <c r="C900" s="321">
        <f>C872+1</f>
        <v>31</v>
      </c>
      <c r="D900" s="68"/>
      <c r="E900" s="1269"/>
      <c r="F900" s="1270"/>
      <c r="G900" s="1270"/>
      <c r="H900" s="1270"/>
      <c r="I900" s="1270"/>
      <c r="J900" s="1271"/>
      <c r="K900" s="1272" t="str">
        <f>IF(INDEX(B_IdentifyFuelStreams!$K$125:$K$174,MATCH(U899,B_IdentifyFuelStreams!$D$125:$D$174,0))&gt;0,INDEX(B_IdentifyFuelStreams!$K$125:$K$174,MATCH(U899,B_IdentifyFuelStreams!$D$125:$D$174,0)),"")</f>
        <v/>
      </c>
      <c r="L900" s="1273"/>
      <c r="M900" s="316" t="str">
        <f>Translations!$B$621</f>
        <v>Emissions:</v>
      </c>
      <c r="N900" s="322" t="str">
        <f>IF(E901="","",BG906)</f>
        <v/>
      </c>
      <c r="O900" s="323" t="str">
        <f>EUconst_tCO2</f>
        <v>tCO2</v>
      </c>
      <c r="P900" s="324" t="str">
        <f>IF(AND(E900&lt;&gt;"",COUNTIF(P901:$P$1649,"PRINT")=0),"PRINT","")</f>
        <v/>
      </c>
      <c r="Q900" s="325" t="str">
        <f>EUconst_SumCO2</f>
        <v>SUM_CO2</v>
      </c>
      <c r="R900" s="312"/>
      <c r="S900" s="287"/>
      <c r="T900" s="287"/>
      <c r="U900" s="287"/>
      <c r="V900" s="301"/>
      <c r="W900" s="138"/>
      <c r="X900" s="293"/>
      <c r="Y900" s="293"/>
      <c r="Z900" s="293"/>
      <c r="AA900" s="293"/>
      <c r="AB900" s="293"/>
      <c r="AC900" s="293"/>
      <c r="AD900" s="293"/>
      <c r="AE900" s="293"/>
      <c r="AF900" s="293"/>
      <c r="AG900" s="293"/>
      <c r="AH900" s="293"/>
      <c r="AI900" s="326"/>
      <c r="AJ900" s="326"/>
      <c r="AK900" s="326"/>
      <c r="AL900" s="326"/>
      <c r="AM900" s="326"/>
      <c r="AN900" s="326"/>
      <c r="AO900" s="326"/>
      <c r="AP900" s="326"/>
      <c r="AQ900" s="326"/>
      <c r="AR900" s="326"/>
      <c r="AS900" s="326"/>
      <c r="AT900" s="326"/>
      <c r="AU900" s="326"/>
      <c r="AV900" s="326"/>
      <c r="AW900" s="326"/>
      <c r="AX900" s="326"/>
      <c r="AY900" s="326"/>
      <c r="AZ900" s="326"/>
      <c r="BA900" s="326"/>
      <c r="BB900" s="326"/>
      <c r="BC900" s="326"/>
      <c r="BD900" s="326"/>
      <c r="BE900" s="326"/>
      <c r="BF900" s="326"/>
      <c r="BG900" s="326"/>
      <c r="BH900" s="326"/>
      <c r="BI900" s="327" t="str">
        <f>IF(E900="","",E900)</f>
        <v/>
      </c>
      <c r="BJ900" s="328" t="str">
        <f>IF(F906="","",F906)</f>
        <v/>
      </c>
      <c r="BK900" s="329">
        <f>AV906</f>
        <v>0</v>
      </c>
      <c r="BL900" s="329">
        <f>IF(BK900="","",BK900*(1-BP900))</f>
        <v>0</v>
      </c>
      <c r="BM900" s="328" t="str">
        <f>AJ906</f>
        <v/>
      </c>
      <c r="BN900" s="328" t="str">
        <f>IF(F917="","",F917)</f>
        <v/>
      </c>
      <c r="BO900" s="327" t="str">
        <f>IF(G917="","",G917)</f>
        <v/>
      </c>
      <c r="BP900" s="330">
        <f>AV917</f>
        <v>0</v>
      </c>
      <c r="BQ900" s="328" t="str">
        <f>IF(F909="","",F909)</f>
        <v/>
      </c>
      <c r="BR900" s="330">
        <f>AV909</f>
        <v>0</v>
      </c>
      <c r="BS900" s="330" t="str">
        <f>AJ909</f>
        <v/>
      </c>
      <c r="BT900" s="328" t="str">
        <f>IF(F908="","",F908)</f>
        <v/>
      </c>
      <c r="BU900" s="330">
        <f>IF(F908=EUconst_NA,"",AV908)</f>
        <v>0</v>
      </c>
      <c r="BV900" s="330" t="str">
        <f>AJ908</f>
        <v/>
      </c>
      <c r="BW900" s="328" t="str">
        <f>IF(F910="","",F910)</f>
        <v/>
      </c>
      <c r="BX900" s="330">
        <f>AV910</f>
        <v>0</v>
      </c>
      <c r="BY900" s="328" t="str">
        <f>IF(F911="","",F911)</f>
        <v/>
      </c>
      <c r="BZ900" s="330">
        <f>AV911</f>
        <v>0</v>
      </c>
      <c r="CA900" s="330">
        <f>AV912</f>
        <v>0</v>
      </c>
      <c r="CB900" s="330">
        <f>AV913</f>
        <v>0</v>
      </c>
      <c r="CC900" s="330">
        <f>AV914</f>
        <v>0</v>
      </c>
      <c r="CD900" s="330">
        <f>AV915</f>
        <v>0</v>
      </c>
      <c r="CE900" s="329" t="str">
        <f>BG906</f>
        <v/>
      </c>
      <c r="CF900" s="329" t="str">
        <f>BG908</f>
        <v/>
      </c>
      <c r="CG900" s="329" t="str">
        <f>BG909</f>
        <v/>
      </c>
      <c r="CH900" s="329" t="str">
        <f>BG910</f>
        <v/>
      </c>
      <c r="CI900" s="329" t="str">
        <f>BG911</f>
        <v/>
      </c>
      <c r="CJ900" s="329" t="str">
        <f>BG912</f>
        <v/>
      </c>
      <c r="CK900" s="329" t="str">
        <f>BG913</f>
        <v/>
      </c>
      <c r="CL900" s="329">
        <f>BG914</f>
        <v>0</v>
      </c>
      <c r="CM900" s="329" t="str">
        <f>BG915</f>
        <v/>
      </c>
      <c r="CN900" s="329" t="str">
        <f>BG917</f>
        <v/>
      </c>
      <c r="CO900" s="329" t="str">
        <f>BG921</f>
        <v/>
      </c>
      <c r="CP900" s="329" t="str">
        <f>IF(COUNTIF(AO909:AO910,TRUE)=0,"",BH906)</f>
        <v/>
      </c>
      <c r="CQ900" s="331" t="b">
        <v>0</v>
      </c>
    </row>
    <row r="901" spans="1:95" ht="15" customHeight="1" thickBot="1" x14ac:dyDescent="0.3">
      <c r="A901" s="307"/>
      <c r="B901" s="68"/>
      <c r="C901" s="68"/>
      <c r="D901" s="68"/>
      <c r="E901" s="1274" t="str">
        <f>IF(ISBLANK(E900),"",IF(INDEX(B_IdentifyFuelStreams!$E$67:$E$116,MATCH(U899,B_IdentifyFuelStreams!$D$67:$D$116,0))&gt;0,INDEX(B_IdentifyFuelStreams!$E$67:$E$116,MATCH(U899,B_IdentifyFuelStreams!$D$67:$D$116,0)),""))</f>
        <v/>
      </c>
      <c r="F901" s="1275"/>
      <c r="G901" s="1275"/>
      <c r="H901" s="1275"/>
      <c r="I901" s="1275"/>
      <c r="J901" s="1276"/>
      <c r="K901" s="1272" t="str">
        <f>IF(INDEX(B_IdentifyFuelStreams!$M$125:$M$174,MATCH(U899,B_IdentifyFuelStreams!$D$125:$D$174,0))&gt;0,INDEX(B_IdentifyFuelStreams!$M$125:$M$174,MATCH(U899,B_IdentifyFuelStreams!$D$125:$D$174,0)),"")</f>
        <v/>
      </c>
      <c r="L901" s="1273"/>
      <c r="M901" s="332" t="str">
        <f>Translations!$B$622</f>
        <v>zero-rated:</v>
      </c>
      <c r="N901" s="333" t="str">
        <f>IF(E901="","",SUM(BG908,BG910,BG912))</f>
        <v/>
      </c>
      <c r="O901" s="334" t="str">
        <f>EUconst_tCO2</f>
        <v>tCO2</v>
      </c>
      <c r="P901" s="109"/>
      <c r="Q901" s="325" t="str">
        <f>EUconst_SumBioCO2</f>
        <v>SUM_bioCO2</v>
      </c>
      <c r="R901" s="312"/>
      <c r="S901" s="287"/>
      <c r="T901" s="287"/>
      <c r="U901" s="287"/>
      <c r="V901" s="301"/>
      <c r="W901" s="138"/>
      <c r="X901" s="293"/>
      <c r="Y901" s="317" t="str">
        <f>Translations!$B$143</f>
        <v>Tiers</v>
      </c>
      <c r="Z901" s="314"/>
      <c r="AA901" s="314"/>
      <c r="AB901" s="314"/>
      <c r="AC901" s="314"/>
      <c r="AD901" s="314"/>
      <c r="AE901" s="317" t="s">
        <v>108</v>
      </c>
      <c r="AF901" s="293"/>
      <c r="AG901" s="335"/>
      <c r="AH901" s="314"/>
      <c r="AI901" s="314"/>
      <c r="AJ901" s="335"/>
      <c r="AK901" s="335"/>
      <c r="AL901" s="326"/>
      <c r="AM901" s="326"/>
      <c r="AN901" s="326"/>
      <c r="AO901" s="326"/>
      <c r="AP901" s="326"/>
      <c r="AQ901" s="317" t="s">
        <v>109</v>
      </c>
      <c r="AR901" s="336"/>
      <c r="AS901" s="336"/>
      <c r="AT901" s="314"/>
      <c r="AU901" s="314"/>
      <c r="AV901" s="314"/>
      <c r="AW901" s="314"/>
      <c r="AX901" s="314"/>
      <c r="AY901" s="314"/>
      <c r="AZ901" s="317" t="s">
        <v>110</v>
      </c>
      <c r="BA901" s="314"/>
      <c r="BB901" s="314"/>
      <c r="BC901" s="314"/>
      <c r="BD901" s="314"/>
      <c r="BE901" s="314"/>
      <c r="BF901" s="317" t="s">
        <v>111</v>
      </c>
      <c r="BG901" s="314"/>
      <c r="BH901" s="314"/>
      <c r="BI901" s="317" t="s">
        <v>112</v>
      </c>
      <c r="BJ901" s="328" t="str">
        <f>Translations!$B$376</f>
        <v>RFA Tier</v>
      </c>
      <c r="BK901" s="328" t="str">
        <f>Translations!$B$377</f>
        <v>RFA</v>
      </c>
      <c r="BL901" s="328" t="str">
        <f>Translations!$B$378</f>
        <v>RFA (in scope)</v>
      </c>
      <c r="BM901" s="328" t="str">
        <f>Translations!$B$379</f>
        <v>RFA Unit</v>
      </c>
      <c r="BN901" s="328" t="str">
        <f>Translations!$B$380</f>
        <v>SF Tier</v>
      </c>
      <c r="BO901" s="328" t="str">
        <f>Translations!$B$380</f>
        <v>SF Tier</v>
      </c>
      <c r="BP901" s="328" t="str">
        <f>Translations!$B$381</f>
        <v>SF</v>
      </c>
      <c r="BQ901" s="328" t="str">
        <f>Translations!$B$382</f>
        <v>EF Tier</v>
      </c>
      <c r="BR901" s="328" t="str">
        <f>Translations!$B$383</f>
        <v>EF</v>
      </c>
      <c r="BS901" s="328" t="str">
        <f>Translations!$B$384</f>
        <v>EF Unit</v>
      </c>
      <c r="BT901" s="328" t="str">
        <f>Translations!$B$385</f>
        <v>UCF Tier</v>
      </c>
      <c r="BU901" s="328" t="str">
        <f>Translations!$B$386</f>
        <v>UCF</v>
      </c>
      <c r="BV901" s="328" t="str">
        <f>Translations!$B$387</f>
        <v>UCF Unit</v>
      </c>
      <c r="BW901" s="328" t="str">
        <f>Translations!$B$388</f>
        <v>Bio Tier</v>
      </c>
      <c r="BX901" s="328" t="s">
        <v>113</v>
      </c>
      <c r="BY901" s="328" t="str">
        <f>Translations!$B$389</f>
        <v>NonSustBio Tier</v>
      </c>
      <c r="BZ901" s="328" t="s">
        <v>114</v>
      </c>
      <c r="CA901" s="328" t="s">
        <v>115</v>
      </c>
      <c r="CB901" s="328" t="s">
        <v>116</v>
      </c>
      <c r="CC901" s="328" t="s">
        <v>117</v>
      </c>
      <c r="CD901" s="328" t="s">
        <v>118</v>
      </c>
      <c r="CE901" s="328" t="s">
        <v>119</v>
      </c>
      <c r="CF901" s="328" t="s">
        <v>120</v>
      </c>
      <c r="CG901" s="328" t="str">
        <f>Translations!$B$392</f>
        <v>CO2 non-sust</v>
      </c>
      <c r="CH901" s="328" t="s">
        <v>121</v>
      </c>
      <c r="CI901" s="328" t="s">
        <v>122</v>
      </c>
      <c r="CJ901" s="328" t="s">
        <v>123</v>
      </c>
      <c r="CK901" s="328" t="s">
        <v>124</v>
      </c>
      <c r="CL901" s="328" t="s">
        <v>125</v>
      </c>
      <c r="CM901" s="328" t="str">
        <f>Translations!$B$551</f>
        <v>Energy content (bio), TJ</v>
      </c>
      <c r="CN901" s="328" t="s">
        <v>126</v>
      </c>
      <c r="CO901" s="328" t="s">
        <v>127</v>
      </c>
      <c r="CP901" s="328" t="s">
        <v>128</v>
      </c>
      <c r="CQ901" s="314"/>
    </row>
    <row r="902" spans="1:95" ht="5.15" customHeight="1" thickBot="1" x14ac:dyDescent="0.3">
      <c r="A902" s="307"/>
      <c r="B902" s="68"/>
      <c r="C902" s="68"/>
      <c r="D902" s="68"/>
      <c r="E902" s="68"/>
      <c r="F902" s="68"/>
      <c r="G902" s="68"/>
      <c r="H902" s="76"/>
      <c r="I902" s="76"/>
      <c r="J902" s="76"/>
      <c r="K902" s="76"/>
      <c r="L902" s="76"/>
      <c r="M902" s="76"/>
      <c r="N902" s="76"/>
      <c r="O902" s="160"/>
      <c r="P902" s="109"/>
      <c r="Q902" s="312"/>
      <c r="R902" s="312"/>
      <c r="S902" s="287"/>
      <c r="T902" s="287"/>
      <c r="U902" s="287"/>
      <c r="V902" s="301"/>
      <c r="W902" s="314"/>
      <c r="X902" s="314"/>
      <c r="Y902" s="312"/>
      <c r="Z902" s="314"/>
      <c r="AA902" s="314"/>
      <c r="AB902" s="314"/>
      <c r="AC902" s="314"/>
      <c r="AD902" s="314"/>
      <c r="AE902" s="314"/>
      <c r="AF902" s="293"/>
      <c r="AG902" s="314"/>
      <c r="AH902" s="314"/>
      <c r="AI902" s="314"/>
      <c r="AJ902" s="335"/>
      <c r="AK902" s="335"/>
      <c r="AL902" s="326"/>
      <c r="AM902" s="326"/>
      <c r="AN902" s="326"/>
      <c r="AO902" s="326"/>
      <c r="AP902" s="326"/>
      <c r="AQ902" s="314"/>
      <c r="AR902" s="314"/>
      <c r="AS902" s="314"/>
      <c r="AT902" s="314"/>
      <c r="AU902" s="314"/>
      <c r="AV902" s="314"/>
      <c r="AW902" s="314"/>
      <c r="AX902" s="314"/>
      <c r="AY902" s="314"/>
      <c r="AZ902" s="314"/>
      <c r="BA902" s="314"/>
      <c r="BB902" s="314"/>
      <c r="BC902" s="314"/>
      <c r="BD902" s="314"/>
      <c r="BE902" s="314"/>
      <c r="BF902" s="314"/>
      <c r="BG902" s="314"/>
      <c r="BH902" s="314"/>
      <c r="BI902" s="314"/>
      <c r="BJ902" s="314"/>
      <c r="BK902" s="314"/>
      <c r="BL902" s="314"/>
      <c r="BM902" s="314"/>
      <c r="BN902" s="314"/>
      <c r="BO902" s="314"/>
      <c r="BP902" s="314"/>
      <c r="BQ902" s="314"/>
      <c r="BR902" s="314"/>
      <c r="BS902" s="314"/>
      <c r="BT902" s="314"/>
      <c r="BU902" s="314"/>
      <c r="BV902" s="314"/>
      <c r="BW902" s="314"/>
      <c r="BX902" s="314"/>
      <c r="BY902" s="314"/>
      <c r="BZ902" s="314"/>
      <c r="CA902" s="314"/>
      <c r="CB902" s="314"/>
      <c r="CC902" s="314"/>
      <c r="CD902" s="314"/>
      <c r="CE902" s="314"/>
      <c r="CF902" s="314"/>
      <c r="CG902" s="314"/>
      <c r="CH902" s="314"/>
      <c r="CI902" s="314"/>
      <c r="CJ902" s="314"/>
      <c r="CK902" s="314"/>
      <c r="CL902" s="314"/>
      <c r="CM902" s="314"/>
      <c r="CN902" s="314"/>
      <c r="CO902" s="314"/>
      <c r="CP902" s="314"/>
      <c r="CQ902" s="314"/>
    </row>
    <row r="903" spans="1:95" ht="12.75" customHeight="1" thickBot="1" x14ac:dyDescent="0.3">
      <c r="A903" s="307"/>
      <c r="B903" s="68"/>
      <c r="C903" s="68"/>
      <c r="D903" s="68"/>
      <c r="E903" s="1253" t="str">
        <f>IF(E900="","",HYPERLINK("#JUMP_E_Top",EUconst_FurtherGuidancePoint1))</f>
        <v/>
      </c>
      <c r="F903" s="1253"/>
      <c r="G903" s="1253"/>
      <c r="H903" s="1253"/>
      <c r="I903" s="1253"/>
      <c r="J903" s="1253"/>
      <c r="K903" s="1253"/>
      <c r="L903" s="1253"/>
      <c r="M903" s="1253"/>
      <c r="N903" s="76"/>
      <c r="O903" s="160"/>
      <c r="P903" s="109"/>
      <c r="Q903" s="325" t="str">
        <f>EUconst_SumNonSustBioCO2</f>
        <v>SUM_bioNonSustCO2</v>
      </c>
      <c r="R903" s="337" t="str">
        <f>IF(E901="","",BG909)</f>
        <v/>
      </c>
      <c r="S903" s="287"/>
      <c r="T903" s="287"/>
      <c r="U903" s="287"/>
      <c r="V903" s="314"/>
      <c r="W903" s="314"/>
      <c r="X903" s="314"/>
      <c r="Y903" s="293"/>
      <c r="Z903" s="314"/>
      <c r="AA903" s="314"/>
      <c r="AB903" s="314"/>
      <c r="AC903" s="314"/>
      <c r="AD903" s="314"/>
      <c r="AE903" s="314"/>
      <c r="AF903" s="293"/>
      <c r="AG903" s="314"/>
      <c r="AH903" s="314"/>
      <c r="AI903" s="314"/>
      <c r="AJ903" s="335"/>
      <c r="AK903" s="335"/>
      <c r="AL903" s="326"/>
      <c r="AM903" s="326"/>
      <c r="AN903" s="326"/>
      <c r="AO903" s="326"/>
      <c r="AP903" s="326"/>
      <c r="AQ903" s="314"/>
      <c r="AR903" s="314"/>
      <c r="AS903" s="314"/>
      <c r="AT903" s="314"/>
      <c r="AU903" s="314"/>
      <c r="AV903" s="314"/>
      <c r="AW903" s="314"/>
      <c r="AX903" s="314"/>
      <c r="AY903" s="314"/>
      <c r="AZ903" s="314"/>
      <c r="BA903" s="314"/>
      <c r="BB903" s="314"/>
      <c r="BC903" s="314"/>
      <c r="BD903" s="314"/>
      <c r="BE903" s="314"/>
      <c r="BF903" s="314"/>
      <c r="BG903" s="314"/>
      <c r="BH903" s="314"/>
      <c r="BI903" s="317" t="s">
        <v>129</v>
      </c>
      <c r="BJ903" s="336"/>
      <c r="BK903" s="327" t="str">
        <f>IF(G921="","",G921)</f>
        <v/>
      </c>
      <c r="BL903" s="327" t="str">
        <f>IF(I921="","",I921)</f>
        <v/>
      </c>
      <c r="BM903" s="327" t="str">
        <f>IF(K921="","",K921)</f>
        <v/>
      </c>
      <c r="BN903" s="314"/>
      <c r="BO903" s="314"/>
      <c r="BP903" s="314"/>
      <c r="BQ903" s="314"/>
      <c r="BR903" s="314"/>
      <c r="BS903" s="314"/>
      <c r="BT903" s="319"/>
      <c r="BU903" s="314"/>
      <c r="BV903" s="314"/>
      <c r="BW903" s="314"/>
      <c r="BX903" s="314"/>
      <c r="BY903" s="314"/>
      <c r="BZ903" s="314"/>
      <c r="CA903" s="314"/>
      <c r="CB903" s="314"/>
      <c r="CC903" s="314"/>
      <c r="CD903" s="314"/>
      <c r="CE903" s="314"/>
      <c r="CF903" s="314"/>
      <c r="CG903" s="314"/>
      <c r="CH903" s="314"/>
      <c r="CI903" s="314"/>
      <c r="CJ903" s="314"/>
      <c r="CK903" s="314"/>
      <c r="CL903" s="314"/>
      <c r="CM903" s="314"/>
      <c r="CN903" s="314"/>
      <c r="CO903" s="314"/>
      <c r="CP903" s="314"/>
      <c r="CQ903" s="314"/>
    </row>
    <row r="904" spans="1:95" ht="5.15" customHeight="1" thickBot="1" x14ac:dyDescent="0.3">
      <c r="A904" s="307"/>
      <c r="B904" s="68"/>
      <c r="C904" s="68"/>
      <c r="D904" s="68"/>
      <c r="E904" s="68"/>
      <c r="F904" s="68"/>
      <c r="G904" s="68"/>
      <c r="H904" s="76"/>
      <c r="I904" s="76"/>
      <c r="J904" s="76"/>
      <c r="K904" s="76"/>
      <c r="L904" s="76"/>
      <c r="M904" s="76"/>
      <c r="N904" s="76"/>
      <c r="O904" s="160"/>
      <c r="P904" s="111"/>
      <c r="Q904" s="287"/>
      <c r="R904" s="111"/>
      <c r="S904" s="287"/>
      <c r="T904" s="287"/>
      <c r="U904" s="287"/>
      <c r="V904" s="314"/>
      <c r="W904" s="314"/>
      <c r="X904" s="314"/>
      <c r="Y904" s="312"/>
      <c r="Z904" s="314"/>
      <c r="AA904" s="314"/>
      <c r="AB904" s="314"/>
      <c r="AC904" s="314"/>
      <c r="AD904" s="314"/>
      <c r="AE904" s="314"/>
      <c r="AF904" s="293"/>
      <c r="AG904" s="314"/>
      <c r="AH904" s="314"/>
      <c r="AI904" s="314"/>
      <c r="AJ904" s="335"/>
      <c r="AK904" s="335"/>
      <c r="AL904" s="326"/>
      <c r="AM904" s="326"/>
      <c r="AN904" s="326"/>
      <c r="AO904" s="326"/>
      <c r="AP904" s="326"/>
      <c r="AQ904" s="314"/>
      <c r="AR904" s="314"/>
      <c r="AS904" s="314"/>
      <c r="AT904" s="314"/>
      <c r="AU904" s="314"/>
      <c r="AV904" s="314"/>
      <c r="AW904" s="314"/>
      <c r="AX904" s="314"/>
      <c r="AY904" s="314"/>
      <c r="AZ904" s="314"/>
      <c r="BA904" s="314"/>
      <c r="BB904" s="314"/>
      <c r="BC904" s="314"/>
      <c r="BD904" s="314"/>
      <c r="BE904" s="314"/>
      <c r="BF904" s="314"/>
      <c r="BG904" s="314"/>
      <c r="BH904" s="314"/>
      <c r="BI904" s="314"/>
      <c r="BJ904" s="314"/>
      <c r="BK904" s="314"/>
      <c r="BL904" s="314"/>
      <c r="BM904" s="314"/>
      <c r="BN904" s="314"/>
      <c r="BO904" s="314"/>
      <c r="BP904" s="314"/>
      <c r="BQ904" s="314"/>
      <c r="BR904" s="314"/>
      <c r="BS904" s="314"/>
      <c r="BT904" s="314"/>
      <c r="BU904" s="314"/>
      <c r="BV904" s="314"/>
      <c r="BW904" s="314"/>
      <c r="BX904" s="314"/>
      <c r="BY904" s="314"/>
      <c r="BZ904" s="314"/>
      <c r="CA904" s="314"/>
      <c r="CB904" s="314"/>
      <c r="CC904" s="314"/>
      <c r="CD904" s="314"/>
      <c r="CE904" s="314"/>
      <c r="CF904" s="314"/>
      <c r="CG904" s="314"/>
      <c r="CH904" s="314"/>
      <c r="CI904" s="314"/>
      <c r="CJ904" s="314"/>
      <c r="CK904" s="314"/>
      <c r="CL904" s="314"/>
      <c r="CM904" s="314"/>
      <c r="CN904" s="314"/>
      <c r="CO904" s="314"/>
      <c r="CP904" s="314"/>
      <c r="CQ904" s="314"/>
    </row>
    <row r="905" spans="1:95" ht="12.75" customHeight="1" thickBot="1" x14ac:dyDescent="0.3">
      <c r="A905" s="307"/>
      <c r="B905" s="68"/>
      <c r="C905" s="68"/>
      <c r="D905" s="68"/>
      <c r="E905" s="68"/>
      <c r="F905" s="338" t="str">
        <f>Translations!$B$127</f>
        <v>Tier</v>
      </c>
      <c r="G905" s="1254" t="str">
        <f>Translations!$B$393</f>
        <v>tier description</v>
      </c>
      <c r="H905" s="1254"/>
      <c r="I905" s="1255" t="str">
        <f>Translations!$B$394</f>
        <v>Unit</v>
      </c>
      <c r="J905" s="1255"/>
      <c r="K905" s="1255" t="str">
        <f>Translations!$B$395</f>
        <v>Value</v>
      </c>
      <c r="L905" s="1255"/>
      <c r="M905" s="205" t="str">
        <f>Translations!$B$396</f>
        <v>error</v>
      </c>
      <c r="N905" s="76"/>
      <c r="O905" s="160"/>
      <c r="P905" s="339"/>
      <c r="Q905" s="325" t="str">
        <f>EUconst_SumEnergyIN</f>
        <v>SUM_EnergyIN</v>
      </c>
      <c r="R905" s="340" t="str">
        <f>IF(E901="","",BG914)</f>
        <v/>
      </c>
      <c r="S905" s="314"/>
      <c r="T905" s="314"/>
      <c r="U905" s="314"/>
      <c r="V905" s="341" t="s">
        <v>130</v>
      </c>
      <c r="W905" s="314"/>
      <c r="X905" s="314"/>
      <c r="Y905" s="312" t="s">
        <v>131</v>
      </c>
      <c r="Z905" s="312" t="s">
        <v>132</v>
      </c>
      <c r="AA905" s="314"/>
      <c r="AB905" s="314"/>
      <c r="AC905" s="336" t="s">
        <v>133</v>
      </c>
      <c r="AD905" s="314"/>
      <c r="AE905" s="314"/>
      <c r="AF905" s="314" t="s">
        <v>134</v>
      </c>
      <c r="AG905" s="314" t="s">
        <v>135</v>
      </c>
      <c r="AH905" s="312" t="s">
        <v>136</v>
      </c>
      <c r="AI905" s="335" t="s">
        <v>137</v>
      </c>
      <c r="AJ905" s="335" t="s">
        <v>138</v>
      </c>
      <c r="AK905" s="342" t="s">
        <v>139</v>
      </c>
      <c r="AL905" s="326"/>
      <c r="AM905" s="326"/>
      <c r="AN905" s="326"/>
      <c r="AO905" s="326"/>
      <c r="AP905" s="326"/>
      <c r="AQ905" s="314"/>
      <c r="AR905" s="314" t="s">
        <v>134</v>
      </c>
      <c r="AS905" s="314" t="s">
        <v>135</v>
      </c>
      <c r="AT905" s="343" t="s">
        <v>140</v>
      </c>
      <c r="AU905" s="335" t="s">
        <v>141</v>
      </c>
      <c r="AV905" s="335" t="s">
        <v>142</v>
      </c>
      <c r="AW905" s="342" t="s">
        <v>139</v>
      </c>
      <c r="AX905" s="342" t="s">
        <v>139</v>
      </c>
      <c r="AY905" s="314"/>
      <c r="AZ905" s="314"/>
      <c r="BA905" s="314"/>
      <c r="BB905" s="314" t="s">
        <v>143</v>
      </c>
      <c r="BC905" s="314"/>
      <c r="BD905" s="314"/>
      <c r="BE905" s="314"/>
      <c r="BF905" s="314"/>
      <c r="BG905" s="319" t="s">
        <v>144</v>
      </c>
      <c r="BH905" s="314" t="s">
        <v>145</v>
      </c>
      <c r="BI905" s="314"/>
      <c r="BJ905" s="314"/>
      <c r="BK905" s="314"/>
      <c r="BL905" s="314"/>
      <c r="BM905" s="314"/>
      <c r="BN905" s="314"/>
      <c r="BO905" s="314"/>
      <c r="BP905" s="314"/>
      <c r="BQ905" s="314"/>
      <c r="BR905" s="314"/>
      <c r="BS905" s="314"/>
      <c r="BT905" s="314"/>
      <c r="BU905" s="314"/>
      <c r="BV905" s="314"/>
      <c r="BW905" s="314"/>
      <c r="BX905" s="314"/>
      <c r="BY905" s="314"/>
      <c r="BZ905" s="314"/>
      <c r="CA905" s="314"/>
      <c r="CB905" s="314"/>
      <c r="CC905" s="314"/>
      <c r="CD905" s="314"/>
      <c r="CE905" s="314"/>
      <c r="CF905" s="314"/>
      <c r="CG905" s="314"/>
      <c r="CH905" s="314"/>
      <c r="CI905" s="314"/>
      <c r="CJ905" s="314"/>
      <c r="CK905" s="314"/>
      <c r="CL905" s="314"/>
      <c r="CM905" s="314"/>
      <c r="CN905" s="314"/>
      <c r="CO905" s="314"/>
      <c r="CP905" s="314"/>
      <c r="CQ905" s="319" t="s">
        <v>107</v>
      </c>
    </row>
    <row r="906" spans="1:95" ht="12.75" customHeight="1" thickBot="1" x14ac:dyDescent="0.3">
      <c r="A906" s="307"/>
      <c r="B906" s="68"/>
      <c r="C906" s="199" t="s">
        <v>12</v>
      </c>
      <c r="D906" s="344" t="str">
        <f>Translations!$B$356</f>
        <v>RFA:</v>
      </c>
      <c r="E906" s="345"/>
      <c r="F906" s="6"/>
      <c r="G906" s="1256" t="str">
        <f>IF(OR(ISBLANK(F906),F906=EUconst_NoTier),"",IF(Z906=0,EUconst_NA,IF(ISERROR(Z906),"",Z906)))</f>
        <v/>
      </c>
      <c r="H906" s="1257"/>
      <c r="I906" s="346" t="str">
        <f>IF(J906&lt;&gt;"","",AI906)</f>
        <v/>
      </c>
      <c r="J906" s="7"/>
      <c r="K906" s="1258"/>
      <c r="L906" s="1259"/>
      <c r="M906" s="347" t="str">
        <f>IF(AND(E901&lt;&gt;"",OR(F906="",COUNT(K906)=0),Y906&lt;&gt;EUconst_NA),EUconst_ERR_Incomplete,"")</f>
        <v/>
      </c>
      <c r="N906" s="76"/>
      <c r="O906" s="160"/>
      <c r="P906" s="348"/>
      <c r="Q906" s="325" t="str">
        <f>EUconst_SumBioEnergyIN</f>
        <v>SUM_BioEnergyIN</v>
      </c>
      <c r="R906" s="340" t="str">
        <f>IF(E901="","",BG915)</f>
        <v/>
      </c>
      <c r="S906" s="314"/>
      <c r="T906" s="349" t="str">
        <f>EUconst_CNTR_ActivityData&amp;E901</f>
        <v>ActivityData_</v>
      </c>
      <c r="U906" s="312"/>
      <c r="V906" s="349" t="str">
        <f>IF(E900="","",INDEX(B_IdentifyFuelStreams!$I$67:$I$116,MATCH(U899,B_IdentifyFuelStreams!$D$67:$D$116,0)))</f>
        <v/>
      </c>
      <c r="W906" s="335" t="s">
        <v>146</v>
      </c>
      <c r="X906" s="312"/>
      <c r="Y906" s="350" t="str">
        <f>IF(E901="","",INDEX(EUwideConstants!$P$164:$P$200,MATCH(T906,EUwideConstants!$S$164:$S$200,0)))</f>
        <v/>
      </c>
      <c r="Z906" s="351" t="str">
        <f>IF(ISBLANK(F906),"",IF(F906=EUconst_NA,"",INDEX(EUwideConstants!$H:$O,MATCH(T906,EUwideConstants!$S:$S,0),MATCH(F906,CNTR_TierList,0))))</f>
        <v/>
      </c>
      <c r="AA906" s="352" t="s">
        <v>136</v>
      </c>
      <c r="AB906" s="335"/>
      <c r="AC906" s="331" t="b">
        <f>E900&lt;&gt;""</f>
        <v>0</v>
      </c>
      <c r="AD906" s="314"/>
      <c r="AE906" s="353" t="str">
        <f>EUconst_CNTR_ActivityData&amp;EUconst_Unit</f>
        <v>ActivityData_Unit</v>
      </c>
      <c r="AF906" s="354" t="str">
        <f>IF(AC906=TRUE, IF(COUNTIF(MSPara_SourceStreamCategory,V906)=0,"",INDEX(MSPara_CalcFactorsMatrix,MATCH(V906,MSPara_SourceStreamCategory,0),MATCH(AE906&amp;"_"&amp;2,MSPara_CalcFactors,0))),"")</f>
        <v/>
      </c>
      <c r="AG906" s="355" t="str">
        <f>IF(AC906=TRUE, IF(COUNTIF(MSPara_SourceStreamCategory,V906)=0,"",INDEX(MSPara_CalcFactorsMatrix,MATCH(V906,MSPara_SourceStreamCategory,0),MATCH(AE906&amp;"_"&amp;1,MSPara_CalcFactors,0))),"")</f>
        <v/>
      </c>
      <c r="AH906" s="331" t="str">
        <f>IF(OR(AF906="",AF906=EUconst_NA),IF(OR(AG906=EUconst_NA,AG906=""),"",AG906),AF906)</f>
        <v/>
      </c>
      <c r="AI906" s="350" t="str">
        <f>IF(AC906=TRUE,IF(AH906="",EUconst_t,AH906),"")</f>
        <v/>
      </c>
      <c r="AJ906" s="356" t="str">
        <f>IF(J906="",AI906,J906)</f>
        <v/>
      </c>
      <c r="AK906" s="357" t="b">
        <f>AND(E900&lt;&gt;"",J906&lt;&gt;"")</f>
        <v>0</v>
      </c>
      <c r="AL906" s="326"/>
      <c r="AM906" s="358" t="s">
        <v>147</v>
      </c>
      <c r="AN906" s="359" t="str">
        <f>AJ906</f>
        <v/>
      </c>
      <c r="AO906" s="326"/>
      <c r="AP906" s="326"/>
      <c r="AQ906" s="349" t="str">
        <f>EUconst_CNTR_ActivityData&amp;EUconst_Value</f>
        <v>ActivityData_Value</v>
      </c>
      <c r="AR906" s="336"/>
      <c r="AS906" s="336"/>
      <c r="AT906" s="331" t="b">
        <f>AND(AND(AH906&lt;&gt;"",AJ906&lt;&gt;""),AJ906=AH906)</f>
        <v>0</v>
      </c>
      <c r="AU906" s="314"/>
      <c r="AV906" s="331">
        <f>IF(Y906=EUconst_NA,0,IF(COUNT(K906:K906)=0,0,IF(K906="",#REF!,K906)))</f>
        <v>0</v>
      </c>
      <c r="AW906" s="360" t="b">
        <f>AND(AC906=TRUE,OR(K906&lt;&gt;"",AU906=""))</f>
        <v>0</v>
      </c>
      <c r="AX906" s="360" t="b">
        <f>AND(AC906=TRUE,NOT(AW906))</f>
        <v>0</v>
      </c>
      <c r="AY906" s="314"/>
      <c r="AZ906" s="314" t="s">
        <v>148</v>
      </c>
      <c r="BA906" s="314" t="s">
        <v>149</v>
      </c>
      <c r="BB906" s="360"/>
      <c r="BC906" s="314" t="s">
        <v>150</v>
      </c>
      <c r="BD906" s="314"/>
      <c r="BE906" s="314"/>
      <c r="BF906" s="361" t="s">
        <v>119</v>
      </c>
      <c r="BG906" s="362" t="str">
        <f>IF(COUNTIF(AO909:AO910,TRUE)=0,"",BH906*AV917)</f>
        <v/>
      </c>
      <c r="BH906" s="362" t="str">
        <f>IF(COUNTIF(AO909:AO910,TRUE)=0,"",AV906*IF(AO909,1,AV908*AN910)*AV909-BH908-BH910-BH912)</f>
        <v/>
      </c>
      <c r="BI906" s="314"/>
      <c r="BJ906" s="314"/>
      <c r="BK906" s="314"/>
      <c r="BL906" s="314"/>
      <c r="BM906" s="314"/>
      <c r="BN906" s="314"/>
      <c r="BO906" s="314"/>
      <c r="BP906" s="314"/>
      <c r="BQ906" s="314"/>
      <c r="BR906" s="314"/>
      <c r="BS906" s="314"/>
      <c r="BT906" s="314"/>
      <c r="BU906" s="314"/>
      <c r="BV906" s="314"/>
      <c r="BW906" s="314"/>
      <c r="BX906" s="314"/>
      <c r="BY906" s="314"/>
      <c r="BZ906" s="314"/>
      <c r="CA906" s="314"/>
      <c r="CB906" s="314"/>
      <c r="CC906" s="314"/>
      <c r="CD906" s="314"/>
      <c r="CE906" s="314"/>
      <c r="CF906" s="314"/>
      <c r="CG906" s="314"/>
      <c r="CH906" s="314"/>
      <c r="CI906" s="314"/>
      <c r="CJ906" s="314"/>
      <c r="CK906" s="314"/>
      <c r="CL906" s="314"/>
      <c r="CM906" s="314"/>
      <c r="CN906" s="314"/>
      <c r="CO906" s="314"/>
      <c r="CP906" s="314"/>
      <c r="CQ906" s="360" t="b">
        <v>0</v>
      </c>
    </row>
    <row r="907" spans="1:95" ht="5.15" customHeight="1" thickBot="1" x14ac:dyDescent="0.3">
      <c r="A907" s="307"/>
      <c r="B907" s="68"/>
      <c r="C907" s="199"/>
      <c r="D907" s="202"/>
      <c r="E907" s="76"/>
      <c r="F907" s="76"/>
      <c r="G907" s="76"/>
      <c r="H907" s="76" t="str">
        <f>Translations!$B$397</f>
        <v xml:space="preserve"> </v>
      </c>
      <c r="I907" s="162"/>
      <c r="J907" s="162"/>
      <c r="K907" s="76"/>
      <c r="L907" s="76"/>
      <c r="M907" s="363"/>
      <c r="N907" s="76"/>
      <c r="O907" s="160"/>
      <c r="P907" s="109"/>
      <c r="Q907" s="312"/>
      <c r="R907" s="312"/>
      <c r="S907" s="314"/>
      <c r="T907" s="62"/>
      <c r="U907" s="312"/>
      <c r="V907" s="314"/>
      <c r="W907" s="314"/>
      <c r="X907" s="312"/>
      <c r="Y907" s="319"/>
      <c r="Z907" s="314"/>
      <c r="AA907" s="314"/>
      <c r="AB907" s="314"/>
      <c r="AC907" s="314"/>
      <c r="AD907" s="314"/>
      <c r="AE907" s="314"/>
      <c r="AF907" s="314"/>
      <c r="AG907" s="314"/>
      <c r="AH907" s="314"/>
      <c r="AI907" s="314"/>
      <c r="AJ907" s="314"/>
      <c r="AK907" s="314"/>
      <c r="AL907" s="326"/>
      <c r="AM907" s="326"/>
      <c r="AN907" s="326"/>
      <c r="AO907" s="326"/>
      <c r="AP907" s="326"/>
      <c r="AQ907" s="314"/>
      <c r="AR907" s="314"/>
      <c r="AS907" s="314"/>
      <c r="AT907" s="314"/>
      <c r="AU907" s="314"/>
      <c r="AV907" s="314"/>
      <c r="AW907" s="314"/>
      <c r="AX907" s="314"/>
      <c r="AY907" s="314"/>
      <c r="AZ907" s="314"/>
      <c r="BA907" s="314"/>
      <c r="BB907" s="314"/>
      <c r="BC907" s="314"/>
      <c r="BD907" s="314"/>
      <c r="BE907" s="314"/>
      <c r="BF907" s="314"/>
      <c r="BG907" s="364"/>
      <c r="BH907" s="364"/>
      <c r="BI907" s="314"/>
      <c r="BJ907" s="314"/>
      <c r="BK907" s="314"/>
      <c r="BL907" s="314"/>
      <c r="BM907" s="314"/>
      <c r="BN907" s="314"/>
      <c r="BO907" s="314"/>
      <c r="BP907" s="314"/>
      <c r="BQ907" s="314"/>
      <c r="BR907" s="314"/>
      <c r="BS907" s="314"/>
      <c r="BT907" s="314"/>
      <c r="BU907" s="314"/>
      <c r="BV907" s="314"/>
      <c r="BW907" s="314"/>
      <c r="BX907" s="314"/>
      <c r="BY907" s="314"/>
      <c r="BZ907" s="314"/>
      <c r="CA907" s="314"/>
      <c r="CB907" s="314"/>
      <c r="CC907" s="314"/>
      <c r="CD907" s="314"/>
      <c r="CE907" s="314"/>
      <c r="CF907" s="314"/>
      <c r="CG907" s="314"/>
      <c r="CH907" s="314"/>
      <c r="CI907" s="314"/>
      <c r="CJ907" s="314"/>
      <c r="CK907" s="314"/>
      <c r="CL907" s="314"/>
      <c r="CM907" s="314"/>
      <c r="CN907" s="314"/>
      <c r="CO907" s="314"/>
      <c r="CP907" s="314"/>
      <c r="CQ907" s="319"/>
    </row>
    <row r="908" spans="1:95" ht="12.75" customHeight="1" x14ac:dyDescent="0.25">
      <c r="A908" s="307"/>
      <c r="B908" s="68"/>
      <c r="C908" s="199" t="s">
        <v>13</v>
      </c>
      <c r="D908" s="344" t="str">
        <f>Translations!$B$360</f>
        <v>UCF:</v>
      </c>
      <c r="E908" s="345"/>
      <c r="F908" s="10"/>
      <c r="G908" s="1256" t="str">
        <f>IF(OR(ISBLANK(F908),F908=EUconst_NoTier),"",IF(Z908=0,EUconst_NotApplicable,IF(ISERROR(Z908),"",Z908)))</f>
        <v/>
      </c>
      <c r="H908" s="1257"/>
      <c r="I908" s="365" t="str">
        <f>IF(J908&lt;&gt;"","",AI908)</f>
        <v/>
      </c>
      <c r="J908" s="11"/>
      <c r="K908" s="366" t="str">
        <f>IF(L908="",AU908,"")</f>
        <v/>
      </c>
      <c r="L908" s="23"/>
      <c r="M908" s="347" t="str">
        <f>IF(AND(E901&lt;&gt;"",OR(F908="",COUNT(K908:L908)=0),Y908&lt;&gt;EUconst_NA),EUconst_ERR_Incomplete,IF(COUNTIF(BB908:BD908,TRUE)&gt;0,EUconst_ERR_Inconsistent,""))</f>
        <v/>
      </c>
      <c r="N908" s="367"/>
      <c r="O908" s="160"/>
      <c r="P908" s="109"/>
      <c r="Q908" s="312"/>
      <c r="R908" s="312"/>
      <c r="S908" s="314"/>
      <c r="T908" s="368" t="str">
        <f>EUconst_CNTR_UCF&amp;E901</f>
        <v>UCF_</v>
      </c>
      <c r="U908" s="312"/>
      <c r="V908" s="369" t="str">
        <f>V909</f>
        <v/>
      </c>
      <c r="W908" s="314"/>
      <c r="X908" s="312"/>
      <c r="Y908" s="370" t="str">
        <f>IF(E901="","",IF(OR(F908=EUconst_NA,W908=TRUE),EUconst_NA,INDEX(EUwideConstants!$P$164:$P$200,MATCH(T908,EUwideConstants!$S$164:$S$200,0))))</f>
        <v/>
      </c>
      <c r="Z908" s="371" t="str">
        <f>IF(ISBLANK(F908),"",IF(F908=EUconst_NA,"",INDEX(EUwideConstants!$H:$O,MATCH(T908,EUwideConstants!$S:$S,0),MATCH(F908,CNTR_TierList,0))))</f>
        <v/>
      </c>
      <c r="AA908" s="372" t="str">
        <f>IF(COUNTIF(EUconst_DefaultValues,Z908)&gt;0,MATCH(Z908,EUconst_DefaultValues,0),"")</f>
        <v/>
      </c>
      <c r="AB908" s="314"/>
      <c r="AC908" s="373" t="b">
        <f>AND(AC906,Y908&lt;&gt;EUconst_NA)</f>
        <v>0</v>
      </c>
      <c r="AD908" s="314"/>
      <c r="AE908" s="353" t="str">
        <f>EUconst_CNTR_UCF&amp;EUconst_Unit</f>
        <v>UCF_Unit</v>
      </c>
      <c r="AF908" s="374" t="str">
        <f>IF(AC908=TRUE, IF(COUNTIF(MSPara_SourceStreamCategory,V908)=0,"",INDEX(MSPara_CalcFactorsMatrix,MATCH(V908,MSPara_SourceStreamCategory,0),MATCH(AE908&amp;"_"&amp;2,MSPara_CalcFactors,0))),"")</f>
        <v/>
      </c>
      <c r="AG908" s="375" t="str">
        <f>IF(AC908=TRUE, IF(COUNTIF(MSPara_SourceStreamCategory,V908)=0,"",INDEX(MSPara_CalcFactorsMatrix,MATCH(V908,MSPara_SourceStreamCategory,0),MATCH(AE908&amp;"_"&amp;1,MSPara_CalcFactors,0))),"")</f>
        <v/>
      </c>
      <c r="AH908" s="373" t="str">
        <f>IF(AA908="","",INDEX(AF908:AG908,3-AA908))</f>
        <v/>
      </c>
      <c r="AI908" s="373" t="str">
        <f>IF(AC908=TRUE,IF(OR(AH908="",AH908=EUconst_NA),EUconst_GJ&amp;"/"&amp;AJ906,AH908),"")</f>
        <v/>
      </c>
      <c r="AJ908" s="373" t="str">
        <f>IF(J908="",AI908,J908)</f>
        <v/>
      </c>
      <c r="AK908" s="369" t="b">
        <f>AND(E900&lt;&gt;"",J908&lt;&gt;"")</f>
        <v>0</v>
      </c>
      <c r="AL908" s="326"/>
      <c r="AM908" s="358" t="s">
        <v>151</v>
      </c>
      <c r="AN908" s="359" t="str">
        <f>IF(AJ908="",EUconst_NA,IF(AN906=EUconst_TJ,EUconst_TJ,INDEX(EUwideConstants!$C$135:$G$139,MATCH(AN906,RFAUnits,0),MATCH(AJ908,UCFUnits,0))))</f>
        <v>n.a.</v>
      </c>
      <c r="AO908" s="326"/>
      <c r="AP908" s="326"/>
      <c r="AQ908" s="376" t="str">
        <f>EUconst_CNTR_UCF&amp;EUconst_Value</f>
        <v>UCF_Value</v>
      </c>
      <c r="AR908" s="377" t="str">
        <f>IF(AC908=TRUE,IF(COUNTIF(MSPara_SourceStreamCategory,V908)=0,"",INDEX(MSPara_CalcFactorsMatrix,MATCH(V908,MSPara_SourceStreamCategory,0),MATCH(AQ908&amp;"_"&amp;2,MSPara_CalcFactors,0))),"")</f>
        <v/>
      </c>
      <c r="AS908" s="378" t="str">
        <f>IF(AC908=TRUE,IF(COUNTIF(MSPara_SourceStreamCategory,V908)=0,"",INDEX(MSPara_CalcFactorsMatrix,MATCH(V908,MSPara_SourceStreamCategory,0),MATCH(AQ908&amp;"_"&amp;1,MSPara_CalcFactors,0))),"")</f>
        <v/>
      </c>
      <c r="AT908" s="379" t="b">
        <f>AND(AND(AH908&lt;&gt;"",AJ908&lt;&gt;""),AJ908=AH908)</f>
        <v>0</v>
      </c>
      <c r="AU908" s="380" t="str">
        <f>IF(AND(AA908&lt;&gt;"",AT908=TRUE),IF(OR(INDEX(AR908:AS908,3-AA908)=EUconst_NA,INDEX(AR908:AS908,3-AA908)=0),"",INDEX(AR908:AS908,3-AA908)),"")</f>
        <v/>
      </c>
      <c r="AV908" s="373">
        <f>IF(AC908=TRUE,IF(COUNT(K908:L908)=0,0,IF(L908="",K908,L908)),0)</f>
        <v>0</v>
      </c>
      <c r="AW908" s="369" t="b">
        <f t="shared" ref="AW908:AW915" si="270">AND(AC908=TRUE,OR(AND(F908&lt;&gt;"",NOT(ISNUMBER(AA908))),L908&lt;&gt;"",F908="",AU908=""))</f>
        <v>0</v>
      </c>
      <c r="AX908" s="381" t="b">
        <f t="shared" ref="AX908:AX915" si="271">AND(AC908=TRUE,NOT(AW908))</f>
        <v>0</v>
      </c>
      <c r="AY908" s="314"/>
      <c r="AZ908" s="382" t="b">
        <f t="shared" ref="AZ908:AZ915" si="272">AND(ISNUMBER(AA908),AU908="")</f>
        <v>0</v>
      </c>
      <c r="BA908" s="383" t="b">
        <f t="shared" ref="BA908:BA915" si="273">AND(ISNUMBER(AA908),AU908&lt;&gt;AV908)</f>
        <v>0</v>
      </c>
      <c r="BB908" s="369" t="b">
        <f>AND(E901&lt;&gt;"",F908&lt;&gt;EUconst_NA,AN908=EUconst_NA)</f>
        <v>0</v>
      </c>
      <c r="BC908" s="369" t="b">
        <f t="shared" ref="BC908:BC915" si="274">AND(L908&lt;&gt;"",Y908=EUconst_NA)</f>
        <v>0</v>
      </c>
      <c r="BD908" s="314"/>
      <c r="BE908" s="314"/>
      <c r="BF908" s="382" t="s">
        <v>152</v>
      </c>
      <c r="BG908" s="384" t="str">
        <f>IF(COUNTIF(AO909:AO910,TRUE)=0,"",BH908*AV917)</f>
        <v/>
      </c>
      <c r="BH908" s="384" t="str">
        <f>IF(COUNTIF(AO909:AO910,TRUE)=0,"",AV906*IF(AO909,1,AV908*AN910)*AV909*AV910)</f>
        <v/>
      </c>
      <c r="BI908" s="314"/>
      <c r="BJ908" s="314"/>
      <c r="BK908" s="314"/>
      <c r="BL908" s="314"/>
      <c r="BM908" s="314"/>
      <c r="BN908" s="314"/>
      <c r="BO908" s="314"/>
      <c r="BP908" s="314"/>
      <c r="BQ908" s="314"/>
      <c r="BR908" s="314"/>
      <c r="BS908" s="314"/>
      <c r="BT908" s="314"/>
      <c r="BU908" s="314"/>
      <c r="BV908" s="314"/>
      <c r="BW908" s="314"/>
      <c r="BX908" s="314"/>
      <c r="BY908" s="314"/>
      <c r="BZ908" s="314"/>
      <c r="CA908" s="314"/>
      <c r="CB908" s="314"/>
      <c r="CC908" s="314"/>
      <c r="CD908" s="314"/>
      <c r="CE908" s="314"/>
      <c r="CF908" s="314"/>
      <c r="CG908" s="314"/>
      <c r="CH908" s="314"/>
      <c r="CI908" s="314"/>
      <c r="CJ908" s="314"/>
      <c r="CK908" s="314"/>
      <c r="CL908" s="314"/>
      <c r="CM908" s="314"/>
      <c r="CN908" s="314"/>
      <c r="CO908" s="314"/>
      <c r="CP908" s="314"/>
      <c r="CQ908" s="369" t="b">
        <f>OR(CQ906,Y908=EUconst_NA)</f>
        <v>0</v>
      </c>
    </row>
    <row r="909" spans="1:95" ht="12.75" customHeight="1" thickBot="1" x14ac:dyDescent="0.3">
      <c r="A909" s="307"/>
      <c r="B909" s="68"/>
      <c r="C909" s="199" t="s">
        <v>14</v>
      </c>
      <c r="D909" s="344" t="str">
        <f>Translations!$B$358</f>
        <v>(prelim) EF:</v>
      </c>
      <c r="E909" s="345"/>
      <c r="F909" s="59"/>
      <c r="G909" s="1256" t="str">
        <f>IF(OR(ISBLANK(F909),F909=EUconst_NoTier),"",IF(Z909=0,EUconst_NotApplicable,IF(ISERROR(Z909),"",Z909)))</f>
        <v/>
      </c>
      <c r="H909" s="1260"/>
      <c r="I909" s="385" t="str">
        <f>IF(J909&lt;&gt;"","",AI909)</f>
        <v/>
      </c>
      <c r="J909" s="22"/>
      <c r="K909" s="386" t="str">
        <f>IF(L909="",AU909,"")</f>
        <v/>
      </c>
      <c r="L909" s="58"/>
      <c r="M909" s="347" t="str">
        <f>IF(AND(E901&lt;&gt;"",OR(F909="",COUNT(K909:L909)=0),Y909&lt;&gt;EUconst_NA),EUconst_ERR_Incomplete,IF(COUNTIF(BB909:BD909,TRUE)&gt;0,EUconst_ERR_Inconsistent,""))</f>
        <v/>
      </c>
      <c r="N909" s="387"/>
      <c r="O909" s="160"/>
      <c r="P909" s="109"/>
      <c r="Q909" s="312"/>
      <c r="R909" s="312"/>
      <c r="S909" s="314"/>
      <c r="T909" s="388" t="str">
        <f>EUconst_CNTR_EF&amp;E901</f>
        <v>EF_</v>
      </c>
      <c r="U909" s="312"/>
      <c r="V909" s="389" t="str">
        <f>V906</f>
        <v/>
      </c>
      <c r="W909" s="314"/>
      <c r="X909" s="312"/>
      <c r="Y909" s="390" t="str">
        <f>IF(E901="","",IF(OR(F909=EUconst_NA,W909=TRUE),EUconst_NA,INDEX(EUwideConstants!$P$164:$P$200,MATCH(T909,EUwideConstants!$S$164:$S$200,0))))</f>
        <v/>
      </c>
      <c r="Z909" s="391" t="str">
        <f>IF(ISBLANK(F909),"",IF(F909=EUconst_NA,"",INDEX(EUwideConstants!$H:$O,MATCH(T909,EUwideConstants!$S:$S,0),MATCH(F909,CNTR_TierList,0))))</f>
        <v/>
      </c>
      <c r="AA909" s="392" t="str">
        <f>IF(COUNTIF(EUconst_DefaultValues,Z909)&gt;0,MATCH(Z909,EUconst_DefaultValues,0),"")</f>
        <v/>
      </c>
      <c r="AB909" s="314"/>
      <c r="AC909" s="393" t="b">
        <f>AND(AC906,Y909&lt;&gt;EUconst_NA)</f>
        <v>0</v>
      </c>
      <c r="AD909" s="314"/>
      <c r="AE909" s="394" t="str">
        <f>EUconst_CNTR_EF&amp;EUconst_Unit</f>
        <v>EF_Unit</v>
      </c>
      <c r="AF909" s="395" t="str">
        <f>IF(AC909=TRUE, IF(COUNTIF(MSPara_SourceStreamCategory,V909)=0,"",INDEX(MSPara_CalcFactorsMatrix,MATCH(V909,MSPara_SourceStreamCategory,0),MATCH(AE909&amp;"_"&amp;2,MSPara_CalcFactors,0))),"")</f>
        <v/>
      </c>
      <c r="AG909" s="396" t="str">
        <f>IF(AC909=TRUE, IF(COUNTIF(MSPara_SourceStreamCategory,V909)=0,"",INDEX(MSPara_CalcFactorsMatrix,MATCH(V909,MSPara_SourceStreamCategory,0),MATCH(AE909&amp;"_"&amp;1,MSPara_CalcFactors,0))),"")</f>
        <v/>
      </c>
      <c r="AH909" s="397" t="str">
        <f>IF(AA909="","",INDEX(AF909:AG909,3-AA909))</f>
        <v/>
      </c>
      <c r="AI909" s="397" t="str">
        <f>IF(AC909=TRUE,IF(OR(AH909="",AH909=EUconst_NA),EUconst_tCO2&amp;"/"&amp;IF(AN908=EUconst_NA,AN906,IF(AN908=EUconst_GJ,EUconst_TJ,AN908)),AH909),"")</f>
        <v/>
      </c>
      <c r="AJ909" s="397" t="str">
        <f>IF(J909="",AI909,J909)</f>
        <v/>
      </c>
      <c r="AK909" s="398" t="b">
        <f>AND(E901&lt;&gt;"",J909&lt;&gt;"")</f>
        <v>0</v>
      </c>
      <c r="AL909" s="326"/>
      <c r="AM909" s="358" t="s">
        <v>153</v>
      </c>
      <c r="AN909" s="359" t="str">
        <f>IF(COUNTIF(RFAUnits,AN906)=0,EUconst_NA,INDEX(EUwideConstants!$C$150:$H$154,MATCH(AJ909,EFUnits,0),MATCH(AN906,EUwideConstants!$C$149:$H$149,0)))</f>
        <v>n.a.</v>
      </c>
      <c r="AO909" s="359" t="b">
        <f>AN909&lt;&gt;EUconst_NA</f>
        <v>0</v>
      </c>
      <c r="AP909" s="326"/>
      <c r="AQ909" s="399" t="str">
        <f>EUconst_CNTR_EF&amp;EUconst_Value</f>
        <v>EF_Value</v>
      </c>
      <c r="AR909" s="400" t="str">
        <f>IF(AC909=TRUE,IF(COUNTIF(MSPara_SourceStreamCategory,V909)=0,"",INDEX(MSPara_CalcFactorsMatrix,MATCH(V909,MSPara_SourceStreamCategory,0),MATCH(AQ909&amp;"_"&amp;2,MSPara_CalcFactors,0))),"")</f>
        <v/>
      </c>
      <c r="AS909" s="401" t="str">
        <f>IF(AC909=TRUE,IF(COUNTIF(MSPara_SourceStreamCategory,V909)=0,"",INDEX(MSPara_CalcFactorsMatrix,MATCH(V909,MSPara_SourceStreamCategory,0),MATCH(AQ909&amp;"_"&amp;1,MSPara_CalcFactors,0))),"")</f>
        <v/>
      </c>
      <c r="AT909" s="402" t="b">
        <f>AND(AND(AH909&lt;&gt;"",AJ909&lt;&gt;""),AJ909=AH909)</f>
        <v>0</v>
      </c>
      <c r="AU909" s="403" t="str">
        <f>IF(AND(AA909&lt;&gt;"",AT909=TRUE),IF(OR(INDEX(AR909:AS909,3-AA909)=EUconst_NA,INDEX(AR909:AS909,3-AA909)=0),"",INDEX(AR909:AS909,3-AA909)),"")</f>
        <v/>
      </c>
      <c r="AV909" s="393">
        <f>IF(AC909=TRUE,IF(COUNT(K909:L909)=0,0,IF(L909="",K909,L909)),0)</f>
        <v>0</v>
      </c>
      <c r="AW909" s="389" t="b">
        <f t="shared" si="270"/>
        <v>0</v>
      </c>
      <c r="AX909" s="404" t="b">
        <f t="shared" si="271"/>
        <v>0</v>
      </c>
      <c r="AY909" s="314"/>
      <c r="AZ909" s="405" t="b">
        <f t="shared" si="272"/>
        <v>0</v>
      </c>
      <c r="BA909" s="406" t="b">
        <f t="shared" si="273"/>
        <v>0</v>
      </c>
      <c r="BB909" s="407" t="b">
        <f>AND(E901&lt;&gt;"",COUNTIF(AO909:AO910,TRUE)=0)</f>
        <v>0</v>
      </c>
      <c r="BC909" s="389" t="b">
        <f t="shared" si="274"/>
        <v>0</v>
      </c>
      <c r="BD909" s="314"/>
      <c r="BE909" s="314"/>
      <c r="BF909" s="408" t="s">
        <v>154</v>
      </c>
      <c r="BG909" s="409" t="str">
        <f>IF(COUNTIF(AO909:AO910,TRUE)=0,"",BH909*AV917)</f>
        <v/>
      </c>
      <c r="BH909" s="409" t="str">
        <f>IF(COUNTIF(AO909:AO910,TRUE)=0,"",AV906*IF(AO909,1,AV908*AN910)*AV909*AV911)</f>
        <v/>
      </c>
      <c r="BI909" s="314"/>
      <c r="BJ909" s="314"/>
      <c r="BK909" s="314"/>
      <c r="BL909" s="314"/>
      <c r="BM909" s="314"/>
      <c r="BN909" s="314"/>
      <c r="BO909" s="314"/>
      <c r="BP909" s="314"/>
      <c r="BQ909" s="314"/>
      <c r="BR909" s="314"/>
      <c r="BS909" s="314"/>
      <c r="BT909" s="314"/>
      <c r="BU909" s="314"/>
      <c r="BV909" s="314"/>
      <c r="BW909" s="314"/>
      <c r="BX909" s="314"/>
      <c r="BY909" s="314"/>
      <c r="BZ909" s="314"/>
      <c r="CA909" s="314"/>
      <c r="CB909" s="314"/>
      <c r="CC909" s="314"/>
      <c r="CD909" s="314"/>
      <c r="CE909" s="314"/>
      <c r="CF909" s="314"/>
      <c r="CG909" s="314"/>
      <c r="CH909" s="314"/>
      <c r="CI909" s="314"/>
      <c r="CJ909" s="314"/>
      <c r="CK909" s="314"/>
      <c r="CL909" s="314"/>
      <c r="CM909" s="314"/>
      <c r="CN909" s="314"/>
      <c r="CO909" s="314"/>
      <c r="CP909" s="314"/>
      <c r="CQ909" s="407" t="b">
        <f>OR(CQ906,Y909=EUconst_NA)</f>
        <v>0</v>
      </c>
    </row>
    <row r="910" spans="1:95" ht="12.75" customHeight="1" x14ac:dyDescent="0.25">
      <c r="A910" s="307"/>
      <c r="B910" s="68"/>
      <c r="C910" s="199" t="s">
        <v>15</v>
      </c>
      <c r="D910" s="344" t="str">
        <f>Translations!$B$362</f>
        <v>BioF:</v>
      </c>
      <c r="E910" s="345"/>
      <c r="F910" s="10"/>
      <c r="G910" s="1256" t="str">
        <f>IF(OR(ISBLANK(F910),F910=EUconst_NoTier),"",IF(Z910=0,EUconst_NotApplicable,IF(ISERROR(Z910),"",Z910)))</f>
        <v/>
      </c>
      <c r="H910" s="1257"/>
      <c r="I910" s="410" t="str">
        <f t="shared" ref="I910:I915" si="275">IF(OR(AC910=FALSE,Y910=EUconst_NA),"","-")</f>
        <v/>
      </c>
      <c r="J910" s="411"/>
      <c r="K910" s="412" t="str">
        <f>IF(L910="",AU910,"")</f>
        <v/>
      </c>
      <c r="L910" s="60"/>
      <c r="M910" s="347" t="str">
        <f>IF(AND(E901&lt;&gt;"",OR(F910="",COUNT(K910:L910)=0),Y910&lt;&gt;EUconst_NA),EUconst_ERR_Incomplete,IF(COUNTIF(BB910:BD910,TRUE)&gt;0,EUconst_ERR_Inconsistent,""))</f>
        <v/>
      </c>
      <c r="O910" s="160"/>
      <c r="P910" s="348"/>
      <c r="Q910" s="413"/>
      <c r="R910" s="413"/>
      <c r="S910" s="314"/>
      <c r="T910" s="388" t="str">
        <f>EUconst_CNTR_BiomassContent&amp;E901</f>
        <v>BioC_</v>
      </c>
      <c r="U910" s="312"/>
      <c r="V910" s="369" t="str">
        <f>V908</f>
        <v/>
      </c>
      <c r="W910" s="369" t="str">
        <f>IF(OR(V910="",COUNTIF(MSPara_SourceStreamCategory,V910)=0),"",INDEX(MSPara_IsFossil,MATCH(V910,MSPara_SourceStreamCategory,0)))</f>
        <v/>
      </c>
      <c r="X910" s="312"/>
      <c r="Y910" s="370" t="str">
        <f>IF(E901="","",IF(OR(F910=EUconst_NA,W910=TRUE),EUconst_NA,INDEX(EUwideConstants!$P$164:$P$200,MATCH(T910,EUwideConstants!$S$164:$S$200,0))))</f>
        <v/>
      </c>
      <c r="Z910" s="371" t="str">
        <f>IF(ISBLANK(F910),"",IF(F910=EUconst_NA,"",INDEX(EUwideConstants!$H:$O,MATCH(T910,EUwideConstants!$S:$S,0),MATCH(F910,CNTR_TierList,0))))</f>
        <v/>
      </c>
      <c r="AA910" s="414" t="str">
        <f>IF(F910=1,1,"")</f>
        <v/>
      </c>
      <c r="AB910" s="314"/>
      <c r="AC910" s="373" t="b">
        <f>AND(AC906,Y910&lt;&gt;EUconst_NA)</f>
        <v>0</v>
      </c>
      <c r="AD910" s="314"/>
      <c r="AE910" s="415"/>
      <c r="AF910" s="416"/>
      <c r="AG910" s="417"/>
      <c r="AH910" s="418"/>
      <c r="AI910" s="418"/>
      <c r="AJ910" s="418"/>
      <c r="AK910" s="419"/>
      <c r="AL910" s="326"/>
      <c r="AM910" s="358" t="s">
        <v>155</v>
      </c>
      <c r="AN910" s="359" t="str">
        <f>IF(AN908=EUconst_NA,EUconst_NA,INDEX(EUwideConstants!$C$150:$H$154,MATCH(AJ909,EFUnits,0),MATCH(AN908,EUwideConstants!$C$149:$H$149,0)))</f>
        <v>n.a.</v>
      </c>
      <c r="AO910" s="359" t="b">
        <f>AN910&lt;&gt;EUconst_NA</f>
        <v>0</v>
      </c>
      <c r="AP910" s="326"/>
      <c r="AQ910" s="376" t="str">
        <f>EUconst_CNTR_BiomassContent&amp;EUconst_Value</f>
        <v>BioC_Value</v>
      </c>
      <c r="AR910" s="420"/>
      <c r="AS910" s="378" t="str">
        <f t="shared" ref="AS910:AS915" si="276">IF(AC910=TRUE,IF(COUNTIF(MSPara_SourceStreamCategory,V910)=0,"",INDEX(MSPara_CalcFactorsMatrix,MATCH(V910,MSPara_SourceStreamCategory,0),MATCH(AQ910&amp;"_"&amp;2,MSPara_CalcFactors,0))),"")</f>
        <v/>
      </c>
      <c r="AT910" s="421"/>
      <c r="AU910" s="380" t="str">
        <f t="shared" ref="AU910:AU915" si="277">IF(OR(AA910="",AS910=EUconst_NA),"",AS910)</f>
        <v/>
      </c>
      <c r="AV910" s="373">
        <f>IF(AC910=TRUE,IF(COUNT(K910:L910)=0,0,IF(L910="",K910,L910)),0)</f>
        <v>0</v>
      </c>
      <c r="AW910" s="369" t="b">
        <f t="shared" si="270"/>
        <v>0</v>
      </c>
      <c r="AX910" s="381" t="b">
        <f t="shared" si="271"/>
        <v>0</v>
      </c>
      <c r="AY910" s="314"/>
      <c r="AZ910" s="382" t="b">
        <f t="shared" si="272"/>
        <v>0</v>
      </c>
      <c r="BA910" s="383" t="b">
        <f t="shared" si="273"/>
        <v>0</v>
      </c>
      <c r="BB910" s="314"/>
      <c r="BC910" s="369" t="b">
        <f t="shared" si="274"/>
        <v>0</v>
      </c>
      <c r="BD910" s="369" t="b">
        <f>OR(AV910&gt;100%,(AV910+AV911)&gt;100%)</f>
        <v>0</v>
      </c>
      <c r="BE910" s="314"/>
      <c r="BF910" s="382" t="s">
        <v>156</v>
      </c>
      <c r="BG910" s="384" t="str">
        <f>IF(COUNTIF(AO909:AO910,TRUE)=0,"",BH910*AV917)</f>
        <v/>
      </c>
      <c r="BH910" s="384" t="str">
        <f>IF(COUNTIF(AO909:AO910,TRUE)=0,"",AV906*IF(AO909,1,AV908*AN910)*AV909*AV912)</f>
        <v/>
      </c>
      <c r="BJ910" s="314"/>
      <c r="BK910" s="314"/>
      <c r="BL910" s="314"/>
      <c r="BM910" s="314"/>
      <c r="BN910" s="314"/>
      <c r="BO910" s="314"/>
      <c r="BP910" s="314"/>
      <c r="BQ910" s="314"/>
      <c r="BR910" s="314"/>
      <c r="BS910" s="314"/>
      <c r="BT910" s="314"/>
      <c r="BU910" s="314"/>
      <c r="BV910" s="314"/>
      <c r="BW910" s="314"/>
      <c r="BX910" s="314"/>
      <c r="BY910" s="314"/>
      <c r="BZ910" s="314"/>
      <c r="CA910" s="314"/>
      <c r="CB910" s="314"/>
      <c r="CC910" s="314"/>
      <c r="CD910" s="314"/>
      <c r="CE910" s="314"/>
      <c r="CF910" s="314"/>
      <c r="CG910" s="314"/>
      <c r="CH910" s="314"/>
      <c r="CI910" s="314"/>
      <c r="CJ910" s="314"/>
      <c r="CK910" s="314"/>
      <c r="CL910" s="314"/>
      <c r="CM910" s="314"/>
      <c r="CN910" s="314"/>
      <c r="CO910" s="314"/>
      <c r="CP910" s="314"/>
      <c r="CQ910" s="369" t="b">
        <f>OR(CQ906,Y910=EUconst_NA)</f>
        <v>0</v>
      </c>
    </row>
    <row r="911" spans="1:95" ht="12.75" customHeight="1" thickBot="1" x14ac:dyDescent="0.3">
      <c r="A911" s="307"/>
      <c r="B911" s="68"/>
      <c r="C911" s="199" t="s">
        <v>16</v>
      </c>
      <c r="D911" s="344" t="str">
        <f>Translations!$B$368</f>
        <v>non-sust. BioF:</v>
      </c>
      <c r="E911" s="345"/>
      <c r="F911" s="20"/>
      <c r="G911" s="1256" t="str">
        <f>IF(OR(ISBLANK(F911),F911=EUconst_NoTier),"",IF(Z911=0,EUconst_NotApplicable,IF(ISERROR(Z911),"",Z911)))</f>
        <v/>
      </c>
      <c r="H911" s="1257"/>
      <c r="I911" s="422" t="str">
        <f t="shared" si="275"/>
        <v/>
      </c>
      <c r="J911" s="423"/>
      <c r="K911" s="424" t="str">
        <f>IF(L911="",AU911,"")</f>
        <v/>
      </c>
      <c r="L911" s="21"/>
      <c r="M911" s="347" t="str">
        <f>IF(AND(E901&lt;&gt;"",OR(F911="",COUNT(K911:L911)=0),Y911&lt;&gt;EUconst_NA),EUconst_ERR_Incomplete,IF(COUNTIF(BB911:BD911,TRUE)&gt;0,EUconst_ERR_Inconsistent,""))</f>
        <v/>
      </c>
      <c r="N911" s="76"/>
      <c r="O911" s="160"/>
      <c r="P911" s="348"/>
      <c r="Q911" s="413"/>
      <c r="R911" s="413"/>
      <c r="S911" s="314"/>
      <c r="T911" s="425" t="str">
        <f>EUconst_CNTR_BiomassContent&amp;E901</f>
        <v>BioC_</v>
      </c>
      <c r="U911" s="312"/>
      <c r="V911" s="407" t="str">
        <f>V910</f>
        <v/>
      </c>
      <c r="W911" s="407" t="str">
        <f>IF(OR(V910="",COUNTIF(MSPara_SourceStreamCategory,V911)=0),"",INDEX(MSPara_IsFossil,MATCH(V911,MSPara_SourceStreamCategory,0)))</f>
        <v/>
      </c>
      <c r="X911" s="312"/>
      <c r="Y911" s="426" t="str">
        <f>IF(E901="","",IF(OR(F911=EUconst_NA,W911=TRUE),EUconst_NA,INDEX(EUwideConstants!$P$164:$P$200,MATCH(T911,EUwideConstants!$S$164:$S$200,0))))</f>
        <v/>
      </c>
      <c r="Z911" s="427" t="str">
        <f>IF(ISBLANK(F911),"",IF(F911=EUconst_NA,"",INDEX(EUwideConstants!$H:$O,MATCH(T911,EUwideConstants!$S:$S,0),MATCH(F911,CNTR_TierList,0))))</f>
        <v/>
      </c>
      <c r="AA911" s="428" t="str">
        <f>IF(F911=1,1,"")</f>
        <v/>
      </c>
      <c r="AB911" s="314"/>
      <c r="AC911" s="429" t="b">
        <f>AND(AC906,Y911&lt;&gt;EUconst_NA)</f>
        <v>0</v>
      </c>
      <c r="AD911" s="314"/>
      <c r="AE911" s="430"/>
      <c r="AF911" s="431"/>
      <c r="AG911" s="432"/>
      <c r="AH911" s="433"/>
      <c r="AI911" s="433"/>
      <c r="AJ911" s="433"/>
      <c r="AK911" s="434"/>
      <c r="AL911" s="326"/>
      <c r="AM911" s="326"/>
      <c r="AN911" s="326"/>
      <c r="AO911" s="326"/>
      <c r="AP911" s="326"/>
      <c r="AQ911" s="435" t="str">
        <f>EUconst_CNTR_BiomassContent&amp;EUconst_Value</f>
        <v>BioC_Value</v>
      </c>
      <c r="AR911" s="430"/>
      <c r="AS911" s="436" t="str">
        <f t="shared" si="276"/>
        <v/>
      </c>
      <c r="AT911" s="437"/>
      <c r="AU911" s="438" t="str">
        <f t="shared" si="277"/>
        <v/>
      </c>
      <c r="AV911" s="429">
        <f>IF(AC911=TRUE,IF(COUNT(K911:L911)=0,0,IF(L911="",K911,L911)),0)</f>
        <v>0</v>
      </c>
      <c r="AW911" s="407" t="b">
        <f t="shared" si="270"/>
        <v>0</v>
      </c>
      <c r="AX911" s="439" t="b">
        <f t="shared" si="271"/>
        <v>0</v>
      </c>
      <c r="AY911" s="314"/>
      <c r="AZ911" s="408" t="b">
        <f t="shared" si="272"/>
        <v>0</v>
      </c>
      <c r="BA911" s="440" t="b">
        <f t="shared" si="273"/>
        <v>0</v>
      </c>
      <c r="BB911" s="314"/>
      <c r="BC911" s="407" t="b">
        <f t="shared" si="274"/>
        <v>0</v>
      </c>
      <c r="BD911" s="407" t="b">
        <f>OR(AV910&gt;100%,(AV910+AV911)&gt;100%)</f>
        <v>0</v>
      </c>
      <c r="BE911" s="314"/>
      <c r="BF911" s="408" t="s">
        <v>157</v>
      </c>
      <c r="BG911" s="409" t="str">
        <f>IF(COUNTIF(AO909:AO910,TRUE)=0,"",BH911*AV917)</f>
        <v/>
      </c>
      <c r="BH911" s="409" t="str">
        <f>IF(COUNTIF(AO909:AO910,TRUE)=0,"",AV906*IF(AO909,1,AV908*AN910)*AV909*AV913)</f>
        <v/>
      </c>
      <c r="BJ911" s="314"/>
      <c r="BK911" s="314"/>
      <c r="BL911" s="314"/>
      <c r="BM911" s="314"/>
      <c r="BN911" s="314"/>
      <c r="BO911" s="314"/>
      <c r="BP911" s="314"/>
      <c r="BQ911" s="314"/>
      <c r="BR911" s="314"/>
      <c r="BS911" s="314"/>
      <c r="BT911" s="314"/>
      <c r="BU911" s="314"/>
      <c r="BV911" s="314"/>
      <c r="BW911" s="314"/>
      <c r="BX911" s="314"/>
      <c r="BY911" s="314"/>
      <c r="BZ911" s="314"/>
      <c r="CA911" s="314"/>
      <c r="CB911" s="314"/>
      <c r="CC911" s="314"/>
      <c r="CD911" s="314"/>
      <c r="CE911" s="314"/>
      <c r="CF911" s="314"/>
      <c r="CG911" s="314"/>
      <c r="CH911" s="314"/>
      <c r="CI911" s="314"/>
      <c r="CJ911" s="314"/>
      <c r="CK911" s="314"/>
      <c r="CL911" s="314"/>
      <c r="CM911" s="314"/>
      <c r="CN911" s="314"/>
      <c r="CO911" s="314"/>
      <c r="CP911" s="314"/>
      <c r="CQ911" s="407" t="b">
        <f>OR(CQ906,Y911=EUconst_NA)</f>
        <v>0</v>
      </c>
    </row>
    <row r="912" spans="1:95" ht="12.75" customHeight="1" thickBot="1" x14ac:dyDescent="0.3">
      <c r="A912" s="307"/>
      <c r="B912" s="68"/>
      <c r="C912" s="199" t="s">
        <v>17</v>
      </c>
      <c r="D912" s="344" t="str">
        <f>Translations!$B$610</f>
        <v>sust. RFNBO/RCF:</v>
      </c>
      <c r="E912" s="441"/>
      <c r="F912" s="19" t="s">
        <v>158</v>
      </c>
      <c r="G912" s="1261"/>
      <c r="H912" s="1262"/>
      <c r="I912" s="442" t="str">
        <f t="shared" si="275"/>
        <v/>
      </c>
      <c r="J912" s="411"/>
      <c r="K912" s="443"/>
      <c r="L912" s="55"/>
      <c r="M912" s="347" t="str">
        <f>IF(AND(E901&lt;&gt;"",OR(F912="",COUNT(L912)=0),Y912&lt;&gt;EUconst_NA),EUconst_ERR_Incomplete,"")</f>
        <v/>
      </c>
      <c r="N912" s="76"/>
      <c r="O912" s="160"/>
      <c r="P912" s="348"/>
      <c r="Q912" s="413"/>
      <c r="R912" s="413"/>
      <c r="S912" s="314"/>
      <c r="T912" s="388" t="str">
        <f>EUconst_CNTR_RFNBOetcContent&amp;E901</f>
        <v>RNFBOC_</v>
      </c>
      <c r="U912" s="312"/>
      <c r="V912" s="312"/>
      <c r="W912" s="312"/>
      <c r="X912" s="312"/>
      <c r="Y912" s="380" t="str">
        <f>IF(E901="","",IF(OR(F912=EUconst_NA,W912=TRUE),EUconst_NA,INDEX(EUwideConstants!$P$164:$P$200,MATCH(T912,EUwideConstants!$S$164:$S$200,0))))</f>
        <v/>
      </c>
      <c r="Z912" s="314"/>
      <c r="AA912" s="314"/>
      <c r="AB912" s="314"/>
      <c r="AC912" s="397" t="b">
        <f>AND(AC908,Y912&lt;&gt;EUconst_NA)</f>
        <v>0</v>
      </c>
      <c r="AD912" s="314"/>
      <c r="AE912" s="415"/>
      <c r="AF912" s="416"/>
      <c r="AG912" s="417"/>
      <c r="AH912" s="418"/>
      <c r="AI912" s="418"/>
      <c r="AJ912" s="418"/>
      <c r="AK912" s="419"/>
      <c r="AL912" s="326"/>
      <c r="AM912" s="326"/>
      <c r="AN912" s="326"/>
      <c r="AO912" s="326"/>
      <c r="AP912" s="326"/>
      <c r="AQ912" s="444" t="s">
        <v>159</v>
      </c>
      <c r="AR912" s="415"/>
      <c r="AS912" s="445" t="str">
        <f t="shared" si="276"/>
        <v/>
      </c>
      <c r="AT912" s="446"/>
      <c r="AU912" s="447" t="str">
        <f t="shared" si="277"/>
        <v/>
      </c>
      <c r="AV912" s="397">
        <f>IF(L912&lt;&gt;0,L912,L912)</f>
        <v>0</v>
      </c>
      <c r="AW912" s="398" t="b">
        <f t="shared" si="270"/>
        <v>0</v>
      </c>
      <c r="AX912" s="448" t="b">
        <f t="shared" si="271"/>
        <v>0</v>
      </c>
      <c r="AY912" s="314"/>
      <c r="AZ912" s="449" t="b">
        <f t="shared" si="272"/>
        <v>0</v>
      </c>
      <c r="BA912" s="450" t="b">
        <f t="shared" si="273"/>
        <v>0</v>
      </c>
      <c r="BB912" s="314"/>
      <c r="BC912" s="398" t="b">
        <f t="shared" si="274"/>
        <v>0</v>
      </c>
      <c r="BD912" s="369" t="b">
        <f>OR(AV912&gt;100%,(AV912+AV913)&gt;100%)</f>
        <v>0</v>
      </c>
      <c r="BE912" s="314"/>
      <c r="BF912" s="451" t="s">
        <v>160</v>
      </c>
      <c r="BG912" s="452" t="str">
        <f>IF(COUNTIF(AO909:AO910,TRUE)=0,"",BH912*AV917)</f>
        <v/>
      </c>
      <c r="BH912" s="452" t="str">
        <f>IF(COUNTIF(AO909:AO910,TRUE)=0,"",AV906*IF(AO909,1,AV908*AN910)*AV909*AV914)</f>
        <v/>
      </c>
      <c r="BJ912" s="314"/>
      <c r="BK912" s="314"/>
      <c r="BL912" s="314"/>
      <c r="BM912" s="314"/>
      <c r="BN912" s="314"/>
      <c r="BO912" s="314"/>
      <c r="BP912" s="314"/>
      <c r="BQ912" s="314"/>
      <c r="BR912" s="314"/>
      <c r="BS912" s="314"/>
      <c r="BT912" s="314"/>
      <c r="BU912" s="314"/>
      <c r="BV912" s="314"/>
      <c r="BW912" s="314"/>
      <c r="BX912" s="314"/>
      <c r="BY912" s="314"/>
      <c r="BZ912" s="314"/>
      <c r="CA912" s="314"/>
      <c r="CB912" s="314"/>
      <c r="CC912" s="314"/>
      <c r="CD912" s="314"/>
      <c r="CE912" s="314"/>
      <c r="CF912" s="314"/>
      <c r="CG912" s="314"/>
      <c r="CH912" s="314"/>
      <c r="CI912" s="314"/>
      <c r="CJ912" s="314"/>
      <c r="CK912" s="314"/>
      <c r="CL912" s="314"/>
      <c r="CM912" s="314"/>
      <c r="CN912" s="314"/>
      <c r="CO912" s="314"/>
      <c r="CP912" s="314"/>
      <c r="CQ912" s="407" t="b">
        <f>OR(CQ906,Y912=EUconst_NA)</f>
        <v>0</v>
      </c>
    </row>
    <row r="913" spans="1:95" ht="12.75" customHeight="1" thickBot="1" x14ac:dyDescent="0.3">
      <c r="A913" s="307"/>
      <c r="B913" s="68"/>
      <c r="C913" s="199" t="s">
        <v>161</v>
      </c>
      <c r="D913" s="344" t="str">
        <f>Translations!$B$613</f>
        <v>non-sust. RFNBO/RCF:</v>
      </c>
      <c r="E913" s="441"/>
      <c r="F913" s="20" t="s">
        <v>158</v>
      </c>
      <c r="G913" s="1261"/>
      <c r="H913" s="1262"/>
      <c r="I913" s="422" t="str">
        <f t="shared" si="275"/>
        <v/>
      </c>
      <c r="J913" s="423"/>
      <c r="K913" s="443"/>
      <c r="L913" s="56"/>
      <c r="M913" s="347" t="str">
        <f>IF(AND(E901&lt;&gt;"",OR(F913="",COUNT(L913)=0),Y913&lt;&gt;EUconst_NA),EUconst_ERR_Incomplete,"")</f>
        <v/>
      </c>
      <c r="N913" s="76"/>
      <c r="O913" s="160"/>
      <c r="P913" s="348"/>
      <c r="Q913" s="413"/>
      <c r="R913" s="413"/>
      <c r="S913" s="314"/>
      <c r="T913" s="425" t="str">
        <f>EUconst_CNTR_RFNBOetcContent&amp;E901</f>
        <v>RNFBOC_</v>
      </c>
      <c r="U913" s="312"/>
      <c r="V913" s="312"/>
      <c r="W913" s="312"/>
      <c r="X913" s="312"/>
      <c r="Y913" s="438" t="str">
        <f>IF(E901="","",IF(OR(F913=EUconst_NA,W913=TRUE),EUconst_NA,INDEX(EUwideConstants!$P$164:$P$200,MATCH(T913,EUwideConstants!$S$164:$S$200,0))))</f>
        <v/>
      </c>
      <c r="Z913" s="314"/>
      <c r="AA913" s="314"/>
      <c r="AB913" s="314"/>
      <c r="AC913" s="429" t="b">
        <f>AND(AC908,Y913&lt;&gt;EUconst_NA)</f>
        <v>0</v>
      </c>
      <c r="AD913" s="314"/>
      <c r="AE913" s="430"/>
      <c r="AF913" s="431"/>
      <c r="AG913" s="432"/>
      <c r="AH913" s="433"/>
      <c r="AI913" s="433"/>
      <c r="AJ913" s="433"/>
      <c r="AK913" s="434"/>
      <c r="AL913" s="326"/>
      <c r="AM913" s="326"/>
      <c r="AN913" s="326"/>
      <c r="AO913" s="326"/>
      <c r="AP913" s="326"/>
      <c r="AQ913" s="435" t="s">
        <v>159</v>
      </c>
      <c r="AR913" s="430"/>
      <c r="AS913" s="436" t="str">
        <f t="shared" si="276"/>
        <v/>
      </c>
      <c r="AT913" s="437"/>
      <c r="AU913" s="438" t="str">
        <f t="shared" si="277"/>
        <v/>
      </c>
      <c r="AV913" s="429">
        <f t="shared" ref="AV913:AV915" si="278">IF(L913&lt;&gt;0,L913,L913)</f>
        <v>0</v>
      </c>
      <c r="AW913" s="407" t="b">
        <f t="shared" si="270"/>
        <v>0</v>
      </c>
      <c r="AX913" s="439" t="b">
        <f t="shared" si="271"/>
        <v>0</v>
      </c>
      <c r="AY913" s="314"/>
      <c r="AZ913" s="408" t="b">
        <f t="shared" si="272"/>
        <v>0</v>
      </c>
      <c r="BA913" s="440" t="b">
        <f t="shared" si="273"/>
        <v>0</v>
      </c>
      <c r="BB913" s="314"/>
      <c r="BC913" s="407" t="b">
        <f t="shared" si="274"/>
        <v>0</v>
      </c>
      <c r="BD913" s="407" t="b">
        <f>OR(AV912&gt;100%,(AV912+AV913)&gt;100%)</f>
        <v>0</v>
      </c>
      <c r="BE913" s="314"/>
      <c r="BF913" s="408" t="s">
        <v>162</v>
      </c>
      <c r="BG913" s="409" t="str">
        <f>IF(COUNTIF(AO909:AO910,TRUE)=0,"",BH913*AV917)</f>
        <v/>
      </c>
      <c r="BH913" s="409" t="str">
        <f>IF(COUNTIF(AO909:AO910,TRUE)=0,"",AV906*IF(AO909,1,AV908*AN910)*AV909*AV915)</f>
        <v/>
      </c>
      <c r="BJ913" s="314"/>
      <c r="BK913" s="314"/>
      <c r="BL913" s="314"/>
      <c r="BM913" s="314"/>
      <c r="BN913" s="314"/>
      <c r="BO913" s="314"/>
      <c r="BP913" s="314"/>
      <c r="BQ913" s="314"/>
      <c r="BR913" s="314"/>
      <c r="BS913" s="314"/>
      <c r="BT913" s="314"/>
      <c r="BU913" s="314"/>
      <c r="BV913" s="314"/>
      <c r="BW913" s="314"/>
      <c r="BX913" s="314"/>
      <c r="BY913" s="314"/>
      <c r="BZ913" s="314"/>
      <c r="CA913" s="314"/>
      <c r="CB913" s="314"/>
      <c r="CC913" s="314"/>
      <c r="CD913" s="314"/>
      <c r="CE913" s="314"/>
      <c r="CF913" s="314"/>
      <c r="CG913" s="314"/>
      <c r="CH913" s="314"/>
      <c r="CI913" s="314"/>
      <c r="CJ913" s="314"/>
      <c r="CK913" s="314"/>
      <c r="CL913" s="314"/>
      <c r="CM913" s="314"/>
      <c r="CN913" s="314"/>
      <c r="CO913" s="314"/>
      <c r="CP913" s="314"/>
      <c r="CQ913" s="407" t="b">
        <f>OR(CQ906,Y913=EUconst_NA)</f>
        <v>0</v>
      </c>
    </row>
    <row r="914" spans="1:95" ht="12.75" customHeight="1" thickBot="1" x14ac:dyDescent="0.3">
      <c r="A914" s="307"/>
      <c r="B914" s="68"/>
      <c r="C914" s="199" t="s">
        <v>163</v>
      </c>
      <c r="D914" s="344" t="str">
        <f>Translations!$B$615</f>
        <v>sust. SLCF:</v>
      </c>
      <c r="E914" s="441"/>
      <c r="F914" s="19" t="s">
        <v>158</v>
      </c>
      <c r="G914" s="1261"/>
      <c r="H914" s="1262"/>
      <c r="I914" s="442" t="str">
        <f t="shared" si="275"/>
        <v/>
      </c>
      <c r="J914" s="411"/>
      <c r="K914" s="443"/>
      <c r="L914" s="57"/>
      <c r="M914" s="347" t="str">
        <f>IF(AND(E901&lt;&gt;"",OR(F914="",COUNT(L914)=0),Y914&lt;&gt;EUconst_NA),EUconst_ERR_Incomplete,"")</f>
        <v/>
      </c>
      <c r="N914" s="76"/>
      <c r="O914" s="160"/>
      <c r="P914" s="348"/>
      <c r="Q914" s="413"/>
      <c r="R914" s="413"/>
      <c r="S914" s="314"/>
      <c r="T914" s="388" t="str">
        <f>EUconst_CNTR_RFNBOetcContent&amp;E901</f>
        <v>RNFBOC_</v>
      </c>
      <c r="U914" s="312"/>
      <c r="V914" s="312"/>
      <c r="W914" s="312"/>
      <c r="X914" s="312"/>
      <c r="Y914" s="447" t="str">
        <f>IF(E901="","",IF(OR(F914=EUconst_NA,W914=TRUE),EUconst_NA,INDEX(EUwideConstants!$P$164:$P$200,MATCH(T914,EUwideConstants!$S$164:$S$200,0))))</f>
        <v/>
      </c>
      <c r="Z914" s="314"/>
      <c r="AA914" s="314"/>
      <c r="AB914" s="314"/>
      <c r="AC914" s="397" t="b">
        <f>AND(AC910,Y914&lt;&gt;EUconst_NA)</f>
        <v>0</v>
      </c>
      <c r="AD914" s="314"/>
      <c r="AE914" s="415"/>
      <c r="AF914" s="416"/>
      <c r="AG914" s="417"/>
      <c r="AH914" s="418"/>
      <c r="AI914" s="418"/>
      <c r="AJ914" s="418"/>
      <c r="AK914" s="419"/>
      <c r="AL914" s="326"/>
      <c r="AM914" s="326"/>
      <c r="AN914" s="326"/>
      <c r="AO914" s="326"/>
      <c r="AP914" s="326"/>
      <c r="AQ914" s="444" t="s">
        <v>159</v>
      </c>
      <c r="AR914" s="415"/>
      <c r="AS914" s="445" t="str">
        <f t="shared" si="276"/>
        <v/>
      </c>
      <c r="AT914" s="446"/>
      <c r="AU914" s="447" t="str">
        <f t="shared" si="277"/>
        <v/>
      </c>
      <c r="AV914" s="397">
        <f t="shared" si="278"/>
        <v>0</v>
      </c>
      <c r="AW914" s="398" t="b">
        <f t="shared" si="270"/>
        <v>0</v>
      </c>
      <c r="AX914" s="448" t="b">
        <f t="shared" si="271"/>
        <v>0</v>
      </c>
      <c r="AY914" s="314"/>
      <c r="AZ914" s="449" t="b">
        <f t="shared" si="272"/>
        <v>0</v>
      </c>
      <c r="BA914" s="450" t="b">
        <f t="shared" si="273"/>
        <v>0</v>
      </c>
      <c r="BB914" s="314"/>
      <c r="BC914" s="398" t="b">
        <f t="shared" si="274"/>
        <v>0</v>
      </c>
      <c r="BD914" s="369" t="b">
        <f>OR(AV914&gt;100%,(AV914+AV915)&gt;100%)</f>
        <v>0</v>
      </c>
      <c r="BE914" s="314"/>
      <c r="BF914" s="451" t="s">
        <v>164</v>
      </c>
      <c r="BG914" s="452">
        <f>IF(AN906=EUconst_TJ,AV906*(1-AV910),IF(AN908=EUconst_GJ,AV906*AV908/1000,0))-SUM(BG915:BG921)</f>
        <v>0</v>
      </c>
      <c r="BH914" s="314"/>
      <c r="BI914" s="314"/>
      <c r="BJ914" s="314"/>
      <c r="BK914" s="314"/>
      <c r="BL914" s="314"/>
      <c r="BM914" s="314"/>
      <c r="BN914" s="314"/>
      <c r="BO914" s="314"/>
      <c r="BP914" s="314"/>
      <c r="BQ914" s="314"/>
      <c r="BR914" s="314"/>
      <c r="BS914" s="314"/>
      <c r="BT914" s="314"/>
      <c r="BU914" s="314"/>
      <c r="BV914" s="314"/>
      <c r="BW914" s="314"/>
      <c r="BX914" s="314"/>
      <c r="BY914" s="314"/>
      <c r="BZ914" s="314"/>
      <c r="CA914" s="314"/>
      <c r="CB914" s="314"/>
      <c r="CC914" s="314"/>
      <c r="CD914" s="314"/>
      <c r="CE914" s="314"/>
      <c r="CF914" s="314"/>
      <c r="CG914" s="314"/>
      <c r="CH914" s="314"/>
      <c r="CI914" s="314"/>
      <c r="CJ914" s="314"/>
      <c r="CK914" s="314"/>
      <c r="CL914" s="314"/>
      <c r="CM914" s="314"/>
      <c r="CN914" s="314"/>
      <c r="CO914" s="314"/>
      <c r="CP914" s="314"/>
      <c r="CQ914" s="407" t="b">
        <f>OR(CQ906,Y914=EUconst_NA)</f>
        <v>0</v>
      </c>
    </row>
    <row r="915" spans="1:95" ht="12.75" customHeight="1" thickBot="1" x14ac:dyDescent="0.3">
      <c r="A915" s="307"/>
      <c r="B915" s="68"/>
      <c r="C915" s="199" t="s">
        <v>165</v>
      </c>
      <c r="D915" s="344" t="str">
        <f>Translations!$B$618</f>
        <v>non-sust. SLCF:</v>
      </c>
      <c r="E915" s="441"/>
      <c r="F915" s="20" t="s">
        <v>158</v>
      </c>
      <c r="G915" s="1261"/>
      <c r="H915" s="1262"/>
      <c r="I915" s="422" t="str">
        <f t="shared" si="275"/>
        <v/>
      </c>
      <c r="J915" s="423"/>
      <c r="K915" s="443"/>
      <c r="L915" s="56"/>
      <c r="M915" s="347" t="str">
        <f>IF(AND(E901&lt;&gt;"",OR(F915="",COUNT(L915)=0),Y915&lt;&gt;EUconst_NA),EUconst_ERR_Incomplete,"")</f>
        <v/>
      </c>
      <c r="N915" s="76"/>
      <c r="O915" s="160"/>
      <c r="P915" s="348"/>
      <c r="Q915" s="413"/>
      <c r="R915" s="413"/>
      <c r="S915" s="314"/>
      <c r="T915" s="425" t="str">
        <f>EUconst_CNTR_RFNBOetcContent&amp;E901</f>
        <v>RNFBOC_</v>
      </c>
      <c r="U915" s="312"/>
      <c r="V915" s="312"/>
      <c r="W915" s="312"/>
      <c r="X915" s="312"/>
      <c r="Y915" s="438" t="str">
        <f>IF(E901="","",IF(OR(F915=EUconst_NA,W915=TRUE),EUconst_NA,INDEX(EUwideConstants!$P$164:$P$200,MATCH(T915,EUwideConstants!$S$164:$S$200,0))))</f>
        <v/>
      </c>
      <c r="Z915" s="314"/>
      <c r="AA915" s="314"/>
      <c r="AB915" s="314"/>
      <c r="AC915" s="429" t="b">
        <f>AND(AC910,Y915&lt;&gt;EUconst_NA)</f>
        <v>0</v>
      </c>
      <c r="AD915" s="314"/>
      <c r="AE915" s="430"/>
      <c r="AF915" s="431"/>
      <c r="AG915" s="432"/>
      <c r="AH915" s="433"/>
      <c r="AI915" s="433"/>
      <c r="AJ915" s="433"/>
      <c r="AK915" s="434"/>
      <c r="AL915" s="326"/>
      <c r="AM915" s="326"/>
      <c r="AN915" s="326"/>
      <c r="AO915" s="326"/>
      <c r="AP915" s="326"/>
      <c r="AQ915" s="435" t="s">
        <v>159</v>
      </c>
      <c r="AR915" s="430"/>
      <c r="AS915" s="436" t="str">
        <f t="shared" si="276"/>
        <v/>
      </c>
      <c r="AT915" s="437"/>
      <c r="AU915" s="438" t="str">
        <f t="shared" si="277"/>
        <v/>
      </c>
      <c r="AV915" s="429">
        <f t="shared" si="278"/>
        <v>0</v>
      </c>
      <c r="AW915" s="407" t="b">
        <f t="shared" si="270"/>
        <v>0</v>
      </c>
      <c r="AX915" s="439" t="b">
        <f t="shared" si="271"/>
        <v>0</v>
      </c>
      <c r="AY915" s="314"/>
      <c r="AZ915" s="408" t="b">
        <f t="shared" si="272"/>
        <v>0</v>
      </c>
      <c r="BA915" s="440" t="b">
        <f t="shared" si="273"/>
        <v>0</v>
      </c>
      <c r="BB915" s="314"/>
      <c r="BC915" s="407" t="b">
        <f t="shared" si="274"/>
        <v>0</v>
      </c>
      <c r="BD915" s="407" t="b">
        <f>OR(AV914&gt;100%,(AV914+AV915)&gt;100%)</f>
        <v>0</v>
      </c>
      <c r="BE915" s="314"/>
      <c r="BF915" s="408" t="s">
        <v>166</v>
      </c>
      <c r="BG915" s="409" t="str">
        <f>IF(AN906=EUconst_TJ,AV906*AV910,IF(AN908=EUconst_GJ,AV906*AV908/1000*AV910,""))</f>
        <v/>
      </c>
      <c r="BH915" s="314"/>
      <c r="BI915" s="314"/>
      <c r="BJ915" s="314"/>
      <c r="BK915" s="314"/>
      <c r="BL915" s="314"/>
      <c r="BM915" s="314"/>
      <c r="BN915" s="314"/>
      <c r="BO915" s="314"/>
      <c r="BP915" s="314"/>
      <c r="BQ915" s="314"/>
      <c r="BR915" s="314"/>
      <c r="BS915" s="314"/>
      <c r="BT915" s="314"/>
      <c r="BU915" s="314"/>
      <c r="BV915" s="314"/>
      <c r="BW915" s="314"/>
      <c r="BX915" s="314"/>
      <c r="BY915" s="314"/>
      <c r="BZ915" s="314"/>
      <c r="CA915" s="314"/>
      <c r="CB915" s="314"/>
      <c r="CC915" s="314"/>
      <c r="CD915" s="314"/>
      <c r="CE915" s="314"/>
      <c r="CF915" s="314"/>
      <c r="CG915" s="314"/>
      <c r="CH915" s="314"/>
      <c r="CI915" s="314"/>
      <c r="CJ915" s="314"/>
      <c r="CK915" s="314"/>
      <c r="CL915" s="314"/>
      <c r="CM915" s="314"/>
      <c r="CN915" s="314"/>
      <c r="CO915" s="314"/>
      <c r="CP915" s="314"/>
      <c r="CQ915" s="407" t="b">
        <f>OR(CQ906,Y915=EUconst_NA)</f>
        <v>0</v>
      </c>
    </row>
    <row r="916" spans="1:95" ht="5.15" customHeight="1" thickBot="1" x14ac:dyDescent="0.3">
      <c r="A916" s="307"/>
      <c r="B916" s="68"/>
      <c r="C916" s="68"/>
      <c r="D916" s="205"/>
      <c r="E916" s="76"/>
      <c r="F916" s="76"/>
      <c r="G916" s="76"/>
      <c r="H916" s="76"/>
      <c r="I916" s="76"/>
      <c r="J916" s="76"/>
      <c r="K916" s="76"/>
      <c r="L916" s="76"/>
      <c r="M916" s="453"/>
      <c r="N916" s="76"/>
      <c r="O916" s="160"/>
      <c r="P916" s="109"/>
      <c r="Q916" s="312"/>
      <c r="R916" s="312"/>
      <c r="S916" s="314"/>
      <c r="T916" s="314"/>
      <c r="U916" s="314"/>
      <c r="V916" s="314"/>
      <c r="W916" s="314"/>
      <c r="X916" s="314"/>
      <c r="Y916" s="314"/>
      <c r="Z916" s="314"/>
      <c r="AA916" s="314"/>
      <c r="AB916" s="314"/>
      <c r="AC916" s="314"/>
      <c r="AD916" s="314"/>
      <c r="AE916" s="314"/>
      <c r="AF916" s="314"/>
      <c r="AG916" s="314"/>
      <c r="AH916" s="314"/>
      <c r="AI916" s="314"/>
      <c r="AJ916" s="314"/>
      <c r="AK916" s="314"/>
      <c r="AL916" s="314"/>
      <c r="AM916" s="314"/>
      <c r="AN916" s="314"/>
      <c r="AO916" s="314"/>
      <c r="AP916" s="314"/>
      <c r="AQ916" s="314"/>
      <c r="AR916" s="314"/>
      <c r="AS916" s="314"/>
      <c r="AT916" s="314"/>
      <c r="AU916" s="314"/>
      <c r="AV916" s="314"/>
      <c r="AW916" s="314"/>
      <c r="AX916" s="314"/>
      <c r="AY916" s="314"/>
      <c r="AZ916" s="314"/>
      <c r="BA916" s="314"/>
      <c r="BB916" s="314"/>
      <c r="BC916" s="314"/>
      <c r="BD916" s="314"/>
      <c r="BE916" s="314"/>
      <c r="BF916" s="314"/>
      <c r="BG916" s="364"/>
      <c r="BH916" s="314"/>
      <c r="BI916" s="314"/>
      <c r="BJ916" s="314"/>
      <c r="BK916" s="314"/>
      <c r="BL916" s="314"/>
      <c r="BM916" s="314"/>
      <c r="BN916" s="314"/>
      <c r="BO916" s="314"/>
      <c r="BP916" s="314"/>
      <c r="BQ916" s="314"/>
      <c r="BR916" s="314"/>
      <c r="BS916" s="314"/>
      <c r="BT916" s="314"/>
      <c r="BU916" s="314"/>
      <c r="BV916" s="314"/>
      <c r="BW916" s="314"/>
      <c r="BX916" s="314"/>
      <c r="BY916" s="314"/>
      <c r="BZ916" s="314"/>
      <c r="CA916" s="314"/>
      <c r="CB916" s="314"/>
      <c r="CC916" s="314"/>
      <c r="CD916" s="314"/>
      <c r="CE916" s="314"/>
      <c r="CF916" s="314"/>
      <c r="CG916" s="314"/>
      <c r="CH916" s="314"/>
      <c r="CI916" s="314"/>
      <c r="CJ916" s="314"/>
      <c r="CK916" s="314"/>
      <c r="CL916" s="314"/>
      <c r="CM916" s="314"/>
      <c r="CN916" s="314"/>
      <c r="CO916" s="314"/>
      <c r="CP916" s="314"/>
      <c r="CQ916" s="314"/>
    </row>
    <row r="917" spans="1:95" ht="12.75" customHeight="1" thickBot="1" x14ac:dyDescent="0.3">
      <c r="A917" s="307"/>
      <c r="B917" s="68"/>
      <c r="C917" s="199" t="s">
        <v>167</v>
      </c>
      <c r="D917" s="344" t="str">
        <f>Translations!$B$398</f>
        <v>Scope factor:</v>
      </c>
      <c r="E917" s="454"/>
      <c r="F917" s="992"/>
      <c r="G917" s="1263"/>
      <c r="H917" s="1264"/>
      <c r="I917" s="455" t="s">
        <v>46</v>
      </c>
      <c r="J917" s="456"/>
      <c r="K917" s="457" t="str">
        <f>IF(L917="",AU917,"")</f>
        <v/>
      </c>
      <c r="L917" s="16"/>
      <c r="M917" s="458" t="str">
        <f>IF(AND(E901&lt;&gt;"",OR(F917="",G917="",COUNT(K917:L917)=0)),EUconst_ERR_Incomplete,IF(COUNTIF(BB917:BD917,TRUE)&gt;0,EUconst_ERR_Inconsistent,""))</f>
        <v/>
      </c>
      <c r="N917" s="76"/>
      <c r="O917" s="160"/>
      <c r="P917" s="109"/>
      <c r="Q917" s="312"/>
      <c r="R917" s="314"/>
      <c r="S917" s="297"/>
      <c r="T917" s="459" t="str">
        <f>EUconst_CNTR_ScopeFactor&amp;E901</f>
        <v>ScopeFactor_</v>
      </c>
      <c r="U917" s="231" t="str">
        <f>IF(F917="","",INDEX(ScopeAddress,MATCH(F917,ScopeTiers,0)))</f>
        <v/>
      </c>
      <c r="V917" s="360" t="str">
        <f>V906</f>
        <v/>
      </c>
      <c r="W917" s="314"/>
      <c r="X917" s="314"/>
      <c r="Y917" s="460" t="str">
        <f>IF(E901="","",IF(F917=EUconst_NA,EUconst_NA,INDEX(EUwideConstants!$P$164:$P$200,MATCH(T917,EUwideConstants!$S$164:$S$200,0))))</f>
        <v/>
      </c>
      <c r="Z917" s="461" t="str">
        <f>IF(ISBLANK(F917),"",IF(F917=EUconst_NA,"",INDEX(EUwideConstants!$H:$O,MATCH(T917,EUwideConstants!$S:$S,0),MATCH(F917,CNTR_TierList,0))))</f>
        <v/>
      </c>
      <c r="AA917" s="331" t="str">
        <f>IF(G917=EUwideConstants!$A$89,1,"")</f>
        <v/>
      </c>
      <c r="AB917" s="314"/>
      <c r="AC917" s="331" t="b">
        <f>AND(AC906,Y917&lt;&gt;EUconst_NA)</f>
        <v>0</v>
      </c>
      <c r="AD917" s="314"/>
      <c r="AE917" s="314"/>
      <c r="AF917" s="314"/>
      <c r="AG917" s="319"/>
      <c r="AH917" s="314"/>
      <c r="AI917" s="314"/>
      <c r="AJ917" s="314"/>
      <c r="AK917" s="314"/>
      <c r="AL917" s="314"/>
      <c r="AM917" s="314"/>
      <c r="AN917" s="314"/>
      <c r="AO917" s="314"/>
      <c r="AP917" s="314"/>
      <c r="AQ917" s="314"/>
      <c r="AR917" s="314"/>
      <c r="AS917" s="328">
        <v>1</v>
      </c>
      <c r="AT917" s="314"/>
      <c r="AU917" s="319" t="str">
        <f>IF(G917=EUwideConstants!$A$89,AS917,"")</f>
        <v/>
      </c>
      <c r="AV917" s="331">
        <f>IF(AC917=TRUE,IF(COUNT(K917:L917)=0,0,IF(L917="",K917,L917)),0)</f>
        <v>0</v>
      </c>
      <c r="AW917" s="360" t="b">
        <f>AND(AC917=TRUE,OR(AND(F917&lt;&gt;"",NOT(ISNUMBER(AA917))),L917&lt;&gt;"",F917="",AU917=""))</f>
        <v>0</v>
      </c>
      <c r="AX917" s="357" t="b">
        <f>AND(AC917=TRUE,NOT(AW917))</f>
        <v>0</v>
      </c>
      <c r="AY917" s="314"/>
      <c r="AZ917" s="361" t="b">
        <f>AND(ISNUMBER(AA917),AU917="")</f>
        <v>0</v>
      </c>
      <c r="BA917" s="351" t="b">
        <f>AND(ISNUMBER(AA917),AU917&lt;&gt;AV917)</f>
        <v>0</v>
      </c>
      <c r="BB917" s="314"/>
      <c r="BC917" s="360" t="b">
        <f>AND(F917&lt;&gt;"",OR(COUNTIF(INDEX(ScopeMethods,F917,),G917)=0,AND(AA917&lt;&gt;"",AU917&lt;&gt;AV917)))</f>
        <v>0</v>
      </c>
      <c r="BD917" s="314"/>
      <c r="BE917" s="314"/>
      <c r="BF917" s="361" t="s">
        <v>168</v>
      </c>
      <c r="BG917" s="362" t="str">
        <f>IF(AN906=EUconst_TJ,AV906*AV912,IF(AN908=EUconst_GJ,AV906*AV908/1000*AV912,""))</f>
        <v/>
      </c>
      <c r="BH917" s="314"/>
      <c r="BI917" s="314"/>
      <c r="BJ917" s="314"/>
      <c r="BK917" s="314"/>
      <c r="BL917" s="314"/>
      <c r="BM917" s="314"/>
      <c r="BN917" s="314"/>
      <c r="BO917" s="314"/>
      <c r="BP917" s="314"/>
      <c r="BQ917" s="314"/>
      <c r="BR917" s="314"/>
      <c r="BS917" s="314"/>
      <c r="BT917" s="314"/>
      <c r="BU917" s="314"/>
      <c r="BV917" s="314"/>
      <c r="BW917" s="314"/>
      <c r="BX917" s="314"/>
      <c r="BY917" s="314"/>
      <c r="BZ917" s="314"/>
      <c r="CA917" s="314"/>
      <c r="CB917" s="314"/>
      <c r="CC917" s="314"/>
      <c r="CD917" s="314"/>
      <c r="CE917" s="314"/>
      <c r="CF917" s="314"/>
      <c r="CG917" s="314"/>
      <c r="CH917" s="314"/>
      <c r="CI917" s="314"/>
      <c r="CJ917" s="314"/>
      <c r="CK917" s="314"/>
      <c r="CL917" s="314"/>
      <c r="CM917" s="314"/>
      <c r="CN917" s="314"/>
      <c r="CO917" s="314"/>
      <c r="CP917" s="314"/>
      <c r="CQ917" s="314"/>
    </row>
    <row r="918" spans="1:95" ht="12.75" customHeight="1" x14ac:dyDescent="0.25">
      <c r="A918" s="307"/>
      <c r="B918" s="68"/>
      <c r="C918" s="68"/>
      <c r="D918" s="68"/>
      <c r="E918" s="68"/>
      <c r="F918" s="68"/>
      <c r="G918" s="1265" t="str">
        <f>IF(G917="","",INDEX(ScopeMethodsDetails,MATCH(G917,INDEX(ScopeMethodsDetails,,1),0),2))</f>
        <v/>
      </c>
      <c r="H918" s="1266"/>
      <c r="I918" s="1266"/>
      <c r="J918" s="1266"/>
      <c r="K918" s="1266"/>
      <c r="L918" s="1266"/>
      <c r="M918" s="1267"/>
      <c r="N918" s="76"/>
      <c r="O918" s="160"/>
      <c r="P918" s="109"/>
      <c r="Q918" s="312"/>
      <c r="R918" s="312"/>
      <c r="S918" s="314"/>
      <c r="T918" s="314"/>
      <c r="U918" s="314"/>
      <c r="V918" s="314"/>
      <c r="W918" s="314"/>
      <c r="X918" s="314"/>
      <c r="Y918" s="314"/>
      <c r="Z918" s="314"/>
      <c r="AA918" s="314"/>
      <c r="AB918" s="314"/>
      <c r="AC918" s="314"/>
      <c r="AD918" s="314"/>
      <c r="AE918" s="314"/>
      <c r="AF918" s="314"/>
      <c r="AG918" s="314"/>
      <c r="AH918" s="314"/>
      <c r="AI918" s="314"/>
      <c r="AJ918" s="314"/>
      <c r="AK918" s="314"/>
      <c r="AL918" s="314"/>
      <c r="AM918" s="314"/>
      <c r="AN918" s="314"/>
      <c r="AO918" s="314"/>
      <c r="AP918" s="314"/>
      <c r="AQ918" s="314"/>
      <c r="AR918" s="314"/>
      <c r="AS918" s="314"/>
      <c r="AT918" s="314"/>
      <c r="AU918" s="314"/>
      <c r="AV918" s="314"/>
      <c r="AW918" s="314"/>
      <c r="AX918" s="314"/>
      <c r="AY918" s="314"/>
      <c r="AZ918" s="314"/>
      <c r="BA918" s="314"/>
      <c r="BB918" s="314"/>
      <c r="BC918" s="314"/>
      <c r="BD918" s="314"/>
      <c r="BE918" s="314"/>
      <c r="BG918" s="364"/>
      <c r="BH918" s="314"/>
      <c r="BI918" s="314"/>
      <c r="BJ918" s="314"/>
      <c r="BK918" s="314"/>
      <c r="BL918" s="314"/>
      <c r="BM918" s="314"/>
      <c r="BN918" s="314"/>
      <c r="BO918" s="314"/>
      <c r="BP918" s="314"/>
      <c r="BQ918" s="314"/>
      <c r="BR918" s="314"/>
      <c r="BS918" s="314"/>
      <c r="BT918" s="314"/>
      <c r="BU918" s="314"/>
      <c r="BV918" s="314"/>
      <c r="BW918" s="314"/>
      <c r="BX918" s="314"/>
      <c r="BY918" s="314"/>
      <c r="BZ918" s="314"/>
      <c r="CA918" s="314"/>
      <c r="CB918" s="314"/>
      <c r="CC918" s="314"/>
      <c r="CD918" s="314"/>
      <c r="CE918" s="314"/>
      <c r="CF918" s="314"/>
      <c r="CG918" s="314"/>
      <c r="CH918" s="314"/>
      <c r="CI918" s="314"/>
      <c r="CJ918" s="314"/>
      <c r="CK918" s="314"/>
      <c r="CL918" s="314"/>
      <c r="CM918" s="314"/>
      <c r="CN918" s="314"/>
      <c r="CO918" s="314"/>
      <c r="CP918" s="314"/>
      <c r="CQ918" s="314"/>
    </row>
    <row r="919" spans="1:95" ht="5.15" customHeight="1" x14ac:dyDescent="0.25">
      <c r="A919" s="307"/>
      <c r="C919" s="76"/>
      <c r="D919" s="76"/>
      <c r="E919" s="76"/>
      <c r="F919" s="76"/>
      <c r="G919" s="76"/>
      <c r="H919" s="76"/>
      <c r="I919" s="76"/>
      <c r="J919" s="76"/>
      <c r="K919" s="76"/>
      <c r="L919" s="76"/>
      <c r="O919" s="160"/>
      <c r="P919" s="109"/>
      <c r="Q919" s="312"/>
      <c r="R919" s="312"/>
      <c r="S919" s="314"/>
      <c r="T919" s="314"/>
      <c r="U919" s="314"/>
      <c r="V919" s="314"/>
      <c r="W919" s="314"/>
      <c r="X919" s="314"/>
      <c r="Y919" s="314"/>
      <c r="Z919" s="314"/>
      <c r="AA919" s="314"/>
      <c r="AB919" s="314"/>
      <c r="AC919" s="314"/>
      <c r="AD919" s="314"/>
      <c r="AE919" s="314"/>
      <c r="AF919" s="314"/>
      <c r="AG919" s="314"/>
      <c r="AH919" s="314"/>
      <c r="AI919" s="314"/>
      <c r="AJ919" s="314"/>
      <c r="AK919" s="314"/>
      <c r="AL919" s="314"/>
      <c r="AM919" s="314"/>
      <c r="AN919" s="314"/>
      <c r="AO919" s="314"/>
      <c r="AP919" s="314"/>
      <c r="AQ919" s="314"/>
      <c r="AR919" s="314"/>
      <c r="AS919" s="314"/>
      <c r="AT919" s="314"/>
      <c r="AU919" s="314"/>
      <c r="AV919" s="314"/>
      <c r="AW919" s="314"/>
      <c r="AX919" s="314"/>
      <c r="AY919" s="314"/>
      <c r="AZ919" s="314"/>
      <c r="BA919" s="314"/>
      <c r="BB919" s="314"/>
      <c r="BC919" s="314"/>
      <c r="BD919" s="314"/>
      <c r="BE919" s="314"/>
      <c r="BG919" s="364"/>
      <c r="BH919" s="314"/>
      <c r="BI919" s="314"/>
      <c r="BJ919" s="314"/>
      <c r="BK919" s="314"/>
      <c r="BL919" s="314"/>
      <c r="BM919" s="314"/>
      <c r="BN919" s="314"/>
      <c r="BO919" s="314"/>
      <c r="BP919" s="314"/>
      <c r="BQ919" s="314"/>
      <c r="BR919" s="314"/>
      <c r="BS919" s="314"/>
      <c r="BT919" s="314"/>
      <c r="BU919" s="314"/>
      <c r="BV919" s="314"/>
      <c r="BW919" s="314"/>
      <c r="BX919" s="314"/>
      <c r="BY919" s="314"/>
      <c r="BZ919" s="314"/>
      <c r="CA919" s="314"/>
      <c r="CB919" s="314"/>
      <c r="CC919" s="314"/>
      <c r="CD919" s="314"/>
      <c r="CE919" s="314"/>
      <c r="CF919" s="314"/>
      <c r="CG919" s="314"/>
      <c r="CH919" s="314"/>
      <c r="CI919" s="314"/>
      <c r="CJ919" s="314"/>
      <c r="CK919" s="314"/>
      <c r="CL919" s="314"/>
      <c r="CM919" s="314"/>
      <c r="CN919" s="314"/>
      <c r="CO919" s="314"/>
      <c r="CP919" s="314"/>
      <c r="CQ919" s="314"/>
    </row>
    <row r="920" spans="1:95" ht="12.75" customHeight="1" thickBot="1" x14ac:dyDescent="0.3">
      <c r="A920" s="307"/>
      <c r="C920" s="76"/>
      <c r="D920" s="76"/>
      <c r="E920" s="76"/>
      <c r="F920" s="76"/>
      <c r="G920" s="1268">
        <v>1</v>
      </c>
      <c r="H920" s="1268"/>
      <c r="I920" s="1268">
        <v>2</v>
      </c>
      <c r="J920" s="1268"/>
      <c r="K920" s="1268">
        <v>3</v>
      </c>
      <c r="L920" s="1268"/>
      <c r="O920" s="160"/>
      <c r="P920" s="109"/>
      <c r="Q920" s="312"/>
      <c r="R920" s="312"/>
      <c r="S920" s="314"/>
      <c r="T920" s="314"/>
      <c r="U920" s="314"/>
      <c r="V920" s="314"/>
      <c r="W920" s="314"/>
      <c r="X920" s="314"/>
      <c r="Y920" s="314"/>
      <c r="Z920" s="314"/>
      <c r="AA920" s="314"/>
      <c r="AB920" s="314"/>
      <c r="AC920" s="314"/>
      <c r="AD920" s="314"/>
      <c r="AE920" s="314"/>
      <c r="AF920" s="314"/>
      <c r="AG920" s="314"/>
      <c r="AH920" s="314"/>
      <c r="AI920" s="314"/>
      <c r="AJ920" s="314"/>
      <c r="AK920" s="314"/>
      <c r="AL920" s="314"/>
      <c r="AM920" s="314"/>
      <c r="AN920" s="314"/>
      <c r="AO920" s="314"/>
      <c r="AP920" s="314"/>
      <c r="AQ920" s="314"/>
      <c r="AR920" s="314"/>
      <c r="AS920" s="314"/>
      <c r="AT920" s="314"/>
      <c r="AU920" s="314"/>
      <c r="AV920" s="314"/>
      <c r="AW920" s="314"/>
      <c r="AX920" s="314"/>
      <c r="AY920" s="314"/>
      <c r="AZ920" s="314"/>
      <c r="BA920" s="314"/>
      <c r="BB920" s="314"/>
      <c r="BC920" s="314"/>
      <c r="BD920" s="314"/>
      <c r="BE920" s="314"/>
      <c r="BF920" s="314"/>
      <c r="BG920" s="364"/>
      <c r="BH920" s="314"/>
      <c r="BI920" s="314"/>
      <c r="BJ920" s="314"/>
      <c r="BK920" s="314"/>
      <c r="BL920" s="314"/>
      <c r="BM920" s="314"/>
      <c r="BN920" s="314"/>
      <c r="BO920" s="314"/>
      <c r="BP920" s="314"/>
      <c r="BQ920" s="314"/>
      <c r="BR920" s="314"/>
      <c r="BS920" s="314"/>
      <c r="BT920" s="314"/>
      <c r="BU920" s="314"/>
      <c r="BV920" s="314"/>
      <c r="BW920" s="314"/>
      <c r="BX920" s="314"/>
      <c r="BY920" s="314"/>
      <c r="BZ920" s="314"/>
      <c r="CA920" s="314"/>
      <c r="CB920" s="314"/>
      <c r="CC920" s="314"/>
      <c r="CD920" s="314"/>
      <c r="CE920" s="314"/>
      <c r="CF920" s="314"/>
      <c r="CG920" s="314"/>
      <c r="CH920" s="314"/>
      <c r="CI920" s="314"/>
      <c r="CJ920" s="314"/>
      <c r="CK920" s="314"/>
      <c r="CL920" s="314"/>
      <c r="CM920" s="314"/>
      <c r="CN920" s="314"/>
      <c r="CO920" s="314"/>
      <c r="CP920" s="314"/>
      <c r="CQ920" s="314"/>
    </row>
    <row r="921" spans="1:95" ht="12.75" customHeight="1" thickBot="1" x14ac:dyDescent="0.3">
      <c r="A921" s="462"/>
      <c r="B921" s="76"/>
      <c r="C921" s="76"/>
      <c r="D921" s="1246" t="str">
        <f>Translations!$B$372</f>
        <v>Consumers' CRF category:</v>
      </c>
      <c r="E921" s="1246"/>
      <c r="F921" s="1247"/>
      <c r="G921" s="1248"/>
      <c r="H921" s="1249"/>
      <c r="I921" s="1248"/>
      <c r="J921" s="1249"/>
      <c r="K921" s="1248"/>
      <c r="L921" s="1249"/>
      <c r="M921" s="463" t="str">
        <f>IF(AND(E900&lt;&gt;"",COUNTA(G921:L921)=0,AX921=FALSE),EUconst_ERR_Incomplete,"")</f>
        <v/>
      </c>
      <c r="N921" s="76"/>
      <c r="O921" s="160"/>
      <c r="P921" s="109"/>
      <c r="Q921" s="312"/>
      <c r="R921" s="312"/>
      <c r="S921" s="314"/>
      <c r="T921" s="314"/>
      <c r="U921" s="314"/>
      <c r="V921" s="314"/>
      <c r="W921" s="314"/>
      <c r="X921" s="314"/>
      <c r="Y921" s="314"/>
      <c r="Z921" s="314"/>
      <c r="AA921" s="314"/>
      <c r="AB921" s="314"/>
      <c r="AC921" s="314"/>
      <c r="AD921" s="314"/>
      <c r="AE921" s="314"/>
      <c r="AF921" s="314"/>
      <c r="AG921" s="314"/>
      <c r="AH921" s="314"/>
      <c r="AI921" s="314"/>
      <c r="AJ921" s="314"/>
      <c r="AK921" s="314"/>
      <c r="AL921" s="314"/>
      <c r="AM921" s="314"/>
      <c r="AN921" s="314"/>
      <c r="AO921" s="314"/>
      <c r="AP921" s="314"/>
      <c r="AQ921" s="314"/>
      <c r="AR921" s="314"/>
      <c r="AS921" s="314"/>
      <c r="AT921" s="314"/>
      <c r="AU921" s="314"/>
      <c r="AV921" s="314"/>
      <c r="AW921" s="314"/>
      <c r="AX921" s="464" t="b">
        <f>AND(AV917&lt;&gt;"",SUM(AV917=1))</f>
        <v>0</v>
      </c>
      <c r="AY921" s="314"/>
      <c r="AZ921" s="314"/>
      <c r="BA921" s="314"/>
      <c r="BB921" s="314"/>
      <c r="BC921" s="314"/>
      <c r="BD921" s="314"/>
      <c r="BE921" s="314"/>
      <c r="BF921" s="361" t="s">
        <v>169</v>
      </c>
      <c r="BG921" s="362" t="str">
        <f>IF(AN906=EUconst_TJ,AV906*AV914,IF(AN908=EUconst_GJ,AV906*AV908/1000*AV914,""))</f>
        <v/>
      </c>
      <c r="BH921" s="314"/>
      <c r="BI921" s="314"/>
      <c r="BJ921" s="314"/>
      <c r="BK921" s="314"/>
      <c r="BL921" s="314"/>
      <c r="BM921" s="314"/>
      <c r="BN921" s="314"/>
      <c r="BO921" s="314"/>
      <c r="BP921" s="314"/>
      <c r="BQ921" s="314"/>
      <c r="BR921" s="314"/>
      <c r="BS921" s="314"/>
      <c r="BT921" s="314"/>
      <c r="BU921" s="314"/>
      <c r="BV921" s="314"/>
      <c r="BW921" s="314"/>
      <c r="BX921" s="314"/>
      <c r="BY921" s="314"/>
      <c r="BZ921" s="314"/>
      <c r="CA921" s="314"/>
      <c r="CB921" s="314"/>
      <c r="CC921" s="314"/>
      <c r="CD921" s="314"/>
      <c r="CE921" s="314"/>
      <c r="CF921" s="314"/>
      <c r="CG921" s="314"/>
      <c r="CH921" s="314"/>
      <c r="CI921" s="314"/>
      <c r="CJ921" s="314"/>
      <c r="CK921" s="314"/>
      <c r="CL921" s="314"/>
      <c r="CM921" s="314"/>
      <c r="CN921" s="314"/>
      <c r="CO921" s="314"/>
      <c r="CP921" s="314"/>
      <c r="CQ921" s="314"/>
    </row>
    <row r="922" spans="1:95" ht="5.15" customHeight="1" x14ac:dyDescent="0.25">
      <c r="A922" s="307"/>
      <c r="B922" s="68"/>
      <c r="C922" s="68"/>
      <c r="D922" s="68"/>
      <c r="E922" s="68"/>
      <c r="F922" s="68"/>
      <c r="G922" s="76"/>
      <c r="H922" s="76"/>
      <c r="I922" s="76"/>
      <c r="J922" s="76"/>
      <c r="K922" s="76"/>
      <c r="L922" s="76"/>
      <c r="M922" s="76"/>
      <c r="N922" s="76"/>
      <c r="O922" s="160"/>
      <c r="P922" s="109"/>
      <c r="Q922" s="312"/>
      <c r="R922" s="312"/>
      <c r="S922" s="314"/>
      <c r="T922" s="314"/>
      <c r="U922" s="314"/>
      <c r="V922" s="314"/>
      <c r="W922" s="314"/>
      <c r="X922" s="314"/>
      <c r="Y922" s="314"/>
      <c r="Z922" s="314"/>
      <c r="AA922" s="314"/>
      <c r="AB922" s="314"/>
      <c r="AC922" s="314"/>
      <c r="AD922" s="314"/>
      <c r="AE922" s="314"/>
      <c r="AF922" s="314"/>
      <c r="AG922" s="314"/>
      <c r="AH922" s="314"/>
      <c r="AI922" s="314"/>
      <c r="AJ922" s="314"/>
      <c r="AK922" s="314"/>
      <c r="AL922" s="314"/>
      <c r="AM922" s="314"/>
      <c r="AN922" s="314"/>
      <c r="AO922" s="314"/>
      <c r="AP922" s="314"/>
      <c r="AQ922" s="314"/>
      <c r="AR922" s="314"/>
      <c r="AS922" s="314"/>
      <c r="AT922" s="314"/>
      <c r="AU922" s="314"/>
      <c r="AV922" s="314"/>
      <c r="AW922" s="314"/>
      <c r="AX922" s="314"/>
      <c r="AY922" s="314"/>
      <c r="AZ922" s="314"/>
      <c r="BA922" s="314"/>
      <c r="BB922" s="314"/>
      <c r="BC922" s="314"/>
      <c r="BD922" s="314"/>
      <c r="BE922" s="314"/>
      <c r="BF922" s="314"/>
      <c r="BG922" s="314"/>
      <c r="BH922" s="314"/>
      <c r="BI922" s="314"/>
      <c r="BJ922" s="314"/>
      <c r="BK922" s="314"/>
      <c r="BL922" s="314"/>
      <c r="BM922" s="314"/>
      <c r="BN922" s="314"/>
      <c r="BO922" s="314"/>
      <c r="BP922" s="314"/>
      <c r="BQ922" s="314"/>
      <c r="BR922" s="314"/>
      <c r="BS922" s="314"/>
      <c r="BT922" s="314"/>
      <c r="BU922" s="314"/>
      <c r="BV922" s="314"/>
      <c r="BW922" s="314"/>
      <c r="BX922" s="314"/>
      <c r="BY922" s="314"/>
      <c r="BZ922" s="314"/>
      <c r="CA922" s="314"/>
      <c r="CB922" s="314"/>
      <c r="CC922" s="314"/>
      <c r="CD922" s="314"/>
      <c r="CE922" s="314"/>
      <c r="CF922" s="314"/>
      <c r="CG922" s="314"/>
      <c r="CH922" s="314"/>
      <c r="CI922" s="314"/>
      <c r="CJ922" s="314"/>
      <c r="CK922" s="314"/>
      <c r="CL922" s="314"/>
      <c r="CM922" s="314"/>
      <c r="CN922" s="314"/>
      <c r="CO922" s="314"/>
      <c r="CP922" s="314"/>
      <c r="CQ922" s="314"/>
    </row>
    <row r="923" spans="1:95" ht="12.75" customHeight="1" x14ac:dyDescent="0.25">
      <c r="A923" s="307"/>
      <c r="B923" s="68"/>
      <c r="C923" s="68"/>
      <c r="D923" s="1246" t="str">
        <f>Translations!$B$399</f>
        <v>Tiers valid from:</v>
      </c>
      <c r="E923" s="1246"/>
      <c r="F923" s="1247"/>
      <c r="G923" s="8"/>
      <c r="H923" s="199" t="str">
        <f>Translations!$B$400</f>
        <v>until:</v>
      </c>
      <c r="I923" s="8"/>
      <c r="J923" s="76"/>
      <c r="K923" s="76"/>
      <c r="L923" s="76"/>
      <c r="M923" s="199" t="str">
        <f>Translations!$B$401</f>
        <v>ID used in the monitoring plan for this fuel stream:</v>
      </c>
      <c r="N923" s="9"/>
      <c r="O923" s="160"/>
      <c r="P923" s="109"/>
      <c r="Q923" s="312"/>
      <c r="R923" s="312"/>
      <c r="S923" s="465"/>
      <c r="T923" s="314"/>
      <c r="U923" s="314"/>
      <c r="V923" s="314"/>
      <c r="W923" s="314"/>
      <c r="X923" s="314"/>
      <c r="Y923" s="314"/>
      <c r="Z923" s="314"/>
      <c r="AA923" s="314"/>
      <c r="AB923" s="314"/>
      <c r="AC923" s="314"/>
      <c r="AD923" s="314"/>
      <c r="AE923" s="314"/>
      <c r="AF923" s="314"/>
      <c r="AG923" s="314"/>
      <c r="AH923" s="314"/>
      <c r="AI923" s="314"/>
      <c r="AJ923" s="314"/>
      <c r="AK923" s="314"/>
      <c r="AL923" s="314"/>
      <c r="AM923" s="314"/>
      <c r="AN923" s="314"/>
      <c r="AO923" s="314"/>
      <c r="AP923" s="314"/>
      <c r="AQ923" s="314"/>
      <c r="AR923" s="314"/>
      <c r="AS923" s="314"/>
      <c r="AT923" s="314"/>
      <c r="AU923" s="314"/>
      <c r="AV923" s="314"/>
      <c r="AW923" s="314"/>
      <c r="AX923" s="314"/>
      <c r="AY923" s="314"/>
      <c r="AZ923" s="314"/>
      <c r="BA923" s="314"/>
      <c r="BB923" s="314"/>
      <c r="BC923" s="314"/>
      <c r="BD923" s="314"/>
      <c r="BE923" s="314"/>
      <c r="BF923" s="314"/>
      <c r="BG923" s="314"/>
      <c r="BH923" s="314"/>
      <c r="BI923" s="314"/>
      <c r="BJ923" s="314"/>
      <c r="BK923" s="314"/>
      <c r="BL923" s="314"/>
      <c r="BM923" s="314"/>
      <c r="BN923" s="314"/>
      <c r="BO923" s="314"/>
      <c r="BP923" s="314"/>
      <c r="BQ923" s="314"/>
      <c r="BR923" s="314"/>
      <c r="BS923" s="314"/>
      <c r="BT923" s="314"/>
      <c r="BU923" s="314"/>
      <c r="BV923" s="314"/>
      <c r="BW923" s="314"/>
      <c r="BX923" s="314"/>
      <c r="BY923" s="314"/>
      <c r="BZ923" s="314"/>
      <c r="CA923" s="314"/>
      <c r="CB923" s="314"/>
      <c r="CC923" s="314"/>
      <c r="CD923" s="314"/>
      <c r="CE923" s="314"/>
      <c r="CF923" s="314"/>
      <c r="CG923" s="314"/>
      <c r="CH923" s="314"/>
      <c r="CI923" s="314"/>
      <c r="CJ923" s="314"/>
      <c r="CK923" s="314"/>
      <c r="CL923" s="314"/>
      <c r="CM923" s="314"/>
      <c r="CN923" s="314"/>
      <c r="CO923" s="314"/>
      <c r="CP923" s="314"/>
      <c r="CQ923" s="464" t="b">
        <f>CQ906</f>
        <v>0</v>
      </c>
    </row>
    <row r="924" spans="1:95" ht="5.15" customHeight="1" x14ac:dyDescent="0.25">
      <c r="A924" s="462"/>
      <c r="B924" s="76"/>
      <c r="C924" s="76"/>
      <c r="D924" s="76"/>
      <c r="E924" s="76"/>
      <c r="F924" s="76"/>
      <c r="G924" s="76"/>
      <c r="H924" s="76"/>
      <c r="I924" s="76"/>
      <c r="J924" s="76"/>
      <c r="K924" s="76"/>
      <c r="L924" s="76"/>
      <c r="M924" s="76"/>
      <c r="N924" s="76"/>
      <c r="O924" s="160"/>
      <c r="P924" s="109"/>
      <c r="Q924" s="312"/>
      <c r="R924" s="312"/>
      <c r="S924" s="314"/>
      <c r="T924" s="314"/>
      <c r="U924" s="314"/>
      <c r="V924" s="314"/>
      <c r="W924" s="314"/>
      <c r="X924" s="314"/>
      <c r="Y924" s="314"/>
      <c r="Z924" s="314"/>
      <c r="AA924" s="314"/>
      <c r="AB924" s="314"/>
      <c r="AC924" s="314"/>
      <c r="AD924" s="314"/>
      <c r="AE924" s="314"/>
      <c r="AF924" s="314"/>
      <c r="AG924" s="314"/>
      <c r="AH924" s="314"/>
      <c r="AI924" s="314"/>
      <c r="AJ924" s="314"/>
      <c r="AK924" s="314"/>
      <c r="AL924" s="314"/>
      <c r="AM924" s="314"/>
      <c r="AN924" s="314"/>
      <c r="AO924" s="314"/>
      <c r="AP924" s="314"/>
      <c r="AQ924" s="314"/>
      <c r="AR924" s="314"/>
      <c r="AS924" s="314"/>
      <c r="AT924" s="314"/>
      <c r="AU924" s="314"/>
      <c r="AV924" s="314"/>
      <c r="AW924" s="314"/>
      <c r="AX924" s="314"/>
      <c r="AY924" s="314"/>
      <c r="AZ924" s="314"/>
      <c r="BA924" s="314"/>
      <c r="BB924" s="314"/>
      <c r="BC924" s="314"/>
      <c r="BD924" s="314"/>
      <c r="BE924" s="314"/>
      <c r="BF924" s="314"/>
      <c r="BG924" s="314"/>
      <c r="BH924" s="314"/>
      <c r="BI924" s="314"/>
      <c r="BJ924" s="314"/>
      <c r="BK924" s="314"/>
      <c r="BL924" s="314"/>
      <c r="BM924" s="314"/>
      <c r="BN924" s="314"/>
      <c r="BO924" s="314"/>
      <c r="BP924" s="314"/>
      <c r="BQ924" s="314"/>
      <c r="BR924" s="314"/>
      <c r="BS924" s="314"/>
      <c r="BT924" s="314"/>
      <c r="BU924" s="314"/>
      <c r="BV924" s="314"/>
      <c r="BW924" s="314"/>
      <c r="BX924" s="314"/>
      <c r="BY924" s="314"/>
      <c r="BZ924" s="314"/>
      <c r="CA924" s="314"/>
      <c r="CB924" s="314"/>
      <c r="CC924" s="314"/>
      <c r="CD924" s="314"/>
      <c r="CE924" s="314"/>
      <c r="CF924" s="314"/>
      <c r="CG924" s="314"/>
      <c r="CH924" s="314"/>
      <c r="CI924" s="314"/>
      <c r="CJ924" s="314"/>
      <c r="CK924" s="314"/>
      <c r="CL924" s="314"/>
      <c r="CM924" s="314"/>
      <c r="CN924" s="314"/>
      <c r="CO924" s="314"/>
      <c r="CP924" s="314"/>
      <c r="CQ924" s="314"/>
    </row>
    <row r="925" spans="1:95" ht="12.75" customHeight="1" x14ac:dyDescent="0.25">
      <c r="A925" s="462"/>
      <c r="B925" s="76"/>
      <c r="C925" s="76"/>
      <c r="D925" s="115"/>
      <c r="E925" s="85"/>
      <c r="F925" s="466" t="str">
        <f>Translations!$B$304</f>
        <v>Comments:</v>
      </c>
      <c r="G925" s="1250"/>
      <c r="H925" s="1251"/>
      <c r="I925" s="1251"/>
      <c r="J925" s="1251"/>
      <c r="K925" s="1251"/>
      <c r="L925" s="1251"/>
      <c r="M925" s="1251"/>
      <c r="N925" s="1252"/>
      <c r="O925" s="160"/>
      <c r="P925" s="109"/>
      <c r="Q925" s="312"/>
      <c r="R925" s="312"/>
      <c r="S925" s="314"/>
      <c r="T925" s="314"/>
      <c r="U925" s="314"/>
      <c r="V925" s="314"/>
      <c r="W925" s="314"/>
      <c r="X925" s="314"/>
      <c r="Y925" s="314"/>
      <c r="Z925" s="314"/>
      <c r="AA925" s="314"/>
      <c r="AB925" s="314"/>
      <c r="AC925" s="314"/>
      <c r="AD925" s="314"/>
      <c r="AE925" s="314"/>
      <c r="AF925" s="314"/>
      <c r="AG925" s="314"/>
      <c r="AH925" s="314"/>
      <c r="AI925" s="314"/>
      <c r="AJ925" s="314"/>
      <c r="AK925" s="314"/>
      <c r="AL925" s="314"/>
      <c r="AM925" s="314"/>
      <c r="AN925" s="314"/>
      <c r="AO925" s="314"/>
      <c r="AP925" s="314"/>
      <c r="AQ925" s="314"/>
      <c r="AR925" s="314"/>
      <c r="AS925" s="314"/>
      <c r="AT925" s="314"/>
      <c r="AU925" s="314"/>
      <c r="AV925" s="314"/>
      <c r="AW925" s="314"/>
      <c r="AX925" s="314"/>
      <c r="AY925" s="314"/>
      <c r="AZ925" s="314"/>
      <c r="BA925" s="314"/>
      <c r="BB925" s="314"/>
      <c r="BC925" s="314"/>
      <c r="BD925" s="314"/>
      <c r="BE925" s="314"/>
      <c r="BF925" s="314"/>
      <c r="BG925" s="314"/>
      <c r="BH925" s="314"/>
      <c r="BI925" s="314"/>
      <c r="BJ925" s="314"/>
      <c r="BK925" s="314"/>
      <c r="BL925" s="314"/>
      <c r="BM925" s="314"/>
      <c r="BN925" s="314"/>
      <c r="BO925" s="314"/>
      <c r="BP925" s="314"/>
      <c r="BQ925" s="314"/>
      <c r="BR925" s="314"/>
      <c r="BS925" s="314"/>
      <c r="BT925" s="314"/>
      <c r="BU925" s="314"/>
      <c r="BV925" s="314"/>
      <c r="BW925" s="314"/>
      <c r="BX925" s="314"/>
      <c r="BY925" s="314"/>
      <c r="BZ925" s="314"/>
      <c r="CA925" s="314"/>
      <c r="CB925" s="314"/>
      <c r="CC925" s="314"/>
      <c r="CD925" s="314"/>
      <c r="CE925" s="314"/>
      <c r="CF925" s="314"/>
      <c r="CG925" s="314"/>
      <c r="CH925" s="314"/>
      <c r="CI925" s="314"/>
      <c r="CJ925" s="314"/>
      <c r="CK925" s="314"/>
      <c r="CL925" s="314"/>
      <c r="CM925" s="314"/>
      <c r="CN925" s="314"/>
      <c r="CO925" s="314"/>
      <c r="CP925" s="314"/>
      <c r="CQ925" s="464" t="b">
        <f>CQ923</f>
        <v>0</v>
      </c>
    </row>
    <row r="926" spans="1:95" ht="12.75" customHeight="1" thickBot="1" x14ac:dyDescent="0.3">
      <c r="A926" s="307"/>
      <c r="B926" s="76"/>
      <c r="C926" s="308"/>
      <c r="D926" s="309"/>
      <c r="E926" s="310"/>
      <c r="F926" s="308"/>
      <c r="G926" s="311"/>
      <c r="H926" s="311"/>
      <c r="I926" s="311"/>
      <c r="J926" s="311"/>
      <c r="K926" s="311"/>
      <c r="L926" s="311"/>
      <c r="M926" s="311"/>
      <c r="N926" s="311"/>
      <c r="O926" s="160"/>
      <c r="P926" s="109"/>
      <c r="Q926" s="312"/>
      <c r="R926" s="312"/>
      <c r="S926" s="293"/>
      <c r="T926" s="293"/>
      <c r="U926" s="313"/>
      <c r="V926" s="293"/>
      <c r="W926" s="293"/>
      <c r="X926" s="313"/>
      <c r="Y926" s="293"/>
      <c r="Z926" s="293"/>
      <c r="AA926" s="293"/>
      <c r="AB926" s="293"/>
      <c r="AC926" s="293"/>
      <c r="AD926" s="293"/>
      <c r="AE926" s="293"/>
      <c r="AF926" s="293"/>
      <c r="AG926" s="293"/>
      <c r="AH926" s="293"/>
      <c r="AI926" s="293"/>
      <c r="AJ926" s="293"/>
      <c r="AK926" s="293"/>
      <c r="AL926" s="293"/>
      <c r="AM926" s="293"/>
      <c r="AN926" s="293"/>
      <c r="AO926" s="293"/>
      <c r="AP926" s="293"/>
      <c r="AQ926" s="293"/>
      <c r="AR926" s="293"/>
      <c r="AS926" s="293"/>
      <c r="AT926" s="293"/>
      <c r="AU926" s="293"/>
      <c r="AV926" s="293"/>
      <c r="AW926" s="293"/>
      <c r="AX926" s="293"/>
      <c r="AY926" s="293"/>
      <c r="AZ926" s="293"/>
      <c r="BA926" s="293"/>
      <c r="BB926" s="293"/>
      <c r="BC926" s="293"/>
      <c r="BD926" s="293"/>
      <c r="BE926" s="293"/>
      <c r="BF926" s="293"/>
      <c r="BG926" s="293"/>
      <c r="BH926" s="293"/>
      <c r="BI926" s="293"/>
      <c r="BJ926" s="293"/>
      <c r="BK926" s="293"/>
      <c r="BL926" s="293"/>
      <c r="BM926" s="314"/>
      <c r="BN926" s="314"/>
      <c r="BO926" s="314"/>
      <c r="BP926" s="314"/>
      <c r="BQ926" s="314"/>
      <c r="BR926" s="314"/>
      <c r="BS926" s="314"/>
      <c r="BT926" s="314"/>
      <c r="BU926" s="293"/>
      <c r="BV926" s="293"/>
      <c r="BW926" s="293"/>
      <c r="BX926" s="293"/>
      <c r="BY926" s="293"/>
      <c r="BZ926" s="293"/>
      <c r="CA926" s="293"/>
      <c r="CB926" s="293"/>
      <c r="CC926" s="293"/>
      <c r="CD926" s="293"/>
      <c r="CE926" s="293"/>
      <c r="CF926" s="293"/>
      <c r="CG926" s="293"/>
      <c r="CH926" s="293"/>
      <c r="CI926" s="293"/>
      <c r="CJ926" s="293"/>
      <c r="CK926" s="293"/>
      <c r="CL926" s="293"/>
      <c r="CM926" s="293"/>
      <c r="CN926" s="293"/>
      <c r="CO926" s="293"/>
      <c r="CP926" s="293"/>
      <c r="CQ926" s="293"/>
    </row>
    <row r="927" spans="1:95" ht="12.75" customHeight="1" thickBot="1" x14ac:dyDescent="0.3">
      <c r="A927" s="315"/>
      <c r="B927" s="76"/>
      <c r="C927" s="76"/>
      <c r="D927" s="205"/>
      <c r="E927" s="316"/>
      <c r="F927" s="76"/>
      <c r="G927" s="96"/>
      <c r="H927" s="96"/>
      <c r="I927" s="96"/>
      <c r="J927" s="96"/>
      <c r="K927" s="76"/>
      <c r="L927" s="96"/>
      <c r="M927" s="96"/>
      <c r="N927" s="96"/>
      <c r="O927" s="160"/>
      <c r="P927" s="109"/>
      <c r="Q927" s="312"/>
      <c r="R927" s="312"/>
      <c r="S927" s="287"/>
      <c r="T927" s="317" t="str">
        <f>IF(ISBLANK(E928),"",MATCH(E928,CNTR_SourceStreamNames,0))</f>
        <v/>
      </c>
      <c r="U927" s="318" t="str">
        <f>IF(ISBLANK(E928),"",INDEX(B_IdentifyFuelStreams!$D$67:$D$116,MATCH(E928,CNTR_SourceStreamNames,0)))</f>
        <v/>
      </c>
      <c r="V927" s="301"/>
      <c r="W927" s="138"/>
      <c r="X927" s="138"/>
      <c r="Y927" s="138"/>
      <c r="Z927" s="293"/>
      <c r="AA927" s="293"/>
      <c r="AB927" s="293"/>
      <c r="AC927" s="293"/>
      <c r="AD927" s="293"/>
      <c r="AE927" s="293"/>
      <c r="AF927" s="293"/>
      <c r="AG927" s="293"/>
      <c r="AH927" s="293"/>
      <c r="AI927" s="293"/>
      <c r="AJ927" s="293"/>
      <c r="AK927" s="312"/>
      <c r="AL927" s="293"/>
      <c r="AM927" s="293"/>
      <c r="AN927" s="293"/>
      <c r="AO927" s="293"/>
      <c r="AP927" s="293"/>
      <c r="AQ927" s="293"/>
      <c r="AR927" s="293"/>
      <c r="AS927" s="293"/>
      <c r="AT927" s="293"/>
      <c r="AU927" s="293"/>
      <c r="AV927" s="293"/>
      <c r="AW927" s="293"/>
      <c r="AX927" s="293"/>
      <c r="AY927" s="293"/>
      <c r="AZ927" s="293"/>
      <c r="BA927" s="293"/>
      <c r="BB927" s="293"/>
      <c r="BC927" s="293"/>
      <c r="BD927" s="293"/>
      <c r="BE927" s="293"/>
      <c r="BF927" s="293"/>
      <c r="BG927" s="293"/>
      <c r="BH927" s="293"/>
      <c r="BI927" s="293"/>
      <c r="BJ927" s="138"/>
      <c r="BK927" s="138"/>
      <c r="BL927" s="138"/>
      <c r="BM927" s="138"/>
      <c r="BN927" s="138"/>
      <c r="BO927" s="138"/>
      <c r="BP927" s="138"/>
      <c r="BQ927" s="138"/>
      <c r="BR927" s="138"/>
      <c r="BS927" s="138"/>
      <c r="BT927" s="138"/>
      <c r="BU927" s="138"/>
      <c r="BV927" s="138"/>
      <c r="BW927" s="138"/>
      <c r="BX927" s="138"/>
      <c r="BY927" s="138"/>
      <c r="BZ927" s="138"/>
      <c r="CA927" s="138"/>
      <c r="CB927" s="138"/>
      <c r="CC927" s="138"/>
      <c r="CD927" s="138"/>
      <c r="CE927" s="138"/>
      <c r="CF927" s="138"/>
      <c r="CG927" s="138"/>
      <c r="CH927" s="138"/>
      <c r="CI927" s="138"/>
      <c r="CJ927" s="138"/>
      <c r="CK927" s="138"/>
      <c r="CL927" s="138"/>
      <c r="CM927" s="138"/>
      <c r="CN927" s="138"/>
      <c r="CO927" s="138"/>
      <c r="CP927" s="138"/>
      <c r="CQ927" s="319" t="s">
        <v>107</v>
      </c>
    </row>
    <row r="928" spans="1:95" ht="15" customHeight="1" thickBot="1" x14ac:dyDescent="0.3">
      <c r="A928" s="320">
        <f>C928</f>
        <v>32</v>
      </c>
      <c r="B928" s="68"/>
      <c r="C928" s="321">
        <f>C900+1</f>
        <v>32</v>
      </c>
      <c r="D928" s="68"/>
      <c r="E928" s="1269"/>
      <c r="F928" s="1270"/>
      <c r="G928" s="1270"/>
      <c r="H928" s="1270"/>
      <c r="I928" s="1270"/>
      <c r="J928" s="1271"/>
      <c r="K928" s="1272" t="str">
        <f>IF(INDEX(B_IdentifyFuelStreams!$K$125:$K$174,MATCH(U927,B_IdentifyFuelStreams!$D$125:$D$174,0))&gt;0,INDEX(B_IdentifyFuelStreams!$K$125:$K$174,MATCH(U927,B_IdentifyFuelStreams!$D$125:$D$174,0)),"")</f>
        <v/>
      </c>
      <c r="L928" s="1273"/>
      <c r="M928" s="316" t="str">
        <f>Translations!$B$621</f>
        <v>Emissions:</v>
      </c>
      <c r="N928" s="322" t="str">
        <f>IF(E929="","",BG934)</f>
        <v/>
      </c>
      <c r="O928" s="323" t="str">
        <f>EUconst_tCO2</f>
        <v>tCO2</v>
      </c>
      <c r="P928" s="324" t="str">
        <f>IF(AND(E928&lt;&gt;"",COUNTIF(P929:$P$1649,"PRINT")=0),"PRINT","")</f>
        <v/>
      </c>
      <c r="Q928" s="325" t="str">
        <f>EUconst_SumCO2</f>
        <v>SUM_CO2</v>
      </c>
      <c r="R928" s="312"/>
      <c r="S928" s="287"/>
      <c r="T928" s="287"/>
      <c r="U928" s="287"/>
      <c r="V928" s="301"/>
      <c r="W928" s="138"/>
      <c r="X928" s="293"/>
      <c r="Y928" s="293"/>
      <c r="Z928" s="293"/>
      <c r="AA928" s="293"/>
      <c r="AB928" s="293"/>
      <c r="AC928" s="293"/>
      <c r="AD928" s="293"/>
      <c r="AE928" s="293"/>
      <c r="AF928" s="293"/>
      <c r="AG928" s="293"/>
      <c r="AH928" s="293"/>
      <c r="AI928" s="326"/>
      <c r="AJ928" s="326"/>
      <c r="AK928" s="326"/>
      <c r="AL928" s="326"/>
      <c r="AM928" s="326"/>
      <c r="AN928" s="326"/>
      <c r="AO928" s="326"/>
      <c r="AP928" s="326"/>
      <c r="AQ928" s="326"/>
      <c r="AR928" s="326"/>
      <c r="AS928" s="326"/>
      <c r="AT928" s="326"/>
      <c r="AU928" s="326"/>
      <c r="AV928" s="326"/>
      <c r="AW928" s="326"/>
      <c r="AX928" s="326"/>
      <c r="AY928" s="326"/>
      <c r="AZ928" s="326"/>
      <c r="BA928" s="326"/>
      <c r="BB928" s="326"/>
      <c r="BC928" s="326"/>
      <c r="BD928" s="326"/>
      <c r="BE928" s="326"/>
      <c r="BF928" s="326"/>
      <c r="BG928" s="326"/>
      <c r="BH928" s="326"/>
      <c r="BI928" s="327" t="str">
        <f>IF(E928="","",E928)</f>
        <v/>
      </c>
      <c r="BJ928" s="328" t="str">
        <f>IF(F934="","",F934)</f>
        <v/>
      </c>
      <c r="BK928" s="329">
        <f>AV934</f>
        <v>0</v>
      </c>
      <c r="BL928" s="329">
        <f>IF(BK928="","",BK928*(1-BP928))</f>
        <v>0</v>
      </c>
      <c r="BM928" s="328" t="str">
        <f>AJ934</f>
        <v/>
      </c>
      <c r="BN928" s="328" t="str">
        <f>IF(F945="","",F945)</f>
        <v/>
      </c>
      <c r="BO928" s="327" t="str">
        <f>IF(G945="","",G945)</f>
        <v/>
      </c>
      <c r="BP928" s="330">
        <f>AV945</f>
        <v>0</v>
      </c>
      <c r="BQ928" s="328" t="str">
        <f>IF(F937="","",F937)</f>
        <v/>
      </c>
      <c r="BR928" s="330">
        <f>AV937</f>
        <v>0</v>
      </c>
      <c r="BS928" s="330" t="str">
        <f>AJ937</f>
        <v/>
      </c>
      <c r="BT928" s="328" t="str">
        <f>IF(F936="","",F936)</f>
        <v/>
      </c>
      <c r="BU928" s="330">
        <f>IF(F936=EUconst_NA,"",AV936)</f>
        <v>0</v>
      </c>
      <c r="BV928" s="330" t="str">
        <f>AJ936</f>
        <v/>
      </c>
      <c r="BW928" s="328" t="str">
        <f>IF(F938="","",F938)</f>
        <v/>
      </c>
      <c r="BX928" s="330">
        <f>AV938</f>
        <v>0</v>
      </c>
      <c r="BY928" s="328" t="str">
        <f>IF(F939="","",F939)</f>
        <v/>
      </c>
      <c r="BZ928" s="330">
        <f>AV939</f>
        <v>0</v>
      </c>
      <c r="CA928" s="330">
        <f>AV940</f>
        <v>0</v>
      </c>
      <c r="CB928" s="330">
        <f>AV941</f>
        <v>0</v>
      </c>
      <c r="CC928" s="330">
        <f>AV942</f>
        <v>0</v>
      </c>
      <c r="CD928" s="330">
        <f>AV943</f>
        <v>0</v>
      </c>
      <c r="CE928" s="329" t="str">
        <f>BG934</f>
        <v/>
      </c>
      <c r="CF928" s="329" t="str">
        <f>BG936</f>
        <v/>
      </c>
      <c r="CG928" s="329" t="str">
        <f>BG937</f>
        <v/>
      </c>
      <c r="CH928" s="329" t="str">
        <f>BG938</f>
        <v/>
      </c>
      <c r="CI928" s="329" t="str">
        <f>BG939</f>
        <v/>
      </c>
      <c r="CJ928" s="329" t="str">
        <f>BG940</f>
        <v/>
      </c>
      <c r="CK928" s="329" t="str">
        <f>BG941</f>
        <v/>
      </c>
      <c r="CL928" s="329">
        <f>BG942</f>
        <v>0</v>
      </c>
      <c r="CM928" s="329" t="str">
        <f>BG943</f>
        <v/>
      </c>
      <c r="CN928" s="329" t="str">
        <f>BG945</f>
        <v/>
      </c>
      <c r="CO928" s="329" t="str">
        <f>BG949</f>
        <v/>
      </c>
      <c r="CP928" s="329" t="str">
        <f>IF(COUNTIF(AO937:AO938,TRUE)=0,"",BH934)</f>
        <v/>
      </c>
      <c r="CQ928" s="331" t="b">
        <v>0</v>
      </c>
    </row>
    <row r="929" spans="1:95" ht="15" customHeight="1" thickBot="1" x14ac:dyDescent="0.3">
      <c r="A929" s="307"/>
      <c r="B929" s="68"/>
      <c r="C929" s="68"/>
      <c r="D929" s="68"/>
      <c r="E929" s="1274" t="str">
        <f>IF(ISBLANK(E928),"",IF(INDEX(B_IdentifyFuelStreams!$E$67:$E$116,MATCH(U927,B_IdentifyFuelStreams!$D$67:$D$116,0))&gt;0,INDEX(B_IdentifyFuelStreams!$E$67:$E$116,MATCH(U927,B_IdentifyFuelStreams!$D$67:$D$116,0)),""))</f>
        <v/>
      </c>
      <c r="F929" s="1275"/>
      <c r="G929" s="1275"/>
      <c r="H929" s="1275"/>
      <c r="I929" s="1275"/>
      <c r="J929" s="1276"/>
      <c r="K929" s="1272" t="str">
        <f>IF(INDEX(B_IdentifyFuelStreams!$M$125:$M$174,MATCH(U927,B_IdentifyFuelStreams!$D$125:$D$174,0))&gt;0,INDEX(B_IdentifyFuelStreams!$M$125:$M$174,MATCH(U927,B_IdentifyFuelStreams!$D$125:$D$174,0)),"")</f>
        <v/>
      </c>
      <c r="L929" s="1273"/>
      <c r="M929" s="332" t="str">
        <f>Translations!$B$622</f>
        <v>zero-rated:</v>
      </c>
      <c r="N929" s="333" t="str">
        <f>IF(E929="","",SUM(BG936,BG938,BG940))</f>
        <v/>
      </c>
      <c r="O929" s="334" t="str">
        <f>EUconst_tCO2</f>
        <v>tCO2</v>
      </c>
      <c r="P929" s="109"/>
      <c r="Q929" s="325" t="str">
        <f>EUconst_SumBioCO2</f>
        <v>SUM_bioCO2</v>
      </c>
      <c r="R929" s="312"/>
      <c r="S929" s="287"/>
      <c r="T929" s="287"/>
      <c r="U929" s="287"/>
      <c r="V929" s="301"/>
      <c r="W929" s="138"/>
      <c r="X929" s="293"/>
      <c r="Y929" s="317" t="str">
        <f>Translations!$B$143</f>
        <v>Tiers</v>
      </c>
      <c r="Z929" s="314"/>
      <c r="AA929" s="314"/>
      <c r="AB929" s="314"/>
      <c r="AC929" s="314"/>
      <c r="AD929" s="314"/>
      <c r="AE929" s="317" t="s">
        <v>108</v>
      </c>
      <c r="AF929" s="293"/>
      <c r="AG929" s="335"/>
      <c r="AH929" s="314"/>
      <c r="AI929" s="314"/>
      <c r="AJ929" s="335"/>
      <c r="AK929" s="335"/>
      <c r="AL929" s="326"/>
      <c r="AM929" s="326"/>
      <c r="AN929" s="326"/>
      <c r="AO929" s="326"/>
      <c r="AP929" s="326"/>
      <c r="AQ929" s="317" t="s">
        <v>109</v>
      </c>
      <c r="AR929" s="336"/>
      <c r="AS929" s="336"/>
      <c r="AT929" s="314"/>
      <c r="AU929" s="314"/>
      <c r="AV929" s="314"/>
      <c r="AW929" s="314"/>
      <c r="AX929" s="314"/>
      <c r="AY929" s="314"/>
      <c r="AZ929" s="317" t="s">
        <v>110</v>
      </c>
      <c r="BA929" s="314"/>
      <c r="BB929" s="314"/>
      <c r="BC929" s="314"/>
      <c r="BD929" s="314"/>
      <c r="BE929" s="314"/>
      <c r="BF929" s="317" t="s">
        <v>111</v>
      </c>
      <c r="BG929" s="314"/>
      <c r="BH929" s="314"/>
      <c r="BI929" s="317" t="s">
        <v>112</v>
      </c>
      <c r="BJ929" s="328" t="str">
        <f>Translations!$B$376</f>
        <v>RFA Tier</v>
      </c>
      <c r="BK929" s="328" t="str">
        <f>Translations!$B$377</f>
        <v>RFA</v>
      </c>
      <c r="BL929" s="328" t="str">
        <f>Translations!$B$378</f>
        <v>RFA (in scope)</v>
      </c>
      <c r="BM929" s="328" t="str">
        <f>Translations!$B$379</f>
        <v>RFA Unit</v>
      </c>
      <c r="BN929" s="328" t="str">
        <f>Translations!$B$380</f>
        <v>SF Tier</v>
      </c>
      <c r="BO929" s="328" t="str">
        <f>Translations!$B$380</f>
        <v>SF Tier</v>
      </c>
      <c r="BP929" s="328" t="str">
        <f>Translations!$B$381</f>
        <v>SF</v>
      </c>
      <c r="BQ929" s="328" t="str">
        <f>Translations!$B$382</f>
        <v>EF Tier</v>
      </c>
      <c r="BR929" s="328" t="str">
        <f>Translations!$B$383</f>
        <v>EF</v>
      </c>
      <c r="BS929" s="328" t="str">
        <f>Translations!$B$384</f>
        <v>EF Unit</v>
      </c>
      <c r="BT929" s="328" t="str">
        <f>Translations!$B$385</f>
        <v>UCF Tier</v>
      </c>
      <c r="BU929" s="328" t="str">
        <f>Translations!$B$386</f>
        <v>UCF</v>
      </c>
      <c r="BV929" s="328" t="str">
        <f>Translations!$B$387</f>
        <v>UCF Unit</v>
      </c>
      <c r="BW929" s="328" t="str">
        <f>Translations!$B$388</f>
        <v>Bio Tier</v>
      </c>
      <c r="BX929" s="328" t="s">
        <v>113</v>
      </c>
      <c r="BY929" s="328" t="str">
        <f>Translations!$B$389</f>
        <v>NonSustBio Tier</v>
      </c>
      <c r="BZ929" s="328" t="s">
        <v>114</v>
      </c>
      <c r="CA929" s="328" t="s">
        <v>115</v>
      </c>
      <c r="CB929" s="328" t="s">
        <v>116</v>
      </c>
      <c r="CC929" s="328" t="s">
        <v>117</v>
      </c>
      <c r="CD929" s="328" t="s">
        <v>118</v>
      </c>
      <c r="CE929" s="328" t="s">
        <v>119</v>
      </c>
      <c r="CF929" s="328" t="s">
        <v>120</v>
      </c>
      <c r="CG929" s="328" t="str">
        <f>Translations!$B$392</f>
        <v>CO2 non-sust</v>
      </c>
      <c r="CH929" s="328" t="s">
        <v>121</v>
      </c>
      <c r="CI929" s="328" t="s">
        <v>122</v>
      </c>
      <c r="CJ929" s="328" t="s">
        <v>123</v>
      </c>
      <c r="CK929" s="328" t="s">
        <v>124</v>
      </c>
      <c r="CL929" s="328" t="s">
        <v>125</v>
      </c>
      <c r="CM929" s="328" t="str">
        <f>Translations!$B$551</f>
        <v>Energy content (bio), TJ</v>
      </c>
      <c r="CN929" s="328" t="s">
        <v>126</v>
      </c>
      <c r="CO929" s="328" t="s">
        <v>127</v>
      </c>
      <c r="CP929" s="328" t="s">
        <v>128</v>
      </c>
      <c r="CQ929" s="314"/>
    </row>
    <row r="930" spans="1:95" ht="5.15" customHeight="1" thickBot="1" x14ac:dyDescent="0.3">
      <c r="A930" s="307"/>
      <c r="B930" s="68"/>
      <c r="C930" s="68"/>
      <c r="D930" s="68"/>
      <c r="E930" s="68"/>
      <c r="F930" s="68"/>
      <c r="G930" s="68"/>
      <c r="H930" s="76"/>
      <c r="I930" s="76"/>
      <c r="J930" s="76"/>
      <c r="K930" s="76"/>
      <c r="L930" s="76"/>
      <c r="M930" s="76"/>
      <c r="N930" s="76"/>
      <c r="O930" s="160"/>
      <c r="P930" s="109"/>
      <c r="Q930" s="312"/>
      <c r="R930" s="312"/>
      <c r="S930" s="287"/>
      <c r="T930" s="287"/>
      <c r="U930" s="287"/>
      <c r="V930" s="301"/>
      <c r="W930" s="314"/>
      <c r="X930" s="314"/>
      <c r="Y930" s="312"/>
      <c r="Z930" s="314"/>
      <c r="AA930" s="314"/>
      <c r="AB930" s="314"/>
      <c r="AC930" s="314"/>
      <c r="AD930" s="314"/>
      <c r="AE930" s="314"/>
      <c r="AF930" s="293"/>
      <c r="AG930" s="314"/>
      <c r="AH930" s="314"/>
      <c r="AI930" s="314"/>
      <c r="AJ930" s="335"/>
      <c r="AK930" s="335"/>
      <c r="AL930" s="326"/>
      <c r="AM930" s="326"/>
      <c r="AN930" s="326"/>
      <c r="AO930" s="326"/>
      <c r="AP930" s="326"/>
      <c r="AQ930" s="314"/>
      <c r="AR930" s="314"/>
      <c r="AS930" s="314"/>
      <c r="AT930" s="314"/>
      <c r="AU930" s="314"/>
      <c r="AV930" s="314"/>
      <c r="AW930" s="314"/>
      <c r="AX930" s="314"/>
      <c r="AY930" s="314"/>
      <c r="AZ930" s="314"/>
      <c r="BA930" s="314"/>
      <c r="BB930" s="314"/>
      <c r="BC930" s="314"/>
      <c r="BD930" s="314"/>
      <c r="BE930" s="314"/>
      <c r="BF930" s="314"/>
      <c r="BG930" s="314"/>
      <c r="BH930" s="314"/>
      <c r="BI930" s="314"/>
      <c r="BJ930" s="314"/>
      <c r="BK930" s="314"/>
      <c r="BL930" s="314"/>
      <c r="BM930" s="314"/>
      <c r="BN930" s="314"/>
      <c r="BO930" s="314"/>
      <c r="BP930" s="314"/>
      <c r="BQ930" s="314"/>
      <c r="BR930" s="314"/>
      <c r="BS930" s="314"/>
      <c r="BT930" s="314"/>
      <c r="BU930" s="314"/>
      <c r="BV930" s="314"/>
      <c r="BW930" s="314"/>
      <c r="BX930" s="314"/>
      <c r="BY930" s="314"/>
      <c r="BZ930" s="314"/>
      <c r="CA930" s="314"/>
      <c r="CB930" s="314"/>
      <c r="CC930" s="314"/>
      <c r="CD930" s="314"/>
      <c r="CE930" s="314"/>
      <c r="CF930" s="314"/>
      <c r="CG930" s="314"/>
      <c r="CH930" s="314"/>
      <c r="CI930" s="314"/>
      <c r="CJ930" s="314"/>
      <c r="CK930" s="314"/>
      <c r="CL930" s="314"/>
      <c r="CM930" s="314"/>
      <c r="CN930" s="314"/>
      <c r="CO930" s="314"/>
      <c r="CP930" s="314"/>
      <c r="CQ930" s="314"/>
    </row>
    <row r="931" spans="1:95" ht="12.75" customHeight="1" thickBot="1" x14ac:dyDescent="0.3">
      <c r="A931" s="307"/>
      <c r="B931" s="68"/>
      <c r="C931" s="68"/>
      <c r="D931" s="68"/>
      <c r="E931" s="1253" t="str">
        <f>IF(E928="","",HYPERLINK("#JUMP_E_Top",EUconst_FurtherGuidancePoint1))</f>
        <v/>
      </c>
      <c r="F931" s="1253"/>
      <c r="G931" s="1253"/>
      <c r="H931" s="1253"/>
      <c r="I931" s="1253"/>
      <c r="J931" s="1253"/>
      <c r="K931" s="1253"/>
      <c r="L931" s="1253"/>
      <c r="M931" s="1253"/>
      <c r="N931" s="76"/>
      <c r="O931" s="160"/>
      <c r="P931" s="109"/>
      <c r="Q931" s="325" t="str">
        <f>EUconst_SumNonSustBioCO2</f>
        <v>SUM_bioNonSustCO2</v>
      </c>
      <c r="R931" s="337" t="str">
        <f>IF(E929="","",BG937)</f>
        <v/>
      </c>
      <c r="S931" s="287"/>
      <c r="T931" s="287"/>
      <c r="U931" s="287"/>
      <c r="V931" s="314"/>
      <c r="W931" s="314"/>
      <c r="X931" s="314"/>
      <c r="Y931" s="293"/>
      <c r="Z931" s="314"/>
      <c r="AA931" s="314"/>
      <c r="AB931" s="314"/>
      <c r="AC931" s="314"/>
      <c r="AD931" s="314"/>
      <c r="AE931" s="314"/>
      <c r="AF931" s="293"/>
      <c r="AG931" s="314"/>
      <c r="AH931" s="314"/>
      <c r="AI931" s="314"/>
      <c r="AJ931" s="335"/>
      <c r="AK931" s="335"/>
      <c r="AL931" s="326"/>
      <c r="AM931" s="326"/>
      <c r="AN931" s="326"/>
      <c r="AO931" s="326"/>
      <c r="AP931" s="326"/>
      <c r="AQ931" s="314"/>
      <c r="AR931" s="314"/>
      <c r="AS931" s="314"/>
      <c r="AT931" s="314"/>
      <c r="AU931" s="314"/>
      <c r="AV931" s="314"/>
      <c r="AW931" s="314"/>
      <c r="AX931" s="314"/>
      <c r="AY931" s="314"/>
      <c r="AZ931" s="314"/>
      <c r="BA931" s="314"/>
      <c r="BB931" s="314"/>
      <c r="BC931" s="314"/>
      <c r="BD931" s="314"/>
      <c r="BE931" s="314"/>
      <c r="BF931" s="314"/>
      <c r="BG931" s="314"/>
      <c r="BH931" s="314"/>
      <c r="BI931" s="317" t="s">
        <v>129</v>
      </c>
      <c r="BJ931" s="336"/>
      <c r="BK931" s="327" t="str">
        <f>IF(G949="","",G949)</f>
        <v/>
      </c>
      <c r="BL931" s="327" t="str">
        <f>IF(I949="","",I949)</f>
        <v/>
      </c>
      <c r="BM931" s="327" t="str">
        <f>IF(K949="","",K949)</f>
        <v/>
      </c>
      <c r="BN931" s="314"/>
      <c r="BO931" s="314"/>
      <c r="BP931" s="314"/>
      <c r="BQ931" s="314"/>
      <c r="BR931" s="314"/>
      <c r="BS931" s="314"/>
      <c r="BT931" s="319"/>
      <c r="BU931" s="314"/>
      <c r="BV931" s="314"/>
      <c r="BW931" s="314"/>
      <c r="BX931" s="314"/>
      <c r="BY931" s="314"/>
      <c r="BZ931" s="314"/>
      <c r="CA931" s="314"/>
      <c r="CB931" s="314"/>
      <c r="CC931" s="314"/>
      <c r="CD931" s="314"/>
      <c r="CE931" s="314"/>
      <c r="CF931" s="314"/>
      <c r="CG931" s="314"/>
      <c r="CH931" s="314"/>
      <c r="CI931" s="314"/>
      <c r="CJ931" s="314"/>
      <c r="CK931" s="314"/>
      <c r="CL931" s="314"/>
      <c r="CM931" s="314"/>
      <c r="CN931" s="314"/>
      <c r="CO931" s="314"/>
      <c r="CP931" s="314"/>
      <c r="CQ931" s="314"/>
    </row>
    <row r="932" spans="1:95" ht="5.15" customHeight="1" thickBot="1" x14ac:dyDescent="0.3">
      <c r="A932" s="307"/>
      <c r="B932" s="68"/>
      <c r="C932" s="68"/>
      <c r="D932" s="68"/>
      <c r="E932" s="68"/>
      <c r="F932" s="68"/>
      <c r="G932" s="68"/>
      <c r="H932" s="76"/>
      <c r="I932" s="76"/>
      <c r="J932" s="76"/>
      <c r="K932" s="76"/>
      <c r="L932" s="76"/>
      <c r="M932" s="76"/>
      <c r="N932" s="76"/>
      <c r="O932" s="160"/>
      <c r="P932" s="111"/>
      <c r="Q932" s="287"/>
      <c r="R932" s="111"/>
      <c r="S932" s="287"/>
      <c r="T932" s="287"/>
      <c r="U932" s="287"/>
      <c r="V932" s="314"/>
      <c r="W932" s="314"/>
      <c r="X932" s="314"/>
      <c r="Y932" s="312"/>
      <c r="Z932" s="314"/>
      <c r="AA932" s="314"/>
      <c r="AB932" s="314"/>
      <c r="AC932" s="314"/>
      <c r="AD932" s="314"/>
      <c r="AE932" s="314"/>
      <c r="AF932" s="293"/>
      <c r="AG932" s="314"/>
      <c r="AH932" s="314"/>
      <c r="AI932" s="314"/>
      <c r="AJ932" s="335"/>
      <c r="AK932" s="335"/>
      <c r="AL932" s="326"/>
      <c r="AM932" s="326"/>
      <c r="AN932" s="326"/>
      <c r="AO932" s="326"/>
      <c r="AP932" s="326"/>
      <c r="AQ932" s="314"/>
      <c r="AR932" s="314"/>
      <c r="AS932" s="314"/>
      <c r="AT932" s="314"/>
      <c r="AU932" s="314"/>
      <c r="AV932" s="314"/>
      <c r="AW932" s="314"/>
      <c r="AX932" s="314"/>
      <c r="AY932" s="314"/>
      <c r="AZ932" s="314"/>
      <c r="BA932" s="314"/>
      <c r="BB932" s="314"/>
      <c r="BC932" s="314"/>
      <c r="BD932" s="314"/>
      <c r="BE932" s="314"/>
      <c r="BF932" s="314"/>
      <c r="BG932" s="314"/>
      <c r="BH932" s="314"/>
      <c r="BI932" s="314"/>
      <c r="BJ932" s="314"/>
      <c r="BK932" s="314"/>
      <c r="BL932" s="314"/>
      <c r="BM932" s="314"/>
      <c r="BN932" s="314"/>
      <c r="BO932" s="314"/>
      <c r="BP932" s="314"/>
      <c r="BQ932" s="314"/>
      <c r="BR932" s="314"/>
      <c r="BS932" s="314"/>
      <c r="BT932" s="314"/>
      <c r="BU932" s="314"/>
      <c r="BV932" s="314"/>
      <c r="BW932" s="314"/>
      <c r="BX932" s="314"/>
      <c r="BY932" s="314"/>
      <c r="BZ932" s="314"/>
      <c r="CA932" s="314"/>
      <c r="CB932" s="314"/>
      <c r="CC932" s="314"/>
      <c r="CD932" s="314"/>
      <c r="CE932" s="314"/>
      <c r="CF932" s="314"/>
      <c r="CG932" s="314"/>
      <c r="CH932" s="314"/>
      <c r="CI932" s="314"/>
      <c r="CJ932" s="314"/>
      <c r="CK932" s="314"/>
      <c r="CL932" s="314"/>
      <c r="CM932" s="314"/>
      <c r="CN932" s="314"/>
      <c r="CO932" s="314"/>
      <c r="CP932" s="314"/>
      <c r="CQ932" s="314"/>
    </row>
    <row r="933" spans="1:95" ht="12.75" customHeight="1" thickBot="1" x14ac:dyDescent="0.3">
      <c r="A933" s="307"/>
      <c r="B933" s="68"/>
      <c r="C933" s="68"/>
      <c r="D933" s="68"/>
      <c r="E933" s="68"/>
      <c r="F933" s="338" t="str">
        <f>Translations!$B$127</f>
        <v>Tier</v>
      </c>
      <c r="G933" s="1254" t="str">
        <f>Translations!$B$393</f>
        <v>tier description</v>
      </c>
      <c r="H933" s="1254"/>
      <c r="I933" s="1255" t="str">
        <f>Translations!$B$394</f>
        <v>Unit</v>
      </c>
      <c r="J933" s="1255"/>
      <c r="K933" s="1255" t="str">
        <f>Translations!$B$395</f>
        <v>Value</v>
      </c>
      <c r="L933" s="1255"/>
      <c r="M933" s="205" t="str">
        <f>Translations!$B$396</f>
        <v>error</v>
      </c>
      <c r="N933" s="76"/>
      <c r="O933" s="160"/>
      <c r="P933" s="339"/>
      <c r="Q933" s="325" t="str">
        <f>EUconst_SumEnergyIN</f>
        <v>SUM_EnergyIN</v>
      </c>
      <c r="R933" s="340" t="str">
        <f>IF(E929="","",BG942)</f>
        <v/>
      </c>
      <c r="S933" s="314"/>
      <c r="T933" s="314"/>
      <c r="U933" s="314"/>
      <c r="V933" s="341" t="s">
        <v>130</v>
      </c>
      <c r="W933" s="314"/>
      <c r="X933" s="314"/>
      <c r="Y933" s="312" t="s">
        <v>131</v>
      </c>
      <c r="Z933" s="312" t="s">
        <v>132</v>
      </c>
      <c r="AA933" s="314"/>
      <c r="AB933" s="314"/>
      <c r="AC933" s="336" t="s">
        <v>133</v>
      </c>
      <c r="AD933" s="314"/>
      <c r="AE933" s="314"/>
      <c r="AF933" s="314" t="s">
        <v>134</v>
      </c>
      <c r="AG933" s="314" t="s">
        <v>135</v>
      </c>
      <c r="AH933" s="312" t="s">
        <v>136</v>
      </c>
      <c r="AI933" s="335" t="s">
        <v>137</v>
      </c>
      <c r="AJ933" s="335" t="s">
        <v>138</v>
      </c>
      <c r="AK933" s="342" t="s">
        <v>139</v>
      </c>
      <c r="AL933" s="326"/>
      <c r="AM933" s="326"/>
      <c r="AN933" s="326"/>
      <c r="AO933" s="326"/>
      <c r="AP933" s="326"/>
      <c r="AQ933" s="314"/>
      <c r="AR933" s="314" t="s">
        <v>134</v>
      </c>
      <c r="AS933" s="314" t="s">
        <v>135</v>
      </c>
      <c r="AT933" s="343" t="s">
        <v>140</v>
      </c>
      <c r="AU933" s="335" t="s">
        <v>141</v>
      </c>
      <c r="AV933" s="335" t="s">
        <v>142</v>
      </c>
      <c r="AW933" s="342" t="s">
        <v>139</v>
      </c>
      <c r="AX933" s="342" t="s">
        <v>139</v>
      </c>
      <c r="AY933" s="314"/>
      <c r="AZ933" s="314"/>
      <c r="BA933" s="314"/>
      <c r="BB933" s="314" t="s">
        <v>143</v>
      </c>
      <c r="BC933" s="314"/>
      <c r="BD933" s="314"/>
      <c r="BE933" s="314"/>
      <c r="BF933" s="314"/>
      <c r="BG933" s="319" t="s">
        <v>144</v>
      </c>
      <c r="BH933" s="314" t="s">
        <v>145</v>
      </c>
      <c r="BI933" s="314"/>
      <c r="BJ933" s="314"/>
      <c r="BK933" s="314"/>
      <c r="BL933" s="314"/>
      <c r="BM933" s="314"/>
      <c r="BN933" s="314"/>
      <c r="BO933" s="314"/>
      <c r="BP933" s="314"/>
      <c r="BQ933" s="314"/>
      <c r="BR933" s="314"/>
      <c r="BS933" s="314"/>
      <c r="BT933" s="314"/>
      <c r="BU933" s="314"/>
      <c r="BV933" s="314"/>
      <c r="BW933" s="314"/>
      <c r="BX933" s="314"/>
      <c r="BY933" s="314"/>
      <c r="BZ933" s="314"/>
      <c r="CA933" s="314"/>
      <c r="CB933" s="314"/>
      <c r="CC933" s="314"/>
      <c r="CD933" s="314"/>
      <c r="CE933" s="314"/>
      <c r="CF933" s="314"/>
      <c r="CG933" s="314"/>
      <c r="CH933" s="314"/>
      <c r="CI933" s="314"/>
      <c r="CJ933" s="314"/>
      <c r="CK933" s="314"/>
      <c r="CL933" s="314"/>
      <c r="CM933" s="314"/>
      <c r="CN933" s="314"/>
      <c r="CO933" s="314"/>
      <c r="CP933" s="314"/>
      <c r="CQ933" s="319" t="s">
        <v>107</v>
      </c>
    </row>
    <row r="934" spans="1:95" ht="12.75" customHeight="1" thickBot="1" x14ac:dyDescent="0.3">
      <c r="A934" s="307"/>
      <c r="B934" s="68"/>
      <c r="C934" s="199" t="s">
        <v>12</v>
      </c>
      <c r="D934" s="344" t="str">
        <f>Translations!$B$356</f>
        <v>RFA:</v>
      </c>
      <c r="E934" s="345"/>
      <c r="F934" s="6"/>
      <c r="G934" s="1256" t="str">
        <f>IF(OR(ISBLANK(F934),F934=EUconst_NoTier),"",IF(Z934=0,EUconst_NA,IF(ISERROR(Z934),"",Z934)))</f>
        <v/>
      </c>
      <c r="H934" s="1257"/>
      <c r="I934" s="346" t="str">
        <f>IF(J934&lt;&gt;"","",AI934)</f>
        <v/>
      </c>
      <c r="J934" s="7"/>
      <c r="K934" s="1258"/>
      <c r="L934" s="1259"/>
      <c r="M934" s="347" t="str">
        <f>IF(AND(E929&lt;&gt;"",OR(F934="",COUNT(K934)=0),Y934&lt;&gt;EUconst_NA),EUconst_ERR_Incomplete,"")</f>
        <v/>
      </c>
      <c r="N934" s="76"/>
      <c r="O934" s="160"/>
      <c r="P934" s="348"/>
      <c r="Q934" s="325" t="str">
        <f>EUconst_SumBioEnergyIN</f>
        <v>SUM_BioEnergyIN</v>
      </c>
      <c r="R934" s="340" t="str">
        <f>IF(E929="","",BG943)</f>
        <v/>
      </c>
      <c r="S934" s="314"/>
      <c r="T934" s="349" t="str">
        <f>EUconst_CNTR_ActivityData&amp;E929</f>
        <v>ActivityData_</v>
      </c>
      <c r="U934" s="312"/>
      <c r="V934" s="349" t="str">
        <f>IF(E928="","",INDEX(B_IdentifyFuelStreams!$I$67:$I$116,MATCH(U927,B_IdentifyFuelStreams!$D$67:$D$116,0)))</f>
        <v/>
      </c>
      <c r="W934" s="335" t="s">
        <v>146</v>
      </c>
      <c r="X934" s="312"/>
      <c r="Y934" s="350" t="str">
        <f>IF(E929="","",INDEX(EUwideConstants!$P$164:$P$200,MATCH(T934,EUwideConstants!$S$164:$S$200,0)))</f>
        <v/>
      </c>
      <c r="Z934" s="351" t="str">
        <f>IF(ISBLANK(F934),"",IF(F934=EUconst_NA,"",INDEX(EUwideConstants!$H:$O,MATCH(T934,EUwideConstants!$S:$S,0),MATCH(F934,CNTR_TierList,0))))</f>
        <v/>
      </c>
      <c r="AA934" s="352" t="s">
        <v>136</v>
      </c>
      <c r="AB934" s="335"/>
      <c r="AC934" s="331" t="b">
        <f>E928&lt;&gt;""</f>
        <v>0</v>
      </c>
      <c r="AD934" s="314"/>
      <c r="AE934" s="353" t="str">
        <f>EUconst_CNTR_ActivityData&amp;EUconst_Unit</f>
        <v>ActivityData_Unit</v>
      </c>
      <c r="AF934" s="354" t="str">
        <f>IF(AC934=TRUE, IF(COUNTIF(MSPara_SourceStreamCategory,V934)=0,"",INDEX(MSPara_CalcFactorsMatrix,MATCH(V934,MSPara_SourceStreamCategory,0),MATCH(AE934&amp;"_"&amp;2,MSPara_CalcFactors,0))),"")</f>
        <v/>
      </c>
      <c r="AG934" s="355" t="str">
        <f>IF(AC934=TRUE, IF(COUNTIF(MSPara_SourceStreamCategory,V934)=0,"",INDEX(MSPara_CalcFactorsMatrix,MATCH(V934,MSPara_SourceStreamCategory,0),MATCH(AE934&amp;"_"&amp;1,MSPara_CalcFactors,0))),"")</f>
        <v/>
      </c>
      <c r="AH934" s="331" t="str">
        <f>IF(OR(AF934="",AF934=EUconst_NA),IF(OR(AG934=EUconst_NA,AG934=""),"",AG934),AF934)</f>
        <v/>
      </c>
      <c r="AI934" s="350" t="str">
        <f>IF(AC934=TRUE,IF(AH934="",EUconst_t,AH934),"")</f>
        <v/>
      </c>
      <c r="AJ934" s="356" t="str">
        <f>IF(J934="",AI934,J934)</f>
        <v/>
      </c>
      <c r="AK934" s="357" t="b">
        <f>AND(E928&lt;&gt;"",J934&lt;&gt;"")</f>
        <v>0</v>
      </c>
      <c r="AL934" s="326"/>
      <c r="AM934" s="358" t="s">
        <v>147</v>
      </c>
      <c r="AN934" s="359" t="str">
        <f>AJ934</f>
        <v/>
      </c>
      <c r="AO934" s="326"/>
      <c r="AP934" s="326"/>
      <c r="AQ934" s="349" t="str">
        <f>EUconst_CNTR_ActivityData&amp;EUconst_Value</f>
        <v>ActivityData_Value</v>
      </c>
      <c r="AR934" s="336"/>
      <c r="AS934" s="336"/>
      <c r="AT934" s="331" t="b">
        <f>AND(AND(AH934&lt;&gt;"",AJ934&lt;&gt;""),AJ934=AH934)</f>
        <v>0</v>
      </c>
      <c r="AU934" s="314"/>
      <c r="AV934" s="331">
        <f>IF(Y934=EUconst_NA,0,IF(COUNT(K934:K934)=0,0,IF(K934="",#REF!,K934)))</f>
        <v>0</v>
      </c>
      <c r="AW934" s="360" t="b">
        <f>AND(AC934=TRUE,OR(K934&lt;&gt;"",AU934=""))</f>
        <v>0</v>
      </c>
      <c r="AX934" s="360" t="b">
        <f>AND(AC934=TRUE,NOT(AW934))</f>
        <v>0</v>
      </c>
      <c r="AY934" s="314"/>
      <c r="AZ934" s="314" t="s">
        <v>148</v>
      </c>
      <c r="BA934" s="314" t="s">
        <v>149</v>
      </c>
      <c r="BB934" s="360"/>
      <c r="BC934" s="314" t="s">
        <v>150</v>
      </c>
      <c r="BD934" s="314"/>
      <c r="BE934" s="314"/>
      <c r="BF934" s="361" t="s">
        <v>119</v>
      </c>
      <c r="BG934" s="362" t="str">
        <f>IF(COUNTIF(AO937:AO938,TRUE)=0,"",BH934*AV945)</f>
        <v/>
      </c>
      <c r="BH934" s="362" t="str">
        <f>IF(COUNTIF(AO937:AO938,TRUE)=0,"",AV934*IF(AO937,1,AV936*AN938)*AV937-BH936-BH938-BH940)</f>
        <v/>
      </c>
      <c r="BI934" s="314"/>
      <c r="BJ934" s="314"/>
      <c r="BK934" s="314"/>
      <c r="BL934" s="314"/>
      <c r="BM934" s="314"/>
      <c r="BN934" s="314"/>
      <c r="BO934" s="314"/>
      <c r="BP934" s="314"/>
      <c r="BQ934" s="314"/>
      <c r="BR934" s="314"/>
      <c r="BS934" s="314"/>
      <c r="BT934" s="314"/>
      <c r="BU934" s="314"/>
      <c r="BV934" s="314"/>
      <c r="BW934" s="314"/>
      <c r="BX934" s="314"/>
      <c r="BY934" s="314"/>
      <c r="BZ934" s="314"/>
      <c r="CA934" s="314"/>
      <c r="CB934" s="314"/>
      <c r="CC934" s="314"/>
      <c r="CD934" s="314"/>
      <c r="CE934" s="314"/>
      <c r="CF934" s="314"/>
      <c r="CG934" s="314"/>
      <c r="CH934" s="314"/>
      <c r="CI934" s="314"/>
      <c r="CJ934" s="314"/>
      <c r="CK934" s="314"/>
      <c r="CL934" s="314"/>
      <c r="CM934" s="314"/>
      <c r="CN934" s="314"/>
      <c r="CO934" s="314"/>
      <c r="CP934" s="314"/>
      <c r="CQ934" s="360" t="b">
        <v>0</v>
      </c>
    </row>
    <row r="935" spans="1:95" ht="5.15" customHeight="1" thickBot="1" x14ac:dyDescent="0.3">
      <c r="A935" s="307"/>
      <c r="B935" s="68"/>
      <c r="C935" s="199"/>
      <c r="D935" s="202"/>
      <c r="E935" s="76"/>
      <c r="F935" s="76"/>
      <c r="G935" s="76"/>
      <c r="H935" s="76" t="str">
        <f>Translations!$B$397</f>
        <v xml:space="preserve"> </v>
      </c>
      <c r="I935" s="162"/>
      <c r="J935" s="162"/>
      <c r="K935" s="76"/>
      <c r="L935" s="76"/>
      <c r="M935" s="363"/>
      <c r="N935" s="76"/>
      <c r="O935" s="160"/>
      <c r="P935" s="109"/>
      <c r="Q935" s="312"/>
      <c r="R935" s="312"/>
      <c r="S935" s="314"/>
      <c r="T935" s="62"/>
      <c r="U935" s="312"/>
      <c r="V935" s="314"/>
      <c r="W935" s="314"/>
      <c r="X935" s="312"/>
      <c r="Y935" s="319"/>
      <c r="Z935" s="314"/>
      <c r="AA935" s="314"/>
      <c r="AB935" s="314"/>
      <c r="AC935" s="314"/>
      <c r="AD935" s="314"/>
      <c r="AE935" s="314"/>
      <c r="AF935" s="314"/>
      <c r="AG935" s="314"/>
      <c r="AH935" s="314"/>
      <c r="AI935" s="314"/>
      <c r="AJ935" s="314"/>
      <c r="AK935" s="314"/>
      <c r="AL935" s="326"/>
      <c r="AM935" s="326"/>
      <c r="AN935" s="326"/>
      <c r="AO935" s="326"/>
      <c r="AP935" s="326"/>
      <c r="AQ935" s="314"/>
      <c r="AR935" s="314"/>
      <c r="AS935" s="314"/>
      <c r="AT935" s="314"/>
      <c r="AU935" s="314"/>
      <c r="AV935" s="314"/>
      <c r="AW935" s="314"/>
      <c r="AX935" s="314"/>
      <c r="AY935" s="314"/>
      <c r="AZ935" s="314"/>
      <c r="BA935" s="314"/>
      <c r="BB935" s="314"/>
      <c r="BC935" s="314"/>
      <c r="BD935" s="314"/>
      <c r="BE935" s="314"/>
      <c r="BF935" s="314"/>
      <c r="BG935" s="364"/>
      <c r="BH935" s="364"/>
      <c r="BI935" s="314"/>
      <c r="BJ935" s="314"/>
      <c r="BK935" s="314"/>
      <c r="BL935" s="314"/>
      <c r="BM935" s="314"/>
      <c r="BN935" s="314"/>
      <c r="BO935" s="314"/>
      <c r="BP935" s="314"/>
      <c r="BQ935" s="314"/>
      <c r="BR935" s="314"/>
      <c r="BS935" s="314"/>
      <c r="BT935" s="314"/>
      <c r="BU935" s="314"/>
      <c r="BV935" s="314"/>
      <c r="BW935" s="314"/>
      <c r="BX935" s="314"/>
      <c r="BY935" s="314"/>
      <c r="BZ935" s="314"/>
      <c r="CA935" s="314"/>
      <c r="CB935" s="314"/>
      <c r="CC935" s="314"/>
      <c r="CD935" s="314"/>
      <c r="CE935" s="314"/>
      <c r="CF935" s="314"/>
      <c r="CG935" s="314"/>
      <c r="CH935" s="314"/>
      <c r="CI935" s="314"/>
      <c r="CJ935" s="314"/>
      <c r="CK935" s="314"/>
      <c r="CL935" s="314"/>
      <c r="CM935" s="314"/>
      <c r="CN935" s="314"/>
      <c r="CO935" s="314"/>
      <c r="CP935" s="314"/>
      <c r="CQ935" s="319"/>
    </row>
    <row r="936" spans="1:95" ht="12.75" customHeight="1" x14ac:dyDescent="0.25">
      <c r="A936" s="307"/>
      <c r="B936" s="68"/>
      <c r="C936" s="199" t="s">
        <v>13</v>
      </c>
      <c r="D936" s="344" t="str">
        <f>Translations!$B$360</f>
        <v>UCF:</v>
      </c>
      <c r="E936" s="345"/>
      <c r="F936" s="10"/>
      <c r="G936" s="1256" t="str">
        <f>IF(OR(ISBLANK(F936),F936=EUconst_NoTier),"",IF(Z936=0,EUconst_NotApplicable,IF(ISERROR(Z936),"",Z936)))</f>
        <v/>
      </c>
      <c r="H936" s="1257"/>
      <c r="I936" s="365" t="str">
        <f>IF(J936&lt;&gt;"","",AI936)</f>
        <v/>
      </c>
      <c r="J936" s="11"/>
      <c r="K936" s="366" t="str">
        <f>IF(L936="",AU936,"")</f>
        <v/>
      </c>
      <c r="L936" s="23"/>
      <c r="M936" s="347" t="str">
        <f>IF(AND(E929&lt;&gt;"",OR(F936="",COUNT(K936:L936)=0),Y936&lt;&gt;EUconst_NA),EUconst_ERR_Incomplete,IF(COUNTIF(BB936:BD936,TRUE)&gt;0,EUconst_ERR_Inconsistent,""))</f>
        <v/>
      </c>
      <c r="N936" s="367"/>
      <c r="O936" s="160"/>
      <c r="P936" s="109"/>
      <c r="Q936" s="312"/>
      <c r="R936" s="312"/>
      <c r="S936" s="314"/>
      <c r="T936" s="368" t="str">
        <f>EUconst_CNTR_UCF&amp;E929</f>
        <v>UCF_</v>
      </c>
      <c r="U936" s="312"/>
      <c r="V936" s="369" t="str">
        <f>V937</f>
        <v/>
      </c>
      <c r="W936" s="314"/>
      <c r="X936" s="312"/>
      <c r="Y936" s="370" t="str">
        <f>IF(E929="","",IF(OR(F936=EUconst_NA,W936=TRUE),EUconst_NA,INDEX(EUwideConstants!$P$164:$P$200,MATCH(T936,EUwideConstants!$S$164:$S$200,0))))</f>
        <v/>
      </c>
      <c r="Z936" s="371" t="str">
        <f>IF(ISBLANK(F936),"",IF(F936=EUconst_NA,"",INDEX(EUwideConstants!$H:$O,MATCH(T936,EUwideConstants!$S:$S,0),MATCH(F936,CNTR_TierList,0))))</f>
        <v/>
      </c>
      <c r="AA936" s="372" t="str">
        <f>IF(COUNTIF(EUconst_DefaultValues,Z936)&gt;0,MATCH(Z936,EUconst_DefaultValues,0),"")</f>
        <v/>
      </c>
      <c r="AB936" s="314"/>
      <c r="AC936" s="373" t="b">
        <f>AND(AC934,Y936&lt;&gt;EUconst_NA)</f>
        <v>0</v>
      </c>
      <c r="AD936" s="314"/>
      <c r="AE936" s="353" t="str">
        <f>EUconst_CNTR_UCF&amp;EUconst_Unit</f>
        <v>UCF_Unit</v>
      </c>
      <c r="AF936" s="374" t="str">
        <f>IF(AC936=TRUE, IF(COUNTIF(MSPara_SourceStreamCategory,V936)=0,"",INDEX(MSPara_CalcFactorsMatrix,MATCH(V936,MSPara_SourceStreamCategory,0),MATCH(AE936&amp;"_"&amp;2,MSPara_CalcFactors,0))),"")</f>
        <v/>
      </c>
      <c r="AG936" s="375" t="str">
        <f>IF(AC936=TRUE, IF(COUNTIF(MSPara_SourceStreamCategory,V936)=0,"",INDEX(MSPara_CalcFactorsMatrix,MATCH(V936,MSPara_SourceStreamCategory,0),MATCH(AE936&amp;"_"&amp;1,MSPara_CalcFactors,0))),"")</f>
        <v/>
      </c>
      <c r="AH936" s="373" t="str">
        <f>IF(AA936="","",INDEX(AF936:AG936,3-AA936))</f>
        <v/>
      </c>
      <c r="AI936" s="373" t="str">
        <f>IF(AC936=TRUE,IF(OR(AH936="",AH936=EUconst_NA),EUconst_GJ&amp;"/"&amp;AJ934,AH936),"")</f>
        <v/>
      </c>
      <c r="AJ936" s="373" t="str">
        <f>IF(J936="",AI936,J936)</f>
        <v/>
      </c>
      <c r="AK936" s="369" t="b">
        <f>AND(E928&lt;&gt;"",J936&lt;&gt;"")</f>
        <v>0</v>
      </c>
      <c r="AL936" s="326"/>
      <c r="AM936" s="358" t="s">
        <v>151</v>
      </c>
      <c r="AN936" s="359" t="str">
        <f>IF(AJ936="",EUconst_NA,IF(AN934=EUconst_TJ,EUconst_TJ,INDEX(EUwideConstants!$C$135:$G$139,MATCH(AN934,RFAUnits,0),MATCH(AJ936,UCFUnits,0))))</f>
        <v>n.a.</v>
      </c>
      <c r="AO936" s="326"/>
      <c r="AP936" s="326"/>
      <c r="AQ936" s="376" t="str">
        <f>EUconst_CNTR_UCF&amp;EUconst_Value</f>
        <v>UCF_Value</v>
      </c>
      <c r="AR936" s="377" t="str">
        <f>IF(AC936=TRUE,IF(COUNTIF(MSPara_SourceStreamCategory,V936)=0,"",INDEX(MSPara_CalcFactorsMatrix,MATCH(V936,MSPara_SourceStreamCategory,0),MATCH(AQ936&amp;"_"&amp;2,MSPara_CalcFactors,0))),"")</f>
        <v/>
      </c>
      <c r="AS936" s="378" t="str">
        <f>IF(AC936=TRUE,IF(COUNTIF(MSPara_SourceStreamCategory,V936)=0,"",INDEX(MSPara_CalcFactorsMatrix,MATCH(V936,MSPara_SourceStreamCategory,0),MATCH(AQ936&amp;"_"&amp;1,MSPara_CalcFactors,0))),"")</f>
        <v/>
      </c>
      <c r="AT936" s="379" t="b">
        <f>AND(AND(AH936&lt;&gt;"",AJ936&lt;&gt;""),AJ936=AH936)</f>
        <v>0</v>
      </c>
      <c r="AU936" s="380" t="str">
        <f>IF(AND(AA936&lt;&gt;"",AT936=TRUE),IF(OR(INDEX(AR936:AS936,3-AA936)=EUconst_NA,INDEX(AR936:AS936,3-AA936)=0),"",INDEX(AR936:AS936,3-AA936)),"")</f>
        <v/>
      </c>
      <c r="AV936" s="373">
        <f>IF(AC936=TRUE,IF(COUNT(K936:L936)=0,0,IF(L936="",K936,L936)),0)</f>
        <v>0</v>
      </c>
      <c r="AW936" s="369" t="b">
        <f t="shared" ref="AW936:AW943" si="279">AND(AC936=TRUE,OR(AND(F936&lt;&gt;"",NOT(ISNUMBER(AA936))),L936&lt;&gt;"",F936="",AU936=""))</f>
        <v>0</v>
      </c>
      <c r="AX936" s="381" t="b">
        <f t="shared" ref="AX936:AX943" si="280">AND(AC936=TRUE,NOT(AW936))</f>
        <v>0</v>
      </c>
      <c r="AY936" s="314"/>
      <c r="AZ936" s="382" t="b">
        <f t="shared" ref="AZ936:AZ943" si="281">AND(ISNUMBER(AA936),AU936="")</f>
        <v>0</v>
      </c>
      <c r="BA936" s="383" t="b">
        <f t="shared" ref="BA936:BA943" si="282">AND(ISNUMBER(AA936),AU936&lt;&gt;AV936)</f>
        <v>0</v>
      </c>
      <c r="BB936" s="369" t="b">
        <f>AND(E929&lt;&gt;"",F936&lt;&gt;EUconst_NA,AN936=EUconst_NA)</f>
        <v>0</v>
      </c>
      <c r="BC936" s="369" t="b">
        <f t="shared" ref="BC936:BC943" si="283">AND(L936&lt;&gt;"",Y936=EUconst_NA)</f>
        <v>0</v>
      </c>
      <c r="BD936" s="314"/>
      <c r="BE936" s="314"/>
      <c r="BF936" s="382" t="s">
        <v>152</v>
      </c>
      <c r="BG936" s="384" t="str">
        <f>IF(COUNTIF(AO937:AO938,TRUE)=0,"",BH936*AV945)</f>
        <v/>
      </c>
      <c r="BH936" s="384" t="str">
        <f>IF(COUNTIF(AO937:AO938,TRUE)=0,"",AV934*IF(AO937,1,AV936*AN938)*AV937*AV938)</f>
        <v/>
      </c>
      <c r="BI936" s="314"/>
      <c r="BJ936" s="314"/>
      <c r="BK936" s="314"/>
      <c r="BL936" s="314"/>
      <c r="BM936" s="314"/>
      <c r="BN936" s="314"/>
      <c r="BO936" s="314"/>
      <c r="BP936" s="314"/>
      <c r="BQ936" s="314"/>
      <c r="BR936" s="314"/>
      <c r="BS936" s="314"/>
      <c r="BT936" s="314"/>
      <c r="BU936" s="314"/>
      <c r="BV936" s="314"/>
      <c r="BW936" s="314"/>
      <c r="BX936" s="314"/>
      <c r="BY936" s="314"/>
      <c r="BZ936" s="314"/>
      <c r="CA936" s="314"/>
      <c r="CB936" s="314"/>
      <c r="CC936" s="314"/>
      <c r="CD936" s="314"/>
      <c r="CE936" s="314"/>
      <c r="CF936" s="314"/>
      <c r="CG936" s="314"/>
      <c r="CH936" s="314"/>
      <c r="CI936" s="314"/>
      <c r="CJ936" s="314"/>
      <c r="CK936" s="314"/>
      <c r="CL936" s="314"/>
      <c r="CM936" s="314"/>
      <c r="CN936" s="314"/>
      <c r="CO936" s="314"/>
      <c r="CP936" s="314"/>
      <c r="CQ936" s="369" t="b">
        <f>OR(CQ934,Y936=EUconst_NA)</f>
        <v>0</v>
      </c>
    </row>
    <row r="937" spans="1:95" ht="12.75" customHeight="1" thickBot="1" x14ac:dyDescent="0.3">
      <c r="A937" s="307"/>
      <c r="B937" s="68"/>
      <c r="C937" s="199" t="s">
        <v>14</v>
      </c>
      <c r="D937" s="344" t="str">
        <f>Translations!$B$358</f>
        <v>(prelim) EF:</v>
      </c>
      <c r="E937" s="345"/>
      <c r="F937" s="59"/>
      <c r="G937" s="1256" t="str">
        <f>IF(OR(ISBLANK(F937),F937=EUconst_NoTier),"",IF(Z937=0,EUconst_NotApplicable,IF(ISERROR(Z937),"",Z937)))</f>
        <v/>
      </c>
      <c r="H937" s="1260"/>
      <c r="I937" s="385" t="str">
        <f>IF(J937&lt;&gt;"","",AI937)</f>
        <v/>
      </c>
      <c r="J937" s="22"/>
      <c r="K937" s="386" t="str">
        <f>IF(L937="",AU937,"")</f>
        <v/>
      </c>
      <c r="L937" s="58"/>
      <c r="M937" s="347" t="str">
        <f>IF(AND(E929&lt;&gt;"",OR(F937="",COUNT(K937:L937)=0),Y937&lt;&gt;EUconst_NA),EUconst_ERR_Incomplete,IF(COUNTIF(BB937:BD937,TRUE)&gt;0,EUconst_ERR_Inconsistent,""))</f>
        <v/>
      </c>
      <c r="N937" s="387"/>
      <c r="O937" s="160"/>
      <c r="P937" s="109"/>
      <c r="Q937" s="312"/>
      <c r="R937" s="312"/>
      <c r="S937" s="314"/>
      <c r="T937" s="388" t="str">
        <f>EUconst_CNTR_EF&amp;E929</f>
        <v>EF_</v>
      </c>
      <c r="U937" s="312"/>
      <c r="V937" s="389" t="str">
        <f>V934</f>
        <v/>
      </c>
      <c r="W937" s="314"/>
      <c r="X937" s="312"/>
      <c r="Y937" s="390" t="str">
        <f>IF(E929="","",IF(OR(F937=EUconst_NA,W937=TRUE),EUconst_NA,INDEX(EUwideConstants!$P$164:$P$200,MATCH(T937,EUwideConstants!$S$164:$S$200,0))))</f>
        <v/>
      </c>
      <c r="Z937" s="391" t="str">
        <f>IF(ISBLANK(F937),"",IF(F937=EUconst_NA,"",INDEX(EUwideConstants!$H:$O,MATCH(T937,EUwideConstants!$S:$S,0),MATCH(F937,CNTR_TierList,0))))</f>
        <v/>
      </c>
      <c r="AA937" s="392" t="str">
        <f>IF(COUNTIF(EUconst_DefaultValues,Z937)&gt;0,MATCH(Z937,EUconst_DefaultValues,0),"")</f>
        <v/>
      </c>
      <c r="AB937" s="314"/>
      <c r="AC937" s="393" t="b">
        <f>AND(AC934,Y937&lt;&gt;EUconst_NA)</f>
        <v>0</v>
      </c>
      <c r="AD937" s="314"/>
      <c r="AE937" s="394" t="str">
        <f>EUconst_CNTR_EF&amp;EUconst_Unit</f>
        <v>EF_Unit</v>
      </c>
      <c r="AF937" s="395" t="str">
        <f>IF(AC937=TRUE, IF(COUNTIF(MSPara_SourceStreamCategory,V937)=0,"",INDEX(MSPara_CalcFactorsMatrix,MATCH(V937,MSPara_SourceStreamCategory,0),MATCH(AE937&amp;"_"&amp;2,MSPara_CalcFactors,0))),"")</f>
        <v/>
      </c>
      <c r="AG937" s="396" t="str">
        <f>IF(AC937=TRUE, IF(COUNTIF(MSPara_SourceStreamCategory,V937)=0,"",INDEX(MSPara_CalcFactorsMatrix,MATCH(V937,MSPara_SourceStreamCategory,0),MATCH(AE937&amp;"_"&amp;1,MSPara_CalcFactors,0))),"")</f>
        <v/>
      </c>
      <c r="AH937" s="397" t="str">
        <f>IF(AA937="","",INDEX(AF937:AG937,3-AA937))</f>
        <v/>
      </c>
      <c r="AI937" s="397" t="str">
        <f>IF(AC937=TRUE,IF(OR(AH937="",AH937=EUconst_NA),EUconst_tCO2&amp;"/"&amp;IF(AN936=EUconst_NA,AN934,IF(AN936=EUconst_GJ,EUconst_TJ,AN936)),AH937),"")</f>
        <v/>
      </c>
      <c r="AJ937" s="397" t="str">
        <f>IF(J937="",AI937,J937)</f>
        <v/>
      </c>
      <c r="AK937" s="398" t="b">
        <f>AND(E929&lt;&gt;"",J937&lt;&gt;"")</f>
        <v>0</v>
      </c>
      <c r="AL937" s="326"/>
      <c r="AM937" s="358" t="s">
        <v>153</v>
      </c>
      <c r="AN937" s="359" t="str">
        <f>IF(COUNTIF(RFAUnits,AN934)=0,EUconst_NA,INDEX(EUwideConstants!$C$150:$H$154,MATCH(AJ937,EFUnits,0),MATCH(AN934,EUwideConstants!$C$149:$H$149,0)))</f>
        <v>n.a.</v>
      </c>
      <c r="AO937" s="359" t="b">
        <f>AN937&lt;&gt;EUconst_NA</f>
        <v>0</v>
      </c>
      <c r="AP937" s="326"/>
      <c r="AQ937" s="399" t="str">
        <f>EUconst_CNTR_EF&amp;EUconst_Value</f>
        <v>EF_Value</v>
      </c>
      <c r="AR937" s="400" t="str">
        <f>IF(AC937=TRUE,IF(COUNTIF(MSPara_SourceStreamCategory,V937)=0,"",INDEX(MSPara_CalcFactorsMatrix,MATCH(V937,MSPara_SourceStreamCategory,0),MATCH(AQ937&amp;"_"&amp;2,MSPara_CalcFactors,0))),"")</f>
        <v/>
      </c>
      <c r="AS937" s="401" t="str">
        <f>IF(AC937=TRUE,IF(COUNTIF(MSPara_SourceStreamCategory,V937)=0,"",INDEX(MSPara_CalcFactorsMatrix,MATCH(V937,MSPara_SourceStreamCategory,0),MATCH(AQ937&amp;"_"&amp;1,MSPara_CalcFactors,0))),"")</f>
        <v/>
      </c>
      <c r="AT937" s="402" t="b">
        <f>AND(AND(AH937&lt;&gt;"",AJ937&lt;&gt;""),AJ937=AH937)</f>
        <v>0</v>
      </c>
      <c r="AU937" s="403" t="str">
        <f>IF(AND(AA937&lt;&gt;"",AT937=TRUE),IF(OR(INDEX(AR937:AS937,3-AA937)=EUconst_NA,INDEX(AR937:AS937,3-AA937)=0),"",INDEX(AR937:AS937,3-AA937)),"")</f>
        <v/>
      </c>
      <c r="AV937" s="393">
        <f>IF(AC937=TRUE,IF(COUNT(K937:L937)=0,0,IF(L937="",K937,L937)),0)</f>
        <v>0</v>
      </c>
      <c r="AW937" s="389" t="b">
        <f t="shared" si="279"/>
        <v>0</v>
      </c>
      <c r="AX937" s="404" t="b">
        <f t="shared" si="280"/>
        <v>0</v>
      </c>
      <c r="AY937" s="314"/>
      <c r="AZ937" s="405" t="b">
        <f t="shared" si="281"/>
        <v>0</v>
      </c>
      <c r="BA937" s="406" t="b">
        <f t="shared" si="282"/>
        <v>0</v>
      </c>
      <c r="BB937" s="407" t="b">
        <f>AND(E929&lt;&gt;"",COUNTIF(AO937:AO938,TRUE)=0)</f>
        <v>0</v>
      </c>
      <c r="BC937" s="389" t="b">
        <f t="shared" si="283"/>
        <v>0</v>
      </c>
      <c r="BD937" s="314"/>
      <c r="BE937" s="314"/>
      <c r="BF937" s="408" t="s">
        <v>154</v>
      </c>
      <c r="BG937" s="409" t="str">
        <f>IF(COUNTIF(AO937:AO938,TRUE)=0,"",BH937*AV945)</f>
        <v/>
      </c>
      <c r="BH937" s="409" t="str">
        <f>IF(COUNTIF(AO937:AO938,TRUE)=0,"",AV934*IF(AO937,1,AV936*AN938)*AV937*AV939)</f>
        <v/>
      </c>
      <c r="BI937" s="314"/>
      <c r="BJ937" s="314"/>
      <c r="BK937" s="314"/>
      <c r="BL937" s="314"/>
      <c r="BM937" s="314"/>
      <c r="BN937" s="314"/>
      <c r="BO937" s="314"/>
      <c r="BP937" s="314"/>
      <c r="BQ937" s="314"/>
      <c r="BR937" s="314"/>
      <c r="BS937" s="314"/>
      <c r="BT937" s="314"/>
      <c r="BU937" s="314"/>
      <c r="BV937" s="314"/>
      <c r="BW937" s="314"/>
      <c r="BX937" s="314"/>
      <c r="BY937" s="314"/>
      <c r="BZ937" s="314"/>
      <c r="CA937" s="314"/>
      <c r="CB937" s="314"/>
      <c r="CC937" s="314"/>
      <c r="CD937" s="314"/>
      <c r="CE937" s="314"/>
      <c r="CF937" s="314"/>
      <c r="CG937" s="314"/>
      <c r="CH937" s="314"/>
      <c r="CI937" s="314"/>
      <c r="CJ937" s="314"/>
      <c r="CK937" s="314"/>
      <c r="CL937" s="314"/>
      <c r="CM937" s="314"/>
      <c r="CN937" s="314"/>
      <c r="CO937" s="314"/>
      <c r="CP937" s="314"/>
      <c r="CQ937" s="407" t="b">
        <f>OR(CQ934,Y937=EUconst_NA)</f>
        <v>0</v>
      </c>
    </row>
    <row r="938" spans="1:95" ht="12.75" customHeight="1" x14ac:dyDescent="0.25">
      <c r="A938" s="307"/>
      <c r="B938" s="68"/>
      <c r="C938" s="199" t="s">
        <v>15</v>
      </c>
      <c r="D938" s="344" t="str">
        <f>Translations!$B$362</f>
        <v>BioF:</v>
      </c>
      <c r="E938" s="345"/>
      <c r="F938" s="10"/>
      <c r="G938" s="1256" t="str">
        <f>IF(OR(ISBLANK(F938),F938=EUconst_NoTier),"",IF(Z938=0,EUconst_NotApplicable,IF(ISERROR(Z938),"",Z938)))</f>
        <v/>
      </c>
      <c r="H938" s="1257"/>
      <c r="I938" s="410" t="str">
        <f t="shared" ref="I938:I943" si="284">IF(OR(AC938=FALSE,Y938=EUconst_NA),"","-")</f>
        <v/>
      </c>
      <c r="J938" s="411"/>
      <c r="K938" s="412" t="str">
        <f>IF(L938="",AU938,"")</f>
        <v/>
      </c>
      <c r="L938" s="60"/>
      <c r="M938" s="347" t="str">
        <f>IF(AND(E929&lt;&gt;"",OR(F938="",COUNT(K938:L938)=0),Y938&lt;&gt;EUconst_NA),EUconst_ERR_Incomplete,IF(COUNTIF(BB938:BD938,TRUE)&gt;0,EUconst_ERR_Inconsistent,""))</f>
        <v/>
      </c>
      <c r="O938" s="160"/>
      <c r="P938" s="348"/>
      <c r="Q938" s="413"/>
      <c r="R938" s="413"/>
      <c r="S938" s="314"/>
      <c r="T938" s="388" t="str">
        <f>EUconst_CNTR_BiomassContent&amp;E929</f>
        <v>BioC_</v>
      </c>
      <c r="U938" s="312"/>
      <c r="V938" s="369" t="str">
        <f>V936</f>
        <v/>
      </c>
      <c r="W938" s="369" t="str">
        <f>IF(OR(V938="",COUNTIF(MSPara_SourceStreamCategory,V938)=0),"",INDEX(MSPara_IsFossil,MATCH(V938,MSPara_SourceStreamCategory,0)))</f>
        <v/>
      </c>
      <c r="X938" s="312"/>
      <c r="Y938" s="370" t="str">
        <f>IF(E929="","",IF(OR(F938=EUconst_NA,W938=TRUE),EUconst_NA,INDEX(EUwideConstants!$P$164:$P$200,MATCH(T938,EUwideConstants!$S$164:$S$200,0))))</f>
        <v/>
      </c>
      <c r="Z938" s="371" t="str">
        <f>IF(ISBLANK(F938),"",IF(F938=EUconst_NA,"",INDEX(EUwideConstants!$H:$O,MATCH(T938,EUwideConstants!$S:$S,0),MATCH(F938,CNTR_TierList,0))))</f>
        <v/>
      </c>
      <c r="AA938" s="414" t="str">
        <f>IF(F938=1,1,"")</f>
        <v/>
      </c>
      <c r="AB938" s="314"/>
      <c r="AC938" s="373" t="b">
        <f>AND(AC934,Y938&lt;&gt;EUconst_NA)</f>
        <v>0</v>
      </c>
      <c r="AD938" s="314"/>
      <c r="AE938" s="415"/>
      <c r="AF938" s="416"/>
      <c r="AG938" s="417"/>
      <c r="AH938" s="418"/>
      <c r="AI938" s="418"/>
      <c r="AJ938" s="418"/>
      <c r="AK938" s="419"/>
      <c r="AL938" s="326"/>
      <c r="AM938" s="358" t="s">
        <v>155</v>
      </c>
      <c r="AN938" s="359" t="str">
        <f>IF(AN936=EUconst_NA,EUconst_NA,INDEX(EUwideConstants!$C$150:$H$154,MATCH(AJ937,EFUnits,0),MATCH(AN936,EUwideConstants!$C$149:$H$149,0)))</f>
        <v>n.a.</v>
      </c>
      <c r="AO938" s="359" t="b">
        <f>AN938&lt;&gt;EUconst_NA</f>
        <v>0</v>
      </c>
      <c r="AP938" s="326"/>
      <c r="AQ938" s="376" t="str">
        <f>EUconst_CNTR_BiomassContent&amp;EUconst_Value</f>
        <v>BioC_Value</v>
      </c>
      <c r="AR938" s="420"/>
      <c r="AS938" s="378" t="str">
        <f t="shared" ref="AS938:AS943" si="285">IF(AC938=TRUE,IF(COUNTIF(MSPara_SourceStreamCategory,V938)=0,"",INDEX(MSPara_CalcFactorsMatrix,MATCH(V938,MSPara_SourceStreamCategory,0),MATCH(AQ938&amp;"_"&amp;2,MSPara_CalcFactors,0))),"")</f>
        <v/>
      </c>
      <c r="AT938" s="421"/>
      <c r="AU938" s="380" t="str">
        <f t="shared" ref="AU938:AU943" si="286">IF(OR(AA938="",AS938=EUconst_NA),"",AS938)</f>
        <v/>
      </c>
      <c r="AV938" s="373">
        <f>IF(AC938=TRUE,IF(COUNT(K938:L938)=0,0,IF(L938="",K938,L938)),0)</f>
        <v>0</v>
      </c>
      <c r="AW938" s="369" t="b">
        <f t="shared" si="279"/>
        <v>0</v>
      </c>
      <c r="AX938" s="381" t="b">
        <f t="shared" si="280"/>
        <v>0</v>
      </c>
      <c r="AY938" s="314"/>
      <c r="AZ938" s="382" t="b">
        <f t="shared" si="281"/>
        <v>0</v>
      </c>
      <c r="BA938" s="383" t="b">
        <f t="shared" si="282"/>
        <v>0</v>
      </c>
      <c r="BB938" s="314"/>
      <c r="BC938" s="369" t="b">
        <f t="shared" si="283"/>
        <v>0</v>
      </c>
      <c r="BD938" s="369" t="b">
        <f>OR(AV938&gt;100%,(AV938+AV939)&gt;100%)</f>
        <v>0</v>
      </c>
      <c r="BE938" s="314"/>
      <c r="BF938" s="382" t="s">
        <v>156</v>
      </c>
      <c r="BG938" s="384" t="str">
        <f>IF(COUNTIF(AO937:AO938,TRUE)=0,"",BH938*AV945)</f>
        <v/>
      </c>
      <c r="BH938" s="384" t="str">
        <f>IF(COUNTIF(AO937:AO938,TRUE)=0,"",AV934*IF(AO937,1,AV936*AN938)*AV937*AV940)</f>
        <v/>
      </c>
      <c r="BJ938" s="314"/>
      <c r="BK938" s="314"/>
      <c r="BL938" s="314"/>
      <c r="BM938" s="314"/>
      <c r="BN938" s="314"/>
      <c r="BO938" s="314"/>
      <c r="BP938" s="314"/>
      <c r="BQ938" s="314"/>
      <c r="BR938" s="314"/>
      <c r="BS938" s="314"/>
      <c r="BT938" s="314"/>
      <c r="BU938" s="314"/>
      <c r="BV938" s="314"/>
      <c r="BW938" s="314"/>
      <c r="BX938" s="314"/>
      <c r="BY938" s="314"/>
      <c r="BZ938" s="314"/>
      <c r="CA938" s="314"/>
      <c r="CB938" s="314"/>
      <c r="CC938" s="314"/>
      <c r="CD938" s="314"/>
      <c r="CE938" s="314"/>
      <c r="CF938" s="314"/>
      <c r="CG938" s="314"/>
      <c r="CH938" s="314"/>
      <c r="CI938" s="314"/>
      <c r="CJ938" s="314"/>
      <c r="CK938" s="314"/>
      <c r="CL938" s="314"/>
      <c r="CM938" s="314"/>
      <c r="CN938" s="314"/>
      <c r="CO938" s="314"/>
      <c r="CP938" s="314"/>
      <c r="CQ938" s="369" t="b">
        <f>OR(CQ934,Y938=EUconst_NA)</f>
        <v>0</v>
      </c>
    </row>
    <row r="939" spans="1:95" ht="12.75" customHeight="1" thickBot="1" x14ac:dyDescent="0.3">
      <c r="A939" s="307"/>
      <c r="B939" s="68"/>
      <c r="C939" s="199" t="s">
        <v>16</v>
      </c>
      <c r="D939" s="344" t="str">
        <f>Translations!$B$368</f>
        <v>non-sust. BioF:</v>
      </c>
      <c r="E939" s="345"/>
      <c r="F939" s="20"/>
      <c r="G939" s="1256" t="str">
        <f>IF(OR(ISBLANK(F939),F939=EUconst_NoTier),"",IF(Z939=0,EUconst_NotApplicable,IF(ISERROR(Z939),"",Z939)))</f>
        <v/>
      </c>
      <c r="H939" s="1257"/>
      <c r="I939" s="422" t="str">
        <f t="shared" si="284"/>
        <v/>
      </c>
      <c r="J939" s="423"/>
      <c r="K939" s="424" t="str">
        <f>IF(L939="",AU939,"")</f>
        <v/>
      </c>
      <c r="L939" s="21"/>
      <c r="M939" s="347" t="str">
        <f>IF(AND(E929&lt;&gt;"",OR(F939="",COUNT(K939:L939)=0),Y939&lt;&gt;EUconst_NA),EUconst_ERR_Incomplete,IF(COUNTIF(BB939:BD939,TRUE)&gt;0,EUconst_ERR_Inconsistent,""))</f>
        <v/>
      </c>
      <c r="N939" s="76"/>
      <c r="O939" s="160"/>
      <c r="P939" s="348"/>
      <c r="Q939" s="413"/>
      <c r="R939" s="413"/>
      <c r="S939" s="314"/>
      <c r="T939" s="425" t="str">
        <f>EUconst_CNTR_BiomassContent&amp;E929</f>
        <v>BioC_</v>
      </c>
      <c r="U939" s="312"/>
      <c r="V939" s="407" t="str">
        <f>V938</f>
        <v/>
      </c>
      <c r="W939" s="407" t="str">
        <f>IF(OR(V938="",COUNTIF(MSPara_SourceStreamCategory,V939)=0),"",INDEX(MSPara_IsFossil,MATCH(V939,MSPara_SourceStreamCategory,0)))</f>
        <v/>
      </c>
      <c r="X939" s="312"/>
      <c r="Y939" s="426" t="str">
        <f>IF(E929="","",IF(OR(F939=EUconst_NA,W939=TRUE),EUconst_NA,INDEX(EUwideConstants!$P$164:$P$200,MATCH(T939,EUwideConstants!$S$164:$S$200,0))))</f>
        <v/>
      </c>
      <c r="Z939" s="427" t="str">
        <f>IF(ISBLANK(F939),"",IF(F939=EUconst_NA,"",INDEX(EUwideConstants!$H:$O,MATCH(T939,EUwideConstants!$S:$S,0),MATCH(F939,CNTR_TierList,0))))</f>
        <v/>
      </c>
      <c r="AA939" s="428" t="str">
        <f>IF(F939=1,1,"")</f>
        <v/>
      </c>
      <c r="AB939" s="314"/>
      <c r="AC939" s="429" t="b">
        <f>AND(AC934,Y939&lt;&gt;EUconst_NA)</f>
        <v>0</v>
      </c>
      <c r="AD939" s="314"/>
      <c r="AE939" s="430"/>
      <c r="AF939" s="431"/>
      <c r="AG939" s="432"/>
      <c r="AH939" s="433"/>
      <c r="AI939" s="433"/>
      <c r="AJ939" s="433"/>
      <c r="AK939" s="434"/>
      <c r="AL939" s="326"/>
      <c r="AM939" s="326"/>
      <c r="AN939" s="326"/>
      <c r="AO939" s="326"/>
      <c r="AP939" s="326"/>
      <c r="AQ939" s="435" t="str">
        <f>EUconst_CNTR_BiomassContent&amp;EUconst_Value</f>
        <v>BioC_Value</v>
      </c>
      <c r="AR939" s="430"/>
      <c r="AS939" s="436" t="str">
        <f t="shared" si="285"/>
        <v/>
      </c>
      <c r="AT939" s="437"/>
      <c r="AU939" s="438" t="str">
        <f t="shared" si="286"/>
        <v/>
      </c>
      <c r="AV939" s="429">
        <f>IF(AC939=TRUE,IF(COUNT(K939:L939)=0,0,IF(L939="",K939,L939)),0)</f>
        <v>0</v>
      </c>
      <c r="AW939" s="407" t="b">
        <f t="shared" si="279"/>
        <v>0</v>
      </c>
      <c r="AX939" s="439" t="b">
        <f t="shared" si="280"/>
        <v>0</v>
      </c>
      <c r="AY939" s="314"/>
      <c r="AZ939" s="408" t="b">
        <f t="shared" si="281"/>
        <v>0</v>
      </c>
      <c r="BA939" s="440" t="b">
        <f t="shared" si="282"/>
        <v>0</v>
      </c>
      <c r="BB939" s="314"/>
      <c r="BC939" s="407" t="b">
        <f t="shared" si="283"/>
        <v>0</v>
      </c>
      <c r="BD939" s="407" t="b">
        <f>OR(AV938&gt;100%,(AV938+AV939)&gt;100%)</f>
        <v>0</v>
      </c>
      <c r="BE939" s="314"/>
      <c r="BF939" s="408" t="s">
        <v>157</v>
      </c>
      <c r="BG939" s="409" t="str">
        <f>IF(COUNTIF(AO937:AO938,TRUE)=0,"",BH939*AV945)</f>
        <v/>
      </c>
      <c r="BH939" s="409" t="str">
        <f>IF(COUNTIF(AO937:AO938,TRUE)=0,"",AV934*IF(AO937,1,AV936*AN938)*AV937*AV941)</f>
        <v/>
      </c>
      <c r="BJ939" s="314"/>
      <c r="BK939" s="314"/>
      <c r="BL939" s="314"/>
      <c r="BM939" s="314"/>
      <c r="BN939" s="314"/>
      <c r="BO939" s="314"/>
      <c r="BP939" s="314"/>
      <c r="BQ939" s="314"/>
      <c r="BR939" s="314"/>
      <c r="BS939" s="314"/>
      <c r="BT939" s="314"/>
      <c r="BU939" s="314"/>
      <c r="BV939" s="314"/>
      <c r="BW939" s="314"/>
      <c r="BX939" s="314"/>
      <c r="BY939" s="314"/>
      <c r="BZ939" s="314"/>
      <c r="CA939" s="314"/>
      <c r="CB939" s="314"/>
      <c r="CC939" s="314"/>
      <c r="CD939" s="314"/>
      <c r="CE939" s="314"/>
      <c r="CF939" s="314"/>
      <c r="CG939" s="314"/>
      <c r="CH939" s="314"/>
      <c r="CI939" s="314"/>
      <c r="CJ939" s="314"/>
      <c r="CK939" s="314"/>
      <c r="CL939" s="314"/>
      <c r="CM939" s="314"/>
      <c r="CN939" s="314"/>
      <c r="CO939" s="314"/>
      <c r="CP939" s="314"/>
      <c r="CQ939" s="407" t="b">
        <f>OR(CQ934,Y939=EUconst_NA)</f>
        <v>0</v>
      </c>
    </row>
    <row r="940" spans="1:95" ht="12.75" customHeight="1" thickBot="1" x14ac:dyDescent="0.3">
      <c r="A940" s="307"/>
      <c r="B940" s="68"/>
      <c r="C940" s="199" t="s">
        <v>17</v>
      </c>
      <c r="D940" s="344" t="str">
        <f>Translations!$B$610</f>
        <v>sust. RFNBO/RCF:</v>
      </c>
      <c r="E940" s="441"/>
      <c r="F940" s="19" t="s">
        <v>158</v>
      </c>
      <c r="G940" s="1261"/>
      <c r="H940" s="1262"/>
      <c r="I940" s="442" t="str">
        <f t="shared" si="284"/>
        <v/>
      </c>
      <c r="J940" s="411"/>
      <c r="K940" s="443"/>
      <c r="L940" s="55"/>
      <c r="M940" s="347" t="str">
        <f>IF(AND(E929&lt;&gt;"",OR(F940="",COUNT(L940)=0),Y940&lt;&gt;EUconst_NA),EUconst_ERR_Incomplete,"")</f>
        <v/>
      </c>
      <c r="N940" s="76"/>
      <c r="O940" s="160"/>
      <c r="P940" s="348"/>
      <c r="Q940" s="413"/>
      <c r="R940" s="413"/>
      <c r="S940" s="314"/>
      <c r="T940" s="388" t="str">
        <f>EUconst_CNTR_RFNBOetcContent&amp;E929</f>
        <v>RNFBOC_</v>
      </c>
      <c r="U940" s="312"/>
      <c r="V940" s="312"/>
      <c r="W940" s="312"/>
      <c r="X940" s="312"/>
      <c r="Y940" s="380" t="str">
        <f>IF(E929="","",IF(OR(F940=EUconst_NA,W940=TRUE),EUconst_NA,INDEX(EUwideConstants!$P$164:$P$200,MATCH(T940,EUwideConstants!$S$164:$S$200,0))))</f>
        <v/>
      </c>
      <c r="Z940" s="314"/>
      <c r="AA940" s="314"/>
      <c r="AB940" s="314"/>
      <c r="AC940" s="397" t="b">
        <f>AND(AC936,Y940&lt;&gt;EUconst_NA)</f>
        <v>0</v>
      </c>
      <c r="AD940" s="314"/>
      <c r="AE940" s="415"/>
      <c r="AF940" s="416"/>
      <c r="AG940" s="417"/>
      <c r="AH940" s="418"/>
      <c r="AI940" s="418"/>
      <c r="AJ940" s="418"/>
      <c r="AK940" s="419"/>
      <c r="AL940" s="326"/>
      <c r="AM940" s="326"/>
      <c r="AN940" s="326"/>
      <c r="AO940" s="326"/>
      <c r="AP940" s="326"/>
      <c r="AQ940" s="444" t="s">
        <v>159</v>
      </c>
      <c r="AR940" s="415"/>
      <c r="AS940" s="445" t="str">
        <f t="shared" si="285"/>
        <v/>
      </c>
      <c r="AT940" s="446"/>
      <c r="AU940" s="447" t="str">
        <f t="shared" si="286"/>
        <v/>
      </c>
      <c r="AV940" s="397">
        <f>IF(L940&lt;&gt;0,L940,L940)</f>
        <v>0</v>
      </c>
      <c r="AW940" s="398" t="b">
        <f t="shared" si="279"/>
        <v>0</v>
      </c>
      <c r="AX940" s="448" t="b">
        <f t="shared" si="280"/>
        <v>0</v>
      </c>
      <c r="AY940" s="314"/>
      <c r="AZ940" s="449" t="b">
        <f t="shared" si="281"/>
        <v>0</v>
      </c>
      <c r="BA940" s="450" t="b">
        <f t="shared" si="282"/>
        <v>0</v>
      </c>
      <c r="BB940" s="314"/>
      <c r="BC940" s="398" t="b">
        <f t="shared" si="283"/>
        <v>0</v>
      </c>
      <c r="BD940" s="369" t="b">
        <f>OR(AV940&gt;100%,(AV940+AV941)&gt;100%)</f>
        <v>0</v>
      </c>
      <c r="BE940" s="314"/>
      <c r="BF940" s="451" t="s">
        <v>160</v>
      </c>
      <c r="BG940" s="452" t="str">
        <f>IF(COUNTIF(AO937:AO938,TRUE)=0,"",BH940*AV945)</f>
        <v/>
      </c>
      <c r="BH940" s="452" t="str">
        <f>IF(COUNTIF(AO937:AO938,TRUE)=0,"",AV934*IF(AO937,1,AV936*AN938)*AV937*AV942)</f>
        <v/>
      </c>
      <c r="BJ940" s="314"/>
      <c r="BK940" s="314"/>
      <c r="BL940" s="314"/>
      <c r="BM940" s="314"/>
      <c r="BN940" s="314"/>
      <c r="BO940" s="314"/>
      <c r="BP940" s="314"/>
      <c r="BQ940" s="314"/>
      <c r="BR940" s="314"/>
      <c r="BS940" s="314"/>
      <c r="BT940" s="314"/>
      <c r="BU940" s="314"/>
      <c r="BV940" s="314"/>
      <c r="BW940" s="314"/>
      <c r="BX940" s="314"/>
      <c r="BY940" s="314"/>
      <c r="BZ940" s="314"/>
      <c r="CA940" s="314"/>
      <c r="CB940" s="314"/>
      <c r="CC940" s="314"/>
      <c r="CD940" s="314"/>
      <c r="CE940" s="314"/>
      <c r="CF940" s="314"/>
      <c r="CG940" s="314"/>
      <c r="CH940" s="314"/>
      <c r="CI940" s="314"/>
      <c r="CJ940" s="314"/>
      <c r="CK940" s="314"/>
      <c r="CL940" s="314"/>
      <c r="CM940" s="314"/>
      <c r="CN940" s="314"/>
      <c r="CO940" s="314"/>
      <c r="CP940" s="314"/>
      <c r="CQ940" s="407" t="b">
        <f>OR(CQ934,Y940=EUconst_NA)</f>
        <v>0</v>
      </c>
    </row>
    <row r="941" spans="1:95" ht="12.75" customHeight="1" thickBot="1" x14ac:dyDescent="0.3">
      <c r="A941" s="307"/>
      <c r="B941" s="68"/>
      <c r="C941" s="199" t="s">
        <v>161</v>
      </c>
      <c r="D941" s="344" t="str">
        <f>Translations!$B$613</f>
        <v>non-sust. RFNBO/RCF:</v>
      </c>
      <c r="E941" s="441"/>
      <c r="F941" s="20" t="s">
        <v>158</v>
      </c>
      <c r="G941" s="1261"/>
      <c r="H941" s="1262"/>
      <c r="I941" s="422" t="str">
        <f t="shared" si="284"/>
        <v/>
      </c>
      <c r="J941" s="423"/>
      <c r="K941" s="443"/>
      <c r="L941" s="56"/>
      <c r="M941" s="347" t="str">
        <f>IF(AND(E929&lt;&gt;"",OR(F941="",COUNT(L941)=0),Y941&lt;&gt;EUconst_NA),EUconst_ERR_Incomplete,"")</f>
        <v/>
      </c>
      <c r="N941" s="76"/>
      <c r="O941" s="160"/>
      <c r="P941" s="348"/>
      <c r="Q941" s="413"/>
      <c r="R941" s="413"/>
      <c r="S941" s="314"/>
      <c r="T941" s="425" t="str">
        <f>EUconst_CNTR_RFNBOetcContent&amp;E929</f>
        <v>RNFBOC_</v>
      </c>
      <c r="U941" s="312"/>
      <c r="V941" s="312"/>
      <c r="W941" s="312"/>
      <c r="X941" s="312"/>
      <c r="Y941" s="438" t="str">
        <f>IF(E929="","",IF(OR(F941=EUconst_NA,W941=TRUE),EUconst_NA,INDEX(EUwideConstants!$P$164:$P$200,MATCH(T941,EUwideConstants!$S$164:$S$200,0))))</f>
        <v/>
      </c>
      <c r="Z941" s="314"/>
      <c r="AA941" s="314"/>
      <c r="AB941" s="314"/>
      <c r="AC941" s="429" t="b">
        <f>AND(AC936,Y941&lt;&gt;EUconst_NA)</f>
        <v>0</v>
      </c>
      <c r="AD941" s="314"/>
      <c r="AE941" s="430"/>
      <c r="AF941" s="431"/>
      <c r="AG941" s="432"/>
      <c r="AH941" s="433"/>
      <c r="AI941" s="433"/>
      <c r="AJ941" s="433"/>
      <c r="AK941" s="434"/>
      <c r="AL941" s="326"/>
      <c r="AM941" s="326"/>
      <c r="AN941" s="326"/>
      <c r="AO941" s="326"/>
      <c r="AP941" s="326"/>
      <c r="AQ941" s="435" t="s">
        <v>159</v>
      </c>
      <c r="AR941" s="430"/>
      <c r="AS941" s="436" t="str">
        <f t="shared" si="285"/>
        <v/>
      </c>
      <c r="AT941" s="437"/>
      <c r="AU941" s="438" t="str">
        <f t="shared" si="286"/>
        <v/>
      </c>
      <c r="AV941" s="429">
        <f t="shared" ref="AV941:AV943" si="287">IF(L941&lt;&gt;0,L941,L941)</f>
        <v>0</v>
      </c>
      <c r="AW941" s="407" t="b">
        <f t="shared" si="279"/>
        <v>0</v>
      </c>
      <c r="AX941" s="439" t="b">
        <f t="shared" si="280"/>
        <v>0</v>
      </c>
      <c r="AY941" s="314"/>
      <c r="AZ941" s="408" t="b">
        <f t="shared" si="281"/>
        <v>0</v>
      </c>
      <c r="BA941" s="440" t="b">
        <f t="shared" si="282"/>
        <v>0</v>
      </c>
      <c r="BB941" s="314"/>
      <c r="BC941" s="407" t="b">
        <f t="shared" si="283"/>
        <v>0</v>
      </c>
      <c r="BD941" s="407" t="b">
        <f>OR(AV940&gt;100%,(AV940+AV941)&gt;100%)</f>
        <v>0</v>
      </c>
      <c r="BE941" s="314"/>
      <c r="BF941" s="408" t="s">
        <v>162</v>
      </c>
      <c r="BG941" s="409" t="str">
        <f>IF(COUNTIF(AO937:AO938,TRUE)=0,"",BH941*AV945)</f>
        <v/>
      </c>
      <c r="BH941" s="409" t="str">
        <f>IF(COUNTIF(AO937:AO938,TRUE)=0,"",AV934*IF(AO937,1,AV936*AN938)*AV937*AV943)</f>
        <v/>
      </c>
      <c r="BJ941" s="314"/>
      <c r="BK941" s="314"/>
      <c r="BL941" s="314"/>
      <c r="BM941" s="314"/>
      <c r="BN941" s="314"/>
      <c r="BO941" s="314"/>
      <c r="BP941" s="314"/>
      <c r="BQ941" s="314"/>
      <c r="BR941" s="314"/>
      <c r="BS941" s="314"/>
      <c r="BT941" s="314"/>
      <c r="BU941" s="314"/>
      <c r="BV941" s="314"/>
      <c r="BW941" s="314"/>
      <c r="BX941" s="314"/>
      <c r="BY941" s="314"/>
      <c r="BZ941" s="314"/>
      <c r="CA941" s="314"/>
      <c r="CB941" s="314"/>
      <c r="CC941" s="314"/>
      <c r="CD941" s="314"/>
      <c r="CE941" s="314"/>
      <c r="CF941" s="314"/>
      <c r="CG941" s="314"/>
      <c r="CH941" s="314"/>
      <c r="CI941" s="314"/>
      <c r="CJ941" s="314"/>
      <c r="CK941" s="314"/>
      <c r="CL941" s="314"/>
      <c r="CM941" s="314"/>
      <c r="CN941" s="314"/>
      <c r="CO941" s="314"/>
      <c r="CP941" s="314"/>
      <c r="CQ941" s="407" t="b">
        <f>OR(CQ934,Y941=EUconst_NA)</f>
        <v>0</v>
      </c>
    </row>
    <row r="942" spans="1:95" ht="12.75" customHeight="1" thickBot="1" x14ac:dyDescent="0.3">
      <c r="A942" s="307"/>
      <c r="B942" s="68"/>
      <c r="C942" s="199" t="s">
        <v>163</v>
      </c>
      <c r="D942" s="344" t="str">
        <f>Translations!$B$615</f>
        <v>sust. SLCF:</v>
      </c>
      <c r="E942" s="441"/>
      <c r="F942" s="19" t="s">
        <v>158</v>
      </c>
      <c r="G942" s="1261"/>
      <c r="H942" s="1262"/>
      <c r="I942" s="442" t="str">
        <f t="shared" si="284"/>
        <v/>
      </c>
      <c r="J942" s="411"/>
      <c r="K942" s="443"/>
      <c r="L942" s="57"/>
      <c r="M942" s="347" t="str">
        <f>IF(AND(E929&lt;&gt;"",OR(F942="",COUNT(L942)=0),Y942&lt;&gt;EUconst_NA),EUconst_ERR_Incomplete,"")</f>
        <v/>
      </c>
      <c r="N942" s="76"/>
      <c r="O942" s="160"/>
      <c r="P942" s="348"/>
      <c r="Q942" s="413"/>
      <c r="R942" s="413"/>
      <c r="S942" s="314"/>
      <c r="T942" s="388" t="str">
        <f>EUconst_CNTR_RFNBOetcContent&amp;E929</f>
        <v>RNFBOC_</v>
      </c>
      <c r="U942" s="312"/>
      <c r="V942" s="312"/>
      <c r="W942" s="312"/>
      <c r="X942" s="312"/>
      <c r="Y942" s="447" t="str">
        <f>IF(E929="","",IF(OR(F942=EUconst_NA,W942=TRUE),EUconst_NA,INDEX(EUwideConstants!$P$164:$P$200,MATCH(T942,EUwideConstants!$S$164:$S$200,0))))</f>
        <v/>
      </c>
      <c r="Z942" s="314"/>
      <c r="AA942" s="314"/>
      <c r="AB942" s="314"/>
      <c r="AC942" s="397" t="b">
        <f>AND(AC938,Y942&lt;&gt;EUconst_NA)</f>
        <v>0</v>
      </c>
      <c r="AD942" s="314"/>
      <c r="AE942" s="415"/>
      <c r="AF942" s="416"/>
      <c r="AG942" s="417"/>
      <c r="AH942" s="418"/>
      <c r="AI942" s="418"/>
      <c r="AJ942" s="418"/>
      <c r="AK942" s="419"/>
      <c r="AL942" s="326"/>
      <c r="AM942" s="326"/>
      <c r="AN942" s="326"/>
      <c r="AO942" s="326"/>
      <c r="AP942" s="326"/>
      <c r="AQ942" s="444" t="s">
        <v>159</v>
      </c>
      <c r="AR942" s="415"/>
      <c r="AS942" s="445" t="str">
        <f t="shared" si="285"/>
        <v/>
      </c>
      <c r="AT942" s="446"/>
      <c r="AU942" s="447" t="str">
        <f t="shared" si="286"/>
        <v/>
      </c>
      <c r="AV942" s="397">
        <f t="shared" si="287"/>
        <v>0</v>
      </c>
      <c r="AW942" s="398" t="b">
        <f t="shared" si="279"/>
        <v>0</v>
      </c>
      <c r="AX942" s="448" t="b">
        <f t="shared" si="280"/>
        <v>0</v>
      </c>
      <c r="AY942" s="314"/>
      <c r="AZ942" s="449" t="b">
        <f t="shared" si="281"/>
        <v>0</v>
      </c>
      <c r="BA942" s="450" t="b">
        <f t="shared" si="282"/>
        <v>0</v>
      </c>
      <c r="BB942" s="314"/>
      <c r="BC942" s="398" t="b">
        <f t="shared" si="283"/>
        <v>0</v>
      </c>
      <c r="BD942" s="369" t="b">
        <f>OR(AV942&gt;100%,(AV942+AV943)&gt;100%)</f>
        <v>0</v>
      </c>
      <c r="BE942" s="314"/>
      <c r="BF942" s="451" t="s">
        <v>164</v>
      </c>
      <c r="BG942" s="452">
        <f>IF(AN934=EUconst_TJ,AV934*(1-AV938),IF(AN936=EUconst_GJ,AV934*AV936/1000,0))-SUM(BG943:BG949)</f>
        <v>0</v>
      </c>
      <c r="BH942" s="314"/>
      <c r="BI942" s="314"/>
      <c r="BJ942" s="314"/>
      <c r="BK942" s="314"/>
      <c r="BL942" s="314"/>
      <c r="BM942" s="314"/>
      <c r="BN942" s="314"/>
      <c r="BO942" s="314"/>
      <c r="BP942" s="314"/>
      <c r="BQ942" s="314"/>
      <c r="BR942" s="314"/>
      <c r="BS942" s="314"/>
      <c r="BT942" s="314"/>
      <c r="BU942" s="314"/>
      <c r="BV942" s="314"/>
      <c r="BW942" s="314"/>
      <c r="BX942" s="314"/>
      <c r="BY942" s="314"/>
      <c r="BZ942" s="314"/>
      <c r="CA942" s="314"/>
      <c r="CB942" s="314"/>
      <c r="CC942" s="314"/>
      <c r="CD942" s="314"/>
      <c r="CE942" s="314"/>
      <c r="CF942" s="314"/>
      <c r="CG942" s="314"/>
      <c r="CH942" s="314"/>
      <c r="CI942" s="314"/>
      <c r="CJ942" s="314"/>
      <c r="CK942" s="314"/>
      <c r="CL942" s="314"/>
      <c r="CM942" s="314"/>
      <c r="CN942" s="314"/>
      <c r="CO942" s="314"/>
      <c r="CP942" s="314"/>
      <c r="CQ942" s="407" t="b">
        <f>OR(CQ934,Y942=EUconst_NA)</f>
        <v>0</v>
      </c>
    </row>
    <row r="943" spans="1:95" ht="12.75" customHeight="1" thickBot="1" x14ac:dyDescent="0.3">
      <c r="A943" s="307"/>
      <c r="B943" s="68"/>
      <c r="C943" s="199" t="s">
        <v>165</v>
      </c>
      <c r="D943" s="344" t="str">
        <f>Translations!$B$618</f>
        <v>non-sust. SLCF:</v>
      </c>
      <c r="E943" s="441"/>
      <c r="F943" s="20" t="s">
        <v>158</v>
      </c>
      <c r="G943" s="1261"/>
      <c r="H943" s="1262"/>
      <c r="I943" s="422" t="str">
        <f t="shared" si="284"/>
        <v/>
      </c>
      <c r="J943" s="423"/>
      <c r="K943" s="443"/>
      <c r="L943" s="56"/>
      <c r="M943" s="347" t="str">
        <f>IF(AND(E929&lt;&gt;"",OR(F943="",COUNT(L943)=0),Y943&lt;&gt;EUconst_NA),EUconst_ERR_Incomplete,"")</f>
        <v/>
      </c>
      <c r="N943" s="76"/>
      <c r="O943" s="160"/>
      <c r="P943" s="348"/>
      <c r="Q943" s="413"/>
      <c r="R943" s="413"/>
      <c r="S943" s="314"/>
      <c r="T943" s="425" t="str">
        <f>EUconst_CNTR_RFNBOetcContent&amp;E929</f>
        <v>RNFBOC_</v>
      </c>
      <c r="U943" s="312"/>
      <c r="V943" s="312"/>
      <c r="W943" s="312"/>
      <c r="X943" s="312"/>
      <c r="Y943" s="438" t="str">
        <f>IF(E929="","",IF(OR(F943=EUconst_NA,W943=TRUE),EUconst_NA,INDEX(EUwideConstants!$P$164:$P$200,MATCH(T943,EUwideConstants!$S$164:$S$200,0))))</f>
        <v/>
      </c>
      <c r="Z943" s="314"/>
      <c r="AA943" s="314"/>
      <c r="AB943" s="314"/>
      <c r="AC943" s="429" t="b">
        <f>AND(AC938,Y943&lt;&gt;EUconst_NA)</f>
        <v>0</v>
      </c>
      <c r="AD943" s="314"/>
      <c r="AE943" s="430"/>
      <c r="AF943" s="431"/>
      <c r="AG943" s="432"/>
      <c r="AH943" s="433"/>
      <c r="AI943" s="433"/>
      <c r="AJ943" s="433"/>
      <c r="AK943" s="434"/>
      <c r="AL943" s="326"/>
      <c r="AM943" s="326"/>
      <c r="AN943" s="326"/>
      <c r="AO943" s="326"/>
      <c r="AP943" s="326"/>
      <c r="AQ943" s="435" t="s">
        <v>159</v>
      </c>
      <c r="AR943" s="430"/>
      <c r="AS943" s="436" t="str">
        <f t="shared" si="285"/>
        <v/>
      </c>
      <c r="AT943" s="437"/>
      <c r="AU943" s="438" t="str">
        <f t="shared" si="286"/>
        <v/>
      </c>
      <c r="AV943" s="429">
        <f t="shared" si="287"/>
        <v>0</v>
      </c>
      <c r="AW943" s="407" t="b">
        <f t="shared" si="279"/>
        <v>0</v>
      </c>
      <c r="AX943" s="439" t="b">
        <f t="shared" si="280"/>
        <v>0</v>
      </c>
      <c r="AY943" s="314"/>
      <c r="AZ943" s="408" t="b">
        <f t="shared" si="281"/>
        <v>0</v>
      </c>
      <c r="BA943" s="440" t="b">
        <f t="shared" si="282"/>
        <v>0</v>
      </c>
      <c r="BB943" s="314"/>
      <c r="BC943" s="407" t="b">
        <f t="shared" si="283"/>
        <v>0</v>
      </c>
      <c r="BD943" s="407" t="b">
        <f>OR(AV942&gt;100%,(AV942+AV943)&gt;100%)</f>
        <v>0</v>
      </c>
      <c r="BE943" s="314"/>
      <c r="BF943" s="408" t="s">
        <v>166</v>
      </c>
      <c r="BG943" s="409" t="str">
        <f>IF(AN934=EUconst_TJ,AV934*AV938,IF(AN936=EUconst_GJ,AV934*AV936/1000*AV938,""))</f>
        <v/>
      </c>
      <c r="BH943" s="314"/>
      <c r="BI943" s="314"/>
      <c r="BJ943" s="314"/>
      <c r="BK943" s="314"/>
      <c r="BL943" s="314"/>
      <c r="BM943" s="314"/>
      <c r="BN943" s="314"/>
      <c r="BO943" s="314"/>
      <c r="BP943" s="314"/>
      <c r="BQ943" s="314"/>
      <c r="BR943" s="314"/>
      <c r="BS943" s="314"/>
      <c r="BT943" s="314"/>
      <c r="BU943" s="314"/>
      <c r="BV943" s="314"/>
      <c r="BW943" s="314"/>
      <c r="BX943" s="314"/>
      <c r="BY943" s="314"/>
      <c r="BZ943" s="314"/>
      <c r="CA943" s="314"/>
      <c r="CB943" s="314"/>
      <c r="CC943" s="314"/>
      <c r="CD943" s="314"/>
      <c r="CE943" s="314"/>
      <c r="CF943" s="314"/>
      <c r="CG943" s="314"/>
      <c r="CH943" s="314"/>
      <c r="CI943" s="314"/>
      <c r="CJ943" s="314"/>
      <c r="CK943" s="314"/>
      <c r="CL943" s="314"/>
      <c r="CM943" s="314"/>
      <c r="CN943" s="314"/>
      <c r="CO943" s="314"/>
      <c r="CP943" s="314"/>
      <c r="CQ943" s="407" t="b">
        <f>OR(CQ934,Y943=EUconst_NA)</f>
        <v>0</v>
      </c>
    </row>
    <row r="944" spans="1:95" ht="5.15" customHeight="1" thickBot="1" x14ac:dyDescent="0.3">
      <c r="A944" s="307"/>
      <c r="B944" s="68"/>
      <c r="C944" s="68"/>
      <c r="D944" s="205"/>
      <c r="E944" s="76"/>
      <c r="F944" s="76"/>
      <c r="G944" s="76"/>
      <c r="H944" s="76"/>
      <c r="I944" s="76"/>
      <c r="J944" s="76"/>
      <c r="K944" s="76"/>
      <c r="L944" s="76"/>
      <c r="M944" s="453"/>
      <c r="N944" s="76"/>
      <c r="O944" s="160"/>
      <c r="P944" s="109"/>
      <c r="Q944" s="312"/>
      <c r="R944" s="312"/>
      <c r="S944" s="314"/>
      <c r="T944" s="314"/>
      <c r="U944" s="314"/>
      <c r="V944" s="314"/>
      <c r="W944" s="314"/>
      <c r="X944" s="314"/>
      <c r="Y944" s="314"/>
      <c r="Z944" s="314"/>
      <c r="AA944" s="314"/>
      <c r="AB944" s="314"/>
      <c r="AC944" s="314"/>
      <c r="AD944" s="314"/>
      <c r="AE944" s="314"/>
      <c r="AF944" s="314"/>
      <c r="AG944" s="314"/>
      <c r="AH944" s="314"/>
      <c r="AI944" s="314"/>
      <c r="AJ944" s="314"/>
      <c r="AK944" s="314"/>
      <c r="AL944" s="314"/>
      <c r="AM944" s="314"/>
      <c r="AN944" s="314"/>
      <c r="AO944" s="314"/>
      <c r="AP944" s="314"/>
      <c r="AQ944" s="314"/>
      <c r="AR944" s="314"/>
      <c r="AS944" s="314"/>
      <c r="AT944" s="314"/>
      <c r="AU944" s="314"/>
      <c r="AV944" s="314"/>
      <c r="AW944" s="314"/>
      <c r="AX944" s="314"/>
      <c r="AY944" s="314"/>
      <c r="AZ944" s="314"/>
      <c r="BA944" s="314"/>
      <c r="BB944" s="314"/>
      <c r="BC944" s="314"/>
      <c r="BD944" s="314"/>
      <c r="BE944" s="314"/>
      <c r="BF944" s="314"/>
      <c r="BG944" s="364"/>
      <c r="BH944" s="314"/>
      <c r="BI944" s="314"/>
      <c r="BJ944" s="314"/>
      <c r="BK944" s="314"/>
      <c r="BL944" s="314"/>
      <c r="BM944" s="314"/>
      <c r="BN944" s="314"/>
      <c r="BO944" s="314"/>
      <c r="BP944" s="314"/>
      <c r="BQ944" s="314"/>
      <c r="BR944" s="314"/>
      <c r="BS944" s="314"/>
      <c r="BT944" s="314"/>
      <c r="BU944" s="314"/>
      <c r="BV944" s="314"/>
      <c r="BW944" s="314"/>
      <c r="BX944" s="314"/>
      <c r="BY944" s="314"/>
      <c r="BZ944" s="314"/>
      <c r="CA944" s="314"/>
      <c r="CB944" s="314"/>
      <c r="CC944" s="314"/>
      <c r="CD944" s="314"/>
      <c r="CE944" s="314"/>
      <c r="CF944" s="314"/>
      <c r="CG944" s="314"/>
      <c r="CH944" s="314"/>
      <c r="CI944" s="314"/>
      <c r="CJ944" s="314"/>
      <c r="CK944" s="314"/>
      <c r="CL944" s="314"/>
      <c r="CM944" s="314"/>
      <c r="CN944" s="314"/>
      <c r="CO944" s="314"/>
      <c r="CP944" s="314"/>
      <c r="CQ944" s="314"/>
    </row>
    <row r="945" spans="1:95" ht="12.75" customHeight="1" thickBot="1" x14ac:dyDescent="0.3">
      <c r="A945" s="307"/>
      <c r="B945" s="68"/>
      <c r="C945" s="199" t="s">
        <v>167</v>
      </c>
      <c r="D945" s="344" t="str">
        <f>Translations!$B$398</f>
        <v>Scope factor:</v>
      </c>
      <c r="E945" s="454"/>
      <c r="F945" s="992"/>
      <c r="G945" s="1263"/>
      <c r="H945" s="1264"/>
      <c r="I945" s="455" t="s">
        <v>46</v>
      </c>
      <c r="J945" s="456"/>
      <c r="K945" s="457" t="str">
        <f>IF(L945="",AU945,"")</f>
        <v/>
      </c>
      <c r="L945" s="16"/>
      <c r="M945" s="458" t="str">
        <f>IF(AND(E929&lt;&gt;"",OR(F945="",G945="",COUNT(K945:L945)=0)),EUconst_ERR_Incomplete,IF(COUNTIF(BB945:BD945,TRUE)&gt;0,EUconst_ERR_Inconsistent,""))</f>
        <v/>
      </c>
      <c r="N945" s="76"/>
      <c r="O945" s="160"/>
      <c r="P945" s="109"/>
      <c r="Q945" s="312"/>
      <c r="R945" s="314"/>
      <c r="S945" s="297"/>
      <c r="T945" s="459" t="str">
        <f>EUconst_CNTR_ScopeFactor&amp;E929</f>
        <v>ScopeFactor_</v>
      </c>
      <c r="U945" s="231" t="str">
        <f>IF(F945="","",INDEX(ScopeAddress,MATCH(F945,ScopeTiers,0)))</f>
        <v/>
      </c>
      <c r="V945" s="360" t="str">
        <f>V934</f>
        <v/>
      </c>
      <c r="W945" s="314"/>
      <c r="X945" s="314"/>
      <c r="Y945" s="460" t="str">
        <f>IF(E929="","",IF(F945=EUconst_NA,EUconst_NA,INDEX(EUwideConstants!$P$164:$P$200,MATCH(T945,EUwideConstants!$S$164:$S$200,0))))</f>
        <v/>
      </c>
      <c r="Z945" s="461" t="str">
        <f>IF(ISBLANK(F945),"",IF(F945=EUconst_NA,"",INDEX(EUwideConstants!$H:$O,MATCH(T945,EUwideConstants!$S:$S,0),MATCH(F945,CNTR_TierList,0))))</f>
        <v/>
      </c>
      <c r="AA945" s="331" t="str">
        <f>IF(G945=EUwideConstants!$A$89,1,"")</f>
        <v/>
      </c>
      <c r="AB945" s="314"/>
      <c r="AC945" s="331" t="b">
        <f>AND(AC934,Y945&lt;&gt;EUconst_NA)</f>
        <v>0</v>
      </c>
      <c r="AD945" s="314"/>
      <c r="AE945" s="314"/>
      <c r="AF945" s="314"/>
      <c r="AG945" s="319"/>
      <c r="AH945" s="314"/>
      <c r="AI945" s="314"/>
      <c r="AJ945" s="314"/>
      <c r="AK945" s="314"/>
      <c r="AL945" s="314"/>
      <c r="AM945" s="314"/>
      <c r="AN945" s="314"/>
      <c r="AO945" s="314"/>
      <c r="AP945" s="314"/>
      <c r="AQ945" s="314"/>
      <c r="AR945" s="314"/>
      <c r="AS945" s="328">
        <v>1</v>
      </c>
      <c r="AT945" s="314"/>
      <c r="AU945" s="319" t="str">
        <f>IF(G945=EUwideConstants!$A$89,AS945,"")</f>
        <v/>
      </c>
      <c r="AV945" s="331">
        <f>IF(AC945=TRUE,IF(COUNT(K945:L945)=0,0,IF(L945="",K945,L945)),0)</f>
        <v>0</v>
      </c>
      <c r="AW945" s="360" t="b">
        <f>AND(AC945=TRUE,OR(AND(F945&lt;&gt;"",NOT(ISNUMBER(AA945))),L945&lt;&gt;"",F945="",AU945=""))</f>
        <v>0</v>
      </c>
      <c r="AX945" s="357" t="b">
        <f>AND(AC945=TRUE,NOT(AW945))</f>
        <v>0</v>
      </c>
      <c r="AY945" s="314"/>
      <c r="AZ945" s="361" t="b">
        <f>AND(ISNUMBER(AA945),AU945="")</f>
        <v>0</v>
      </c>
      <c r="BA945" s="351" t="b">
        <f>AND(ISNUMBER(AA945),AU945&lt;&gt;AV945)</f>
        <v>0</v>
      </c>
      <c r="BB945" s="314"/>
      <c r="BC945" s="360" t="b">
        <f>AND(F945&lt;&gt;"",OR(COUNTIF(INDEX(ScopeMethods,F945,),G945)=0,AND(AA945&lt;&gt;"",AU945&lt;&gt;AV945)))</f>
        <v>0</v>
      </c>
      <c r="BD945" s="314"/>
      <c r="BE945" s="314"/>
      <c r="BF945" s="361" t="s">
        <v>168</v>
      </c>
      <c r="BG945" s="362" t="str">
        <f>IF(AN934=EUconst_TJ,AV934*AV940,IF(AN936=EUconst_GJ,AV934*AV936/1000*AV940,""))</f>
        <v/>
      </c>
      <c r="BH945" s="314"/>
      <c r="BI945" s="314"/>
      <c r="BJ945" s="314"/>
      <c r="BK945" s="314"/>
      <c r="BL945" s="314"/>
      <c r="BM945" s="314"/>
      <c r="BN945" s="314"/>
      <c r="BO945" s="314"/>
      <c r="BP945" s="314"/>
      <c r="BQ945" s="314"/>
      <c r="BR945" s="314"/>
      <c r="BS945" s="314"/>
      <c r="BT945" s="314"/>
      <c r="BU945" s="314"/>
      <c r="BV945" s="314"/>
      <c r="BW945" s="314"/>
      <c r="BX945" s="314"/>
      <c r="BY945" s="314"/>
      <c r="BZ945" s="314"/>
      <c r="CA945" s="314"/>
      <c r="CB945" s="314"/>
      <c r="CC945" s="314"/>
      <c r="CD945" s="314"/>
      <c r="CE945" s="314"/>
      <c r="CF945" s="314"/>
      <c r="CG945" s="314"/>
      <c r="CH945" s="314"/>
      <c r="CI945" s="314"/>
      <c r="CJ945" s="314"/>
      <c r="CK945" s="314"/>
      <c r="CL945" s="314"/>
      <c r="CM945" s="314"/>
      <c r="CN945" s="314"/>
      <c r="CO945" s="314"/>
      <c r="CP945" s="314"/>
      <c r="CQ945" s="314"/>
    </row>
    <row r="946" spans="1:95" ht="12.75" customHeight="1" x14ac:dyDescent="0.25">
      <c r="A946" s="307"/>
      <c r="B946" s="68"/>
      <c r="C946" s="68"/>
      <c r="D946" s="68"/>
      <c r="E946" s="68"/>
      <c r="F946" s="68"/>
      <c r="G946" s="1265" t="str">
        <f>IF(G945="","",INDEX(ScopeMethodsDetails,MATCH(G945,INDEX(ScopeMethodsDetails,,1),0),2))</f>
        <v/>
      </c>
      <c r="H946" s="1266"/>
      <c r="I946" s="1266"/>
      <c r="J946" s="1266"/>
      <c r="K946" s="1266"/>
      <c r="L946" s="1266"/>
      <c r="M946" s="1267"/>
      <c r="N946" s="76"/>
      <c r="O946" s="160"/>
      <c r="P946" s="109"/>
      <c r="Q946" s="312"/>
      <c r="R946" s="312"/>
      <c r="S946" s="314"/>
      <c r="T946" s="314"/>
      <c r="U946" s="314"/>
      <c r="V946" s="314"/>
      <c r="W946" s="314"/>
      <c r="X946" s="314"/>
      <c r="Y946" s="314"/>
      <c r="Z946" s="314"/>
      <c r="AA946" s="314"/>
      <c r="AB946" s="314"/>
      <c r="AC946" s="314"/>
      <c r="AD946" s="314"/>
      <c r="AE946" s="314"/>
      <c r="AF946" s="314"/>
      <c r="AG946" s="314"/>
      <c r="AH946" s="314"/>
      <c r="AI946" s="314"/>
      <c r="AJ946" s="314"/>
      <c r="AK946" s="314"/>
      <c r="AL946" s="314"/>
      <c r="AM946" s="314"/>
      <c r="AN946" s="314"/>
      <c r="AO946" s="314"/>
      <c r="AP946" s="314"/>
      <c r="AQ946" s="314"/>
      <c r="AR946" s="314"/>
      <c r="AS946" s="314"/>
      <c r="AT946" s="314"/>
      <c r="AU946" s="314"/>
      <c r="AV946" s="314"/>
      <c r="AW946" s="314"/>
      <c r="AX946" s="314"/>
      <c r="AY946" s="314"/>
      <c r="AZ946" s="314"/>
      <c r="BA946" s="314"/>
      <c r="BB946" s="314"/>
      <c r="BC946" s="314"/>
      <c r="BD946" s="314"/>
      <c r="BE946" s="314"/>
      <c r="BG946" s="364"/>
      <c r="BH946" s="314"/>
      <c r="BI946" s="314"/>
      <c r="BJ946" s="314"/>
      <c r="BK946" s="314"/>
      <c r="BL946" s="314"/>
      <c r="BM946" s="314"/>
      <c r="BN946" s="314"/>
      <c r="BO946" s="314"/>
      <c r="BP946" s="314"/>
      <c r="BQ946" s="314"/>
      <c r="BR946" s="314"/>
      <c r="BS946" s="314"/>
      <c r="BT946" s="314"/>
      <c r="BU946" s="314"/>
      <c r="BV946" s="314"/>
      <c r="BW946" s="314"/>
      <c r="BX946" s="314"/>
      <c r="BY946" s="314"/>
      <c r="BZ946" s="314"/>
      <c r="CA946" s="314"/>
      <c r="CB946" s="314"/>
      <c r="CC946" s="314"/>
      <c r="CD946" s="314"/>
      <c r="CE946" s="314"/>
      <c r="CF946" s="314"/>
      <c r="CG946" s="314"/>
      <c r="CH946" s="314"/>
      <c r="CI946" s="314"/>
      <c r="CJ946" s="314"/>
      <c r="CK946" s="314"/>
      <c r="CL946" s="314"/>
      <c r="CM946" s="314"/>
      <c r="CN946" s="314"/>
      <c r="CO946" s="314"/>
      <c r="CP946" s="314"/>
      <c r="CQ946" s="314"/>
    </row>
    <row r="947" spans="1:95" ht="5.15" customHeight="1" x14ac:dyDescent="0.25">
      <c r="A947" s="307"/>
      <c r="C947" s="76"/>
      <c r="D947" s="76"/>
      <c r="E947" s="76"/>
      <c r="F947" s="76"/>
      <c r="G947" s="76"/>
      <c r="H947" s="76"/>
      <c r="I947" s="76"/>
      <c r="J947" s="76"/>
      <c r="K947" s="76"/>
      <c r="L947" s="76"/>
      <c r="O947" s="160"/>
      <c r="P947" s="109"/>
      <c r="Q947" s="312"/>
      <c r="R947" s="312"/>
      <c r="S947" s="314"/>
      <c r="T947" s="314"/>
      <c r="U947" s="314"/>
      <c r="V947" s="314"/>
      <c r="W947" s="314"/>
      <c r="X947" s="314"/>
      <c r="Y947" s="314"/>
      <c r="Z947" s="314"/>
      <c r="AA947" s="314"/>
      <c r="AB947" s="314"/>
      <c r="AC947" s="314"/>
      <c r="AD947" s="314"/>
      <c r="AE947" s="314"/>
      <c r="AF947" s="314"/>
      <c r="AG947" s="314"/>
      <c r="AH947" s="314"/>
      <c r="AI947" s="314"/>
      <c r="AJ947" s="314"/>
      <c r="AK947" s="314"/>
      <c r="AL947" s="314"/>
      <c r="AM947" s="314"/>
      <c r="AN947" s="314"/>
      <c r="AO947" s="314"/>
      <c r="AP947" s="314"/>
      <c r="AQ947" s="314"/>
      <c r="AR947" s="314"/>
      <c r="AS947" s="314"/>
      <c r="AT947" s="314"/>
      <c r="AU947" s="314"/>
      <c r="AV947" s="314"/>
      <c r="AW947" s="314"/>
      <c r="AX947" s="314"/>
      <c r="AY947" s="314"/>
      <c r="AZ947" s="314"/>
      <c r="BA947" s="314"/>
      <c r="BB947" s="314"/>
      <c r="BC947" s="314"/>
      <c r="BD947" s="314"/>
      <c r="BE947" s="314"/>
      <c r="BG947" s="364"/>
      <c r="BH947" s="314"/>
      <c r="BI947" s="314"/>
      <c r="BJ947" s="314"/>
      <c r="BK947" s="314"/>
      <c r="BL947" s="314"/>
      <c r="BM947" s="314"/>
      <c r="BN947" s="314"/>
      <c r="BO947" s="314"/>
      <c r="BP947" s="314"/>
      <c r="BQ947" s="314"/>
      <c r="BR947" s="314"/>
      <c r="BS947" s="314"/>
      <c r="BT947" s="314"/>
      <c r="BU947" s="314"/>
      <c r="BV947" s="314"/>
      <c r="BW947" s="314"/>
      <c r="BX947" s="314"/>
      <c r="BY947" s="314"/>
      <c r="BZ947" s="314"/>
      <c r="CA947" s="314"/>
      <c r="CB947" s="314"/>
      <c r="CC947" s="314"/>
      <c r="CD947" s="314"/>
      <c r="CE947" s="314"/>
      <c r="CF947" s="314"/>
      <c r="CG947" s="314"/>
      <c r="CH947" s="314"/>
      <c r="CI947" s="314"/>
      <c r="CJ947" s="314"/>
      <c r="CK947" s="314"/>
      <c r="CL947" s="314"/>
      <c r="CM947" s="314"/>
      <c r="CN947" s="314"/>
      <c r="CO947" s="314"/>
      <c r="CP947" s="314"/>
      <c r="CQ947" s="314"/>
    </row>
    <row r="948" spans="1:95" ht="12.75" customHeight="1" thickBot="1" x14ac:dyDescent="0.3">
      <c r="A948" s="307"/>
      <c r="C948" s="76"/>
      <c r="D948" s="76"/>
      <c r="E948" s="76"/>
      <c r="F948" s="76"/>
      <c r="G948" s="1268">
        <v>1</v>
      </c>
      <c r="H948" s="1268"/>
      <c r="I948" s="1268">
        <v>2</v>
      </c>
      <c r="J948" s="1268"/>
      <c r="K948" s="1268">
        <v>3</v>
      </c>
      <c r="L948" s="1268"/>
      <c r="O948" s="160"/>
      <c r="P948" s="109"/>
      <c r="Q948" s="312"/>
      <c r="R948" s="312"/>
      <c r="S948" s="314"/>
      <c r="T948" s="314"/>
      <c r="U948" s="314"/>
      <c r="V948" s="314"/>
      <c r="W948" s="314"/>
      <c r="X948" s="314"/>
      <c r="Y948" s="314"/>
      <c r="Z948" s="314"/>
      <c r="AA948" s="314"/>
      <c r="AB948" s="314"/>
      <c r="AC948" s="314"/>
      <c r="AD948" s="314"/>
      <c r="AE948" s="314"/>
      <c r="AF948" s="314"/>
      <c r="AG948" s="314"/>
      <c r="AH948" s="314"/>
      <c r="AI948" s="314"/>
      <c r="AJ948" s="314"/>
      <c r="AK948" s="314"/>
      <c r="AL948" s="314"/>
      <c r="AM948" s="314"/>
      <c r="AN948" s="314"/>
      <c r="AO948" s="314"/>
      <c r="AP948" s="314"/>
      <c r="AQ948" s="314"/>
      <c r="AR948" s="314"/>
      <c r="AS948" s="314"/>
      <c r="AT948" s="314"/>
      <c r="AU948" s="314"/>
      <c r="AV948" s="314"/>
      <c r="AW948" s="314"/>
      <c r="AX948" s="314"/>
      <c r="AY948" s="314"/>
      <c r="AZ948" s="314"/>
      <c r="BA948" s="314"/>
      <c r="BB948" s="314"/>
      <c r="BC948" s="314"/>
      <c r="BD948" s="314"/>
      <c r="BE948" s="314"/>
      <c r="BF948" s="314"/>
      <c r="BG948" s="364"/>
      <c r="BH948" s="314"/>
      <c r="BI948" s="314"/>
      <c r="BJ948" s="314"/>
      <c r="BK948" s="314"/>
      <c r="BL948" s="314"/>
      <c r="BM948" s="314"/>
      <c r="BN948" s="314"/>
      <c r="BO948" s="314"/>
      <c r="BP948" s="314"/>
      <c r="BQ948" s="314"/>
      <c r="BR948" s="314"/>
      <c r="BS948" s="314"/>
      <c r="BT948" s="314"/>
      <c r="BU948" s="314"/>
      <c r="BV948" s="314"/>
      <c r="BW948" s="314"/>
      <c r="BX948" s="314"/>
      <c r="BY948" s="314"/>
      <c r="BZ948" s="314"/>
      <c r="CA948" s="314"/>
      <c r="CB948" s="314"/>
      <c r="CC948" s="314"/>
      <c r="CD948" s="314"/>
      <c r="CE948" s="314"/>
      <c r="CF948" s="314"/>
      <c r="CG948" s="314"/>
      <c r="CH948" s="314"/>
      <c r="CI948" s="314"/>
      <c r="CJ948" s="314"/>
      <c r="CK948" s="314"/>
      <c r="CL948" s="314"/>
      <c r="CM948" s="314"/>
      <c r="CN948" s="314"/>
      <c r="CO948" s="314"/>
      <c r="CP948" s="314"/>
      <c r="CQ948" s="314"/>
    </row>
    <row r="949" spans="1:95" ht="12.75" customHeight="1" thickBot="1" x14ac:dyDescent="0.3">
      <c r="A949" s="462"/>
      <c r="B949" s="76"/>
      <c r="C949" s="76"/>
      <c r="D949" s="1246" t="str">
        <f>Translations!$B$372</f>
        <v>Consumers' CRF category:</v>
      </c>
      <c r="E949" s="1246"/>
      <c r="F949" s="1247"/>
      <c r="G949" s="1248"/>
      <c r="H949" s="1249"/>
      <c r="I949" s="1248"/>
      <c r="J949" s="1249"/>
      <c r="K949" s="1248"/>
      <c r="L949" s="1249"/>
      <c r="M949" s="463" t="str">
        <f>IF(AND(E928&lt;&gt;"",COUNTA(G949:L949)=0,AX949=FALSE),EUconst_ERR_Incomplete,"")</f>
        <v/>
      </c>
      <c r="N949" s="76"/>
      <c r="O949" s="160"/>
      <c r="P949" s="109"/>
      <c r="Q949" s="312"/>
      <c r="R949" s="312"/>
      <c r="S949" s="314"/>
      <c r="T949" s="314"/>
      <c r="U949" s="314"/>
      <c r="V949" s="314"/>
      <c r="W949" s="314"/>
      <c r="X949" s="314"/>
      <c r="Y949" s="314"/>
      <c r="Z949" s="314"/>
      <c r="AA949" s="314"/>
      <c r="AB949" s="314"/>
      <c r="AC949" s="314"/>
      <c r="AD949" s="314"/>
      <c r="AE949" s="314"/>
      <c r="AF949" s="314"/>
      <c r="AG949" s="314"/>
      <c r="AH949" s="314"/>
      <c r="AI949" s="314"/>
      <c r="AJ949" s="314"/>
      <c r="AK949" s="314"/>
      <c r="AL949" s="314"/>
      <c r="AM949" s="314"/>
      <c r="AN949" s="314"/>
      <c r="AO949" s="314"/>
      <c r="AP949" s="314"/>
      <c r="AQ949" s="314"/>
      <c r="AR949" s="314"/>
      <c r="AS949" s="314"/>
      <c r="AT949" s="314"/>
      <c r="AU949" s="314"/>
      <c r="AV949" s="314"/>
      <c r="AW949" s="314"/>
      <c r="AX949" s="464" t="b">
        <f>AND(AV945&lt;&gt;"",SUM(AV945=1))</f>
        <v>0</v>
      </c>
      <c r="AY949" s="314"/>
      <c r="AZ949" s="314"/>
      <c r="BA949" s="314"/>
      <c r="BB949" s="314"/>
      <c r="BC949" s="314"/>
      <c r="BD949" s="314"/>
      <c r="BE949" s="314"/>
      <c r="BF949" s="361" t="s">
        <v>169</v>
      </c>
      <c r="BG949" s="362" t="str">
        <f>IF(AN934=EUconst_TJ,AV934*AV942,IF(AN936=EUconst_GJ,AV934*AV936/1000*AV942,""))</f>
        <v/>
      </c>
      <c r="BH949" s="314"/>
      <c r="BI949" s="314"/>
      <c r="BJ949" s="314"/>
      <c r="BK949" s="314"/>
      <c r="BL949" s="314"/>
      <c r="BM949" s="314"/>
      <c r="BN949" s="314"/>
      <c r="BO949" s="314"/>
      <c r="BP949" s="314"/>
      <c r="BQ949" s="314"/>
      <c r="BR949" s="314"/>
      <c r="BS949" s="314"/>
      <c r="BT949" s="314"/>
      <c r="BU949" s="314"/>
      <c r="BV949" s="314"/>
      <c r="BW949" s="314"/>
      <c r="BX949" s="314"/>
      <c r="BY949" s="314"/>
      <c r="BZ949" s="314"/>
      <c r="CA949" s="314"/>
      <c r="CB949" s="314"/>
      <c r="CC949" s="314"/>
      <c r="CD949" s="314"/>
      <c r="CE949" s="314"/>
      <c r="CF949" s="314"/>
      <c r="CG949" s="314"/>
      <c r="CH949" s="314"/>
      <c r="CI949" s="314"/>
      <c r="CJ949" s="314"/>
      <c r="CK949" s="314"/>
      <c r="CL949" s="314"/>
      <c r="CM949" s="314"/>
      <c r="CN949" s="314"/>
      <c r="CO949" s="314"/>
      <c r="CP949" s="314"/>
      <c r="CQ949" s="314"/>
    </row>
    <row r="950" spans="1:95" ht="5.15" customHeight="1" x14ac:dyDescent="0.25">
      <c r="A950" s="307"/>
      <c r="B950" s="68"/>
      <c r="C950" s="68"/>
      <c r="D950" s="68"/>
      <c r="E950" s="68"/>
      <c r="F950" s="68"/>
      <c r="G950" s="76"/>
      <c r="H950" s="76"/>
      <c r="I950" s="76"/>
      <c r="J950" s="76"/>
      <c r="K950" s="76"/>
      <c r="L950" s="76"/>
      <c r="M950" s="76"/>
      <c r="N950" s="76"/>
      <c r="O950" s="160"/>
      <c r="P950" s="109"/>
      <c r="Q950" s="312"/>
      <c r="R950" s="312"/>
      <c r="S950" s="314"/>
      <c r="T950" s="314"/>
      <c r="U950" s="314"/>
      <c r="V950" s="314"/>
      <c r="W950" s="314"/>
      <c r="X950" s="314"/>
      <c r="Y950" s="314"/>
      <c r="Z950" s="314"/>
      <c r="AA950" s="314"/>
      <c r="AB950" s="314"/>
      <c r="AC950" s="314"/>
      <c r="AD950" s="314"/>
      <c r="AE950" s="314"/>
      <c r="AF950" s="314"/>
      <c r="AG950" s="314"/>
      <c r="AH950" s="314"/>
      <c r="AI950" s="314"/>
      <c r="AJ950" s="314"/>
      <c r="AK950" s="314"/>
      <c r="AL950" s="314"/>
      <c r="AM950" s="314"/>
      <c r="AN950" s="314"/>
      <c r="AO950" s="314"/>
      <c r="AP950" s="314"/>
      <c r="AQ950" s="314"/>
      <c r="AR950" s="314"/>
      <c r="AS950" s="314"/>
      <c r="AT950" s="314"/>
      <c r="AU950" s="314"/>
      <c r="AV950" s="314"/>
      <c r="AW950" s="314"/>
      <c r="AX950" s="314"/>
      <c r="AY950" s="314"/>
      <c r="AZ950" s="314"/>
      <c r="BA950" s="314"/>
      <c r="BB950" s="314"/>
      <c r="BC950" s="314"/>
      <c r="BD950" s="314"/>
      <c r="BE950" s="314"/>
      <c r="BF950" s="314"/>
      <c r="BG950" s="314"/>
      <c r="BH950" s="314"/>
      <c r="BI950" s="314"/>
      <c r="BJ950" s="314"/>
      <c r="BK950" s="314"/>
      <c r="BL950" s="314"/>
      <c r="BM950" s="314"/>
      <c r="BN950" s="314"/>
      <c r="BO950" s="314"/>
      <c r="BP950" s="314"/>
      <c r="BQ950" s="314"/>
      <c r="BR950" s="314"/>
      <c r="BS950" s="314"/>
      <c r="BT950" s="314"/>
      <c r="BU950" s="314"/>
      <c r="BV950" s="314"/>
      <c r="BW950" s="314"/>
      <c r="BX950" s="314"/>
      <c r="BY950" s="314"/>
      <c r="BZ950" s="314"/>
      <c r="CA950" s="314"/>
      <c r="CB950" s="314"/>
      <c r="CC950" s="314"/>
      <c r="CD950" s="314"/>
      <c r="CE950" s="314"/>
      <c r="CF950" s="314"/>
      <c r="CG950" s="314"/>
      <c r="CH950" s="314"/>
      <c r="CI950" s="314"/>
      <c r="CJ950" s="314"/>
      <c r="CK950" s="314"/>
      <c r="CL950" s="314"/>
      <c r="CM950" s="314"/>
      <c r="CN950" s="314"/>
      <c r="CO950" s="314"/>
      <c r="CP950" s="314"/>
      <c r="CQ950" s="314"/>
    </row>
    <row r="951" spans="1:95" ht="12.75" customHeight="1" x14ac:dyDescent="0.25">
      <c r="A951" s="307"/>
      <c r="B951" s="68"/>
      <c r="C951" s="68"/>
      <c r="D951" s="1246" t="str">
        <f>Translations!$B$399</f>
        <v>Tiers valid from:</v>
      </c>
      <c r="E951" s="1246"/>
      <c r="F951" s="1247"/>
      <c r="G951" s="8"/>
      <c r="H951" s="199" t="str">
        <f>Translations!$B$400</f>
        <v>until:</v>
      </c>
      <c r="I951" s="8"/>
      <c r="J951" s="76"/>
      <c r="K951" s="76"/>
      <c r="L951" s="76"/>
      <c r="M951" s="199" t="str">
        <f>Translations!$B$401</f>
        <v>ID used in the monitoring plan for this fuel stream:</v>
      </c>
      <c r="N951" s="9"/>
      <c r="O951" s="160"/>
      <c r="P951" s="109"/>
      <c r="Q951" s="312"/>
      <c r="R951" s="312"/>
      <c r="S951" s="465"/>
      <c r="T951" s="314"/>
      <c r="U951" s="314"/>
      <c r="V951" s="314"/>
      <c r="W951" s="314"/>
      <c r="X951" s="314"/>
      <c r="Y951" s="314"/>
      <c r="Z951" s="314"/>
      <c r="AA951" s="314"/>
      <c r="AB951" s="314"/>
      <c r="AC951" s="314"/>
      <c r="AD951" s="314"/>
      <c r="AE951" s="314"/>
      <c r="AF951" s="314"/>
      <c r="AG951" s="314"/>
      <c r="AH951" s="314"/>
      <c r="AI951" s="314"/>
      <c r="AJ951" s="314"/>
      <c r="AK951" s="314"/>
      <c r="AL951" s="314"/>
      <c r="AM951" s="314"/>
      <c r="AN951" s="314"/>
      <c r="AO951" s="314"/>
      <c r="AP951" s="314"/>
      <c r="AQ951" s="314"/>
      <c r="AR951" s="314"/>
      <c r="AS951" s="314"/>
      <c r="AT951" s="314"/>
      <c r="AU951" s="314"/>
      <c r="AV951" s="314"/>
      <c r="AW951" s="314"/>
      <c r="AX951" s="314"/>
      <c r="AY951" s="314"/>
      <c r="AZ951" s="314"/>
      <c r="BA951" s="314"/>
      <c r="BB951" s="314"/>
      <c r="BC951" s="314"/>
      <c r="BD951" s="314"/>
      <c r="BE951" s="314"/>
      <c r="BF951" s="314"/>
      <c r="BG951" s="314"/>
      <c r="BH951" s="314"/>
      <c r="BI951" s="314"/>
      <c r="BJ951" s="314"/>
      <c r="BK951" s="314"/>
      <c r="BL951" s="314"/>
      <c r="BM951" s="314"/>
      <c r="BN951" s="314"/>
      <c r="BO951" s="314"/>
      <c r="BP951" s="314"/>
      <c r="BQ951" s="314"/>
      <c r="BR951" s="314"/>
      <c r="BS951" s="314"/>
      <c r="BT951" s="314"/>
      <c r="BU951" s="314"/>
      <c r="BV951" s="314"/>
      <c r="BW951" s="314"/>
      <c r="BX951" s="314"/>
      <c r="BY951" s="314"/>
      <c r="BZ951" s="314"/>
      <c r="CA951" s="314"/>
      <c r="CB951" s="314"/>
      <c r="CC951" s="314"/>
      <c r="CD951" s="314"/>
      <c r="CE951" s="314"/>
      <c r="CF951" s="314"/>
      <c r="CG951" s="314"/>
      <c r="CH951" s="314"/>
      <c r="CI951" s="314"/>
      <c r="CJ951" s="314"/>
      <c r="CK951" s="314"/>
      <c r="CL951" s="314"/>
      <c r="CM951" s="314"/>
      <c r="CN951" s="314"/>
      <c r="CO951" s="314"/>
      <c r="CP951" s="314"/>
      <c r="CQ951" s="464" t="b">
        <f>CQ934</f>
        <v>0</v>
      </c>
    </row>
    <row r="952" spans="1:95" ht="5.15" customHeight="1" x14ac:dyDescent="0.25">
      <c r="A952" s="462"/>
      <c r="B952" s="76"/>
      <c r="C952" s="76"/>
      <c r="D952" s="76"/>
      <c r="E952" s="76"/>
      <c r="F952" s="76"/>
      <c r="G952" s="76"/>
      <c r="H952" s="76"/>
      <c r="I952" s="76"/>
      <c r="J952" s="76"/>
      <c r="K952" s="76"/>
      <c r="L952" s="76"/>
      <c r="M952" s="76"/>
      <c r="N952" s="76"/>
      <c r="O952" s="160"/>
      <c r="P952" s="109"/>
      <c r="Q952" s="312"/>
      <c r="R952" s="312"/>
      <c r="S952" s="314"/>
      <c r="T952" s="314"/>
      <c r="U952" s="314"/>
      <c r="V952" s="314"/>
      <c r="W952" s="314"/>
      <c r="X952" s="314"/>
      <c r="Y952" s="314"/>
      <c r="Z952" s="314"/>
      <c r="AA952" s="314"/>
      <c r="AB952" s="314"/>
      <c r="AC952" s="314"/>
      <c r="AD952" s="314"/>
      <c r="AE952" s="314"/>
      <c r="AF952" s="314"/>
      <c r="AG952" s="314"/>
      <c r="AH952" s="314"/>
      <c r="AI952" s="314"/>
      <c r="AJ952" s="314"/>
      <c r="AK952" s="314"/>
      <c r="AL952" s="314"/>
      <c r="AM952" s="314"/>
      <c r="AN952" s="314"/>
      <c r="AO952" s="314"/>
      <c r="AP952" s="314"/>
      <c r="AQ952" s="314"/>
      <c r="AR952" s="314"/>
      <c r="AS952" s="314"/>
      <c r="AT952" s="314"/>
      <c r="AU952" s="314"/>
      <c r="AV952" s="314"/>
      <c r="AW952" s="314"/>
      <c r="AX952" s="314"/>
      <c r="AY952" s="314"/>
      <c r="AZ952" s="314"/>
      <c r="BA952" s="314"/>
      <c r="BB952" s="314"/>
      <c r="BC952" s="314"/>
      <c r="BD952" s="314"/>
      <c r="BE952" s="314"/>
      <c r="BF952" s="314"/>
      <c r="BG952" s="314"/>
      <c r="BH952" s="314"/>
      <c r="BI952" s="314"/>
      <c r="BJ952" s="314"/>
      <c r="BK952" s="314"/>
      <c r="BL952" s="314"/>
      <c r="BM952" s="314"/>
      <c r="BN952" s="314"/>
      <c r="BO952" s="314"/>
      <c r="BP952" s="314"/>
      <c r="BQ952" s="314"/>
      <c r="BR952" s="314"/>
      <c r="BS952" s="314"/>
      <c r="BT952" s="314"/>
      <c r="BU952" s="314"/>
      <c r="BV952" s="314"/>
      <c r="BW952" s="314"/>
      <c r="BX952" s="314"/>
      <c r="BY952" s="314"/>
      <c r="BZ952" s="314"/>
      <c r="CA952" s="314"/>
      <c r="CB952" s="314"/>
      <c r="CC952" s="314"/>
      <c r="CD952" s="314"/>
      <c r="CE952" s="314"/>
      <c r="CF952" s="314"/>
      <c r="CG952" s="314"/>
      <c r="CH952" s="314"/>
      <c r="CI952" s="314"/>
      <c r="CJ952" s="314"/>
      <c r="CK952" s="314"/>
      <c r="CL952" s="314"/>
      <c r="CM952" s="314"/>
      <c r="CN952" s="314"/>
      <c r="CO952" s="314"/>
      <c r="CP952" s="314"/>
      <c r="CQ952" s="314"/>
    </row>
    <row r="953" spans="1:95" ht="12.75" customHeight="1" x14ac:dyDescent="0.25">
      <c r="A953" s="462"/>
      <c r="B953" s="76"/>
      <c r="C953" s="76"/>
      <c r="D953" s="115"/>
      <c r="E953" s="85"/>
      <c r="F953" s="466" t="str">
        <f>Translations!$B$304</f>
        <v>Comments:</v>
      </c>
      <c r="G953" s="1250"/>
      <c r="H953" s="1251"/>
      <c r="I953" s="1251"/>
      <c r="J953" s="1251"/>
      <c r="K953" s="1251"/>
      <c r="L953" s="1251"/>
      <c r="M953" s="1251"/>
      <c r="N953" s="1252"/>
      <c r="O953" s="160"/>
      <c r="P953" s="109"/>
      <c r="Q953" s="312"/>
      <c r="R953" s="312"/>
      <c r="S953" s="314"/>
      <c r="T953" s="314"/>
      <c r="U953" s="314"/>
      <c r="V953" s="314"/>
      <c r="W953" s="314"/>
      <c r="X953" s="314"/>
      <c r="Y953" s="314"/>
      <c r="Z953" s="314"/>
      <c r="AA953" s="314"/>
      <c r="AB953" s="314"/>
      <c r="AC953" s="314"/>
      <c r="AD953" s="314"/>
      <c r="AE953" s="314"/>
      <c r="AF953" s="314"/>
      <c r="AG953" s="314"/>
      <c r="AH953" s="314"/>
      <c r="AI953" s="314"/>
      <c r="AJ953" s="314"/>
      <c r="AK953" s="314"/>
      <c r="AL953" s="314"/>
      <c r="AM953" s="314"/>
      <c r="AN953" s="314"/>
      <c r="AO953" s="314"/>
      <c r="AP953" s="314"/>
      <c r="AQ953" s="314"/>
      <c r="AR953" s="314"/>
      <c r="AS953" s="314"/>
      <c r="AT953" s="314"/>
      <c r="AU953" s="314"/>
      <c r="AV953" s="314"/>
      <c r="AW953" s="314"/>
      <c r="AX953" s="314"/>
      <c r="AY953" s="314"/>
      <c r="AZ953" s="314"/>
      <c r="BA953" s="314"/>
      <c r="BB953" s="314"/>
      <c r="BC953" s="314"/>
      <c r="BD953" s="314"/>
      <c r="BE953" s="314"/>
      <c r="BF953" s="314"/>
      <c r="BG953" s="314"/>
      <c r="BH953" s="314"/>
      <c r="BI953" s="314"/>
      <c r="BJ953" s="314"/>
      <c r="BK953" s="314"/>
      <c r="BL953" s="314"/>
      <c r="BM953" s="314"/>
      <c r="BN953" s="314"/>
      <c r="BO953" s="314"/>
      <c r="BP953" s="314"/>
      <c r="BQ953" s="314"/>
      <c r="BR953" s="314"/>
      <c r="BS953" s="314"/>
      <c r="BT953" s="314"/>
      <c r="BU953" s="314"/>
      <c r="BV953" s="314"/>
      <c r="BW953" s="314"/>
      <c r="BX953" s="314"/>
      <c r="BY953" s="314"/>
      <c r="BZ953" s="314"/>
      <c r="CA953" s="314"/>
      <c r="CB953" s="314"/>
      <c r="CC953" s="314"/>
      <c r="CD953" s="314"/>
      <c r="CE953" s="314"/>
      <c r="CF953" s="314"/>
      <c r="CG953" s="314"/>
      <c r="CH953" s="314"/>
      <c r="CI953" s="314"/>
      <c r="CJ953" s="314"/>
      <c r="CK953" s="314"/>
      <c r="CL953" s="314"/>
      <c r="CM953" s="314"/>
      <c r="CN953" s="314"/>
      <c r="CO953" s="314"/>
      <c r="CP953" s="314"/>
      <c r="CQ953" s="464" t="b">
        <f>CQ951</f>
        <v>0</v>
      </c>
    </row>
    <row r="954" spans="1:95" ht="12.75" customHeight="1" thickBot="1" x14ac:dyDescent="0.3">
      <c r="A954" s="307"/>
      <c r="B954" s="76"/>
      <c r="C954" s="308"/>
      <c r="D954" s="309"/>
      <c r="E954" s="310"/>
      <c r="F954" s="308"/>
      <c r="G954" s="311"/>
      <c r="H954" s="311"/>
      <c r="I954" s="311"/>
      <c r="J954" s="311"/>
      <c r="K954" s="311"/>
      <c r="L954" s="311"/>
      <c r="M954" s="311"/>
      <c r="N954" s="311"/>
      <c r="O954" s="160"/>
      <c r="P954" s="109"/>
      <c r="Q954" s="312"/>
      <c r="R954" s="312"/>
      <c r="S954" s="293"/>
      <c r="T954" s="293"/>
      <c r="U954" s="313"/>
      <c r="V954" s="293"/>
      <c r="W954" s="293"/>
      <c r="X954" s="313"/>
      <c r="Y954" s="293"/>
      <c r="Z954" s="293"/>
      <c r="AA954" s="293"/>
      <c r="AB954" s="293"/>
      <c r="AC954" s="293"/>
      <c r="AD954" s="293"/>
      <c r="AE954" s="293"/>
      <c r="AF954" s="293"/>
      <c r="AG954" s="293"/>
      <c r="AH954" s="293"/>
      <c r="AI954" s="293"/>
      <c r="AJ954" s="293"/>
      <c r="AK954" s="293"/>
      <c r="AL954" s="293"/>
      <c r="AM954" s="293"/>
      <c r="AN954" s="293"/>
      <c r="AO954" s="293"/>
      <c r="AP954" s="293"/>
      <c r="AQ954" s="293"/>
      <c r="AR954" s="293"/>
      <c r="AS954" s="293"/>
      <c r="AT954" s="293"/>
      <c r="AU954" s="293"/>
      <c r="AV954" s="293"/>
      <c r="AW954" s="293"/>
      <c r="AX954" s="293"/>
      <c r="AY954" s="293"/>
      <c r="AZ954" s="293"/>
      <c r="BA954" s="293"/>
      <c r="BB954" s="293"/>
      <c r="BC954" s="293"/>
      <c r="BD954" s="293"/>
      <c r="BE954" s="293"/>
      <c r="BF954" s="293"/>
      <c r="BG954" s="293"/>
      <c r="BH954" s="293"/>
      <c r="BI954" s="293"/>
      <c r="BJ954" s="293"/>
      <c r="BK954" s="293"/>
      <c r="BL954" s="293"/>
      <c r="BM954" s="314"/>
      <c r="BN954" s="314"/>
      <c r="BO954" s="314"/>
      <c r="BP954" s="314"/>
      <c r="BQ954" s="314"/>
      <c r="BR954" s="314"/>
      <c r="BS954" s="314"/>
      <c r="BT954" s="314"/>
      <c r="BU954" s="293"/>
      <c r="BV954" s="293"/>
      <c r="BW954" s="293"/>
      <c r="BX954" s="293"/>
      <c r="BY954" s="293"/>
      <c r="BZ954" s="293"/>
      <c r="CA954" s="293"/>
      <c r="CB954" s="293"/>
      <c r="CC954" s="293"/>
      <c r="CD954" s="293"/>
      <c r="CE954" s="293"/>
      <c r="CF954" s="293"/>
      <c r="CG954" s="293"/>
      <c r="CH954" s="293"/>
      <c r="CI954" s="293"/>
      <c r="CJ954" s="293"/>
      <c r="CK954" s="293"/>
      <c r="CL954" s="293"/>
      <c r="CM954" s="293"/>
      <c r="CN954" s="293"/>
      <c r="CO954" s="293"/>
      <c r="CP954" s="293"/>
      <c r="CQ954" s="293"/>
    </row>
    <row r="955" spans="1:95" ht="12.75" customHeight="1" thickBot="1" x14ac:dyDescent="0.3">
      <c r="A955" s="315"/>
      <c r="B955" s="76"/>
      <c r="C955" s="76"/>
      <c r="D955" s="205"/>
      <c r="E955" s="316"/>
      <c r="F955" s="76"/>
      <c r="G955" s="96"/>
      <c r="H955" s="96"/>
      <c r="I955" s="96"/>
      <c r="J955" s="96"/>
      <c r="K955" s="76"/>
      <c r="L955" s="96"/>
      <c r="M955" s="96"/>
      <c r="N955" s="96"/>
      <c r="O955" s="160"/>
      <c r="P955" s="109"/>
      <c r="Q955" s="312"/>
      <c r="R955" s="312"/>
      <c r="S955" s="287"/>
      <c r="T955" s="317" t="str">
        <f>IF(ISBLANK(E956),"",MATCH(E956,CNTR_SourceStreamNames,0))</f>
        <v/>
      </c>
      <c r="U955" s="318" t="str">
        <f>IF(ISBLANK(E956),"",INDEX(B_IdentifyFuelStreams!$D$67:$D$116,MATCH(E956,CNTR_SourceStreamNames,0)))</f>
        <v/>
      </c>
      <c r="V955" s="301"/>
      <c r="W955" s="138"/>
      <c r="X955" s="138"/>
      <c r="Y955" s="138"/>
      <c r="Z955" s="293"/>
      <c r="AA955" s="293"/>
      <c r="AB955" s="293"/>
      <c r="AC955" s="293"/>
      <c r="AD955" s="293"/>
      <c r="AE955" s="293"/>
      <c r="AF955" s="293"/>
      <c r="AG955" s="293"/>
      <c r="AH955" s="293"/>
      <c r="AI955" s="293"/>
      <c r="AJ955" s="293"/>
      <c r="AK955" s="312"/>
      <c r="AL955" s="293"/>
      <c r="AM955" s="293"/>
      <c r="AN955" s="293"/>
      <c r="AO955" s="293"/>
      <c r="AP955" s="293"/>
      <c r="AQ955" s="293"/>
      <c r="AR955" s="293"/>
      <c r="AS955" s="293"/>
      <c r="AT955" s="293"/>
      <c r="AU955" s="293"/>
      <c r="AV955" s="293"/>
      <c r="AW955" s="293"/>
      <c r="AX955" s="293"/>
      <c r="AY955" s="293"/>
      <c r="AZ955" s="293"/>
      <c r="BA955" s="293"/>
      <c r="BB955" s="293"/>
      <c r="BC955" s="293"/>
      <c r="BD955" s="293"/>
      <c r="BE955" s="293"/>
      <c r="BF955" s="293"/>
      <c r="BG955" s="293"/>
      <c r="BH955" s="293"/>
      <c r="BI955" s="293"/>
      <c r="BJ955" s="138"/>
      <c r="BK955" s="138"/>
      <c r="BL955" s="138"/>
      <c r="BM955" s="138"/>
      <c r="BN955" s="138"/>
      <c r="BO955" s="138"/>
      <c r="BP955" s="138"/>
      <c r="BQ955" s="138"/>
      <c r="BR955" s="138"/>
      <c r="BS955" s="138"/>
      <c r="BT955" s="138"/>
      <c r="BU955" s="138"/>
      <c r="BV955" s="138"/>
      <c r="BW955" s="138"/>
      <c r="BX955" s="138"/>
      <c r="BY955" s="138"/>
      <c r="BZ955" s="138"/>
      <c r="CA955" s="138"/>
      <c r="CB955" s="138"/>
      <c r="CC955" s="138"/>
      <c r="CD955" s="138"/>
      <c r="CE955" s="138"/>
      <c r="CF955" s="138"/>
      <c r="CG955" s="138"/>
      <c r="CH955" s="138"/>
      <c r="CI955" s="138"/>
      <c r="CJ955" s="138"/>
      <c r="CK955" s="138"/>
      <c r="CL955" s="138"/>
      <c r="CM955" s="138"/>
      <c r="CN955" s="138"/>
      <c r="CO955" s="138"/>
      <c r="CP955" s="138"/>
      <c r="CQ955" s="319" t="s">
        <v>107</v>
      </c>
    </row>
    <row r="956" spans="1:95" ht="15" customHeight="1" thickBot="1" x14ac:dyDescent="0.3">
      <c r="A956" s="320">
        <f>C956</f>
        <v>33</v>
      </c>
      <c r="B956" s="68"/>
      <c r="C956" s="321">
        <f>C928+1</f>
        <v>33</v>
      </c>
      <c r="D956" s="68"/>
      <c r="E956" s="1269"/>
      <c r="F956" s="1270"/>
      <c r="G956" s="1270"/>
      <c r="H956" s="1270"/>
      <c r="I956" s="1270"/>
      <c r="J956" s="1271"/>
      <c r="K956" s="1272" t="str">
        <f>IF(INDEX(B_IdentifyFuelStreams!$K$125:$K$174,MATCH(U955,B_IdentifyFuelStreams!$D$125:$D$174,0))&gt;0,INDEX(B_IdentifyFuelStreams!$K$125:$K$174,MATCH(U955,B_IdentifyFuelStreams!$D$125:$D$174,0)),"")</f>
        <v/>
      </c>
      <c r="L956" s="1273"/>
      <c r="M956" s="316" t="str">
        <f>Translations!$B$621</f>
        <v>Emissions:</v>
      </c>
      <c r="N956" s="322" t="str">
        <f>IF(E957="","",BG962)</f>
        <v/>
      </c>
      <c r="O956" s="323" t="str">
        <f>EUconst_tCO2</f>
        <v>tCO2</v>
      </c>
      <c r="P956" s="324" t="str">
        <f>IF(AND(E956&lt;&gt;"",COUNTIF(P957:$P$1649,"PRINT")=0),"PRINT","")</f>
        <v/>
      </c>
      <c r="Q956" s="325" t="str">
        <f>EUconst_SumCO2</f>
        <v>SUM_CO2</v>
      </c>
      <c r="R956" s="312"/>
      <c r="S956" s="287"/>
      <c r="T956" s="287"/>
      <c r="U956" s="287"/>
      <c r="V956" s="301"/>
      <c r="W956" s="138"/>
      <c r="X956" s="293"/>
      <c r="Y956" s="293"/>
      <c r="Z956" s="293"/>
      <c r="AA956" s="293"/>
      <c r="AB956" s="293"/>
      <c r="AC956" s="293"/>
      <c r="AD956" s="293"/>
      <c r="AE956" s="293"/>
      <c r="AF956" s="293"/>
      <c r="AG956" s="293"/>
      <c r="AH956" s="293"/>
      <c r="AI956" s="326"/>
      <c r="AJ956" s="326"/>
      <c r="AK956" s="326"/>
      <c r="AL956" s="326"/>
      <c r="AM956" s="326"/>
      <c r="AN956" s="326"/>
      <c r="AO956" s="326"/>
      <c r="AP956" s="326"/>
      <c r="AQ956" s="326"/>
      <c r="AR956" s="326"/>
      <c r="AS956" s="326"/>
      <c r="AT956" s="326"/>
      <c r="AU956" s="326"/>
      <c r="AV956" s="326"/>
      <c r="AW956" s="326"/>
      <c r="AX956" s="326"/>
      <c r="AY956" s="326"/>
      <c r="AZ956" s="326"/>
      <c r="BA956" s="326"/>
      <c r="BB956" s="326"/>
      <c r="BC956" s="326"/>
      <c r="BD956" s="326"/>
      <c r="BE956" s="326"/>
      <c r="BF956" s="326"/>
      <c r="BG956" s="326"/>
      <c r="BH956" s="326"/>
      <c r="BI956" s="327" t="str">
        <f>IF(E956="","",E956)</f>
        <v/>
      </c>
      <c r="BJ956" s="328" t="str">
        <f>IF(F962="","",F962)</f>
        <v/>
      </c>
      <c r="BK956" s="329">
        <f>AV962</f>
        <v>0</v>
      </c>
      <c r="BL956" s="329">
        <f>IF(BK956="","",BK956*(1-BP956))</f>
        <v>0</v>
      </c>
      <c r="BM956" s="328" t="str">
        <f>AJ962</f>
        <v/>
      </c>
      <c r="BN956" s="328" t="str">
        <f>IF(F973="","",F973)</f>
        <v/>
      </c>
      <c r="BO956" s="327" t="str">
        <f>IF(G973="","",G973)</f>
        <v/>
      </c>
      <c r="BP956" s="330">
        <f>AV973</f>
        <v>0</v>
      </c>
      <c r="BQ956" s="328" t="str">
        <f>IF(F965="","",F965)</f>
        <v/>
      </c>
      <c r="BR956" s="330">
        <f>AV965</f>
        <v>0</v>
      </c>
      <c r="BS956" s="330" t="str">
        <f>AJ965</f>
        <v/>
      </c>
      <c r="BT956" s="328" t="str">
        <f>IF(F964="","",F964)</f>
        <v/>
      </c>
      <c r="BU956" s="330">
        <f>IF(F964=EUconst_NA,"",AV964)</f>
        <v>0</v>
      </c>
      <c r="BV956" s="330" t="str">
        <f>AJ964</f>
        <v/>
      </c>
      <c r="BW956" s="328" t="str">
        <f>IF(F966="","",F966)</f>
        <v/>
      </c>
      <c r="BX956" s="330">
        <f>AV966</f>
        <v>0</v>
      </c>
      <c r="BY956" s="328" t="str">
        <f>IF(F967="","",F967)</f>
        <v/>
      </c>
      <c r="BZ956" s="330">
        <f>AV967</f>
        <v>0</v>
      </c>
      <c r="CA956" s="330">
        <f>AV968</f>
        <v>0</v>
      </c>
      <c r="CB956" s="330">
        <f>AV969</f>
        <v>0</v>
      </c>
      <c r="CC956" s="330">
        <f>AV970</f>
        <v>0</v>
      </c>
      <c r="CD956" s="330">
        <f>AV971</f>
        <v>0</v>
      </c>
      <c r="CE956" s="329" t="str">
        <f>BG962</f>
        <v/>
      </c>
      <c r="CF956" s="329" t="str">
        <f>BG964</f>
        <v/>
      </c>
      <c r="CG956" s="329" t="str">
        <f>BG965</f>
        <v/>
      </c>
      <c r="CH956" s="329" t="str">
        <f>BG966</f>
        <v/>
      </c>
      <c r="CI956" s="329" t="str">
        <f>BG967</f>
        <v/>
      </c>
      <c r="CJ956" s="329" t="str">
        <f>BG968</f>
        <v/>
      </c>
      <c r="CK956" s="329" t="str">
        <f>BG969</f>
        <v/>
      </c>
      <c r="CL956" s="329">
        <f>BG970</f>
        <v>0</v>
      </c>
      <c r="CM956" s="329" t="str">
        <f>BG971</f>
        <v/>
      </c>
      <c r="CN956" s="329" t="str">
        <f>BG973</f>
        <v/>
      </c>
      <c r="CO956" s="329" t="str">
        <f>BG977</f>
        <v/>
      </c>
      <c r="CP956" s="329" t="str">
        <f>IF(COUNTIF(AO965:AO966,TRUE)=0,"",BH962)</f>
        <v/>
      </c>
      <c r="CQ956" s="331" t="b">
        <v>0</v>
      </c>
    </row>
    <row r="957" spans="1:95" ht="15" customHeight="1" thickBot="1" x14ac:dyDescent="0.3">
      <c r="A957" s="307"/>
      <c r="B957" s="68"/>
      <c r="C957" s="68"/>
      <c r="D957" s="68"/>
      <c r="E957" s="1274" t="str">
        <f>IF(ISBLANK(E956),"",IF(INDEX(B_IdentifyFuelStreams!$E$67:$E$116,MATCH(U955,B_IdentifyFuelStreams!$D$67:$D$116,0))&gt;0,INDEX(B_IdentifyFuelStreams!$E$67:$E$116,MATCH(U955,B_IdentifyFuelStreams!$D$67:$D$116,0)),""))</f>
        <v/>
      </c>
      <c r="F957" s="1275"/>
      <c r="G957" s="1275"/>
      <c r="H957" s="1275"/>
      <c r="I957" s="1275"/>
      <c r="J957" s="1276"/>
      <c r="K957" s="1272" t="str">
        <f>IF(INDEX(B_IdentifyFuelStreams!$M$125:$M$174,MATCH(U955,B_IdentifyFuelStreams!$D$125:$D$174,0))&gt;0,INDEX(B_IdentifyFuelStreams!$M$125:$M$174,MATCH(U955,B_IdentifyFuelStreams!$D$125:$D$174,0)),"")</f>
        <v/>
      </c>
      <c r="L957" s="1273"/>
      <c r="M957" s="332" t="str">
        <f>Translations!$B$622</f>
        <v>zero-rated:</v>
      </c>
      <c r="N957" s="333" t="str">
        <f>IF(E957="","",SUM(BG964,BG966,BG968))</f>
        <v/>
      </c>
      <c r="O957" s="334" t="str">
        <f>EUconst_tCO2</f>
        <v>tCO2</v>
      </c>
      <c r="P957" s="109"/>
      <c r="Q957" s="325" t="str">
        <f>EUconst_SumBioCO2</f>
        <v>SUM_bioCO2</v>
      </c>
      <c r="R957" s="312"/>
      <c r="S957" s="287"/>
      <c r="T957" s="287"/>
      <c r="U957" s="287"/>
      <c r="V957" s="301"/>
      <c r="W957" s="138"/>
      <c r="X957" s="293"/>
      <c r="Y957" s="317" t="str">
        <f>Translations!$B$143</f>
        <v>Tiers</v>
      </c>
      <c r="Z957" s="314"/>
      <c r="AA957" s="314"/>
      <c r="AB957" s="314"/>
      <c r="AC957" s="314"/>
      <c r="AD957" s="314"/>
      <c r="AE957" s="317" t="s">
        <v>108</v>
      </c>
      <c r="AF957" s="293"/>
      <c r="AG957" s="335"/>
      <c r="AH957" s="314"/>
      <c r="AI957" s="314"/>
      <c r="AJ957" s="335"/>
      <c r="AK957" s="335"/>
      <c r="AL957" s="326"/>
      <c r="AM957" s="326"/>
      <c r="AN957" s="326"/>
      <c r="AO957" s="326"/>
      <c r="AP957" s="326"/>
      <c r="AQ957" s="317" t="s">
        <v>109</v>
      </c>
      <c r="AR957" s="336"/>
      <c r="AS957" s="336"/>
      <c r="AT957" s="314"/>
      <c r="AU957" s="314"/>
      <c r="AV957" s="314"/>
      <c r="AW957" s="314"/>
      <c r="AX957" s="314"/>
      <c r="AY957" s="314"/>
      <c r="AZ957" s="317" t="s">
        <v>110</v>
      </c>
      <c r="BA957" s="314"/>
      <c r="BB957" s="314"/>
      <c r="BC957" s="314"/>
      <c r="BD957" s="314"/>
      <c r="BE957" s="314"/>
      <c r="BF957" s="317" t="s">
        <v>111</v>
      </c>
      <c r="BG957" s="314"/>
      <c r="BH957" s="314"/>
      <c r="BI957" s="317" t="s">
        <v>112</v>
      </c>
      <c r="BJ957" s="328" t="str">
        <f>Translations!$B$376</f>
        <v>RFA Tier</v>
      </c>
      <c r="BK957" s="328" t="str">
        <f>Translations!$B$377</f>
        <v>RFA</v>
      </c>
      <c r="BL957" s="328" t="str">
        <f>Translations!$B$378</f>
        <v>RFA (in scope)</v>
      </c>
      <c r="BM957" s="328" t="str">
        <f>Translations!$B$379</f>
        <v>RFA Unit</v>
      </c>
      <c r="BN957" s="328" t="str">
        <f>Translations!$B$380</f>
        <v>SF Tier</v>
      </c>
      <c r="BO957" s="328" t="str">
        <f>Translations!$B$380</f>
        <v>SF Tier</v>
      </c>
      <c r="BP957" s="328" t="str">
        <f>Translations!$B$381</f>
        <v>SF</v>
      </c>
      <c r="BQ957" s="328" t="str">
        <f>Translations!$B$382</f>
        <v>EF Tier</v>
      </c>
      <c r="BR957" s="328" t="str">
        <f>Translations!$B$383</f>
        <v>EF</v>
      </c>
      <c r="BS957" s="328" t="str">
        <f>Translations!$B$384</f>
        <v>EF Unit</v>
      </c>
      <c r="BT957" s="328" t="str">
        <f>Translations!$B$385</f>
        <v>UCF Tier</v>
      </c>
      <c r="BU957" s="328" t="str">
        <f>Translations!$B$386</f>
        <v>UCF</v>
      </c>
      <c r="BV957" s="328" t="str">
        <f>Translations!$B$387</f>
        <v>UCF Unit</v>
      </c>
      <c r="BW957" s="328" t="str">
        <f>Translations!$B$388</f>
        <v>Bio Tier</v>
      </c>
      <c r="BX957" s="328" t="s">
        <v>113</v>
      </c>
      <c r="BY957" s="328" t="str">
        <f>Translations!$B$389</f>
        <v>NonSustBio Tier</v>
      </c>
      <c r="BZ957" s="328" t="s">
        <v>114</v>
      </c>
      <c r="CA957" s="328" t="s">
        <v>115</v>
      </c>
      <c r="CB957" s="328" t="s">
        <v>116</v>
      </c>
      <c r="CC957" s="328" t="s">
        <v>117</v>
      </c>
      <c r="CD957" s="328" t="s">
        <v>118</v>
      </c>
      <c r="CE957" s="328" t="s">
        <v>119</v>
      </c>
      <c r="CF957" s="328" t="s">
        <v>120</v>
      </c>
      <c r="CG957" s="328" t="str">
        <f>Translations!$B$392</f>
        <v>CO2 non-sust</v>
      </c>
      <c r="CH957" s="328" t="s">
        <v>121</v>
      </c>
      <c r="CI957" s="328" t="s">
        <v>122</v>
      </c>
      <c r="CJ957" s="328" t="s">
        <v>123</v>
      </c>
      <c r="CK957" s="328" t="s">
        <v>124</v>
      </c>
      <c r="CL957" s="328" t="s">
        <v>125</v>
      </c>
      <c r="CM957" s="328" t="str">
        <f>Translations!$B$551</f>
        <v>Energy content (bio), TJ</v>
      </c>
      <c r="CN957" s="328" t="s">
        <v>126</v>
      </c>
      <c r="CO957" s="328" t="s">
        <v>127</v>
      </c>
      <c r="CP957" s="328" t="s">
        <v>128</v>
      </c>
      <c r="CQ957" s="314"/>
    </row>
    <row r="958" spans="1:95" ht="5.15" customHeight="1" thickBot="1" x14ac:dyDescent="0.3">
      <c r="A958" s="307"/>
      <c r="B958" s="68"/>
      <c r="C958" s="68"/>
      <c r="D958" s="68"/>
      <c r="E958" s="68"/>
      <c r="F958" s="68"/>
      <c r="G958" s="68"/>
      <c r="H958" s="76"/>
      <c r="I958" s="76"/>
      <c r="J958" s="76"/>
      <c r="K958" s="76"/>
      <c r="L958" s="76"/>
      <c r="M958" s="76"/>
      <c r="N958" s="76"/>
      <c r="O958" s="160"/>
      <c r="P958" s="109"/>
      <c r="Q958" s="312"/>
      <c r="R958" s="312"/>
      <c r="S958" s="287"/>
      <c r="T958" s="287"/>
      <c r="U958" s="287"/>
      <c r="V958" s="301"/>
      <c r="W958" s="314"/>
      <c r="X958" s="314"/>
      <c r="Y958" s="312"/>
      <c r="Z958" s="314"/>
      <c r="AA958" s="314"/>
      <c r="AB958" s="314"/>
      <c r="AC958" s="314"/>
      <c r="AD958" s="314"/>
      <c r="AE958" s="314"/>
      <c r="AF958" s="293"/>
      <c r="AG958" s="314"/>
      <c r="AH958" s="314"/>
      <c r="AI958" s="314"/>
      <c r="AJ958" s="335"/>
      <c r="AK958" s="335"/>
      <c r="AL958" s="326"/>
      <c r="AM958" s="326"/>
      <c r="AN958" s="326"/>
      <c r="AO958" s="326"/>
      <c r="AP958" s="326"/>
      <c r="AQ958" s="314"/>
      <c r="AR958" s="314"/>
      <c r="AS958" s="314"/>
      <c r="AT958" s="314"/>
      <c r="AU958" s="314"/>
      <c r="AV958" s="314"/>
      <c r="AW958" s="314"/>
      <c r="AX958" s="314"/>
      <c r="AY958" s="314"/>
      <c r="AZ958" s="314"/>
      <c r="BA958" s="314"/>
      <c r="BB958" s="314"/>
      <c r="BC958" s="314"/>
      <c r="BD958" s="314"/>
      <c r="BE958" s="314"/>
      <c r="BF958" s="314"/>
      <c r="BG958" s="314"/>
      <c r="BH958" s="314"/>
      <c r="BI958" s="314"/>
      <c r="BJ958" s="314"/>
      <c r="BK958" s="314"/>
      <c r="BL958" s="314"/>
      <c r="BM958" s="314"/>
      <c r="BN958" s="314"/>
      <c r="BO958" s="314"/>
      <c r="BP958" s="314"/>
      <c r="BQ958" s="314"/>
      <c r="BR958" s="314"/>
      <c r="BS958" s="314"/>
      <c r="BT958" s="314"/>
      <c r="BU958" s="314"/>
      <c r="BV958" s="314"/>
      <c r="BW958" s="314"/>
      <c r="BX958" s="314"/>
      <c r="BY958" s="314"/>
      <c r="BZ958" s="314"/>
      <c r="CA958" s="314"/>
      <c r="CB958" s="314"/>
      <c r="CC958" s="314"/>
      <c r="CD958" s="314"/>
      <c r="CE958" s="314"/>
      <c r="CF958" s="314"/>
      <c r="CG958" s="314"/>
      <c r="CH958" s="314"/>
      <c r="CI958" s="314"/>
      <c r="CJ958" s="314"/>
      <c r="CK958" s="314"/>
      <c r="CL958" s="314"/>
      <c r="CM958" s="314"/>
      <c r="CN958" s="314"/>
      <c r="CO958" s="314"/>
      <c r="CP958" s="314"/>
      <c r="CQ958" s="314"/>
    </row>
    <row r="959" spans="1:95" ht="12.75" customHeight="1" thickBot="1" x14ac:dyDescent="0.3">
      <c r="A959" s="307"/>
      <c r="B959" s="68"/>
      <c r="C959" s="68"/>
      <c r="D959" s="68"/>
      <c r="E959" s="1253" t="str">
        <f>IF(E956="","",HYPERLINK("#JUMP_E_Top",EUconst_FurtherGuidancePoint1))</f>
        <v/>
      </c>
      <c r="F959" s="1253"/>
      <c r="G959" s="1253"/>
      <c r="H959" s="1253"/>
      <c r="I959" s="1253"/>
      <c r="J959" s="1253"/>
      <c r="K959" s="1253"/>
      <c r="L959" s="1253"/>
      <c r="M959" s="1253"/>
      <c r="N959" s="76"/>
      <c r="O959" s="160"/>
      <c r="P959" s="109"/>
      <c r="Q959" s="325" t="str">
        <f>EUconst_SumNonSustBioCO2</f>
        <v>SUM_bioNonSustCO2</v>
      </c>
      <c r="R959" s="337" t="str">
        <f>IF(E957="","",BG965)</f>
        <v/>
      </c>
      <c r="S959" s="287"/>
      <c r="T959" s="287"/>
      <c r="U959" s="287"/>
      <c r="V959" s="314"/>
      <c r="W959" s="314"/>
      <c r="X959" s="314"/>
      <c r="Y959" s="293"/>
      <c r="Z959" s="314"/>
      <c r="AA959" s="314"/>
      <c r="AB959" s="314"/>
      <c r="AC959" s="314"/>
      <c r="AD959" s="314"/>
      <c r="AE959" s="314"/>
      <c r="AF959" s="293"/>
      <c r="AG959" s="314"/>
      <c r="AH959" s="314"/>
      <c r="AI959" s="314"/>
      <c r="AJ959" s="335"/>
      <c r="AK959" s="335"/>
      <c r="AL959" s="326"/>
      <c r="AM959" s="326"/>
      <c r="AN959" s="326"/>
      <c r="AO959" s="326"/>
      <c r="AP959" s="326"/>
      <c r="AQ959" s="314"/>
      <c r="AR959" s="314"/>
      <c r="AS959" s="314"/>
      <c r="AT959" s="314"/>
      <c r="AU959" s="314"/>
      <c r="AV959" s="314"/>
      <c r="AW959" s="314"/>
      <c r="AX959" s="314"/>
      <c r="AY959" s="314"/>
      <c r="AZ959" s="314"/>
      <c r="BA959" s="314"/>
      <c r="BB959" s="314"/>
      <c r="BC959" s="314"/>
      <c r="BD959" s="314"/>
      <c r="BE959" s="314"/>
      <c r="BF959" s="314"/>
      <c r="BG959" s="314"/>
      <c r="BH959" s="314"/>
      <c r="BI959" s="317" t="s">
        <v>129</v>
      </c>
      <c r="BJ959" s="336"/>
      <c r="BK959" s="327" t="str">
        <f>IF(G977="","",G977)</f>
        <v/>
      </c>
      <c r="BL959" s="327" t="str">
        <f>IF(I977="","",I977)</f>
        <v/>
      </c>
      <c r="BM959" s="327" t="str">
        <f>IF(K977="","",K977)</f>
        <v/>
      </c>
      <c r="BN959" s="314"/>
      <c r="BO959" s="314"/>
      <c r="BP959" s="314"/>
      <c r="BQ959" s="314"/>
      <c r="BR959" s="314"/>
      <c r="BS959" s="314"/>
      <c r="BT959" s="319"/>
      <c r="BU959" s="314"/>
      <c r="BV959" s="314"/>
      <c r="BW959" s="314"/>
      <c r="BX959" s="314"/>
      <c r="BY959" s="314"/>
      <c r="BZ959" s="314"/>
      <c r="CA959" s="314"/>
      <c r="CB959" s="314"/>
      <c r="CC959" s="314"/>
      <c r="CD959" s="314"/>
      <c r="CE959" s="314"/>
      <c r="CF959" s="314"/>
      <c r="CG959" s="314"/>
      <c r="CH959" s="314"/>
      <c r="CI959" s="314"/>
      <c r="CJ959" s="314"/>
      <c r="CK959" s="314"/>
      <c r="CL959" s="314"/>
      <c r="CM959" s="314"/>
      <c r="CN959" s="314"/>
      <c r="CO959" s="314"/>
      <c r="CP959" s="314"/>
      <c r="CQ959" s="314"/>
    </row>
    <row r="960" spans="1:95" ht="5.15" customHeight="1" thickBot="1" x14ac:dyDescent="0.3">
      <c r="A960" s="307"/>
      <c r="B960" s="68"/>
      <c r="C960" s="68"/>
      <c r="D960" s="68"/>
      <c r="E960" s="68"/>
      <c r="F960" s="68"/>
      <c r="G960" s="68"/>
      <c r="H960" s="76"/>
      <c r="I960" s="76"/>
      <c r="J960" s="76"/>
      <c r="K960" s="76"/>
      <c r="L960" s="76"/>
      <c r="M960" s="76"/>
      <c r="N960" s="76"/>
      <c r="O960" s="160"/>
      <c r="P960" s="111"/>
      <c r="Q960" s="287"/>
      <c r="R960" s="111"/>
      <c r="S960" s="287"/>
      <c r="T960" s="287"/>
      <c r="U960" s="287"/>
      <c r="V960" s="314"/>
      <c r="W960" s="314"/>
      <c r="X960" s="314"/>
      <c r="Y960" s="312"/>
      <c r="Z960" s="314"/>
      <c r="AA960" s="314"/>
      <c r="AB960" s="314"/>
      <c r="AC960" s="314"/>
      <c r="AD960" s="314"/>
      <c r="AE960" s="314"/>
      <c r="AF960" s="293"/>
      <c r="AG960" s="314"/>
      <c r="AH960" s="314"/>
      <c r="AI960" s="314"/>
      <c r="AJ960" s="335"/>
      <c r="AK960" s="335"/>
      <c r="AL960" s="326"/>
      <c r="AM960" s="326"/>
      <c r="AN960" s="326"/>
      <c r="AO960" s="326"/>
      <c r="AP960" s="326"/>
      <c r="AQ960" s="314"/>
      <c r="AR960" s="314"/>
      <c r="AS960" s="314"/>
      <c r="AT960" s="314"/>
      <c r="AU960" s="314"/>
      <c r="AV960" s="314"/>
      <c r="AW960" s="314"/>
      <c r="AX960" s="314"/>
      <c r="AY960" s="314"/>
      <c r="AZ960" s="314"/>
      <c r="BA960" s="314"/>
      <c r="BB960" s="314"/>
      <c r="BC960" s="314"/>
      <c r="BD960" s="314"/>
      <c r="BE960" s="314"/>
      <c r="BF960" s="314"/>
      <c r="BG960" s="314"/>
      <c r="BH960" s="314"/>
      <c r="BI960" s="314"/>
      <c r="BJ960" s="314"/>
      <c r="BK960" s="314"/>
      <c r="BL960" s="314"/>
      <c r="BM960" s="314"/>
      <c r="BN960" s="314"/>
      <c r="BO960" s="314"/>
      <c r="BP960" s="314"/>
      <c r="BQ960" s="314"/>
      <c r="BR960" s="314"/>
      <c r="BS960" s="314"/>
      <c r="BT960" s="314"/>
      <c r="BU960" s="314"/>
      <c r="BV960" s="314"/>
      <c r="BW960" s="314"/>
      <c r="BX960" s="314"/>
      <c r="BY960" s="314"/>
      <c r="BZ960" s="314"/>
      <c r="CA960" s="314"/>
      <c r="CB960" s="314"/>
      <c r="CC960" s="314"/>
      <c r="CD960" s="314"/>
      <c r="CE960" s="314"/>
      <c r="CF960" s="314"/>
      <c r="CG960" s="314"/>
      <c r="CH960" s="314"/>
      <c r="CI960" s="314"/>
      <c r="CJ960" s="314"/>
      <c r="CK960" s="314"/>
      <c r="CL960" s="314"/>
      <c r="CM960" s="314"/>
      <c r="CN960" s="314"/>
      <c r="CO960" s="314"/>
      <c r="CP960" s="314"/>
      <c r="CQ960" s="314"/>
    </row>
    <row r="961" spans="1:95" ht="12.75" customHeight="1" thickBot="1" x14ac:dyDescent="0.3">
      <c r="A961" s="307"/>
      <c r="B961" s="68"/>
      <c r="C961" s="68"/>
      <c r="D961" s="68"/>
      <c r="E961" s="68"/>
      <c r="F961" s="338" t="str">
        <f>Translations!$B$127</f>
        <v>Tier</v>
      </c>
      <c r="G961" s="1254" t="str">
        <f>Translations!$B$393</f>
        <v>tier description</v>
      </c>
      <c r="H961" s="1254"/>
      <c r="I961" s="1255" t="str">
        <f>Translations!$B$394</f>
        <v>Unit</v>
      </c>
      <c r="J961" s="1255"/>
      <c r="K961" s="1255" t="str">
        <f>Translations!$B$395</f>
        <v>Value</v>
      </c>
      <c r="L961" s="1255"/>
      <c r="M961" s="205" t="str">
        <f>Translations!$B$396</f>
        <v>error</v>
      </c>
      <c r="N961" s="76"/>
      <c r="O961" s="160"/>
      <c r="P961" s="339"/>
      <c r="Q961" s="325" t="str">
        <f>EUconst_SumEnergyIN</f>
        <v>SUM_EnergyIN</v>
      </c>
      <c r="R961" s="340" t="str">
        <f>IF(E957="","",BG970)</f>
        <v/>
      </c>
      <c r="S961" s="314"/>
      <c r="T961" s="314"/>
      <c r="U961" s="314"/>
      <c r="V961" s="341" t="s">
        <v>130</v>
      </c>
      <c r="W961" s="314"/>
      <c r="X961" s="314"/>
      <c r="Y961" s="312" t="s">
        <v>131</v>
      </c>
      <c r="Z961" s="312" t="s">
        <v>132</v>
      </c>
      <c r="AA961" s="314"/>
      <c r="AB961" s="314"/>
      <c r="AC961" s="336" t="s">
        <v>133</v>
      </c>
      <c r="AD961" s="314"/>
      <c r="AE961" s="314"/>
      <c r="AF961" s="314" t="s">
        <v>134</v>
      </c>
      <c r="AG961" s="314" t="s">
        <v>135</v>
      </c>
      <c r="AH961" s="312" t="s">
        <v>136</v>
      </c>
      <c r="AI961" s="335" t="s">
        <v>137</v>
      </c>
      <c r="AJ961" s="335" t="s">
        <v>138</v>
      </c>
      <c r="AK961" s="342" t="s">
        <v>139</v>
      </c>
      <c r="AL961" s="326"/>
      <c r="AM961" s="326"/>
      <c r="AN961" s="326"/>
      <c r="AO961" s="326"/>
      <c r="AP961" s="326"/>
      <c r="AQ961" s="314"/>
      <c r="AR961" s="314" t="s">
        <v>134</v>
      </c>
      <c r="AS961" s="314" t="s">
        <v>135</v>
      </c>
      <c r="AT961" s="343" t="s">
        <v>140</v>
      </c>
      <c r="AU961" s="335" t="s">
        <v>141</v>
      </c>
      <c r="AV961" s="335" t="s">
        <v>142</v>
      </c>
      <c r="AW961" s="342" t="s">
        <v>139</v>
      </c>
      <c r="AX961" s="342" t="s">
        <v>139</v>
      </c>
      <c r="AY961" s="314"/>
      <c r="AZ961" s="314"/>
      <c r="BA961" s="314"/>
      <c r="BB961" s="314" t="s">
        <v>143</v>
      </c>
      <c r="BC961" s="314"/>
      <c r="BD961" s="314"/>
      <c r="BE961" s="314"/>
      <c r="BF961" s="314"/>
      <c r="BG961" s="319" t="s">
        <v>144</v>
      </c>
      <c r="BH961" s="314" t="s">
        <v>145</v>
      </c>
      <c r="BI961" s="314"/>
      <c r="BJ961" s="314"/>
      <c r="BK961" s="314"/>
      <c r="BL961" s="314"/>
      <c r="BM961" s="314"/>
      <c r="BN961" s="314"/>
      <c r="BO961" s="314"/>
      <c r="BP961" s="314"/>
      <c r="BQ961" s="314"/>
      <c r="BR961" s="314"/>
      <c r="BS961" s="314"/>
      <c r="BT961" s="314"/>
      <c r="BU961" s="314"/>
      <c r="BV961" s="314"/>
      <c r="BW961" s="314"/>
      <c r="BX961" s="314"/>
      <c r="BY961" s="314"/>
      <c r="BZ961" s="314"/>
      <c r="CA961" s="314"/>
      <c r="CB961" s="314"/>
      <c r="CC961" s="314"/>
      <c r="CD961" s="314"/>
      <c r="CE961" s="314"/>
      <c r="CF961" s="314"/>
      <c r="CG961" s="314"/>
      <c r="CH961" s="314"/>
      <c r="CI961" s="314"/>
      <c r="CJ961" s="314"/>
      <c r="CK961" s="314"/>
      <c r="CL961" s="314"/>
      <c r="CM961" s="314"/>
      <c r="CN961" s="314"/>
      <c r="CO961" s="314"/>
      <c r="CP961" s="314"/>
      <c r="CQ961" s="319" t="s">
        <v>107</v>
      </c>
    </row>
    <row r="962" spans="1:95" ht="12.75" customHeight="1" thickBot="1" x14ac:dyDescent="0.3">
      <c r="A962" s="307"/>
      <c r="B962" s="68"/>
      <c r="C962" s="199" t="s">
        <v>12</v>
      </c>
      <c r="D962" s="344" t="str">
        <f>Translations!$B$356</f>
        <v>RFA:</v>
      </c>
      <c r="E962" s="345"/>
      <c r="F962" s="6"/>
      <c r="G962" s="1256" t="str">
        <f>IF(OR(ISBLANK(F962),F962=EUconst_NoTier),"",IF(Z962=0,EUconst_NA,IF(ISERROR(Z962),"",Z962)))</f>
        <v/>
      </c>
      <c r="H962" s="1257"/>
      <c r="I962" s="346" t="str">
        <f>IF(J962&lt;&gt;"","",AI962)</f>
        <v/>
      </c>
      <c r="J962" s="7"/>
      <c r="K962" s="1258"/>
      <c r="L962" s="1259"/>
      <c r="M962" s="347" t="str">
        <f>IF(AND(E957&lt;&gt;"",OR(F962="",COUNT(K962)=0),Y962&lt;&gt;EUconst_NA),EUconst_ERR_Incomplete,"")</f>
        <v/>
      </c>
      <c r="N962" s="76"/>
      <c r="O962" s="160"/>
      <c r="P962" s="348"/>
      <c r="Q962" s="325" t="str">
        <f>EUconst_SumBioEnergyIN</f>
        <v>SUM_BioEnergyIN</v>
      </c>
      <c r="R962" s="340" t="str">
        <f>IF(E957="","",BG971)</f>
        <v/>
      </c>
      <c r="S962" s="314"/>
      <c r="T962" s="349" t="str">
        <f>EUconst_CNTR_ActivityData&amp;E957</f>
        <v>ActivityData_</v>
      </c>
      <c r="U962" s="312"/>
      <c r="V962" s="349" t="str">
        <f>IF(E956="","",INDEX(B_IdentifyFuelStreams!$I$67:$I$116,MATCH(U955,B_IdentifyFuelStreams!$D$67:$D$116,0)))</f>
        <v/>
      </c>
      <c r="W962" s="335" t="s">
        <v>146</v>
      </c>
      <c r="X962" s="312"/>
      <c r="Y962" s="350" t="str">
        <f>IF(E957="","",INDEX(EUwideConstants!$P$164:$P$200,MATCH(T962,EUwideConstants!$S$164:$S$200,0)))</f>
        <v/>
      </c>
      <c r="Z962" s="351" t="str">
        <f>IF(ISBLANK(F962),"",IF(F962=EUconst_NA,"",INDEX(EUwideConstants!$H:$O,MATCH(T962,EUwideConstants!$S:$S,0),MATCH(F962,CNTR_TierList,0))))</f>
        <v/>
      </c>
      <c r="AA962" s="352" t="s">
        <v>136</v>
      </c>
      <c r="AB962" s="335"/>
      <c r="AC962" s="331" t="b">
        <f>E956&lt;&gt;""</f>
        <v>0</v>
      </c>
      <c r="AD962" s="314"/>
      <c r="AE962" s="353" t="str">
        <f>EUconst_CNTR_ActivityData&amp;EUconst_Unit</f>
        <v>ActivityData_Unit</v>
      </c>
      <c r="AF962" s="354" t="str">
        <f>IF(AC962=TRUE, IF(COUNTIF(MSPara_SourceStreamCategory,V962)=0,"",INDEX(MSPara_CalcFactorsMatrix,MATCH(V962,MSPara_SourceStreamCategory,0),MATCH(AE962&amp;"_"&amp;2,MSPara_CalcFactors,0))),"")</f>
        <v/>
      </c>
      <c r="AG962" s="355" t="str">
        <f>IF(AC962=TRUE, IF(COUNTIF(MSPara_SourceStreamCategory,V962)=0,"",INDEX(MSPara_CalcFactorsMatrix,MATCH(V962,MSPara_SourceStreamCategory,0),MATCH(AE962&amp;"_"&amp;1,MSPara_CalcFactors,0))),"")</f>
        <v/>
      </c>
      <c r="AH962" s="331" t="str">
        <f>IF(OR(AF962="",AF962=EUconst_NA),IF(OR(AG962=EUconst_NA,AG962=""),"",AG962),AF962)</f>
        <v/>
      </c>
      <c r="AI962" s="350" t="str">
        <f>IF(AC962=TRUE,IF(AH962="",EUconst_t,AH962),"")</f>
        <v/>
      </c>
      <c r="AJ962" s="356" t="str">
        <f>IF(J962="",AI962,J962)</f>
        <v/>
      </c>
      <c r="AK962" s="357" t="b">
        <f>AND(E956&lt;&gt;"",J962&lt;&gt;"")</f>
        <v>0</v>
      </c>
      <c r="AL962" s="326"/>
      <c r="AM962" s="358" t="s">
        <v>147</v>
      </c>
      <c r="AN962" s="359" t="str">
        <f>AJ962</f>
        <v/>
      </c>
      <c r="AO962" s="326"/>
      <c r="AP962" s="326"/>
      <c r="AQ962" s="349" t="str">
        <f>EUconst_CNTR_ActivityData&amp;EUconst_Value</f>
        <v>ActivityData_Value</v>
      </c>
      <c r="AR962" s="336"/>
      <c r="AS962" s="336"/>
      <c r="AT962" s="331" t="b">
        <f>AND(AND(AH962&lt;&gt;"",AJ962&lt;&gt;""),AJ962=AH962)</f>
        <v>0</v>
      </c>
      <c r="AU962" s="314"/>
      <c r="AV962" s="331">
        <f>IF(Y962=EUconst_NA,0,IF(COUNT(K962:K962)=0,0,IF(K962="",#REF!,K962)))</f>
        <v>0</v>
      </c>
      <c r="AW962" s="360" t="b">
        <f>AND(AC962=TRUE,OR(K962&lt;&gt;"",AU962=""))</f>
        <v>0</v>
      </c>
      <c r="AX962" s="360" t="b">
        <f>AND(AC962=TRUE,NOT(AW962))</f>
        <v>0</v>
      </c>
      <c r="AY962" s="314"/>
      <c r="AZ962" s="314" t="s">
        <v>148</v>
      </c>
      <c r="BA962" s="314" t="s">
        <v>149</v>
      </c>
      <c r="BB962" s="360"/>
      <c r="BC962" s="314" t="s">
        <v>150</v>
      </c>
      <c r="BD962" s="314"/>
      <c r="BE962" s="314"/>
      <c r="BF962" s="361" t="s">
        <v>119</v>
      </c>
      <c r="BG962" s="362" t="str">
        <f>IF(COUNTIF(AO965:AO966,TRUE)=0,"",BH962*AV973)</f>
        <v/>
      </c>
      <c r="BH962" s="362" t="str">
        <f>IF(COUNTIF(AO965:AO966,TRUE)=0,"",AV962*IF(AO965,1,AV964*AN966)*AV965-BH964-BH966-BH968)</f>
        <v/>
      </c>
      <c r="BI962" s="314"/>
      <c r="BJ962" s="314"/>
      <c r="BK962" s="314"/>
      <c r="BL962" s="314"/>
      <c r="BM962" s="314"/>
      <c r="BN962" s="314"/>
      <c r="BO962" s="314"/>
      <c r="BP962" s="314"/>
      <c r="BQ962" s="314"/>
      <c r="BR962" s="314"/>
      <c r="BS962" s="314"/>
      <c r="BT962" s="314"/>
      <c r="BU962" s="314"/>
      <c r="BV962" s="314"/>
      <c r="BW962" s="314"/>
      <c r="BX962" s="314"/>
      <c r="BY962" s="314"/>
      <c r="BZ962" s="314"/>
      <c r="CA962" s="314"/>
      <c r="CB962" s="314"/>
      <c r="CC962" s="314"/>
      <c r="CD962" s="314"/>
      <c r="CE962" s="314"/>
      <c r="CF962" s="314"/>
      <c r="CG962" s="314"/>
      <c r="CH962" s="314"/>
      <c r="CI962" s="314"/>
      <c r="CJ962" s="314"/>
      <c r="CK962" s="314"/>
      <c r="CL962" s="314"/>
      <c r="CM962" s="314"/>
      <c r="CN962" s="314"/>
      <c r="CO962" s="314"/>
      <c r="CP962" s="314"/>
      <c r="CQ962" s="360" t="b">
        <v>0</v>
      </c>
    </row>
    <row r="963" spans="1:95" ht="5.15" customHeight="1" thickBot="1" x14ac:dyDescent="0.3">
      <c r="A963" s="307"/>
      <c r="B963" s="68"/>
      <c r="C963" s="199"/>
      <c r="D963" s="202"/>
      <c r="E963" s="76"/>
      <c r="F963" s="76"/>
      <c r="G963" s="76"/>
      <c r="H963" s="76" t="str">
        <f>Translations!$B$397</f>
        <v xml:space="preserve"> </v>
      </c>
      <c r="I963" s="162"/>
      <c r="J963" s="162"/>
      <c r="K963" s="76"/>
      <c r="L963" s="76"/>
      <c r="M963" s="363"/>
      <c r="N963" s="76"/>
      <c r="O963" s="160"/>
      <c r="P963" s="109"/>
      <c r="Q963" s="312"/>
      <c r="R963" s="312"/>
      <c r="S963" s="314"/>
      <c r="T963" s="62"/>
      <c r="U963" s="312"/>
      <c r="V963" s="314"/>
      <c r="W963" s="314"/>
      <c r="X963" s="312"/>
      <c r="Y963" s="319"/>
      <c r="Z963" s="314"/>
      <c r="AA963" s="314"/>
      <c r="AB963" s="314"/>
      <c r="AC963" s="314"/>
      <c r="AD963" s="314"/>
      <c r="AE963" s="314"/>
      <c r="AF963" s="314"/>
      <c r="AG963" s="314"/>
      <c r="AH963" s="314"/>
      <c r="AI963" s="314"/>
      <c r="AJ963" s="314"/>
      <c r="AK963" s="314"/>
      <c r="AL963" s="326"/>
      <c r="AM963" s="326"/>
      <c r="AN963" s="326"/>
      <c r="AO963" s="326"/>
      <c r="AP963" s="326"/>
      <c r="AQ963" s="314"/>
      <c r="AR963" s="314"/>
      <c r="AS963" s="314"/>
      <c r="AT963" s="314"/>
      <c r="AU963" s="314"/>
      <c r="AV963" s="314"/>
      <c r="AW963" s="314"/>
      <c r="AX963" s="314"/>
      <c r="AY963" s="314"/>
      <c r="AZ963" s="314"/>
      <c r="BA963" s="314"/>
      <c r="BB963" s="314"/>
      <c r="BC963" s="314"/>
      <c r="BD963" s="314"/>
      <c r="BE963" s="314"/>
      <c r="BF963" s="314"/>
      <c r="BG963" s="364"/>
      <c r="BH963" s="364"/>
      <c r="BI963" s="314"/>
      <c r="BJ963" s="314"/>
      <c r="BK963" s="314"/>
      <c r="BL963" s="314"/>
      <c r="BM963" s="314"/>
      <c r="BN963" s="314"/>
      <c r="BO963" s="314"/>
      <c r="BP963" s="314"/>
      <c r="BQ963" s="314"/>
      <c r="BR963" s="314"/>
      <c r="BS963" s="314"/>
      <c r="BT963" s="314"/>
      <c r="BU963" s="314"/>
      <c r="BV963" s="314"/>
      <c r="BW963" s="314"/>
      <c r="BX963" s="314"/>
      <c r="BY963" s="314"/>
      <c r="BZ963" s="314"/>
      <c r="CA963" s="314"/>
      <c r="CB963" s="314"/>
      <c r="CC963" s="314"/>
      <c r="CD963" s="314"/>
      <c r="CE963" s="314"/>
      <c r="CF963" s="314"/>
      <c r="CG963" s="314"/>
      <c r="CH963" s="314"/>
      <c r="CI963" s="314"/>
      <c r="CJ963" s="314"/>
      <c r="CK963" s="314"/>
      <c r="CL963" s="314"/>
      <c r="CM963" s="314"/>
      <c r="CN963" s="314"/>
      <c r="CO963" s="314"/>
      <c r="CP963" s="314"/>
      <c r="CQ963" s="319"/>
    </row>
    <row r="964" spans="1:95" ht="12.75" customHeight="1" x14ac:dyDescent="0.25">
      <c r="A964" s="307"/>
      <c r="B964" s="68"/>
      <c r="C964" s="199" t="s">
        <v>13</v>
      </c>
      <c r="D964" s="344" t="str">
        <f>Translations!$B$360</f>
        <v>UCF:</v>
      </c>
      <c r="E964" s="345"/>
      <c r="F964" s="10"/>
      <c r="G964" s="1256" t="str">
        <f>IF(OR(ISBLANK(F964),F964=EUconst_NoTier),"",IF(Z964=0,EUconst_NotApplicable,IF(ISERROR(Z964),"",Z964)))</f>
        <v/>
      </c>
      <c r="H964" s="1257"/>
      <c r="I964" s="365" t="str">
        <f>IF(J964&lt;&gt;"","",AI964)</f>
        <v/>
      </c>
      <c r="J964" s="11"/>
      <c r="K964" s="366" t="str">
        <f>IF(L964="",AU964,"")</f>
        <v/>
      </c>
      <c r="L964" s="23"/>
      <c r="M964" s="347" t="str">
        <f>IF(AND(E957&lt;&gt;"",OR(F964="",COUNT(K964:L964)=0),Y964&lt;&gt;EUconst_NA),EUconst_ERR_Incomplete,IF(COUNTIF(BB964:BD964,TRUE)&gt;0,EUconst_ERR_Inconsistent,""))</f>
        <v/>
      </c>
      <c r="N964" s="367"/>
      <c r="O964" s="160"/>
      <c r="P964" s="109"/>
      <c r="Q964" s="312"/>
      <c r="R964" s="312"/>
      <c r="S964" s="314"/>
      <c r="T964" s="368" t="str">
        <f>EUconst_CNTR_UCF&amp;E957</f>
        <v>UCF_</v>
      </c>
      <c r="U964" s="312"/>
      <c r="V964" s="369" t="str">
        <f>V965</f>
        <v/>
      </c>
      <c r="W964" s="314"/>
      <c r="X964" s="312"/>
      <c r="Y964" s="370" t="str">
        <f>IF(E957="","",IF(OR(F964=EUconst_NA,W964=TRUE),EUconst_NA,INDEX(EUwideConstants!$P$164:$P$200,MATCH(T964,EUwideConstants!$S$164:$S$200,0))))</f>
        <v/>
      </c>
      <c r="Z964" s="371" t="str">
        <f>IF(ISBLANK(F964),"",IF(F964=EUconst_NA,"",INDEX(EUwideConstants!$H:$O,MATCH(T964,EUwideConstants!$S:$S,0),MATCH(F964,CNTR_TierList,0))))</f>
        <v/>
      </c>
      <c r="AA964" s="372" t="str">
        <f>IF(COUNTIF(EUconst_DefaultValues,Z964)&gt;0,MATCH(Z964,EUconst_DefaultValues,0),"")</f>
        <v/>
      </c>
      <c r="AB964" s="314"/>
      <c r="AC964" s="373" t="b">
        <f>AND(AC962,Y964&lt;&gt;EUconst_NA)</f>
        <v>0</v>
      </c>
      <c r="AD964" s="314"/>
      <c r="AE964" s="353" t="str">
        <f>EUconst_CNTR_UCF&amp;EUconst_Unit</f>
        <v>UCF_Unit</v>
      </c>
      <c r="AF964" s="374" t="str">
        <f>IF(AC964=TRUE, IF(COUNTIF(MSPara_SourceStreamCategory,V964)=0,"",INDEX(MSPara_CalcFactorsMatrix,MATCH(V964,MSPara_SourceStreamCategory,0),MATCH(AE964&amp;"_"&amp;2,MSPara_CalcFactors,0))),"")</f>
        <v/>
      </c>
      <c r="AG964" s="375" t="str">
        <f>IF(AC964=TRUE, IF(COUNTIF(MSPara_SourceStreamCategory,V964)=0,"",INDEX(MSPara_CalcFactorsMatrix,MATCH(V964,MSPara_SourceStreamCategory,0),MATCH(AE964&amp;"_"&amp;1,MSPara_CalcFactors,0))),"")</f>
        <v/>
      </c>
      <c r="AH964" s="373" t="str">
        <f>IF(AA964="","",INDEX(AF964:AG964,3-AA964))</f>
        <v/>
      </c>
      <c r="AI964" s="373" t="str">
        <f>IF(AC964=TRUE,IF(OR(AH964="",AH964=EUconst_NA),EUconst_GJ&amp;"/"&amp;AJ962,AH964),"")</f>
        <v/>
      </c>
      <c r="AJ964" s="373" t="str">
        <f>IF(J964="",AI964,J964)</f>
        <v/>
      </c>
      <c r="AK964" s="369" t="b">
        <f>AND(E956&lt;&gt;"",J964&lt;&gt;"")</f>
        <v>0</v>
      </c>
      <c r="AL964" s="326"/>
      <c r="AM964" s="358" t="s">
        <v>151</v>
      </c>
      <c r="AN964" s="359" t="str">
        <f>IF(AJ964="",EUconst_NA,IF(AN962=EUconst_TJ,EUconst_TJ,INDEX(EUwideConstants!$C$135:$G$139,MATCH(AN962,RFAUnits,0),MATCH(AJ964,UCFUnits,0))))</f>
        <v>n.a.</v>
      </c>
      <c r="AO964" s="326"/>
      <c r="AP964" s="326"/>
      <c r="AQ964" s="376" t="str">
        <f>EUconst_CNTR_UCF&amp;EUconst_Value</f>
        <v>UCF_Value</v>
      </c>
      <c r="AR964" s="377" t="str">
        <f>IF(AC964=TRUE,IF(COUNTIF(MSPara_SourceStreamCategory,V964)=0,"",INDEX(MSPara_CalcFactorsMatrix,MATCH(V964,MSPara_SourceStreamCategory,0),MATCH(AQ964&amp;"_"&amp;2,MSPara_CalcFactors,0))),"")</f>
        <v/>
      </c>
      <c r="AS964" s="378" t="str">
        <f>IF(AC964=TRUE,IF(COUNTIF(MSPara_SourceStreamCategory,V964)=0,"",INDEX(MSPara_CalcFactorsMatrix,MATCH(V964,MSPara_SourceStreamCategory,0),MATCH(AQ964&amp;"_"&amp;1,MSPara_CalcFactors,0))),"")</f>
        <v/>
      </c>
      <c r="AT964" s="379" t="b">
        <f>AND(AND(AH964&lt;&gt;"",AJ964&lt;&gt;""),AJ964=AH964)</f>
        <v>0</v>
      </c>
      <c r="AU964" s="380" t="str">
        <f>IF(AND(AA964&lt;&gt;"",AT964=TRUE),IF(OR(INDEX(AR964:AS964,3-AA964)=EUconst_NA,INDEX(AR964:AS964,3-AA964)=0),"",INDEX(AR964:AS964,3-AA964)),"")</f>
        <v/>
      </c>
      <c r="AV964" s="373">
        <f>IF(AC964=TRUE,IF(COUNT(K964:L964)=0,0,IF(L964="",K964,L964)),0)</f>
        <v>0</v>
      </c>
      <c r="AW964" s="369" t="b">
        <f t="shared" ref="AW964:AW971" si="288">AND(AC964=TRUE,OR(AND(F964&lt;&gt;"",NOT(ISNUMBER(AA964))),L964&lt;&gt;"",F964="",AU964=""))</f>
        <v>0</v>
      </c>
      <c r="AX964" s="381" t="b">
        <f t="shared" ref="AX964:AX971" si="289">AND(AC964=TRUE,NOT(AW964))</f>
        <v>0</v>
      </c>
      <c r="AY964" s="314"/>
      <c r="AZ964" s="382" t="b">
        <f t="shared" ref="AZ964:AZ971" si="290">AND(ISNUMBER(AA964),AU964="")</f>
        <v>0</v>
      </c>
      <c r="BA964" s="383" t="b">
        <f t="shared" ref="BA964:BA971" si="291">AND(ISNUMBER(AA964),AU964&lt;&gt;AV964)</f>
        <v>0</v>
      </c>
      <c r="BB964" s="369" t="b">
        <f>AND(E957&lt;&gt;"",F964&lt;&gt;EUconst_NA,AN964=EUconst_NA)</f>
        <v>0</v>
      </c>
      <c r="BC964" s="369" t="b">
        <f t="shared" ref="BC964:BC971" si="292">AND(L964&lt;&gt;"",Y964=EUconst_NA)</f>
        <v>0</v>
      </c>
      <c r="BD964" s="314"/>
      <c r="BE964" s="314"/>
      <c r="BF964" s="382" t="s">
        <v>152</v>
      </c>
      <c r="BG964" s="384" t="str">
        <f>IF(COUNTIF(AO965:AO966,TRUE)=0,"",BH964*AV973)</f>
        <v/>
      </c>
      <c r="BH964" s="384" t="str">
        <f>IF(COUNTIF(AO965:AO966,TRUE)=0,"",AV962*IF(AO965,1,AV964*AN966)*AV965*AV966)</f>
        <v/>
      </c>
      <c r="BI964" s="314"/>
      <c r="BJ964" s="314"/>
      <c r="BK964" s="314"/>
      <c r="BL964" s="314"/>
      <c r="BM964" s="314"/>
      <c r="BN964" s="314"/>
      <c r="BO964" s="314"/>
      <c r="BP964" s="314"/>
      <c r="BQ964" s="314"/>
      <c r="BR964" s="314"/>
      <c r="BS964" s="314"/>
      <c r="BT964" s="314"/>
      <c r="BU964" s="314"/>
      <c r="BV964" s="314"/>
      <c r="BW964" s="314"/>
      <c r="BX964" s="314"/>
      <c r="BY964" s="314"/>
      <c r="BZ964" s="314"/>
      <c r="CA964" s="314"/>
      <c r="CB964" s="314"/>
      <c r="CC964" s="314"/>
      <c r="CD964" s="314"/>
      <c r="CE964" s="314"/>
      <c r="CF964" s="314"/>
      <c r="CG964" s="314"/>
      <c r="CH964" s="314"/>
      <c r="CI964" s="314"/>
      <c r="CJ964" s="314"/>
      <c r="CK964" s="314"/>
      <c r="CL964" s="314"/>
      <c r="CM964" s="314"/>
      <c r="CN964" s="314"/>
      <c r="CO964" s="314"/>
      <c r="CP964" s="314"/>
      <c r="CQ964" s="369" t="b">
        <f>OR(CQ962,Y964=EUconst_NA)</f>
        <v>0</v>
      </c>
    </row>
    <row r="965" spans="1:95" ht="12.75" customHeight="1" thickBot="1" x14ac:dyDescent="0.3">
      <c r="A965" s="307"/>
      <c r="B965" s="68"/>
      <c r="C965" s="199" t="s">
        <v>14</v>
      </c>
      <c r="D965" s="344" t="str">
        <f>Translations!$B$358</f>
        <v>(prelim) EF:</v>
      </c>
      <c r="E965" s="345"/>
      <c r="F965" s="59"/>
      <c r="G965" s="1256" t="str">
        <f>IF(OR(ISBLANK(F965),F965=EUconst_NoTier),"",IF(Z965=0,EUconst_NotApplicable,IF(ISERROR(Z965),"",Z965)))</f>
        <v/>
      </c>
      <c r="H965" s="1260"/>
      <c r="I965" s="385" t="str">
        <f>IF(J965&lt;&gt;"","",AI965)</f>
        <v/>
      </c>
      <c r="J965" s="22"/>
      <c r="K965" s="386" t="str">
        <f>IF(L965="",AU965,"")</f>
        <v/>
      </c>
      <c r="L965" s="58"/>
      <c r="M965" s="347" t="str">
        <f>IF(AND(E957&lt;&gt;"",OR(F965="",COUNT(K965:L965)=0),Y965&lt;&gt;EUconst_NA),EUconst_ERR_Incomplete,IF(COUNTIF(BB965:BD965,TRUE)&gt;0,EUconst_ERR_Inconsistent,""))</f>
        <v/>
      </c>
      <c r="N965" s="387"/>
      <c r="O965" s="160"/>
      <c r="P965" s="109"/>
      <c r="Q965" s="312"/>
      <c r="R965" s="312"/>
      <c r="S965" s="314"/>
      <c r="T965" s="388" t="str">
        <f>EUconst_CNTR_EF&amp;E957</f>
        <v>EF_</v>
      </c>
      <c r="U965" s="312"/>
      <c r="V965" s="389" t="str">
        <f>V962</f>
        <v/>
      </c>
      <c r="W965" s="314"/>
      <c r="X965" s="312"/>
      <c r="Y965" s="390" t="str">
        <f>IF(E957="","",IF(OR(F965=EUconst_NA,W965=TRUE),EUconst_NA,INDEX(EUwideConstants!$P$164:$P$200,MATCH(T965,EUwideConstants!$S$164:$S$200,0))))</f>
        <v/>
      </c>
      <c r="Z965" s="391" t="str">
        <f>IF(ISBLANK(F965),"",IF(F965=EUconst_NA,"",INDEX(EUwideConstants!$H:$O,MATCH(T965,EUwideConstants!$S:$S,0),MATCH(F965,CNTR_TierList,0))))</f>
        <v/>
      </c>
      <c r="AA965" s="392" t="str">
        <f>IF(COUNTIF(EUconst_DefaultValues,Z965)&gt;0,MATCH(Z965,EUconst_DefaultValues,0),"")</f>
        <v/>
      </c>
      <c r="AB965" s="314"/>
      <c r="AC965" s="393" t="b">
        <f>AND(AC962,Y965&lt;&gt;EUconst_NA)</f>
        <v>0</v>
      </c>
      <c r="AD965" s="314"/>
      <c r="AE965" s="394" t="str">
        <f>EUconst_CNTR_EF&amp;EUconst_Unit</f>
        <v>EF_Unit</v>
      </c>
      <c r="AF965" s="395" t="str">
        <f>IF(AC965=TRUE, IF(COUNTIF(MSPara_SourceStreamCategory,V965)=0,"",INDEX(MSPara_CalcFactorsMatrix,MATCH(V965,MSPara_SourceStreamCategory,0),MATCH(AE965&amp;"_"&amp;2,MSPara_CalcFactors,0))),"")</f>
        <v/>
      </c>
      <c r="AG965" s="396" t="str">
        <f>IF(AC965=TRUE, IF(COUNTIF(MSPara_SourceStreamCategory,V965)=0,"",INDEX(MSPara_CalcFactorsMatrix,MATCH(V965,MSPara_SourceStreamCategory,0),MATCH(AE965&amp;"_"&amp;1,MSPara_CalcFactors,0))),"")</f>
        <v/>
      </c>
      <c r="AH965" s="397" t="str">
        <f>IF(AA965="","",INDEX(AF965:AG965,3-AA965))</f>
        <v/>
      </c>
      <c r="AI965" s="397" t="str">
        <f>IF(AC965=TRUE,IF(OR(AH965="",AH965=EUconst_NA),EUconst_tCO2&amp;"/"&amp;IF(AN964=EUconst_NA,AN962,IF(AN964=EUconst_GJ,EUconst_TJ,AN964)),AH965),"")</f>
        <v/>
      </c>
      <c r="AJ965" s="397" t="str">
        <f>IF(J965="",AI965,J965)</f>
        <v/>
      </c>
      <c r="AK965" s="398" t="b">
        <f>AND(E957&lt;&gt;"",J965&lt;&gt;"")</f>
        <v>0</v>
      </c>
      <c r="AL965" s="326"/>
      <c r="AM965" s="358" t="s">
        <v>153</v>
      </c>
      <c r="AN965" s="359" t="str">
        <f>IF(COUNTIF(RFAUnits,AN962)=0,EUconst_NA,INDEX(EUwideConstants!$C$150:$H$154,MATCH(AJ965,EFUnits,0),MATCH(AN962,EUwideConstants!$C$149:$H$149,0)))</f>
        <v>n.a.</v>
      </c>
      <c r="AO965" s="359" t="b">
        <f>AN965&lt;&gt;EUconst_NA</f>
        <v>0</v>
      </c>
      <c r="AP965" s="326"/>
      <c r="AQ965" s="399" t="str">
        <f>EUconst_CNTR_EF&amp;EUconst_Value</f>
        <v>EF_Value</v>
      </c>
      <c r="AR965" s="400" t="str">
        <f>IF(AC965=TRUE,IF(COUNTIF(MSPara_SourceStreamCategory,V965)=0,"",INDEX(MSPara_CalcFactorsMatrix,MATCH(V965,MSPara_SourceStreamCategory,0),MATCH(AQ965&amp;"_"&amp;2,MSPara_CalcFactors,0))),"")</f>
        <v/>
      </c>
      <c r="AS965" s="401" t="str">
        <f>IF(AC965=TRUE,IF(COUNTIF(MSPara_SourceStreamCategory,V965)=0,"",INDEX(MSPara_CalcFactorsMatrix,MATCH(V965,MSPara_SourceStreamCategory,0),MATCH(AQ965&amp;"_"&amp;1,MSPara_CalcFactors,0))),"")</f>
        <v/>
      </c>
      <c r="AT965" s="402" t="b">
        <f>AND(AND(AH965&lt;&gt;"",AJ965&lt;&gt;""),AJ965=AH965)</f>
        <v>0</v>
      </c>
      <c r="AU965" s="403" t="str">
        <f>IF(AND(AA965&lt;&gt;"",AT965=TRUE),IF(OR(INDEX(AR965:AS965,3-AA965)=EUconst_NA,INDEX(AR965:AS965,3-AA965)=0),"",INDEX(AR965:AS965,3-AA965)),"")</f>
        <v/>
      </c>
      <c r="AV965" s="393">
        <f>IF(AC965=TRUE,IF(COUNT(K965:L965)=0,0,IF(L965="",K965,L965)),0)</f>
        <v>0</v>
      </c>
      <c r="AW965" s="389" t="b">
        <f t="shared" si="288"/>
        <v>0</v>
      </c>
      <c r="AX965" s="404" t="b">
        <f t="shared" si="289"/>
        <v>0</v>
      </c>
      <c r="AY965" s="314"/>
      <c r="AZ965" s="405" t="b">
        <f t="shared" si="290"/>
        <v>0</v>
      </c>
      <c r="BA965" s="406" t="b">
        <f t="shared" si="291"/>
        <v>0</v>
      </c>
      <c r="BB965" s="407" t="b">
        <f>AND(E957&lt;&gt;"",COUNTIF(AO965:AO966,TRUE)=0)</f>
        <v>0</v>
      </c>
      <c r="BC965" s="389" t="b">
        <f t="shared" si="292"/>
        <v>0</v>
      </c>
      <c r="BD965" s="314"/>
      <c r="BE965" s="314"/>
      <c r="BF965" s="408" t="s">
        <v>154</v>
      </c>
      <c r="BG965" s="409" t="str">
        <f>IF(COUNTIF(AO965:AO966,TRUE)=0,"",BH965*AV973)</f>
        <v/>
      </c>
      <c r="BH965" s="409" t="str">
        <f>IF(COUNTIF(AO965:AO966,TRUE)=0,"",AV962*IF(AO965,1,AV964*AN966)*AV965*AV967)</f>
        <v/>
      </c>
      <c r="BI965" s="314"/>
      <c r="BJ965" s="314"/>
      <c r="BK965" s="314"/>
      <c r="BL965" s="314"/>
      <c r="BM965" s="314"/>
      <c r="BN965" s="314"/>
      <c r="BO965" s="314"/>
      <c r="BP965" s="314"/>
      <c r="BQ965" s="314"/>
      <c r="BR965" s="314"/>
      <c r="BS965" s="314"/>
      <c r="BT965" s="314"/>
      <c r="BU965" s="314"/>
      <c r="BV965" s="314"/>
      <c r="BW965" s="314"/>
      <c r="BX965" s="314"/>
      <c r="BY965" s="314"/>
      <c r="BZ965" s="314"/>
      <c r="CA965" s="314"/>
      <c r="CB965" s="314"/>
      <c r="CC965" s="314"/>
      <c r="CD965" s="314"/>
      <c r="CE965" s="314"/>
      <c r="CF965" s="314"/>
      <c r="CG965" s="314"/>
      <c r="CH965" s="314"/>
      <c r="CI965" s="314"/>
      <c r="CJ965" s="314"/>
      <c r="CK965" s="314"/>
      <c r="CL965" s="314"/>
      <c r="CM965" s="314"/>
      <c r="CN965" s="314"/>
      <c r="CO965" s="314"/>
      <c r="CP965" s="314"/>
      <c r="CQ965" s="407" t="b">
        <f>OR(CQ962,Y965=EUconst_NA)</f>
        <v>0</v>
      </c>
    </row>
    <row r="966" spans="1:95" ht="12.75" customHeight="1" x14ac:dyDescent="0.25">
      <c r="A966" s="307"/>
      <c r="B966" s="68"/>
      <c r="C966" s="199" t="s">
        <v>15</v>
      </c>
      <c r="D966" s="344" t="str">
        <f>Translations!$B$362</f>
        <v>BioF:</v>
      </c>
      <c r="E966" s="345"/>
      <c r="F966" s="10"/>
      <c r="G966" s="1256" t="str">
        <f>IF(OR(ISBLANK(F966),F966=EUconst_NoTier),"",IF(Z966=0,EUconst_NotApplicable,IF(ISERROR(Z966),"",Z966)))</f>
        <v/>
      </c>
      <c r="H966" s="1257"/>
      <c r="I966" s="410" t="str">
        <f t="shared" ref="I966:I971" si="293">IF(OR(AC966=FALSE,Y966=EUconst_NA),"","-")</f>
        <v/>
      </c>
      <c r="J966" s="411"/>
      <c r="K966" s="412" t="str">
        <f>IF(L966="",AU966,"")</f>
        <v/>
      </c>
      <c r="L966" s="60"/>
      <c r="M966" s="347" t="str">
        <f>IF(AND(E957&lt;&gt;"",OR(F966="",COUNT(K966:L966)=0),Y966&lt;&gt;EUconst_NA),EUconst_ERR_Incomplete,IF(COUNTIF(BB966:BD966,TRUE)&gt;0,EUconst_ERR_Inconsistent,""))</f>
        <v/>
      </c>
      <c r="O966" s="160"/>
      <c r="P966" s="348"/>
      <c r="Q966" s="413"/>
      <c r="R966" s="413"/>
      <c r="S966" s="314"/>
      <c r="T966" s="388" t="str">
        <f>EUconst_CNTR_BiomassContent&amp;E957</f>
        <v>BioC_</v>
      </c>
      <c r="U966" s="312"/>
      <c r="V966" s="369" t="str">
        <f>V964</f>
        <v/>
      </c>
      <c r="W966" s="369" t="str">
        <f>IF(OR(V966="",COUNTIF(MSPara_SourceStreamCategory,V966)=0),"",INDEX(MSPara_IsFossil,MATCH(V966,MSPara_SourceStreamCategory,0)))</f>
        <v/>
      </c>
      <c r="X966" s="312"/>
      <c r="Y966" s="370" t="str">
        <f>IF(E957="","",IF(OR(F966=EUconst_NA,W966=TRUE),EUconst_NA,INDEX(EUwideConstants!$P$164:$P$200,MATCH(T966,EUwideConstants!$S$164:$S$200,0))))</f>
        <v/>
      </c>
      <c r="Z966" s="371" t="str">
        <f>IF(ISBLANK(F966),"",IF(F966=EUconst_NA,"",INDEX(EUwideConstants!$H:$O,MATCH(T966,EUwideConstants!$S:$S,0),MATCH(F966,CNTR_TierList,0))))</f>
        <v/>
      </c>
      <c r="AA966" s="414" t="str">
        <f>IF(F966=1,1,"")</f>
        <v/>
      </c>
      <c r="AB966" s="314"/>
      <c r="AC966" s="373" t="b">
        <f>AND(AC962,Y966&lt;&gt;EUconst_NA)</f>
        <v>0</v>
      </c>
      <c r="AD966" s="314"/>
      <c r="AE966" s="415"/>
      <c r="AF966" s="416"/>
      <c r="AG966" s="417"/>
      <c r="AH966" s="418"/>
      <c r="AI966" s="418"/>
      <c r="AJ966" s="418"/>
      <c r="AK966" s="419"/>
      <c r="AL966" s="326"/>
      <c r="AM966" s="358" t="s">
        <v>155</v>
      </c>
      <c r="AN966" s="359" t="str">
        <f>IF(AN964=EUconst_NA,EUconst_NA,INDEX(EUwideConstants!$C$150:$H$154,MATCH(AJ965,EFUnits,0),MATCH(AN964,EUwideConstants!$C$149:$H$149,0)))</f>
        <v>n.a.</v>
      </c>
      <c r="AO966" s="359" t="b">
        <f>AN966&lt;&gt;EUconst_NA</f>
        <v>0</v>
      </c>
      <c r="AP966" s="326"/>
      <c r="AQ966" s="376" t="str">
        <f>EUconst_CNTR_BiomassContent&amp;EUconst_Value</f>
        <v>BioC_Value</v>
      </c>
      <c r="AR966" s="420"/>
      <c r="AS966" s="378" t="str">
        <f t="shared" ref="AS966:AS971" si="294">IF(AC966=TRUE,IF(COUNTIF(MSPara_SourceStreamCategory,V966)=0,"",INDEX(MSPara_CalcFactorsMatrix,MATCH(V966,MSPara_SourceStreamCategory,0),MATCH(AQ966&amp;"_"&amp;2,MSPara_CalcFactors,0))),"")</f>
        <v/>
      </c>
      <c r="AT966" s="421"/>
      <c r="AU966" s="380" t="str">
        <f t="shared" ref="AU966:AU971" si="295">IF(OR(AA966="",AS966=EUconst_NA),"",AS966)</f>
        <v/>
      </c>
      <c r="AV966" s="373">
        <f>IF(AC966=TRUE,IF(COUNT(K966:L966)=0,0,IF(L966="",K966,L966)),0)</f>
        <v>0</v>
      </c>
      <c r="AW966" s="369" t="b">
        <f t="shared" si="288"/>
        <v>0</v>
      </c>
      <c r="AX966" s="381" t="b">
        <f t="shared" si="289"/>
        <v>0</v>
      </c>
      <c r="AY966" s="314"/>
      <c r="AZ966" s="382" t="b">
        <f t="shared" si="290"/>
        <v>0</v>
      </c>
      <c r="BA966" s="383" t="b">
        <f t="shared" si="291"/>
        <v>0</v>
      </c>
      <c r="BB966" s="314"/>
      <c r="BC966" s="369" t="b">
        <f t="shared" si="292"/>
        <v>0</v>
      </c>
      <c r="BD966" s="369" t="b">
        <f>OR(AV966&gt;100%,(AV966+AV967)&gt;100%)</f>
        <v>0</v>
      </c>
      <c r="BE966" s="314"/>
      <c r="BF966" s="382" t="s">
        <v>156</v>
      </c>
      <c r="BG966" s="384" t="str">
        <f>IF(COUNTIF(AO965:AO966,TRUE)=0,"",BH966*AV973)</f>
        <v/>
      </c>
      <c r="BH966" s="384" t="str">
        <f>IF(COUNTIF(AO965:AO966,TRUE)=0,"",AV962*IF(AO965,1,AV964*AN966)*AV965*AV968)</f>
        <v/>
      </c>
      <c r="BJ966" s="314"/>
      <c r="BK966" s="314"/>
      <c r="BL966" s="314"/>
      <c r="BM966" s="314"/>
      <c r="BN966" s="314"/>
      <c r="BO966" s="314"/>
      <c r="BP966" s="314"/>
      <c r="BQ966" s="314"/>
      <c r="BR966" s="314"/>
      <c r="BS966" s="314"/>
      <c r="BT966" s="314"/>
      <c r="BU966" s="314"/>
      <c r="BV966" s="314"/>
      <c r="BW966" s="314"/>
      <c r="BX966" s="314"/>
      <c r="BY966" s="314"/>
      <c r="BZ966" s="314"/>
      <c r="CA966" s="314"/>
      <c r="CB966" s="314"/>
      <c r="CC966" s="314"/>
      <c r="CD966" s="314"/>
      <c r="CE966" s="314"/>
      <c r="CF966" s="314"/>
      <c r="CG966" s="314"/>
      <c r="CH966" s="314"/>
      <c r="CI966" s="314"/>
      <c r="CJ966" s="314"/>
      <c r="CK966" s="314"/>
      <c r="CL966" s="314"/>
      <c r="CM966" s="314"/>
      <c r="CN966" s="314"/>
      <c r="CO966" s="314"/>
      <c r="CP966" s="314"/>
      <c r="CQ966" s="369" t="b">
        <f>OR(CQ962,Y966=EUconst_NA)</f>
        <v>0</v>
      </c>
    </row>
    <row r="967" spans="1:95" ht="12.75" customHeight="1" thickBot="1" x14ac:dyDescent="0.3">
      <c r="A967" s="307"/>
      <c r="B967" s="68"/>
      <c r="C967" s="199" t="s">
        <v>16</v>
      </c>
      <c r="D967" s="344" t="str">
        <f>Translations!$B$368</f>
        <v>non-sust. BioF:</v>
      </c>
      <c r="E967" s="345"/>
      <c r="F967" s="20"/>
      <c r="G967" s="1256" t="str">
        <f>IF(OR(ISBLANK(F967),F967=EUconst_NoTier),"",IF(Z967=0,EUconst_NotApplicable,IF(ISERROR(Z967),"",Z967)))</f>
        <v/>
      </c>
      <c r="H967" s="1257"/>
      <c r="I967" s="422" t="str">
        <f t="shared" si="293"/>
        <v/>
      </c>
      <c r="J967" s="423"/>
      <c r="K967" s="424" t="str">
        <f>IF(L967="",AU967,"")</f>
        <v/>
      </c>
      <c r="L967" s="21"/>
      <c r="M967" s="347" t="str">
        <f>IF(AND(E957&lt;&gt;"",OR(F967="",COUNT(K967:L967)=0),Y967&lt;&gt;EUconst_NA),EUconst_ERR_Incomplete,IF(COUNTIF(BB967:BD967,TRUE)&gt;0,EUconst_ERR_Inconsistent,""))</f>
        <v/>
      </c>
      <c r="N967" s="76"/>
      <c r="O967" s="160"/>
      <c r="P967" s="348"/>
      <c r="Q967" s="413"/>
      <c r="R967" s="413"/>
      <c r="S967" s="314"/>
      <c r="T967" s="425" t="str">
        <f>EUconst_CNTR_BiomassContent&amp;E957</f>
        <v>BioC_</v>
      </c>
      <c r="U967" s="312"/>
      <c r="V967" s="407" t="str">
        <f>V966</f>
        <v/>
      </c>
      <c r="W967" s="407" t="str">
        <f>IF(OR(V966="",COUNTIF(MSPara_SourceStreamCategory,V967)=0),"",INDEX(MSPara_IsFossil,MATCH(V967,MSPara_SourceStreamCategory,0)))</f>
        <v/>
      </c>
      <c r="X967" s="312"/>
      <c r="Y967" s="426" t="str">
        <f>IF(E957="","",IF(OR(F967=EUconst_NA,W967=TRUE),EUconst_NA,INDEX(EUwideConstants!$P$164:$P$200,MATCH(T967,EUwideConstants!$S$164:$S$200,0))))</f>
        <v/>
      </c>
      <c r="Z967" s="427" t="str">
        <f>IF(ISBLANK(F967),"",IF(F967=EUconst_NA,"",INDEX(EUwideConstants!$H:$O,MATCH(T967,EUwideConstants!$S:$S,0),MATCH(F967,CNTR_TierList,0))))</f>
        <v/>
      </c>
      <c r="AA967" s="428" t="str">
        <f>IF(F967=1,1,"")</f>
        <v/>
      </c>
      <c r="AB967" s="314"/>
      <c r="AC967" s="429" t="b">
        <f>AND(AC962,Y967&lt;&gt;EUconst_NA)</f>
        <v>0</v>
      </c>
      <c r="AD967" s="314"/>
      <c r="AE967" s="430"/>
      <c r="AF967" s="431"/>
      <c r="AG967" s="432"/>
      <c r="AH967" s="433"/>
      <c r="AI967" s="433"/>
      <c r="AJ967" s="433"/>
      <c r="AK967" s="434"/>
      <c r="AL967" s="326"/>
      <c r="AM967" s="326"/>
      <c r="AN967" s="326"/>
      <c r="AO967" s="326"/>
      <c r="AP967" s="326"/>
      <c r="AQ967" s="435" t="str">
        <f>EUconst_CNTR_BiomassContent&amp;EUconst_Value</f>
        <v>BioC_Value</v>
      </c>
      <c r="AR967" s="430"/>
      <c r="AS967" s="436" t="str">
        <f t="shared" si="294"/>
        <v/>
      </c>
      <c r="AT967" s="437"/>
      <c r="AU967" s="438" t="str">
        <f t="shared" si="295"/>
        <v/>
      </c>
      <c r="AV967" s="429">
        <f>IF(AC967=TRUE,IF(COUNT(K967:L967)=0,0,IF(L967="",K967,L967)),0)</f>
        <v>0</v>
      </c>
      <c r="AW967" s="407" t="b">
        <f t="shared" si="288"/>
        <v>0</v>
      </c>
      <c r="AX967" s="439" t="b">
        <f t="shared" si="289"/>
        <v>0</v>
      </c>
      <c r="AY967" s="314"/>
      <c r="AZ967" s="408" t="b">
        <f t="shared" si="290"/>
        <v>0</v>
      </c>
      <c r="BA967" s="440" t="b">
        <f t="shared" si="291"/>
        <v>0</v>
      </c>
      <c r="BB967" s="314"/>
      <c r="BC967" s="407" t="b">
        <f t="shared" si="292"/>
        <v>0</v>
      </c>
      <c r="BD967" s="407" t="b">
        <f>OR(AV966&gt;100%,(AV966+AV967)&gt;100%)</f>
        <v>0</v>
      </c>
      <c r="BE967" s="314"/>
      <c r="BF967" s="408" t="s">
        <v>157</v>
      </c>
      <c r="BG967" s="409" t="str">
        <f>IF(COUNTIF(AO965:AO966,TRUE)=0,"",BH967*AV973)</f>
        <v/>
      </c>
      <c r="BH967" s="409" t="str">
        <f>IF(COUNTIF(AO965:AO966,TRUE)=0,"",AV962*IF(AO965,1,AV964*AN966)*AV965*AV969)</f>
        <v/>
      </c>
      <c r="BJ967" s="314"/>
      <c r="BK967" s="314"/>
      <c r="BL967" s="314"/>
      <c r="BM967" s="314"/>
      <c r="BN967" s="314"/>
      <c r="BO967" s="314"/>
      <c r="BP967" s="314"/>
      <c r="BQ967" s="314"/>
      <c r="BR967" s="314"/>
      <c r="BS967" s="314"/>
      <c r="BT967" s="314"/>
      <c r="BU967" s="314"/>
      <c r="BV967" s="314"/>
      <c r="BW967" s="314"/>
      <c r="BX967" s="314"/>
      <c r="BY967" s="314"/>
      <c r="BZ967" s="314"/>
      <c r="CA967" s="314"/>
      <c r="CB967" s="314"/>
      <c r="CC967" s="314"/>
      <c r="CD967" s="314"/>
      <c r="CE967" s="314"/>
      <c r="CF967" s="314"/>
      <c r="CG967" s="314"/>
      <c r="CH967" s="314"/>
      <c r="CI967" s="314"/>
      <c r="CJ967" s="314"/>
      <c r="CK967" s="314"/>
      <c r="CL967" s="314"/>
      <c r="CM967" s="314"/>
      <c r="CN967" s="314"/>
      <c r="CO967" s="314"/>
      <c r="CP967" s="314"/>
      <c r="CQ967" s="407" t="b">
        <f>OR(CQ962,Y967=EUconst_NA)</f>
        <v>0</v>
      </c>
    </row>
    <row r="968" spans="1:95" ht="12.75" customHeight="1" thickBot="1" x14ac:dyDescent="0.3">
      <c r="A968" s="307"/>
      <c r="B968" s="68"/>
      <c r="C968" s="199" t="s">
        <v>17</v>
      </c>
      <c r="D968" s="344" t="str">
        <f>Translations!$B$610</f>
        <v>sust. RFNBO/RCF:</v>
      </c>
      <c r="E968" s="441"/>
      <c r="F968" s="19" t="s">
        <v>158</v>
      </c>
      <c r="G968" s="1261"/>
      <c r="H968" s="1262"/>
      <c r="I968" s="442" t="str">
        <f t="shared" si="293"/>
        <v/>
      </c>
      <c r="J968" s="411"/>
      <c r="K968" s="443"/>
      <c r="L968" s="55"/>
      <c r="M968" s="347" t="str">
        <f>IF(AND(E957&lt;&gt;"",OR(F968="",COUNT(L968)=0),Y968&lt;&gt;EUconst_NA),EUconst_ERR_Incomplete,"")</f>
        <v/>
      </c>
      <c r="N968" s="76"/>
      <c r="O968" s="160"/>
      <c r="P968" s="348"/>
      <c r="Q968" s="413"/>
      <c r="R968" s="413"/>
      <c r="S968" s="314"/>
      <c r="T968" s="388" t="str">
        <f>EUconst_CNTR_RFNBOetcContent&amp;E957</f>
        <v>RNFBOC_</v>
      </c>
      <c r="U968" s="312"/>
      <c r="V968" s="312"/>
      <c r="W968" s="312"/>
      <c r="X968" s="312"/>
      <c r="Y968" s="380" t="str">
        <f>IF(E957="","",IF(OR(F968=EUconst_NA,W968=TRUE),EUconst_NA,INDEX(EUwideConstants!$P$164:$P$200,MATCH(T968,EUwideConstants!$S$164:$S$200,0))))</f>
        <v/>
      </c>
      <c r="Z968" s="314"/>
      <c r="AA968" s="314"/>
      <c r="AB968" s="314"/>
      <c r="AC968" s="397" t="b">
        <f>AND(AC964,Y968&lt;&gt;EUconst_NA)</f>
        <v>0</v>
      </c>
      <c r="AD968" s="314"/>
      <c r="AE968" s="415"/>
      <c r="AF968" s="416"/>
      <c r="AG968" s="417"/>
      <c r="AH968" s="418"/>
      <c r="AI968" s="418"/>
      <c r="AJ968" s="418"/>
      <c r="AK968" s="419"/>
      <c r="AL968" s="326"/>
      <c r="AM968" s="326"/>
      <c r="AN968" s="326"/>
      <c r="AO968" s="326"/>
      <c r="AP968" s="326"/>
      <c r="AQ968" s="444" t="s">
        <v>159</v>
      </c>
      <c r="AR968" s="415"/>
      <c r="AS968" s="445" t="str">
        <f t="shared" si="294"/>
        <v/>
      </c>
      <c r="AT968" s="446"/>
      <c r="AU968" s="447" t="str">
        <f t="shared" si="295"/>
        <v/>
      </c>
      <c r="AV968" s="397">
        <f>IF(L968&lt;&gt;0,L968,L968)</f>
        <v>0</v>
      </c>
      <c r="AW968" s="398" t="b">
        <f t="shared" si="288"/>
        <v>0</v>
      </c>
      <c r="AX968" s="448" t="b">
        <f t="shared" si="289"/>
        <v>0</v>
      </c>
      <c r="AY968" s="314"/>
      <c r="AZ968" s="449" t="b">
        <f t="shared" si="290"/>
        <v>0</v>
      </c>
      <c r="BA968" s="450" t="b">
        <f t="shared" si="291"/>
        <v>0</v>
      </c>
      <c r="BB968" s="314"/>
      <c r="BC968" s="398" t="b">
        <f t="shared" si="292"/>
        <v>0</v>
      </c>
      <c r="BD968" s="369" t="b">
        <f>OR(AV968&gt;100%,(AV968+AV969)&gt;100%)</f>
        <v>0</v>
      </c>
      <c r="BE968" s="314"/>
      <c r="BF968" s="451" t="s">
        <v>160</v>
      </c>
      <c r="BG968" s="452" t="str">
        <f>IF(COUNTIF(AO965:AO966,TRUE)=0,"",BH968*AV973)</f>
        <v/>
      </c>
      <c r="BH968" s="452" t="str">
        <f>IF(COUNTIF(AO965:AO966,TRUE)=0,"",AV962*IF(AO965,1,AV964*AN966)*AV965*AV970)</f>
        <v/>
      </c>
      <c r="BJ968" s="314"/>
      <c r="BK968" s="314"/>
      <c r="BL968" s="314"/>
      <c r="BM968" s="314"/>
      <c r="BN968" s="314"/>
      <c r="BO968" s="314"/>
      <c r="BP968" s="314"/>
      <c r="BQ968" s="314"/>
      <c r="BR968" s="314"/>
      <c r="BS968" s="314"/>
      <c r="BT968" s="314"/>
      <c r="BU968" s="314"/>
      <c r="BV968" s="314"/>
      <c r="BW968" s="314"/>
      <c r="BX968" s="314"/>
      <c r="BY968" s="314"/>
      <c r="BZ968" s="314"/>
      <c r="CA968" s="314"/>
      <c r="CB968" s="314"/>
      <c r="CC968" s="314"/>
      <c r="CD968" s="314"/>
      <c r="CE968" s="314"/>
      <c r="CF968" s="314"/>
      <c r="CG968" s="314"/>
      <c r="CH968" s="314"/>
      <c r="CI968" s="314"/>
      <c r="CJ968" s="314"/>
      <c r="CK968" s="314"/>
      <c r="CL968" s="314"/>
      <c r="CM968" s="314"/>
      <c r="CN968" s="314"/>
      <c r="CO968" s="314"/>
      <c r="CP968" s="314"/>
      <c r="CQ968" s="407" t="b">
        <f>OR(CQ962,Y968=EUconst_NA)</f>
        <v>0</v>
      </c>
    </row>
    <row r="969" spans="1:95" ht="12.75" customHeight="1" thickBot="1" x14ac:dyDescent="0.3">
      <c r="A969" s="307"/>
      <c r="B969" s="68"/>
      <c r="C969" s="199" t="s">
        <v>161</v>
      </c>
      <c r="D969" s="344" t="str">
        <f>Translations!$B$613</f>
        <v>non-sust. RFNBO/RCF:</v>
      </c>
      <c r="E969" s="441"/>
      <c r="F969" s="20" t="s">
        <v>158</v>
      </c>
      <c r="G969" s="1261"/>
      <c r="H969" s="1262"/>
      <c r="I969" s="422" t="str">
        <f t="shared" si="293"/>
        <v/>
      </c>
      <c r="J969" s="423"/>
      <c r="K969" s="443"/>
      <c r="L969" s="56"/>
      <c r="M969" s="347" t="str">
        <f>IF(AND(E957&lt;&gt;"",OR(F969="",COUNT(L969)=0),Y969&lt;&gt;EUconst_NA),EUconst_ERR_Incomplete,"")</f>
        <v/>
      </c>
      <c r="N969" s="76"/>
      <c r="O969" s="160"/>
      <c r="P969" s="348"/>
      <c r="Q969" s="413"/>
      <c r="R969" s="413"/>
      <c r="S969" s="314"/>
      <c r="T969" s="425" t="str">
        <f>EUconst_CNTR_RFNBOetcContent&amp;E957</f>
        <v>RNFBOC_</v>
      </c>
      <c r="U969" s="312"/>
      <c r="V969" s="312"/>
      <c r="W969" s="312"/>
      <c r="X969" s="312"/>
      <c r="Y969" s="438" t="str">
        <f>IF(E957="","",IF(OR(F969=EUconst_NA,W969=TRUE),EUconst_NA,INDEX(EUwideConstants!$P$164:$P$200,MATCH(T969,EUwideConstants!$S$164:$S$200,0))))</f>
        <v/>
      </c>
      <c r="Z969" s="314"/>
      <c r="AA969" s="314"/>
      <c r="AB969" s="314"/>
      <c r="AC969" s="429" t="b">
        <f>AND(AC964,Y969&lt;&gt;EUconst_NA)</f>
        <v>0</v>
      </c>
      <c r="AD969" s="314"/>
      <c r="AE969" s="430"/>
      <c r="AF969" s="431"/>
      <c r="AG969" s="432"/>
      <c r="AH969" s="433"/>
      <c r="AI969" s="433"/>
      <c r="AJ969" s="433"/>
      <c r="AK969" s="434"/>
      <c r="AL969" s="326"/>
      <c r="AM969" s="326"/>
      <c r="AN969" s="326"/>
      <c r="AO969" s="326"/>
      <c r="AP969" s="326"/>
      <c r="AQ969" s="435" t="s">
        <v>159</v>
      </c>
      <c r="AR969" s="430"/>
      <c r="AS969" s="436" t="str">
        <f t="shared" si="294"/>
        <v/>
      </c>
      <c r="AT969" s="437"/>
      <c r="AU969" s="438" t="str">
        <f t="shared" si="295"/>
        <v/>
      </c>
      <c r="AV969" s="429">
        <f t="shared" ref="AV969:AV971" si="296">IF(L969&lt;&gt;0,L969,L969)</f>
        <v>0</v>
      </c>
      <c r="AW969" s="407" t="b">
        <f t="shared" si="288"/>
        <v>0</v>
      </c>
      <c r="AX969" s="439" t="b">
        <f t="shared" si="289"/>
        <v>0</v>
      </c>
      <c r="AY969" s="314"/>
      <c r="AZ969" s="408" t="b">
        <f t="shared" si="290"/>
        <v>0</v>
      </c>
      <c r="BA969" s="440" t="b">
        <f t="shared" si="291"/>
        <v>0</v>
      </c>
      <c r="BB969" s="314"/>
      <c r="BC969" s="407" t="b">
        <f t="shared" si="292"/>
        <v>0</v>
      </c>
      <c r="BD969" s="407" t="b">
        <f>OR(AV968&gt;100%,(AV968+AV969)&gt;100%)</f>
        <v>0</v>
      </c>
      <c r="BE969" s="314"/>
      <c r="BF969" s="408" t="s">
        <v>162</v>
      </c>
      <c r="BG969" s="409" t="str">
        <f>IF(COUNTIF(AO965:AO966,TRUE)=0,"",BH969*AV973)</f>
        <v/>
      </c>
      <c r="BH969" s="409" t="str">
        <f>IF(COUNTIF(AO965:AO966,TRUE)=0,"",AV962*IF(AO965,1,AV964*AN966)*AV965*AV971)</f>
        <v/>
      </c>
      <c r="BJ969" s="314"/>
      <c r="BK969" s="314"/>
      <c r="BL969" s="314"/>
      <c r="BM969" s="314"/>
      <c r="BN969" s="314"/>
      <c r="BO969" s="314"/>
      <c r="BP969" s="314"/>
      <c r="BQ969" s="314"/>
      <c r="BR969" s="314"/>
      <c r="BS969" s="314"/>
      <c r="BT969" s="314"/>
      <c r="BU969" s="314"/>
      <c r="BV969" s="314"/>
      <c r="BW969" s="314"/>
      <c r="BX969" s="314"/>
      <c r="BY969" s="314"/>
      <c r="BZ969" s="314"/>
      <c r="CA969" s="314"/>
      <c r="CB969" s="314"/>
      <c r="CC969" s="314"/>
      <c r="CD969" s="314"/>
      <c r="CE969" s="314"/>
      <c r="CF969" s="314"/>
      <c r="CG969" s="314"/>
      <c r="CH969" s="314"/>
      <c r="CI969" s="314"/>
      <c r="CJ969" s="314"/>
      <c r="CK969" s="314"/>
      <c r="CL969" s="314"/>
      <c r="CM969" s="314"/>
      <c r="CN969" s="314"/>
      <c r="CO969" s="314"/>
      <c r="CP969" s="314"/>
      <c r="CQ969" s="407" t="b">
        <f>OR(CQ962,Y969=EUconst_NA)</f>
        <v>0</v>
      </c>
    </row>
    <row r="970" spans="1:95" ht="12.75" customHeight="1" thickBot="1" x14ac:dyDescent="0.3">
      <c r="A970" s="307"/>
      <c r="B970" s="68"/>
      <c r="C970" s="199" t="s">
        <v>163</v>
      </c>
      <c r="D970" s="344" t="str">
        <f>Translations!$B$615</f>
        <v>sust. SLCF:</v>
      </c>
      <c r="E970" s="441"/>
      <c r="F970" s="19" t="s">
        <v>158</v>
      </c>
      <c r="G970" s="1261"/>
      <c r="H970" s="1262"/>
      <c r="I970" s="442" t="str">
        <f t="shared" si="293"/>
        <v/>
      </c>
      <c r="J970" s="411"/>
      <c r="K970" s="443"/>
      <c r="L970" s="57"/>
      <c r="M970" s="347" t="str">
        <f>IF(AND(E957&lt;&gt;"",OR(F970="",COUNT(L970)=0),Y970&lt;&gt;EUconst_NA),EUconst_ERR_Incomplete,"")</f>
        <v/>
      </c>
      <c r="N970" s="76"/>
      <c r="O970" s="160"/>
      <c r="P970" s="348"/>
      <c r="Q970" s="413"/>
      <c r="R970" s="413"/>
      <c r="S970" s="314"/>
      <c r="T970" s="388" t="str">
        <f>EUconst_CNTR_RFNBOetcContent&amp;E957</f>
        <v>RNFBOC_</v>
      </c>
      <c r="U970" s="312"/>
      <c r="V970" s="312"/>
      <c r="W970" s="312"/>
      <c r="X970" s="312"/>
      <c r="Y970" s="447" t="str">
        <f>IF(E957="","",IF(OR(F970=EUconst_NA,W970=TRUE),EUconst_NA,INDEX(EUwideConstants!$P$164:$P$200,MATCH(T970,EUwideConstants!$S$164:$S$200,0))))</f>
        <v/>
      </c>
      <c r="Z970" s="314"/>
      <c r="AA970" s="314"/>
      <c r="AB970" s="314"/>
      <c r="AC970" s="397" t="b">
        <f>AND(AC966,Y970&lt;&gt;EUconst_NA)</f>
        <v>0</v>
      </c>
      <c r="AD970" s="314"/>
      <c r="AE970" s="415"/>
      <c r="AF970" s="416"/>
      <c r="AG970" s="417"/>
      <c r="AH970" s="418"/>
      <c r="AI970" s="418"/>
      <c r="AJ970" s="418"/>
      <c r="AK970" s="419"/>
      <c r="AL970" s="326"/>
      <c r="AM970" s="326"/>
      <c r="AN970" s="326"/>
      <c r="AO970" s="326"/>
      <c r="AP970" s="326"/>
      <c r="AQ970" s="444" t="s">
        <v>159</v>
      </c>
      <c r="AR970" s="415"/>
      <c r="AS970" s="445" t="str">
        <f t="shared" si="294"/>
        <v/>
      </c>
      <c r="AT970" s="446"/>
      <c r="AU970" s="447" t="str">
        <f t="shared" si="295"/>
        <v/>
      </c>
      <c r="AV970" s="397">
        <f t="shared" si="296"/>
        <v>0</v>
      </c>
      <c r="AW970" s="398" t="b">
        <f t="shared" si="288"/>
        <v>0</v>
      </c>
      <c r="AX970" s="448" t="b">
        <f t="shared" si="289"/>
        <v>0</v>
      </c>
      <c r="AY970" s="314"/>
      <c r="AZ970" s="449" t="b">
        <f t="shared" si="290"/>
        <v>0</v>
      </c>
      <c r="BA970" s="450" t="b">
        <f t="shared" si="291"/>
        <v>0</v>
      </c>
      <c r="BB970" s="314"/>
      <c r="BC970" s="398" t="b">
        <f t="shared" si="292"/>
        <v>0</v>
      </c>
      <c r="BD970" s="369" t="b">
        <f>OR(AV970&gt;100%,(AV970+AV971)&gt;100%)</f>
        <v>0</v>
      </c>
      <c r="BE970" s="314"/>
      <c r="BF970" s="451" t="s">
        <v>164</v>
      </c>
      <c r="BG970" s="452">
        <f>IF(AN962=EUconst_TJ,AV962*(1-AV966),IF(AN964=EUconst_GJ,AV962*AV964/1000,0))-SUM(BG971:BG977)</f>
        <v>0</v>
      </c>
      <c r="BH970" s="314"/>
      <c r="BI970" s="314"/>
      <c r="BJ970" s="314"/>
      <c r="BK970" s="314"/>
      <c r="BL970" s="314"/>
      <c r="BM970" s="314"/>
      <c r="BN970" s="314"/>
      <c r="BO970" s="314"/>
      <c r="BP970" s="314"/>
      <c r="BQ970" s="314"/>
      <c r="BR970" s="314"/>
      <c r="BS970" s="314"/>
      <c r="BT970" s="314"/>
      <c r="BU970" s="314"/>
      <c r="BV970" s="314"/>
      <c r="BW970" s="314"/>
      <c r="BX970" s="314"/>
      <c r="BY970" s="314"/>
      <c r="BZ970" s="314"/>
      <c r="CA970" s="314"/>
      <c r="CB970" s="314"/>
      <c r="CC970" s="314"/>
      <c r="CD970" s="314"/>
      <c r="CE970" s="314"/>
      <c r="CF970" s="314"/>
      <c r="CG970" s="314"/>
      <c r="CH970" s="314"/>
      <c r="CI970" s="314"/>
      <c r="CJ970" s="314"/>
      <c r="CK970" s="314"/>
      <c r="CL970" s="314"/>
      <c r="CM970" s="314"/>
      <c r="CN970" s="314"/>
      <c r="CO970" s="314"/>
      <c r="CP970" s="314"/>
      <c r="CQ970" s="407" t="b">
        <f>OR(CQ962,Y970=EUconst_NA)</f>
        <v>0</v>
      </c>
    </row>
    <row r="971" spans="1:95" ht="12.75" customHeight="1" thickBot="1" x14ac:dyDescent="0.3">
      <c r="A971" s="307"/>
      <c r="B971" s="68"/>
      <c r="C971" s="199" t="s">
        <v>165</v>
      </c>
      <c r="D971" s="344" t="str">
        <f>Translations!$B$618</f>
        <v>non-sust. SLCF:</v>
      </c>
      <c r="E971" s="441"/>
      <c r="F971" s="20" t="s">
        <v>158</v>
      </c>
      <c r="G971" s="1261"/>
      <c r="H971" s="1262"/>
      <c r="I971" s="422" t="str">
        <f t="shared" si="293"/>
        <v/>
      </c>
      <c r="J971" s="423"/>
      <c r="K971" s="443"/>
      <c r="L971" s="56"/>
      <c r="M971" s="347" t="str">
        <f>IF(AND(E957&lt;&gt;"",OR(F971="",COUNT(L971)=0),Y971&lt;&gt;EUconst_NA),EUconst_ERR_Incomplete,"")</f>
        <v/>
      </c>
      <c r="N971" s="76"/>
      <c r="O971" s="160"/>
      <c r="P971" s="348"/>
      <c r="Q971" s="413"/>
      <c r="R971" s="413"/>
      <c r="S971" s="314"/>
      <c r="T971" s="425" t="str">
        <f>EUconst_CNTR_RFNBOetcContent&amp;E957</f>
        <v>RNFBOC_</v>
      </c>
      <c r="U971" s="312"/>
      <c r="V971" s="312"/>
      <c r="W971" s="312"/>
      <c r="X971" s="312"/>
      <c r="Y971" s="438" t="str">
        <f>IF(E957="","",IF(OR(F971=EUconst_NA,W971=TRUE),EUconst_NA,INDEX(EUwideConstants!$P$164:$P$200,MATCH(T971,EUwideConstants!$S$164:$S$200,0))))</f>
        <v/>
      </c>
      <c r="Z971" s="314"/>
      <c r="AA971" s="314"/>
      <c r="AB971" s="314"/>
      <c r="AC971" s="429" t="b">
        <f>AND(AC966,Y971&lt;&gt;EUconst_NA)</f>
        <v>0</v>
      </c>
      <c r="AD971" s="314"/>
      <c r="AE971" s="430"/>
      <c r="AF971" s="431"/>
      <c r="AG971" s="432"/>
      <c r="AH971" s="433"/>
      <c r="AI971" s="433"/>
      <c r="AJ971" s="433"/>
      <c r="AK971" s="434"/>
      <c r="AL971" s="326"/>
      <c r="AM971" s="326"/>
      <c r="AN971" s="326"/>
      <c r="AO971" s="326"/>
      <c r="AP971" s="326"/>
      <c r="AQ971" s="435" t="s">
        <v>159</v>
      </c>
      <c r="AR971" s="430"/>
      <c r="AS971" s="436" t="str">
        <f t="shared" si="294"/>
        <v/>
      </c>
      <c r="AT971" s="437"/>
      <c r="AU971" s="438" t="str">
        <f t="shared" si="295"/>
        <v/>
      </c>
      <c r="AV971" s="429">
        <f t="shared" si="296"/>
        <v>0</v>
      </c>
      <c r="AW971" s="407" t="b">
        <f t="shared" si="288"/>
        <v>0</v>
      </c>
      <c r="AX971" s="439" t="b">
        <f t="shared" si="289"/>
        <v>0</v>
      </c>
      <c r="AY971" s="314"/>
      <c r="AZ971" s="408" t="b">
        <f t="shared" si="290"/>
        <v>0</v>
      </c>
      <c r="BA971" s="440" t="b">
        <f t="shared" si="291"/>
        <v>0</v>
      </c>
      <c r="BB971" s="314"/>
      <c r="BC971" s="407" t="b">
        <f t="shared" si="292"/>
        <v>0</v>
      </c>
      <c r="BD971" s="407" t="b">
        <f>OR(AV970&gt;100%,(AV970+AV971)&gt;100%)</f>
        <v>0</v>
      </c>
      <c r="BE971" s="314"/>
      <c r="BF971" s="408" t="s">
        <v>166</v>
      </c>
      <c r="BG971" s="409" t="str">
        <f>IF(AN962=EUconst_TJ,AV962*AV966,IF(AN964=EUconst_GJ,AV962*AV964/1000*AV966,""))</f>
        <v/>
      </c>
      <c r="BH971" s="314"/>
      <c r="BI971" s="314"/>
      <c r="BJ971" s="314"/>
      <c r="BK971" s="314"/>
      <c r="BL971" s="314"/>
      <c r="BM971" s="314"/>
      <c r="BN971" s="314"/>
      <c r="BO971" s="314"/>
      <c r="BP971" s="314"/>
      <c r="BQ971" s="314"/>
      <c r="BR971" s="314"/>
      <c r="BS971" s="314"/>
      <c r="BT971" s="314"/>
      <c r="BU971" s="314"/>
      <c r="BV971" s="314"/>
      <c r="BW971" s="314"/>
      <c r="BX971" s="314"/>
      <c r="BY971" s="314"/>
      <c r="BZ971" s="314"/>
      <c r="CA971" s="314"/>
      <c r="CB971" s="314"/>
      <c r="CC971" s="314"/>
      <c r="CD971" s="314"/>
      <c r="CE971" s="314"/>
      <c r="CF971" s="314"/>
      <c r="CG971" s="314"/>
      <c r="CH971" s="314"/>
      <c r="CI971" s="314"/>
      <c r="CJ971" s="314"/>
      <c r="CK971" s="314"/>
      <c r="CL971" s="314"/>
      <c r="CM971" s="314"/>
      <c r="CN971" s="314"/>
      <c r="CO971" s="314"/>
      <c r="CP971" s="314"/>
      <c r="CQ971" s="407" t="b">
        <f>OR(CQ962,Y971=EUconst_NA)</f>
        <v>0</v>
      </c>
    </row>
    <row r="972" spans="1:95" ht="5.15" customHeight="1" thickBot="1" x14ac:dyDescent="0.3">
      <c r="A972" s="307"/>
      <c r="B972" s="68"/>
      <c r="C972" s="68"/>
      <c r="D972" s="205"/>
      <c r="E972" s="76"/>
      <c r="F972" s="76"/>
      <c r="G972" s="76"/>
      <c r="H972" s="76"/>
      <c r="I972" s="76"/>
      <c r="J972" s="76"/>
      <c r="K972" s="76"/>
      <c r="L972" s="76"/>
      <c r="M972" s="453"/>
      <c r="N972" s="76"/>
      <c r="O972" s="160"/>
      <c r="P972" s="109"/>
      <c r="Q972" s="312"/>
      <c r="R972" s="312"/>
      <c r="S972" s="314"/>
      <c r="T972" s="314"/>
      <c r="U972" s="314"/>
      <c r="V972" s="314"/>
      <c r="W972" s="314"/>
      <c r="X972" s="314"/>
      <c r="Y972" s="314"/>
      <c r="Z972" s="314"/>
      <c r="AA972" s="314"/>
      <c r="AB972" s="314"/>
      <c r="AC972" s="314"/>
      <c r="AD972" s="314"/>
      <c r="AE972" s="314"/>
      <c r="AF972" s="314"/>
      <c r="AG972" s="314"/>
      <c r="AH972" s="314"/>
      <c r="AI972" s="314"/>
      <c r="AJ972" s="314"/>
      <c r="AK972" s="314"/>
      <c r="AL972" s="314"/>
      <c r="AM972" s="314"/>
      <c r="AN972" s="314"/>
      <c r="AO972" s="314"/>
      <c r="AP972" s="314"/>
      <c r="AQ972" s="314"/>
      <c r="AR972" s="314"/>
      <c r="AS972" s="314"/>
      <c r="AT972" s="314"/>
      <c r="AU972" s="314"/>
      <c r="AV972" s="314"/>
      <c r="AW972" s="314"/>
      <c r="AX972" s="314"/>
      <c r="AY972" s="314"/>
      <c r="AZ972" s="314"/>
      <c r="BA972" s="314"/>
      <c r="BB972" s="314"/>
      <c r="BC972" s="314"/>
      <c r="BD972" s="314"/>
      <c r="BE972" s="314"/>
      <c r="BF972" s="314"/>
      <c r="BG972" s="364"/>
      <c r="BH972" s="314"/>
      <c r="BI972" s="314"/>
      <c r="BJ972" s="314"/>
      <c r="BK972" s="314"/>
      <c r="BL972" s="314"/>
      <c r="BM972" s="314"/>
      <c r="BN972" s="314"/>
      <c r="BO972" s="314"/>
      <c r="BP972" s="314"/>
      <c r="BQ972" s="314"/>
      <c r="BR972" s="314"/>
      <c r="BS972" s="314"/>
      <c r="BT972" s="314"/>
      <c r="BU972" s="314"/>
      <c r="BV972" s="314"/>
      <c r="BW972" s="314"/>
      <c r="BX972" s="314"/>
      <c r="BY972" s="314"/>
      <c r="BZ972" s="314"/>
      <c r="CA972" s="314"/>
      <c r="CB972" s="314"/>
      <c r="CC972" s="314"/>
      <c r="CD972" s="314"/>
      <c r="CE972" s="314"/>
      <c r="CF972" s="314"/>
      <c r="CG972" s="314"/>
      <c r="CH972" s="314"/>
      <c r="CI972" s="314"/>
      <c r="CJ972" s="314"/>
      <c r="CK972" s="314"/>
      <c r="CL972" s="314"/>
      <c r="CM972" s="314"/>
      <c r="CN972" s="314"/>
      <c r="CO972" s="314"/>
      <c r="CP972" s="314"/>
      <c r="CQ972" s="314"/>
    </row>
    <row r="973" spans="1:95" ht="12.75" customHeight="1" thickBot="1" x14ac:dyDescent="0.3">
      <c r="A973" s="307"/>
      <c r="B973" s="68"/>
      <c r="C973" s="199" t="s">
        <v>167</v>
      </c>
      <c r="D973" s="344" t="str">
        <f>Translations!$B$398</f>
        <v>Scope factor:</v>
      </c>
      <c r="E973" s="454"/>
      <c r="F973" s="992"/>
      <c r="G973" s="1263"/>
      <c r="H973" s="1264"/>
      <c r="I973" s="455" t="s">
        <v>46</v>
      </c>
      <c r="J973" s="456"/>
      <c r="K973" s="457" t="str">
        <f>IF(L973="",AU973,"")</f>
        <v/>
      </c>
      <c r="L973" s="16"/>
      <c r="M973" s="458" t="str">
        <f>IF(AND(E957&lt;&gt;"",OR(F973="",G973="",COUNT(K973:L973)=0)),EUconst_ERR_Incomplete,IF(COUNTIF(BB973:BD973,TRUE)&gt;0,EUconst_ERR_Inconsistent,""))</f>
        <v/>
      </c>
      <c r="N973" s="76"/>
      <c r="O973" s="160"/>
      <c r="P973" s="109"/>
      <c r="Q973" s="312"/>
      <c r="R973" s="314"/>
      <c r="S973" s="297"/>
      <c r="T973" s="459" t="str">
        <f>EUconst_CNTR_ScopeFactor&amp;E957</f>
        <v>ScopeFactor_</v>
      </c>
      <c r="U973" s="231" t="str">
        <f>IF(F973="","",INDEX(ScopeAddress,MATCH(F973,ScopeTiers,0)))</f>
        <v/>
      </c>
      <c r="V973" s="360" t="str">
        <f>V962</f>
        <v/>
      </c>
      <c r="W973" s="314"/>
      <c r="X973" s="314"/>
      <c r="Y973" s="460" t="str">
        <f>IF(E957="","",IF(F973=EUconst_NA,EUconst_NA,INDEX(EUwideConstants!$P$164:$P$200,MATCH(T973,EUwideConstants!$S$164:$S$200,0))))</f>
        <v/>
      </c>
      <c r="Z973" s="461" t="str">
        <f>IF(ISBLANK(F973),"",IF(F973=EUconst_NA,"",INDEX(EUwideConstants!$H:$O,MATCH(T973,EUwideConstants!$S:$S,0),MATCH(F973,CNTR_TierList,0))))</f>
        <v/>
      </c>
      <c r="AA973" s="331" t="str">
        <f>IF(G973=EUwideConstants!$A$89,1,"")</f>
        <v/>
      </c>
      <c r="AB973" s="314"/>
      <c r="AC973" s="331" t="b">
        <f>AND(AC962,Y973&lt;&gt;EUconst_NA)</f>
        <v>0</v>
      </c>
      <c r="AD973" s="314"/>
      <c r="AE973" s="314"/>
      <c r="AF973" s="314"/>
      <c r="AG973" s="319"/>
      <c r="AH973" s="314"/>
      <c r="AI973" s="314"/>
      <c r="AJ973" s="314"/>
      <c r="AK973" s="314"/>
      <c r="AL973" s="314"/>
      <c r="AM973" s="314"/>
      <c r="AN973" s="314"/>
      <c r="AO973" s="314"/>
      <c r="AP973" s="314"/>
      <c r="AQ973" s="314"/>
      <c r="AR973" s="314"/>
      <c r="AS973" s="328">
        <v>1</v>
      </c>
      <c r="AT973" s="314"/>
      <c r="AU973" s="319" t="str">
        <f>IF(G973=EUwideConstants!$A$89,AS973,"")</f>
        <v/>
      </c>
      <c r="AV973" s="331">
        <f>IF(AC973=TRUE,IF(COUNT(K973:L973)=0,0,IF(L973="",K973,L973)),0)</f>
        <v>0</v>
      </c>
      <c r="AW973" s="360" t="b">
        <f>AND(AC973=TRUE,OR(AND(F973&lt;&gt;"",NOT(ISNUMBER(AA973))),L973&lt;&gt;"",F973="",AU973=""))</f>
        <v>0</v>
      </c>
      <c r="AX973" s="357" t="b">
        <f>AND(AC973=TRUE,NOT(AW973))</f>
        <v>0</v>
      </c>
      <c r="AY973" s="314"/>
      <c r="AZ973" s="361" t="b">
        <f>AND(ISNUMBER(AA973),AU973="")</f>
        <v>0</v>
      </c>
      <c r="BA973" s="351" t="b">
        <f>AND(ISNUMBER(AA973),AU973&lt;&gt;AV973)</f>
        <v>0</v>
      </c>
      <c r="BB973" s="314"/>
      <c r="BC973" s="360" t="b">
        <f>AND(F973&lt;&gt;"",OR(COUNTIF(INDEX(ScopeMethods,F973,),G973)=0,AND(AA973&lt;&gt;"",AU973&lt;&gt;AV973)))</f>
        <v>0</v>
      </c>
      <c r="BD973" s="314"/>
      <c r="BE973" s="314"/>
      <c r="BF973" s="361" t="s">
        <v>168</v>
      </c>
      <c r="BG973" s="362" t="str">
        <f>IF(AN962=EUconst_TJ,AV962*AV968,IF(AN964=EUconst_GJ,AV962*AV964/1000*AV968,""))</f>
        <v/>
      </c>
      <c r="BH973" s="314"/>
      <c r="BI973" s="314"/>
      <c r="BJ973" s="314"/>
      <c r="BK973" s="314"/>
      <c r="BL973" s="314"/>
      <c r="BM973" s="314"/>
      <c r="BN973" s="314"/>
      <c r="BO973" s="314"/>
      <c r="BP973" s="314"/>
      <c r="BQ973" s="314"/>
      <c r="BR973" s="314"/>
      <c r="BS973" s="314"/>
      <c r="BT973" s="314"/>
      <c r="BU973" s="314"/>
      <c r="BV973" s="314"/>
      <c r="BW973" s="314"/>
      <c r="BX973" s="314"/>
      <c r="BY973" s="314"/>
      <c r="BZ973" s="314"/>
      <c r="CA973" s="314"/>
      <c r="CB973" s="314"/>
      <c r="CC973" s="314"/>
      <c r="CD973" s="314"/>
      <c r="CE973" s="314"/>
      <c r="CF973" s="314"/>
      <c r="CG973" s="314"/>
      <c r="CH973" s="314"/>
      <c r="CI973" s="314"/>
      <c r="CJ973" s="314"/>
      <c r="CK973" s="314"/>
      <c r="CL973" s="314"/>
      <c r="CM973" s="314"/>
      <c r="CN973" s="314"/>
      <c r="CO973" s="314"/>
      <c r="CP973" s="314"/>
      <c r="CQ973" s="314"/>
    </row>
    <row r="974" spans="1:95" ht="12.75" customHeight="1" x14ac:dyDescent="0.25">
      <c r="A974" s="307"/>
      <c r="B974" s="68"/>
      <c r="C974" s="68"/>
      <c r="D974" s="68"/>
      <c r="E974" s="68"/>
      <c r="F974" s="68"/>
      <c r="G974" s="1265" t="str">
        <f>IF(G973="","",INDEX(ScopeMethodsDetails,MATCH(G973,INDEX(ScopeMethodsDetails,,1),0),2))</f>
        <v/>
      </c>
      <c r="H974" s="1266"/>
      <c r="I974" s="1266"/>
      <c r="J974" s="1266"/>
      <c r="K974" s="1266"/>
      <c r="L974" s="1266"/>
      <c r="M974" s="1267"/>
      <c r="N974" s="76"/>
      <c r="O974" s="160"/>
      <c r="P974" s="109"/>
      <c r="Q974" s="312"/>
      <c r="R974" s="312"/>
      <c r="S974" s="314"/>
      <c r="T974" s="314"/>
      <c r="U974" s="314"/>
      <c r="V974" s="314"/>
      <c r="W974" s="314"/>
      <c r="X974" s="314"/>
      <c r="Y974" s="314"/>
      <c r="Z974" s="314"/>
      <c r="AA974" s="314"/>
      <c r="AB974" s="314"/>
      <c r="AC974" s="314"/>
      <c r="AD974" s="314"/>
      <c r="AE974" s="314"/>
      <c r="AF974" s="314"/>
      <c r="AG974" s="314"/>
      <c r="AH974" s="314"/>
      <c r="AI974" s="314"/>
      <c r="AJ974" s="314"/>
      <c r="AK974" s="314"/>
      <c r="AL974" s="314"/>
      <c r="AM974" s="314"/>
      <c r="AN974" s="314"/>
      <c r="AO974" s="314"/>
      <c r="AP974" s="314"/>
      <c r="AQ974" s="314"/>
      <c r="AR974" s="314"/>
      <c r="AS974" s="314"/>
      <c r="AT974" s="314"/>
      <c r="AU974" s="314"/>
      <c r="AV974" s="314"/>
      <c r="AW974" s="314"/>
      <c r="AX974" s="314"/>
      <c r="AY974" s="314"/>
      <c r="AZ974" s="314"/>
      <c r="BA974" s="314"/>
      <c r="BB974" s="314"/>
      <c r="BC974" s="314"/>
      <c r="BD974" s="314"/>
      <c r="BE974" s="314"/>
      <c r="BG974" s="364"/>
      <c r="BH974" s="314"/>
      <c r="BI974" s="314"/>
      <c r="BJ974" s="314"/>
      <c r="BK974" s="314"/>
      <c r="BL974" s="314"/>
      <c r="BM974" s="314"/>
      <c r="BN974" s="314"/>
      <c r="BO974" s="314"/>
      <c r="BP974" s="314"/>
      <c r="BQ974" s="314"/>
      <c r="BR974" s="314"/>
      <c r="BS974" s="314"/>
      <c r="BT974" s="314"/>
      <c r="BU974" s="314"/>
      <c r="BV974" s="314"/>
      <c r="BW974" s="314"/>
      <c r="BX974" s="314"/>
      <c r="BY974" s="314"/>
      <c r="BZ974" s="314"/>
      <c r="CA974" s="314"/>
      <c r="CB974" s="314"/>
      <c r="CC974" s="314"/>
      <c r="CD974" s="314"/>
      <c r="CE974" s="314"/>
      <c r="CF974" s="314"/>
      <c r="CG974" s="314"/>
      <c r="CH974" s="314"/>
      <c r="CI974" s="314"/>
      <c r="CJ974" s="314"/>
      <c r="CK974" s="314"/>
      <c r="CL974" s="314"/>
      <c r="CM974" s="314"/>
      <c r="CN974" s="314"/>
      <c r="CO974" s="314"/>
      <c r="CP974" s="314"/>
      <c r="CQ974" s="314"/>
    </row>
    <row r="975" spans="1:95" ht="5.15" customHeight="1" x14ac:dyDescent="0.25">
      <c r="A975" s="307"/>
      <c r="C975" s="76"/>
      <c r="D975" s="76"/>
      <c r="E975" s="76"/>
      <c r="F975" s="76"/>
      <c r="G975" s="76"/>
      <c r="H975" s="76"/>
      <c r="I975" s="76"/>
      <c r="J975" s="76"/>
      <c r="K975" s="76"/>
      <c r="L975" s="76"/>
      <c r="O975" s="160"/>
      <c r="P975" s="109"/>
      <c r="Q975" s="312"/>
      <c r="R975" s="312"/>
      <c r="S975" s="314"/>
      <c r="T975" s="314"/>
      <c r="U975" s="314"/>
      <c r="V975" s="314"/>
      <c r="W975" s="314"/>
      <c r="X975" s="314"/>
      <c r="Y975" s="314"/>
      <c r="Z975" s="314"/>
      <c r="AA975" s="314"/>
      <c r="AB975" s="314"/>
      <c r="AC975" s="314"/>
      <c r="AD975" s="314"/>
      <c r="AE975" s="314"/>
      <c r="AF975" s="314"/>
      <c r="AG975" s="314"/>
      <c r="AH975" s="314"/>
      <c r="AI975" s="314"/>
      <c r="AJ975" s="314"/>
      <c r="AK975" s="314"/>
      <c r="AL975" s="314"/>
      <c r="AM975" s="314"/>
      <c r="AN975" s="314"/>
      <c r="AO975" s="314"/>
      <c r="AP975" s="314"/>
      <c r="AQ975" s="314"/>
      <c r="AR975" s="314"/>
      <c r="AS975" s="314"/>
      <c r="AT975" s="314"/>
      <c r="AU975" s="314"/>
      <c r="AV975" s="314"/>
      <c r="AW975" s="314"/>
      <c r="AX975" s="314"/>
      <c r="AY975" s="314"/>
      <c r="AZ975" s="314"/>
      <c r="BA975" s="314"/>
      <c r="BB975" s="314"/>
      <c r="BC975" s="314"/>
      <c r="BD975" s="314"/>
      <c r="BE975" s="314"/>
      <c r="BG975" s="364"/>
      <c r="BH975" s="314"/>
      <c r="BI975" s="314"/>
      <c r="BJ975" s="314"/>
      <c r="BK975" s="314"/>
      <c r="BL975" s="314"/>
      <c r="BM975" s="314"/>
      <c r="BN975" s="314"/>
      <c r="BO975" s="314"/>
      <c r="BP975" s="314"/>
      <c r="BQ975" s="314"/>
      <c r="BR975" s="314"/>
      <c r="BS975" s="314"/>
      <c r="BT975" s="314"/>
      <c r="BU975" s="314"/>
      <c r="BV975" s="314"/>
      <c r="BW975" s="314"/>
      <c r="BX975" s="314"/>
      <c r="BY975" s="314"/>
      <c r="BZ975" s="314"/>
      <c r="CA975" s="314"/>
      <c r="CB975" s="314"/>
      <c r="CC975" s="314"/>
      <c r="CD975" s="314"/>
      <c r="CE975" s="314"/>
      <c r="CF975" s="314"/>
      <c r="CG975" s="314"/>
      <c r="CH975" s="314"/>
      <c r="CI975" s="314"/>
      <c r="CJ975" s="314"/>
      <c r="CK975" s="314"/>
      <c r="CL975" s="314"/>
      <c r="CM975" s="314"/>
      <c r="CN975" s="314"/>
      <c r="CO975" s="314"/>
      <c r="CP975" s="314"/>
      <c r="CQ975" s="314"/>
    </row>
    <row r="976" spans="1:95" ht="12.75" customHeight="1" thickBot="1" x14ac:dyDescent="0.3">
      <c r="A976" s="307"/>
      <c r="C976" s="76"/>
      <c r="D976" s="76"/>
      <c r="E976" s="76"/>
      <c r="F976" s="76"/>
      <c r="G976" s="1268">
        <v>1</v>
      </c>
      <c r="H976" s="1268"/>
      <c r="I976" s="1268">
        <v>2</v>
      </c>
      <c r="J976" s="1268"/>
      <c r="K976" s="1268">
        <v>3</v>
      </c>
      <c r="L976" s="1268"/>
      <c r="O976" s="160"/>
      <c r="P976" s="109"/>
      <c r="Q976" s="312"/>
      <c r="R976" s="312"/>
      <c r="S976" s="314"/>
      <c r="T976" s="314"/>
      <c r="U976" s="314"/>
      <c r="V976" s="314"/>
      <c r="W976" s="314"/>
      <c r="X976" s="314"/>
      <c r="Y976" s="314"/>
      <c r="Z976" s="314"/>
      <c r="AA976" s="314"/>
      <c r="AB976" s="314"/>
      <c r="AC976" s="314"/>
      <c r="AD976" s="314"/>
      <c r="AE976" s="314"/>
      <c r="AF976" s="314"/>
      <c r="AG976" s="314"/>
      <c r="AH976" s="314"/>
      <c r="AI976" s="314"/>
      <c r="AJ976" s="314"/>
      <c r="AK976" s="314"/>
      <c r="AL976" s="314"/>
      <c r="AM976" s="314"/>
      <c r="AN976" s="314"/>
      <c r="AO976" s="314"/>
      <c r="AP976" s="314"/>
      <c r="AQ976" s="314"/>
      <c r="AR976" s="314"/>
      <c r="AS976" s="314"/>
      <c r="AT976" s="314"/>
      <c r="AU976" s="314"/>
      <c r="AV976" s="314"/>
      <c r="AW976" s="314"/>
      <c r="AX976" s="314"/>
      <c r="AY976" s="314"/>
      <c r="AZ976" s="314"/>
      <c r="BA976" s="314"/>
      <c r="BB976" s="314"/>
      <c r="BC976" s="314"/>
      <c r="BD976" s="314"/>
      <c r="BE976" s="314"/>
      <c r="BF976" s="314"/>
      <c r="BG976" s="364"/>
      <c r="BH976" s="314"/>
      <c r="BI976" s="314"/>
      <c r="BJ976" s="314"/>
      <c r="BK976" s="314"/>
      <c r="BL976" s="314"/>
      <c r="BM976" s="314"/>
      <c r="BN976" s="314"/>
      <c r="BO976" s="314"/>
      <c r="BP976" s="314"/>
      <c r="BQ976" s="314"/>
      <c r="BR976" s="314"/>
      <c r="BS976" s="314"/>
      <c r="BT976" s="314"/>
      <c r="BU976" s="314"/>
      <c r="BV976" s="314"/>
      <c r="BW976" s="314"/>
      <c r="BX976" s="314"/>
      <c r="BY976" s="314"/>
      <c r="BZ976" s="314"/>
      <c r="CA976" s="314"/>
      <c r="CB976" s="314"/>
      <c r="CC976" s="314"/>
      <c r="CD976" s="314"/>
      <c r="CE976" s="314"/>
      <c r="CF976" s="314"/>
      <c r="CG976" s="314"/>
      <c r="CH976" s="314"/>
      <c r="CI976" s="314"/>
      <c r="CJ976" s="314"/>
      <c r="CK976" s="314"/>
      <c r="CL976" s="314"/>
      <c r="CM976" s="314"/>
      <c r="CN976" s="314"/>
      <c r="CO976" s="314"/>
      <c r="CP976" s="314"/>
      <c r="CQ976" s="314"/>
    </row>
    <row r="977" spans="1:95" ht="12.75" customHeight="1" thickBot="1" x14ac:dyDescent="0.3">
      <c r="A977" s="462"/>
      <c r="B977" s="76"/>
      <c r="C977" s="76"/>
      <c r="D977" s="1246" t="str">
        <f>Translations!$B$372</f>
        <v>Consumers' CRF category:</v>
      </c>
      <c r="E977" s="1246"/>
      <c r="F977" s="1247"/>
      <c r="G977" s="1248"/>
      <c r="H977" s="1249"/>
      <c r="I977" s="1248"/>
      <c r="J977" s="1249"/>
      <c r="K977" s="1248"/>
      <c r="L977" s="1249"/>
      <c r="M977" s="463" t="str">
        <f>IF(AND(E956&lt;&gt;"",COUNTA(G977:L977)=0,AX977=FALSE),EUconst_ERR_Incomplete,"")</f>
        <v/>
      </c>
      <c r="N977" s="76"/>
      <c r="O977" s="160"/>
      <c r="P977" s="109"/>
      <c r="Q977" s="312"/>
      <c r="R977" s="312"/>
      <c r="S977" s="314"/>
      <c r="T977" s="314"/>
      <c r="U977" s="314"/>
      <c r="V977" s="314"/>
      <c r="W977" s="314"/>
      <c r="X977" s="314"/>
      <c r="Y977" s="314"/>
      <c r="Z977" s="314"/>
      <c r="AA977" s="314"/>
      <c r="AB977" s="314"/>
      <c r="AC977" s="314"/>
      <c r="AD977" s="314"/>
      <c r="AE977" s="314"/>
      <c r="AF977" s="314"/>
      <c r="AG977" s="314"/>
      <c r="AH977" s="314"/>
      <c r="AI977" s="314"/>
      <c r="AJ977" s="314"/>
      <c r="AK977" s="314"/>
      <c r="AL977" s="314"/>
      <c r="AM977" s="314"/>
      <c r="AN977" s="314"/>
      <c r="AO977" s="314"/>
      <c r="AP977" s="314"/>
      <c r="AQ977" s="314"/>
      <c r="AR977" s="314"/>
      <c r="AS977" s="314"/>
      <c r="AT977" s="314"/>
      <c r="AU977" s="314"/>
      <c r="AV977" s="314"/>
      <c r="AW977" s="314"/>
      <c r="AX977" s="464" t="b">
        <f>AND(AV973&lt;&gt;"",SUM(AV973=1))</f>
        <v>0</v>
      </c>
      <c r="AY977" s="314"/>
      <c r="AZ977" s="314"/>
      <c r="BA977" s="314"/>
      <c r="BB977" s="314"/>
      <c r="BC977" s="314"/>
      <c r="BD977" s="314"/>
      <c r="BE977" s="314"/>
      <c r="BF977" s="361" t="s">
        <v>169</v>
      </c>
      <c r="BG977" s="362" t="str">
        <f>IF(AN962=EUconst_TJ,AV962*AV970,IF(AN964=EUconst_GJ,AV962*AV964/1000*AV970,""))</f>
        <v/>
      </c>
      <c r="BH977" s="314"/>
      <c r="BI977" s="314"/>
      <c r="BJ977" s="314"/>
      <c r="BK977" s="314"/>
      <c r="BL977" s="314"/>
      <c r="BM977" s="314"/>
      <c r="BN977" s="314"/>
      <c r="BO977" s="314"/>
      <c r="BP977" s="314"/>
      <c r="BQ977" s="314"/>
      <c r="BR977" s="314"/>
      <c r="BS977" s="314"/>
      <c r="BT977" s="314"/>
      <c r="BU977" s="314"/>
      <c r="BV977" s="314"/>
      <c r="BW977" s="314"/>
      <c r="BX977" s="314"/>
      <c r="BY977" s="314"/>
      <c r="BZ977" s="314"/>
      <c r="CA977" s="314"/>
      <c r="CB977" s="314"/>
      <c r="CC977" s="314"/>
      <c r="CD977" s="314"/>
      <c r="CE977" s="314"/>
      <c r="CF977" s="314"/>
      <c r="CG977" s="314"/>
      <c r="CH977" s="314"/>
      <c r="CI977" s="314"/>
      <c r="CJ977" s="314"/>
      <c r="CK977" s="314"/>
      <c r="CL977" s="314"/>
      <c r="CM977" s="314"/>
      <c r="CN977" s="314"/>
      <c r="CO977" s="314"/>
      <c r="CP977" s="314"/>
      <c r="CQ977" s="314"/>
    </row>
    <row r="978" spans="1:95" ht="5.15" customHeight="1" x14ac:dyDescent="0.25">
      <c r="A978" s="307"/>
      <c r="B978" s="68"/>
      <c r="C978" s="68"/>
      <c r="D978" s="68"/>
      <c r="E978" s="68"/>
      <c r="F978" s="68"/>
      <c r="G978" s="76"/>
      <c r="H978" s="76"/>
      <c r="I978" s="76"/>
      <c r="J978" s="76"/>
      <c r="K978" s="76"/>
      <c r="L978" s="76"/>
      <c r="M978" s="76"/>
      <c r="N978" s="76"/>
      <c r="O978" s="160"/>
      <c r="P978" s="109"/>
      <c r="Q978" s="312"/>
      <c r="R978" s="312"/>
      <c r="S978" s="314"/>
      <c r="T978" s="314"/>
      <c r="U978" s="314"/>
      <c r="V978" s="314"/>
      <c r="W978" s="314"/>
      <c r="X978" s="314"/>
      <c r="Y978" s="314"/>
      <c r="Z978" s="314"/>
      <c r="AA978" s="314"/>
      <c r="AB978" s="314"/>
      <c r="AC978" s="314"/>
      <c r="AD978" s="314"/>
      <c r="AE978" s="314"/>
      <c r="AF978" s="314"/>
      <c r="AG978" s="314"/>
      <c r="AH978" s="314"/>
      <c r="AI978" s="314"/>
      <c r="AJ978" s="314"/>
      <c r="AK978" s="314"/>
      <c r="AL978" s="314"/>
      <c r="AM978" s="314"/>
      <c r="AN978" s="314"/>
      <c r="AO978" s="314"/>
      <c r="AP978" s="314"/>
      <c r="AQ978" s="314"/>
      <c r="AR978" s="314"/>
      <c r="AS978" s="314"/>
      <c r="AT978" s="314"/>
      <c r="AU978" s="314"/>
      <c r="AV978" s="314"/>
      <c r="AW978" s="314"/>
      <c r="AX978" s="314"/>
      <c r="AY978" s="314"/>
      <c r="AZ978" s="314"/>
      <c r="BA978" s="314"/>
      <c r="BB978" s="314"/>
      <c r="BC978" s="314"/>
      <c r="BD978" s="314"/>
      <c r="BE978" s="314"/>
      <c r="BF978" s="314"/>
      <c r="BG978" s="314"/>
      <c r="BH978" s="314"/>
      <c r="BI978" s="314"/>
      <c r="BJ978" s="314"/>
      <c r="BK978" s="314"/>
      <c r="BL978" s="314"/>
      <c r="BM978" s="314"/>
      <c r="BN978" s="314"/>
      <c r="BO978" s="314"/>
      <c r="BP978" s="314"/>
      <c r="BQ978" s="314"/>
      <c r="BR978" s="314"/>
      <c r="BS978" s="314"/>
      <c r="BT978" s="314"/>
      <c r="BU978" s="314"/>
      <c r="BV978" s="314"/>
      <c r="BW978" s="314"/>
      <c r="BX978" s="314"/>
      <c r="BY978" s="314"/>
      <c r="BZ978" s="314"/>
      <c r="CA978" s="314"/>
      <c r="CB978" s="314"/>
      <c r="CC978" s="314"/>
      <c r="CD978" s="314"/>
      <c r="CE978" s="314"/>
      <c r="CF978" s="314"/>
      <c r="CG978" s="314"/>
      <c r="CH978" s="314"/>
      <c r="CI978" s="314"/>
      <c r="CJ978" s="314"/>
      <c r="CK978" s="314"/>
      <c r="CL978" s="314"/>
      <c r="CM978" s="314"/>
      <c r="CN978" s="314"/>
      <c r="CO978" s="314"/>
      <c r="CP978" s="314"/>
      <c r="CQ978" s="314"/>
    </row>
    <row r="979" spans="1:95" ht="12.75" customHeight="1" x14ac:dyDescent="0.25">
      <c r="A979" s="307"/>
      <c r="B979" s="68"/>
      <c r="C979" s="68"/>
      <c r="D979" s="1246" t="str">
        <f>Translations!$B$399</f>
        <v>Tiers valid from:</v>
      </c>
      <c r="E979" s="1246"/>
      <c r="F979" s="1247"/>
      <c r="G979" s="8"/>
      <c r="H979" s="199" t="str">
        <f>Translations!$B$400</f>
        <v>until:</v>
      </c>
      <c r="I979" s="8"/>
      <c r="J979" s="76"/>
      <c r="K979" s="76"/>
      <c r="L979" s="76"/>
      <c r="M979" s="199" t="str">
        <f>Translations!$B$401</f>
        <v>ID used in the monitoring plan for this fuel stream:</v>
      </c>
      <c r="N979" s="9"/>
      <c r="O979" s="160"/>
      <c r="P979" s="109"/>
      <c r="Q979" s="312"/>
      <c r="R979" s="312"/>
      <c r="S979" s="465"/>
      <c r="T979" s="314"/>
      <c r="U979" s="314"/>
      <c r="V979" s="314"/>
      <c r="W979" s="314"/>
      <c r="X979" s="314"/>
      <c r="Y979" s="314"/>
      <c r="Z979" s="314"/>
      <c r="AA979" s="314"/>
      <c r="AB979" s="314"/>
      <c r="AC979" s="314"/>
      <c r="AD979" s="314"/>
      <c r="AE979" s="314"/>
      <c r="AF979" s="314"/>
      <c r="AG979" s="314"/>
      <c r="AH979" s="314"/>
      <c r="AI979" s="314"/>
      <c r="AJ979" s="314"/>
      <c r="AK979" s="314"/>
      <c r="AL979" s="314"/>
      <c r="AM979" s="314"/>
      <c r="AN979" s="314"/>
      <c r="AO979" s="314"/>
      <c r="AP979" s="314"/>
      <c r="AQ979" s="314"/>
      <c r="AR979" s="314"/>
      <c r="AS979" s="314"/>
      <c r="AT979" s="314"/>
      <c r="AU979" s="314"/>
      <c r="AV979" s="314"/>
      <c r="AW979" s="314"/>
      <c r="AX979" s="314"/>
      <c r="AY979" s="314"/>
      <c r="AZ979" s="314"/>
      <c r="BA979" s="314"/>
      <c r="BB979" s="314"/>
      <c r="BC979" s="314"/>
      <c r="BD979" s="314"/>
      <c r="BE979" s="314"/>
      <c r="BF979" s="314"/>
      <c r="BG979" s="314"/>
      <c r="BH979" s="314"/>
      <c r="BI979" s="314"/>
      <c r="BJ979" s="314"/>
      <c r="BK979" s="314"/>
      <c r="BL979" s="314"/>
      <c r="BM979" s="314"/>
      <c r="BN979" s="314"/>
      <c r="BO979" s="314"/>
      <c r="BP979" s="314"/>
      <c r="BQ979" s="314"/>
      <c r="BR979" s="314"/>
      <c r="BS979" s="314"/>
      <c r="BT979" s="314"/>
      <c r="BU979" s="314"/>
      <c r="BV979" s="314"/>
      <c r="BW979" s="314"/>
      <c r="BX979" s="314"/>
      <c r="BY979" s="314"/>
      <c r="BZ979" s="314"/>
      <c r="CA979" s="314"/>
      <c r="CB979" s="314"/>
      <c r="CC979" s="314"/>
      <c r="CD979" s="314"/>
      <c r="CE979" s="314"/>
      <c r="CF979" s="314"/>
      <c r="CG979" s="314"/>
      <c r="CH979" s="314"/>
      <c r="CI979" s="314"/>
      <c r="CJ979" s="314"/>
      <c r="CK979" s="314"/>
      <c r="CL979" s="314"/>
      <c r="CM979" s="314"/>
      <c r="CN979" s="314"/>
      <c r="CO979" s="314"/>
      <c r="CP979" s="314"/>
      <c r="CQ979" s="464" t="b">
        <f>CQ962</f>
        <v>0</v>
      </c>
    </row>
    <row r="980" spans="1:95" ht="5.15" customHeight="1" x14ac:dyDescent="0.25">
      <c r="A980" s="462"/>
      <c r="B980" s="76"/>
      <c r="C980" s="76"/>
      <c r="D980" s="76"/>
      <c r="E980" s="76"/>
      <c r="F980" s="76"/>
      <c r="G980" s="76"/>
      <c r="H980" s="76"/>
      <c r="I980" s="76"/>
      <c r="J980" s="76"/>
      <c r="K980" s="76"/>
      <c r="L980" s="76"/>
      <c r="M980" s="76"/>
      <c r="N980" s="76"/>
      <c r="O980" s="160"/>
      <c r="P980" s="109"/>
      <c r="Q980" s="312"/>
      <c r="R980" s="312"/>
      <c r="S980" s="314"/>
      <c r="T980" s="314"/>
      <c r="U980" s="314"/>
      <c r="V980" s="314"/>
      <c r="W980" s="314"/>
      <c r="X980" s="314"/>
      <c r="Y980" s="314"/>
      <c r="Z980" s="314"/>
      <c r="AA980" s="314"/>
      <c r="AB980" s="314"/>
      <c r="AC980" s="314"/>
      <c r="AD980" s="314"/>
      <c r="AE980" s="314"/>
      <c r="AF980" s="314"/>
      <c r="AG980" s="314"/>
      <c r="AH980" s="314"/>
      <c r="AI980" s="314"/>
      <c r="AJ980" s="314"/>
      <c r="AK980" s="314"/>
      <c r="AL980" s="314"/>
      <c r="AM980" s="314"/>
      <c r="AN980" s="314"/>
      <c r="AO980" s="314"/>
      <c r="AP980" s="314"/>
      <c r="AQ980" s="314"/>
      <c r="AR980" s="314"/>
      <c r="AS980" s="314"/>
      <c r="AT980" s="314"/>
      <c r="AU980" s="314"/>
      <c r="AV980" s="314"/>
      <c r="AW980" s="314"/>
      <c r="AX980" s="314"/>
      <c r="AY980" s="314"/>
      <c r="AZ980" s="314"/>
      <c r="BA980" s="314"/>
      <c r="BB980" s="314"/>
      <c r="BC980" s="314"/>
      <c r="BD980" s="314"/>
      <c r="BE980" s="314"/>
      <c r="BF980" s="314"/>
      <c r="BG980" s="314"/>
      <c r="BH980" s="314"/>
      <c r="BI980" s="314"/>
      <c r="BJ980" s="314"/>
      <c r="BK980" s="314"/>
      <c r="BL980" s="314"/>
      <c r="BM980" s="314"/>
      <c r="BN980" s="314"/>
      <c r="BO980" s="314"/>
      <c r="BP980" s="314"/>
      <c r="BQ980" s="314"/>
      <c r="BR980" s="314"/>
      <c r="BS980" s="314"/>
      <c r="BT980" s="314"/>
      <c r="BU980" s="314"/>
      <c r="BV980" s="314"/>
      <c r="BW980" s="314"/>
      <c r="BX980" s="314"/>
      <c r="BY980" s="314"/>
      <c r="BZ980" s="314"/>
      <c r="CA980" s="314"/>
      <c r="CB980" s="314"/>
      <c r="CC980" s="314"/>
      <c r="CD980" s="314"/>
      <c r="CE980" s="314"/>
      <c r="CF980" s="314"/>
      <c r="CG980" s="314"/>
      <c r="CH980" s="314"/>
      <c r="CI980" s="314"/>
      <c r="CJ980" s="314"/>
      <c r="CK980" s="314"/>
      <c r="CL980" s="314"/>
      <c r="CM980" s="314"/>
      <c r="CN980" s="314"/>
      <c r="CO980" s="314"/>
      <c r="CP980" s="314"/>
      <c r="CQ980" s="314"/>
    </row>
    <row r="981" spans="1:95" ht="12.75" customHeight="1" x14ac:dyDescent="0.25">
      <c r="A981" s="462"/>
      <c r="B981" s="76"/>
      <c r="C981" s="76"/>
      <c r="D981" s="115"/>
      <c r="E981" s="85"/>
      <c r="F981" s="466" t="str">
        <f>Translations!$B$304</f>
        <v>Comments:</v>
      </c>
      <c r="G981" s="1250"/>
      <c r="H981" s="1251"/>
      <c r="I981" s="1251"/>
      <c r="J981" s="1251"/>
      <c r="K981" s="1251"/>
      <c r="L981" s="1251"/>
      <c r="M981" s="1251"/>
      <c r="N981" s="1252"/>
      <c r="O981" s="160"/>
      <c r="P981" s="109"/>
      <c r="Q981" s="312"/>
      <c r="R981" s="312"/>
      <c r="S981" s="314"/>
      <c r="T981" s="314"/>
      <c r="U981" s="314"/>
      <c r="V981" s="314"/>
      <c r="W981" s="314"/>
      <c r="X981" s="314"/>
      <c r="Y981" s="314"/>
      <c r="Z981" s="314"/>
      <c r="AA981" s="314"/>
      <c r="AB981" s="314"/>
      <c r="AC981" s="314"/>
      <c r="AD981" s="314"/>
      <c r="AE981" s="314"/>
      <c r="AF981" s="314"/>
      <c r="AG981" s="314"/>
      <c r="AH981" s="314"/>
      <c r="AI981" s="314"/>
      <c r="AJ981" s="314"/>
      <c r="AK981" s="314"/>
      <c r="AL981" s="314"/>
      <c r="AM981" s="314"/>
      <c r="AN981" s="314"/>
      <c r="AO981" s="314"/>
      <c r="AP981" s="314"/>
      <c r="AQ981" s="314"/>
      <c r="AR981" s="314"/>
      <c r="AS981" s="314"/>
      <c r="AT981" s="314"/>
      <c r="AU981" s="314"/>
      <c r="AV981" s="314"/>
      <c r="AW981" s="314"/>
      <c r="AX981" s="314"/>
      <c r="AY981" s="314"/>
      <c r="AZ981" s="314"/>
      <c r="BA981" s="314"/>
      <c r="BB981" s="314"/>
      <c r="BC981" s="314"/>
      <c r="BD981" s="314"/>
      <c r="BE981" s="314"/>
      <c r="BF981" s="314"/>
      <c r="BG981" s="314"/>
      <c r="BH981" s="314"/>
      <c r="BI981" s="314"/>
      <c r="BJ981" s="314"/>
      <c r="BK981" s="314"/>
      <c r="BL981" s="314"/>
      <c r="BM981" s="314"/>
      <c r="BN981" s="314"/>
      <c r="BO981" s="314"/>
      <c r="BP981" s="314"/>
      <c r="BQ981" s="314"/>
      <c r="BR981" s="314"/>
      <c r="BS981" s="314"/>
      <c r="BT981" s="314"/>
      <c r="BU981" s="314"/>
      <c r="BV981" s="314"/>
      <c r="BW981" s="314"/>
      <c r="BX981" s="314"/>
      <c r="BY981" s="314"/>
      <c r="BZ981" s="314"/>
      <c r="CA981" s="314"/>
      <c r="CB981" s="314"/>
      <c r="CC981" s="314"/>
      <c r="CD981" s="314"/>
      <c r="CE981" s="314"/>
      <c r="CF981" s="314"/>
      <c r="CG981" s="314"/>
      <c r="CH981" s="314"/>
      <c r="CI981" s="314"/>
      <c r="CJ981" s="314"/>
      <c r="CK981" s="314"/>
      <c r="CL981" s="314"/>
      <c r="CM981" s="314"/>
      <c r="CN981" s="314"/>
      <c r="CO981" s="314"/>
      <c r="CP981" s="314"/>
      <c r="CQ981" s="464" t="b">
        <f>CQ979</f>
        <v>0</v>
      </c>
    </row>
    <row r="982" spans="1:95" ht="12.75" customHeight="1" thickBot="1" x14ac:dyDescent="0.3">
      <c r="A982" s="307"/>
      <c r="B982" s="76"/>
      <c r="C982" s="308"/>
      <c r="D982" s="309"/>
      <c r="E982" s="310"/>
      <c r="F982" s="308"/>
      <c r="G982" s="311"/>
      <c r="H982" s="311"/>
      <c r="I982" s="311"/>
      <c r="J982" s="311"/>
      <c r="K982" s="311"/>
      <c r="L982" s="311"/>
      <c r="M982" s="311"/>
      <c r="N982" s="311"/>
      <c r="O982" s="160"/>
      <c r="P982" s="109"/>
      <c r="Q982" s="312"/>
      <c r="R982" s="312"/>
      <c r="S982" s="293"/>
      <c r="T982" s="293"/>
      <c r="U982" s="313"/>
      <c r="V982" s="293"/>
      <c r="W982" s="293"/>
      <c r="X982" s="313"/>
      <c r="Y982" s="293"/>
      <c r="Z982" s="293"/>
      <c r="AA982" s="293"/>
      <c r="AB982" s="293"/>
      <c r="AC982" s="293"/>
      <c r="AD982" s="293"/>
      <c r="AE982" s="293"/>
      <c r="AF982" s="293"/>
      <c r="AG982" s="293"/>
      <c r="AH982" s="293"/>
      <c r="AI982" s="293"/>
      <c r="AJ982" s="293"/>
      <c r="AK982" s="293"/>
      <c r="AL982" s="293"/>
      <c r="AM982" s="293"/>
      <c r="AN982" s="293"/>
      <c r="AO982" s="293"/>
      <c r="AP982" s="293"/>
      <c r="AQ982" s="293"/>
      <c r="AR982" s="293"/>
      <c r="AS982" s="293"/>
      <c r="AT982" s="293"/>
      <c r="AU982" s="293"/>
      <c r="AV982" s="293"/>
      <c r="AW982" s="293"/>
      <c r="AX982" s="293"/>
      <c r="AY982" s="293"/>
      <c r="AZ982" s="293"/>
      <c r="BA982" s="293"/>
      <c r="BB982" s="293"/>
      <c r="BC982" s="293"/>
      <c r="BD982" s="293"/>
      <c r="BE982" s="293"/>
      <c r="BF982" s="293"/>
      <c r="BG982" s="293"/>
      <c r="BH982" s="293"/>
      <c r="BI982" s="293"/>
      <c r="BJ982" s="293"/>
      <c r="BK982" s="293"/>
      <c r="BL982" s="293"/>
      <c r="BM982" s="314"/>
      <c r="BN982" s="314"/>
      <c r="BO982" s="314"/>
      <c r="BP982" s="314"/>
      <c r="BQ982" s="314"/>
      <c r="BR982" s="314"/>
      <c r="BS982" s="314"/>
      <c r="BT982" s="314"/>
      <c r="BU982" s="293"/>
      <c r="BV982" s="293"/>
      <c r="BW982" s="293"/>
      <c r="BX982" s="293"/>
      <c r="BY982" s="293"/>
      <c r="BZ982" s="293"/>
      <c r="CA982" s="293"/>
      <c r="CB982" s="293"/>
      <c r="CC982" s="293"/>
      <c r="CD982" s="293"/>
      <c r="CE982" s="293"/>
      <c r="CF982" s="293"/>
      <c r="CG982" s="293"/>
      <c r="CH982" s="293"/>
      <c r="CI982" s="293"/>
      <c r="CJ982" s="293"/>
      <c r="CK982" s="293"/>
      <c r="CL982" s="293"/>
      <c r="CM982" s="293"/>
      <c r="CN982" s="293"/>
      <c r="CO982" s="293"/>
      <c r="CP982" s="293"/>
      <c r="CQ982" s="293"/>
    </row>
    <row r="983" spans="1:95" ht="12.75" customHeight="1" thickBot="1" x14ac:dyDescent="0.3">
      <c r="A983" s="315"/>
      <c r="B983" s="76"/>
      <c r="C983" s="76"/>
      <c r="D983" s="205"/>
      <c r="E983" s="316"/>
      <c r="F983" s="76"/>
      <c r="G983" s="96"/>
      <c r="H983" s="96"/>
      <c r="I983" s="96"/>
      <c r="J983" s="96"/>
      <c r="K983" s="76"/>
      <c r="L983" s="96"/>
      <c r="M983" s="96"/>
      <c r="N983" s="96"/>
      <c r="O983" s="160"/>
      <c r="P983" s="109"/>
      <c r="Q983" s="312"/>
      <c r="R983" s="312"/>
      <c r="S983" s="287"/>
      <c r="T983" s="317" t="str">
        <f>IF(ISBLANK(E984),"",MATCH(E984,CNTR_SourceStreamNames,0))</f>
        <v/>
      </c>
      <c r="U983" s="318" t="str">
        <f>IF(ISBLANK(E984),"",INDEX(B_IdentifyFuelStreams!$D$67:$D$116,MATCH(E984,CNTR_SourceStreamNames,0)))</f>
        <v/>
      </c>
      <c r="V983" s="301"/>
      <c r="W983" s="138"/>
      <c r="X983" s="138"/>
      <c r="Y983" s="138"/>
      <c r="Z983" s="293"/>
      <c r="AA983" s="293"/>
      <c r="AB983" s="293"/>
      <c r="AC983" s="293"/>
      <c r="AD983" s="293"/>
      <c r="AE983" s="293"/>
      <c r="AF983" s="293"/>
      <c r="AG983" s="293"/>
      <c r="AH983" s="293"/>
      <c r="AI983" s="293"/>
      <c r="AJ983" s="293"/>
      <c r="AK983" s="312"/>
      <c r="AL983" s="293"/>
      <c r="AM983" s="293"/>
      <c r="AN983" s="293"/>
      <c r="AO983" s="293"/>
      <c r="AP983" s="293"/>
      <c r="AQ983" s="293"/>
      <c r="AR983" s="293"/>
      <c r="AS983" s="293"/>
      <c r="AT983" s="293"/>
      <c r="AU983" s="293"/>
      <c r="AV983" s="293"/>
      <c r="AW983" s="293"/>
      <c r="AX983" s="293"/>
      <c r="AY983" s="293"/>
      <c r="AZ983" s="293"/>
      <c r="BA983" s="293"/>
      <c r="BB983" s="293"/>
      <c r="BC983" s="293"/>
      <c r="BD983" s="293"/>
      <c r="BE983" s="293"/>
      <c r="BF983" s="293"/>
      <c r="BG983" s="293"/>
      <c r="BH983" s="293"/>
      <c r="BI983" s="293"/>
      <c r="BJ983" s="138"/>
      <c r="BK983" s="138"/>
      <c r="BL983" s="138"/>
      <c r="BM983" s="138"/>
      <c r="BN983" s="138"/>
      <c r="BO983" s="138"/>
      <c r="BP983" s="138"/>
      <c r="BQ983" s="138"/>
      <c r="BR983" s="138"/>
      <c r="BS983" s="138"/>
      <c r="BT983" s="138"/>
      <c r="BU983" s="138"/>
      <c r="BV983" s="138"/>
      <c r="BW983" s="138"/>
      <c r="BX983" s="138"/>
      <c r="BY983" s="138"/>
      <c r="BZ983" s="138"/>
      <c r="CA983" s="138"/>
      <c r="CB983" s="138"/>
      <c r="CC983" s="138"/>
      <c r="CD983" s="138"/>
      <c r="CE983" s="138"/>
      <c r="CF983" s="138"/>
      <c r="CG983" s="138"/>
      <c r="CH983" s="138"/>
      <c r="CI983" s="138"/>
      <c r="CJ983" s="138"/>
      <c r="CK983" s="138"/>
      <c r="CL983" s="138"/>
      <c r="CM983" s="138"/>
      <c r="CN983" s="138"/>
      <c r="CO983" s="138"/>
      <c r="CP983" s="138"/>
      <c r="CQ983" s="319" t="s">
        <v>107</v>
      </c>
    </row>
    <row r="984" spans="1:95" ht="15" customHeight="1" thickBot="1" x14ac:dyDescent="0.3">
      <c r="A984" s="320">
        <f>C984</f>
        <v>34</v>
      </c>
      <c r="B984" s="68"/>
      <c r="C984" s="321">
        <f>C956+1</f>
        <v>34</v>
      </c>
      <c r="D984" s="68"/>
      <c r="E984" s="1269"/>
      <c r="F984" s="1270"/>
      <c r="G984" s="1270"/>
      <c r="H984" s="1270"/>
      <c r="I984" s="1270"/>
      <c r="J984" s="1271"/>
      <c r="K984" s="1272" t="str">
        <f>IF(INDEX(B_IdentifyFuelStreams!$K$125:$K$174,MATCH(U983,B_IdentifyFuelStreams!$D$125:$D$174,0))&gt;0,INDEX(B_IdentifyFuelStreams!$K$125:$K$174,MATCH(U983,B_IdentifyFuelStreams!$D$125:$D$174,0)),"")</f>
        <v/>
      </c>
      <c r="L984" s="1273"/>
      <c r="M984" s="316" t="str">
        <f>Translations!$B$621</f>
        <v>Emissions:</v>
      </c>
      <c r="N984" s="322" t="str">
        <f>IF(E985="","",BG990)</f>
        <v/>
      </c>
      <c r="O984" s="323" t="str">
        <f>EUconst_tCO2</f>
        <v>tCO2</v>
      </c>
      <c r="P984" s="324" t="str">
        <f>IF(AND(E984&lt;&gt;"",COUNTIF(P985:$P$1649,"PRINT")=0),"PRINT","")</f>
        <v/>
      </c>
      <c r="Q984" s="325" t="str">
        <f>EUconst_SumCO2</f>
        <v>SUM_CO2</v>
      </c>
      <c r="R984" s="312"/>
      <c r="S984" s="287"/>
      <c r="T984" s="287"/>
      <c r="U984" s="287"/>
      <c r="V984" s="301"/>
      <c r="W984" s="138"/>
      <c r="X984" s="293"/>
      <c r="Y984" s="293"/>
      <c r="Z984" s="293"/>
      <c r="AA984" s="293"/>
      <c r="AB984" s="293"/>
      <c r="AC984" s="293"/>
      <c r="AD984" s="293"/>
      <c r="AE984" s="293"/>
      <c r="AF984" s="293"/>
      <c r="AG984" s="293"/>
      <c r="AH984" s="293"/>
      <c r="AI984" s="326"/>
      <c r="AJ984" s="326"/>
      <c r="AK984" s="326"/>
      <c r="AL984" s="326"/>
      <c r="AM984" s="326"/>
      <c r="AN984" s="326"/>
      <c r="AO984" s="326"/>
      <c r="AP984" s="326"/>
      <c r="AQ984" s="326"/>
      <c r="AR984" s="326"/>
      <c r="AS984" s="326"/>
      <c r="AT984" s="326"/>
      <c r="AU984" s="326"/>
      <c r="AV984" s="326"/>
      <c r="AW984" s="326"/>
      <c r="AX984" s="326"/>
      <c r="AY984" s="326"/>
      <c r="AZ984" s="326"/>
      <c r="BA984" s="326"/>
      <c r="BB984" s="326"/>
      <c r="BC984" s="326"/>
      <c r="BD984" s="326"/>
      <c r="BE984" s="326"/>
      <c r="BF984" s="326"/>
      <c r="BG984" s="326"/>
      <c r="BH984" s="326"/>
      <c r="BI984" s="327" t="str">
        <f>IF(E984="","",E984)</f>
        <v/>
      </c>
      <c r="BJ984" s="328" t="str">
        <f>IF(F990="","",F990)</f>
        <v/>
      </c>
      <c r="BK984" s="329">
        <f>AV990</f>
        <v>0</v>
      </c>
      <c r="BL984" s="329">
        <f>IF(BK984="","",BK984*(1-BP984))</f>
        <v>0</v>
      </c>
      <c r="BM984" s="328" t="str">
        <f>AJ990</f>
        <v/>
      </c>
      <c r="BN984" s="328" t="str">
        <f>IF(F1001="","",F1001)</f>
        <v/>
      </c>
      <c r="BO984" s="327" t="str">
        <f>IF(G1001="","",G1001)</f>
        <v/>
      </c>
      <c r="BP984" s="330">
        <f>AV1001</f>
        <v>0</v>
      </c>
      <c r="BQ984" s="328" t="str">
        <f>IF(F993="","",F993)</f>
        <v/>
      </c>
      <c r="BR984" s="330">
        <f>AV993</f>
        <v>0</v>
      </c>
      <c r="BS984" s="330" t="str">
        <f>AJ993</f>
        <v/>
      </c>
      <c r="BT984" s="328" t="str">
        <f>IF(F992="","",F992)</f>
        <v/>
      </c>
      <c r="BU984" s="330">
        <f>IF(F992=EUconst_NA,"",AV992)</f>
        <v>0</v>
      </c>
      <c r="BV984" s="330" t="str">
        <f>AJ992</f>
        <v/>
      </c>
      <c r="BW984" s="328" t="str">
        <f>IF(F994="","",F994)</f>
        <v/>
      </c>
      <c r="BX984" s="330">
        <f>AV994</f>
        <v>0</v>
      </c>
      <c r="BY984" s="328" t="str">
        <f>IF(F995="","",F995)</f>
        <v/>
      </c>
      <c r="BZ984" s="330">
        <f>AV995</f>
        <v>0</v>
      </c>
      <c r="CA984" s="330">
        <f>AV996</f>
        <v>0</v>
      </c>
      <c r="CB984" s="330">
        <f>AV997</f>
        <v>0</v>
      </c>
      <c r="CC984" s="330">
        <f>AV998</f>
        <v>0</v>
      </c>
      <c r="CD984" s="330">
        <f>AV999</f>
        <v>0</v>
      </c>
      <c r="CE984" s="329" t="str">
        <f>BG990</f>
        <v/>
      </c>
      <c r="CF984" s="329" t="str">
        <f>BG992</f>
        <v/>
      </c>
      <c r="CG984" s="329" t="str">
        <f>BG993</f>
        <v/>
      </c>
      <c r="CH984" s="329" t="str">
        <f>BG994</f>
        <v/>
      </c>
      <c r="CI984" s="329" t="str">
        <f>BG995</f>
        <v/>
      </c>
      <c r="CJ984" s="329" t="str">
        <f>BG996</f>
        <v/>
      </c>
      <c r="CK984" s="329" t="str">
        <f>BG997</f>
        <v/>
      </c>
      <c r="CL984" s="329">
        <f>BG998</f>
        <v>0</v>
      </c>
      <c r="CM984" s="329" t="str">
        <f>BG999</f>
        <v/>
      </c>
      <c r="CN984" s="329" t="str">
        <f>BG1001</f>
        <v/>
      </c>
      <c r="CO984" s="329" t="str">
        <f>BG1005</f>
        <v/>
      </c>
      <c r="CP984" s="329" t="str">
        <f>IF(COUNTIF(AO993:AO994,TRUE)=0,"",BH990)</f>
        <v/>
      </c>
      <c r="CQ984" s="331" t="b">
        <v>0</v>
      </c>
    </row>
    <row r="985" spans="1:95" ht="15" customHeight="1" thickBot="1" x14ac:dyDescent="0.3">
      <c r="A985" s="307"/>
      <c r="B985" s="68"/>
      <c r="C985" s="68"/>
      <c r="D985" s="68"/>
      <c r="E985" s="1274" t="str">
        <f>IF(ISBLANK(E984),"",IF(INDEX(B_IdentifyFuelStreams!$E$67:$E$116,MATCH(U983,B_IdentifyFuelStreams!$D$67:$D$116,0))&gt;0,INDEX(B_IdentifyFuelStreams!$E$67:$E$116,MATCH(U983,B_IdentifyFuelStreams!$D$67:$D$116,0)),""))</f>
        <v/>
      </c>
      <c r="F985" s="1275"/>
      <c r="G985" s="1275"/>
      <c r="H985" s="1275"/>
      <c r="I985" s="1275"/>
      <c r="J985" s="1276"/>
      <c r="K985" s="1272" t="str">
        <f>IF(INDEX(B_IdentifyFuelStreams!$M$125:$M$174,MATCH(U983,B_IdentifyFuelStreams!$D$125:$D$174,0))&gt;0,INDEX(B_IdentifyFuelStreams!$M$125:$M$174,MATCH(U983,B_IdentifyFuelStreams!$D$125:$D$174,0)),"")</f>
        <v/>
      </c>
      <c r="L985" s="1273"/>
      <c r="M985" s="332" t="str">
        <f>Translations!$B$622</f>
        <v>zero-rated:</v>
      </c>
      <c r="N985" s="333" t="str">
        <f>IF(E985="","",SUM(BG992,BG994,BG996))</f>
        <v/>
      </c>
      <c r="O985" s="334" t="str">
        <f>EUconst_tCO2</f>
        <v>tCO2</v>
      </c>
      <c r="P985" s="109"/>
      <c r="Q985" s="325" t="str">
        <f>EUconst_SumBioCO2</f>
        <v>SUM_bioCO2</v>
      </c>
      <c r="R985" s="312"/>
      <c r="S985" s="287"/>
      <c r="T985" s="287"/>
      <c r="U985" s="287"/>
      <c r="V985" s="301"/>
      <c r="W985" s="138"/>
      <c r="X985" s="293"/>
      <c r="Y985" s="317" t="str">
        <f>Translations!$B$143</f>
        <v>Tiers</v>
      </c>
      <c r="Z985" s="314"/>
      <c r="AA985" s="314"/>
      <c r="AB985" s="314"/>
      <c r="AC985" s="314"/>
      <c r="AD985" s="314"/>
      <c r="AE985" s="317" t="s">
        <v>108</v>
      </c>
      <c r="AF985" s="293"/>
      <c r="AG985" s="335"/>
      <c r="AH985" s="314"/>
      <c r="AI985" s="314"/>
      <c r="AJ985" s="335"/>
      <c r="AK985" s="335"/>
      <c r="AL985" s="326"/>
      <c r="AM985" s="326"/>
      <c r="AN985" s="326"/>
      <c r="AO985" s="326"/>
      <c r="AP985" s="326"/>
      <c r="AQ985" s="317" t="s">
        <v>109</v>
      </c>
      <c r="AR985" s="336"/>
      <c r="AS985" s="336"/>
      <c r="AT985" s="314"/>
      <c r="AU985" s="314"/>
      <c r="AV985" s="314"/>
      <c r="AW985" s="314"/>
      <c r="AX985" s="314"/>
      <c r="AY985" s="314"/>
      <c r="AZ985" s="317" t="s">
        <v>110</v>
      </c>
      <c r="BA985" s="314"/>
      <c r="BB985" s="314"/>
      <c r="BC985" s="314"/>
      <c r="BD985" s="314"/>
      <c r="BE985" s="314"/>
      <c r="BF985" s="317" t="s">
        <v>111</v>
      </c>
      <c r="BG985" s="314"/>
      <c r="BH985" s="314"/>
      <c r="BI985" s="317" t="s">
        <v>112</v>
      </c>
      <c r="BJ985" s="328" t="str">
        <f>Translations!$B$376</f>
        <v>RFA Tier</v>
      </c>
      <c r="BK985" s="328" t="str">
        <f>Translations!$B$377</f>
        <v>RFA</v>
      </c>
      <c r="BL985" s="328" t="str">
        <f>Translations!$B$378</f>
        <v>RFA (in scope)</v>
      </c>
      <c r="BM985" s="328" t="str">
        <f>Translations!$B$379</f>
        <v>RFA Unit</v>
      </c>
      <c r="BN985" s="328" t="str">
        <f>Translations!$B$380</f>
        <v>SF Tier</v>
      </c>
      <c r="BO985" s="328" t="str">
        <f>Translations!$B$380</f>
        <v>SF Tier</v>
      </c>
      <c r="BP985" s="328" t="str">
        <f>Translations!$B$381</f>
        <v>SF</v>
      </c>
      <c r="BQ985" s="328" t="str">
        <f>Translations!$B$382</f>
        <v>EF Tier</v>
      </c>
      <c r="BR985" s="328" t="str">
        <f>Translations!$B$383</f>
        <v>EF</v>
      </c>
      <c r="BS985" s="328" t="str">
        <f>Translations!$B$384</f>
        <v>EF Unit</v>
      </c>
      <c r="BT985" s="328" t="str">
        <f>Translations!$B$385</f>
        <v>UCF Tier</v>
      </c>
      <c r="BU985" s="328" t="str">
        <f>Translations!$B$386</f>
        <v>UCF</v>
      </c>
      <c r="BV985" s="328" t="str">
        <f>Translations!$B$387</f>
        <v>UCF Unit</v>
      </c>
      <c r="BW985" s="328" t="str">
        <f>Translations!$B$388</f>
        <v>Bio Tier</v>
      </c>
      <c r="BX985" s="328" t="s">
        <v>113</v>
      </c>
      <c r="BY985" s="328" t="str">
        <f>Translations!$B$389</f>
        <v>NonSustBio Tier</v>
      </c>
      <c r="BZ985" s="328" t="s">
        <v>114</v>
      </c>
      <c r="CA985" s="328" t="s">
        <v>115</v>
      </c>
      <c r="CB985" s="328" t="s">
        <v>116</v>
      </c>
      <c r="CC985" s="328" t="s">
        <v>117</v>
      </c>
      <c r="CD985" s="328" t="s">
        <v>118</v>
      </c>
      <c r="CE985" s="328" t="s">
        <v>119</v>
      </c>
      <c r="CF985" s="328" t="s">
        <v>120</v>
      </c>
      <c r="CG985" s="328" t="str">
        <f>Translations!$B$392</f>
        <v>CO2 non-sust</v>
      </c>
      <c r="CH985" s="328" t="s">
        <v>121</v>
      </c>
      <c r="CI985" s="328" t="s">
        <v>122</v>
      </c>
      <c r="CJ985" s="328" t="s">
        <v>123</v>
      </c>
      <c r="CK985" s="328" t="s">
        <v>124</v>
      </c>
      <c r="CL985" s="328" t="s">
        <v>125</v>
      </c>
      <c r="CM985" s="328" t="str">
        <f>Translations!$B$551</f>
        <v>Energy content (bio), TJ</v>
      </c>
      <c r="CN985" s="328" t="s">
        <v>126</v>
      </c>
      <c r="CO985" s="328" t="s">
        <v>127</v>
      </c>
      <c r="CP985" s="328" t="s">
        <v>128</v>
      </c>
      <c r="CQ985" s="314"/>
    </row>
    <row r="986" spans="1:95" ht="5.15" customHeight="1" thickBot="1" x14ac:dyDescent="0.3">
      <c r="A986" s="307"/>
      <c r="B986" s="68"/>
      <c r="C986" s="68"/>
      <c r="D986" s="68"/>
      <c r="E986" s="68"/>
      <c r="F986" s="68"/>
      <c r="G986" s="68"/>
      <c r="H986" s="76"/>
      <c r="I986" s="76"/>
      <c r="J986" s="76"/>
      <c r="K986" s="76"/>
      <c r="L986" s="76"/>
      <c r="M986" s="76"/>
      <c r="N986" s="76"/>
      <c r="O986" s="160"/>
      <c r="P986" s="109"/>
      <c r="Q986" s="312"/>
      <c r="R986" s="312"/>
      <c r="S986" s="287"/>
      <c r="T986" s="287"/>
      <c r="U986" s="287"/>
      <c r="V986" s="301"/>
      <c r="W986" s="314"/>
      <c r="X986" s="314"/>
      <c r="Y986" s="312"/>
      <c r="Z986" s="314"/>
      <c r="AA986" s="314"/>
      <c r="AB986" s="314"/>
      <c r="AC986" s="314"/>
      <c r="AD986" s="314"/>
      <c r="AE986" s="314"/>
      <c r="AF986" s="293"/>
      <c r="AG986" s="314"/>
      <c r="AH986" s="314"/>
      <c r="AI986" s="314"/>
      <c r="AJ986" s="335"/>
      <c r="AK986" s="335"/>
      <c r="AL986" s="326"/>
      <c r="AM986" s="326"/>
      <c r="AN986" s="326"/>
      <c r="AO986" s="326"/>
      <c r="AP986" s="326"/>
      <c r="AQ986" s="314"/>
      <c r="AR986" s="314"/>
      <c r="AS986" s="314"/>
      <c r="AT986" s="314"/>
      <c r="AU986" s="314"/>
      <c r="AV986" s="314"/>
      <c r="AW986" s="314"/>
      <c r="AX986" s="314"/>
      <c r="AY986" s="314"/>
      <c r="AZ986" s="314"/>
      <c r="BA986" s="314"/>
      <c r="BB986" s="314"/>
      <c r="BC986" s="314"/>
      <c r="BD986" s="314"/>
      <c r="BE986" s="314"/>
      <c r="BF986" s="314"/>
      <c r="BG986" s="314"/>
      <c r="BH986" s="314"/>
      <c r="BI986" s="314"/>
      <c r="BJ986" s="314"/>
      <c r="BK986" s="314"/>
      <c r="BL986" s="314"/>
      <c r="BM986" s="314"/>
      <c r="BN986" s="314"/>
      <c r="BO986" s="314"/>
      <c r="BP986" s="314"/>
      <c r="BQ986" s="314"/>
      <c r="BR986" s="314"/>
      <c r="BS986" s="314"/>
      <c r="BT986" s="314"/>
      <c r="BU986" s="314"/>
      <c r="BV986" s="314"/>
      <c r="BW986" s="314"/>
      <c r="BX986" s="314"/>
      <c r="BY986" s="314"/>
      <c r="BZ986" s="314"/>
      <c r="CA986" s="314"/>
      <c r="CB986" s="314"/>
      <c r="CC986" s="314"/>
      <c r="CD986" s="314"/>
      <c r="CE986" s="314"/>
      <c r="CF986" s="314"/>
      <c r="CG986" s="314"/>
      <c r="CH986" s="314"/>
      <c r="CI986" s="314"/>
      <c r="CJ986" s="314"/>
      <c r="CK986" s="314"/>
      <c r="CL986" s="314"/>
      <c r="CM986" s="314"/>
      <c r="CN986" s="314"/>
      <c r="CO986" s="314"/>
      <c r="CP986" s="314"/>
      <c r="CQ986" s="314"/>
    </row>
    <row r="987" spans="1:95" ht="12.75" customHeight="1" thickBot="1" x14ac:dyDescent="0.3">
      <c r="A987" s="307"/>
      <c r="B987" s="68"/>
      <c r="C987" s="68"/>
      <c r="D987" s="68"/>
      <c r="E987" s="1253" t="str">
        <f>IF(E984="","",HYPERLINK("#JUMP_E_Top",EUconst_FurtherGuidancePoint1))</f>
        <v/>
      </c>
      <c r="F987" s="1253"/>
      <c r="G987" s="1253"/>
      <c r="H987" s="1253"/>
      <c r="I987" s="1253"/>
      <c r="J987" s="1253"/>
      <c r="K987" s="1253"/>
      <c r="L987" s="1253"/>
      <c r="M987" s="1253"/>
      <c r="N987" s="76"/>
      <c r="O987" s="160"/>
      <c r="P987" s="109"/>
      <c r="Q987" s="325" t="str">
        <f>EUconst_SumNonSustBioCO2</f>
        <v>SUM_bioNonSustCO2</v>
      </c>
      <c r="R987" s="337" t="str">
        <f>IF(E985="","",BG993)</f>
        <v/>
      </c>
      <c r="S987" s="287"/>
      <c r="T987" s="287"/>
      <c r="U987" s="287"/>
      <c r="V987" s="314"/>
      <c r="W987" s="314"/>
      <c r="X987" s="314"/>
      <c r="Y987" s="293"/>
      <c r="Z987" s="314"/>
      <c r="AA987" s="314"/>
      <c r="AB987" s="314"/>
      <c r="AC987" s="314"/>
      <c r="AD987" s="314"/>
      <c r="AE987" s="314"/>
      <c r="AF987" s="293"/>
      <c r="AG987" s="314"/>
      <c r="AH987" s="314"/>
      <c r="AI987" s="314"/>
      <c r="AJ987" s="335"/>
      <c r="AK987" s="335"/>
      <c r="AL987" s="326"/>
      <c r="AM987" s="326"/>
      <c r="AN987" s="326"/>
      <c r="AO987" s="326"/>
      <c r="AP987" s="326"/>
      <c r="AQ987" s="314"/>
      <c r="AR987" s="314"/>
      <c r="AS987" s="314"/>
      <c r="AT987" s="314"/>
      <c r="AU987" s="314"/>
      <c r="AV987" s="314"/>
      <c r="AW987" s="314"/>
      <c r="AX987" s="314"/>
      <c r="AY987" s="314"/>
      <c r="AZ987" s="314"/>
      <c r="BA987" s="314"/>
      <c r="BB987" s="314"/>
      <c r="BC987" s="314"/>
      <c r="BD987" s="314"/>
      <c r="BE987" s="314"/>
      <c r="BF987" s="314"/>
      <c r="BG987" s="314"/>
      <c r="BH987" s="314"/>
      <c r="BI987" s="317" t="s">
        <v>129</v>
      </c>
      <c r="BJ987" s="336"/>
      <c r="BK987" s="327" t="str">
        <f>IF(G1005="","",G1005)</f>
        <v/>
      </c>
      <c r="BL987" s="327" t="str">
        <f>IF(I1005="","",I1005)</f>
        <v/>
      </c>
      <c r="BM987" s="327" t="str">
        <f>IF(K1005="","",K1005)</f>
        <v/>
      </c>
      <c r="BN987" s="314"/>
      <c r="BO987" s="314"/>
      <c r="BP987" s="314"/>
      <c r="BQ987" s="314"/>
      <c r="BR987" s="314"/>
      <c r="BS987" s="314"/>
      <c r="BT987" s="319"/>
      <c r="BU987" s="314"/>
      <c r="BV987" s="314"/>
      <c r="BW987" s="314"/>
      <c r="BX987" s="314"/>
      <c r="BY987" s="314"/>
      <c r="BZ987" s="314"/>
      <c r="CA987" s="314"/>
      <c r="CB987" s="314"/>
      <c r="CC987" s="314"/>
      <c r="CD987" s="314"/>
      <c r="CE987" s="314"/>
      <c r="CF987" s="314"/>
      <c r="CG987" s="314"/>
      <c r="CH987" s="314"/>
      <c r="CI987" s="314"/>
      <c r="CJ987" s="314"/>
      <c r="CK987" s="314"/>
      <c r="CL987" s="314"/>
      <c r="CM987" s="314"/>
      <c r="CN987" s="314"/>
      <c r="CO987" s="314"/>
      <c r="CP987" s="314"/>
      <c r="CQ987" s="314"/>
    </row>
    <row r="988" spans="1:95" ht="5.15" customHeight="1" thickBot="1" x14ac:dyDescent="0.3">
      <c r="A988" s="307"/>
      <c r="B988" s="68"/>
      <c r="C988" s="68"/>
      <c r="D988" s="68"/>
      <c r="E988" s="68"/>
      <c r="F988" s="68"/>
      <c r="G988" s="68"/>
      <c r="H988" s="76"/>
      <c r="I988" s="76"/>
      <c r="J988" s="76"/>
      <c r="K988" s="76"/>
      <c r="L988" s="76"/>
      <c r="M988" s="76"/>
      <c r="N988" s="76"/>
      <c r="O988" s="160"/>
      <c r="P988" s="111"/>
      <c r="Q988" s="287"/>
      <c r="R988" s="111"/>
      <c r="S988" s="287"/>
      <c r="T988" s="287"/>
      <c r="U988" s="287"/>
      <c r="V988" s="314"/>
      <c r="W988" s="314"/>
      <c r="X988" s="314"/>
      <c r="Y988" s="312"/>
      <c r="Z988" s="314"/>
      <c r="AA988" s="314"/>
      <c r="AB988" s="314"/>
      <c r="AC988" s="314"/>
      <c r="AD988" s="314"/>
      <c r="AE988" s="314"/>
      <c r="AF988" s="293"/>
      <c r="AG988" s="314"/>
      <c r="AH988" s="314"/>
      <c r="AI988" s="314"/>
      <c r="AJ988" s="335"/>
      <c r="AK988" s="335"/>
      <c r="AL988" s="326"/>
      <c r="AM988" s="326"/>
      <c r="AN988" s="326"/>
      <c r="AO988" s="326"/>
      <c r="AP988" s="326"/>
      <c r="AQ988" s="314"/>
      <c r="AR988" s="314"/>
      <c r="AS988" s="314"/>
      <c r="AT988" s="314"/>
      <c r="AU988" s="314"/>
      <c r="AV988" s="314"/>
      <c r="AW988" s="314"/>
      <c r="AX988" s="314"/>
      <c r="AY988" s="314"/>
      <c r="AZ988" s="314"/>
      <c r="BA988" s="314"/>
      <c r="BB988" s="314"/>
      <c r="BC988" s="314"/>
      <c r="BD988" s="314"/>
      <c r="BE988" s="314"/>
      <c r="BF988" s="314"/>
      <c r="BG988" s="314"/>
      <c r="BH988" s="314"/>
      <c r="BI988" s="314"/>
      <c r="BJ988" s="314"/>
      <c r="BK988" s="314"/>
      <c r="BL988" s="314"/>
      <c r="BM988" s="314"/>
      <c r="BN988" s="314"/>
      <c r="BO988" s="314"/>
      <c r="BP988" s="314"/>
      <c r="BQ988" s="314"/>
      <c r="BR988" s="314"/>
      <c r="BS988" s="314"/>
      <c r="BT988" s="314"/>
      <c r="BU988" s="314"/>
      <c r="BV988" s="314"/>
      <c r="BW988" s="314"/>
      <c r="BX988" s="314"/>
      <c r="BY988" s="314"/>
      <c r="BZ988" s="314"/>
      <c r="CA988" s="314"/>
      <c r="CB988" s="314"/>
      <c r="CC988" s="314"/>
      <c r="CD988" s="314"/>
      <c r="CE988" s="314"/>
      <c r="CF988" s="314"/>
      <c r="CG988" s="314"/>
      <c r="CH988" s="314"/>
      <c r="CI988" s="314"/>
      <c r="CJ988" s="314"/>
      <c r="CK988" s="314"/>
      <c r="CL988" s="314"/>
      <c r="CM988" s="314"/>
      <c r="CN988" s="314"/>
      <c r="CO988" s="314"/>
      <c r="CP988" s="314"/>
      <c r="CQ988" s="314"/>
    </row>
    <row r="989" spans="1:95" ht="12.75" customHeight="1" thickBot="1" x14ac:dyDescent="0.3">
      <c r="A989" s="307"/>
      <c r="B989" s="68"/>
      <c r="C989" s="68"/>
      <c r="D989" s="68"/>
      <c r="E989" s="68"/>
      <c r="F989" s="338" t="str">
        <f>Translations!$B$127</f>
        <v>Tier</v>
      </c>
      <c r="G989" s="1254" t="str">
        <f>Translations!$B$393</f>
        <v>tier description</v>
      </c>
      <c r="H989" s="1254"/>
      <c r="I989" s="1255" t="str">
        <f>Translations!$B$394</f>
        <v>Unit</v>
      </c>
      <c r="J989" s="1255"/>
      <c r="K989" s="1255" t="str">
        <f>Translations!$B$395</f>
        <v>Value</v>
      </c>
      <c r="L989" s="1255"/>
      <c r="M989" s="205" t="str">
        <f>Translations!$B$396</f>
        <v>error</v>
      </c>
      <c r="N989" s="76"/>
      <c r="O989" s="160"/>
      <c r="P989" s="339"/>
      <c r="Q989" s="325" t="str">
        <f>EUconst_SumEnergyIN</f>
        <v>SUM_EnergyIN</v>
      </c>
      <c r="R989" s="340" t="str">
        <f>IF(E985="","",BG998)</f>
        <v/>
      </c>
      <c r="S989" s="314"/>
      <c r="T989" s="314"/>
      <c r="U989" s="314"/>
      <c r="V989" s="341" t="s">
        <v>130</v>
      </c>
      <c r="W989" s="314"/>
      <c r="X989" s="314"/>
      <c r="Y989" s="312" t="s">
        <v>131</v>
      </c>
      <c r="Z989" s="312" t="s">
        <v>132</v>
      </c>
      <c r="AA989" s="314"/>
      <c r="AB989" s="314"/>
      <c r="AC989" s="336" t="s">
        <v>133</v>
      </c>
      <c r="AD989" s="314"/>
      <c r="AE989" s="314"/>
      <c r="AF989" s="314" t="s">
        <v>134</v>
      </c>
      <c r="AG989" s="314" t="s">
        <v>135</v>
      </c>
      <c r="AH989" s="312" t="s">
        <v>136</v>
      </c>
      <c r="AI989" s="335" t="s">
        <v>137</v>
      </c>
      <c r="AJ989" s="335" t="s">
        <v>138</v>
      </c>
      <c r="AK989" s="342" t="s">
        <v>139</v>
      </c>
      <c r="AL989" s="326"/>
      <c r="AM989" s="326"/>
      <c r="AN989" s="326"/>
      <c r="AO989" s="326"/>
      <c r="AP989" s="326"/>
      <c r="AQ989" s="314"/>
      <c r="AR989" s="314" t="s">
        <v>134</v>
      </c>
      <c r="AS989" s="314" t="s">
        <v>135</v>
      </c>
      <c r="AT989" s="343" t="s">
        <v>140</v>
      </c>
      <c r="AU989" s="335" t="s">
        <v>141</v>
      </c>
      <c r="AV989" s="335" t="s">
        <v>142</v>
      </c>
      <c r="AW989" s="342" t="s">
        <v>139</v>
      </c>
      <c r="AX989" s="342" t="s">
        <v>139</v>
      </c>
      <c r="AY989" s="314"/>
      <c r="AZ989" s="314"/>
      <c r="BA989" s="314"/>
      <c r="BB989" s="314" t="s">
        <v>143</v>
      </c>
      <c r="BC989" s="314"/>
      <c r="BD989" s="314"/>
      <c r="BE989" s="314"/>
      <c r="BF989" s="314"/>
      <c r="BG989" s="319" t="s">
        <v>144</v>
      </c>
      <c r="BH989" s="314" t="s">
        <v>145</v>
      </c>
      <c r="BI989" s="314"/>
      <c r="BJ989" s="314"/>
      <c r="BK989" s="314"/>
      <c r="BL989" s="314"/>
      <c r="BM989" s="314"/>
      <c r="BN989" s="314"/>
      <c r="BO989" s="314"/>
      <c r="BP989" s="314"/>
      <c r="BQ989" s="314"/>
      <c r="BR989" s="314"/>
      <c r="BS989" s="314"/>
      <c r="BT989" s="314"/>
      <c r="BU989" s="314"/>
      <c r="BV989" s="314"/>
      <c r="BW989" s="314"/>
      <c r="BX989" s="314"/>
      <c r="BY989" s="314"/>
      <c r="BZ989" s="314"/>
      <c r="CA989" s="314"/>
      <c r="CB989" s="314"/>
      <c r="CC989" s="314"/>
      <c r="CD989" s="314"/>
      <c r="CE989" s="314"/>
      <c r="CF989" s="314"/>
      <c r="CG989" s="314"/>
      <c r="CH989" s="314"/>
      <c r="CI989" s="314"/>
      <c r="CJ989" s="314"/>
      <c r="CK989" s="314"/>
      <c r="CL989" s="314"/>
      <c r="CM989" s="314"/>
      <c r="CN989" s="314"/>
      <c r="CO989" s="314"/>
      <c r="CP989" s="314"/>
      <c r="CQ989" s="319" t="s">
        <v>107</v>
      </c>
    </row>
    <row r="990" spans="1:95" ht="12.75" customHeight="1" thickBot="1" x14ac:dyDescent="0.3">
      <c r="A990" s="307"/>
      <c r="B990" s="68"/>
      <c r="C990" s="199" t="s">
        <v>12</v>
      </c>
      <c r="D990" s="344" t="str">
        <f>Translations!$B$356</f>
        <v>RFA:</v>
      </c>
      <c r="E990" s="345"/>
      <c r="F990" s="6"/>
      <c r="G990" s="1256" t="str">
        <f>IF(OR(ISBLANK(F990),F990=EUconst_NoTier),"",IF(Z990=0,EUconst_NA,IF(ISERROR(Z990),"",Z990)))</f>
        <v/>
      </c>
      <c r="H990" s="1257"/>
      <c r="I990" s="346" t="str">
        <f>IF(J990&lt;&gt;"","",AI990)</f>
        <v/>
      </c>
      <c r="J990" s="7"/>
      <c r="K990" s="1258"/>
      <c r="L990" s="1259"/>
      <c r="M990" s="347" t="str">
        <f>IF(AND(E985&lt;&gt;"",OR(F990="",COUNT(K990)=0),Y990&lt;&gt;EUconst_NA),EUconst_ERR_Incomplete,"")</f>
        <v/>
      </c>
      <c r="N990" s="76"/>
      <c r="O990" s="160"/>
      <c r="P990" s="348"/>
      <c r="Q990" s="325" t="str">
        <f>EUconst_SumBioEnergyIN</f>
        <v>SUM_BioEnergyIN</v>
      </c>
      <c r="R990" s="340" t="str">
        <f>IF(E985="","",BG999)</f>
        <v/>
      </c>
      <c r="S990" s="314"/>
      <c r="T990" s="349" t="str">
        <f>EUconst_CNTR_ActivityData&amp;E985</f>
        <v>ActivityData_</v>
      </c>
      <c r="U990" s="312"/>
      <c r="V990" s="349" t="str">
        <f>IF(E984="","",INDEX(B_IdentifyFuelStreams!$I$67:$I$116,MATCH(U983,B_IdentifyFuelStreams!$D$67:$D$116,0)))</f>
        <v/>
      </c>
      <c r="W990" s="335" t="s">
        <v>146</v>
      </c>
      <c r="X990" s="312"/>
      <c r="Y990" s="350" t="str">
        <f>IF(E985="","",INDEX(EUwideConstants!$P$164:$P$200,MATCH(T990,EUwideConstants!$S$164:$S$200,0)))</f>
        <v/>
      </c>
      <c r="Z990" s="351" t="str">
        <f>IF(ISBLANK(F990),"",IF(F990=EUconst_NA,"",INDEX(EUwideConstants!$H:$O,MATCH(T990,EUwideConstants!$S:$S,0),MATCH(F990,CNTR_TierList,0))))</f>
        <v/>
      </c>
      <c r="AA990" s="352" t="s">
        <v>136</v>
      </c>
      <c r="AB990" s="335"/>
      <c r="AC990" s="331" t="b">
        <f>E984&lt;&gt;""</f>
        <v>0</v>
      </c>
      <c r="AD990" s="314"/>
      <c r="AE990" s="353" t="str">
        <f>EUconst_CNTR_ActivityData&amp;EUconst_Unit</f>
        <v>ActivityData_Unit</v>
      </c>
      <c r="AF990" s="354" t="str">
        <f>IF(AC990=TRUE, IF(COUNTIF(MSPara_SourceStreamCategory,V990)=0,"",INDEX(MSPara_CalcFactorsMatrix,MATCH(V990,MSPara_SourceStreamCategory,0),MATCH(AE990&amp;"_"&amp;2,MSPara_CalcFactors,0))),"")</f>
        <v/>
      </c>
      <c r="AG990" s="355" t="str">
        <f>IF(AC990=TRUE, IF(COUNTIF(MSPara_SourceStreamCategory,V990)=0,"",INDEX(MSPara_CalcFactorsMatrix,MATCH(V990,MSPara_SourceStreamCategory,0),MATCH(AE990&amp;"_"&amp;1,MSPara_CalcFactors,0))),"")</f>
        <v/>
      </c>
      <c r="AH990" s="331" t="str">
        <f>IF(OR(AF990="",AF990=EUconst_NA),IF(OR(AG990=EUconst_NA,AG990=""),"",AG990),AF990)</f>
        <v/>
      </c>
      <c r="AI990" s="350" t="str">
        <f>IF(AC990=TRUE,IF(AH990="",EUconst_t,AH990),"")</f>
        <v/>
      </c>
      <c r="AJ990" s="356" t="str">
        <f>IF(J990="",AI990,J990)</f>
        <v/>
      </c>
      <c r="AK990" s="357" t="b">
        <f>AND(E984&lt;&gt;"",J990&lt;&gt;"")</f>
        <v>0</v>
      </c>
      <c r="AL990" s="326"/>
      <c r="AM990" s="358" t="s">
        <v>147</v>
      </c>
      <c r="AN990" s="359" t="str">
        <f>AJ990</f>
        <v/>
      </c>
      <c r="AO990" s="326"/>
      <c r="AP990" s="326"/>
      <c r="AQ990" s="349" t="str">
        <f>EUconst_CNTR_ActivityData&amp;EUconst_Value</f>
        <v>ActivityData_Value</v>
      </c>
      <c r="AR990" s="336"/>
      <c r="AS990" s="336"/>
      <c r="AT990" s="331" t="b">
        <f>AND(AND(AH990&lt;&gt;"",AJ990&lt;&gt;""),AJ990=AH990)</f>
        <v>0</v>
      </c>
      <c r="AU990" s="314"/>
      <c r="AV990" s="331">
        <f>IF(Y990=EUconst_NA,0,IF(COUNT(K990:K990)=0,0,IF(K990="",#REF!,K990)))</f>
        <v>0</v>
      </c>
      <c r="AW990" s="360" t="b">
        <f>AND(AC990=TRUE,OR(K990&lt;&gt;"",AU990=""))</f>
        <v>0</v>
      </c>
      <c r="AX990" s="360" t="b">
        <f>AND(AC990=TRUE,NOT(AW990))</f>
        <v>0</v>
      </c>
      <c r="AY990" s="314"/>
      <c r="AZ990" s="314" t="s">
        <v>148</v>
      </c>
      <c r="BA990" s="314" t="s">
        <v>149</v>
      </c>
      <c r="BB990" s="360"/>
      <c r="BC990" s="314" t="s">
        <v>150</v>
      </c>
      <c r="BD990" s="314"/>
      <c r="BE990" s="314"/>
      <c r="BF990" s="361" t="s">
        <v>119</v>
      </c>
      <c r="BG990" s="362" t="str">
        <f>IF(COUNTIF(AO993:AO994,TRUE)=0,"",BH990*AV1001)</f>
        <v/>
      </c>
      <c r="BH990" s="362" t="str">
        <f>IF(COUNTIF(AO993:AO994,TRUE)=0,"",AV990*IF(AO993,1,AV992*AN994)*AV993-BH992-BH994-BH996)</f>
        <v/>
      </c>
      <c r="BI990" s="314"/>
      <c r="BJ990" s="314"/>
      <c r="BK990" s="314"/>
      <c r="BL990" s="314"/>
      <c r="BM990" s="314"/>
      <c r="BN990" s="314"/>
      <c r="BO990" s="314"/>
      <c r="BP990" s="314"/>
      <c r="BQ990" s="314"/>
      <c r="BR990" s="314"/>
      <c r="BS990" s="314"/>
      <c r="BT990" s="314"/>
      <c r="BU990" s="314"/>
      <c r="BV990" s="314"/>
      <c r="BW990" s="314"/>
      <c r="BX990" s="314"/>
      <c r="BY990" s="314"/>
      <c r="BZ990" s="314"/>
      <c r="CA990" s="314"/>
      <c r="CB990" s="314"/>
      <c r="CC990" s="314"/>
      <c r="CD990" s="314"/>
      <c r="CE990" s="314"/>
      <c r="CF990" s="314"/>
      <c r="CG990" s="314"/>
      <c r="CH990" s="314"/>
      <c r="CI990" s="314"/>
      <c r="CJ990" s="314"/>
      <c r="CK990" s="314"/>
      <c r="CL990" s="314"/>
      <c r="CM990" s="314"/>
      <c r="CN990" s="314"/>
      <c r="CO990" s="314"/>
      <c r="CP990" s="314"/>
      <c r="CQ990" s="360" t="b">
        <v>0</v>
      </c>
    </row>
    <row r="991" spans="1:95" ht="5.15" customHeight="1" thickBot="1" x14ac:dyDescent="0.3">
      <c r="A991" s="307"/>
      <c r="B991" s="68"/>
      <c r="C991" s="199"/>
      <c r="D991" s="202"/>
      <c r="E991" s="76"/>
      <c r="F991" s="76"/>
      <c r="G991" s="76"/>
      <c r="H991" s="76" t="str">
        <f>Translations!$B$397</f>
        <v xml:space="preserve"> </v>
      </c>
      <c r="I991" s="162"/>
      <c r="J991" s="162"/>
      <c r="K991" s="76"/>
      <c r="L991" s="76"/>
      <c r="M991" s="363"/>
      <c r="N991" s="76"/>
      <c r="O991" s="160"/>
      <c r="P991" s="109"/>
      <c r="Q991" s="312"/>
      <c r="R991" s="312"/>
      <c r="S991" s="314"/>
      <c r="T991" s="62"/>
      <c r="U991" s="312"/>
      <c r="V991" s="314"/>
      <c r="W991" s="314"/>
      <c r="X991" s="312"/>
      <c r="Y991" s="319"/>
      <c r="Z991" s="314"/>
      <c r="AA991" s="314"/>
      <c r="AB991" s="314"/>
      <c r="AC991" s="314"/>
      <c r="AD991" s="314"/>
      <c r="AE991" s="314"/>
      <c r="AF991" s="314"/>
      <c r="AG991" s="314"/>
      <c r="AH991" s="314"/>
      <c r="AI991" s="314"/>
      <c r="AJ991" s="314"/>
      <c r="AK991" s="314"/>
      <c r="AL991" s="326"/>
      <c r="AM991" s="326"/>
      <c r="AN991" s="326"/>
      <c r="AO991" s="326"/>
      <c r="AP991" s="326"/>
      <c r="AQ991" s="314"/>
      <c r="AR991" s="314"/>
      <c r="AS991" s="314"/>
      <c r="AT991" s="314"/>
      <c r="AU991" s="314"/>
      <c r="AV991" s="314"/>
      <c r="AW991" s="314"/>
      <c r="AX991" s="314"/>
      <c r="AY991" s="314"/>
      <c r="AZ991" s="314"/>
      <c r="BA991" s="314"/>
      <c r="BB991" s="314"/>
      <c r="BC991" s="314"/>
      <c r="BD991" s="314"/>
      <c r="BE991" s="314"/>
      <c r="BF991" s="314"/>
      <c r="BG991" s="364"/>
      <c r="BH991" s="364"/>
      <c r="BI991" s="314"/>
      <c r="BJ991" s="314"/>
      <c r="BK991" s="314"/>
      <c r="BL991" s="314"/>
      <c r="BM991" s="314"/>
      <c r="BN991" s="314"/>
      <c r="BO991" s="314"/>
      <c r="BP991" s="314"/>
      <c r="BQ991" s="314"/>
      <c r="BR991" s="314"/>
      <c r="BS991" s="314"/>
      <c r="BT991" s="314"/>
      <c r="BU991" s="314"/>
      <c r="BV991" s="314"/>
      <c r="BW991" s="314"/>
      <c r="BX991" s="314"/>
      <c r="BY991" s="314"/>
      <c r="BZ991" s="314"/>
      <c r="CA991" s="314"/>
      <c r="CB991" s="314"/>
      <c r="CC991" s="314"/>
      <c r="CD991" s="314"/>
      <c r="CE991" s="314"/>
      <c r="CF991" s="314"/>
      <c r="CG991" s="314"/>
      <c r="CH991" s="314"/>
      <c r="CI991" s="314"/>
      <c r="CJ991" s="314"/>
      <c r="CK991" s="314"/>
      <c r="CL991" s="314"/>
      <c r="CM991" s="314"/>
      <c r="CN991" s="314"/>
      <c r="CO991" s="314"/>
      <c r="CP991" s="314"/>
      <c r="CQ991" s="319"/>
    </row>
    <row r="992" spans="1:95" ht="12.75" customHeight="1" x14ac:dyDescent="0.25">
      <c r="A992" s="307"/>
      <c r="B992" s="68"/>
      <c r="C992" s="199" t="s">
        <v>13</v>
      </c>
      <c r="D992" s="344" t="str">
        <f>Translations!$B$360</f>
        <v>UCF:</v>
      </c>
      <c r="E992" s="345"/>
      <c r="F992" s="10"/>
      <c r="G992" s="1256" t="str">
        <f>IF(OR(ISBLANK(F992),F992=EUconst_NoTier),"",IF(Z992=0,EUconst_NotApplicable,IF(ISERROR(Z992),"",Z992)))</f>
        <v/>
      </c>
      <c r="H992" s="1257"/>
      <c r="I992" s="365" t="str">
        <f>IF(J992&lt;&gt;"","",AI992)</f>
        <v/>
      </c>
      <c r="J992" s="11"/>
      <c r="K992" s="366" t="str">
        <f>IF(L992="",AU992,"")</f>
        <v/>
      </c>
      <c r="L992" s="23"/>
      <c r="M992" s="347" t="str">
        <f>IF(AND(E985&lt;&gt;"",OR(F992="",COUNT(K992:L992)=0),Y992&lt;&gt;EUconst_NA),EUconst_ERR_Incomplete,IF(COUNTIF(BB992:BD992,TRUE)&gt;0,EUconst_ERR_Inconsistent,""))</f>
        <v/>
      </c>
      <c r="N992" s="367"/>
      <c r="O992" s="160"/>
      <c r="P992" s="109"/>
      <c r="Q992" s="312"/>
      <c r="R992" s="312"/>
      <c r="S992" s="314"/>
      <c r="T992" s="368" t="str">
        <f>EUconst_CNTR_UCF&amp;E985</f>
        <v>UCF_</v>
      </c>
      <c r="U992" s="312"/>
      <c r="V992" s="369" t="str">
        <f>V993</f>
        <v/>
      </c>
      <c r="W992" s="314"/>
      <c r="X992" s="312"/>
      <c r="Y992" s="370" t="str">
        <f>IF(E985="","",IF(OR(F992=EUconst_NA,W992=TRUE),EUconst_NA,INDEX(EUwideConstants!$P$164:$P$200,MATCH(T992,EUwideConstants!$S$164:$S$200,0))))</f>
        <v/>
      </c>
      <c r="Z992" s="371" t="str">
        <f>IF(ISBLANK(F992),"",IF(F992=EUconst_NA,"",INDEX(EUwideConstants!$H:$O,MATCH(T992,EUwideConstants!$S:$S,0),MATCH(F992,CNTR_TierList,0))))</f>
        <v/>
      </c>
      <c r="AA992" s="372" t="str">
        <f>IF(COUNTIF(EUconst_DefaultValues,Z992)&gt;0,MATCH(Z992,EUconst_DefaultValues,0),"")</f>
        <v/>
      </c>
      <c r="AB992" s="314"/>
      <c r="AC992" s="373" t="b">
        <f>AND(AC990,Y992&lt;&gt;EUconst_NA)</f>
        <v>0</v>
      </c>
      <c r="AD992" s="314"/>
      <c r="AE992" s="353" t="str">
        <f>EUconst_CNTR_UCF&amp;EUconst_Unit</f>
        <v>UCF_Unit</v>
      </c>
      <c r="AF992" s="374" t="str">
        <f>IF(AC992=TRUE, IF(COUNTIF(MSPara_SourceStreamCategory,V992)=0,"",INDEX(MSPara_CalcFactorsMatrix,MATCH(V992,MSPara_SourceStreamCategory,0),MATCH(AE992&amp;"_"&amp;2,MSPara_CalcFactors,0))),"")</f>
        <v/>
      </c>
      <c r="AG992" s="375" t="str">
        <f>IF(AC992=TRUE, IF(COUNTIF(MSPara_SourceStreamCategory,V992)=0,"",INDEX(MSPara_CalcFactorsMatrix,MATCH(V992,MSPara_SourceStreamCategory,0),MATCH(AE992&amp;"_"&amp;1,MSPara_CalcFactors,0))),"")</f>
        <v/>
      </c>
      <c r="AH992" s="373" t="str">
        <f>IF(AA992="","",INDEX(AF992:AG992,3-AA992))</f>
        <v/>
      </c>
      <c r="AI992" s="373" t="str">
        <f>IF(AC992=TRUE,IF(OR(AH992="",AH992=EUconst_NA),EUconst_GJ&amp;"/"&amp;AJ990,AH992),"")</f>
        <v/>
      </c>
      <c r="AJ992" s="373" t="str">
        <f>IF(J992="",AI992,J992)</f>
        <v/>
      </c>
      <c r="AK992" s="369" t="b">
        <f>AND(E984&lt;&gt;"",J992&lt;&gt;"")</f>
        <v>0</v>
      </c>
      <c r="AL992" s="326"/>
      <c r="AM992" s="358" t="s">
        <v>151</v>
      </c>
      <c r="AN992" s="359" t="str">
        <f>IF(AJ992="",EUconst_NA,IF(AN990=EUconst_TJ,EUconst_TJ,INDEX(EUwideConstants!$C$135:$G$139,MATCH(AN990,RFAUnits,0),MATCH(AJ992,UCFUnits,0))))</f>
        <v>n.a.</v>
      </c>
      <c r="AO992" s="326"/>
      <c r="AP992" s="326"/>
      <c r="AQ992" s="376" t="str">
        <f>EUconst_CNTR_UCF&amp;EUconst_Value</f>
        <v>UCF_Value</v>
      </c>
      <c r="AR992" s="377" t="str">
        <f>IF(AC992=TRUE,IF(COUNTIF(MSPara_SourceStreamCategory,V992)=0,"",INDEX(MSPara_CalcFactorsMatrix,MATCH(V992,MSPara_SourceStreamCategory,0),MATCH(AQ992&amp;"_"&amp;2,MSPara_CalcFactors,0))),"")</f>
        <v/>
      </c>
      <c r="AS992" s="378" t="str">
        <f>IF(AC992=TRUE,IF(COUNTIF(MSPara_SourceStreamCategory,V992)=0,"",INDEX(MSPara_CalcFactorsMatrix,MATCH(V992,MSPara_SourceStreamCategory,0),MATCH(AQ992&amp;"_"&amp;1,MSPara_CalcFactors,0))),"")</f>
        <v/>
      </c>
      <c r="AT992" s="379" t="b">
        <f>AND(AND(AH992&lt;&gt;"",AJ992&lt;&gt;""),AJ992=AH992)</f>
        <v>0</v>
      </c>
      <c r="AU992" s="380" t="str">
        <f>IF(AND(AA992&lt;&gt;"",AT992=TRUE),IF(OR(INDEX(AR992:AS992,3-AA992)=EUconst_NA,INDEX(AR992:AS992,3-AA992)=0),"",INDEX(AR992:AS992,3-AA992)),"")</f>
        <v/>
      </c>
      <c r="AV992" s="373">
        <f>IF(AC992=TRUE,IF(COUNT(K992:L992)=0,0,IF(L992="",K992,L992)),0)</f>
        <v>0</v>
      </c>
      <c r="AW992" s="369" t="b">
        <f t="shared" ref="AW992:AW999" si="297">AND(AC992=TRUE,OR(AND(F992&lt;&gt;"",NOT(ISNUMBER(AA992))),L992&lt;&gt;"",F992="",AU992=""))</f>
        <v>0</v>
      </c>
      <c r="AX992" s="381" t="b">
        <f t="shared" ref="AX992:AX999" si="298">AND(AC992=TRUE,NOT(AW992))</f>
        <v>0</v>
      </c>
      <c r="AY992" s="314"/>
      <c r="AZ992" s="382" t="b">
        <f t="shared" ref="AZ992:AZ999" si="299">AND(ISNUMBER(AA992),AU992="")</f>
        <v>0</v>
      </c>
      <c r="BA992" s="383" t="b">
        <f t="shared" ref="BA992:BA999" si="300">AND(ISNUMBER(AA992),AU992&lt;&gt;AV992)</f>
        <v>0</v>
      </c>
      <c r="BB992" s="369" t="b">
        <f>AND(E985&lt;&gt;"",F992&lt;&gt;EUconst_NA,AN992=EUconst_NA)</f>
        <v>0</v>
      </c>
      <c r="BC992" s="369" t="b">
        <f t="shared" ref="BC992:BC999" si="301">AND(L992&lt;&gt;"",Y992=EUconst_NA)</f>
        <v>0</v>
      </c>
      <c r="BD992" s="314"/>
      <c r="BE992" s="314"/>
      <c r="BF992" s="382" t="s">
        <v>152</v>
      </c>
      <c r="BG992" s="384" t="str">
        <f>IF(COUNTIF(AO993:AO994,TRUE)=0,"",BH992*AV1001)</f>
        <v/>
      </c>
      <c r="BH992" s="384" t="str">
        <f>IF(COUNTIF(AO993:AO994,TRUE)=0,"",AV990*IF(AO993,1,AV992*AN994)*AV993*AV994)</f>
        <v/>
      </c>
      <c r="BI992" s="314"/>
      <c r="BJ992" s="314"/>
      <c r="BK992" s="314"/>
      <c r="BL992" s="314"/>
      <c r="BM992" s="314"/>
      <c r="BN992" s="314"/>
      <c r="BO992" s="314"/>
      <c r="BP992" s="314"/>
      <c r="BQ992" s="314"/>
      <c r="BR992" s="314"/>
      <c r="BS992" s="314"/>
      <c r="BT992" s="314"/>
      <c r="BU992" s="314"/>
      <c r="BV992" s="314"/>
      <c r="BW992" s="314"/>
      <c r="BX992" s="314"/>
      <c r="BY992" s="314"/>
      <c r="BZ992" s="314"/>
      <c r="CA992" s="314"/>
      <c r="CB992" s="314"/>
      <c r="CC992" s="314"/>
      <c r="CD992" s="314"/>
      <c r="CE992" s="314"/>
      <c r="CF992" s="314"/>
      <c r="CG992" s="314"/>
      <c r="CH992" s="314"/>
      <c r="CI992" s="314"/>
      <c r="CJ992" s="314"/>
      <c r="CK992" s="314"/>
      <c r="CL992" s="314"/>
      <c r="CM992" s="314"/>
      <c r="CN992" s="314"/>
      <c r="CO992" s="314"/>
      <c r="CP992" s="314"/>
      <c r="CQ992" s="369" t="b">
        <f>OR(CQ990,Y992=EUconst_NA)</f>
        <v>0</v>
      </c>
    </row>
    <row r="993" spans="1:95" ht="12.75" customHeight="1" thickBot="1" x14ac:dyDescent="0.3">
      <c r="A993" s="307"/>
      <c r="B993" s="68"/>
      <c r="C993" s="199" t="s">
        <v>14</v>
      </c>
      <c r="D993" s="344" t="str">
        <f>Translations!$B$358</f>
        <v>(prelim) EF:</v>
      </c>
      <c r="E993" s="345"/>
      <c r="F993" s="59"/>
      <c r="G993" s="1256" t="str">
        <f>IF(OR(ISBLANK(F993),F993=EUconst_NoTier),"",IF(Z993=0,EUconst_NotApplicable,IF(ISERROR(Z993),"",Z993)))</f>
        <v/>
      </c>
      <c r="H993" s="1260"/>
      <c r="I993" s="385" t="str">
        <f>IF(J993&lt;&gt;"","",AI993)</f>
        <v/>
      </c>
      <c r="J993" s="22"/>
      <c r="K993" s="386" t="str">
        <f>IF(L993="",AU993,"")</f>
        <v/>
      </c>
      <c r="L993" s="58"/>
      <c r="M993" s="347" t="str">
        <f>IF(AND(E985&lt;&gt;"",OR(F993="",COUNT(K993:L993)=0),Y993&lt;&gt;EUconst_NA),EUconst_ERR_Incomplete,IF(COUNTIF(BB993:BD993,TRUE)&gt;0,EUconst_ERR_Inconsistent,""))</f>
        <v/>
      </c>
      <c r="N993" s="387"/>
      <c r="O993" s="160"/>
      <c r="P993" s="109"/>
      <c r="Q993" s="312"/>
      <c r="R993" s="312"/>
      <c r="S993" s="314"/>
      <c r="T993" s="388" t="str">
        <f>EUconst_CNTR_EF&amp;E985</f>
        <v>EF_</v>
      </c>
      <c r="U993" s="312"/>
      <c r="V993" s="389" t="str">
        <f>V990</f>
        <v/>
      </c>
      <c r="W993" s="314"/>
      <c r="X993" s="312"/>
      <c r="Y993" s="390" t="str">
        <f>IF(E985="","",IF(OR(F993=EUconst_NA,W993=TRUE),EUconst_NA,INDEX(EUwideConstants!$P$164:$P$200,MATCH(T993,EUwideConstants!$S$164:$S$200,0))))</f>
        <v/>
      </c>
      <c r="Z993" s="391" t="str">
        <f>IF(ISBLANK(F993),"",IF(F993=EUconst_NA,"",INDEX(EUwideConstants!$H:$O,MATCH(T993,EUwideConstants!$S:$S,0),MATCH(F993,CNTR_TierList,0))))</f>
        <v/>
      </c>
      <c r="AA993" s="392" t="str">
        <f>IF(COUNTIF(EUconst_DefaultValues,Z993)&gt;0,MATCH(Z993,EUconst_DefaultValues,0),"")</f>
        <v/>
      </c>
      <c r="AB993" s="314"/>
      <c r="AC993" s="393" t="b">
        <f>AND(AC990,Y993&lt;&gt;EUconst_NA)</f>
        <v>0</v>
      </c>
      <c r="AD993" s="314"/>
      <c r="AE993" s="394" t="str">
        <f>EUconst_CNTR_EF&amp;EUconst_Unit</f>
        <v>EF_Unit</v>
      </c>
      <c r="AF993" s="395" t="str">
        <f>IF(AC993=TRUE, IF(COUNTIF(MSPara_SourceStreamCategory,V993)=0,"",INDEX(MSPara_CalcFactorsMatrix,MATCH(V993,MSPara_SourceStreamCategory,0),MATCH(AE993&amp;"_"&amp;2,MSPara_CalcFactors,0))),"")</f>
        <v/>
      </c>
      <c r="AG993" s="396" t="str">
        <f>IF(AC993=TRUE, IF(COUNTIF(MSPara_SourceStreamCategory,V993)=0,"",INDEX(MSPara_CalcFactorsMatrix,MATCH(V993,MSPara_SourceStreamCategory,0),MATCH(AE993&amp;"_"&amp;1,MSPara_CalcFactors,0))),"")</f>
        <v/>
      </c>
      <c r="AH993" s="397" t="str">
        <f>IF(AA993="","",INDEX(AF993:AG993,3-AA993))</f>
        <v/>
      </c>
      <c r="AI993" s="397" t="str">
        <f>IF(AC993=TRUE,IF(OR(AH993="",AH993=EUconst_NA),EUconst_tCO2&amp;"/"&amp;IF(AN992=EUconst_NA,AN990,IF(AN992=EUconst_GJ,EUconst_TJ,AN992)),AH993),"")</f>
        <v/>
      </c>
      <c r="AJ993" s="397" t="str">
        <f>IF(J993="",AI993,J993)</f>
        <v/>
      </c>
      <c r="AK993" s="398" t="b">
        <f>AND(E985&lt;&gt;"",J993&lt;&gt;"")</f>
        <v>0</v>
      </c>
      <c r="AL993" s="326"/>
      <c r="AM993" s="358" t="s">
        <v>153</v>
      </c>
      <c r="AN993" s="359" t="str">
        <f>IF(COUNTIF(RFAUnits,AN990)=0,EUconst_NA,INDEX(EUwideConstants!$C$150:$H$154,MATCH(AJ993,EFUnits,0),MATCH(AN990,EUwideConstants!$C$149:$H$149,0)))</f>
        <v>n.a.</v>
      </c>
      <c r="AO993" s="359" t="b">
        <f>AN993&lt;&gt;EUconst_NA</f>
        <v>0</v>
      </c>
      <c r="AP993" s="326"/>
      <c r="AQ993" s="399" t="str">
        <f>EUconst_CNTR_EF&amp;EUconst_Value</f>
        <v>EF_Value</v>
      </c>
      <c r="AR993" s="400" t="str">
        <f>IF(AC993=TRUE,IF(COUNTIF(MSPara_SourceStreamCategory,V993)=0,"",INDEX(MSPara_CalcFactorsMatrix,MATCH(V993,MSPara_SourceStreamCategory,0),MATCH(AQ993&amp;"_"&amp;2,MSPara_CalcFactors,0))),"")</f>
        <v/>
      </c>
      <c r="AS993" s="401" t="str">
        <f>IF(AC993=TRUE,IF(COUNTIF(MSPara_SourceStreamCategory,V993)=0,"",INDEX(MSPara_CalcFactorsMatrix,MATCH(V993,MSPara_SourceStreamCategory,0),MATCH(AQ993&amp;"_"&amp;1,MSPara_CalcFactors,0))),"")</f>
        <v/>
      </c>
      <c r="AT993" s="402" t="b">
        <f>AND(AND(AH993&lt;&gt;"",AJ993&lt;&gt;""),AJ993=AH993)</f>
        <v>0</v>
      </c>
      <c r="AU993" s="403" t="str">
        <f>IF(AND(AA993&lt;&gt;"",AT993=TRUE),IF(OR(INDEX(AR993:AS993,3-AA993)=EUconst_NA,INDEX(AR993:AS993,3-AA993)=0),"",INDEX(AR993:AS993,3-AA993)),"")</f>
        <v/>
      </c>
      <c r="AV993" s="393">
        <f>IF(AC993=TRUE,IF(COUNT(K993:L993)=0,0,IF(L993="",K993,L993)),0)</f>
        <v>0</v>
      </c>
      <c r="AW993" s="389" t="b">
        <f t="shared" si="297"/>
        <v>0</v>
      </c>
      <c r="AX993" s="404" t="b">
        <f t="shared" si="298"/>
        <v>0</v>
      </c>
      <c r="AY993" s="314"/>
      <c r="AZ993" s="405" t="b">
        <f t="shared" si="299"/>
        <v>0</v>
      </c>
      <c r="BA993" s="406" t="b">
        <f t="shared" si="300"/>
        <v>0</v>
      </c>
      <c r="BB993" s="407" t="b">
        <f>AND(E985&lt;&gt;"",COUNTIF(AO993:AO994,TRUE)=0)</f>
        <v>0</v>
      </c>
      <c r="BC993" s="389" t="b">
        <f t="shared" si="301"/>
        <v>0</v>
      </c>
      <c r="BD993" s="314"/>
      <c r="BE993" s="314"/>
      <c r="BF993" s="408" t="s">
        <v>154</v>
      </c>
      <c r="BG993" s="409" t="str">
        <f>IF(COUNTIF(AO993:AO994,TRUE)=0,"",BH993*AV1001)</f>
        <v/>
      </c>
      <c r="BH993" s="409" t="str">
        <f>IF(COUNTIF(AO993:AO994,TRUE)=0,"",AV990*IF(AO993,1,AV992*AN994)*AV993*AV995)</f>
        <v/>
      </c>
      <c r="BI993" s="314"/>
      <c r="BJ993" s="314"/>
      <c r="BK993" s="314"/>
      <c r="BL993" s="314"/>
      <c r="BM993" s="314"/>
      <c r="BN993" s="314"/>
      <c r="BO993" s="314"/>
      <c r="BP993" s="314"/>
      <c r="BQ993" s="314"/>
      <c r="BR993" s="314"/>
      <c r="BS993" s="314"/>
      <c r="BT993" s="314"/>
      <c r="BU993" s="314"/>
      <c r="BV993" s="314"/>
      <c r="BW993" s="314"/>
      <c r="BX993" s="314"/>
      <c r="BY993" s="314"/>
      <c r="BZ993" s="314"/>
      <c r="CA993" s="314"/>
      <c r="CB993" s="314"/>
      <c r="CC993" s="314"/>
      <c r="CD993" s="314"/>
      <c r="CE993" s="314"/>
      <c r="CF993" s="314"/>
      <c r="CG993" s="314"/>
      <c r="CH993" s="314"/>
      <c r="CI993" s="314"/>
      <c r="CJ993" s="314"/>
      <c r="CK993" s="314"/>
      <c r="CL993" s="314"/>
      <c r="CM993" s="314"/>
      <c r="CN993" s="314"/>
      <c r="CO993" s="314"/>
      <c r="CP993" s="314"/>
      <c r="CQ993" s="407" t="b">
        <f>OR(CQ990,Y993=EUconst_NA)</f>
        <v>0</v>
      </c>
    </row>
    <row r="994" spans="1:95" ht="12.75" customHeight="1" x14ac:dyDescent="0.25">
      <c r="A994" s="307"/>
      <c r="B994" s="68"/>
      <c r="C994" s="199" t="s">
        <v>15</v>
      </c>
      <c r="D994" s="344" t="str">
        <f>Translations!$B$362</f>
        <v>BioF:</v>
      </c>
      <c r="E994" s="345"/>
      <c r="F994" s="10"/>
      <c r="G994" s="1256" t="str">
        <f>IF(OR(ISBLANK(F994),F994=EUconst_NoTier),"",IF(Z994=0,EUconst_NotApplicable,IF(ISERROR(Z994),"",Z994)))</f>
        <v/>
      </c>
      <c r="H994" s="1257"/>
      <c r="I994" s="410" t="str">
        <f t="shared" ref="I994:I999" si="302">IF(OR(AC994=FALSE,Y994=EUconst_NA),"","-")</f>
        <v/>
      </c>
      <c r="J994" s="411"/>
      <c r="K994" s="412" t="str">
        <f>IF(L994="",AU994,"")</f>
        <v/>
      </c>
      <c r="L994" s="60"/>
      <c r="M994" s="347" t="str">
        <f>IF(AND(E985&lt;&gt;"",OR(F994="",COUNT(K994:L994)=0),Y994&lt;&gt;EUconst_NA),EUconst_ERR_Incomplete,IF(COUNTIF(BB994:BD994,TRUE)&gt;0,EUconst_ERR_Inconsistent,""))</f>
        <v/>
      </c>
      <c r="O994" s="160"/>
      <c r="P994" s="348"/>
      <c r="Q994" s="413"/>
      <c r="R994" s="413"/>
      <c r="S994" s="314"/>
      <c r="T994" s="388" t="str">
        <f>EUconst_CNTR_BiomassContent&amp;E985</f>
        <v>BioC_</v>
      </c>
      <c r="U994" s="312"/>
      <c r="V994" s="369" t="str">
        <f>V992</f>
        <v/>
      </c>
      <c r="W994" s="369" t="str">
        <f>IF(OR(V994="",COUNTIF(MSPara_SourceStreamCategory,V994)=0),"",INDEX(MSPara_IsFossil,MATCH(V994,MSPara_SourceStreamCategory,0)))</f>
        <v/>
      </c>
      <c r="X994" s="312"/>
      <c r="Y994" s="370" t="str">
        <f>IF(E985="","",IF(OR(F994=EUconst_NA,W994=TRUE),EUconst_NA,INDEX(EUwideConstants!$P$164:$P$200,MATCH(T994,EUwideConstants!$S$164:$S$200,0))))</f>
        <v/>
      </c>
      <c r="Z994" s="371" t="str">
        <f>IF(ISBLANK(F994),"",IF(F994=EUconst_NA,"",INDEX(EUwideConstants!$H:$O,MATCH(T994,EUwideConstants!$S:$S,0),MATCH(F994,CNTR_TierList,0))))</f>
        <v/>
      </c>
      <c r="AA994" s="414" t="str">
        <f>IF(F994=1,1,"")</f>
        <v/>
      </c>
      <c r="AB994" s="314"/>
      <c r="AC994" s="373" t="b">
        <f>AND(AC990,Y994&lt;&gt;EUconst_NA)</f>
        <v>0</v>
      </c>
      <c r="AD994" s="314"/>
      <c r="AE994" s="415"/>
      <c r="AF994" s="416"/>
      <c r="AG994" s="417"/>
      <c r="AH994" s="418"/>
      <c r="AI994" s="418"/>
      <c r="AJ994" s="418"/>
      <c r="AK994" s="419"/>
      <c r="AL994" s="326"/>
      <c r="AM994" s="358" t="s">
        <v>155</v>
      </c>
      <c r="AN994" s="359" t="str">
        <f>IF(AN992=EUconst_NA,EUconst_NA,INDEX(EUwideConstants!$C$150:$H$154,MATCH(AJ993,EFUnits,0),MATCH(AN992,EUwideConstants!$C$149:$H$149,0)))</f>
        <v>n.a.</v>
      </c>
      <c r="AO994" s="359" t="b">
        <f>AN994&lt;&gt;EUconst_NA</f>
        <v>0</v>
      </c>
      <c r="AP994" s="326"/>
      <c r="AQ994" s="376" t="str">
        <f>EUconst_CNTR_BiomassContent&amp;EUconst_Value</f>
        <v>BioC_Value</v>
      </c>
      <c r="AR994" s="420"/>
      <c r="AS994" s="378" t="str">
        <f t="shared" ref="AS994:AS999" si="303">IF(AC994=TRUE,IF(COUNTIF(MSPara_SourceStreamCategory,V994)=0,"",INDEX(MSPara_CalcFactorsMatrix,MATCH(V994,MSPara_SourceStreamCategory,0),MATCH(AQ994&amp;"_"&amp;2,MSPara_CalcFactors,0))),"")</f>
        <v/>
      </c>
      <c r="AT994" s="421"/>
      <c r="AU994" s="380" t="str">
        <f t="shared" ref="AU994:AU999" si="304">IF(OR(AA994="",AS994=EUconst_NA),"",AS994)</f>
        <v/>
      </c>
      <c r="AV994" s="373">
        <f>IF(AC994=TRUE,IF(COUNT(K994:L994)=0,0,IF(L994="",K994,L994)),0)</f>
        <v>0</v>
      </c>
      <c r="AW994" s="369" t="b">
        <f t="shared" si="297"/>
        <v>0</v>
      </c>
      <c r="AX994" s="381" t="b">
        <f t="shared" si="298"/>
        <v>0</v>
      </c>
      <c r="AY994" s="314"/>
      <c r="AZ994" s="382" t="b">
        <f t="shared" si="299"/>
        <v>0</v>
      </c>
      <c r="BA994" s="383" t="b">
        <f t="shared" si="300"/>
        <v>0</v>
      </c>
      <c r="BB994" s="314"/>
      <c r="BC994" s="369" t="b">
        <f t="shared" si="301"/>
        <v>0</v>
      </c>
      <c r="BD994" s="369" t="b">
        <f>OR(AV994&gt;100%,(AV994+AV995)&gt;100%)</f>
        <v>0</v>
      </c>
      <c r="BE994" s="314"/>
      <c r="BF994" s="382" t="s">
        <v>156</v>
      </c>
      <c r="BG994" s="384" t="str">
        <f>IF(COUNTIF(AO993:AO994,TRUE)=0,"",BH994*AV1001)</f>
        <v/>
      </c>
      <c r="BH994" s="384" t="str">
        <f>IF(COUNTIF(AO993:AO994,TRUE)=0,"",AV990*IF(AO993,1,AV992*AN994)*AV993*AV996)</f>
        <v/>
      </c>
      <c r="BJ994" s="314"/>
      <c r="BK994" s="314"/>
      <c r="BL994" s="314"/>
      <c r="BM994" s="314"/>
      <c r="BN994" s="314"/>
      <c r="BO994" s="314"/>
      <c r="BP994" s="314"/>
      <c r="BQ994" s="314"/>
      <c r="BR994" s="314"/>
      <c r="BS994" s="314"/>
      <c r="BT994" s="314"/>
      <c r="BU994" s="314"/>
      <c r="BV994" s="314"/>
      <c r="BW994" s="314"/>
      <c r="BX994" s="314"/>
      <c r="BY994" s="314"/>
      <c r="BZ994" s="314"/>
      <c r="CA994" s="314"/>
      <c r="CB994" s="314"/>
      <c r="CC994" s="314"/>
      <c r="CD994" s="314"/>
      <c r="CE994" s="314"/>
      <c r="CF994" s="314"/>
      <c r="CG994" s="314"/>
      <c r="CH994" s="314"/>
      <c r="CI994" s="314"/>
      <c r="CJ994" s="314"/>
      <c r="CK994" s="314"/>
      <c r="CL994" s="314"/>
      <c r="CM994" s="314"/>
      <c r="CN994" s="314"/>
      <c r="CO994" s="314"/>
      <c r="CP994" s="314"/>
      <c r="CQ994" s="369" t="b">
        <f>OR(CQ990,Y994=EUconst_NA)</f>
        <v>0</v>
      </c>
    </row>
    <row r="995" spans="1:95" ht="12.75" customHeight="1" thickBot="1" x14ac:dyDescent="0.3">
      <c r="A995" s="307"/>
      <c r="B995" s="68"/>
      <c r="C995" s="199" t="s">
        <v>16</v>
      </c>
      <c r="D995" s="344" t="str">
        <f>Translations!$B$368</f>
        <v>non-sust. BioF:</v>
      </c>
      <c r="E995" s="345"/>
      <c r="F995" s="20"/>
      <c r="G995" s="1256" t="str">
        <f>IF(OR(ISBLANK(F995),F995=EUconst_NoTier),"",IF(Z995=0,EUconst_NotApplicable,IF(ISERROR(Z995),"",Z995)))</f>
        <v/>
      </c>
      <c r="H995" s="1257"/>
      <c r="I995" s="422" t="str">
        <f t="shared" si="302"/>
        <v/>
      </c>
      <c r="J995" s="423"/>
      <c r="K995" s="424" t="str">
        <f>IF(L995="",AU995,"")</f>
        <v/>
      </c>
      <c r="L995" s="21"/>
      <c r="M995" s="347" t="str">
        <f>IF(AND(E985&lt;&gt;"",OR(F995="",COUNT(K995:L995)=0),Y995&lt;&gt;EUconst_NA),EUconst_ERR_Incomplete,IF(COUNTIF(BB995:BD995,TRUE)&gt;0,EUconst_ERR_Inconsistent,""))</f>
        <v/>
      </c>
      <c r="N995" s="76"/>
      <c r="O995" s="160"/>
      <c r="P995" s="348"/>
      <c r="Q995" s="413"/>
      <c r="R995" s="413"/>
      <c r="S995" s="314"/>
      <c r="T995" s="425" t="str">
        <f>EUconst_CNTR_BiomassContent&amp;E985</f>
        <v>BioC_</v>
      </c>
      <c r="U995" s="312"/>
      <c r="V995" s="407" t="str">
        <f>V994</f>
        <v/>
      </c>
      <c r="W995" s="407" t="str">
        <f>IF(OR(V994="",COUNTIF(MSPara_SourceStreamCategory,V995)=0),"",INDEX(MSPara_IsFossil,MATCH(V995,MSPara_SourceStreamCategory,0)))</f>
        <v/>
      </c>
      <c r="X995" s="312"/>
      <c r="Y995" s="426" t="str">
        <f>IF(E985="","",IF(OR(F995=EUconst_NA,W995=TRUE),EUconst_NA,INDEX(EUwideConstants!$P$164:$P$200,MATCH(T995,EUwideConstants!$S$164:$S$200,0))))</f>
        <v/>
      </c>
      <c r="Z995" s="427" t="str">
        <f>IF(ISBLANK(F995),"",IF(F995=EUconst_NA,"",INDEX(EUwideConstants!$H:$O,MATCH(T995,EUwideConstants!$S:$S,0),MATCH(F995,CNTR_TierList,0))))</f>
        <v/>
      </c>
      <c r="AA995" s="428" t="str">
        <f>IF(F995=1,1,"")</f>
        <v/>
      </c>
      <c r="AB995" s="314"/>
      <c r="AC995" s="429" t="b">
        <f>AND(AC990,Y995&lt;&gt;EUconst_NA)</f>
        <v>0</v>
      </c>
      <c r="AD995" s="314"/>
      <c r="AE995" s="430"/>
      <c r="AF995" s="431"/>
      <c r="AG995" s="432"/>
      <c r="AH995" s="433"/>
      <c r="AI995" s="433"/>
      <c r="AJ995" s="433"/>
      <c r="AK995" s="434"/>
      <c r="AL995" s="326"/>
      <c r="AM995" s="326"/>
      <c r="AN995" s="326"/>
      <c r="AO995" s="326"/>
      <c r="AP995" s="326"/>
      <c r="AQ995" s="435" t="str">
        <f>EUconst_CNTR_BiomassContent&amp;EUconst_Value</f>
        <v>BioC_Value</v>
      </c>
      <c r="AR995" s="430"/>
      <c r="AS995" s="436" t="str">
        <f t="shared" si="303"/>
        <v/>
      </c>
      <c r="AT995" s="437"/>
      <c r="AU995" s="438" t="str">
        <f t="shared" si="304"/>
        <v/>
      </c>
      <c r="AV995" s="429">
        <f>IF(AC995=TRUE,IF(COUNT(K995:L995)=0,0,IF(L995="",K995,L995)),0)</f>
        <v>0</v>
      </c>
      <c r="AW995" s="407" t="b">
        <f t="shared" si="297"/>
        <v>0</v>
      </c>
      <c r="AX995" s="439" t="b">
        <f t="shared" si="298"/>
        <v>0</v>
      </c>
      <c r="AY995" s="314"/>
      <c r="AZ995" s="408" t="b">
        <f t="shared" si="299"/>
        <v>0</v>
      </c>
      <c r="BA995" s="440" t="b">
        <f t="shared" si="300"/>
        <v>0</v>
      </c>
      <c r="BB995" s="314"/>
      <c r="BC995" s="407" t="b">
        <f t="shared" si="301"/>
        <v>0</v>
      </c>
      <c r="BD995" s="407" t="b">
        <f>OR(AV994&gt;100%,(AV994+AV995)&gt;100%)</f>
        <v>0</v>
      </c>
      <c r="BE995" s="314"/>
      <c r="BF995" s="408" t="s">
        <v>157</v>
      </c>
      <c r="BG995" s="409" t="str">
        <f>IF(COUNTIF(AO993:AO994,TRUE)=0,"",BH995*AV1001)</f>
        <v/>
      </c>
      <c r="BH995" s="409" t="str">
        <f>IF(COUNTIF(AO993:AO994,TRUE)=0,"",AV990*IF(AO993,1,AV992*AN994)*AV993*AV997)</f>
        <v/>
      </c>
      <c r="BJ995" s="314"/>
      <c r="BK995" s="314"/>
      <c r="BL995" s="314"/>
      <c r="BM995" s="314"/>
      <c r="BN995" s="314"/>
      <c r="BO995" s="314"/>
      <c r="BP995" s="314"/>
      <c r="BQ995" s="314"/>
      <c r="BR995" s="314"/>
      <c r="BS995" s="314"/>
      <c r="BT995" s="314"/>
      <c r="BU995" s="314"/>
      <c r="BV995" s="314"/>
      <c r="BW995" s="314"/>
      <c r="BX995" s="314"/>
      <c r="BY995" s="314"/>
      <c r="BZ995" s="314"/>
      <c r="CA995" s="314"/>
      <c r="CB995" s="314"/>
      <c r="CC995" s="314"/>
      <c r="CD995" s="314"/>
      <c r="CE995" s="314"/>
      <c r="CF995" s="314"/>
      <c r="CG995" s="314"/>
      <c r="CH995" s="314"/>
      <c r="CI995" s="314"/>
      <c r="CJ995" s="314"/>
      <c r="CK995" s="314"/>
      <c r="CL995" s="314"/>
      <c r="CM995" s="314"/>
      <c r="CN995" s="314"/>
      <c r="CO995" s="314"/>
      <c r="CP995" s="314"/>
      <c r="CQ995" s="407" t="b">
        <f>OR(CQ990,Y995=EUconst_NA)</f>
        <v>0</v>
      </c>
    </row>
    <row r="996" spans="1:95" ht="12.75" customHeight="1" thickBot="1" x14ac:dyDescent="0.3">
      <c r="A996" s="307"/>
      <c r="B996" s="68"/>
      <c r="C996" s="199" t="s">
        <v>17</v>
      </c>
      <c r="D996" s="344" t="str">
        <f>Translations!$B$610</f>
        <v>sust. RFNBO/RCF:</v>
      </c>
      <c r="E996" s="441"/>
      <c r="F996" s="19" t="s">
        <v>158</v>
      </c>
      <c r="G996" s="1261"/>
      <c r="H996" s="1262"/>
      <c r="I996" s="442" t="str">
        <f t="shared" si="302"/>
        <v/>
      </c>
      <c r="J996" s="411"/>
      <c r="K996" s="443"/>
      <c r="L996" s="55"/>
      <c r="M996" s="347" t="str">
        <f>IF(AND(E985&lt;&gt;"",OR(F996="",COUNT(L996)=0),Y996&lt;&gt;EUconst_NA),EUconst_ERR_Incomplete,"")</f>
        <v/>
      </c>
      <c r="N996" s="76"/>
      <c r="O996" s="160"/>
      <c r="P996" s="348"/>
      <c r="Q996" s="413"/>
      <c r="R996" s="413"/>
      <c r="S996" s="314"/>
      <c r="T996" s="388" t="str">
        <f>EUconst_CNTR_RFNBOetcContent&amp;E985</f>
        <v>RNFBOC_</v>
      </c>
      <c r="U996" s="312"/>
      <c r="V996" s="312"/>
      <c r="W996" s="312"/>
      <c r="X996" s="312"/>
      <c r="Y996" s="380" t="str">
        <f>IF(E985="","",IF(OR(F996=EUconst_NA,W996=TRUE),EUconst_NA,INDEX(EUwideConstants!$P$164:$P$200,MATCH(T996,EUwideConstants!$S$164:$S$200,0))))</f>
        <v/>
      </c>
      <c r="Z996" s="314"/>
      <c r="AA996" s="314"/>
      <c r="AB996" s="314"/>
      <c r="AC996" s="397" t="b">
        <f>AND(AC992,Y996&lt;&gt;EUconst_NA)</f>
        <v>0</v>
      </c>
      <c r="AD996" s="314"/>
      <c r="AE996" s="415"/>
      <c r="AF996" s="416"/>
      <c r="AG996" s="417"/>
      <c r="AH996" s="418"/>
      <c r="AI996" s="418"/>
      <c r="AJ996" s="418"/>
      <c r="AK996" s="419"/>
      <c r="AL996" s="326"/>
      <c r="AM996" s="326"/>
      <c r="AN996" s="326"/>
      <c r="AO996" s="326"/>
      <c r="AP996" s="326"/>
      <c r="AQ996" s="444" t="s">
        <v>159</v>
      </c>
      <c r="AR996" s="415"/>
      <c r="AS996" s="445" t="str">
        <f t="shared" si="303"/>
        <v/>
      </c>
      <c r="AT996" s="446"/>
      <c r="AU996" s="447" t="str">
        <f t="shared" si="304"/>
        <v/>
      </c>
      <c r="AV996" s="397">
        <f>IF(L996&lt;&gt;0,L996,L996)</f>
        <v>0</v>
      </c>
      <c r="AW996" s="398" t="b">
        <f t="shared" si="297"/>
        <v>0</v>
      </c>
      <c r="AX996" s="448" t="b">
        <f t="shared" si="298"/>
        <v>0</v>
      </c>
      <c r="AY996" s="314"/>
      <c r="AZ996" s="449" t="b">
        <f t="shared" si="299"/>
        <v>0</v>
      </c>
      <c r="BA996" s="450" t="b">
        <f t="shared" si="300"/>
        <v>0</v>
      </c>
      <c r="BB996" s="314"/>
      <c r="BC996" s="398" t="b">
        <f t="shared" si="301"/>
        <v>0</v>
      </c>
      <c r="BD996" s="369" t="b">
        <f>OR(AV996&gt;100%,(AV996+AV997)&gt;100%)</f>
        <v>0</v>
      </c>
      <c r="BE996" s="314"/>
      <c r="BF996" s="451" t="s">
        <v>160</v>
      </c>
      <c r="BG996" s="452" t="str">
        <f>IF(COUNTIF(AO993:AO994,TRUE)=0,"",BH996*AV1001)</f>
        <v/>
      </c>
      <c r="BH996" s="452" t="str">
        <f>IF(COUNTIF(AO993:AO994,TRUE)=0,"",AV990*IF(AO993,1,AV992*AN994)*AV993*AV998)</f>
        <v/>
      </c>
      <c r="BJ996" s="314"/>
      <c r="BK996" s="314"/>
      <c r="BL996" s="314"/>
      <c r="BM996" s="314"/>
      <c r="BN996" s="314"/>
      <c r="BO996" s="314"/>
      <c r="BP996" s="314"/>
      <c r="BQ996" s="314"/>
      <c r="BR996" s="314"/>
      <c r="BS996" s="314"/>
      <c r="BT996" s="314"/>
      <c r="BU996" s="314"/>
      <c r="BV996" s="314"/>
      <c r="BW996" s="314"/>
      <c r="BX996" s="314"/>
      <c r="BY996" s="314"/>
      <c r="BZ996" s="314"/>
      <c r="CA996" s="314"/>
      <c r="CB996" s="314"/>
      <c r="CC996" s="314"/>
      <c r="CD996" s="314"/>
      <c r="CE996" s="314"/>
      <c r="CF996" s="314"/>
      <c r="CG996" s="314"/>
      <c r="CH996" s="314"/>
      <c r="CI996" s="314"/>
      <c r="CJ996" s="314"/>
      <c r="CK996" s="314"/>
      <c r="CL996" s="314"/>
      <c r="CM996" s="314"/>
      <c r="CN996" s="314"/>
      <c r="CO996" s="314"/>
      <c r="CP996" s="314"/>
      <c r="CQ996" s="407" t="b">
        <f>OR(CQ990,Y996=EUconst_NA)</f>
        <v>0</v>
      </c>
    </row>
    <row r="997" spans="1:95" ht="12.75" customHeight="1" thickBot="1" x14ac:dyDescent="0.3">
      <c r="A997" s="307"/>
      <c r="B997" s="68"/>
      <c r="C997" s="199" t="s">
        <v>161</v>
      </c>
      <c r="D997" s="344" t="str">
        <f>Translations!$B$613</f>
        <v>non-sust. RFNBO/RCF:</v>
      </c>
      <c r="E997" s="441"/>
      <c r="F997" s="20" t="s">
        <v>158</v>
      </c>
      <c r="G997" s="1261"/>
      <c r="H997" s="1262"/>
      <c r="I997" s="422" t="str">
        <f t="shared" si="302"/>
        <v/>
      </c>
      <c r="J997" s="423"/>
      <c r="K997" s="443"/>
      <c r="L997" s="56"/>
      <c r="M997" s="347" t="str">
        <f>IF(AND(E985&lt;&gt;"",OR(F997="",COUNT(L997)=0),Y997&lt;&gt;EUconst_NA),EUconst_ERR_Incomplete,"")</f>
        <v/>
      </c>
      <c r="N997" s="76"/>
      <c r="O997" s="160"/>
      <c r="P997" s="348"/>
      <c r="Q997" s="413"/>
      <c r="R997" s="413"/>
      <c r="S997" s="314"/>
      <c r="T997" s="425" t="str">
        <f>EUconst_CNTR_RFNBOetcContent&amp;E985</f>
        <v>RNFBOC_</v>
      </c>
      <c r="U997" s="312"/>
      <c r="V997" s="312"/>
      <c r="W997" s="312"/>
      <c r="X997" s="312"/>
      <c r="Y997" s="438" t="str">
        <f>IF(E985="","",IF(OR(F997=EUconst_NA,W997=TRUE),EUconst_NA,INDEX(EUwideConstants!$P$164:$P$200,MATCH(T997,EUwideConstants!$S$164:$S$200,0))))</f>
        <v/>
      </c>
      <c r="Z997" s="314"/>
      <c r="AA997" s="314"/>
      <c r="AB997" s="314"/>
      <c r="AC997" s="429" t="b">
        <f>AND(AC992,Y997&lt;&gt;EUconst_NA)</f>
        <v>0</v>
      </c>
      <c r="AD997" s="314"/>
      <c r="AE997" s="430"/>
      <c r="AF997" s="431"/>
      <c r="AG997" s="432"/>
      <c r="AH997" s="433"/>
      <c r="AI997" s="433"/>
      <c r="AJ997" s="433"/>
      <c r="AK997" s="434"/>
      <c r="AL997" s="326"/>
      <c r="AM997" s="326"/>
      <c r="AN997" s="326"/>
      <c r="AO997" s="326"/>
      <c r="AP997" s="326"/>
      <c r="AQ997" s="435" t="s">
        <v>159</v>
      </c>
      <c r="AR997" s="430"/>
      <c r="AS997" s="436" t="str">
        <f t="shared" si="303"/>
        <v/>
      </c>
      <c r="AT997" s="437"/>
      <c r="AU997" s="438" t="str">
        <f t="shared" si="304"/>
        <v/>
      </c>
      <c r="AV997" s="429">
        <f t="shared" ref="AV997:AV999" si="305">IF(L997&lt;&gt;0,L997,L997)</f>
        <v>0</v>
      </c>
      <c r="AW997" s="407" t="b">
        <f t="shared" si="297"/>
        <v>0</v>
      </c>
      <c r="AX997" s="439" t="b">
        <f t="shared" si="298"/>
        <v>0</v>
      </c>
      <c r="AY997" s="314"/>
      <c r="AZ997" s="408" t="b">
        <f t="shared" si="299"/>
        <v>0</v>
      </c>
      <c r="BA997" s="440" t="b">
        <f t="shared" si="300"/>
        <v>0</v>
      </c>
      <c r="BB997" s="314"/>
      <c r="BC997" s="407" t="b">
        <f t="shared" si="301"/>
        <v>0</v>
      </c>
      <c r="BD997" s="407" t="b">
        <f>OR(AV996&gt;100%,(AV996+AV997)&gt;100%)</f>
        <v>0</v>
      </c>
      <c r="BE997" s="314"/>
      <c r="BF997" s="408" t="s">
        <v>162</v>
      </c>
      <c r="BG997" s="409" t="str">
        <f>IF(COUNTIF(AO993:AO994,TRUE)=0,"",BH997*AV1001)</f>
        <v/>
      </c>
      <c r="BH997" s="409" t="str">
        <f>IF(COUNTIF(AO993:AO994,TRUE)=0,"",AV990*IF(AO993,1,AV992*AN994)*AV993*AV999)</f>
        <v/>
      </c>
      <c r="BJ997" s="314"/>
      <c r="BK997" s="314"/>
      <c r="BL997" s="314"/>
      <c r="BM997" s="314"/>
      <c r="BN997" s="314"/>
      <c r="BO997" s="314"/>
      <c r="BP997" s="314"/>
      <c r="BQ997" s="314"/>
      <c r="BR997" s="314"/>
      <c r="BS997" s="314"/>
      <c r="BT997" s="314"/>
      <c r="BU997" s="314"/>
      <c r="BV997" s="314"/>
      <c r="BW997" s="314"/>
      <c r="BX997" s="314"/>
      <c r="BY997" s="314"/>
      <c r="BZ997" s="314"/>
      <c r="CA997" s="314"/>
      <c r="CB997" s="314"/>
      <c r="CC997" s="314"/>
      <c r="CD997" s="314"/>
      <c r="CE997" s="314"/>
      <c r="CF997" s="314"/>
      <c r="CG997" s="314"/>
      <c r="CH997" s="314"/>
      <c r="CI997" s="314"/>
      <c r="CJ997" s="314"/>
      <c r="CK997" s="314"/>
      <c r="CL997" s="314"/>
      <c r="CM997" s="314"/>
      <c r="CN997" s="314"/>
      <c r="CO997" s="314"/>
      <c r="CP997" s="314"/>
      <c r="CQ997" s="407" t="b">
        <f>OR(CQ990,Y997=EUconst_NA)</f>
        <v>0</v>
      </c>
    </row>
    <row r="998" spans="1:95" ht="12.75" customHeight="1" thickBot="1" x14ac:dyDescent="0.3">
      <c r="A998" s="307"/>
      <c r="B998" s="68"/>
      <c r="C998" s="199" t="s">
        <v>163</v>
      </c>
      <c r="D998" s="344" t="str">
        <f>Translations!$B$615</f>
        <v>sust. SLCF:</v>
      </c>
      <c r="E998" s="441"/>
      <c r="F998" s="19" t="s">
        <v>158</v>
      </c>
      <c r="G998" s="1261"/>
      <c r="H998" s="1262"/>
      <c r="I998" s="442" t="str">
        <f t="shared" si="302"/>
        <v/>
      </c>
      <c r="J998" s="411"/>
      <c r="K998" s="443"/>
      <c r="L998" s="57"/>
      <c r="M998" s="347" t="str">
        <f>IF(AND(E985&lt;&gt;"",OR(F998="",COUNT(L998)=0),Y998&lt;&gt;EUconst_NA),EUconst_ERR_Incomplete,"")</f>
        <v/>
      </c>
      <c r="N998" s="76"/>
      <c r="O998" s="160"/>
      <c r="P998" s="348"/>
      <c r="Q998" s="413"/>
      <c r="R998" s="413"/>
      <c r="S998" s="314"/>
      <c r="T998" s="388" t="str">
        <f>EUconst_CNTR_RFNBOetcContent&amp;E985</f>
        <v>RNFBOC_</v>
      </c>
      <c r="U998" s="312"/>
      <c r="V998" s="312"/>
      <c r="W998" s="312"/>
      <c r="X998" s="312"/>
      <c r="Y998" s="447" t="str">
        <f>IF(E985="","",IF(OR(F998=EUconst_NA,W998=TRUE),EUconst_NA,INDEX(EUwideConstants!$P$164:$P$200,MATCH(T998,EUwideConstants!$S$164:$S$200,0))))</f>
        <v/>
      </c>
      <c r="Z998" s="314"/>
      <c r="AA998" s="314"/>
      <c r="AB998" s="314"/>
      <c r="AC998" s="397" t="b">
        <f>AND(AC994,Y998&lt;&gt;EUconst_NA)</f>
        <v>0</v>
      </c>
      <c r="AD998" s="314"/>
      <c r="AE998" s="415"/>
      <c r="AF998" s="416"/>
      <c r="AG998" s="417"/>
      <c r="AH998" s="418"/>
      <c r="AI998" s="418"/>
      <c r="AJ998" s="418"/>
      <c r="AK998" s="419"/>
      <c r="AL998" s="326"/>
      <c r="AM998" s="326"/>
      <c r="AN998" s="326"/>
      <c r="AO998" s="326"/>
      <c r="AP998" s="326"/>
      <c r="AQ998" s="444" t="s">
        <v>159</v>
      </c>
      <c r="AR998" s="415"/>
      <c r="AS998" s="445" t="str">
        <f t="shared" si="303"/>
        <v/>
      </c>
      <c r="AT998" s="446"/>
      <c r="AU998" s="447" t="str">
        <f t="shared" si="304"/>
        <v/>
      </c>
      <c r="AV998" s="397">
        <f t="shared" si="305"/>
        <v>0</v>
      </c>
      <c r="AW998" s="398" t="b">
        <f t="shared" si="297"/>
        <v>0</v>
      </c>
      <c r="AX998" s="448" t="b">
        <f t="shared" si="298"/>
        <v>0</v>
      </c>
      <c r="AY998" s="314"/>
      <c r="AZ998" s="449" t="b">
        <f t="shared" si="299"/>
        <v>0</v>
      </c>
      <c r="BA998" s="450" t="b">
        <f t="shared" si="300"/>
        <v>0</v>
      </c>
      <c r="BB998" s="314"/>
      <c r="BC998" s="398" t="b">
        <f t="shared" si="301"/>
        <v>0</v>
      </c>
      <c r="BD998" s="369" t="b">
        <f>OR(AV998&gt;100%,(AV998+AV999)&gt;100%)</f>
        <v>0</v>
      </c>
      <c r="BE998" s="314"/>
      <c r="BF998" s="451" t="s">
        <v>164</v>
      </c>
      <c r="BG998" s="452">
        <f>IF(AN990=EUconst_TJ,AV990*(1-AV994),IF(AN992=EUconst_GJ,AV990*AV992/1000,0))-SUM(BG999:BG1005)</f>
        <v>0</v>
      </c>
      <c r="BH998" s="314"/>
      <c r="BI998" s="314"/>
      <c r="BJ998" s="314"/>
      <c r="BK998" s="314"/>
      <c r="BL998" s="314"/>
      <c r="BM998" s="314"/>
      <c r="BN998" s="314"/>
      <c r="BO998" s="314"/>
      <c r="BP998" s="314"/>
      <c r="BQ998" s="314"/>
      <c r="BR998" s="314"/>
      <c r="BS998" s="314"/>
      <c r="BT998" s="314"/>
      <c r="BU998" s="314"/>
      <c r="BV998" s="314"/>
      <c r="BW998" s="314"/>
      <c r="BX998" s="314"/>
      <c r="BY998" s="314"/>
      <c r="BZ998" s="314"/>
      <c r="CA998" s="314"/>
      <c r="CB998" s="314"/>
      <c r="CC998" s="314"/>
      <c r="CD998" s="314"/>
      <c r="CE998" s="314"/>
      <c r="CF998" s="314"/>
      <c r="CG998" s="314"/>
      <c r="CH998" s="314"/>
      <c r="CI998" s="314"/>
      <c r="CJ998" s="314"/>
      <c r="CK998" s="314"/>
      <c r="CL998" s="314"/>
      <c r="CM998" s="314"/>
      <c r="CN998" s="314"/>
      <c r="CO998" s="314"/>
      <c r="CP998" s="314"/>
      <c r="CQ998" s="407" t="b">
        <f>OR(CQ990,Y998=EUconst_NA)</f>
        <v>0</v>
      </c>
    </row>
    <row r="999" spans="1:95" ht="12.75" customHeight="1" thickBot="1" x14ac:dyDescent="0.3">
      <c r="A999" s="307"/>
      <c r="B999" s="68"/>
      <c r="C999" s="199" t="s">
        <v>165</v>
      </c>
      <c r="D999" s="344" t="str">
        <f>Translations!$B$618</f>
        <v>non-sust. SLCF:</v>
      </c>
      <c r="E999" s="441"/>
      <c r="F999" s="20" t="s">
        <v>158</v>
      </c>
      <c r="G999" s="1261"/>
      <c r="H999" s="1262"/>
      <c r="I999" s="422" t="str">
        <f t="shared" si="302"/>
        <v/>
      </c>
      <c r="J999" s="423"/>
      <c r="K999" s="443"/>
      <c r="L999" s="56"/>
      <c r="M999" s="347" t="str">
        <f>IF(AND(E985&lt;&gt;"",OR(F999="",COUNT(L999)=0),Y999&lt;&gt;EUconst_NA),EUconst_ERR_Incomplete,"")</f>
        <v/>
      </c>
      <c r="N999" s="76"/>
      <c r="O999" s="160"/>
      <c r="P999" s="348"/>
      <c r="Q999" s="413"/>
      <c r="R999" s="413"/>
      <c r="S999" s="314"/>
      <c r="T999" s="425" t="str">
        <f>EUconst_CNTR_RFNBOetcContent&amp;E985</f>
        <v>RNFBOC_</v>
      </c>
      <c r="U999" s="312"/>
      <c r="V999" s="312"/>
      <c r="W999" s="312"/>
      <c r="X999" s="312"/>
      <c r="Y999" s="438" t="str">
        <f>IF(E985="","",IF(OR(F999=EUconst_NA,W999=TRUE),EUconst_NA,INDEX(EUwideConstants!$P$164:$P$200,MATCH(T999,EUwideConstants!$S$164:$S$200,0))))</f>
        <v/>
      </c>
      <c r="Z999" s="314"/>
      <c r="AA999" s="314"/>
      <c r="AB999" s="314"/>
      <c r="AC999" s="429" t="b">
        <f>AND(AC994,Y999&lt;&gt;EUconst_NA)</f>
        <v>0</v>
      </c>
      <c r="AD999" s="314"/>
      <c r="AE999" s="430"/>
      <c r="AF999" s="431"/>
      <c r="AG999" s="432"/>
      <c r="AH999" s="433"/>
      <c r="AI999" s="433"/>
      <c r="AJ999" s="433"/>
      <c r="AK999" s="434"/>
      <c r="AL999" s="326"/>
      <c r="AM999" s="326"/>
      <c r="AN999" s="326"/>
      <c r="AO999" s="326"/>
      <c r="AP999" s="326"/>
      <c r="AQ999" s="435" t="s">
        <v>159</v>
      </c>
      <c r="AR999" s="430"/>
      <c r="AS999" s="436" t="str">
        <f t="shared" si="303"/>
        <v/>
      </c>
      <c r="AT999" s="437"/>
      <c r="AU999" s="438" t="str">
        <f t="shared" si="304"/>
        <v/>
      </c>
      <c r="AV999" s="429">
        <f t="shared" si="305"/>
        <v>0</v>
      </c>
      <c r="AW999" s="407" t="b">
        <f t="shared" si="297"/>
        <v>0</v>
      </c>
      <c r="AX999" s="439" t="b">
        <f t="shared" si="298"/>
        <v>0</v>
      </c>
      <c r="AY999" s="314"/>
      <c r="AZ999" s="408" t="b">
        <f t="shared" si="299"/>
        <v>0</v>
      </c>
      <c r="BA999" s="440" t="b">
        <f t="shared" si="300"/>
        <v>0</v>
      </c>
      <c r="BB999" s="314"/>
      <c r="BC999" s="407" t="b">
        <f t="shared" si="301"/>
        <v>0</v>
      </c>
      <c r="BD999" s="407" t="b">
        <f>OR(AV998&gt;100%,(AV998+AV999)&gt;100%)</f>
        <v>0</v>
      </c>
      <c r="BE999" s="314"/>
      <c r="BF999" s="408" t="s">
        <v>166</v>
      </c>
      <c r="BG999" s="409" t="str">
        <f>IF(AN990=EUconst_TJ,AV990*AV994,IF(AN992=EUconst_GJ,AV990*AV992/1000*AV994,""))</f>
        <v/>
      </c>
      <c r="BH999" s="314"/>
      <c r="BI999" s="314"/>
      <c r="BJ999" s="314"/>
      <c r="BK999" s="314"/>
      <c r="BL999" s="314"/>
      <c r="BM999" s="314"/>
      <c r="BN999" s="314"/>
      <c r="BO999" s="314"/>
      <c r="BP999" s="314"/>
      <c r="BQ999" s="314"/>
      <c r="BR999" s="314"/>
      <c r="BS999" s="314"/>
      <c r="BT999" s="314"/>
      <c r="BU999" s="314"/>
      <c r="BV999" s="314"/>
      <c r="BW999" s="314"/>
      <c r="BX999" s="314"/>
      <c r="BY999" s="314"/>
      <c r="BZ999" s="314"/>
      <c r="CA999" s="314"/>
      <c r="CB999" s="314"/>
      <c r="CC999" s="314"/>
      <c r="CD999" s="314"/>
      <c r="CE999" s="314"/>
      <c r="CF999" s="314"/>
      <c r="CG999" s="314"/>
      <c r="CH999" s="314"/>
      <c r="CI999" s="314"/>
      <c r="CJ999" s="314"/>
      <c r="CK999" s="314"/>
      <c r="CL999" s="314"/>
      <c r="CM999" s="314"/>
      <c r="CN999" s="314"/>
      <c r="CO999" s="314"/>
      <c r="CP999" s="314"/>
      <c r="CQ999" s="407" t="b">
        <f>OR(CQ990,Y999=EUconst_NA)</f>
        <v>0</v>
      </c>
    </row>
    <row r="1000" spans="1:95" ht="5.15" customHeight="1" thickBot="1" x14ac:dyDescent="0.3">
      <c r="A1000" s="307"/>
      <c r="B1000" s="68"/>
      <c r="C1000" s="68"/>
      <c r="D1000" s="205"/>
      <c r="E1000" s="76"/>
      <c r="F1000" s="76"/>
      <c r="G1000" s="76"/>
      <c r="H1000" s="76"/>
      <c r="I1000" s="76"/>
      <c r="J1000" s="76"/>
      <c r="K1000" s="76"/>
      <c r="L1000" s="76"/>
      <c r="M1000" s="453"/>
      <c r="N1000" s="76"/>
      <c r="O1000" s="160"/>
      <c r="P1000" s="109"/>
      <c r="Q1000" s="312"/>
      <c r="R1000" s="312"/>
      <c r="S1000" s="314"/>
      <c r="T1000" s="314"/>
      <c r="U1000" s="314"/>
      <c r="V1000" s="314"/>
      <c r="W1000" s="314"/>
      <c r="X1000" s="314"/>
      <c r="Y1000" s="314"/>
      <c r="Z1000" s="314"/>
      <c r="AA1000" s="314"/>
      <c r="AB1000" s="314"/>
      <c r="AC1000" s="314"/>
      <c r="AD1000" s="314"/>
      <c r="AE1000" s="314"/>
      <c r="AF1000" s="314"/>
      <c r="AG1000" s="314"/>
      <c r="AH1000" s="314"/>
      <c r="AI1000" s="314"/>
      <c r="AJ1000" s="314"/>
      <c r="AK1000" s="314"/>
      <c r="AL1000" s="314"/>
      <c r="AM1000" s="314"/>
      <c r="AN1000" s="314"/>
      <c r="AO1000" s="314"/>
      <c r="AP1000" s="314"/>
      <c r="AQ1000" s="314"/>
      <c r="AR1000" s="314"/>
      <c r="AS1000" s="314"/>
      <c r="AT1000" s="314"/>
      <c r="AU1000" s="314"/>
      <c r="AV1000" s="314"/>
      <c r="AW1000" s="314"/>
      <c r="AX1000" s="314"/>
      <c r="AY1000" s="314"/>
      <c r="AZ1000" s="314"/>
      <c r="BA1000" s="314"/>
      <c r="BB1000" s="314"/>
      <c r="BC1000" s="314"/>
      <c r="BD1000" s="314"/>
      <c r="BE1000" s="314"/>
      <c r="BF1000" s="314"/>
      <c r="BG1000" s="364"/>
      <c r="BH1000" s="314"/>
      <c r="BI1000" s="314"/>
      <c r="BJ1000" s="314"/>
      <c r="BK1000" s="314"/>
      <c r="BL1000" s="314"/>
      <c r="BM1000" s="314"/>
      <c r="BN1000" s="314"/>
      <c r="BO1000" s="314"/>
      <c r="BP1000" s="314"/>
      <c r="BQ1000" s="314"/>
      <c r="BR1000" s="314"/>
      <c r="BS1000" s="314"/>
      <c r="BT1000" s="314"/>
      <c r="BU1000" s="314"/>
      <c r="BV1000" s="314"/>
      <c r="BW1000" s="314"/>
      <c r="BX1000" s="314"/>
      <c r="BY1000" s="314"/>
      <c r="BZ1000" s="314"/>
      <c r="CA1000" s="314"/>
      <c r="CB1000" s="314"/>
      <c r="CC1000" s="314"/>
      <c r="CD1000" s="314"/>
      <c r="CE1000" s="314"/>
      <c r="CF1000" s="314"/>
      <c r="CG1000" s="314"/>
      <c r="CH1000" s="314"/>
      <c r="CI1000" s="314"/>
      <c r="CJ1000" s="314"/>
      <c r="CK1000" s="314"/>
      <c r="CL1000" s="314"/>
      <c r="CM1000" s="314"/>
      <c r="CN1000" s="314"/>
      <c r="CO1000" s="314"/>
      <c r="CP1000" s="314"/>
      <c r="CQ1000" s="314"/>
    </row>
    <row r="1001" spans="1:95" ht="12.75" customHeight="1" thickBot="1" x14ac:dyDescent="0.3">
      <c r="A1001" s="307"/>
      <c r="B1001" s="68"/>
      <c r="C1001" s="199" t="s">
        <v>167</v>
      </c>
      <c r="D1001" s="344" t="str">
        <f>Translations!$B$398</f>
        <v>Scope factor:</v>
      </c>
      <c r="E1001" s="454"/>
      <c r="F1001" s="992"/>
      <c r="G1001" s="1263"/>
      <c r="H1001" s="1264"/>
      <c r="I1001" s="455" t="s">
        <v>46</v>
      </c>
      <c r="J1001" s="456"/>
      <c r="K1001" s="457" t="str">
        <f>IF(L1001="",AU1001,"")</f>
        <v/>
      </c>
      <c r="L1001" s="16"/>
      <c r="M1001" s="458" t="str">
        <f>IF(AND(E985&lt;&gt;"",OR(F1001="",G1001="",COUNT(K1001:L1001)=0)),EUconst_ERR_Incomplete,IF(COUNTIF(BB1001:BD1001,TRUE)&gt;0,EUconst_ERR_Inconsistent,""))</f>
        <v/>
      </c>
      <c r="N1001" s="76"/>
      <c r="O1001" s="160"/>
      <c r="P1001" s="109"/>
      <c r="Q1001" s="312"/>
      <c r="R1001" s="314"/>
      <c r="S1001" s="297"/>
      <c r="T1001" s="459" t="str">
        <f>EUconst_CNTR_ScopeFactor&amp;E985</f>
        <v>ScopeFactor_</v>
      </c>
      <c r="U1001" s="231" t="str">
        <f>IF(F1001="","",INDEX(ScopeAddress,MATCH(F1001,ScopeTiers,0)))</f>
        <v/>
      </c>
      <c r="V1001" s="360" t="str">
        <f>V990</f>
        <v/>
      </c>
      <c r="W1001" s="314"/>
      <c r="X1001" s="314"/>
      <c r="Y1001" s="460" t="str">
        <f>IF(E985="","",IF(F1001=EUconst_NA,EUconst_NA,INDEX(EUwideConstants!$P$164:$P$200,MATCH(T1001,EUwideConstants!$S$164:$S$200,0))))</f>
        <v/>
      </c>
      <c r="Z1001" s="461" t="str">
        <f>IF(ISBLANK(F1001),"",IF(F1001=EUconst_NA,"",INDEX(EUwideConstants!$H:$O,MATCH(T1001,EUwideConstants!$S:$S,0),MATCH(F1001,CNTR_TierList,0))))</f>
        <v/>
      </c>
      <c r="AA1001" s="331" t="str">
        <f>IF(G1001=EUwideConstants!$A$89,1,"")</f>
        <v/>
      </c>
      <c r="AB1001" s="314"/>
      <c r="AC1001" s="331" t="b">
        <f>AND(AC990,Y1001&lt;&gt;EUconst_NA)</f>
        <v>0</v>
      </c>
      <c r="AD1001" s="314"/>
      <c r="AE1001" s="314"/>
      <c r="AF1001" s="314"/>
      <c r="AG1001" s="319"/>
      <c r="AH1001" s="314"/>
      <c r="AI1001" s="314"/>
      <c r="AJ1001" s="314"/>
      <c r="AK1001" s="314"/>
      <c r="AL1001" s="314"/>
      <c r="AM1001" s="314"/>
      <c r="AN1001" s="314"/>
      <c r="AO1001" s="314"/>
      <c r="AP1001" s="314"/>
      <c r="AQ1001" s="314"/>
      <c r="AR1001" s="314"/>
      <c r="AS1001" s="328">
        <v>1</v>
      </c>
      <c r="AT1001" s="314"/>
      <c r="AU1001" s="319" t="str">
        <f>IF(G1001=EUwideConstants!$A$89,AS1001,"")</f>
        <v/>
      </c>
      <c r="AV1001" s="331">
        <f>IF(AC1001=TRUE,IF(COUNT(K1001:L1001)=0,0,IF(L1001="",K1001,L1001)),0)</f>
        <v>0</v>
      </c>
      <c r="AW1001" s="360" t="b">
        <f>AND(AC1001=TRUE,OR(AND(F1001&lt;&gt;"",NOT(ISNUMBER(AA1001))),L1001&lt;&gt;"",F1001="",AU1001=""))</f>
        <v>0</v>
      </c>
      <c r="AX1001" s="357" t="b">
        <f>AND(AC1001=TRUE,NOT(AW1001))</f>
        <v>0</v>
      </c>
      <c r="AY1001" s="314"/>
      <c r="AZ1001" s="361" t="b">
        <f>AND(ISNUMBER(AA1001),AU1001="")</f>
        <v>0</v>
      </c>
      <c r="BA1001" s="351" t="b">
        <f>AND(ISNUMBER(AA1001),AU1001&lt;&gt;AV1001)</f>
        <v>0</v>
      </c>
      <c r="BB1001" s="314"/>
      <c r="BC1001" s="360" t="b">
        <f>AND(F1001&lt;&gt;"",OR(COUNTIF(INDEX(ScopeMethods,F1001,),G1001)=0,AND(AA1001&lt;&gt;"",AU1001&lt;&gt;AV1001)))</f>
        <v>0</v>
      </c>
      <c r="BD1001" s="314"/>
      <c r="BE1001" s="314"/>
      <c r="BF1001" s="361" t="s">
        <v>168</v>
      </c>
      <c r="BG1001" s="362" t="str">
        <f>IF(AN990=EUconst_TJ,AV990*AV996,IF(AN992=EUconst_GJ,AV990*AV992/1000*AV996,""))</f>
        <v/>
      </c>
      <c r="BH1001" s="314"/>
      <c r="BI1001" s="314"/>
      <c r="BJ1001" s="314"/>
      <c r="BK1001" s="314"/>
      <c r="BL1001" s="314"/>
      <c r="BM1001" s="314"/>
      <c r="BN1001" s="314"/>
      <c r="BO1001" s="314"/>
      <c r="BP1001" s="314"/>
      <c r="BQ1001" s="314"/>
      <c r="BR1001" s="314"/>
      <c r="BS1001" s="314"/>
      <c r="BT1001" s="314"/>
      <c r="BU1001" s="314"/>
      <c r="BV1001" s="314"/>
      <c r="BW1001" s="314"/>
      <c r="BX1001" s="314"/>
      <c r="BY1001" s="314"/>
      <c r="BZ1001" s="314"/>
      <c r="CA1001" s="314"/>
      <c r="CB1001" s="314"/>
      <c r="CC1001" s="314"/>
      <c r="CD1001" s="314"/>
      <c r="CE1001" s="314"/>
      <c r="CF1001" s="314"/>
      <c r="CG1001" s="314"/>
      <c r="CH1001" s="314"/>
      <c r="CI1001" s="314"/>
      <c r="CJ1001" s="314"/>
      <c r="CK1001" s="314"/>
      <c r="CL1001" s="314"/>
      <c r="CM1001" s="314"/>
      <c r="CN1001" s="314"/>
      <c r="CO1001" s="314"/>
      <c r="CP1001" s="314"/>
      <c r="CQ1001" s="314"/>
    </row>
    <row r="1002" spans="1:95" ht="12.75" customHeight="1" x14ac:dyDescent="0.25">
      <c r="A1002" s="307"/>
      <c r="B1002" s="68"/>
      <c r="C1002" s="68"/>
      <c r="D1002" s="68"/>
      <c r="E1002" s="68"/>
      <c r="F1002" s="68"/>
      <c r="G1002" s="1265" t="str">
        <f>IF(G1001="","",INDEX(ScopeMethodsDetails,MATCH(G1001,INDEX(ScopeMethodsDetails,,1),0),2))</f>
        <v/>
      </c>
      <c r="H1002" s="1266"/>
      <c r="I1002" s="1266"/>
      <c r="J1002" s="1266"/>
      <c r="K1002" s="1266"/>
      <c r="L1002" s="1266"/>
      <c r="M1002" s="1267"/>
      <c r="N1002" s="76"/>
      <c r="O1002" s="160"/>
      <c r="P1002" s="109"/>
      <c r="Q1002" s="312"/>
      <c r="R1002" s="312"/>
      <c r="S1002" s="314"/>
      <c r="T1002" s="314"/>
      <c r="U1002" s="314"/>
      <c r="V1002" s="314"/>
      <c r="W1002" s="314"/>
      <c r="X1002" s="314"/>
      <c r="Y1002" s="314"/>
      <c r="Z1002" s="314"/>
      <c r="AA1002" s="314"/>
      <c r="AB1002" s="314"/>
      <c r="AC1002" s="314"/>
      <c r="AD1002" s="314"/>
      <c r="AE1002" s="314"/>
      <c r="AF1002" s="314"/>
      <c r="AG1002" s="314"/>
      <c r="AH1002" s="314"/>
      <c r="AI1002" s="314"/>
      <c r="AJ1002" s="314"/>
      <c r="AK1002" s="314"/>
      <c r="AL1002" s="314"/>
      <c r="AM1002" s="314"/>
      <c r="AN1002" s="314"/>
      <c r="AO1002" s="314"/>
      <c r="AP1002" s="314"/>
      <c r="AQ1002" s="314"/>
      <c r="AR1002" s="314"/>
      <c r="AS1002" s="314"/>
      <c r="AT1002" s="314"/>
      <c r="AU1002" s="314"/>
      <c r="AV1002" s="314"/>
      <c r="AW1002" s="314"/>
      <c r="AX1002" s="314"/>
      <c r="AY1002" s="314"/>
      <c r="AZ1002" s="314"/>
      <c r="BA1002" s="314"/>
      <c r="BB1002" s="314"/>
      <c r="BC1002" s="314"/>
      <c r="BD1002" s="314"/>
      <c r="BE1002" s="314"/>
      <c r="BG1002" s="364"/>
      <c r="BH1002" s="314"/>
      <c r="BI1002" s="314"/>
      <c r="BJ1002" s="314"/>
      <c r="BK1002" s="314"/>
      <c r="BL1002" s="314"/>
      <c r="BM1002" s="314"/>
      <c r="BN1002" s="314"/>
      <c r="BO1002" s="314"/>
      <c r="BP1002" s="314"/>
      <c r="BQ1002" s="314"/>
      <c r="BR1002" s="314"/>
      <c r="BS1002" s="314"/>
      <c r="BT1002" s="314"/>
      <c r="BU1002" s="314"/>
      <c r="BV1002" s="314"/>
      <c r="BW1002" s="314"/>
      <c r="BX1002" s="314"/>
      <c r="BY1002" s="314"/>
      <c r="BZ1002" s="314"/>
      <c r="CA1002" s="314"/>
      <c r="CB1002" s="314"/>
      <c r="CC1002" s="314"/>
      <c r="CD1002" s="314"/>
      <c r="CE1002" s="314"/>
      <c r="CF1002" s="314"/>
      <c r="CG1002" s="314"/>
      <c r="CH1002" s="314"/>
      <c r="CI1002" s="314"/>
      <c r="CJ1002" s="314"/>
      <c r="CK1002" s="314"/>
      <c r="CL1002" s="314"/>
      <c r="CM1002" s="314"/>
      <c r="CN1002" s="314"/>
      <c r="CO1002" s="314"/>
      <c r="CP1002" s="314"/>
      <c r="CQ1002" s="314"/>
    </row>
    <row r="1003" spans="1:95" ht="5.15" customHeight="1" x14ac:dyDescent="0.25">
      <c r="A1003" s="307"/>
      <c r="C1003" s="76"/>
      <c r="D1003" s="76"/>
      <c r="E1003" s="76"/>
      <c r="F1003" s="76"/>
      <c r="G1003" s="76"/>
      <c r="H1003" s="76"/>
      <c r="I1003" s="76"/>
      <c r="J1003" s="76"/>
      <c r="K1003" s="76"/>
      <c r="L1003" s="76"/>
      <c r="O1003" s="160"/>
      <c r="P1003" s="109"/>
      <c r="Q1003" s="312"/>
      <c r="R1003" s="312"/>
      <c r="S1003" s="314"/>
      <c r="T1003" s="314"/>
      <c r="U1003" s="314"/>
      <c r="V1003" s="314"/>
      <c r="W1003" s="314"/>
      <c r="X1003" s="314"/>
      <c r="Y1003" s="314"/>
      <c r="Z1003" s="314"/>
      <c r="AA1003" s="314"/>
      <c r="AB1003" s="314"/>
      <c r="AC1003" s="314"/>
      <c r="AD1003" s="314"/>
      <c r="AE1003" s="314"/>
      <c r="AF1003" s="314"/>
      <c r="AG1003" s="314"/>
      <c r="AH1003" s="314"/>
      <c r="AI1003" s="314"/>
      <c r="AJ1003" s="314"/>
      <c r="AK1003" s="314"/>
      <c r="AL1003" s="314"/>
      <c r="AM1003" s="314"/>
      <c r="AN1003" s="314"/>
      <c r="AO1003" s="314"/>
      <c r="AP1003" s="314"/>
      <c r="AQ1003" s="314"/>
      <c r="AR1003" s="314"/>
      <c r="AS1003" s="314"/>
      <c r="AT1003" s="314"/>
      <c r="AU1003" s="314"/>
      <c r="AV1003" s="314"/>
      <c r="AW1003" s="314"/>
      <c r="AX1003" s="314"/>
      <c r="AY1003" s="314"/>
      <c r="AZ1003" s="314"/>
      <c r="BA1003" s="314"/>
      <c r="BB1003" s="314"/>
      <c r="BC1003" s="314"/>
      <c r="BD1003" s="314"/>
      <c r="BE1003" s="314"/>
      <c r="BG1003" s="364"/>
      <c r="BH1003" s="314"/>
      <c r="BI1003" s="314"/>
      <c r="BJ1003" s="314"/>
      <c r="BK1003" s="314"/>
      <c r="BL1003" s="314"/>
      <c r="BM1003" s="314"/>
      <c r="BN1003" s="314"/>
      <c r="BO1003" s="314"/>
      <c r="BP1003" s="314"/>
      <c r="BQ1003" s="314"/>
      <c r="BR1003" s="314"/>
      <c r="BS1003" s="314"/>
      <c r="BT1003" s="314"/>
      <c r="BU1003" s="314"/>
      <c r="BV1003" s="314"/>
      <c r="BW1003" s="314"/>
      <c r="BX1003" s="314"/>
      <c r="BY1003" s="314"/>
      <c r="BZ1003" s="314"/>
      <c r="CA1003" s="314"/>
      <c r="CB1003" s="314"/>
      <c r="CC1003" s="314"/>
      <c r="CD1003" s="314"/>
      <c r="CE1003" s="314"/>
      <c r="CF1003" s="314"/>
      <c r="CG1003" s="314"/>
      <c r="CH1003" s="314"/>
      <c r="CI1003" s="314"/>
      <c r="CJ1003" s="314"/>
      <c r="CK1003" s="314"/>
      <c r="CL1003" s="314"/>
      <c r="CM1003" s="314"/>
      <c r="CN1003" s="314"/>
      <c r="CO1003" s="314"/>
      <c r="CP1003" s="314"/>
      <c r="CQ1003" s="314"/>
    </row>
    <row r="1004" spans="1:95" ht="12.75" customHeight="1" thickBot="1" x14ac:dyDescent="0.3">
      <c r="A1004" s="307"/>
      <c r="C1004" s="76"/>
      <c r="D1004" s="76"/>
      <c r="E1004" s="76"/>
      <c r="F1004" s="76"/>
      <c r="G1004" s="1268">
        <v>1</v>
      </c>
      <c r="H1004" s="1268"/>
      <c r="I1004" s="1268">
        <v>2</v>
      </c>
      <c r="J1004" s="1268"/>
      <c r="K1004" s="1268">
        <v>3</v>
      </c>
      <c r="L1004" s="1268"/>
      <c r="O1004" s="160"/>
      <c r="P1004" s="109"/>
      <c r="Q1004" s="312"/>
      <c r="R1004" s="312"/>
      <c r="S1004" s="314"/>
      <c r="T1004" s="314"/>
      <c r="U1004" s="314"/>
      <c r="V1004" s="314"/>
      <c r="W1004" s="314"/>
      <c r="X1004" s="314"/>
      <c r="Y1004" s="314"/>
      <c r="Z1004" s="314"/>
      <c r="AA1004" s="314"/>
      <c r="AB1004" s="314"/>
      <c r="AC1004" s="314"/>
      <c r="AD1004" s="314"/>
      <c r="AE1004" s="314"/>
      <c r="AF1004" s="314"/>
      <c r="AG1004" s="314"/>
      <c r="AH1004" s="314"/>
      <c r="AI1004" s="314"/>
      <c r="AJ1004" s="314"/>
      <c r="AK1004" s="314"/>
      <c r="AL1004" s="314"/>
      <c r="AM1004" s="314"/>
      <c r="AN1004" s="314"/>
      <c r="AO1004" s="314"/>
      <c r="AP1004" s="314"/>
      <c r="AQ1004" s="314"/>
      <c r="AR1004" s="314"/>
      <c r="AS1004" s="314"/>
      <c r="AT1004" s="314"/>
      <c r="AU1004" s="314"/>
      <c r="AV1004" s="314"/>
      <c r="AW1004" s="314"/>
      <c r="AX1004" s="314"/>
      <c r="AY1004" s="314"/>
      <c r="AZ1004" s="314"/>
      <c r="BA1004" s="314"/>
      <c r="BB1004" s="314"/>
      <c r="BC1004" s="314"/>
      <c r="BD1004" s="314"/>
      <c r="BE1004" s="314"/>
      <c r="BF1004" s="314"/>
      <c r="BG1004" s="364"/>
      <c r="BH1004" s="314"/>
      <c r="BI1004" s="314"/>
      <c r="BJ1004" s="314"/>
      <c r="BK1004" s="314"/>
      <c r="BL1004" s="314"/>
      <c r="BM1004" s="314"/>
      <c r="BN1004" s="314"/>
      <c r="BO1004" s="314"/>
      <c r="BP1004" s="314"/>
      <c r="BQ1004" s="314"/>
      <c r="BR1004" s="314"/>
      <c r="BS1004" s="314"/>
      <c r="BT1004" s="314"/>
      <c r="BU1004" s="314"/>
      <c r="BV1004" s="314"/>
      <c r="BW1004" s="314"/>
      <c r="BX1004" s="314"/>
      <c r="BY1004" s="314"/>
      <c r="BZ1004" s="314"/>
      <c r="CA1004" s="314"/>
      <c r="CB1004" s="314"/>
      <c r="CC1004" s="314"/>
      <c r="CD1004" s="314"/>
      <c r="CE1004" s="314"/>
      <c r="CF1004" s="314"/>
      <c r="CG1004" s="314"/>
      <c r="CH1004" s="314"/>
      <c r="CI1004" s="314"/>
      <c r="CJ1004" s="314"/>
      <c r="CK1004" s="314"/>
      <c r="CL1004" s="314"/>
      <c r="CM1004" s="314"/>
      <c r="CN1004" s="314"/>
      <c r="CO1004" s="314"/>
      <c r="CP1004" s="314"/>
      <c r="CQ1004" s="314"/>
    </row>
    <row r="1005" spans="1:95" ht="12.75" customHeight="1" thickBot="1" x14ac:dyDescent="0.3">
      <c r="A1005" s="462"/>
      <c r="B1005" s="76"/>
      <c r="C1005" s="76"/>
      <c r="D1005" s="1246" t="str">
        <f>Translations!$B$372</f>
        <v>Consumers' CRF category:</v>
      </c>
      <c r="E1005" s="1246"/>
      <c r="F1005" s="1247"/>
      <c r="G1005" s="1248"/>
      <c r="H1005" s="1249"/>
      <c r="I1005" s="1248"/>
      <c r="J1005" s="1249"/>
      <c r="K1005" s="1248"/>
      <c r="L1005" s="1249"/>
      <c r="M1005" s="463" t="str">
        <f>IF(AND(E984&lt;&gt;"",COUNTA(G1005:L1005)=0,AX1005=FALSE),EUconst_ERR_Incomplete,"")</f>
        <v/>
      </c>
      <c r="N1005" s="76"/>
      <c r="O1005" s="160"/>
      <c r="P1005" s="109"/>
      <c r="Q1005" s="312"/>
      <c r="R1005" s="312"/>
      <c r="S1005" s="314"/>
      <c r="T1005" s="314"/>
      <c r="U1005" s="314"/>
      <c r="V1005" s="314"/>
      <c r="W1005" s="314"/>
      <c r="X1005" s="314"/>
      <c r="Y1005" s="314"/>
      <c r="Z1005" s="314"/>
      <c r="AA1005" s="314"/>
      <c r="AB1005" s="314"/>
      <c r="AC1005" s="314"/>
      <c r="AD1005" s="314"/>
      <c r="AE1005" s="314"/>
      <c r="AF1005" s="314"/>
      <c r="AG1005" s="314"/>
      <c r="AH1005" s="314"/>
      <c r="AI1005" s="314"/>
      <c r="AJ1005" s="314"/>
      <c r="AK1005" s="314"/>
      <c r="AL1005" s="314"/>
      <c r="AM1005" s="314"/>
      <c r="AN1005" s="314"/>
      <c r="AO1005" s="314"/>
      <c r="AP1005" s="314"/>
      <c r="AQ1005" s="314"/>
      <c r="AR1005" s="314"/>
      <c r="AS1005" s="314"/>
      <c r="AT1005" s="314"/>
      <c r="AU1005" s="314"/>
      <c r="AV1005" s="314"/>
      <c r="AW1005" s="314"/>
      <c r="AX1005" s="464" t="b">
        <f>AND(AV1001&lt;&gt;"",SUM(AV1001=1))</f>
        <v>0</v>
      </c>
      <c r="AY1005" s="314"/>
      <c r="AZ1005" s="314"/>
      <c r="BA1005" s="314"/>
      <c r="BB1005" s="314"/>
      <c r="BC1005" s="314"/>
      <c r="BD1005" s="314"/>
      <c r="BE1005" s="314"/>
      <c r="BF1005" s="361" t="s">
        <v>169</v>
      </c>
      <c r="BG1005" s="362" t="str">
        <f>IF(AN990=EUconst_TJ,AV990*AV998,IF(AN992=EUconst_GJ,AV990*AV992/1000*AV998,""))</f>
        <v/>
      </c>
      <c r="BH1005" s="314"/>
      <c r="BI1005" s="314"/>
      <c r="BJ1005" s="314"/>
      <c r="BK1005" s="314"/>
      <c r="BL1005" s="314"/>
      <c r="BM1005" s="314"/>
      <c r="BN1005" s="314"/>
      <c r="BO1005" s="314"/>
      <c r="BP1005" s="314"/>
      <c r="BQ1005" s="314"/>
      <c r="BR1005" s="314"/>
      <c r="BS1005" s="314"/>
      <c r="BT1005" s="314"/>
      <c r="BU1005" s="314"/>
      <c r="BV1005" s="314"/>
      <c r="BW1005" s="314"/>
      <c r="BX1005" s="314"/>
      <c r="BY1005" s="314"/>
      <c r="BZ1005" s="314"/>
      <c r="CA1005" s="314"/>
      <c r="CB1005" s="314"/>
      <c r="CC1005" s="314"/>
      <c r="CD1005" s="314"/>
      <c r="CE1005" s="314"/>
      <c r="CF1005" s="314"/>
      <c r="CG1005" s="314"/>
      <c r="CH1005" s="314"/>
      <c r="CI1005" s="314"/>
      <c r="CJ1005" s="314"/>
      <c r="CK1005" s="314"/>
      <c r="CL1005" s="314"/>
      <c r="CM1005" s="314"/>
      <c r="CN1005" s="314"/>
      <c r="CO1005" s="314"/>
      <c r="CP1005" s="314"/>
      <c r="CQ1005" s="314"/>
    </row>
    <row r="1006" spans="1:95" ht="5.15" customHeight="1" x14ac:dyDescent="0.25">
      <c r="A1006" s="307"/>
      <c r="B1006" s="68"/>
      <c r="C1006" s="68"/>
      <c r="D1006" s="68"/>
      <c r="E1006" s="68"/>
      <c r="F1006" s="68"/>
      <c r="G1006" s="76"/>
      <c r="H1006" s="76"/>
      <c r="I1006" s="76"/>
      <c r="J1006" s="76"/>
      <c r="K1006" s="76"/>
      <c r="L1006" s="76"/>
      <c r="M1006" s="76"/>
      <c r="N1006" s="76"/>
      <c r="O1006" s="160"/>
      <c r="P1006" s="109"/>
      <c r="Q1006" s="312"/>
      <c r="R1006" s="312"/>
      <c r="S1006" s="314"/>
      <c r="T1006" s="314"/>
      <c r="U1006" s="314"/>
      <c r="V1006" s="314"/>
      <c r="W1006" s="314"/>
      <c r="X1006" s="314"/>
      <c r="Y1006" s="314"/>
      <c r="Z1006" s="314"/>
      <c r="AA1006" s="314"/>
      <c r="AB1006" s="314"/>
      <c r="AC1006" s="314"/>
      <c r="AD1006" s="314"/>
      <c r="AE1006" s="314"/>
      <c r="AF1006" s="314"/>
      <c r="AG1006" s="314"/>
      <c r="AH1006" s="314"/>
      <c r="AI1006" s="314"/>
      <c r="AJ1006" s="314"/>
      <c r="AK1006" s="314"/>
      <c r="AL1006" s="314"/>
      <c r="AM1006" s="314"/>
      <c r="AN1006" s="314"/>
      <c r="AO1006" s="314"/>
      <c r="AP1006" s="314"/>
      <c r="AQ1006" s="314"/>
      <c r="AR1006" s="314"/>
      <c r="AS1006" s="314"/>
      <c r="AT1006" s="314"/>
      <c r="AU1006" s="314"/>
      <c r="AV1006" s="314"/>
      <c r="AW1006" s="314"/>
      <c r="AX1006" s="314"/>
      <c r="AY1006" s="314"/>
      <c r="AZ1006" s="314"/>
      <c r="BA1006" s="314"/>
      <c r="BB1006" s="314"/>
      <c r="BC1006" s="314"/>
      <c r="BD1006" s="314"/>
      <c r="BE1006" s="314"/>
      <c r="BF1006" s="314"/>
      <c r="BG1006" s="314"/>
      <c r="BH1006" s="314"/>
      <c r="BI1006" s="314"/>
      <c r="BJ1006" s="314"/>
      <c r="BK1006" s="314"/>
      <c r="BL1006" s="314"/>
      <c r="BM1006" s="314"/>
      <c r="BN1006" s="314"/>
      <c r="BO1006" s="314"/>
      <c r="BP1006" s="314"/>
      <c r="BQ1006" s="314"/>
      <c r="BR1006" s="314"/>
      <c r="BS1006" s="314"/>
      <c r="BT1006" s="314"/>
      <c r="BU1006" s="314"/>
      <c r="BV1006" s="314"/>
      <c r="BW1006" s="314"/>
      <c r="BX1006" s="314"/>
      <c r="BY1006" s="314"/>
      <c r="BZ1006" s="314"/>
      <c r="CA1006" s="314"/>
      <c r="CB1006" s="314"/>
      <c r="CC1006" s="314"/>
      <c r="CD1006" s="314"/>
      <c r="CE1006" s="314"/>
      <c r="CF1006" s="314"/>
      <c r="CG1006" s="314"/>
      <c r="CH1006" s="314"/>
      <c r="CI1006" s="314"/>
      <c r="CJ1006" s="314"/>
      <c r="CK1006" s="314"/>
      <c r="CL1006" s="314"/>
      <c r="CM1006" s="314"/>
      <c r="CN1006" s="314"/>
      <c r="CO1006" s="314"/>
      <c r="CP1006" s="314"/>
      <c r="CQ1006" s="314"/>
    </row>
    <row r="1007" spans="1:95" ht="12.75" customHeight="1" x14ac:dyDescent="0.25">
      <c r="A1007" s="307"/>
      <c r="B1007" s="68"/>
      <c r="C1007" s="68"/>
      <c r="D1007" s="1246" t="str">
        <f>Translations!$B$399</f>
        <v>Tiers valid from:</v>
      </c>
      <c r="E1007" s="1246"/>
      <c r="F1007" s="1247"/>
      <c r="G1007" s="8"/>
      <c r="H1007" s="199" t="str">
        <f>Translations!$B$400</f>
        <v>until:</v>
      </c>
      <c r="I1007" s="8"/>
      <c r="J1007" s="76"/>
      <c r="K1007" s="76"/>
      <c r="L1007" s="76"/>
      <c r="M1007" s="199" t="str">
        <f>Translations!$B$401</f>
        <v>ID used in the monitoring plan for this fuel stream:</v>
      </c>
      <c r="N1007" s="9"/>
      <c r="O1007" s="160"/>
      <c r="P1007" s="109"/>
      <c r="Q1007" s="312"/>
      <c r="R1007" s="312"/>
      <c r="S1007" s="465"/>
      <c r="T1007" s="314"/>
      <c r="U1007" s="314"/>
      <c r="V1007" s="314"/>
      <c r="W1007" s="314"/>
      <c r="X1007" s="314"/>
      <c r="Y1007" s="314"/>
      <c r="Z1007" s="314"/>
      <c r="AA1007" s="314"/>
      <c r="AB1007" s="314"/>
      <c r="AC1007" s="314"/>
      <c r="AD1007" s="314"/>
      <c r="AE1007" s="314"/>
      <c r="AF1007" s="314"/>
      <c r="AG1007" s="314"/>
      <c r="AH1007" s="314"/>
      <c r="AI1007" s="314"/>
      <c r="AJ1007" s="314"/>
      <c r="AK1007" s="314"/>
      <c r="AL1007" s="314"/>
      <c r="AM1007" s="314"/>
      <c r="AN1007" s="314"/>
      <c r="AO1007" s="314"/>
      <c r="AP1007" s="314"/>
      <c r="AQ1007" s="314"/>
      <c r="AR1007" s="314"/>
      <c r="AS1007" s="314"/>
      <c r="AT1007" s="314"/>
      <c r="AU1007" s="314"/>
      <c r="AV1007" s="314"/>
      <c r="AW1007" s="314"/>
      <c r="AX1007" s="314"/>
      <c r="AY1007" s="314"/>
      <c r="AZ1007" s="314"/>
      <c r="BA1007" s="314"/>
      <c r="BB1007" s="314"/>
      <c r="BC1007" s="314"/>
      <c r="BD1007" s="314"/>
      <c r="BE1007" s="314"/>
      <c r="BF1007" s="314"/>
      <c r="BG1007" s="314"/>
      <c r="BH1007" s="314"/>
      <c r="BI1007" s="314"/>
      <c r="BJ1007" s="314"/>
      <c r="BK1007" s="314"/>
      <c r="BL1007" s="314"/>
      <c r="BM1007" s="314"/>
      <c r="BN1007" s="314"/>
      <c r="BO1007" s="314"/>
      <c r="BP1007" s="314"/>
      <c r="BQ1007" s="314"/>
      <c r="BR1007" s="314"/>
      <c r="BS1007" s="314"/>
      <c r="BT1007" s="314"/>
      <c r="BU1007" s="314"/>
      <c r="BV1007" s="314"/>
      <c r="BW1007" s="314"/>
      <c r="BX1007" s="314"/>
      <c r="BY1007" s="314"/>
      <c r="BZ1007" s="314"/>
      <c r="CA1007" s="314"/>
      <c r="CB1007" s="314"/>
      <c r="CC1007" s="314"/>
      <c r="CD1007" s="314"/>
      <c r="CE1007" s="314"/>
      <c r="CF1007" s="314"/>
      <c r="CG1007" s="314"/>
      <c r="CH1007" s="314"/>
      <c r="CI1007" s="314"/>
      <c r="CJ1007" s="314"/>
      <c r="CK1007" s="314"/>
      <c r="CL1007" s="314"/>
      <c r="CM1007" s="314"/>
      <c r="CN1007" s="314"/>
      <c r="CO1007" s="314"/>
      <c r="CP1007" s="314"/>
      <c r="CQ1007" s="464" t="b">
        <f>CQ990</f>
        <v>0</v>
      </c>
    </row>
    <row r="1008" spans="1:95" ht="5.15" customHeight="1" x14ac:dyDescent="0.25">
      <c r="A1008" s="462"/>
      <c r="B1008" s="76"/>
      <c r="C1008" s="76"/>
      <c r="D1008" s="76"/>
      <c r="E1008" s="76"/>
      <c r="F1008" s="76"/>
      <c r="G1008" s="76"/>
      <c r="H1008" s="76"/>
      <c r="I1008" s="76"/>
      <c r="J1008" s="76"/>
      <c r="K1008" s="76"/>
      <c r="L1008" s="76"/>
      <c r="M1008" s="76"/>
      <c r="N1008" s="76"/>
      <c r="O1008" s="160"/>
      <c r="P1008" s="109"/>
      <c r="Q1008" s="312"/>
      <c r="R1008" s="312"/>
      <c r="S1008" s="314"/>
      <c r="T1008" s="314"/>
      <c r="U1008" s="314"/>
      <c r="V1008" s="314"/>
      <c r="W1008" s="314"/>
      <c r="X1008" s="314"/>
      <c r="Y1008" s="314"/>
      <c r="Z1008" s="314"/>
      <c r="AA1008" s="314"/>
      <c r="AB1008" s="314"/>
      <c r="AC1008" s="314"/>
      <c r="AD1008" s="314"/>
      <c r="AE1008" s="314"/>
      <c r="AF1008" s="314"/>
      <c r="AG1008" s="314"/>
      <c r="AH1008" s="314"/>
      <c r="AI1008" s="314"/>
      <c r="AJ1008" s="314"/>
      <c r="AK1008" s="314"/>
      <c r="AL1008" s="314"/>
      <c r="AM1008" s="314"/>
      <c r="AN1008" s="314"/>
      <c r="AO1008" s="314"/>
      <c r="AP1008" s="314"/>
      <c r="AQ1008" s="314"/>
      <c r="AR1008" s="314"/>
      <c r="AS1008" s="314"/>
      <c r="AT1008" s="314"/>
      <c r="AU1008" s="314"/>
      <c r="AV1008" s="314"/>
      <c r="AW1008" s="314"/>
      <c r="AX1008" s="314"/>
      <c r="AY1008" s="314"/>
      <c r="AZ1008" s="314"/>
      <c r="BA1008" s="314"/>
      <c r="BB1008" s="314"/>
      <c r="BC1008" s="314"/>
      <c r="BD1008" s="314"/>
      <c r="BE1008" s="314"/>
      <c r="BF1008" s="314"/>
      <c r="BG1008" s="314"/>
      <c r="BH1008" s="314"/>
      <c r="BI1008" s="314"/>
      <c r="BJ1008" s="314"/>
      <c r="BK1008" s="314"/>
      <c r="BL1008" s="314"/>
      <c r="BM1008" s="314"/>
      <c r="BN1008" s="314"/>
      <c r="BO1008" s="314"/>
      <c r="BP1008" s="314"/>
      <c r="BQ1008" s="314"/>
      <c r="BR1008" s="314"/>
      <c r="BS1008" s="314"/>
      <c r="BT1008" s="314"/>
      <c r="BU1008" s="314"/>
      <c r="BV1008" s="314"/>
      <c r="BW1008" s="314"/>
      <c r="BX1008" s="314"/>
      <c r="BY1008" s="314"/>
      <c r="BZ1008" s="314"/>
      <c r="CA1008" s="314"/>
      <c r="CB1008" s="314"/>
      <c r="CC1008" s="314"/>
      <c r="CD1008" s="314"/>
      <c r="CE1008" s="314"/>
      <c r="CF1008" s="314"/>
      <c r="CG1008" s="314"/>
      <c r="CH1008" s="314"/>
      <c r="CI1008" s="314"/>
      <c r="CJ1008" s="314"/>
      <c r="CK1008" s="314"/>
      <c r="CL1008" s="314"/>
      <c r="CM1008" s="314"/>
      <c r="CN1008" s="314"/>
      <c r="CO1008" s="314"/>
      <c r="CP1008" s="314"/>
      <c r="CQ1008" s="314"/>
    </row>
    <row r="1009" spans="1:95" ht="12.75" customHeight="1" x14ac:dyDescent="0.25">
      <c r="A1009" s="462"/>
      <c r="B1009" s="76"/>
      <c r="C1009" s="76"/>
      <c r="D1009" s="115"/>
      <c r="E1009" s="85"/>
      <c r="F1009" s="466" t="str">
        <f>Translations!$B$304</f>
        <v>Comments:</v>
      </c>
      <c r="G1009" s="1250"/>
      <c r="H1009" s="1251"/>
      <c r="I1009" s="1251"/>
      <c r="J1009" s="1251"/>
      <c r="K1009" s="1251"/>
      <c r="L1009" s="1251"/>
      <c r="M1009" s="1251"/>
      <c r="N1009" s="1252"/>
      <c r="O1009" s="160"/>
      <c r="P1009" s="109"/>
      <c r="Q1009" s="312"/>
      <c r="R1009" s="312"/>
      <c r="S1009" s="314"/>
      <c r="T1009" s="314"/>
      <c r="U1009" s="314"/>
      <c r="V1009" s="314"/>
      <c r="W1009" s="314"/>
      <c r="X1009" s="314"/>
      <c r="Y1009" s="314"/>
      <c r="Z1009" s="314"/>
      <c r="AA1009" s="314"/>
      <c r="AB1009" s="314"/>
      <c r="AC1009" s="314"/>
      <c r="AD1009" s="314"/>
      <c r="AE1009" s="314"/>
      <c r="AF1009" s="314"/>
      <c r="AG1009" s="314"/>
      <c r="AH1009" s="314"/>
      <c r="AI1009" s="314"/>
      <c r="AJ1009" s="314"/>
      <c r="AK1009" s="314"/>
      <c r="AL1009" s="314"/>
      <c r="AM1009" s="314"/>
      <c r="AN1009" s="314"/>
      <c r="AO1009" s="314"/>
      <c r="AP1009" s="314"/>
      <c r="AQ1009" s="314"/>
      <c r="AR1009" s="314"/>
      <c r="AS1009" s="314"/>
      <c r="AT1009" s="314"/>
      <c r="AU1009" s="314"/>
      <c r="AV1009" s="314"/>
      <c r="AW1009" s="314"/>
      <c r="AX1009" s="314"/>
      <c r="AY1009" s="314"/>
      <c r="AZ1009" s="314"/>
      <c r="BA1009" s="314"/>
      <c r="BB1009" s="314"/>
      <c r="BC1009" s="314"/>
      <c r="BD1009" s="314"/>
      <c r="BE1009" s="314"/>
      <c r="BF1009" s="314"/>
      <c r="BG1009" s="314"/>
      <c r="BH1009" s="314"/>
      <c r="BI1009" s="314"/>
      <c r="BJ1009" s="314"/>
      <c r="BK1009" s="314"/>
      <c r="BL1009" s="314"/>
      <c r="BM1009" s="314"/>
      <c r="BN1009" s="314"/>
      <c r="BO1009" s="314"/>
      <c r="BP1009" s="314"/>
      <c r="BQ1009" s="314"/>
      <c r="BR1009" s="314"/>
      <c r="BS1009" s="314"/>
      <c r="BT1009" s="314"/>
      <c r="BU1009" s="314"/>
      <c r="BV1009" s="314"/>
      <c r="BW1009" s="314"/>
      <c r="BX1009" s="314"/>
      <c r="BY1009" s="314"/>
      <c r="BZ1009" s="314"/>
      <c r="CA1009" s="314"/>
      <c r="CB1009" s="314"/>
      <c r="CC1009" s="314"/>
      <c r="CD1009" s="314"/>
      <c r="CE1009" s="314"/>
      <c r="CF1009" s="314"/>
      <c r="CG1009" s="314"/>
      <c r="CH1009" s="314"/>
      <c r="CI1009" s="314"/>
      <c r="CJ1009" s="314"/>
      <c r="CK1009" s="314"/>
      <c r="CL1009" s="314"/>
      <c r="CM1009" s="314"/>
      <c r="CN1009" s="314"/>
      <c r="CO1009" s="314"/>
      <c r="CP1009" s="314"/>
      <c r="CQ1009" s="464" t="b">
        <f>CQ1007</f>
        <v>0</v>
      </c>
    </row>
    <row r="1010" spans="1:95" ht="12.75" customHeight="1" thickBot="1" x14ac:dyDescent="0.3">
      <c r="A1010" s="307"/>
      <c r="B1010" s="76"/>
      <c r="C1010" s="308"/>
      <c r="D1010" s="309"/>
      <c r="E1010" s="310"/>
      <c r="F1010" s="308"/>
      <c r="G1010" s="311"/>
      <c r="H1010" s="311"/>
      <c r="I1010" s="311"/>
      <c r="J1010" s="311"/>
      <c r="K1010" s="311"/>
      <c r="L1010" s="311"/>
      <c r="M1010" s="311"/>
      <c r="N1010" s="311"/>
      <c r="O1010" s="160"/>
      <c r="P1010" s="109"/>
      <c r="Q1010" s="312"/>
      <c r="R1010" s="312"/>
      <c r="S1010" s="293"/>
      <c r="T1010" s="293"/>
      <c r="U1010" s="313"/>
      <c r="V1010" s="293"/>
      <c r="W1010" s="293"/>
      <c r="X1010" s="313"/>
      <c r="Y1010" s="293"/>
      <c r="Z1010" s="293"/>
      <c r="AA1010" s="293"/>
      <c r="AB1010" s="293"/>
      <c r="AC1010" s="293"/>
      <c r="AD1010" s="293"/>
      <c r="AE1010" s="293"/>
      <c r="AF1010" s="293"/>
      <c r="AG1010" s="293"/>
      <c r="AH1010" s="293"/>
      <c r="AI1010" s="293"/>
      <c r="AJ1010" s="293"/>
      <c r="AK1010" s="293"/>
      <c r="AL1010" s="293"/>
      <c r="AM1010" s="293"/>
      <c r="AN1010" s="293"/>
      <c r="AO1010" s="293"/>
      <c r="AP1010" s="293"/>
      <c r="AQ1010" s="293"/>
      <c r="AR1010" s="293"/>
      <c r="AS1010" s="293"/>
      <c r="AT1010" s="293"/>
      <c r="AU1010" s="293"/>
      <c r="AV1010" s="293"/>
      <c r="AW1010" s="293"/>
      <c r="AX1010" s="293"/>
      <c r="AY1010" s="293"/>
      <c r="AZ1010" s="293"/>
      <c r="BA1010" s="293"/>
      <c r="BB1010" s="293"/>
      <c r="BC1010" s="293"/>
      <c r="BD1010" s="293"/>
      <c r="BE1010" s="293"/>
      <c r="BF1010" s="293"/>
      <c r="BG1010" s="293"/>
      <c r="BH1010" s="293"/>
      <c r="BI1010" s="293"/>
      <c r="BJ1010" s="293"/>
      <c r="BK1010" s="293"/>
      <c r="BL1010" s="293"/>
      <c r="BM1010" s="314"/>
      <c r="BN1010" s="314"/>
      <c r="BO1010" s="314"/>
      <c r="BP1010" s="314"/>
      <c r="BQ1010" s="314"/>
      <c r="BR1010" s="314"/>
      <c r="BS1010" s="314"/>
      <c r="BT1010" s="314"/>
      <c r="BU1010" s="293"/>
      <c r="BV1010" s="293"/>
      <c r="BW1010" s="293"/>
      <c r="BX1010" s="293"/>
      <c r="BY1010" s="293"/>
      <c r="BZ1010" s="293"/>
      <c r="CA1010" s="293"/>
      <c r="CB1010" s="293"/>
      <c r="CC1010" s="293"/>
      <c r="CD1010" s="293"/>
      <c r="CE1010" s="293"/>
      <c r="CF1010" s="293"/>
      <c r="CG1010" s="293"/>
      <c r="CH1010" s="293"/>
      <c r="CI1010" s="293"/>
      <c r="CJ1010" s="293"/>
      <c r="CK1010" s="293"/>
      <c r="CL1010" s="293"/>
      <c r="CM1010" s="293"/>
      <c r="CN1010" s="293"/>
      <c r="CO1010" s="293"/>
      <c r="CP1010" s="293"/>
      <c r="CQ1010" s="293"/>
    </row>
    <row r="1011" spans="1:95" ht="12.75" customHeight="1" thickBot="1" x14ac:dyDescent="0.3">
      <c r="A1011" s="315"/>
      <c r="B1011" s="76"/>
      <c r="C1011" s="76"/>
      <c r="D1011" s="205"/>
      <c r="E1011" s="316"/>
      <c r="F1011" s="76"/>
      <c r="G1011" s="96"/>
      <c r="H1011" s="96"/>
      <c r="I1011" s="96"/>
      <c r="J1011" s="96"/>
      <c r="K1011" s="76"/>
      <c r="L1011" s="96"/>
      <c r="M1011" s="96"/>
      <c r="N1011" s="96"/>
      <c r="O1011" s="160"/>
      <c r="P1011" s="109"/>
      <c r="Q1011" s="312"/>
      <c r="R1011" s="312"/>
      <c r="S1011" s="287"/>
      <c r="T1011" s="317" t="str">
        <f>IF(ISBLANK(E1012),"",MATCH(E1012,CNTR_SourceStreamNames,0))</f>
        <v/>
      </c>
      <c r="U1011" s="318" t="str">
        <f>IF(ISBLANK(E1012),"",INDEX(B_IdentifyFuelStreams!$D$67:$D$116,MATCH(E1012,CNTR_SourceStreamNames,0)))</f>
        <v/>
      </c>
      <c r="V1011" s="301"/>
      <c r="W1011" s="138"/>
      <c r="X1011" s="138"/>
      <c r="Y1011" s="138"/>
      <c r="Z1011" s="293"/>
      <c r="AA1011" s="293"/>
      <c r="AB1011" s="293"/>
      <c r="AC1011" s="293"/>
      <c r="AD1011" s="293"/>
      <c r="AE1011" s="293"/>
      <c r="AF1011" s="293"/>
      <c r="AG1011" s="293"/>
      <c r="AH1011" s="293"/>
      <c r="AI1011" s="293"/>
      <c r="AJ1011" s="293"/>
      <c r="AK1011" s="312"/>
      <c r="AL1011" s="293"/>
      <c r="AM1011" s="293"/>
      <c r="AN1011" s="293"/>
      <c r="AO1011" s="293"/>
      <c r="AP1011" s="293"/>
      <c r="AQ1011" s="293"/>
      <c r="AR1011" s="293"/>
      <c r="AS1011" s="293"/>
      <c r="AT1011" s="293"/>
      <c r="AU1011" s="293"/>
      <c r="AV1011" s="293"/>
      <c r="AW1011" s="293"/>
      <c r="AX1011" s="293"/>
      <c r="AY1011" s="293"/>
      <c r="AZ1011" s="293"/>
      <c r="BA1011" s="293"/>
      <c r="BB1011" s="293"/>
      <c r="BC1011" s="293"/>
      <c r="BD1011" s="293"/>
      <c r="BE1011" s="293"/>
      <c r="BF1011" s="293"/>
      <c r="BG1011" s="293"/>
      <c r="BH1011" s="293"/>
      <c r="BI1011" s="293"/>
      <c r="BJ1011" s="138"/>
      <c r="BK1011" s="138"/>
      <c r="BL1011" s="138"/>
      <c r="BM1011" s="138"/>
      <c r="BN1011" s="138"/>
      <c r="BO1011" s="138"/>
      <c r="BP1011" s="138"/>
      <c r="BQ1011" s="138"/>
      <c r="BR1011" s="138"/>
      <c r="BS1011" s="138"/>
      <c r="BT1011" s="138"/>
      <c r="BU1011" s="138"/>
      <c r="BV1011" s="138"/>
      <c r="BW1011" s="138"/>
      <c r="BX1011" s="138"/>
      <c r="BY1011" s="138"/>
      <c r="BZ1011" s="138"/>
      <c r="CA1011" s="138"/>
      <c r="CB1011" s="138"/>
      <c r="CC1011" s="138"/>
      <c r="CD1011" s="138"/>
      <c r="CE1011" s="138"/>
      <c r="CF1011" s="138"/>
      <c r="CG1011" s="138"/>
      <c r="CH1011" s="138"/>
      <c r="CI1011" s="138"/>
      <c r="CJ1011" s="138"/>
      <c r="CK1011" s="138"/>
      <c r="CL1011" s="138"/>
      <c r="CM1011" s="138"/>
      <c r="CN1011" s="138"/>
      <c r="CO1011" s="138"/>
      <c r="CP1011" s="138"/>
      <c r="CQ1011" s="319" t="s">
        <v>107</v>
      </c>
    </row>
    <row r="1012" spans="1:95" ht="15" customHeight="1" thickBot="1" x14ac:dyDescent="0.3">
      <c r="A1012" s="320">
        <f>C1012</f>
        <v>35</v>
      </c>
      <c r="B1012" s="68"/>
      <c r="C1012" s="321">
        <f>C984+1</f>
        <v>35</v>
      </c>
      <c r="D1012" s="68"/>
      <c r="E1012" s="1269"/>
      <c r="F1012" s="1270"/>
      <c r="G1012" s="1270"/>
      <c r="H1012" s="1270"/>
      <c r="I1012" s="1270"/>
      <c r="J1012" s="1271"/>
      <c r="K1012" s="1272" t="str">
        <f>IF(INDEX(B_IdentifyFuelStreams!$K$125:$K$174,MATCH(U1011,B_IdentifyFuelStreams!$D$125:$D$174,0))&gt;0,INDEX(B_IdentifyFuelStreams!$K$125:$K$174,MATCH(U1011,B_IdentifyFuelStreams!$D$125:$D$174,0)),"")</f>
        <v/>
      </c>
      <c r="L1012" s="1273"/>
      <c r="M1012" s="316" t="str">
        <f>Translations!$B$621</f>
        <v>Emissions:</v>
      </c>
      <c r="N1012" s="322" t="str">
        <f>IF(E1013="","",BG1018)</f>
        <v/>
      </c>
      <c r="O1012" s="323" t="str">
        <f>EUconst_tCO2</f>
        <v>tCO2</v>
      </c>
      <c r="P1012" s="324" t="str">
        <f>IF(AND(E1012&lt;&gt;"",COUNTIF(P1013:$P$1649,"PRINT")=0),"PRINT","")</f>
        <v/>
      </c>
      <c r="Q1012" s="325" t="str">
        <f>EUconst_SumCO2</f>
        <v>SUM_CO2</v>
      </c>
      <c r="R1012" s="312"/>
      <c r="S1012" s="287"/>
      <c r="T1012" s="287"/>
      <c r="U1012" s="287"/>
      <c r="V1012" s="301"/>
      <c r="W1012" s="138"/>
      <c r="X1012" s="293"/>
      <c r="Y1012" s="293"/>
      <c r="Z1012" s="293"/>
      <c r="AA1012" s="293"/>
      <c r="AB1012" s="293"/>
      <c r="AC1012" s="293"/>
      <c r="AD1012" s="293"/>
      <c r="AE1012" s="293"/>
      <c r="AF1012" s="293"/>
      <c r="AG1012" s="293"/>
      <c r="AH1012" s="293"/>
      <c r="AI1012" s="326"/>
      <c r="AJ1012" s="326"/>
      <c r="AK1012" s="326"/>
      <c r="AL1012" s="326"/>
      <c r="AM1012" s="326"/>
      <c r="AN1012" s="326"/>
      <c r="AO1012" s="326"/>
      <c r="AP1012" s="326"/>
      <c r="AQ1012" s="326"/>
      <c r="AR1012" s="326"/>
      <c r="AS1012" s="326"/>
      <c r="AT1012" s="326"/>
      <c r="AU1012" s="326"/>
      <c r="AV1012" s="326"/>
      <c r="AW1012" s="326"/>
      <c r="AX1012" s="326"/>
      <c r="AY1012" s="326"/>
      <c r="AZ1012" s="326"/>
      <c r="BA1012" s="326"/>
      <c r="BB1012" s="326"/>
      <c r="BC1012" s="326"/>
      <c r="BD1012" s="326"/>
      <c r="BE1012" s="326"/>
      <c r="BF1012" s="326"/>
      <c r="BG1012" s="326"/>
      <c r="BH1012" s="326"/>
      <c r="BI1012" s="327" t="str">
        <f>IF(E1012="","",E1012)</f>
        <v/>
      </c>
      <c r="BJ1012" s="328" t="str">
        <f>IF(F1018="","",F1018)</f>
        <v/>
      </c>
      <c r="BK1012" s="329">
        <f>AV1018</f>
        <v>0</v>
      </c>
      <c r="BL1012" s="329">
        <f>IF(BK1012="","",BK1012*(1-BP1012))</f>
        <v>0</v>
      </c>
      <c r="BM1012" s="328" t="str">
        <f>AJ1018</f>
        <v/>
      </c>
      <c r="BN1012" s="328" t="str">
        <f>IF(F1029="","",F1029)</f>
        <v/>
      </c>
      <c r="BO1012" s="327" t="str">
        <f>IF(G1029="","",G1029)</f>
        <v/>
      </c>
      <c r="BP1012" s="330">
        <f>AV1029</f>
        <v>0</v>
      </c>
      <c r="BQ1012" s="328" t="str">
        <f>IF(F1021="","",F1021)</f>
        <v/>
      </c>
      <c r="BR1012" s="330">
        <f>AV1021</f>
        <v>0</v>
      </c>
      <c r="BS1012" s="330" t="str">
        <f>AJ1021</f>
        <v/>
      </c>
      <c r="BT1012" s="328" t="str">
        <f>IF(F1020="","",F1020)</f>
        <v/>
      </c>
      <c r="BU1012" s="330">
        <f>IF(F1020=EUconst_NA,"",AV1020)</f>
        <v>0</v>
      </c>
      <c r="BV1012" s="330" t="str">
        <f>AJ1020</f>
        <v/>
      </c>
      <c r="BW1012" s="328" t="str">
        <f>IF(F1022="","",F1022)</f>
        <v/>
      </c>
      <c r="BX1012" s="330">
        <f>AV1022</f>
        <v>0</v>
      </c>
      <c r="BY1012" s="328" t="str">
        <f>IF(F1023="","",F1023)</f>
        <v/>
      </c>
      <c r="BZ1012" s="330">
        <f>AV1023</f>
        <v>0</v>
      </c>
      <c r="CA1012" s="330">
        <f>AV1024</f>
        <v>0</v>
      </c>
      <c r="CB1012" s="330">
        <f>AV1025</f>
        <v>0</v>
      </c>
      <c r="CC1012" s="330">
        <f>AV1026</f>
        <v>0</v>
      </c>
      <c r="CD1012" s="330">
        <f>AV1027</f>
        <v>0</v>
      </c>
      <c r="CE1012" s="329" t="str">
        <f>BG1018</f>
        <v/>
      </c>
      <c r="CF1012" s="329" t="str">
        <f>BG1020</f>
        <v/>
      </c>
      <c r="CG1012" s="329" t="str">
        <f>BG1021</f>
        <v/>
      </c>
      <c r="CH1012" s="329" t="str">
        <f>BG1022</f>
        <v/>
      </c>
      <c r="CI1012" s="329" t="str">
        <f>BG1023</f>
        <v/>
      </c>
      <c r="CJ1012" s="329" t="str">
        <f>BG1024</f>
        <v/>
      </c>
      <c r="CK1012" s="329" t="str">
        <f>BG1025</f>
        <v/>
      </c>
      <c r="CL1012" s="329">
        <f>BG1026</f>
        <v>0</v>
      </c>
      <c r="CM1012" s="329" t="str">
        <f>BG1027</f>
        <v/>
      </c>
      <c r="CN1012" s="329" t="str">
        <f>BG1029</f>
        <v/>
      </c>
      <c r="CO1012" s="329" t="str">
        <f>BG1033</f>
        <v/>
      </c>
      <c r="CP1012" s="329" t="str">
        <f>IF(COUNTIF(AO1021:AO1022,TRUE)=0,"",BH1018)</f>
        <v/>
      </c>
      <c r="CQ1012" s="331" t="b">
        <v>0</v>
      </c>
    </row>
    <row r="1013" spans="1:95" ht="15" customHeight="1" thickBot="1" x14ac:dyDescent="0.3">
      <c r="A1013" s="307"/>
      <c r="B1013" s="68"/>
      <c r="C1013" s="68"/>
      <c r="D1013" s="68"/>
      <c r="E1013" s="1274" t="str">
        <f>IF(ISBLANK(E1012),"",IF(INDEX(B_IdentifyFuelStreams!$E$67:$E$116,MATCH(U1011,B_IdentifyFuelStreams!$D$67:$D$116,0))&gt;0,INDEX(B_IdentifyFuelStreams!$E$67:$E$116,MATCH(U1011,B_IdentifyFuelStreams!$D$67:$D$116,0)),""))</f>
        <v/>
      </c>
      <c r="F1013" s="1275"/>
      <c r="G1013" s="1275"/>
      <c r="H1013" s="1275"/>
      <c r="I1013" s="1275"/>
      <c r="J1013" s="1276"/>
      <c r="K1013" s="1272" t="str">
        <f>IF(INDEX(B_IdentifyFuelStreams!$M$125:$M$174,MATCH(U1011,B_IdentifyFuelStreams!$D$125:$D$174,0))&gt;0,INDEX(B_IdentifyFuelStreams!$M$125:$M$174,MATCH(U1011,B_IdentifyFuelStreams!$D$125:$D$174,0)),"")</f>
        <v/>
      </c>
      <c r="L1013" s="1273"/>
      <c r="M1013" s="332" t="str">
        <f>Translations!$B$622</f>
        <v>zero-rated:</v>
      </c>
      <c r="N1013" s="333" t="str">
        <f>IF(E1013="","",SUM(BG1020,BG1022,BG1024))</f>
        <v/>
      </c>
      <c r="O1013" s="334" t="str">
        <f>EUconst_tCO2</f>
        <v>tCO2</v>
      </c>
      <c r="P1013" s="109"/>
      <c r="Q1013" s="325" t="str">
        <f>EUconst_SumBioCO2</f>
        <v>SUM_bioCO2</v>
      </c>
      <c r="R1013" s="312"/>
      <c r="S1013" s="287"/>
      <c r="T1013" s="287"/>
      <c r="U1013" s="287"/>
      <c r="V1013" s="301"/>
      <c r="W1013" s="138"/>
      <c r="X1013" s="293"/>
      <c r="Y1013" s="317" t="str">
        <f>Translations!$B$143</f>
        <v>Tiers</v>
      </c>
      <c r="Z1013" s="314"/>
      <c r="AA1013" s="314"/>
      <c r="AB1013" s="314"/>
      <c r="AC1013" s="314"/>
      <c r="AD1013" s="314"/>
      <c r="AE1013" s="317" t="s">
        <v>108</v>
      </c>
      <c r="AF1013" s="293"/>
      <c r="AG1013" s="335"/>
      <c r="AH1013" s="314"/>
      <c r="AI1013" s="314"/>
      <c r="AJ1013" s="335"/>
      <c r="AK1013" s="335"/>
      <c r="AL1013" s="326"/>
      <c r="AM1013" s="326"/>
      <c r="AN1013" s="326"/>
      <c r="AO1013" s="326"/>
      <c r="AP1013" s="326"/>
      <c r="AQ1013" s="317" t="s">
        <v>109</v>
      </c>
      <c r="AR1013" s="336"/>
      <c r="AS1013" s="336"/>
      <c r="AT1013" s="314"/>
      <c r="AU1013" s="314"/>
      <c r="AV1013" s="314"/>
      <c r="AW1013" s="314"/>
      <c r="AX1013" s="314"/>
      <c r="AY1013" s="314"/>
      <c r="AZ1013" s="317" t="s">
        <v>110</v>
      </c>
      <c r="BA1013" s="314"/>
      <c r="BB1013" s="314"/>
      <c r="BC1013" s="314"/>
      <c r="BD1013" s="314"/>
      <c r="BE1013" s="314"/>
      <c r="BF1013" s="317" t="s">
        <v>111</v>
      </c>
      <c r="BG1013" s="314"/>
      <c r="BH1013" s="314"/>
      <c r="BI1013" s="317" t="s">
        <v>112</v>
      </c>
      <c r="BJ1013" s="328" t="str">
        <f>Translations!$B$376</f>
        <v>RFA Tier</v>
      </c>
      <c r="BK1013" s="328" t="str">
        <f>Translations!$B$377</f>
        <v>RFA</v>
      </c>
      <c r="BL1013" s="328" t="str">
        <f>Translations!$B$378</f>
        <v>RFA (in scope)</v>
      </c>
      <c r="BM1013" s="328" t="str">
        <f>Translations!$B$379</f>
        <v>RFA Unit</v>
      </c>
      <c r="BN1013" s="328" t="str">
        <f>Translations!$B$380</f>
        <v>SF Tier</v>
      </c>
      <c r="BO1013" s="328" t="str">
        <f>Translations!$B$380</f>
        <v>SF Tier</v>
      </c>
      <c r="BP1013" s="328" t="str">
        <f>Translations!$B$381</f>
        <v>SF</v>
      </c>
      <c r="BQ1013" s="328" t="str">
        <f>Translations!$B$382</f>
        <v>EF Tier</v>
      </c>
      <c r="BR1013" s="328" t="str">
        <f>Translations!$B$383</f>
        <v>EF</v>
      </c>
      <c r="BS1013" s="328" t="str">
        <f>Translations!$B$384</f>
        <v>EF Unit</v>
      </c>
      <c r="BT1013" s="328" t="str">
        <f>Translations!$B$385</f>
        <v>UCF Tier</v>
      </c>
      <c r="BU1013" s="328" t="str">
        <f>Translations!$B$386</f>
        <v>UCF</v>
      </c>
      <c r="BV1013" s="328" t="str">
        <f>Translations!$B$387</f>
        <v>UCF Unit</v>
      </c>
      <c r="BW1013" s="328" t="str">
        <f>Translations!$B$388</f>
        <v>Bio Tier</v>
      </c>
      <c r="BX1013" s="328" t="s">
        <v>113</v>
      </c>
      <c r="BY1013" s="328" t="str">
        <f>Translations!$B$389</f>
        <v>NonSustBio Tier</v>
      </c>
      <c r="BZ1013" s="328" t="s">
        <v>114</v>
      </c>
      <c r="CA1013" s="328" t="s">
        <v>115</v>
      </c>
      <c r="CB1013" s="328" t="s">
        <v>116</v>
      </c>
      <c r="CC1013" s="328" t="s">
        <v>117</v>
      </c>
      <c r="CD1013" s="328" t="s">
        <v>118</v>
      </c>
      <c r="CE1013" s="328" t="s">
        <v>119</v>
      </c>
      <c r="CF1013" s="328" t="s">
        <v>120</v>
      </c>
      <c r="CG1013" s="328" t="str">
        <f>Translations!$B$392</f>
        <v>CO2 non-sust</v>
      </c>
      <c r="CH1013" s="328" t="s">
        <v>121</v>
      </c>
      <c r="CI1013" s="328" t="s">
        <v>122</v>
      </c>
      <c r="CJ1013" s="328" t="s">
        <v>123</v>
      </c>
      <c r="CK1013" s="328" t="s">
        <v>124</v>
      </c>
      <c r="CL1013" s="328" t="s">
        <v>125</v>
      </c>
      <c r="CM1013" s="328" t="str">
        <f>Translations!$B$551</f>
        <v>Energy content (bio), TJ</v>
      </c>
      <c r="CN1013" s="328" t="s">
        <v>126</v>
      </c>
      <c r="CO1013" s="328" t="s">
        <v>127</v>
      </c>
      <c r="CP1013" s="328" t="s">
        <v>128</v>
      </c>
      <c r="CQ1013" s="314"/>
    </row>
    <row r="1014" spans="1:95" ht="5.15" customHeight="1" thickBot="1" x14ac:dyDescent="0.3">
      <c r="A1014" s="307"/>
      <c r="B1014" s="68"/>
      <c r="C1014" s="68"/>
      <c r="D1014" s="68"/>
      <c r="E1014" s="68"/>
      <c r="F1014" s="68"/>
      <c r="G1014" s="68"/>
      <c r="H1014" s="76"/>
      <c r="I1014" s="76"/>
      <c r="J1014" s="76"/>
      <c r="K1014" s="76"/>
      <c r="L1014" s="76"/>
      <c r="M1014" s="76"/>
      <c r="N1014" s="76"/>
      <c r="O1014" s="160"/>
      <c r="P1014" s="109"/>
      <c r="Q1014" s="312"/>
      <c r="R1014" s="312"/>
      <c r="S1014" s="287"/>
      <c r="T1014" s="287"/>
      <c r="U1014" s="287"/>
      <c r="V1014" s="301"/>
      <c r="W1014" s="314"/>
      <c r="X1014" s="314"/>
      <c r="Y1014" s="312"/>
      <c r="Z1014" s="314"/>
      <c r="AA1014" s="314"/>
      <c r="AB1014" s="314"/>
      <c r="AC1014" s="314"/>
      <c r="AD1014" s="314"/>
      <c r="AE1014" s="314"/>
      <c r="AF1014" s="293"/>
      <c r="AG1014" s="314"/>
      <c r="AH1014" s="314"/>
      <c r="AI1014" s="314"/>
      <c r="AJ1014" s="335"/>
      <c r="AK1014" s="335"/>
      <c r="AL1014" s="326"/>
      <c r="AM1014" s="326"/>
      <c r="AN1014" s="326"/>
      <c r="AO1014" s="326"/>
      <c r="AP1014" s="326"/>
      <c r="AQ1014" s="314"/>
      <c r="AR1014" s="314"/>
      <c r="AS1014" s="314"/>
      <c r="AT1014" s="314"/>
      <c r="AU1014" s="314"/>
      <c r="AV1014" s="314"/>
      <c r="AW1014" s="314"/>
      <c r="AX1014" s="314"/>
      <c r="AY1014" s="314"/>
      <c r="AZ1014" s="314"/>
      <c r="BA1014" s="314"/>
      <c r="BB1014" s="314"/>
      <c r="BC1014" s="314"/>
      <c r="BD1014" s="314"/>
      <c r="BE1014" s="314"/>
      <c r="BF1014" s="314"/>
      <c r="BG1014" s="314"/>
      <c r="BH1014" s="314"/>
      <c r="BI1014" s="314"/>
      <c r="BJ1014" s="314"/>
      <c r="BK1014" s="314"/>
      <c r="BL1014" s="314"/>
      <c r="BM1014" s="314"/>
      <c r="BN1014" s="314"/>
      <c r="BO1014" s="314"/>
      <c r="BP1014" s="314"/>
      <c r="BQ1014" s="314"/>
      <c r="BR1014" s="314"/>
      <c r="BS1014" s="314"/>
      <c r="BT1014" s="314"/>
      <c r="BU1014" s="314"/>
      <c r="BV1014" s="314"/>
      <c r="BW1014" s="314"/>
      <c r="BX1014" s="314"/>
      <c r="BY1014" s="314"/>
      <c r="BZ1014" s="314"/>
      <c r="CA1014" s="314"/>
      <c r="CB1014" s="314"/>
      <c r="CC1014" s="314"/>
      <c r="CD1014" s="314"/>
      <c r="CE1014" s="314"/>
      <c r="CF1014" s="314"/>
      <c r="CG1014" s="314"/>
      <c r="CH1014" s="314"/>
      <c r="CI1014" s="314"/>
      <c r="CJ1014" s="314"/>
      <c r="CK1014" s="314"/>
      <c r="CL1014" s="314"/>
      <c r="CM1014" s="314"/>
      <c r="CN1014" s="314"/>
      <c r="CO1014" s="314"/>
      <c r="CP1014" s="314"/>
      <c r="CQ1014" s="314"/>
    </row>
    <row r="1015" spans="1:95" ht="12.75" customHeight="1" thickBot="1" x14ac:dyDescent="0.3">
      <c r="A1015" s="307"/>
      <c r="B1015" s="68"/>
      <c r="C1015" s="68"/>
      <c r="D1015" s="68"/>
      <c r="E1015" s="1253" t="str">
        <f>IF(E1012="","",HYPERLINK("#JUMP_E_Top",EUconst_FurtherGuidancePoint1))</f>
        <v/>
      </c>
      <c r="F1015" s="1253"/>
      <c r="G1015" s="1253"/>
      <c r="H1015" s="1253"/>
      <c r="I1015" s="1253"/>
      <c r="J1015" s="1253"/>
      <c r="K1015" s="1253"/>
      <c r="L1015" s="1253"/>
      <c r="M1015" s="1253"/>
      <c r="N1015" s="76"/>
      <c r="O1015" s="160"/>
      <c r="P1015" s="109"/>
      <c r="Q1015" s="325" t="str">
        <f>EUconst_SumNonSustBioCO2</f>
        <v>SUM_bioNonSustCO2</v>
      </c>
      <c r="R1015" s="337" t="str">
        <f>IF(E1013="","",BG1021)</f>
        <v/>
      </c>
      <c r="S1015" s="287"/>
      <c r="T1015" s="287"/>
      <c r="U1015" s="287"/>
      <c r="V1015" s="314"/>
      <c r="W1015" s="314"/>
      <c r="X1015" s="314"/>
      <c r="Y1015" s="293"/>
      <c r="Z1015" s="314"/>
      <c r="AA1015" s="314"/>
      <c r="AB1015" s="314"/>
      <c r="AC1015" s="314"/>
      <c r="AD1015" s="314"/>
      <c r="AE1015" s="314"/>
      <c r="AF1015" s="293"/>
      <c r="AG1015" s="314"/>
      <c r="AH1015" s="314"/>
      <c r="AI1015" s="314"/>
      <c r="AJ1015" s="335"/>
      <c r="AK1015" s="335"/>
      <c r="AL1015" s="326"/>
      <c r="AM1015" s="326"/>
      <c r="AN1015" s="326"/>
      <c r="AO1015" s="326"/>
      <c r="AP1015" s="326"/>
      <c r="AQ1015" s="314"/>
      <c r="AR1015" s="314"/>
      <c r="AS1015" s="314"/>
      <c r="AT1015" s="314"/>
      <c r="AU1015" s="314"/>
      <c r="AV1015" s="314"/>
      <c r="AW1015" s="314"/>
      <c r="AX1015" s="314"/>
      <c r="AY1015" s="314"/>
      <c r="AZ1015" s="314"/>
      <c r="BA1015" s="314"/>
      <c r="BB1015" s="314"/>
      <c r="BC1015" s="314"/>
      <c r="BD1015" s="314"/>
      <c r="BE1015" s="314"/>
      <c r="BF1015" s="314"/>
      <c r="BG1015" s="314"/>
      <c r="BH1015" s="314"/>
      <c r="BI1015" s="317" t="s">
        <v>129</v>
      </c>
      <c r="BJ1015" s="336"/>
      <c r="BK1015" s="327" t="str">
        <f>IF(G1033="","",G1033)</f>
        <v/>
      </c>
      <c r="BL1015" s="327" t="str">
        <f>IF(I1033="","",I1033)</f>
        <v/>
      </c>
      <c r="BM1015" s="327" t="str">
        <f>IF(K1033="","",K1033)</f>
        <v/>
      </c>
      <c r="BN1015" s="314"/>
      <c r="BO1015" s="314"/>
      <c r="BP1015" s="314"/>
      <c r="BQ1015" s="314"/>
      <c r="BR1015" s="314"/>
      <c r="BS1015" s="314"/>
      <c r="BT1015" s="319"/>
      <c r="BU1015" s="314"/>
      <c r="BV1015" s="314"/>
      <c r="BW1015" s="314"/>
      <c r="BX1015" s="314"/>
      <c r="BY1015" s="314"/>
      <c r="BZ1015" s="314"/>
      <c r="CA1015" s="314"/>
      <c r="CB1015" s="314"/>
      <c r="CC1015" s="314"/>
      <c r="CD1015" s="314"/>
      <c r="CE1015" s="314"/>
      <c r="CF1015" s="314"/>
      <c r="CG1015" s="314"/>
      <c r="CH1015" s="314"/>
      <c r="CI1015" s="314"/>
      <c r="CJ1015" s="314"/>
      <c r="CK1015" s="314"/>
      <c r="CL1015" s="314"/>
      <c r="CM1015" s="314"/>
      <c r="CN1015" s="314"/>
      <c r="CO1015" s="314"/>
      <c r="CP1015" s="314"/>
      <c r="CQ1015" s="314"/>
    </row>
    <row r="1016" spans="1:95" ht="5.15" customHeight="1" thickBot="1" x14ac:dyDescent="0.3">
      <c r="A1016" s="307"/>
      <c r="B1016" s="68"/>
      <c r="C1016" s="68"/>
      <c r="D1016" s="68"/>
      <c r="E1016" s="68"/>
      <c r="F1016" s="68"/>
      <c r="G1016" s="68"/>
      <c r="H1016" s="76"/>
      <c r="I1016" s="76"/>
      <c r="J1016" s="76"/>
      <c r="K1016" s="76"/>
      <c r="L1016" s="76"/>
      <c r="M1016" s="76"/>
      <c r="N1016" s="76"/>
      <c r="O1016" s="160"/>
      <c r="P1016" s="111"/>
      <c r="Q1016" s="287"/>
      <c r="R1016" s="111"/>
      <c r="S1016" s="287"/>
      <c r="T1016" s="287"/>
      <c r="U1016" s="287"/>
      <c r="V1016" s="314"/>
      <c r="W1016" s="314"/>
      <c r="X1016" s="314"/>
      <c r="Y1016" s="312"/>
      <c r="Z1016" s="314"/>
      <c r="AA1016" s="314"/>
      <c r="AB1016" s="314"/>
      <c r="AC1016" s="314"/>
      <c r="AD1016" s="314"/>
      <c r="AE1016" s="314"/>
      <c r="AF1016" s="293"/>
      <c r="AG1016" s="314"/>
      <c r="AH1016" s="314"/>
      <c r="AI1016" s="314"/>
      <c r="AJ1016" s="335"/>
      <c r="AK1016" s="335"/>
      <c r="AL1016" s="326"/>
      <c r="AM1016" s="326"/>
      <c r="AN1016" s="326"/>
      <c r="AO1016" s="326"/>
      <c r="AP1016" s="326"/>
      <c r="AQ1016" s="314"/>
      <c r="AR1016" s="314"/>
      <c r="AS1016" s="314"/>
      <c r="AT1016" s="314"/>
      <c r="AU1016" s="314"/>
      <c r="AV1016" s="314"/>
      <c r="AW1016" s="314"/>
      <c r="AX1016" s="314"/>
      <c r="AY1016" s="314"/>
      <c r="AZ1016" s="314"/>
      <c r="BA1016" s="314"/>
      <c r="BB1016" s="314"/>
      <c r="BC1016" s="314"/>
      <c r="BD1016" s="314"/>
      <c r="BE1016" s="314"/>
      <c r="BF1016" s="314"/>
      <c r="BG1016" s="314"/>
      <c r="BH1016" s="314"/>
      <c r="BI1016" s="314"/>
      <c r="BJ1016" s="314"/>
      <c r="BK1016" s="314"/>
      <c r="BL1016" s="314"/>
      <c r="BM1016" s="314"/>
      <c r="BN1016" s="314"/>
      <c r="BO1016" s="314"/>
      <c r="BP1016" s="314"/>
      <c r="BQ1016" s="314"/>
      <c r="BR1016" s="314"/>
      <c r="BS1016" s="314"/>
      <c r="BT1016" s="314"/>
      <c r="BU1016" s="314"/>
      <c r="BV1016" s="314"/>
      <c r="BW1016" s="314"/>
      <c r="BX1016" s="314"/>
      <c r="BY1016" s="314"/>
      <c r="BZ1016" s="314"/>
      <c r="CA1016" s="314"/>
      <c r="CB1016" s="314"/>
      <c r="CC1016" s="314"/>
      <c r="CD1016" s="314"/>
      <c r="CE1016" s="314"/>
      <c r="CF1016" s="314"/>
      <c r="CG1016" s="314"/>
      <c r="CH1016" s="314"/>
      <c r="CI1016" s="314"/>
      <c r="CJ1016" s="314"/>
      <c r="CK1016" s="314"/>
      <c r="CL1016" s="314"/>
      <c r="CM1016" s="314"/>
      <c r="CN1016" s="314"/>
      <c r="CO1016" s="314"/>
      <c r="CP1016" s="314"/>
      <c r="CQ1016" s="314"/>
    </row>
    <row r="1017" spans="1:95" ht="12.75" customHeight="1" thickBot="1" x14ac:dyDescent="0.3">
      <c r="A1017" s="307"/>
      <c r="B1017" s="68"/>
      <c r="C1017" s="68"/>
      <c r="D1017" s="68"/>
      <c r="E1017" s="68"/>
      <c r="F1017" s="338" t="str">
        <f>Translations!$B$127</f>
        <v>Tier</v>
      </c>
      <c r="G1017" s="1254" t="str">
        <f>Translations!$B$393</f>
        <v>tier description</v>
      </c>
      <c r="H1017" s="1254"/>
      <c r="I1017" s="1255" t="str">
        <f>Translations!$B$394</f>
        <v>Unit</v>
      </c>
      <c r="J1017" s="1255"/>
      <c r="K1017" s="1255" t="str">
        <f>Translations!$B$395</f>
        <v>Value</v>
      </c>
      <c r="L1017" s="1255"/>
      <c r="M1017" s="205" t="str">
        <f>Translations!$B$396</f>
        <v>error</v>
      </c>
      <c r="N1017" s="76"/>
      <c r="O1017" s="160"/>
      <c r="P1017" s="339"/>
      <c r="Q1017" s="325" t="str">
        <f>EUconst_SumEnergyIN</f>
        <v>SUM_EnergyIN</v>
      </c>
      <c r="R1017" s="340" t="str">
        <f>IF(E1013="","",BG1026)</f>
        <v/>
      </c>
      <c r="S1017" s="314"/>
      <c r="T1017" s="314"/>
      <c r="U1017" s="314"/>
      <c r="V1017" s="341" t="s">
        <v>130</v>
      </c>
      <c r="W1017" s="314"/>
      <c r="X1017" s="314"/>
      <c r="Y1017" s="312" t="s">
        <v>131</v>
      </c>
      <c r="Z1017" s="312" t="s">
        <v>132</v>
      </c>
      <c r="AA1017" s="314"/>
      <c r="AB1017" s="314"/>
      <c r="AC1017" s="336" t="s">
        <v>133</v>
      </c>
      <c r="AD1017" s="314"/>
      <c r="AE1017" s="314"/>
      <c r="AF1017" s="314" t="s">
        <v>134</v>
      </c>
      <c r="AG1017" s="314" t="s">
        <v>135</v>
      </c>
      <c r="AH1017" s="312" t="s">
        <v>136</v>
      </c>
      <c r="AI1017" s="335" t="s">
        <v>137</v>
      </c>
      <c r="AJ1017" s="335" t="s">
        <v>138</v>
      </c>
      <c r="AK1017" s="342" t="s">
        <v>139</v>
      </c>
      <c r="AL1017" s="326"/>
      <c r="AM1017" s="326"/>
      <c r="AN1017" s="326"/>
      <c r="AO1017" s="326"/>
      <c r="AP1017" s="326"/>
      <c r="AQ1017" s="314"/>
      <c r="AR1017" s="314" t="s">
        <v>134</v>
      </c>
      <c r="AS1017" s="314" t="s">
        <v>135</v>
      </c>
      <c r="AT1017" s="343" t="s">
        <v>140</v>
      </c>
      <c r="AU1017" s="335" t="s">
        <v>141</v>
      </c>
      <c r="AV1017" s="335" t="s">
        <v>142</v>
      </c>
      <c r="AW1017" s="342" t="s">
        <v>139</v>
      </c>
      <c r="AX1017" s="342" t="s">
        <v>139</v>
      </c>
      <c r="AY1017" s="314"/>
      <c r="AZ1017" s="314"/>
      <c r="BA1017" s="314"/>
      <c r="BB1017" s="314" t="s">
        <v>143</v>
      </c>
      <c r="BC1017" s="314"/>
      <c r="BD1017" s="314"/>
      <c r="BE1017" s="314"/>
      <c r="BF1017" s="314"/>
      <c r="BG1017" s="319" t="s">
        <v>144</v>
      </c>
      <c r="BH1017" s="314" t="s">
        <v>145</v>
      </c>
      <c r="BI1017" s="314"/>
      <c r="BJ1017" s="314"/>
      <c r="BK1017" s="314"/>
      <c r="BL1017" s="314"/>
      <c r="BM1017" s="314"/>
      <c r="BN1017" s="314"/>
      <c r="BO1017" s="314"/>
      <c r="BP1017" s="314"/>
      <c r="BQ1017" s="314"/>
      <c r="BR1017" s="314"/>
      <c r="BS1017" s="314"/>
      <c r="BT1017" s="314"/>
      <c r="BU1017" s="314"/>
      <c r="BV1017" s="314"/>
      <c r="BW1017" s="314"/>
      <c r="BX1017" s="314"/>
      <c r="BY1017" s="314"/>
      <c r="BZ1017" s="314"/>
      <c r="CA1017" s="314"/>
      <c r="CB1017" s="314"/>
      <c r="CC1017" s="314"/>
      <c r="CD1017" s="314"/>
      <c r="CE1017" s="314"/>
      <c r="CF1017" s="314"/>
      <c r="CG1017" s="314"/>
      <c r="CH1017" s="314"/>
      <c r="CI1017" s="314"/>
      <c r="CJ1017" s="314"/>
      <c r="CK1017" s="314"/>
      <c r="CL1017" s="314"/>
      <c r="CM1017" s="314"/>
      <c r="CN1017" s="314"/>
      <c r="CO1017" s="314"/>
      <c r="CP1017" s="314"/>
      <c r="CQ1017" s="319" t="s">
        <v>107</v>
      </c>
    </row>
    <row r="1018" spans="1:95" ht="12.75" customHeight="1" thickBot="1" x14ac:dyDescent="0.3">
      <c r="A1018" s="307"/>
      <c r="B1018" s="68"/>
      <c r="C1018" s="199" t="s">
        <v>12</v>
      </c>
      <c r="D1018" s="344" t="str">
        <f>Translations!$B$356</f>
        <v>RFA:</v>
      </c>
      <c r="E1018" s="345"/>
      <c r="F1018" s="6"/>
      <c r="G1018" s="1256" t="str">
        <f>IF(OR(ISBLANK(F1018),F1018=EUconst_NoTier),"",IF(Z1018=0,EUconst_NA,IF(ISERROR(Z1018),"",Z1018)))</f>
        <v/>
      </c>
      <c r="H1018" s="1257"/>
      <c r="I1018" s="346" t="str">
        <f>IF(J1018&lt;&gt;"","",AI1018)</f>
        <v/>
      </c>
      <c r="J1018" s="7"/>
      <c r="K1018" s="1258"/>
      <c r="L1018" s="1259"/>
      <c r="M1018" s="347" t="str">
        <f>IF(AND(E1013&lt;&gt;"",OR(F1018="",COUNT(K1018)=0),Y1018&lt;&gt;EUconst_NA),EUconst_ERR_Incomplete,"")</f>
        <v/>
      </c>
      <c r="N1018" s="76"/>
      <c r="O1018" s="160"/>
      <c r="P1018" s="348"/>
      <c r="Q1018" s="325" t="str">
        <f>EUconst_SumBioEnergyIN</f>
        <v>SUM_BioEnergyIN</v>
      </c>
      <c r="R1018" s="340" t="str">
        <f>IF(E1013="","",BG1027)</f>
        <v/>
      </c>
      <c r="S1018" s="314"/>
      <c r="T1018" s="349" t="str">
        <f>EUconst_CNTR_ActivityData&amp;E1013</f>
        <v>ActivityData_</v>
      </c>
      <c r="U1018" s="312"/>
      <c r="V1018" s="349" t="str">
        <f>IF(E1012="","",INDEX(B_IdentifyFuelStreams!$I$67:$I$116,MATCH(U1011,B_IdentifyFuelStreams!$D$67:$D$116,0)))</f>
        <v/>
      </c>
      <c r="W1018" s="335" t="s">
        <v>146</v>
      </c>
      <c r="X1018" s="312"/>
      <c r="Y1018" s="350" t="str">
        <f>IF(E1013="","",INDEX(EUwideConstants!$P$164:$P$200,MATCH(T1018,EUwideConstants!$S$164:$S$200,0)))</f>
        <v/>
      </c>
      <c r="Z1018" s="351" t="str">
        <f>IF(ISBLANK(F1018),"",IF(F1018=EUconst_NA,"",INDEX(EUwideConstants!$H:$O,MATCH(T1018,EUwideConstants!$S:$S,0),MATCH(F1018,CNTR_TierList,0))))</f>
        <v/>
      </c>
      <c r="AA1018" s="352" t="s">
        <v>136</v>
      </c>
      <c r="AB1018" s="335"/>
      <c r="AC1018" s="331" t="b">
        <f>E1012&lt;&gt;""</f>
        <v>0</v>
      </c>
      <c r="AD1018" s="314"/>
      <c r="AE1018" s="353" t="str">
        <f>EUconst_CNTR_ActivityData&amp;EUconst_Unit</f>
        <v>ActivityData_Unit</v>
      </c>
      <c r="AF1018" s="354" t="str">
        <f>IF(AC1018=TRUE, IF(COUNTIF(MSPara_SourceStreamCategory,V1018)=0,"",INDEX(MSPara_CalcFactorsMatrix,MATCH(V1018,MSPara_SourceStreamCategory,0),MATCH(AE1018&amp;"_"&amp;2,MSPara_CalcFactors,0))),"")</f>
        <v/>
      </c>
      <c r="AG1018" s="355" t="str">
        <f>IF(AC1018=TRUE, IF(COUNTIF(MSPara_SourceStreamCategory,V1018)=0,"",INDEX(MSPara_CalcFactorsMatrix,MATCH(V1018,MSPara_SourceStreamCategory,0),MATCH(AE1018&amp;"_"&amp;1,MSPara_CalcFactors,0))),"")</f>
        <v/>
      </c>
      <c r="AH1018" s="331" t="str">
        <f>IF(OR(AF1018="",AF1018=EUconst_NA),IF(OR(AG1018=EUconst_NA,AG1018=""),"",AG1018),AF1018)</f>
        <v/>
      </c>
      <c r="AI1018" s="350" t="str">
        <f>IF(AC1018=TRUE,IF(AH1018="",EUconst_t,AH1018),"")</f>
        <v/>
      </c>
      <c r="AJ1018" s="356" t="str">
        <f>IF(J1018="",AI1018,J1018)</f>
        <v/>
      </c>
      <c r="AK1018" s="357" t="b">
        <f>AND(E1012&lt;&gt;"",J1018&lt;&gt;"")</f>
        <v>0</v>
      </c>
      <c r="AL1018" s="326"/>
      <c r="AM1018" s="358" t="s">
        <v>147</v>
      </c>
      <c r="AN1018" s="359" t="str">
        <f>AJ1018</f>
        <v/>
      </c>
      <c r="AO1018" s="326"/>
      <c r="AP1018" s="326"/>
      <c r="AQ1018" s="349" t="str">
        <f>EUconst_CNTR_ActivityData&amp;EUconst_Value</f>
        <v>ActivityData_Value</v>
      </c>
      <c r="AR1018" s="336"/>
      <c r="AS1018" s="336"/>
      <c r="AT1018" s="331" t="b">
        <f>AND(AND(AH1018&lt;&gt;"",AJ1018&lt;&gt;""),AJ1018=AH1018)</f>
        <v>0</v>
      </c>
      <c r="AU1018" s="314"/>
      <c r="AV1018" s="331">
        <f>IF(Y1018=EUconst_NA,0,IF(COUNT(K1018:K1018)=0,0,IF(K1018="",#REF!,K1018)))</f>
        <v>0</v>
      </c>
      <c r="AW1018" s="360" t="b">
        <f>AND(AC1018=TRUE,OR(K1018&lt;&gt;"",AU1018=""))</f>
        <v>0</v>
      </c>
      <c r="AX1018" s="360" t="b">
        <f>AND(AC1018=TRUE,NOT(AW1018))</f>
        <v>0</v>
      </c>
      <c r="AY1018" s="314"/>
      <c r="AZ1018" s="314" t="s">
        <v>148</v>
      </c>
      <c r="BA1018" s="314" t="s">
        <v>149</v>
      </c>
      <c r="BB1018" s="360"/>
      <c r="BC1018" s="314" t="s">
        <v>150</v>
      </c>
      <c r="BD1018" s="314"/>
      <c r="BE1018" s="314"/>
      <c r="BF1018" s="361" t="s">
        <v>119</v>
      </c>
      <c r="BG1018" s="362" t="str">
        <f>IF(COUNTIF(AO1021:AO1022,TRUE)=0,"",BH1018*AV1029)</f>
        <v/>
      </c>
      <c r="BH1018" s="362" t="str">
        <f>IF(COUNTIF(AO1021:AO1022,TRUE)=0,"",AV1018*IF(AO1021,1,AV1020*AN1022)*AV1021-BH1020-BH1022-BH1024)</f>
        <v/>
      </c>
      <c r="BI1018" s="314"/>
      <c r="BJ1018" s="314"/>
      <c r="BK1018" s="314"/>
      <c r="BL1018" s="314"/>
      <c r="BM1018" s="314"/>
      <c r="BN1018" s="314"/>
      <c r="BO1018" s="314"/>
      <c r="BP1018" s="314"/>
      <c r="BQ1018" s="314"/>
      <c r="BR1018" s="314"/>
      <c r="BS1018" s="314"/>
      <c r="BT1018" s="314"/>
      <c r="BU1018" s="314"/>
      <c r="BV1018" s="314"/>
      <c r="BW1018" s="314"/>
      <c r="BX1018" s="314"/>
      <c r="BY1018" s="314"/>
      <c r="BZ1018" s="314"/>
      <c r="CA1018" s="314"/>
      <c r="CB1018" s="314"/>
      <c r="CC1018" s="314"/>
      <c r="CD1018" s="314"/>
      <c r="CE1018" s="314"/>
      <c r="CF1018" s="314"/>
      <c r="CG1018" s="314"/>
      <c r="CH1018" s="314"/>
      <c r="CI1018" s="314"/>
      <c r="CJ1018" s="314"/>
      <c r="CK1018" s="314"/>
      <c r="CL1018" s="314"/>
      <c r="CM1018" s="314"/>
      <c r="CN1018" s="314"/>
      <c r="CO1018" s="314"/>
      <c r="CP1018" s="314"/>
      <c r="CQ1018" s="360" t="b">
        <v>0</v>
      </c>
    </row>
    <row r="1019" spans="1:95" ht="5.15" customHeight="1" thickBot="1" x14ac:dyDescent="0.3">
      <c r="A1019" s="307"/>
      <c r="B1019" s="68"/>
      <c r="C1019" s="199"/>
      <c r="D1019" s="202"/>
      <c r="E1019" s="76"/>
      <c r="F1019" s="76"/>
      <c r="G1019" s="76"/>
      <c r="H1019" s="76" t="str">
        <f>Translations!$B$397</f>
        <v xml:space="preserve"> </v>
      </c>
      <c r="I1019" s="162"/>
      <c r="J1019" s="162"/>
      <c r="K1019" s="76"/>
      <c r="L1019" s="76"/>
      <c r="M1019" s="363"/>
      <c r="N1019" s="76"/>
      <c r="O1019" s="160"/>
      <c r="P1019" s="109"/>
      <c r="Q1019" s="312"/>
      <c r="R1019" s="312"/>
      <c r="S1019" s="314"/>
      <c r="T1019" s="62"/>
      <c r="U1019" s="312"/>
      <c r="V1019" s="314"/>
      <c r="W1019" s="314"/>
      <c r="X1019" s="312"/>
      <c r="Y1019" s="319"/>
      <c r="Z1019" s="314"/>
      <c r="AA1019" s="314"/>
      <c r="AB1019" s="314"/>
      <c r="AC1019" s="314"/>
      <c r="AD1019" s="314"/>
      <c r="AE1019" s="314"/>
      <c r="AF1019" s="314"/>
      <c r="AG1019" s="314"/>
      <c r="AH1019" s="314"/>
      <c r="AI1019" s="314"/>
      <c r="AJ1019" s="314"/>
      <c r="AK1019" s="314"/>
      <c r="AL1019" s="326"/>
      <c r="AM1019" s="326"/>
      <c r="AN1019" s="326"/>
      <c r="AO1019" s="326"/>
      <c r="AP1019" s="326"/>
      <c r="AQ1019" s="314"/>
      <c r="AR1019" s="314"/>
      <c r="AS1019" s="314"/>
      <c r="AT1019" s="314"/>
      <c r="AU1019" s="314"/>
      <c r="AV1019" s="314"/>
      <c r="AW1019" s="314"/>
      <c r="AX1019" s="314"/>
      <c r="AY1019" s="314"/>
      <c r="AZ1019" s="314"/>
      <c r="BA1019" s="314"/>
      <c r="BB1019" s="314"/>
      <c r="BC1019" s="314"/>
      <c r="BD1019" s="314"/>
      <c r="BE1019" s="314"/>
      <c r="BF1019" s="314"/>
      <c r="BG1019" s="364"/>
      <c r="BH1019" s="364"/>
      <c r="BI1019" s="314"/>
      <c r="BJ1019" s="314"/>
      <c r="BK1019" s="314"/>
      <c r="BL1019" s="314"/>
      <c r="BM1019" s="314"/>
      <c r="BN1019" s="314"/>
      <c r="BO1019" s="314"/>
      <c r="BP1019" s="314"/>
      <c r="BQ1019" s="314"/>
      <c r="BR1019" s="314"/>
      <c r="BS1019" s="314"/>
      <c r="BT1019" s="314"/>
      <c r="BU1019" s="314"/>
      <c r="BV1019" s="314"/>
      <c r="BW1019" s="314"/>
      <c r="BX1019" s="314"/>
      <c r="BY1019" s="314"/>
      <c r="BZ1019" s="314"/>
      <c r="CA1019" s="314"/>
      <c r="CB1019" s="314"/>
      <c r="CC1019" s="314"/>
      <c r="CD1019" s="314"/>
      <c r="CE1019" s="314"/>
      <c r="CF1019" s="314"/>
      <c r="CG1019" s="314"/>
      <c r="CH1019" s="314"/>
      <c r="CI1019" s="314"/>
      <c r="CJ1019" s="314"/>
      <c r="CK1019" s="314"/>
      <c r="CL1019" s="314"/>
      <c r="CM1019" s="314"/>
      <c r="CN1019" s="314"/>
      <c r="CO1019" s="314"/>
      <c r="CP1019" s="314"/>
      <c r="CQ1019" s="319"/>
    </row>
    <row r="1020" spans="1:95" ht="12.75" customHeight="1" x14ac:dyDescent="0.25">
      <c r="A1020" s="307"/>
      <c r="B1020" s="68"/>
      <c r="C1020" s="199" t="s">
        <v>13</v>
      </c>
      <c r="D1020" s="344" t="str">
        <f>Translations!$B$360</f>
        <v>UCF:</v>
      </c>
      <c r="E1020" s="345"/>
      <c r="F1020" s="10"/>
      <c r="G1020" s="1256" t="str">
        <f>IF(OR(ISBLANK(F1020),F1020=EUconst_NoTier),"",IF(Z1020=0,EUconst_NotApplicable,IF(ISERROR(Z1020),"",Z1020)))</f>
        <v/>
      </c>
      <c r="H1020" s="1257"/>
      <c r="I1020" s="365" t="str">
        <f>IF(J1020&lt;&gt;"","",AI1020)</f>
        <v/>
      </c>
      <c r="J1020" s="11"/>
      <c r="K1020" s="366" t="str">
        <f>IF(L1020="",AU1020,"")</f>
        <v/>
      </c>
      <c r="L1020" s="23"/>
      <c r="M1020" s="347" t="str">
        <f>IF(AND(E1013&lt;&gt;"",OR(F1020="",COUNT(K1020:L1020)=0),Y1020&lt;&gt;EUconst_NA),EUconst_ERR_Incomplete,IF(COUNTIF(BB1020:BD1020,TRUE)&gt;0,EUconst_ERR_Inconsistent,""))</f>
        <v/>
      </c>
      <c r="N1020" s="367"/>
      <c r="O1020" s="160"/>
      <c r="P1020" s="109"/>
      <c r="Q1020" s="312"/>
      <c r="R1020" s="312"/>
      <c r="S1020" s="314"/>
      <c r="T1020" s="368" t="str">
        <f>EUconst_CNTR_UCF&amp;E1013</f>
        <v>UCF_</v>
      </c>
      <c r="U1020" s="312"/>
      <c r="V1020" s="369" t="str">
        <f>V1021</f>
        <v/>
      </c>
      <c r="W1020" s="314"/>
      <c r="X1020" s="312"/>
      <c r="Y1020" s="370" t="str">
        <f>IF(E1013="","",IF(OR(F1020=EUconst_NA,W1020=TRUE),EUconst_NA,INDEX(EUwideConstants!$P$164:$P$200,MATCH(T1020,EUwideConstants!$S$164:$S$200,0))))</f>
        <v/>
      </c>
      <c r="Z1020" s="371" t="str">
        <f>IF(ISBLANK(F1020),"",IF(F1020=EUconst_NA,"",INDEX(EUwideConstants!$H:$O,MATCH(T1020,EUwideConstants!$S:$S,0),MATCH(F1020,CNTR_TierList,0))))</f>
        <v/>
      </c>
      <c r="AA1020" s="372" t="str">
        <f>IF(COUNTIF(EUconst_DefaultValues,Z1020)&gt;0,MATCH(Z1020,EUconst_DefaultValues,0),"")</f>
        <v/>
      </c>
      <c r="AB1020" s="314"/>
      <c r="AC1020" s="373" t="b">
        <f>AND(AC1018,Y1020&lt;&gt;EUconst_NA)</f>
        <v>0</v>
      </c>
      <c r="AD1020" s="314"/>
      <c r="AE1020" s="353" t="str">
        <f>EUconst_CNTR_UCF&amp;EUconst_Unit</f>
        <v>UCF_Unit</v>
      </c>
      <c r="AF1020" s="374" t="str">
        <f>IF(AC1020=TRUE, IF(COUNTIF(MSPara_SourceStreamCategory,V1020)=0,"",INDEX(MSPara_CalcFactorsMatrix,MATCH(V1020,MSPara_SourceStreamCategory,0),MATCH(AE1020&amp;"_"&amp;2,MSPara_CalcFactors,0))),"")</f>
        <v/>
      </c>
      <c r="AG1020" s="375" t="str">
        <f>IF(AC1020=TRUE, IF(COUNTIF(MSPara_SourceStreamCategory,V1020)=0,"",INDEX(MSPara_CalcFactorsMatrix,MATCH(V1020,MSPara_SourceStreamCategory,0),MATCH(AE1020&amp;"_"&amp;1,MSPara_CalcFactors,0))),"")</f>
        <v/>
      </c>
      <c r="AH1020" s="373" t="str">
        <f>IF(AA1020="","",INDEX(AF1020:AG1020,3-AA1020))</f>
        <v/>
      </c>
      <c r="AI1020" s="373" t="str">
        <f>IF(AC1020=TRUE,IF(OR(AH1020="",AH1020=EUconst_NA),EUconst_GJ&amp;"/"&amp;AJ1018,AH1020),"")</f>
        <v/>
      </c>
      <c r="AJ1020" s="373" t="str">
        <f>IF(J1020="",AI1020,J1020)</f>
        <v/>
      </c>
      <c r="AK1020" s="369" t="b">
        <f>AND(E1012&lt;&gt;"",J1020&lt;&gt;"")</f>
        <v>0</v>
      </c>
      <c r="AL1020" s="326"/>
      <c r="AM1020" s="358" t="s">
        <v>151</v>
      </c>
      <c r="AN1020" s="359" t="str">
        <f>IF(AJ1020="",EUconst_NA,IF(AN1018=EUconst_TJ,EUconst_TJ,INDEX(EUwideConstants!$C$135:$G$139,MATCH(AN1018,RFAUnits,0),MATCH(AJ1020,UCFUnits,0))))</f>
        <v>n.a.</v>
      </c>
      <c r="AO1020" s="326"/>
      <c r="AP1020" s="326"/>
      <c r="AQ1020" s="376" t="str">
        <f>EUconst_CNTR_UCF&amp;EUconst_Value</f>
        <v>UCF_Value</v>
      </c>
      <c r="AR1020" s="377" t="str">
        <f>IF(AC1020=TRUE,IF(COUNTIF(MSPara_SourceStreamCategory,V1020)=0,"",INDEX(MSPara_CalcFactorsMatrix,MATCH(V1020,MSPara_SourceStreamCategory,0),MATCH(AQ1020&amp;"_"&amp;2,MSPara_CalcFactors,0))),"")</f>
        <v/>
      </c>
      <c r="AS1020" s="378" t="str">
        <f>IF(AC1020=TRUE,IF(COUNTIF(MSPara_SourceStreamCategory,V1020)=0,"",INDEX(MSPara_CalcFactorsMatrix,MATCH(V1020,MSPara_SourceStreamCategory,0),MATCH(AQ1020&amp;"_"&amp;1,MSPara_CalcFactors,0))),"")</f>
        <v/>
      </c>
      <c r="AT1020" s="379" t="b">
        <f>AND(AND(AH1020&lt;&gt;"",AJ1020&lt;&gt;""),AJ1020=AH1020)</f>
        <v>0</v>
      </c>
      <c r="AU1020" s="380" t="str">
        <f>IF(AND(AA1020&lt;&gt;"",AT1020=TRUE),IF(OR(INDEX(AR1020:AS1020,3-AA1020)=EUconst_NA,INDEX(AR1020:AS1020,3-AA1020)=0),"",INDEX(AR1020:AS1020,3-AA1020)),"")</f>
        <v/>
      </c>
      <c r="AV1020" s="373">
        <f>IF(AC1020=TRUE,IF(COUNT(K1020:L1020)=0,0,IF(L1020="",K1020,L1020)),0)</f>
        <v>0</v>
      </c>
      <c r="AW1020" s="369" t="b">
        <f t="shared" ref="AW1020:AW1027" si="306">AND(AC1020=TRUE,OR(AND(F1020&lt;&gt;"",NOT(ISNUMBER(AA1020))),L1020&lt;&gt;"",F1020="",AU1020=""))</f>
        <v>0</v>
      </c>
      <c r="AX1020" s="381" t="b">
        <f t="shared" ref="AX1020:AX1027" si="307">AND(AC1020=TRUE,NOT(AW1020))</f>
        <v>0</v>
      </c>
      <c r="AY1020" s="314"/>
      <c r="AZ1020" s="382" t="b">
        <f t="shared" ref="AZ1020:AZ1027" si="308">AND(ISNUMBER(AA1020),AU1020="")</f>
        <v>0</v>
      </c>
      <c r="BA1020" s="383" t="b">
        <f t="shared" ref="BA1020:BA1027" si="309">AND(ISNUMBER(AA1020),AU1020&lt;&gt;AV1020)</f>
        <v>0</v>
      </c>
      <c r="BB1020" s="369" t="b">
        <f>AND(E1013&lt;&gt;"",F1020&lt;&gt;EUconst_NA,AN1020=EUconst_NA)</f>
        <v>0</v>
      </c>
      <c r="BC1020" s="369" t="b">
        <f t="shared" ref="BC1020:BC1027" si="310">AND(L1020&lt;&gt;"",Y1020=EUconst_NA)</f>
        <v>0</v>
      </c>
      <c r="BD1020" s="314"/>
      <c r="BE1020" s="314"/>
      <c r="BF1020" s="382" t="s">
        <v>152</v>
      </c>
      <c r="BG1020" s="384" t="str">
        <f>IF(COUNTIF(AO1021:AO1022,TRUE)=0,"",BH1020*AV1029)</f>
        <v/>
      </c>
      <c r="BH1020" s="384" t="str">
        <f>IF(COUNTIF(AO1021:AO1022,TRUE)=0,"",AV1018*IF(AO1021,1,AV1020*AN1022)*AV1021*AV1022)</f>
        <v/>
      </c>
      <c r="BI1020" s="314"/>
      <c r="BJ1020" s="314"/>
      <c r="BK1020" s="314"/>
      <c r="BL1020" s="314"/>
      <c r="BM1020" s="314"/>
      <c r="BN1020" s="314"/>
      <c r="BO1020" s="314"/>
      <c r="BP1020" s="314"/>
      <c r="BQ1020" s="314"/>
      <c r="BR1020" s="314"/>
      <c r="BS1020" s="314"/>
      <c r="BT1020" s="314"/>
      <c r="BU1020" s="314"/>
      <c r="BV1020" s="314"/>
      <c r="BW1020" s="314"/>
      <c r="BX1020" s="314"/>
      <c r="BY1020" s="314"/>
      <c r="BZ1020" s="314"/>
      <c r="CA1020" s="314"/>
      <c r="CB1020" s="314"/>
      <c r="CC1020" s="314"/>
      <c r="CD1020" s="314"/>
      <c r="CE1020" s="314"/>
      <c r="CF1020" s="314"/>
      <c r="CG1020" s="314"/>
      <c r="CH1020" s="314"/>
      <c r="CI1020" s="314"/>
      <c r="CJ1020" s="314"/>
      <c r="CK1020" s="314"/>
      <c r="CL1020" s="314"/>
      <c r="CM1020" s="314"/>
      <c r="CN1020" s="314"/>
      <c r="CO1020" s="314"/>
      <c r="CP1020" s="314"/>
      <c r="CQ1020" s="369" t="b">
        <f>OR(CQ1018,Y1020=EUconst_NA)</f>
        <v>0</v>
      </c>
    </row>
    <row r="1021" spans="1:95" ht="12.75" customHeight="1" thickBot="1" x14ac:dyDescent="0.3">
      <c r="A1021" s="307"/>
      <c r="B1021" s="68"/>
      <c r="C1021" s="199" t="s">
        <v>14</v>
      </c>
      <c r="D1021" s="344" t="str">
        <f>Translations!$B$358</f>
        <v>(prelim) EF:</v>
      </c>
      <c r="E1021" s="345"/>
      <c r="F1021" s="59"/>
      <c r="G1021" s="1256" t="str">
        <f>IF(OR(ISBLANK(F1021),F1021=EUconst_NoTier),"",IF(Z1021=0,EUconst_NotApplicable,IF(ISERROR(Z1021),"",Z1021)))</f>
        <v/>
      </c>
      <c r="H1021" s="1260"/>
      <c r="I1021" s="385" t="str">
        <f>IF(J1021&lt;&gt;"","",AI1021)</f>
        <v/>
      </c>
      <c r="J1021" s="22"/>
      <c r="K1021" s="386" t="str">
        <f>IF(L1021="",AU1021,"")</f>
        <v/>
      </c>
      <c r="L1021" s="58"/>
      <c r="M1021" s="347" t="str">
        <f>IF(AND(E1013&lt;&gt;"",OR(F1021="",COUNT(K1021:L1021)=0),Y1021&lt;&gt;EUconst_NA),EUconst_ERR_Incomplete,IF(COUNTIF(BB1021:BD1021,TRUE)&gt;0,EUconst_ERR_Inconsistent,""))</f>
        <v/>
      </c>
      <c r="N1021" s="387"/>
      <c r="O1021" s="160"/>
      <c r="P1021" s="109"/>
      <c r="Q1021" s="312"/>
      <c r="R1021" s="312"/>
      <c r="S1021" s="314"/>
      <c r="T1021" s="388" t="str">
        <f>EUconst_CNTR_EF&amp;E1013</f>
        <v>EF_</v>
      </c>
      <c r="U1021" s="312"/>
      <c r="V1021" s="389" t="str">
        <f>V1018</f>
        <v/>
      </c>
      <c r="W1021" s="314"/>
      <c r="X1021" s="312"/>
      <c r="Y1021" s="390" t="str">
        <f>IF(E1013="","",IF(OR(F1021=EUconst_NA,W1021=TRUE),EUconst_NA,INDEX(EUwideConstants!$P$164:$P$200,MATCH(T1021,EUwideConstants!$S$164:$S$200,0))))</f>
        <v/>
      </c>
      <c r="Z1021" s="391" t="str">
        <f>IF(ISBLANK(F1021),"",IF(F1021=EUconst_NA,"",INDEX(EUwideConstants!$H:$O,MATCH(T1021,EUwideConstants!$S:$S,0),MATCH(F1021,CNTR_TierList,0))))</f>
        <v/>
      </c>
      <c r="AA1021" s="392" t="str">
        <f>IF(COUNTIF(EUconst_DefaultValues,Z1021)&gt;0,MATCH(Z1021,EUconst_DefaultValues,0),"")</f>
        <v/>
      </c>
      <c r="AB1021" s="314"/>
      <c r="AC1021" s="393" t="b">
        <f>AND(AC1018,Y1021&lt;&gt;EUconst_NA)</f>
        <v>0</v>
      </c>
      <c r="AD1021" s="314"/>
      <c r="AE1021" s="394" t="str">
        <f>EUconst_CNTR_EF&amp;EUconst_Unit</f>
        <v>EF_Unit</v>
      </c>
      <c r="AF1021" s="395" t="str">
        <f>IF(AC1021=TRUE, IF(COUNTIF(MSPara_SourceStreamCategory,V1021)=0,"",INDEX(MSPara_CalcFactorsMatrix,MATCH(V1021,MSPara_SourceStreamCategory,0),MATCH(AE1021&amp;"_"&amp;2,MSPara_CalcFactors,0))),"")</f>
        <v/>
      </c>
      <c r="AG1021" s="396" t="str">
        <f>IF(AC1021=TRUE, IF(COUNTIF(MSPara_SourceStreamCategory,V1021)=0,"",INDEX(MSPara_CalcFactorsMatrix,MATCH(V1021,MSPara_SourceStreamCategory,0),MATCH(AE1021&amp;"_"&amp;1,MSPara_CalcFactors,0))),"")</f>
        <v/>
      </c>
      <c r="AH1021" s="397" t="str">
        <f>IF(AA1021="","",INDEX(AF1021:AG1021,3-AA1021))</f>
        <v/>
      </c>
      <c r="AI1021" s="397" t="str">
        <f>IF(AC1021=TRUE,IF(OR(AH1021="",AH1021=EUconst_NA),EUconst_tCO2&amp;"/"&amp;IF(AN1020=EUconst_NA,AN1018,IF(AN1020=EUconst_GJ,EUconst_TJ,AN1020)),AH1021),"")</f>
        <v/>
      </c>
      <c r="AJ1021" s="397" t="str">
        <f>IF(J1021="",AI1021,J1021)</f>
        <v/>
      </c>
      <c r="AK1021" s="398" t="b">
        <f>AND(E1013&lt;&gt;"",J1021&lt;&gt;"")</f>
        <v>0</v>
      </c>
      <c r="AL1021" s="326"/>
      <c r="AM1021" s="358" t="s">
        <v>153</v>
      </c>
      <c r="AN1021" s="359" t="str">
        <f>IF(COUNTIF(RFAUnits,AN1018)=0,EUconst_NA,INDEX(EUwideConstants!$C$150:$H$154,MATCH(AJ1021,EFUnits,0),MATCH(AN1018,EUwideConstants!$C$149:$H$149,0)))</f>
        <v>n.a.</v>
      </c>
      <c r="AO1021" s="359" t="b">
        <f>AN1021&lt;&gt;EUconst_NA</f>
        <v>0</v>
      </c>
      <c r="AP1021" s="326"/>
      <c r="AQ1021" s="399" t="str">
        <f>EUconst_CNTR_EF&amp;EUconst_Value</f>
        <v>EF_Value</v>
      </c>
      <c r="AR1021" s="400" t="str">
        <f>IF(AC1021=TRUE,IF(COUNTIF(MSPara_SourceStreamCategory,V1021)=0,"",INDEX(MSPara_CalcFactorsMatrix,MATCH(V1021,MSPara_SourceStreamCategory,0),MATCH(AQ1021&amp;"_"&amp;2,MSPara_CalcFactors,0))),"")</f>
        <v/>
      </c>
      <c r="AS1021" s="401" t="str">
        <f>IF(AC1021=TRUE,IF(COUNTIF(MSPara_SourceStreamCategory,V1021)=0,"",INDEX(MSPara_CalcFactorsMatrix,MATCH(V1021,MSPara_SourceStreamCategory,0),MATCH(AQ1021&amp;"_"&amp;1,MSPara_CalcFactors,0))),"")</f>
        <v/>
      </c>
      <c r="AT1021" s="402" t="b">
        <f>AND(AND(AH1021&lt;&gt;"",AJ1021&lt;&gt;""),AJ1021=AH1021)</f>
        <v>0</v>
      </c>
      <c r="AU1021" s="403" t="str">
        <f>IF(AND(AA1021&lt;&gt;"",AT1021=TRUE),IF(OR(INDEX(AR1021:AS1021,3-AA1021)=EUconst_NA,INDEX(AR1021:AS1021,3-AA1021)=0),"",INDEX(AR1021:AS1021,3-AA1021)),"")</f>
        <v/>
      </c>
      <c r="AV1021" s="393">
        <f>IF(AC1021=TRUE,IF(COUNT(K1021:L1021)=0,0,IF(L1021="",K1021,L1021)),0)</f>
        <v>0</v>
      </c>
      <c r="AW1021" s="389" t="b">
        <f t="shared" si="306"/>
        <v>0</v>
      </c>
      <c r="AX1021" s="404" t="b">
        <f t="shared" si="307"/>
        <v>0</v>
      </c>
      <c r="AY1021" s="314"/>
      <c r="AZ1021" s="405" t="b">
        <f t="shared" si="308"/>
        <v>0</v>
      </c>
      <c r="BA1021" s="406" t="b">
        <f t="shared" si="309"/>
        <v>0</v>
      </c>
      <c r="BB1021" s="407" t="b">
        <f>AND(E1013&lt;&gt;"",COUNTIF(AO1021:AO1022,TRUE)=0)</f>
        <v>0</v>
      </c>
      <c r="BC1021" s="389" t="b">
        <f t="shared" si="310"/>
        <v>0</v>
      </c>
      <c r="BD1021" s="314"/>
      <c r="BE1021" s="314"/>
      <c r="BF1021" s="408" t="s">
        <v>154</v>
      </c>
      <c r="BG1021" s="409" t="str">
        <f>IF(COUNTIF(AO1021:AO1022,TRUE)=0,"",BH1021*AV1029)</f>
        <v/>
      </c>
      <c r="BH1021" s="409" t="str">
        <f>IF(COUNTIF(AO1021:AO1022,TRUE)=0,"",AV1018*IF(AO1021,1,AV1020*AN1022)*AV1021*AV1023)</f>
        <v/>
      </c>
      <c r="BI1021" s="314"/>
      <c r="BJ1021" s="314"/>
      <c r="BK1021" s="314"/>
      <c r="BL1021" s="314"/>
      <c r="BM1021" s="314"/>
      <c r="BN1021" s="314"/>
      <c r="BO1021" s="314"/>
      <c r="BP1021" s="314"/>
      <c r="BQ1021" s="314"/>
      <c r="BR1021" s="314"/>
      <c r="BS1021" s="314"/>
      <c r="BT1021" s="314"/>
      <c r="BU1021" s="314"/>
      <c r="BV1021" s="314"/>
      <c r="BW1021" s="314"/>
      <c r="BX1021" s="314"/>
      <c r="BY1021" s="314"/>
      <c r="BZ1021" s="314"/>
      <c r="CA1021" s="314"/>
      <c r="CB1021" s="314"/>
      <c r="CC1021" s="314"/>
      <c r="CD1021" s="314"/>
      <c r="CE1021" s="314"/>
      <c r="CF1021" s="314"/>
      <c r="CG1021" s="314"/>
      <c r="CH1021" s="314"/>
      <c r="CI1021" s="314"/>
      <c r="CJ1021" s="314"/>
      <c r="CK1021" s="314"/>
      <c r="CL1021" s="314"/>
      <c r="CM1021" s="314"/>
      <c r="CN1021" s="314"/>
      <c r="CO1021" s="314"/>
      <c r="CP1021" s="314"/>
      <c r="CQ1021" s="407" t="b">
        <f>OR(CQ1018,Y1021=EUconst_NA)</f>
        <v>0</v>
      </c>
    </row>
    <row r="1022" spans="1:95" ht="12.75" customHeight="1" x14ac:dyDescent="0.25">
      <c r="A1022" s="307"/>
      <c r="B1022" s="68"/>
      <c r="C1022" s="199" t="s">
        <v>15</v>
      </c>
      <c r="D1022" s="344" t="str">
        <f>Translations!$B$362</f>
        <v>BioF:</v>
      </c>
      <c r="E1022" s="345"/>
      <c r="F1022" s="10"/>
      <c r="G1022" s="1256" t="str">
        <f>IF(OR(ISBLANK(F1022),F1022=EUconst_NoTier),"",IF(Z1022=0,EUconst_NotApplicable,IF(ISERROR(Z1022),"",Z1022)))</f>
        <v/>
      </c>
      <c r="H1022" s="1257"/>
      <c r="I1022" s="410" t="str">
        <f t="shared" ref="I1022:I1027" si="311">IF(OR(AC1022=FALSE,Y1022=EUconst_NA),"","-")</f>
        <v/>
      </c>
      <c r="J1022" s="411"/>
      <c r="K1022" s="412" t="str">
        <f>IF(L1022="",AU1022,"")</f>
        <v/>
      </c>
      <c r="L1022" s="60"/>
      <c r="M1022" s="347" t="str">
        <f>IF(AND(E1013&lt;&gt;"",OR(F1022="",COUNT(K1022:L1022)=0),Y1022&lt;&gt;EUconst_NA),EUconst_ERR_Incomplete,IF(COUNTIF(BB1022:BD1022,TRUE)&gt;0,EUconst_ERR_Inconsistent,""))</f>
        <v/>
      </c>
      <c r="O1022" s="160"/>
      <c r="P1022" s="348"/>
      <c r="Q1022" s="413"/>
      <c r="R1022" s="413"/>
      <c r="S1022" s="314"/>
      <c r="T1022" s="388" t="str">
        <f>EUconst_CNTR_BiomassContent&amp;E1013</f>
        <v>BioC_</v>
      </c>
      <c r="U1022" s="312"/>
      <c r="V1022" s="369" t="str">
        <f>V1020</f>
        <v/>
      </c>
      <c r="W1022" s="369" t="str">
        <f>IF(OR(V1022="",COUNTIF(MSPara_SourceStreamCategory,V1022)=0),"",INDEX(MSPara_IsFossil,MATCH(V1022,MSPara_SourceStreamCategory,0)))</f>
        <v/>
      </c>
      <c r="X1022" s="312"/>
      <c r="Y1022" s="370" t="str">
        <f>IF(E1013="","",IF(OR(F1022=EUconst_NA,W1022=TRUE),EUconst_NA,INDEX(EUwideConstants!$P$164:$P$200,MATCH(T1022,EUwideConstants!$S$164:$S$200,0))))</f>
        <v/>
      </c>
      <c r="Z1022" s="371" t="str">
        <f>IF(ISBLANK(F1022),"",IF(F1022=EUconst_NA,"",INDEX(EUwideConstants!$H:$O,MATCH(T1022,EUwideConstants!$S:$S,0),MATCH(F1022,CNTR_TierList,0))))</f>
        <v/>
      </c>
      <c r="AA1022" s="414" t="str">
        <f>IF(F1022=1,1,"")</f>
        <v/>
      </c>
      <c r="AB1022" s="314"/>
      <c r="AC1022" s="373" t="b">
        <f>AND(AC1018,Y1022&lt;&gt;EUconst_NA)</f>
        <v>0</v>
      </c>
      <c r="AD1022" s="314"/>
      <c r="AE1022" s="415"/>
      <c r="AF1022" s="416"/>
      <c r="AG1022" s="417"/>
      <c r="AH1022" s="418"/>
      <c r="AI1022" s="418"/>
      <c r="AJ1022" s="418"/>
      <c r="AK1022" s="419"/>
      <c r="AL1022" s="326"/>
      <c r="AM1022" s="358" t="s">
        <v>155</v>
      </c>
      <c r="AN1022" s="359" t="str">
        <f>IF(AN1020=EUconst_NA,EUconst_NA,INDEX(EUwideConstants!$C$150:$H$154,MATCH(AJ1021,EFUnits,0),MATCH(AN1020,EUwideConstants!$C$149:$H$149,0)))</f>
        <v>n.a.</v>
      </c>
      <c r="AO1022" s="359" t="b">
        <f>AN1022&lt;&gt;EUconst_NA</f>
        <v>0</v>
      </c>
      <c r="AP1022" s="326"/>
      <c r="AQ1022" s="376" t="str">
        <f>EUconst_CNTR_BiomassContent&amp;EUconst_Value</f>
        <v>BioC_Value</v>
      </c>
      <c r="AR1022" s="420"/>
      <c r="AS1022" s="378" t="str">
        <f t="shared" ref="AS1022:AS1027" si="312">IF(AC1022=TRUE,IF(COUNTIF(MSPara_SourceStreamCategory,V1022)=0,"",INDEX(MSPara_CalcFactorsMatrix,MATCH(V1022,MSPara_SourceStreamCategory,0),MATCH(AQ1022&amp;"_"&amp;2,MSPara_CalcFactors,0))),"")</f>
        <v/>
      </c>
      <c r="AT1022" s="421"/>
      <c r="AU1022" s="380" t="str">
        <f t="shared" ref="AU1022:AU1027" si="313">IF(OR(AA1022="",AS1022=EUconst_NA),"",AS1022)</f>
        <v/>
      </c>
      <c r="AV1022" s="373">
        <f>IF(AC1022=TRUE,IF(COUNT(K1022:L1022)=0,0,IF(L1022="",K1022,L1022)),0)</f>
        <v>0</v>
      </c>
      <c r="AW1022" s="369" t="b">
        <f t="shared" si="306"/>
        <v>0</v>
      </c>
      <c r="AX1022" s="381" t="b">
        <f t="shared" si="307"/>
        <v>0</v>
      </c>
      <c r="AY1022" s="314"/>
      <c r="AZ1022" s="382" t="b">
        <f t="shared" si="308"/>
        <v>0</v>
      </c>
      <c r="BA1022" s="383" t="b">
        <f t="shared" si="309"/>
        <v>0</v>
      </c>
      <c r="BB1022" s="314"/>
      <c r="BC1022" s="369" t="b">
        <f t="shared" si="310"/>
        <v>0</v>
      </c>
      <c r="BD1022" s="369" t="b">
        <f>OR(AV1022&gt;100%,(AV1022+AV1023)&gt;100%)</f>
        <v>0</v>
      </c>
      <c r="BE1022" s="314"/>
      <c r="BF1022" s="382" t="s">
        <v>156</v>
      </c>
      <c r="BG1022" s="384" t="str">
        <f>IF(COUNTIF(AO1021:AO1022,TRUE)=0,"",BH1022*AV1029)</f>
        <v/>
      </c>
      <c r="BH1022" s="384" t="str">
        <f>IF(COUNTIF(AO1021:AO1022,TRUE)=0,"",AV1018*IF(AO1021,1,AV1020*AN1022)*AV1021*AV1024)</f>
        <v/>
      </c>
      <c r="BJ1022" s="314"/>
      <c r="BK1022" s="314"/>
      <c r="BL1022" s="314"/>
      <c r="BM1022" s="314"/>
      <c r="BN1022" s="314"/>
      <c r="BO1022" s="314"/>
      <c r="BP1022" s="314"/>
      <c r="BQ1022" s="314"/>
      <c r="BR1022" s="314"/>
      <c r="BS1022" s="314"/>
      <c r="BT1022" s="314"/>
      <c r="BU1022" s="314"/>
      <c r="BV1022" s="314"/>
      <c r="BW1022" s="314"/>
      <c r="BX1022" s="314"/>
      <c r="BY1022" s="314"/>
      <c r="BZ1022" s="314"/>
      <c r="CA1022" s="314"/>
      <c r="CB1022" s="314"/>
      <c r="CC1022" s="314"/>
      <c r="CD1022" s="314"/>
      <c r="CE1022" s="314"/>
      <c r="CF1022" s="314"/>
      <c r="CG1022" s="314"/>
      <c r="CH1022" s="314"/>
      <c r="CI1022" s="314"/>
      <c r="CJ1022" s="314"/>
      <c r="CK1022" s="314"/>
      <c r="CL1022" s="314"/>
      <c r="CM1022" s="314"/>
      <c r="CN1022" s="314"/>
      <c r="CO1022" s="314"/>
      <c r="CP1022" s="314"/>
      <c r="CQ1022" s="369" t="b">
        <f>OR(CQ1018,Y1022=EUconst_NA)</f>
        <v>0</v>
      </c>
    </row>
    <row r="1023" spans="1:95" ht="12.75" customHeight="1" thickBot="1" x14ac:dyDescent="0.3">
      <c r="A1023" s="307"/>
      <c r="B1023" s="68"/>
      <c r="C1023" s="199" t="s">
        <v>16</v>
      </c>
      <c r="D1023" s="344" t="str">
        <f>Translations!$B$368</f>
        <v>non-sust. BioF:</v>
      </c>
      <c r="E1023" s="345"/>
      <c r="F1023" s="20"/>
      <c r="G1023" s="1256" t="str">
        <f>IF(OR(ISBLANK(F1023),F1023=EUconst_NoTier),"",IF(Z1023=0,EUconst_NotApplicable,IF(ISERROR(Z1023),"",Z1023)))</f>
        <v/>
      </c>
      <c r="H1023" s="1257"/>
      <c r="I1023" s="422" t="str">
        <f t="shared" si="311"/>
        <v/>
      </c>
      <c r="J1023" s="423"/>
      <c r="K1023" s="424" t="str">
        <f>IF(L1023="",AU1023,"")</f>
        <v/>
      </c>
      <c r="L1023" s="21"/>
      <c r="M1023" s="347" t="str">
        <f>IF(AND(E1013&lt;&gt;"",OR(F1023="",COUNT(K1023:L1023)=0),Y1023&lt;&gt;EUconst_NA),EUconst_ERR_Incomplete,IF(COUNTIF(BB1023:BD1023,TRUE)&gt;0,EUconst_ERR_Inconsistent,""))</f>
        <v/>
      </c>
      <c r="N1023" s="76"/>
      <c r="O1023" s="160"/>
      <c r="P1023" s="348"/>
      <c r="Q1023" s="413"/>
      <c r="R1023" s="413"/>
      <c r="S1023" s="314"/>
      <c r="T1023" s="425" t="str">
        <f>EUconst_CNTR_BiomassContent&amp;E1013</f>
        <v>BioC_</v>
      </c>
      <c r="U1023" s="312"/>
      <c r="V1023" s="407" t="str">
        <f>V1022</f>
        <v/>
      </c>
      <c r="W1023" s="407" t="str">
        <f>IF(OR(V1022="",COUNTIF(MSPara_SourceStreamCategory,V1023)=0),"",INDEX(MSPara_IsFossil,MATCH(V1023,MSPara_SourceStreamCategory,0)))</f>
        <v/>
      </c>
      <c r="X1023" s="312"/>
      <c r="Y1023" s="426" t="str">
        <f>IF(E1013="","",IF(OR(F1023=EUconst_NA,W1023=TRUE),EUconst_NA,INDEX(EUwideConstants!$P$164:$P$200,MATCH(T1023,EUwideConstants!$S$164:$S$200,0))))</f>
        <v/>
      </c>
      <c r="Z1023" s="427" t="str">
        <f>IF(ISBLANK(F1023),"",IF(F1023=EUconst_NA,"",INDEX(EUwideConstants!$H:$O,MATCH(T1023,EUwideConstants!$S:$S,0),MATCH(F1023,CNTR_TierList,0))))</f>
        <v/>
      </c>
      <c r="AA1023" s="428" t="str">
        <f>IF(F1023=1,1,"")</f>
        <v/>
      </c>
      <c r="AB1023" s="314"/>
      <c r="AC1023" s="429" t="b">
        <f>AND(AC1018,Y1023&lt;&gt;EUconst_NA)</f>
        <v>0</v>
      </c>
      <c r="AD1023" s="314"/>
      <c r="AE1023" s="430"/>
      <c r="AF1023" s="431"/>
      <c r="AG1023" s="432"/>
      <c r="AH1023" s="433"/>
      <c r="AI1023" s="433"/>
      <c r="AJ1023" s="433"/>
      <c r="AK1023" s="434"/>
      <c r="AL1023" s="326"/>
      <c r="AM1023" s="326"/>
      <c r="AN1023" s="326"/>
      <c r="AO1023" s="326"/>
      <c r="AP1023" s="326"/>
      <c r="AQ1023" s="435" t="str">
        <f>EUconst_CNTR_BiomassContent&amp;EUconst_Value</f>
        <v>BioC_Value</v>
      </c>
      <c r="AR1023" s="430"/>
      <c r="AS1023" s="436" t="str">
        <f t="shared" si="312"/>
        <v/>
      </c>
      <c r="AT1023" s="437"/>
      <c r="AU1023" s="438" t="str">
        <f t="shared" si="313"/>
        <v/>
      </c>
      <c r="AV1023" s="429">
        <f>IF(AC1023=TRUE,IF(COUNT(K1023:L1023)=0,0,IF(L1023="",K1023,L1023)),0)</f>
        <v>0</v>
      </c>
      <c r="AW1023" s="407" t="b">
        <f t="shared" si="306"/>
        <v>0</v>
      </c>
      <c r="AX1023" s="439" t="b">
        <f t="shared" si="307"/>
        <v>0</v>
      </c>
      <c r="AY1023" s="314"/>
      <c r="AZ1023" s="408" t="b">
        <f t="shared" si="308"/>
        <v>0</v>
      </c>
      <c r="BA1023" s="440" t="b">
        <f t="shared" si="309"/>
        <v>0</v>
      </c>
      <c r="BB1023" s="314"/>
      <c r="BC1023" s="407" t="b">
        <f t="shared" si="310"/>
        <v>0</v>
      </c>
      <c r="BD1023" s="407" t="b">
        <f>OR(AV1022&gt;100%,(AV1022+AV1023)&gt;100%)</f>
        <v>0</v>
      </c>
      <c r="BE1023" s="314"/>
      <c r="BF1023" s="408" t="s">
        <v>157</v>
      </c>
      <c r="BG1023" s="409" t="str">
        <f>IF(COUNTIF(AO1021:AO1022,TRUE)=0,"",BH1023*AV1029)</f>
        <v/>
      </c>
      <c r="BH1023" s="409" t="str">
        <f>IF(COUNTIF(AO1021:AO1022,TRUE)=0,"",AV1018*IF(AO1021,1,AV1020*AN1022)*AV1021*AV1025)</f>
        <v/>
      </c>
      <c r="BJ1023" s="314"/>
      <c r="BK1023" s="314"/>
      <c r="BL1023" s="314"/>
      <c r="BM1023" s="314"/>
      <c r="BN1023" s="314"/>
      <c r="BO1023" s="314"/>
      <c r="BP1023" s="314"/>
      <c r="BQ1023" s="314"/>
      <c r="BR1023" s="314"/>
      <c r="BS1023" s="314"/>
      <c r="BT1023" s="314"/>
      <c r="BU1023" s="314"/>
      <c r="BV1023" s="314"/>
      <c r="BW1023" s="314"/>
      <c r="BX1023" s="314"/>
      <c r="BY1023" s="314"/>
      <c r="BZ1023" s="314"/>
      <c r="CA1023" s="314"/>
      <c r="CB1023" s="314"/>
      <c r="CC1023" s="314"/>
      <c r="CD1023" s="314"/>
      <c r="CE1023" s="314"/>
      <c r="CF1023" s="314"/>
      <c r="CG1023" s="314"/>
      <c r="CH1023" s="314"/>
      <c r="CI1023" s="314"/>
      <c r="CJ1023" s="314"/>
      <c r="CK1023" s="314"/>
      <c r="CL1023" s="314"/>
      <c r="CM1023" s="314"/>
      <c r="CN1023" s="314"/>
      <c r="CO1023" s="314"/>
      <c r="CP1023" s="314"/>
      <c r="CQ1023" s="407" t="b">
        <f>OR(CQ1018,Y1023=EUconst_NA)</f>
        <v>0</v>
      </c>
    </row>
    <row r="1024" spans="1:95" ht="12.75" customHeight="1" thickBot="1" x14ac:dyDescent="0.3">
      <c r="A1024" s="307"/>
      <c r="B1024" s="68"/>
      <c r="C1024" s="199" t="s">
        <v>17</v>
      </c>
      <c r="D1024" s="344" t="str">
        <f>Translations!$B$610</f>
        <v>sust. RFNBO/RCF:</v>
      </c>
      <c r="E1024" s="441"/>
      <c r="F1024" s="19" t="s">
        <v>158</v>
      </c>
      <c r="G1024" s="1261"/>
      <c r="H1024" s="1262"/>
      <c r="I1024" s="442" t="str">
        <f t="shared" si="311"/>
        <v/>
      </c>
      <c r="J1024" s="411"/>
      <c r="K1024" s="443"/>
      <c r="L1024" s="55"/>
      <c r="M1024" s="347" t="str">
        <f>IF(AND(E1013&lt;&gt;"",OR(F1024="",COUNT(L1024)=0),Y1024&lt;&gt;EUconst_NA),EUconst_ERR_Incomplete,"")</f>
        <v/>
      </c>
      <c r="N1024" s="76"/>
      <c r="O1024" s="160"/>
      <c r="P1024" s="348"/>
      <c r="Q1024" s="413"/>
      <c r="R1024" s="413"/>
      <c r="S1024" s="314"/>
      <c r="T1024" s="388" t="str">
        <f>EUconst_CNTR_RFNBOetcContent&amp;E1013</f>
        <v>RNFBOC_</v>
      </c>
      <c r="U1024" s="312"/>
      <c r="V1024" s="312"/>
      <c r="W1024" s="312"/>
      <c r="X1024" s="312"/>
      <c r="Y1024" s="380" t="str">
        <f>IF(E1013="","",IF(OR(F1024=EUconst_NA,W1024=TRUE),EUconst_NA,INDEX(EUwideConstants!$P$164:$P$200,MATCH(T1024,EUwideConstants!$S$164:$S$200,0))))</f>
        <v/>
      </c>
      <c r="Z1024" s="314"/>
      <c r="AA1024" s="314"/>
      <c r="AB1024" s="314"/>
      <c r="AC1024" s="397" t="b">
        <f>AND(AC1020,Y1024&lt;&gt;EUconst_NA)</f>
        <v>0</v>
      </c>
      <c r="AD1024" s="314"/>
      <c r="AE1024" s="415"/>
      <c r="AF1024" s="416"/>
      <c r="AG1024" s="417"/>
      <c r="AH1024" s="418"/>
      <c r="AI1024" s="418"/>
      <c r="AJ1024" s="418"/>
      <c r="AK1024" s="419"/>
      <c r="AL1024" s="326"/>
      <c r="AM1024" s="326"/>
      <c r="AN1024" s="326"/>
      <c r="AO1024" s="326"/>
      <c r="AP1024" s="326"/>
      <c r="AQ1024" s="444" t="s">
        <v>159</v>
      </c>
      <c r="AR1024" s="415"/>
      <c r="AS1024" s="445" t="str">
        <f t="shared" si="312"/>
        <v/>
      </c>
      <c r="AT1024" s="446"/>
      <c r="AU1024" s="447" t="str">
        <f t="shared" si="313"/>
        <v/>
      </c>
      <c r="AV1024" s="397">
        <f>IF(L1024&lt;&gt;0,L1024,L1024)</f>
        <v>0</v>
      </c>
      <c r="AW1024" s="398" t="b">
        <f t="shared" si="306"/>
        <v>0</v>
      </c>
      <c r="AX1024" s="448" t="b">
        <f t="shared" si="307"/>
        <v>0</v>
      </c>
      <c r="AY1024" s="314"/>
      <c r="AZ1024" s="449" t="b">
        <f t="shared" si="308"/>
        <v>0</v>
      </c>
      <c r="BA1024" s="450" t="b">
        <f t="shared" si="309"/>
        <v>0</v>
      </c>
      <c r="BB1024" s="314"/>
      <c r="BC1024" s="398" t="b">
        <f t="shared" si="310"/>
        <v>0</v>
      </c>
      <c r="BD1024" s="369" t="b">
        <f>OR(AV1024&gt;100%,(AV1024+AV1025)&gt;100%)</f>
        <v>0</v>
      </c>
      <c r="BE1024" s="314"/>
      <c r="BF1024" s="451" t="s">
        <v>160</v>
      </c>
      <c r="BG1024" s="452" t="str">
        <f>IF(COUNTIF(AO1021:AO1022,TRUE)=0,"",BH1024*AV1029)</f>
        <v/>
      </c>
      <c r="BH1024" s="452" t="str">
        <f>IF(COUNTIF(AO1021:AO1022,TRUE)=0,"",AV1018*IF(AO1021,1,AV1020*AN1022)*AV1021*AV1026)</f>
        <v/>
      </c>
      <c r="BJ1024" s="314"/>
      <c r="BK1024" s="314"/>
      <c r="BL1024" s="314"/>
      <c r="BM1024" s="314"/>
      <c r="BN1024" s="314"/>
      <c r="BO1024" s="314"/>
      <c r="BP1024" s="314"/>
      <c r="BQ1024" s="314"/>
      <c r="BR1024" s="314"/>
      <c r="BS1024" s="314"/>
      <c r="BT1024" s="314"/>
      <c r="BU1024" s="314"/>
      <c r="BV1024" s="314"/>
      <c r="BW1024" s="314"/>
      <c r="BX1024" s="314"/>
      <c r="BY1024" s="314"/>
      <c r="BZ1024" s="314"/>
      <c r="CA1024" s="314"/>
      <c r="CB1024" s="314"/>
      <c r="CC1024" s="314"/>
      <c r="CD1024" s="314"/>
      <c r="CE1024" s="314"/>
      <c r="CF1024" s="314"/>
      <c r="CG1024" s="314"/>
      <c r="CH1024" s="314"/>
      <c r="CI1024" s="314"/>
      <c r="CJ1024" s="314"/>
      <c r="CK1024" s="314"/>
      <c r="CL1024" s="314"/>
      <c r="CM1024" s="314"/>
      <c r="CN1024" s="314"/>
      <c r="CO1024" s="314"/>
      <c r="CP1024" s="314"/>
      <c r="CQ1024" s="407" t="b">
        <f>OR(CQ1018,Y1024=EUconst_NA)</f>
        <v>0</v>
      </c>
    </row>
    <row r="1025" spans="1:95" ht="12.75" customHeight="1" thickBot="1" x14ac:dyDescent="0.3">
      <c r="A1025" s="307"/>
      <c r="B1025" s="68"/>
      <c r="C1025" s="199" t="s">
        <v>161</v>
      </c>
      <c r="D1025" s="344" t="str">
        <f>Translations!$B$613</f>
        <v>non-sust. RFNBO/RCF:</v>
      </c>
      <c r="E1025" s="441"/>
      <c r="F1025" s="20" t="s">
        <v>158</v>
      </c>
      <c r="G1025" s="1261"/>
      <c r="H1025" s="1262"/>
      <c r="I1025" s="422" t="str">
        <f t="shared" si="311"/>
        <v/>
      </c>
      <c r="J1025" s="423"/>
      <c r="K1025" s="443"/>
      <c r="L1025" s="56"/>
      <c r="M1025" s="347" t="str">
        <f>IF(AND(E1013&lt;&gt;"",OR(F1025="",COUNT(L1025)=0),Y1025&lt;&gt;EUconst_NA),EUconst_ERR_Incomplete,"")</f>
        <v/>
      </c>
      <c r="N1025" s="76"/>
      <c r="O1025" s="160"/>
      <c r="P1025" s="348"/>
      <c r="Q1025" s="413"/>
      <c r="R1025" s="413"/>
      <c r="S1025" s="314"/>
      <c r="T1025" s="425" t="str">
        <f>EUconst_CNTR_RFNBOetcContent&amp;E1013</f>
        <v>RNFBOC_</v>
      </c>
      <c r="U1025" s="312"/>
      <c r="V1025" s="312"/>
      <c r="W1025" s="312"/>
      <c r="X1025" s="312"/>
      <c r="Y1025" s="438" t="str">
        <f>IF(E1013="","",IF(OR(F1025=EUconst_NA,W1025=TRUE),EUconst_NA,INDEX(EUwideConstants!$P$164:$P$200,MATCH(T1025,EUwideConstants!$S$164:$S$200,0))))</f>
        <v/>
      </c>
      <c r="Z1025" s="314"/>
      <c r="AA1025" s="314"/>
      <c r="AB1025" s="314"/>
      <c r="AC1025" s="429" t="b">
        <f>AND(AC1020,Y1025&lt;&gt;EUconst_NA)</f>
        <v>0</v>
      </c>
      <c r="AD1025" s="314"/>
      <c r="AE1025" s="430"/>
      <c r="AF1025" s="431"/>
      <c r="AG1025" s="432"/>
      <c r="AH1025" s="433"/>
      <c r="AI1025" s="433"/>
      <c r="AJ1025" s="433"/>
      <c r="AK1025" s="434"/>
      <c r="AL1025" s="326"/>
      <c r="AM1025" s="326"/>
      <c r="AN1025" s="326"/>
      <c r="AO1025" s="326"/>
      <c r="AP1025" s="326"/>
      <c r="AQ1025" s="435" t="s">
        <v>159</v>
      </c>
      <c r="AR1025" s="430"/>
      <c r="AS1025" s="436" t="str">
        <f t="shared" si="312"/>
        <v/>
      </c>
      <c r="AT1025" s="437"/>
      <c r="AU1025" s="438" t="str">
        <f t="shared" si="313"/>
        <v/>
      </c>
      <c r="AV1025" s="429">
        <f t="shared" ref="AV1025:AV1027" si="314">IF(L1025&lt;&gt;0,L1025,L1025)</f>
        <v>0</v>
      </c>
      <c r="AW1025" s="407" t="b">
        <f t="shared" si="306"/>
        <v>0</v>
      </c>
      <c r="AX1025" s="439" t="b">
        <f t="shared" si="307"/>
        <v>0</v>
      </c>
      <c r="AY1025" s="314"/>
      <c r="AZ1025" s="408" t="b">
        <f t="shared" si="308"/>
        <v>0</v>
      </c>
      <c r="BA1025" s="440" t="b">
        <f t="shared" si="309"/>
        <v>0</v>
      </c>
      <c r="BB1025" s="314"/>
      <c r="BC1025" s="407" t="b">
        <f t="shared" si="310"/>
        <v>0</v>
      </c>
      <c r="BD1025" s="407" t="b">
        <f>OR(AV1024&gt;100%,(AV1024+AV1025)&gt;100%)</f>
        <v>0</v>
      </c>
      <c r="BE1025" s="314"/>
      <c r="BF1025" s="408" t="s">
        <v>162</v>
      </c>
      <c r="BG1025" s="409" t="str">
        <f>IF(COUNTIF(AO1021:AO1022,TRUE)=0,"",BH1025*AV1029)</f>
        <v/>
      </c>
      <c r="BH1025" s="409" t="str">
        <f>IF(COUNTIF(AO1021:AO1022,TRUE)=0,"",AV1018*IF(AO1021,1,AV1020*AN1022)*AV1021*AV1027)</f>
        <v/>
      </c>
      <c r="BJ1025" s="314"/>
      <c r="BK1025" s="314"/>
      <c r="BL1025" s="314"/>
      <c r="BM1025" s="314"/>
      <c r="BN1025" s="314"/>
      <c r="BO1025" s="314"/>
      <c r="BP1025" s="314"/>
      <c r="BQ1025" s="314"/>
      <c r="BR1025" s="314"/>
      <c r="BS1025" s="314"/>
      <c r="BT1025" s="314"/>
      <c r="BU1025" s="314"/>
      <c r="BV1025" s="314"/>
      <c r="BW1025" s="314"/>
      <c r="BX1025" s="314"/>
      <c r="BY1025" s="314"/>
      <c r="BZ1025" s="314"/>
      <c r="CA1025" s="314"/>
      <c r="CB1025" s="314"/>
      <c r="CC1025" s="314"/>
      <c r="CD1025" s="314"/>
      <c r="CE1025" s="314"/>
      <c r="CF1025" s="314"/>
      <c r="CG1025" s="314"/>
      <c r="CH1025" s="314"/>
      <c r="CI1025" s="314"/>
      <c r="CJ1025" s="314"/>
      <c r="CK1025" s="314"/>
      <c r="CL1025" s="314"/>
      <c r="CM1025" s="314"/>
      <c r="CN1025" s="314"/>
      <c r="CO1025" s="314"/>
      <c r="CP1025" s="314"/>
      <c r="CQ1025" s="407" t="b">
        <f>OR(CQ1018,Y1025=EUconst_NA)</f>
        <v>0</v>
      </c>
    </row>
    <row r="1026" spans="1:95" ht="12.75" customHeight="1" thickBot="1" x14ac:dyDescent="0.3">
      <c r="A1026" s="307"/>
      <c r="B1026" s="68"/>
      <c r="C1026" s="199" t="s">
        <v>163</v>
      </c>
      <c r="D1026" s="344" t="str">
        <f>Translations!$B$615</f>
        <v>sust. SLCF:</v>
      </c>
      <c r="E1026" s="441"/>
      <c r="F1026" s="19" t="s">
        <v>158</v>
      </c>
      <c r="G1026" s="1261"/>
      <c r="H1026" s="1262"/>
      <c r="I1026" s="442" t="str">
        <f t="shared" si="311"/>
        <v/>
      </c>
      <c r="J1026" s="411"/>
      <c r="K1026" s="443"/>
      <c r="L1026" s="57"/>
      <c r="M1026" s="347" t="str">
        <f>IF(AND(E1013&lt;&gt;"",OR(F1026="",COUNT(L1026)=0),Y1026&lt;&gt;EUconst_NA),EUconst_ERR_Incomplete,"")</f>
        <v/>
      </c>
      <c r="N1026" s="76"/>
      <c r="O1026" s="160"/>
      <c r="P1026" s="348"/>
      <c r="Q1026" s="413"/>
      <c r="R1026" s="413"/>
      <c r="S1026" s="314"/>
      <c r="T1026" s="388" t="str">
        <f>EUconst_CNTR_RFNBOetcContent&amp;E1013</f>
        <v>RNFBOC_</v>
      </c>
      <c r="U1026" s="312"/>
      <c r="V1026" s="312"/>
      <c r="W1026" s="312"/>
      <c r="X1026" s="312"/>
      <c r="Y1026" s="447" t="str">
        <f>IF(E1013="","",IF(OR(F1026=EUconst_NA,W1026=TRUE),EUconst_NA,INDEX(EUwideConstants!$P$164:$P$200,MATCH(T1026,EUwideConstants!$S$164:$S$200,0))))</f>
        <v/>
      </c>
      <c r="Z1026" s="314"/>
      <c r="AA1026" s="314"/>
      <c r="AB1026" s="314"/>
      <c r="AC1026" s="397" t="b">
        <f>AND(AC1022,Y1026&lt;&gt;EUconst_NA)</f>
        <v>0</v>
      </c>
      <c r="AD1026" s="314"/>
      <c r="AE1026" s="415"/>
      <c r="AF1026" s="416"/>
      <c r="AG1026" s="417"/>
      <c r="AH1026" s="418"/>
      <c r="AI1026" s="418"/>
      <c r="AJ1026" s="418"/>
      <c r="AK1026" s="419"/>
      <c r="AL1026" s="326"/>
      <c r="AM1026" s="326"/>
      <c r="AN1026" s="326"/>
      <c r="AO1026" s="326"/>
      <c r="AP1026" s="326"/>
      <c r="AQ1026" s="444" t="s">
        <v>159</v>
      </c>
      <c r="AR1026" s="415"/>
      <c r="AS1026" s="445" t="str">
        <f t="shared" si="312"/>
        <v/>
      </c>
      <c r="AT1026" s="446"/>
      <c r="AU1026" s="447" t="str">
        <f t="shared" si="313"/>
        <v/>
      </c>
      <c r="AV1026" s="397">
        <f t="shared" si="314"/>
        <v>0</v>
      </c>
      <c r="AW1026" s="398" t="b">
        <f t="shared" si="306"/>
        <v>0</v>
      </c>
      <c r="AX1026" s="448" t="b">
        <f t="shared" si="307"/>
        <v>0</v>
      </c>
      <c r="AY1026" s="314"/>
      <c r="AZ1026" s="449" t="b">
        <f t="shared" si="308"/>
        <v>0</v>
      </c>
      <c r="BA1026" s="450" t="b">
        <f t="shared" si="309"/>
        <v>0</v>
      </c>
      <c r="BB1026" s="314"/>
      <c r="BC1026" s="398" t="b">
        <f t="shared" si="310"/>
        <v>0</v>
      </c>
      <c r="BD1026" s="369" t="b">
        <f>OR(AV1026&gt;100%,(AV1026+AV1027)&gt;100%)</f>
        <v>0</v>
      </c>
      <c r="BE1026" s="314"/>
      <c r="BF1026" s="451" t="s">
        <v>164</v>
      </c>
      <c r="BG1026" s="452">
        <f>IF(AN1018=EUconst_TJ,AV1018*(1-AV1022),IF(AN1020=EUconst_GJ,AV1018*AV1020/1000,0))-SUM(BG1027:BG1033)</f>
        <v>0</v>
      </c>
      <c r="BH1026" s="314"/>
      <c r="BI1026" s="314"/>
      <c r="BJ1026" s="314"/>
      <c r="BK1026" s="314"/>
      <c r="BL1026" s="314"/>
      <c r="BM1026" s="314"/>
      <c r="BN1026" s="314"/>
      <c r="BO1026" s="314"/>
      <c r="BP1026" s="314"/>
      <c r="BQ1026" s="314"/>
      <c r="BR1026" s="314"/>
      <c r="BS1026" s="314"/>
      <c r="BT1026" s="314"/>
      <c r="BU1026" s="314"/>
      <c r="BV1026" s="314"/>
      <c r="BW1026" s="314"/>
      <c r="BX1026" s="314"/>
      <c r="BY1026" s="314"/>
      <c r="BZ1026" s="314"/>
      <c r="CA1026" s="314"/>
      <c r="CB1026" s="314"/>
      <c r="CC1026" s="314"/>
      <c r="CD1026" s="314"/>
      <c r="CE1026" s="314"/>
      <c r="CF1026" s="314"/>
      <c r="CG1026" s="314"/>
      <c r="CH1026" s="314"/>
      <c r="CI1026" s="314"/>
      <c r="CJ1026" s="314"/>
      <c r="CK1026" s="314"/>
      <c r="CL1026" s="314"/>
      <c r="CM1026" s="314"/>
      <c r="CN1026" s="314"/>
      <c r="CO1026" s="314"/>
      <c r="CP1026" s="314"/>
      <c r="CQ1026" s="407" t="b">
        <f>OR(CQ1018,Y1026=EUconst_NA)</f>
        <v>0</v>
      </c>
    </row>
    <row r="1027" spans="1:95" ht="12.75" customHeight="1" thickBot="1" x14ac:dyDescent="0.3">
      <c r="A1027" s="307"/>
      <c r="B1027" s="68"/>
      <c r="C1027" s="199" t="s">
        <v>165</v>
      </c>
      <c r="D1027" s="344" t="str">
        <f>Translations!$B$618</f>
        <v>non-sust. SLCF:</v>
      </c>
      <c r="E1027" s="441"/>
      <c r="F1027" s="20" t="s">
        <v>158</v>
      </c>
      <c r="G1027" s="1261"/>
      <c r="H1027" s="1262"/>
      <c r="I1027" s="422" t="str">
        <f t="shared" si="311"/>
        <v/>
      </c>
      <c r="J1027" s="423"/>
      <c r="K1027" s="443"/>
      <c r="L1027" s="56"/>
      <c r="M1027" s="347" t="str">
        <f>IF(AND(E1013&lt;&gt;"",OR(F1027="",COUNT(L1027)=0),Y1027&lt;&gt;EUconst_NA),EUconst_ERR_Incomplete,"")</f>
        <v/>
      </c>
      <c r="N1027" s="76"/>
      <c r="O1027" s="160"/>
      <c r="P1027" s="348"/>
      <c r="Q1027" s="413"/>
      <c r="R1027" s="413"/>
      <c r="S1027" s="314"/>
      <c r="T1027" s="425" t="str">
        <f>EUconst_CNTR_RFNBOetcContent&amp;E1013</f>
        <v>RNFBOC_</v>
      </c>
      <c r="U1027" s="312"/>
      <c r="V1027" s="312"/>
      <c r="W1027" s="312"/>
      <c r="X1027" s="312"/>
      <c r="Y1027" s="438" t="str">
        <f>IF(E1013="","",IF(OR(F1027=EUconst_NA,W1027=TRUE),EUconst_NA,INDEX(EUwideConstants!$P$164:$P$200,MATCH(T1027,EUwideConstants!$S$164:$S$200,0))))</f>
        <v/>
      </c>
      <c r="Z1027" s="314"/>
      <c r="AA1027" s="314"/>
      <c r="AB1027" s="314"/>
      <c r="AC1027" s="429" t="b">
        <f>AND(AC1022,Y1027&lt;&gt;EUconst_NA)</f>
        <v>0</v>
      </c>
      <c r="AD1027" s="314"/>
      <c r="AE1027" s="430"/>
      <c r="AF1027" s="431"/>
      <c r="AG1027" s="432"/>
      <c r="AH1027" s="433"/>
      <c r="AI1027" s="433"/>
      <c r="AJ1027" s="433"/>
      <c r="AK1027" s="434"/>
      <c r="AL1027" s="326"/>
      <c r="AM1027" s="326"/>
      <c r="AN1027" s="326"/>
      <c r="AO1027" s="326"/>
      <c r="AP1027" s="326"/>
      <c r="AQ1027" s="435" t="s">
        <v>159</v>
      </c>
      <c r="AR1027" s="430"/>
      <c r="AS1027" s="436" t="str">
        <f t="shared" si="312"/>
        <v/>
      </c>
      <c r="AT1027" s="437"/>
      <c r="AU1027" s="438" t="str">
        <f t="shared" si="313"/>
        <v/>
      </c>
      <c r="AV1027" s="429">
        <f t="shared" si="314"/>
        <v>0</v>
      </c>
      <c r="AW1027" s="407" t="b">
        <f t="shared" si="306"/>
        <v>0</v>
      </c>
      <c r="AX1027" s="439" t="b">
        <f t="shared" si="307"/>
        <v>0</v>
      </c>
      <c r="AY1027" s="314"/>
      <c r="AZ1027" s="408" t="b">
        <f t="shared" si="308"/>
        <v>0</v>
      </c>
      <c r="BA1027" s="440" t="b">
        <f t="shared" si="309"/>
        <v>0</v>
      </c>
      <c r="BB1027" s="314"/>
      <c r="BC1027" s="407" t="b">
        <f t="shared" si="310"/>
        <v>0</v>
      </c>
      <c r="BD1027" s="407" t="b">
        <f>OR(AV1026&gt;100%,(AV1026+AV1027)&gt;100%)</f>
        <v>0</v>
      </c>
      <c r="BE1027" s="314"/>
      <c r="BF1027" s="408" t="s">
        <v>166</v>
      </c>
      <c r="BG1027" s="409" t="str">
        <f>IF(AN1018=EUconst_TJ,AV1018*AV1022,IF(AN1020=EUconst_GJ,AV1018*AV1020/1000*AV1022,""))</f>
        <v/>
      </c>
      <c r="BH1027" s="314"/>
      <c r="BI1027" s="314"/>
      <c r="BJ1027" s="314"/>
      <c r="BK1027" s="314"/>
      <c r="BL1027" s="314"/>
      <c r="BM1027" s="314"/>
      <c r="BN1027" s="314"/>
      <c r="BO1027" s="314"/>
      <c r="BP1027" s="314"/>
      <c r="BQ1027" s="314"/>
      <c r="BR1027" s="314"/>
      <c r="BS1027" s="314"/>
      <c r="BT1027" s="314"/>
      <c r="BU1027" s="314"/>
      <c r="BV1027" s="314"/>
      <c r="BW1027" s="314"/>
      <c r="BX1027" s="314"/>
      <c r="BY1027" s="314"/>
      <c r="BZ1027" s="314"/>
      <c r="CA1027" s="314"/>
      <c r="CB1027" s="314"/>
      <c r="CC1027" s="314"/>
      <c r="CD1027" s="314"/>
      <c r="CE1027" s="314"/>
      <c r="CF1027" s="314"/>
      <c r="CG1027" s="314"/>
      <c r="CH1027" s="314"/>
      <c r="CI1027" s="314"/>
      <c r="CJ1027" s="314"/>
      <c r="CK1027" s="314"/>
      <c r="CL1027" s="314"/>
      <c r="CM1027" s="314"/>
      <c r="CN1027" s="314"/>
      <c r="CO1027" s="314"/>
      <c r="CP1027" s="314"/>
      <c r="CQ1027" s="407" t="b">
        <f>OR(CQ1018,Y1027=EUconst_NA)</f>
        <v>0</v>
      </c>
    </row>
    <row r="1028" spans="1:95" ht="5.15" customHeight="1" thickBot="1" x14ac:dyDescent="0.3">
      <c r="A1028" s="307"/>
      <c r="B1028" s="68"/>
      <c r="C1028" s="68"/>
      <c r="D1028" s="205"/>
      <c r="E1028" s="76"/>
      <c r="F1028" s="76"/>
      <c r="G1028" s="76"/>
      <c r="H1028" s="76"/>
      <c r="I1028" s="76"/>
      <c r="J1028" s="76"/>
      <c r="K1028" s="76"/>
      <c r="L1028" s="76"/>
      <c r="M1028" s="453"/>
      <c r="N1028" s="76"/>
      <c r="O1028" s="160"/>
      <c r="P1028" s="109"/>
      <c r="Q1028" s="312"/>
      <c r="R1028" s="312"/>
      <c r="S1028" s="314"/>
      <c r="T1028" s="314"/>
      <c r="U1028" s="314"/>
      <c r="V1028" s="314"/>
      <c r="W1028" s="314"/>
      <c r="X1028" s="314"/>
      <c r="Y1028" s="314"/>
      <c r="Z1028" s="314"/>
      <c r="AA1028" s="314"/>
      <c r="AB1028" s="314"/>
      <c r="AC1028" s="314"/>
      <c r="AD1028" s="314"/>
      <c r="AE1028" s="314"/>
      <c r="AF1028" s="314"/>
      <c r="AG1028" s="314"/>
      <c r="AH1028" s="314"/>
      <c r="AI1028" s="314"/>
      <c r="AJ1028" s="314"/>
      <c r="AK1028" s="314"/>
      <c r="AL1028" s="314"/>
      <c r="AM1028" s="314"/>
      <c r="AN1028" s="314"/>
      <c r="AO1028" s="314"/>
      <c r="AP1028" s="314"/>
      <c r="AQ1028" s="314"/>
      <c r="AR1028" s="314"/>
      <c r="AS1028" s="314"/>
      <c r="AT1028" s="314"/>
      <c r="AU1028" s="314"/>
      <c r="AV1028" s="314"/>
      <c r="AW1028" s="314"/>
      <c r="AX1028" s="314"/>
      <c r="AY1028" s="314"/>
      <c r="AZ1028" s="314"/>
      <c r="BA1028" s="314"/>
      <c r="BB1028" s="314"/>
      <c r="BC1028" s="314"/>
      <c r="BD1028" s="314"/>
      <c r="BE1028" s="314"/>
      <c r="BF1028" s="314"/>
      <c r="BG1028" s="364"/>
      <c r="BH1028" s="314"/>
      <c r="BI1028" s="314"/>
      <c r="BJ1028" s="314"/>
      <c r="BK1028" s="314"/>
      <c r="BL1028" s="314"/>
      <c r="BM1028" s="314"/>
      <c r="BN1028" s="314"/>
      <c r="BO1028" s="314"/>
      <c r="BP1028" s="314"/>
      <c r="BQ1028" s="314"/>
      <c r="BR1028" s="314"/>
      <c r="BS1028" s="314"/>
      <c r="BT1028" s="314"/>
      <c r="BU1028" s="314"/>
      <c r="BV1028" s="314"/>
      <c r="BW1028" s="314"/>
      <c r="BX1028" s="314"/>
      <c r="BY1028" s="314"/>
      <c r="BZ1028" s="314"/>
      <c r="CA1028" s="314"/>
      <c r="CB1028" s="314"/>
      <c r="CC1028" s="314"/>
      <c r="CD1028" s="314"/>
      <c r="CE1028" s="314"/>
      <c r="CF1028" s="314"/>
      <c r="CG1028" s="314"/>
      <c r="CH1028" s="314"/>
      <c r="CI1028" s="314"/>
      <c r="CJ1028" s="314"/>
      <c r="CK1028" s="314"/>
      <c r="CL1028" s="314"/>
      <c r="CM1028" s="314"/>
      <c r="CN1028" s="314"/>
      <c r="CO1028" s="314"/>
      <c r="CP1028" s="314"/>
      <c r="CQ1028" s="314"/>
    </row>
    <row r="1029" spans="1:95" ht="12.75" customHeight="1" thickBot="1" x14ac:dyDescent="0.3">
      <c r="A1029" s="307"/>
      <c r="B1029" s="68"/>
      <c r="C1029" s="199" t="s">
        <v>167</v>
      </c>
      <c r="D1029" s="344" t="str">
        <f>Translations!$B$398</f>
        <v>Scope factor:</v>
      </c>
      <c r="E1029" s="454"/>
      <c r="F1029" s="992"/>
      <c r="G1029" s="1263"/>
      <c r="H1029" s="1264"/>
      <c r="I1029" s="455" t="s">
        <v>46</v>
      </c>
      <c r="J1029" s="456"/>
      <c r="K1029" s="457" t="str">
        <f>IF(L1029="",AU1029,"")</f>
        <v/>
      </c>
      <c r="L1029" s="16"/>
      <c r="M1029" s="458" t="str">
        <f>IF(AND(E1013&lt;&gt;"",OR(F1029="",G1029="",COUNT(K1029:L1029)=0)),EUconst_ERR_Incomplete,IF(COUNTIF(BB1029:BD1029,TRUE)&gt;0,EUconst_ERR_Inconsistent,""))</f>
        <v/>
      </c>
      <c r="N1029" s="76"/>
      <c r="O1029" s="160"/>
      <c r="P1029" s="109"/>
      <c r="Q1029" s="312"/>
      <c r="R1029" s="314"/>
      <c r="S1029" s="297"/>
      <c r="T1029" s="459" t="str">
        <f>EUconst_CNTR_ScopeFactor&amp;E1013</f>
        <v>ScopeFactor_</v>
      </c>
      <c r="U1029" s="231" t="str">
        <f>IF(F1029="","",INDEX(ScopeAddress,MATCH(F1029,ScopeTiers,0)))</f>
        <v/>
      </c>
      <c r="V1029" s="360" t="str">
        <f>V1018</f>
        <v/>
      </c>
      <c r="W1029" s="314"/>
      <c r="X1029" s="314"/>
      <c r="Y1029" s="460" t="str">
        <f>IF(E1013="","",IF(F1029=EUconst_NA,EUconst_NA,INDEX(EUwideConstants!$P$164:$P$200,MATCH(T1029,EUwideConstants!$S$164:$S$200,0))))</f>
        <v/>
      </c>
      <c r="Z1029" s="461" t="str">
        <f>IF(ISBLANK(F1029),"",IF(F1029=EUconst_NA,"",INDEX(EUwideConstants!$H:$O,MATCH(T1029,EUwideConstants!$S:$S,0),MATCH(F1029,CNTR_TierList,0))))</f>
        <v/>
      </c>
      <c r="AA1029" s="331" t="str">
        <f>IF(G1029=EUwideConstants!$A$89,1,"")</f>
        <v/>
      </c>
      <c r="AB1029" s="314"/>
      <c r="AC1029" s="331" t="b">
        <f>AND(AC1018,Y1029&lt;&gt;EUconst_NA)</f>
        <v>0</v>
      </c>
      <c r="AD1029" s="314"/>
      <c r="AE1029" s="314"/>
      <c r="AF1029" s="314"/>
      <c r="AG1029" s="319"/>
      <c r="AH1029" s="314"/>
      <c r="AI1029" s="314"/>
      <c r="AJ1029" s="314"/>
      <c r="AK1029" s="314"/>
      <c r="AL1029" s="314"/>
      <c r="AM1029" s="314"/>
      <c r="AN1029" s="314"/>
      <c r="AO1029" s="314"/>
      <c r="AP1029" s="314"/>
      <c r="AQ1029" s="314"/>
      <c r="AR1029" s="314"/>
      <c r="AS1029" s="328">
        <v>1</v>
      </c>
      <c r="AT1029" s="314"/>
      <c r="AU1029" s="319" t="str">
        <f>IF(G1029=EUwideConstants!$A$89,AS1029,"")</f>
        <v/>
      </c>
      <c r="AV1029" s="331">
        <f>IF(AC1029=TRUE,IF(COUNT(K1029:L1029)=0,0,IF(L1029="",K1029,L1029)),0)</f>
        <v>0</v>
      </c>
      <c r="AW1029" s="360" t="b">
        <f>AND(AC1029=TRUE,OR(AND(F1029&lt;&gt;"",NOT(ISNUMBER(AA1029))),L1029&lt;&gt;"",F1029="",AU1029=""))</f>
        <v>0</v>
      </c>
      <c r="AX1029" s="357" t="b">
        <f>AND(AC1029=TRUE,NOT(AW1029))</f>
        <v>0</v>
      </c>
      <c r="AY1029" s="314"/>
      <c r="AZ1029" s="361" t="b">
        <f>AND(ISNUMBER(AA1029),AU1029="")</f>
        <v>0</v>
      </c>
      <c r="BA1029" s="351" t="b">
        <f>AND(ISNUMBER(AA1029),AU1029&lt;&gt;AV1029)</f>
        <v>0</v>
      </c>
      <c r="BB1029" s="314"/>
      <c r="BC1029" s="360" t="b">
        <f>AND(F1029&lt;&gt;"",OR(COUNTIF(INDEX(ScopeMethods,F1029,),G1029)=0,AND(AA1029&lt;&gt;"",AU1029&lt;&gt;AV1029)))</f>
        <v>0</v>
      </c>
      <c r="BD1029" s="314"/>
      <c r="BE1029" s="314"/>
      <c r="BF1029" s="361" t="s">
        <v>168</v>
      </c>
      <c r="BG1029" s="362" t="str">
        <f>IF(AN1018=EUconst_TJ,AV1018*AV1024,IF(AN1020=EUconst_GJ,AV1018*AV1020/1000*AV1024,""))</f>
        <v/>
      </c>
      <c r="BH1029" s="314"/>
      <c r="BI1029" s="314"/>
      <c r="BJ1029" s="314"/>
      <c r="BK1029" s="314"/>
      <c r="BL1029" s="314"/>
      <c r="BM1029" s="314"/>
      <c r="BN1029" s="314"/>
      <c r="BO1029" s="314"/>
      <c r="BP1029" s="314"/>
      <c r="BQ1029" s="314"/>
      <c r="BR1029" s="314"/>
      <c r="BS1029" s="314"/>
      <c r="BT1029" s="314"/>
      <c r="BU1029" s="314"/>
      <c r="BV1029" s="314"/>
      <c r="BW1029" s="314"/>
      <c r="BX1029" s="314"/>
      <c r="BY1029" s="314"/>
      <c r="BZ1029" s="314"/>
      <c r="CA1029" s="314"/>
      <c r="CB1029" s="314"/>
      <c r="CC1029" s="314"/>
      <c r="CD1029" s="314"/>
      <c r="CE1029" s="314"/>
      <c r="CF1029" s="314"/>
      <c r="CG1029" s="314"/>
      <c r="CH1029" s="314"/>
      <c r="CI1029" s="314"/>
      <c r="CJ1029" s="314"/>
      <c r="CK1029" s="314"/>
      <c r="CL1029" s="314"/>
      <c r="CM1029" s="314"/>
      <c r="CN1029" s="314"/>
      <c r="CO1029" s="314"/>
      <c r="CP1029" s="314"/>
      <c r="CQ1029" s="314"/>
    </row>
    <row r="1030" spans="1:95" ht="12.75" customHeight="1" x14ac:dyDescent="0.25">
      <c r="A1030" s="307"/>
      <c r="B1030" s="68"/>
      <c r="C1030" s="68"/>
      <c r="D1030" s="68"/>
      <c r="E1030" s="68"/>
      <c r="F1030" s="68"/>
      <c r="G1030" s="1265" t="str">
        <f>IF(G1029="","",INDEX(ScopeMethodsDetails,MATCH(G1029,INDEX(ScopeMethodsDetails,,1),0),2))</f>
        <v/>
      </c>
      <c r="H1030" s="1266"/>
      <c r="I1030" s="1266"/>
      <c r="J1030" s="1266"/>
      <c r="K1030" s="1266"/>
      <c r="L1030" s="1266"/>
      <c r="M1030" s="1267"/>
      <c r="N1030" s="76"/>
      <c r="O1030" s="160"/>
      <c r="P1030" s="109"/>
      <c r="Q1030" s="312"/>
      <c r="R1030" s="312"/>
      <c r="S1030" s="314"/>
      <c r="T1030" s="314"/>
      <c r="U1030" s="314"/>
      <c r="V1030" s="314"/>
      <c r="W1030" s="314"/>
      <c r="X1030" s="314"/>
      <c r="Y1030" s="314"/>
      <c r="Z1030" s="314"/>
      <c r="AA1030" s="314"/>
      <c r="AB1030" s="314"/>
      <c r="AC1030" s="314"/>
      <c r="AD1030" s="314"/>
      <c r="AE1030" s="314"/>
      <c r="AF1030" s="314"/>
      <c r="AG1030" s="314"/>
      <c r="AH1030" s="314"/>
      <c r="AI1030" s="314"/>
      <c r="AJ1030" s="314"/>
      <c r="AK1030" s="314"/>
      <c r="AL1030" s="314"/>
      <c r="AM1030" s="314"/>
      <c r="AN1030" s="314"/>
      <c r="AO1030" s="314"/>
      <c r="AP1030" s="314"/>
      <c r="AQ1030" s="314"/>
      <c r="AR1030" s="314"/>
      <c r="AS1030" s="314"/>
      <c r="AT1030" s="314"/>
      <c r="AU1030" s="314"/>
      <c r="AV1030" s="314"/>
      <c r="AW1030" s="314"/>
      <c r="AX1030" s="314"/>
      <c r="AY1030" s="314"/>
      <c r="AZ1030" s="314"/>
      <c r="BA1030" s="314"/>
      <c r="BB1030" s="314"/>
      <c r="BC1030" s="314"/>
      <c r="BD1030" s="314"/>
      <c r="BE1030" s="314"/>
      <c r="BG1030" s="364"/>
      <c r="BH1030" s="314"/>
      <c r="BI1030" s="314"/>
      <c r="BJ1030" s="314"/>
      <c r="BK1030" s="314"/>
      <c r="BL1030" s="314"/>
      <c r="BM1030" s="314"/>
      <c r="BN1030" s="314"/>
      <c r="BO1030" s="314"/>
      <c r="BP1030" s="314"/>
      <c r="BQ1030" s="314"/>
      <c r="BR1030" s="314"/>
      <c r="BS1030" s="314"/>
      <c r="BT1030" s="314"/>
      <c r="BU1030" s="314"/>
      <c r="BV1030" s="314"/>
      <c r="BW1030" s="314"/>
      <c r="BX1030" s="314"/>
      <c r="BY1030" s="314"/>
      <c r="BZ1030" s="314"/>
      <c r="CA1030" s="314"/>
      <c r="CB1030" s="314"/>
      <c r="CC1030" s="314"/>
      <c r="CD1030" s="314"/>
      <c r="CE1030" s="314"/>
      <c r="CF1030" s="314"/>
      <c r="CG1030" s="314"/>
      <c r="CH1030" s="314"/>
      <c r="CI1030" s="314"/>
      <c r="CJ1030" s="314"/>
      <c r="CK1030" s="314"/>
      <c r="CL1030" s="314"/>
      <c r="CM1030" s="314"/>
      <c r="CN1030" s="314"/>
      <c r="CO1030" s="314"/>
      <c r="CP1030" s="314"/>
      <c r="CQ1030" s="314"/>
    </row>
    <row r="1031" spans="1:95" ht="5.15" customHeight="1" x14ac:dyDescent="0.25">
      <c r="A1031" s="307"/>
      <c r="C1031" s="76"/>
      <c r="D1031" s="76"/>
      <c r="E1031" s="76"/>
      <c r="F1031" s="76"/>
      <c r="G1031" s="76"/>
      <c r="H1031" s="76"/>
      <c r="I1031" s="76"/>
      <c r="J1031" s="76"/>
      <c r="K1031" s="76"/>
      <c r="L1031" s="76"/>
      <c r="O1031" s="160"/>
      <c r="P1031" s="109"/>
      <c r="Q1031" s="312"/>
      <c r="R1031" s="312"/>
      <c r="S1031" s="314"/>
      <c r="T1031" s="314"/>
      <c r="U1031" s="314"/>
      <c r="V1031" s="314"/>
      <c r="W1031" s="314"/>
      <c r="X1031" s="314"/>
      <c r="Y1031" s="314"/>
      <c r="Z1031" s="314"/>
      <c r="AA1031" s="314"/>
      <c r="AB1031" s="314"/>
      <c r="AC1031" s="314"/>
      <c r="AD1031" s="314"/>
      <c r="AE1031" s="314"/>
      <c r="AF1031" s="314"/>
      <c r="AG1031" s="314"/>
      <c r="AH1031" s="314"/>
      <c r="AI1031" s="314"/>
      <c r="AJ1031" s="314"/>
      <c r="AK1031" s="314"/>
      <c r="AL1031" s="314"/>
      <c r="AM1031" s="314"/>
      <c r="AN1031" s="314"/>
      <c r="AO1031" s="314"/>
      <c r="AP1031" s="314"/>
      <c r="AQ1031" s="314"/>
      <c r="AR1031" s="314"/>
      <c r="AS1031" s="314"/>
      <c r="AT1031" s="314"/>
      <c r="AU1031" s="314"/>
      <c r="AV1031" s="314"/>
      <c r="AW1031" s="314"/>
      <c r="AX1031" s="314"/>
      <c r="AY1031" s="314"/>
      <c r="AZ1031" s="314"/>
      <c r="BA1031" s="314"/>
      <c r="BB1031" s="314"/>
      <c r="BC1031" s="314"/>
      <c r="BD1031" s="314"/>
      <c r="BE1031" s="314"/>
      <c r="BG1031" s="364"/>
      <c r="BH1031" s="314"/>
      <c r="BI1031" s="314"/>
      <c r="BJ1031" s="314"/>
      <c r="BK1031" s="314"/>
      <c r="BL1031" s="314"/>
      <c r="BM1031" s="314"/>
      <c r="BN1031" s="314"/>
      <c r="BO1031" s="314"/>
      <c r="BP1031" s="314"/>
      <c r="BQ1031" s="314"/>
      <c r="BR1031" s="314"/>
      <c r="BS1031" s="314"/>
      <c r="BT1031" s="314"/>
      <c r="BU1031" s="314"/>
      <c r="BV1031" s="314"/>
      <c r="BW1031" s="314"/>
      <c r="BX1031" s="314"/>
      <c r="BY1031" s="314"/>
      <c r="BZ1031" s="314"/>
      <c r="CA1031" s="314"/>
      <c r="CB1031" s="314"/>
      <c r="CC1031" s="314"/>
      <c r="CD1031" s="314"/>
      <c r="CE1031" s="314"/>
      <c r="CF1031" s="314"/>
      <c r="CG1031" s="314"/>
      <c r="CH1031" s="314"/>
      <c r="CI1031" s="314"/>
      <c r="CJ1031" s="314"/>
      <c r="CK1031" s="314"/>
      <c r="CL1031" s="314"/>
      <c r="CM1031" s="314"/>
      <c r="CN1031" s="314"/>
      <c r="CO1031" s="314"/>
      <c r="CP1031" s="314"/>
      <c r="CQ1031" s="314"/>
    </row>
    <row r="1032" spans="1:95" ht="12.75" customHeight="1" thickBot="1" x14ac:dyDescent="0.3">
      <c r="A1032" s="307"/>
      <c r="C1032" s="76"/>
      <c r="D1032" s="76"/>
      <c r="E1032" s="76"/>
      <c r="F1032" s="76"/>
      <c r="G1032" s="1268">
        <v>1</v>
      </c>
      <c r="H1032" s="1268"/>
      <c r="I1032" s="1268">
        <v>2</v>
      </c>
      <c r="J1032" s="1268"/>
      <c r="K1032" s="1268">
        <v>3</v>
      </c>
      <c r="L1032" s="1268"/>
      <c r="O1032" s="160"/>
      <c r="P1032" s="109"/>
      <c r="Q1032" s="312"/>
      <c r="R1032" s="312"/>
      <c r="S1032" s="314"/>
      <c r="T1032" s="314"/>
      <c r="U1032" s="314"/>
      <c r="V1032" s="314"/>
      <c r="W1032" s="314"/>
      <c r="X1032" s="314"/>
      <c r="Y1032" s="314"/>
      <c r="Z1032" s="314"/>
      <c r="AA1032" s="314"/>
      <c r="AB1032" s="314"/>
      <c r="AC1032" s="314"/>
      <c r="AD1032" s="314"/>
      <c r="AE1032" s="314"/>
      <c r="AF1032" s="314"/>
      <c r="AG1032" s="314"/>
      <c r="AH1032" s="314"/>
      <c r="AI1032" s="314"/>
      <c r="AJ1032" s="314"/>
      <c r="AK1032" s="314"/>
      <c r="AL1032" s="314"/>
      <c r="AM1032" s="314"/>
      <c r="AN1032" s="314"/>
      <c r="AO1032" s="314"/>
      <c r="AP1032" s="314"/>
      <c r="AQ1032" s="314"/>
      <c r="AR1032" s="314"/>
      <c r="AS1032" s="314"/>
      <c r="AT1032" s="314"/>
      <c r="AU1032" s="314"/>
      <c r="AV1032" s="314"/>
      <c r="AW1032" s="314"/>
      <c r="AX1032" s="314"/>
      <c r="AY1032" s="314"/>
      <c r="AZ1032" s="314"/>
      <c r="BA1032" s="314"/>
      <c r="BB1032" s="314"/>
      <c r="BC1032" s="314"/>
      <c r="BD1032" s="314"/>
      <c r="BE1032" s="314"/>
      <c r="BF1032" s="314"/>
      <c r="BG1032" s="364"/>
      <c r="BH1032" s="314"/>
      <c r="BI1032" s="314"/>
      <c r="BJ1032" s="314"/>
      <c r="BK1032" s="314"/>
      <c r="BL1032" s="314"/>
      <c r="BM1032" s="314"/>
      <c r="BN1032" s="314"/>
      <c r="BO1032" s="314"/>
      <c r="BP1032" s="314"/>
      <c r="BQ1032" s="314"/>
      <c r="BR1032" s="314"/>
      <c r="BS1032" s="314"/>
      <c r="BT1032" s="314"/>
      <c r="BU1032" s="314"/>
      <c r="BV1032" s="314"/>
      <c r="BW1032" s="314"/>
      <c r="BX1032" s="314"/>
      <c r="BY1032" s="314"/>
      <c r="BZ1032" s="314"/>
      <c r="CA1032" s="314"/>
      <c r="CB1032" s="314"/>
      <c r="CC1032" s="314"/>
      <c r="CD1032" s="314"/>
      <c r="CE1032" s="314"/>
      <c r="CF1032" s="314"/>
      <c r="CG1032" s="314"/>
      <c r="CH1032" s="314"/>
      <c r="CI1032" s="314"/>
      <c r="CJ1032" s="314"/>
      <c r="CK1032" s="314"/>
      <c r="CL1032" s="314"/>
      <c r="CM1032" s="314"/>
      <c r="CN1032" s="314"/>
      <c r="CO1032" s="314"/>
      <c r="CP1032" s="314"/>
      <c r="CQ1032" s="314"/>
    </row>
    <row r="1033" spans="1:95" ht="12.75" customHeight="1" thickBot="1" x14ac:dyDescent="0.3">
      <c r="A1033" s="462"/>
      <c r="B1033" s="76"/>
      <c r="C1033" s="76"/>
      <c r="D1033" s="1246" t="str">
        <f>Translations!$B$372</f>
        <v>Consumers' CRF category:</v>
      </c>
      <c r="E1033" s="1246"/>
      <c r="F1033" s="1247"/>
      <c r="G1033" s="1248"/>
      <c r="H1033" s="1249"/>
      <c r="I1033" s="1248"/>
      <c r="J1033" s="1249"/>
      <c r="K1033" s="1248"/>
      <c r="L1033" s="1249"/>
      <c r="M1033" s="463" t="str">
        <f>IF(AND(E1012&lt;&gt;"",COUNTA(G1033:L1033)=0,AX1033=FALSE),EUconst_ERR_Incomplete,"")</f>
        <v/>
      </c>
      <c r="N1033" s="76"/>
      <c r="O1033" s="160"/>
      <c r="P1033" s="109"/>
      <c r="Q1033" s="312"/>
      <c r="R1033" s="312"/>
      <c r="S1033" s="314"/>
      <c r="T1033" s="314"/>
      <c r="U1033" s="314"/>
      <c r="V1033" s="314"/>
      <c r="W1033" s="314"/>
      <c r="X1033" s="314"/>
      <c r="Y1033" s="314"/>
      <c r="Z1033" s="314"/>
      <c r="AA1033" s="314"/>
      <c r="AB1033" s="314"/>
      <c r="AC1033" s="314"/>
      <c r="AD1033" s="314"/>
      <c r="AE1033" s="314"/>
      <c r="AF1033" s="314"/>
      <c r="AG1033" s="314"/>
      <c r="AH1033" s="314"/>
      <c r="AI1033" s="314"/>
      <c r="AJ1033" s="314"/>
      <c r="AK1033" s="314"/>
      <c r="AL1033" s="314"/>
      <c r="AM1033" s="314"/>
      <c r="AN1033" s="314"/>
      <c r="AO1033" s="314"/>
      <c r="AP1033" s="314"/>
      <c r="AQ1033" s="314"/>
      <c r="AR1033" s="314"/>
      <c r="AS1033" s="314"/>
      <c r="AT1033" s="314"/>
      <c r="AU1033" s="314"/>
      <c r="AV1033" s="314"/>
      <c r="AW1033" s="314"/>
      <c r="AX1033" s="464" t="b">
        <f>AND(AV1029&lt;&gt;"",SUM(AV1029=1))</f>
        <v>0</v>
      </c>
      <c r="AY1033" s="314"/>
      <c r="AZ1033" s="314"/>
      <c r="BA1033" s="314"/>
      <c r="BB1033" s="314"/>
      <c r="BC1033" s="314"/>
      <c r="BD1033" s="314"/>
      <c r="BE1033" s="314"/>
      <c r="BF1033" s="361" t="s">
        <v>169</v>
      </c>
      <c r="BG1033" s="362" t="str">
        <f>IF(AN1018=EUconst_TJ,AV1018*AV1026,IF(AN1020=EUconst_GJ,AV1018*AV1020/1000*AV1026,""))</f>
        <v/>
      </c>
      <c r="BH1033" s="314"/>
      <c r="BI1033" s="314"/>
      <c r="BJ1033" s="314"/>
      <c r="BK1033" s="314"/>
      <c r="BL1033" s="314"/>
      <c r="BM1033" s="314"/>
      <c r="BN1033" s="314"/>
      <c r="BO1033" s="314"/>
      <c r="BP1033" s="314"/>
      <c r="BQ1033" s="314"/>
      <c r="BR1033" s="314"/>
      <c r="BS1033" s="314"/>
      <c r="BT1033" s="314"/>
      <c r="BU1033" s="314"/>
      <c r="BV1033" s="314"/>
      <c r="BW1033" s="314"/>
      <c r="BX1033" s="314"/>
      <c r="BY1033" s="314"/>
      <c r="BZ1033" s="314"/>
      <c r="CA1033" s="314"/>
      <c r="CB1033" s="314"/>
      <c r="CC1033" s="314"/>
      <c r="CD1033" s="314"/>
      <c r="CE1033" s="314"/>
      <c r="CF1033" s="314"/>
      <c r="CG1033" s="314"/>
      <c r="CH1033" s="314"/>
      <c r="CI1033" s="314"/>
      <c r="CJ1033" s="314"/>
      <c r="CK1033" s="314"/>
      <c r="CL1033" s="314"/>
      <c r="CM1033" s="314"/>
      <c r="CN1033" s="314"/>
      <c r="CO1033" s="314"/>
      <c r="CP1033" s="314"/>
      <c r="CQ1033" s="314"/>
    </row>
    <row r="1034" spans="1:95" ht="5.15" customHeight="1" x14ac:dyDescent="0.25">
      <c r="A1034" s="307"/>
      <c r="B1034" s="68"/>
      <c r="C1034" s="68"/>
      <c r="D1034" s="68"/>
      <c r="E1034" s="68"/>
      <c r="F1034" s="68"/>
      <c r="G1034" s="76"/>
      <c r="H1034" s="76"/>
      <c r="I1034" s="76"/>
      <c r="J1034" s="76"/>
      <c r="K1034" s="76"/>
      <c r="L1034" s="76"/>
      <c r="M1034" s="76"/>
      <c r="N1034" s="76"/>
      <c r="O1034" s="160"/>
      <c r="P1034" s="109"/>
      <c r="Q1034" s="312"/>
      <c r="R1034" s="312"/>
      <c r="S1034" s="314"/>
      <c r="T1034" s="314"/>
      <c r="U1034" s="314"/>
      <c r="V1034" s="314"/>
      <c r="W1034" s="314"/>
      <c r="X1034" s="314"/>
      <c r="Y1034" s="314"/>
      <c r="Z1034" s="314"/>
      <c r="AA1034" s="314"/>
      <c r="AB1034" s="314"/>
      <c r="AC1034" s="314"/>
      <c r="AD1034" s="314"/>
      <c r="AE1034" s="314"/>
      <c r="AF1034" s="314"/>
      <c r="AG1034" s="314"/>
      <c r="AH1034" s="314"/>
      <c r="AI1034" s="314"/>
      <c r="AJ1034" s="314"/>
      <c r="AK1034" s="314"/>
      <c r="AL1034" s="314"/>
      <c r="AM1034" s="314"/>
      <c r="AN1034" s="314"/>
      <c r="AO1034" s="314"/>
      <c r="AP1034" s="314"/>
      <c r="AQ1034" s="314"/>
      <c r="AR1034" s="314"/>
      <c r="AS1034" s="314"/>
      <c r="AT1034" s="314"/>
      <c r="AU1034" s="314"/>
      <c r="AV1034" s="314"/>
      <c r="AW1034" s="314"/>
      <c r="AX1034" s="314"/>
      <c r="AY1034" s="314"/>
      <c r="AZ1034" s="314"/>
      <c r="BA1034" s="314"/>
      <c r="BB1034" s="314"/>
      <c r="BC1034" s="314"/>
      <c r="BD1034" s="314"/>
      <c r="BE1034" s="314"/>
      <c r="BF1034" s="314"/>
      <c r="BG1034" s="314"/>
      <c r="BH1034" s="314"/>
      <c r="BI1034" s="314"/>
      <c r="BJ1034" s="314"/>
      <c r="BK1034" s="314"/>
      <c r="BL1034" s="314"/>
      <c r="BM1034" s="314"/>
      <c r="BN1034" s="314"/>
      <c r="BO1034" s="314"/>
      <c r="BP1034" s="314"/>
      <c r="BQ1034" s="314"/>
      <c r="BR1034" s="314"/>
      <c r="BS1034" s="314"/>
      <c r="BT1034" s="314"/>
      <c r="BU1034" s="314"/>
      <c r="BV1034" s="314"/>
      <c r="BW1034" s="314"/>
      <c r="BX1034" s="314"/>
      <c r="BY1034" s="314"/>
      <c r="BZ1034" s="314"/>
      <c r="CA1034" s="314"/>
      <c r="CB1034" s="314"/>
      <c r="CC1034" s="314"/>
      <c r="CD1034" s="314"/>
      <c r="CE1034" s="314"/>
      <c r="CF1034" s="314"/>
      <c r="CG1034" s="314"/>
      <c r="CH1034" s="314"/>
      <c r="CI1034" s="314"/>
      <c r="CJ1034" s="314"/>
      <c r="CK1034" s="314"/>
      <c r="CL1034" s="314"/>
      <c r="CM1034" s="314"/>
      <c r="CN1034" s="314"/>
      <c r="CO1034" s="314"/>
      <c r="CP1034" s="314"/>
      <c r="CQ1034" s="314"/>
    </row>
    <row r="1035" spans="1:95" ht="12.75" customHeight="1" x14ac:dyDescent="0.25">
      <c r="A1035" s="307"/>
      <c r="B1035" s="68"/>
      <c r="C1035" s="68"/>
      <c r="D1035" s="1246" t="str">
        <f>Translations!$B$399</f>
        <v>Tiers valid from:</v>
      </c>
      <c r="E1035" s="1246"/>
      <c r="F1035" s="1247"/>
      <c r="G1035" s="8"/>
      <c r="H1035" s="199" t="str">
        <f>Translations!$B$400</f>
        <v>until:</v>
      </c>
      <c r="I1035" s="8"/>
      <c r="J1035" s="76"/>
      <c r="K1035" s="76"/>
      <c r="L1035" s="76"/>
      <c r="M1035" s="199" t="str">
        <f>Translations!$B$401</f>
        <v>ID used in the monitoring plan for this fuel stream:</v>
      </c>
      <c r="N1035" s="9"/>
      <c r="O1035" s="160"/>
      <c r="P1035" s="109"/>
      <c r="Q1035" s="312"/>
      <c r="R1035" s="312"/>
      <c r="S1035" s="465"/>
      <c r="T1035" s="314"/>
      <c r="U1035" s="314"/>
      <c r="V1035" s="314"/>
      <c r="W1035" s="314"/>
      <c r="X1035" s="314"/>
      <c r="Y1035" s="314"/>
      <c r="Z1035" s="314"/>
      <c r="AA1035" s="314"/>
      <c r="AB1035" s="314"/>
      <c r="AC1035" s="314"/>
      <c r="AD1035" s="314"/>
      <c r="AE1035" s="314"/>
      <c r="AF1035" s="314"/>
      <c r="AG1035" s="314"/>
      <c r="AH1035" s="314"/>
      <c r="AI1035" s="314"/>
      <c r="AJ1035" s="314"/>
      <c r="AK1035" s="314"/>
      <c r="AL1035" s="314"/>
      <c r="AM1035" s="314"/>
      <c r="AN1035" s="314"/>
      <c r="AO1035" s="314"/>
      <c r="AP1035" s="314"/>
      <c r="AQ1035" s="314"/>
      <c r="AR1035" s="314"/>
      <c r="AS1035" s="314"/>
      <c r="AT1035" s="314"/>
      <c r="AU1035" s="314"/>
      <c r="AV1035" s="314"/>
      <c r="AW1035" s="314"/>
      <c r="AX1035" s="314"/>
      <c r="AY1035" s="314"/>
      <c r="AZ1035" s="314"/>
      <c r="BA1035" s="314"/>
      <c r="BB1035" s="314"/>
      <c r="BC1035" s="314"/>
      <c r="BD1035" s="314"/>
      <c r="BE1035" s="314"/>
      <c r="BF1035" s="314"/>
      <c r="BG1035" s="314"/>
      <c r="BH1035" s="314"/>
      <c r="BI1035" s="314"/>
      <c r="BJ1035" s="314"/>
      <c r="BK1035" s="314"/>
      <c r="BL1035" s="314"/>
      <c r="BM1035" s="314"/>
      <c r="BN1035" s="314"/>
      <c r="BO1035" s="314"/>
      <c r="BP1035" s="314"/>
      <c r="BQ1035" s="314"/>
      <c r="BR1035" s="314"/>
      <c r="BS1035" s="314"/>
      <c r="BT1035" s="314"/>
      <c r="BU1035" s="314"/>
      <c r="BV1035" s="314"/>
      <c r="BW1035" s="314"/>
      <c r="BX1035" s="314"/>
      <c r="BY1035" s="314"/>
      <c r="BZ1035" s="314"/>
      <c r="CA1035" s="314"/>
      <c r="CB1035" s="314"/>
      <c r="CC1035" s="314"/>
      <c r="CD1035" s="314"/>
      <c r="CE1035" s="314"/>
      <c r="CF1035" s="314"/>
      <c r="CG1035" s="314"/>
      <c r="CH1035" s="314"/>
      <c r="CI1035" s="314"/>
      <c r="CJ1035" s="314"/>
      <c r="CK1035" s="314"/>
      <c r="CL1035" s="314"/>
      <c r="CM1035" s="314"/>
      <c r="CN1035" s="314"/>
      <c r="CO1035" s="314"/>
      <c r="CP1035" s="314"/>
      <c r="CQ1035" s="464" t="b">
        <f>CQ1018</f>
        <v>0</v>
      </c>
    </row>
    <row r="1036" spans="1:95" ht="5.15" customHeight="1" x14ac:dyDescent="0.25">
      <c r="A1036" s="462"/>
      <c r="B1036" s="76"/>
      <c r="C1036" s="76"/>
      <c r="D1036" s="76"/>
      <c r="E1036" s="76"/>
      <c r="F1036" s="76"/>
      <c r="G1036" s="76"/>
      <c r="H1036" s="76"/>
      <c r="I1036" s="76"/>
      <c r="J1036" s="76"/>
      <c r="K1036" s="76"/>
      <c r="L1036" s="76"/>
      <c r="M1036" s="76"/>
      <c r="N1036" s="76"/>
      <c r="O1036" s="160"/>
      <c r="P1036" s="109"/>
      <c r="Q1036" s="312"/>
      <c r="R1036" s="312"/>
      <c r="S1036" s="314"/>
      <c r="T1036" s="314"/>
      <c r="U1036" s="314"/>
      <c r="V1036" s="314"/>
      <c r="W1036" s="314"/>
      <c r="X1036" s="314"/>
      <c r="Y1036" s="314"/>
      <c r="Z1036" s="314"/>
      <c r="AA1036" s="314"/>
      <c r="AB1036" s="314"/>
      <c r="AC1036" s="314"/>
      <c r="AD1036" s="314"/>
      <c r="AE1036" s="314"/>
      <c r="AF1036" s="314"/>
      <c r="AG1036" s="314"/>
      <c r="AH1036" s="314"/>
      <c r="AI1036" s="314"/>
      <c r="AJ1036" s="314"/>
      <c r="AK1036" s="314"/>
      <c r="AL1036" s="314"/>
      <c r="AM1036" s="314"/>
      <c r="AN1036" s="314"/>
      <c r="AO1036" s="314"/>
      <c r="AP1036" s="314"/>
      <c r="AQ1036" s="314"/>
      <c r="AR1036" s="314"/>
      <c r="AS1036" s="314"/>
      <c r="AT1036" s="314"/>
      <c r="AU1036" s="314"/>
      <c r="AV1036" s="314"/>
      <c r="AW1036" s="314"/>
      <c r="AX1036" s="314"/>
      <c r="AY1036" s="314"/>
      <c r="AZ1036" s="314"/>
      <c r="BA1036" s="314"/>
      <c r="BB1036" s="314"/>
      <c r="BC1036" s="314"/>
      <c r="BD1036" s="314"/>
      <c r="BE1036" s="314"/>
      <c r="BF1036" s="314"/>
      <c r="BG1036" s="314"/>
      <c r="BH1036" s="314"/>
      <c r="BI1036" s="314"/>
      <c r="BJ1036" s="314"/>
      <c r="BK1036" s="314"/>
      <c r="BL1036" s="314"/>
      <c r="BM1036" s="314"/>
      <c r="BN1036" s="314"/>
      <c r="BO1036" s="314"/>
      <c r="BP1036" s="314"/>
      <c r="BQ1036" s="314"/>
      <c r="BR1036" s="314"/>
      <c r="BS1036" s="314"/>
      <c r="BT1036" s="314"/>
      <c r="BU1036" s="314"/>
      <c r="BV1036" s="314"/>
      <c r="BW1036" s="314"/>
      <c r="BX1036" s="314"/>
      <c r="BY1036" s="314"/>
      <c r="BZ1036" s="314"/>
      <c r="CA1036" s="314"/>
      <c r="CB1036" s="314"/>
      <c r="CC1036" s="314"/>
      <c r="CD1036" s="314"/>
      <c r="CE1036" s="314"/>
      <c r="CF1036" s="314"/>
      <c r="CG1036" s="314"/>
      <c r="CH1036" s="314"/>
      <c r="CI1036" s="314"/>
      <c r="CJ1036" s="314"/>
      <c r="CK1036" s="314"/>
      <c r="CL1036" s="314"/>
      <c r="CM1036" s="314"/>
      <c r="CN1036" s="314"/>
      <c r="CO1036" s="314"/>
      <c r="CP1036" s="314"/>
      <c r="CQ1036" s="314"/>
    </row>
    <row r="1037" spans="1:95" ht="12.75" customHeight="1" x14ac:dyDescent="0.25">
      <c r="A1037" s="462"/>
      <c r="B1037" s="76"/>
      <c r="C1037" s="76"/>
      <c r="D1037" s="115"/>
      <c r="E1037" s="85"/>
      <c r="F1037" s="466" t="str">
        <f>Translations!$B$304</f>
        <v>Comments:</v>
      </c>
      <c r="G1037" s="1250"/>
      <c r="H1037" s="1251"/>
      <c r="I1037" s="1251"/>
      <c r="J1037" s="1251"/>
      <c r="K1037" s="1251"/>
      <c r="L1037" s="1251"/>
      <c r="M1037" s="1251"/>
      <c r="N1037" s="1252"/>
      <c r="O1037" s="160"/>
      <c r="P1037" s="109"/>
      <c r="Q1037" s="312"/>
      <c r="R1037" s="312"/>
      <c r="S1037" s="314"/>
      <c r="T1037" s="314"/>
      <c r="U1037" s="314"/>
      <c r="V1037" s="314"/>
      <c r="W1037" s="314"/>
      <c r="X1037" s="314"/>
      <c r="Y1037" s="314"/>
      <c r="Z1037" s="314"/>
      <c r="AA1037" s="314"/>
      <c r="AB1037" s="314"/>
      <c r="AC1037" s="314"/>
      <c r="AD1037" s="314"/>
      <c r="AE1037" s="314"/>
      <c r="AF1037" s="314"/>
      <c r="AG1037" s="314"/>
      <c r="AH1037" s="314"/>
      <c r="AI1037" s="314"/>
      <c r="AJ1037" s="314"/>
      <c r="AK1037" s="314"/>
      <c r="AL1037" s="314"/>
      <c r="AM1037" s="314"/>
      <c r="AN1037" s="314"/>
      <c r="AO1037" s="314"/>
      <c r="AP1037" s="314"/>
      <c r="AQ1037" s="314"/>
      <c r="AR1037" s="314"/>
      <c r="AS1037" s="314"/>
      <c r="AT1037" s="314"/>
      <c r="AU1037" s="314"/>
      <c r="AV1037" s="314"/>
      <c r="AW1037" s="314"/>
      <c r="AX1037" s="314"/>
      <c r="AY1037" s="314"/>
      <c r="AZ1037" s="314"/>
      <c r="BA1037" s="314"/>
      <c r="BB1037" s="314"/>
      <c r="BC1037" s="314"/>
      <c r="BD1037" s="314"/>
      <c r="BE1037" s="314"/>
      <c r="BF1037" s="314"/>
      <c r="BG1037" s="314"/>
      <c r="BH1037" s="314"/>
      <c r="BI1037" s="314"/>
      <c r="BJ1037" s="314"/>
      <c r="BK1037" s="314"/>
      <c r="BL1037" s="314"/>
      <c r="BM1037" s="314"/>
      <c r="BN1037" s="314"/>
      <c r="BO1037" s="314"/>
      <c r="BP1037" s="314"/>
      <c r="BQ1037" s="314"/>
      <c r="BR1037" s="314"/>
      <c r="BS1037" s="314"/>
      <c r="BT1037" s="314"/>
      <c r="BU1037" s="314"/>
      <c r="BV1037" s="314"/>
      <c r="BW1037" s="314"/>
      <c r="BX1037" s="314"/>
      <c r="BY1037" s="314"/>
      <c r="BZ1037" s="314"/>
      <c r="CA1037" s="314"/>
      <c r="CB1037" s="314"/>
      <c r="CC1037" s="314"/>
      <c r="CD1037" s="314"/>
      <c r="CE1037" s="314"/>
      <c r="CF1037" s="314"/>
      <c r="CG1037" s="314"/>
      <c r="CH1037" s="314"/>
      <c r="CI1037" s="314"/>
      <c r="CJ1037" s="314"/>
      <c r="CK1037" s="314"/>
      <c r="CL1037" s="314"/>
      <c r="CM1037" s="314"/>
      <c r="CN1037" s="314"/>
      <c r="CO1037" s="314"/>
      <c r="CP1037" s="314"/>
      <c r="CQ1037" s="464" t="b">
        <f>CQ1035</f>
        <v>0</v>
      </c>
    </row>
    <row r="1038" spans="1:95" ht="12.75" customHeight="1" thickBot="1" x14ac:dyDescent="0.3">
      <c r="A1038" s="307"/>
      <c r="B1038" s="76"/>
      <c r="C1038" s="308"/>
      <c r="D1038" s="309"/>
      <c r="E1038" s="310"/>
      <c r="F1038" s="308"/>
      <c r="G1038" s="311"/>
      <c r="H1038" s="311"/>
      <c r="I1038" s="311"/>
      <c r="J1038" s="311"/>
      <c r="K1038" s="311"/>
      <c r="L1038" s="311"/>
      <c r="M1038" s="311"/>
      <c r="N1038" s="311"/>
      <c r="O1038" s="160"/>
      <c r="P1038" s="109"/>
      <c r="Q1038" s="312"/>
      <c r="R1038" s="312"/>
      <c r="S1038" s="293"/>
      <c r="T1038" s="293"/>
      <c r="U1038" s="313"/>
      <c r="V1038" s="293"/>
      <c r="W1038" s="293"/>
      <c r="X1038" s="313"/>
      <c r="Y1038" s="293"/>
      <c r="Z1038" s="293"/>
      <c r="AA1038" s="293"/>
      <c r="AB1038" s="293"/>
      <c r="AC1038" s="293"/>
      <c r="AD1038" s="293"/>
      <c r="AE1038" s="293"/>
      <c r="AF1038" s="293"/>
      <c r="AG1038" s="293"/>
      <c r="AH1038" s="293"/>
      <c r="AI1038" s="293"/>
      <c r="AJ1038" s="293"/>
      <c r="AK1038" s="293"/>
      <c r="AL1038" s="293"/>
      <c r="AM1038" s="293"/>
      <c r="AN1038" s="293"/>
      <c r="AO1038" s="293"/>
      <c r="AP1038" s="293"/>
      <c r="AQ1038" s="293"/>
      <c r="AR1038" s="293"/>
      <c r="AS1038" s="293"/>
      <c r="AT1038" s="293"/>
      <c r="AU1038" s="293"/>
      <c r="AV1038" s="293"/>
      <c r="AW1038" s="293"/>
      <c r="AX1038" s="293"/>
      <c r="AY1038" s="293"/>
      <c r="AZ1038" s="293"/>
      <c r="BA1038" s="293"/>
      <c r="BB1038" s="293"/>
      <c r="BC1038" s="293"/>
      <c r="BD1038" s="293"/>
      <c r="BE1038" s="293"/>
      <c r="BF1038" s="293"/>
      <c r="BG1038" s="293"/>
      <c r="BH1038" s="293"/>
      <c r="BI1038" s="293"/>
      <c r="BJ1038" s="293"/>
      <c r="BK1038" s="293"/>
      <c r="BL1038" s="293"/>
      <c r="BM1038" s="314"/>
      <c r="BN1038" s="314"/>
      <c r="BO1038" s="314"/>
      <c r="BP1038" s="314"/>
      <c r="BQ1038" s="314"/>
      <c r="BR1038" s="314"/>
      <c r="BS1038" s="314"/>
      <c r="BT1038" s="314"/>
      <c r="BU1038" s="293"/>
      <c r="BV1038" s="293"/>
      <c r="BW1038" s="293"/>
      <c r="BX1038" s="293"/>
      <c r="BY1038" s="293"/>
      <c r="BZ1038" s="293"/>
      <c r="CA1038" s="293"/>
      <c r="CB1038" s="293"/>
      <c r="CC1038" s="293"/>
      <c r="CD1038" s="293"/>
      <c r="CE1038" s="293"/>
      <c r="CF1038" s="293"/>
      <c r="CG1038" s="293"/>
      <c r="CH1038" s="293"/>
      <c r="CI1038" s="293"/>
      <c r="CJ1038" s="293"/>
      <c r="CK1038" s="293"/>
      <c r="CL1038" s="293"/>
      <c r="CM1038" s="293"/>
      <c r="CN1038" s="293"/>
      <c r="CO1038" s="293"/>
      <c r="CP1038" s="293"/>
      <c r="CQ1038" s="293"/>
    </row>
    <row r="1039" spans="1:95" ht="12.75" customHeight="1" thickBot="1" x14ac:dyDescent="0.3">
      <c r="A1039" s="315"/>
      <c r="B1039" s="76"/>
      <c r="C1039" s="76"/>
      <c r="D1039" s="205"/>
      <c r="E1039" s="316"/>
      <c r="F1039" s="76"/>
      <c r="G1039" s="96"/>
      <c r="H1039" s="96"/>
      <c r="I1039" s="96"/>
      <c r="J1039" s="96"/>
      <c r="K1039" s="76"/>
      <c r="L1039" s="96"/>
      <c r="M1039" s="96"/>
      <c r="N1039" s="96"/>
      <c r="O1039" s="160"/>
      <c r="P1039" s="109"/>
      <c r="Q1039" s="312"/>
      <c r="R1039" s="312"/>
      <c r="S1039" s="287"/>
      <c r="T1039" s="317" t="str">
        <f>IF(ISBLANK(E1040),"",MATCH(E1040,CNTR_SourceStreamNames,0))</f>
        <v/>
      </c>
      <c r="U1039" s="318" t="str">
        <f>IF(ISBLANK(E1040),"",INDEX(B_IdentifyFuelStreams!$D$67:$D$116,MATCH(E1040,CNTR_SourceStreamNames,0)))</f>
        <v/>
      </c>
      <c r="V1039" s="301"/>
      <c r="W1039" s="138"/>
      <c r="X1039" s="138"/>
      <c r="Y1039" s="138"/>
      <c r="Z1039" s="293"/>
      <c r="AA1039" s="293"/>
      <c r="AB1039" s="293"/>
      <c r="AC1039" s="293"/>
      <c r="AD1039" s="293"/>
      <c r="AE1039" s="293"/>
      <c r="AF1039" s="293"/>
      <c r="AG1039" s="293"/>
      <c r="AH1039" s="293"/>
      <c r="AI1039" s="293"/>
      <c r="AJ1039" s="293"/>
      <c r="AK1039" s="312"/>
      <c r="AL1039" s="293"/>
      <c r="AM1039" s="293"/>
      <c r="AN1039" s="293"/>
      <c r="AO1039" s="293"/>
      <c r="AP1039" s="293"/>
      <c r="AQ1039" s="293"/>
      <c r="AR1039" s="293"/>
      <c r="AS1039" s="293"/>
      <c r="AT1039" s="293"/>
      <c r="AU1039" s="293"/>
      <c r="AV1039" s="293"/>
      <c r="AW1039" s="293"/>
      <c r="AX1039" s="293"/>
      <c r="AY1039" s="293"/>
      <c r="AZ1039" s="293"/>
      <c r="BA1039" s="293"/>
      <c r="BB1039" s="293"/>
      <c r="BC1039" s="293"/>
      <c r="BD1039" s="293"/>
      <c r="BE1039" s="293"/>
      <c r="BF1039" s="293"/>
      <c r="BG1039" s="293"/>
      <c r="BH1039" s="293"/>
      <c r="BI1039" s="293"/>
      <c r="BJ1039" s="138"/>
      <c r="BK1039" s="138"/>
      <c r="BL1039" s="138"/>
      <c r="BM1039" s="138"/>
      <c r="BN1039" s="138"/>
      <c r="BO1039" s="138"/>
      <c r="BP1039" s="138"/>
      <c r="BQ1039" s="138"/>
      <c r="BR1039" s="138"/>
      <c r="BS1039" s="138"/>
      <c r="BT1039" s="138"/>
      <c r="BU1039" s="138"/>
      <c r="BV1039" s="138"/>
      <c r="BW1039" s="138"/>
      <c r="BX1039" s="138"/>
      <c r="BY1039" s="138"/>
      <c r="BZ1039" s="138"/>
      <c r="CA1039" s="138"/>
      <c r="CB1039" s="138"/>
      <c r="CC1039" s="138"/>
      <c r="CD1039" s="138"/>
      <c r="CE1039" s="138"/>
      <c r="CF1039" s="138"/>
      <c r="CG1039" s="138"/>
      <c r="CH1039" s="138"/>
      <c r="CI1039" s="138"/>
      <c r="CJ1039" s="138"/>
      <c r="CK1039" s="138"/>
      <c r="CL1039" s="138"/>
      <c r="CM1039" s="138"/>
      <c r="CN1039" s="138"/>
      <c r="CO1039" s="138"/>
      <c r="CP1039" s="138"/>
      <c r="CQ1039" s="319" t="s">
        <v>107</v>
      </c>
    </row>
    <row r="1040" spans="1:95" ht="15" customHeight="1" thickBot="1" x14ac:dyDescent="0.3">
      <c r="A1040" s="320">
        <f>C1040</f>
        <v>36</v>
      </c>
      <c r="B1040" s="68"/>
      <c r="C1040" s="321">
        <f>C1012+1</f>
        <v>36</v>
      </c>
      <c r="D1040" s="68"/>
      <c r="E1040" s="1269"/>
      <c r="F1040" s="1270"/>
      <c r="G1040" s="1270"/>
      <c r="H1040" s="1270"/>
      <c r="I1040" s="1270"/>
      <c r="J1040" s="1271"/>
      <c r="K1040" s="1272" t="str">
        <f>IF(INDEX(B_IdentifyFuelStreams!$K$125:$K$174,MATCH(U1039,B_IdentifyFuelStreams!$D$125:$D$174,0))&gt;0,INDEX(B_IdentifyFuelStreams!$K$125:$K$174,MATCH(U1039,B_IdentifyFuelStreams!$D$125:$D$174,0)),"")</f>
        <v/>
      </c>
      <c r="L1040" s="1273"/>
      <c r="M1040" s="316" t="str">
        <f>Translations!$B$621</f>
        <v>Emissions:</v>
      </c>
      <c r="N1040" s="322" t="str">
        <f>IF(E1041="","",BG1046)</f>
        <v/>
      </c>
      <c r="O1040" s="323" t="str">
        <f>EUconst_tCO2</f>
        <v>tCO2</v>
      </c>
      <c r="P1040" s="324" t="str">
        <f>IF(AND(E1040&lt;&gt;"",COUNTIF(P1041:$P$1649,"PRINT")=0),"PRINT","")</f>
        <v/>
      </c>
      <c r="Q1040" s="325" t="str">
        <f>EUconst_SumCO2</f>
        <v>SUM_CO2</v>
      </c>
      <c r="R1040" s="312"/>
      <c r="S1040" s="287"/>
      <c r="T1040" s="287"/>
      <c r="U1040" s="287"/>
      <c r="V1040" s="301"/>
      <c r="W1040" s="138"/>
      <c r="X1040" s="293"/>
      <c r="Y1040" s="293"/>
      <c r="Z1040" s="293"/>
      <c r="AA1040" s="293"/>
      <c r="AB1040" s="293"/>
      <c r="AC1040" s="293"/>
      <c r="AD1040" s="293"/>
      <c r="AE1040" s="293"/>
      <c r="AF1040" s="293"/>
      <c r="AG1040" s="293"/>
      <c r="AH1040" s="293"/>
      <c r="AI1040" s="326"/>
      <c r="AJ1040" s="326"/>
      <c r="AK1040" s="326"/>
      <c r="AL1040" s="326"/>
      <c r="AM1040" s="326"/>
      <c r="AN1040" s="326"/>
      <c r="AO1040" s="326"/>
      <c r="AP1040" s="326"/>
      <c r="AQ1040" s="326"/>
      <c r="AR1040" s="326"/>
      <c r="AS1040" s="326"/>
      <c r="AT1040" s="326"/>
      <c r="AU1040" s="326"/>
      <c r="AV1040" s="326"/>
      <c r="AW1040" s="326"/>
      <c r="AX1040" s="326"/>
      <c r="AY1040" s="326"/>
      <c r="AZ1040" s="326"/>
      <c r="BA1040" s="326"/>
      <c r="BB1040" s="326"/>
      <c r="BC1040" s="326"/>
      <c r="BD1040" s="326"/>
      <c r="BE1040" s="326"/>
      <c r="BF1040" s="326"/>
      <c r="BG1040" s="326"/>
      <c r="BH1040" s="326"/>
      <c r="BI1040" s="327" t="str">
        <f>IF(E1040="","",E1040)</f>
        <v/>
      </c>
      <c r="BJ1040" s="328" t="str">
        <f>IF(F1046="","",F1046)</f>
        <v/>
      </c>
      <c r="BK1040" s="329">
        <f>AV1046</f>
        <v>0</v>
      </c>
      <c r="BL1040" s="329">
        <f>IF(BK1040="","",BK1040*(1-BP1040))</f>
        <v>0</v>
      </c>
      <c r="BM1040" s="328" t="str">
        <f>AJ1046</f>
        <v/>
      </c>
      <c r="BN1040" s="328" t="str">
        <f>IF(F1057="","",F1057)</f>
        <v/>
      </c>
      <c r="BO1040" s="327" t="str">
        <f>IF(G1057="","",G1057)</f>
        <v/>
      </c>
      <c r="BP1040" s="330">
        <f>AV1057</f>
        <v>0</v>
      </c>
      <c r="BQ1040" s="328" t="str">
        <f>IF(F1049="","",F1049)</f>
        <v/>
      </c>
      <c r="BR1040" s="330">
        <f>AV1049</f>
        <v>0</v>
      </c>
      <c r="BS1040" s="330" t="str">
        <f>AJ1049</f>
        <v/>
      </c>
      <c r="BT1040" s="328" t="str">
        <f>IF(F1048="","",F1048)</f>
        <v/>
      </c>
      <c r="BU1040" s="330">
        <f>IF(F1048=EUconst_NA,"",AV1048)</f>
        <v>0</v>
      </c>
      <c r="BV1040" s="330" t="str">
        <f>AJ1048</f>
        <v/>
      </c>
      <c r="BW1040" s="328" t="str">
        <f>IF(F1050="","",F1050)</f>
        <v/>
      </c>
      <c r="BX1040" s="330">
        <f>AV1050</f>
        <v>0</v>
      </c>
      <c r="BY1040" s="328" t="str">
        <f>IF(F1051="","",F1051)</f>
        <v/>
      </c>
      <c r="BZ1040" s="330">
        <f>AV1051</f>
        <v>0</v>
      </c>
      <c r="CA1040" s="330">
        <f>AV1052</f>
        <v>0</v>
      </c>
      <c r="CB1040" s="330">
        <f>AV1053</f>
        <v>0</v>
      </c>
      <c r="CC1040" s="330">
        <f>AV1054</f>
        <v>0</v>
      </c>
      <c r="CD1040" s="330">
        <f>AV1055</f>
        <v>0</v>
      </c>
      <c r="CE1040" s="329" t="str">
        <f>BG1046</f>
        <v/>
      </c>
      <c r="CF1040" s="329" t="str">
        <f>BG1048</f>
        <v/>
      </c>
      <c r="CG1040" s="329" t="str">
        <f>BG1049</f>
        <v/>
      </c>
      <c r="CH1040" s="329" t="str">
        <f>BG1050</f>
        <v/>
      </c>
      <c r="CI1040" s="329" t="str">
        <f>BG1051</f>
        <v/>
      </c>
      <c r="CJ1040" s="329" t="str">
        <f>BG1052</f>
        <v/>
      </c>
      <c r="CK1040" s="329" t="str">
        <f>BG1053</f>
        <v/>
      </c>
      <c r="CL1040" s="329">
        <f>BG1054</f>
        <v>0</v>
      </c>
      <c r="CM1040" s="329" t="str">
        <f>BG1055</f>
        <v/>
      </c>
      <c r="CN1040" s="329" t="str">
        <f>BG1057</f>
        <v/>
      </c>
      <c r="CO1040" s="329" t="str">
        <f>BG1061</f>
        <v/>
      </c>
      <c r="CP1040" s="329" t="str">
        <f>IF(COUNTIF(AO1049:AO1050,TRUE)=0,"",BH1046)</f>
        <v/>
      </c>
      <c r="CQ1040" s="331" t="b">
        <v>0</v>
      </c>
    </row>
    <row r="1041" spans="1:95" ht="15" customHeight="1" thickBot="1" x14ac:dyDescent="0.3">
      <c r="A1041" s="307"/>
      <c r="B1041" s="68"/>
      <c r="C1041" s="68"/>
      <c r="D1041" s="68"/>
      <c r="E1041" s="1274" t="str">
        <f>IF(ISBLANK(E1040),"",IF(INDEX(B_IdentifyFuelStreams!$E$67:$E$116,MATCH(U1039,B_IdentifyFuelStreams!$D$67:$D$116,0))&gt;0,INDEX(B_IdentifyFuelStreams!$E$67:$E$116,MATCH(U1039,B_IdentifyFuelStreams!$D$67:$D$116,0)),""))</f>
        <v/>
      </c>
      <c r="F1041" s="1275"/>
      <c r="G1041" s="1275"/>
      <c r="H1041" s="1275"/>
      <c r="I1041" s="1275"/>
      <c r="J1041" s="1276"/>
      <c r="K1041" s="1272" t="str">
        <f>IF(INDEX(B_IdentifyFuelStreams!$M$125:$M$174,MATCH(U1039,B_IdentifyFuelStreams!$D$125:$D$174,0))&gt;0,INDEX(B_IdentifyFuelStreams!$M$125:$M$174,MATCH(U1039,B_IdentifyFuelStreams!$D$125:$D$174,0)),"")</f>
        <v/>
      </c>
      <c r="L1041" s="1273"/>
      <c r="M1041" s="332" t="str">
        <f>Translations!$B$622</f>
        <v>zero-rated:</v>
      </c>
      <c r="N1041" s="333" t="str">
        <f>IF(E1041="","",SUM(BG1048,BG1050,BG1052))</f>
        <v/>
      </c>
      <c r="O1041" s="334" t="str">
        <f>EUconst_tCO2</f>
        <v>tCO2</v>
      </c>
      <c r="P1041" s="109"/>
      <c r="Q1041" s="325" t="str">
        <f>EUconst_SumBioCO2</f>
        <v>SUM_bioCO2</v>
      </c>
      <c r="R1041" s="312"/>
      <c r="S1041" s="287"/>
      <c r="T1041" s="287"/>
      <c r="U1041" s="287"/>
      <c r="V1041" s="301"/>
      <c r="W1041" s="138"/>
      <c r="X1041" s="293"/>
      <c r="Y1041" s="317" t="str">
        <f>Translations!$B$143</f>
        <v>Tiers</v>
      </c>
      <c r="Z1041" s="314"/>
      <c r="AA1041" s="314"/>
      <c r="AB1041" s="314"/>
      <c r="AC1041" s="314"/>
      <c r="AD1041" s="314"/>
      <c r="AE1041" s="317" t="s">
        <v>108</v>
      </c>
      <c r="AF1041" s="293"/>
      <c r="AG1041" s="335"/>
      <c r="AH1041" s="314"/>
      <c r="AI1041" s="314"/>
      <c r="AJ1041" s="335"/>
      <c r="AK1041" s="335"/>
      <c r="AL1041" s="326"/>
      <c r="AM1041" s="326"/>
      <c r="AN1041" s="326"/>
      <c r="AO1041" s="326"/>
      <c r="AP1041" s="326"/>
      <c r="AQ1041" s="317" t="s">
        <v>109</v>
      </c>
      <c r="AR1041" s="336"/>
      <c r="AS1041" s="336"/>
      <c r="AT1041" s="314"/>
      <c r="AU1041" s="314"/>
      <c r="AV1041" s="314"/>
      <c r="AW1041" s="314"/>
      <c r="AX1041" s="314"/>
      <c r="AY1041" s="314"/>
      <c r="AZ1041" s="317" t="s">
        <v>110</v>
      </c>
      <c r="BA1041" s="314"/>
      <c r="BB1041" s="314"/>
      <c r="BC1041" s="314"/>
      <c r="BD1041" s="314"/>
      <c r="BE1041" s="314"/>
      <c r="BF1041" s="317" t="s">
        <v>111</v>
      </c>
      <c r="BG1041" s="314"/>
      <c r="BH1041" s="314"/>
      <c r="BI1041" s="317" t="s">
        <v>112</v>
      </c>
      <c r="BJ1041" s="328" t="str">
        <f>Translations!$B$376</f>
        <v>RFA Tier</v>
      </c>
      <c r="BK1041" s="328" t="str">
        <f>Translations!$B$377</f>
        <v>RFA</v>
      </c>
      <c r="BL1041" s="328" t="str">
        <f>Translations!$B$378</f>
        <v>RFA (in scope)</v>
      </c>
      <c r="BM1041" s="328" t="str">
        <f>Translations!$B$379</f>
        <v>RFA Unit</v>
      </c>
      <c r="BN1041" s="328" t="str">
        <f>Translations!$B$380</f>
        <v>SF Tier</v>
      </c>
      <c r="BO1041" s="328" t="str">
        <f>Translations!$B$380</f>
        <v>SF Tier</v>
      </c>
      <c r="BP1041" s="328" t="str">
        <f>Translations!$B$381</f>
        <v>SF</v>
      </c>
      <c r="BQ1041" s="328" t="str">
        <f>Translations!$B$382</f>
        <v>EF Tier</v>
      </c>
      <c r="BR1041" s="328" t="str">
        <f>Translations!$B$383</f>
        <v>EF</v>
      </c>
      <c r="BS1041" s="328" t="str">
        <f>Translations!$B$384</f>
        <v>EF Unit</v>
      </c>
      <c r="BT1041" s="328" t="str">
        <f>Translations!$B$385</f>
        <v>UCF Tier</v>
      </c>
      <c r="BU1041" s="328" t="str">
        <f>Translations!$B$386</f>
        <v>UCF</v>
      </c>
      <c r="BV1041" s="328" t="str">
        <f>Translations!$B$387</f>
        <v>UCF Unit</v>
      </c>
      <c r="BW1041" s="328" t="str">
        <f>Translations!$B$388</f>
        <v>Bio Tier</v>
      </c>
      <c r="BX1041" s="328" t="s">
        <v>113</v>
      </c>
      <c r="BY1041" s="328" t="str">
        <f>Translations!$B$389</f>
        <v>NonSustBio Tier</v>
      </c>
      <c r="BZ1041" s="328" t="s">
        <v>114</v>
      </c>
      <c r="CA1041" s="328" t="s">
        <v>115</v>
      </c>
      <c r="CB1041" s="328" t="s">
        <v>116</v>
      </c>
      <c r="CC1041" s="328" t="s">
        <v>117</v>
      </c>
      <c r="CD1041" s="328" t="s">
        <v>118</v>
      </c>
      <c r="CE1041" s="328" t="s">
        <v>119</v>
      </c>
      <c r="CF1041" s="328" t="s">
        <v>120</v>
      </c>
      <c r="CG1041" s="328" t="str">
        <f>Translations!$B$392</f>
        <v>CO2 non-sust</v>
      </c>
      <c r="CH1041" s="328" t="s">
        <v>121</v>
      </c>
      <c r="CI1041" s="328" t="s">
        <v>122</v>
      </c>
      <c r="CJ1041" s="328" t="s">
        <v>123</v>
      </c>
      <c r="CK1041" s="328" t="s">
        <v>124</v>
      </c>
      <c r="CL1041" s="328" t="s">
        <v>125</v>
      </c>
      <c r="CM1041" s="328" t="str">
        <f>Translations!$B$551</f>
        <v>Energy content (bio), TJ</v>
      </c>
      <c r="CN1041" s="328" t="s">
        <v>126</v>
      </c>
      <c r="CO1041" s="328" t="s">
        <v>127</v>
      </c>
      <c r="CP1041" s="328" t="s">
        <v>128</v>
      </c>
      <c r="CQ1041" s="314"/>
    </row>
    <row r="1042" spans="1:95" ht="5.15" customHeight="1" thickBot="1" x14ac:dyDescent="0.3">
      <c r="A1042" s="307"/>
      <c r="B1042" s="68"/>
      <c r="C1042" s="68"/>
      <c r="D1042" s="68"/>
      <c r="E1042" s="68"/>
      <c r="F1042" s="68"/>
      <c r="G1042" s="68"/>
      <c r="H1042" s="76"/>
      <c r="I1042" s="76"/>
      <c r="J1042" s="76"/>
      <c r="K1042" s="76"/>
      <c r="L1042" s="76"/>
      <c r="M1042" s="76"/>
      <c r="N1042" s="76"/>
      <c r="O1042" s="160"/>
      <c r="P1042" s="109"/>
      <c r="Q1042" s="312"/>
      <c r="R1042" s="312"/>
      <c r="S1042" s="287"/>
      <c r="T1042" s="287"/>
      <c r="U1042" s="287"/>
      <c r="V1042" s="301"/>
      <c r="W1042" s="314"/>
      <c r="X1042" s="314"/>
      <c r="Y1042" s="312"/>
      <c r="Z1042" s="314"/>
      <c r="AA1042" s="314"/>
      <c r="AB1042" s="314"/>
      <c r="AC1042" s="314"/>
      <c r="AD1042" s="314"/>
      <c r="AE1042" s="314"/>
      <c r="AF1042" s="293"/>
      <c r="AG1042" s="314"/>
      <c r="AH1042" s="314"/>
      <c r="AI1042" s="314"/>
      <c r="AJ1042" s="335"/>
      <c r="AK1042" s="335"/>
      <c r="AL1042" s="326"/>
      <c r="AM1042" s="326"/>
      <c r="AN1042" s="326"/>
      <c r="AO1042" s="326"/>
      <c r="AP1042" s="326"/>
      <c r="AQ1042" s="314"/>
      <c r="AR1042" s="314"/>
      <c r="AS1042" s="314"/>
      <c r="AT1042" s="314"/>
      <c r="AU1042" s="314"/>
      <c r="AV1042" s="314"/>
      <c r="AW1042" s="314"/>
      <c r="AX1042" s="314"/>
      <c r="AY1042" s="314"/>
      <c r="AZ1042" s="314"/>
      <c r="BA1042" s="314"/>
      <c r="BB1042" s="314"/>
      <c r="BC1042" s="314"/>
      <c r="BD1042" s="314"/>
      <c r="BE1042" s="314"/>
      <c r="BF1042" s="314"/>
      <c r="BG1042" s="314"/>
      <c r="BH1042" s="314"/>
      <c r="BI1042" s="314"/>
      <c r="BJ1042" s="314"/>
      <c r="BK1042" s="314"/>
      <c r="BL1042" s="314"/>
      <c r="BM1042" s="314"/>
      <c r="BN1042" s="314"/>
      <c r="BO1042" s="314"/>
      <c r="BP1042" s="314"/>
      <c r="BQ1042" s="314"/>
      <c r="BR1042" s="314"/>
      <c r="BS1042" s="314"/>
      <c r="BT1042" s="314"/>
      <c r="BU1042" s="314"/>
      <c r="BV1042" s="314"/>
      <c r="BW1042" s="314"/>
      <c r="BX1042" s="314"/>
      <c r="BY1042" s="314"/>
      <c r="BZ1042" s="314"/>
      <c r="CA1042" s="314"/>
      <c r="CB1042" s="314"/>
      <c r="CC1042" s="314"/>
      <c r="CD1042" s="314"/>
      <c r="CE1042" s="314"/>
      <c r="CF1042" s="314"/>
      <c r="CG1042" s="314"/>
      <c r="CH1042" s="314"/>
      <c r="CI1042" s="314"/>
      <c r="CJ1042" s="314"/>
      <c r="CK1042" s="314"/>
      <c r="CL1042" s="314"/>
      <c r="CM1042" s="314"/>
      <c r="CN1042" s="314"/>
      <c r="CO1042" s="314"/>
      <c r="CP1042" s="314"/>
      <c r="CQ1042" s="314"/>
    </row>
    <row r="1043" spans="1:95" ht="12.75" customHeight="1" thickBot="1" x14ac:dyDescent="0.3">
      <c r="A1043" s="307"/>
      <c r="B1043" s="68"/>
      <c r="C1043" s="68"/>
      <c r="D1043" s="68"/>
      <c r="E1043" s="1253" t="str">
        <f>IF(E1040="","",HYPERLINK("#JUMP_E_Top",EUconst_FurtherGuidancePoint1))</f>
        <v/>
      </c>
      <c r="F1043" s="1253"/>
      <c r="G1043" s="1253"/>
      <c r="H1043" s="1253"/>
      <c r="I1043" s="1253"/>
      <c r="J1043" s="1253"/>
      <c r="K1043" s="1253"/>
      <c r="L1043" s="1253"/>
      <c r="M1043" s="1253"/>
      <c r="N1043" s="76"/>
      <c r="O1043" s="160"/>
      <c r="P1043" s="109"/>
      <c r="Q1043" s="325" t="str">
        <f>EUconst_SumNonSustBioCO2</f>
        <v>SUM_bioNonSustCO2</v>
      </c>
      <c r="R1043" s="337" t="str">
        <f>IF(E1041="","",BG1049)</f>
        <v/>
      </c>
      <c r="S1043" s="287"/>
      <c r="T1043" s="287"/>
      <c r="U1043" s="287"/>
      <c r="V1043" s="314"/>
      <c r="W1043" s="314"/>
      <c r="X1043" s="314"/>
      <c r="Y1043" s="293"/>
      <c r="Z1043" s="314"/>
      <c r="AA1043" s="314"/>
      <c r="AB1043" s="314"/>
      <c r="AC1043" s="314"/>
      <c r="AD1043" s="314"/>
      <c r="AE1043" s="314"/>
      <c r="AF1043" s="293"/>
      <c r="AG1043" s="314"/>
      <c r="AH1043" s="314"/>
      <c r="AI1043" s="314"/>
      <c r="AJ1043" s="335"/>
      <c r="AK1043" s="335"/>
      <c r="AL1043" s="326"/>
      <c r="AM1043" s="326"/>
      <c r="AN1043" s="326"/>
      <c r="AO1043" s="326"/>
      <c r="AP1043" s="326"/>
      <c r="AQ1043" s="314"/>
      <c r="AR1043" s="314"/>
      <c r="AS1043" s="314"/>
      <c r="AT1043" s="314"/>
      <c r="AU1043" s="314"/>
      <c r="AV1043" s="314"/>
      <c r="AW1043" s="314"/>
      <c r="AX1043" s="314"/>
      <c r="AY1043" s="314"/>
      <c r="AZ1043" s="314"/>
      <c r="BA1043" s="314"/>
      <c r="BB1043" s="314"/>
      <c r="BC1043" s="314"/>
      <c r="BD1043" s="314"/>
      <c r="BE1043" s="314"/>
      <c r="BF1043" s="314"/>
      <c r="BG1043" s="314"/>
      <c r="BH1043" s="314"/>
      <c r="BI1043" s="317" t="s">
        <v>129</v>
      </c>
      <c r="BJ1043" s="336"/>
      <c r="BK1043" s="327" t="str">
        <f>IF(G1061="","",G1061)</f>
        <v/>
      </c>
      <c r="BL1043" s="327" t="str">
        <f>IF(I1061="","",I1061)</f>
        <v/>
      </c>
      <c r="BM1043" s="327" t="str">
        <f>IF(K1061="","",K1061)</f>
        <v/>
      </c>
      <c r="BN1043" s="314"/>
      <c r="BO1043" s="314"/>
      <c r="BP1043" s="314"/>
      <c r="BQ1043" s="314"/>
      <c r="BR1043" s="314"/>
      <c r="BS1043" s="314"/>
      <c r="BT1043" s="319"/>
      <c r="BU1043" s="314"/>
      <c r="BV1043" s="314"/>
      <c r="BW1043" s="314"/>
      <c r="BX1043" s="314"/>
      <c r="BY1043" s="314"/>
      <c r="BZ1043" s="314"/>
      <c r="CA1043" s="314"/>
      <c r="CB1043" s="314"/>
      <c r="CC1043" s="314"/>
      <c r="CD1043" s="314"/>
      <c r="CE1043" s="314"/>
      <c r="CF1043" s="314"/>
      <c r="CG1043" s="314"/>
      <c r="CH1043" s="314"/>
      <c r="CI1043" s="314"/>
      <c r="CJ1043" s="314"/>
      <c r="CK1043" s="314"/>
      <c r="CL1043" s="314"/>
      <c r="CM1043" s="314"/>
      <c r="CN1043" s="314"/>
      <c r="CO1043" s="314"/>
      <c r="CP1043" s="314"/>
      <c r="CQ1043" s="314"/>
    </row>
    <row r="1044" spans="1:95" ht="5.15" customHeight="1" thickBot="1" x14ac:dyDescent="0.3">
      <c r="A1044" s="307"/>
      <c r="B1044" s="68"/>
      <c r="C1044" s="68"/>
      <c r="D1044" s="68"/>
      <c r="E1044" s="68"/>
      <c r="F1044" s="68"/>
      <c r="G1044" s="68"/>
      <c r="H1044" s="76"/>
      <c r="I1044" s="76"/>
      <c r="J1044" s="76"/>
      <c r="K1044" s="76"/>
      <c r="L1044" s="76"/>
      <c r="M1044" s="76"/>
      <c r="N1044" s="76"/>
      <c r="O1044" s="160"/>
      <c r="P1044" s="111"/>
      <c r="Q1044" s="287"/>
      <c r="R1044" s="111"/>
      <c r="S1044" s="287"/>
      <c r="T1044" s="287"/>
      <c r="U1044" s="287"/>
      <c r="V1044" s="314"/>
      <c r="W1044" s="314"/>
      <c r="X1044" s="314"/>
      <c r="Y1044" s="312"/>
      <c r="Z1044" s="314"/>
      <c r="AA1044" s="314"/>
      <c r="AB1044" s="314"/>
      <c r="AC1044" s="314"/>
      <c r="AD1044" s="314"/>
      <c r="AE1044" s="314"/>
      <c r="AF1044" s="293"/>
      <c r="AG1044" s="314"/>
      <c r="AH1044" s="314"/>
      <c r="AI1044" s="314"/>
      <c r="AJ1044" s="335"/>
      <c r="AK1044" s="335"/>
      <c r="AL1044" s="326"/>
      <c r="AM1044" s="326"/>
      <c r="AN1044" s="326"/>
      <c r="AO1044" s="326"/>
      <c r="AP1044" s="326"/>
      <c r="AQ1044" s="314"/>
      <c r="AR1044" s="314"/>
      <c r="AS1044" s="314"/>
      <c r="AT1044" s="314"/>
      <c r="AU1044" s="314"/>
      <c r="AV1044" s="314"/>
      <c r="AW1044" s="314"/>
      <c r="AX1044" s="314"/>
      <c r="AY1044" s="314"/>
      <c r="AZ1044" s="314"/>
      <c r="BA1044" s="314"/>
      <c r="BB1044" s="314"/>
      <c r="BC1044" s="314"/>
      <c r="BD1044" s="314"/>
      <c r="BE1044" s="314"/>
      <c r="BF1044" s="314"/>
      <c r="BG1044" s="314"/>
      <c r="BH1044" s="314"/>
      <c r="BI1044" s="314"/>
      <c r="BJ1044" s="314"/>
      <c r="BK1044" s="314"/>
      <c r="BL1044" s="314"/>
      <c r="BM1044" s="314"/>
      <c r="BN1044" s="314"/>
      <c r="BO1044" s="314"/>
      <c r="BP1044" s="314"/>
      <c r="BQ1044" s="314"/>
      <c r="BR1044" s="314"/>
      <c r="BS1044" s="314"/>
      <c r="BT1044" s="314"/>
      <c r="BU1044" s="314"/>
      <c r="BV1044" s="314"/>
      <c r="BW1044" s="314"/>
      <c r="BX1044" s="314"/>
      <c r="BY1044" s="314"/>
      <c r="BZ1044" s="314"/>
      <c r="CA1044" s="314"/>
      <c r="CB1044" s="314"/>
      <c r="CC1044" s="314"/>
      <c r="CD1044" s="314"/>
      <c r="CE1044" s="314"/>
      <c r="CF1044" s="314"/>
      <c r="CG1044" s="314"/>
      <c r="CH1044" s="314"/>
      <c r="CI1044" s="314"/>
      <c r="CJ1044" s="314"/>
      <c r="CK1044" s="314"/>
      <c r="CL1044" s="314"/>
      <c r="CM1044" s="314"/>
      <c r="CN1044" s="314"/>
      <c r="CO1044" s="314"/>
      <c r="CP1044" s="314"/>
      <c r="CQ1044" s="314"/>
    </row>
    <row r="1045" spans="1:95" ht="12.75" customHeight="1" thickBot="1" x14ac:dyDescent="0.3">
      <c r="A1045" s="307"/>
      <c r="B1045" s="68"/>
      <c r="C1045" s="68"/>
      <c r="D1045" s="68"/>
      <c r="E1045" s="68"/>
      <c r="F1045" s="338" t="str">
        <f>Translations!$B$127</f>
        <v>Tier</v>
      </c>
      <c r="G1045" s="1254" t="str">
        <f>Translations!$B$393</f>
        <v>tier description</v>
      </c>
      <c r="H1045" s="1254"/>
      <c r="I1045" s="1255" t="str">
        <f>Translations!$B$394</f>
        <v>Unit</v>
      </c>
      <c r="J1045" s="1255"/>
      <c r="K1045" s="1255" t="str">
        <f>Translations!$B$395</f>
        <v>Value</v>
      </c>
      <c r="L1045" s="1255"/>
      <c r="M1045" s="205" t="str">
        <f>Translations!$B$396</f>
        <v>error</v>
      </c>
      <c r="N1045" s="76"/>
      <c r="O1045" s="160"/>
      <c r="P1045" s="339"/>
      <c r="Q1045" s="325" t="str">
        <f>EUconst_SumEnergyIN</f>
        <v>SUM_EnergyIN</v>
      </c>
      <c r="R1045" s="340" t="str">
        <f>IF(E1041="","",BG1054)</f>
        <v/>
      </c>
      <c r="S1045" s="314"/>
      <c r="T1045" s="314"/>
      <c r="U1045" s="314"/>
      <c r="V1045" s="341" t="s">
        <v>130</v>
      </c>
      <c r="W1045" s="314"/>
      <c r="X1045" s="314"/>
      <c r="Y1045" s="312" t="s">
        <v>131</v>
      </c>
      <c r="Z1045" s="312" t="s">
        <v>132</v>
      </c>
      <c r="AA1045" s="314"/>
      <c r="AB1045" s="314"/>
      <c r="AC1045" s="336" t="s">
        <v>133</v>
      </c>
      <c r="AD1045" s="314"/>
      <c r="AE1045" s="314"/>
      <c r="AF1045" s="314" t="s">
        <v>134</v>
      </c>
      <c r="AG1045" s="314" t="s">
        <v>135</v>
      </c>
      <c r="AH1045" s="312" t="s">
        <v>136</v>
      </c>
      <c r="AI1045" s="335" t="s">
        <v>137</v>
      </c>
      <c r="AJ1045" s="335" t="s">
        <v>138</v>
      </c>
      <c r="AK1045" s="342" t="s">
        <v>139</v>
      </c>
      <c r="AL1045" s="326"/>
      <c r="AM1045" s="326"/>
      <c r="AN1045" s="326"/>
      <c r="AO1045" s="326"/>
      <c r="AP1045" s="326"/>
      <c r="AQ1045" s="314"/>
      <c r="AR1045" s="314" t="s">
        <v>134</v>
      </c>
      <c r="AS1045" s="314" t="s">
        <v>135</v>
      </c>
      <c r="AT1045" s="343" t="s">
        <v>140</v>
      </c>
      <c r="AU1045" s="335" t="s">
        <v>141</v>
      </c>
      <c r="AV1045" s="335" t="s">
        <v>142</v>
      </c>
      <c r="AW1045" s="342" t="s">
        <v>139</v>
      </c>
      <c r="AX1045" s="342" t="s">
        <v>139</v>
      </c>
      <c r="AY1045" s="314"/>
      <c r="AZ1045" s="314"/>
      <c r="BA1045" s="314"/>
      <c r="BB1045" s="314" t="s">
        <v>143</v>
      </c>
      <c r="BC1045" s="314"/>
      <c r="BD1045" s="314"/>
      <c r="BE1045" s="314"/>
      <c r="BF1045" s="314"/>
      <c r="BG1045" s="319" t="s">
        <v>144</v>
      </c>
      <c r="BH1045" s="314" t="s">
        <v>145</v>
      </c>
      <c r="BI1045" s="314"/>
      <c r="BJ1045" s="314"/>
      <c r="BK1045" s="314"/>
      <c r="BL1045" s="314"/>
      <c r="BM1045" s="314"/>
      <c r="BN1045" s="314"/>
      <c r="BO1045" s="314"/>
      <c r="BP1045" s="314"/>
      <c r="BQ1045" s="314"/>
      <c r="BR1045" s="314"/>
      <c r="BS1045" s="314"/>
      <c r="BT1045" s="314"/>
      <c r="BU1045" s="314"/>
      <c r="BV1045" s="314"/>
      <c r="BW1045" s="314"/>
      <c r="BX1045" s="314"/>
      <c r="BY1045" s="314"/>
      <c r="BZ1045" s="314"/>
      <c r="CA1045" s="314"/>
      <c r="CB1045" s="314"/>
      <c r="CC1045" s="314"/>
      <c r="CD1045" s="314"/>
      <c r="CE1045" s="314"/>
      <c r="CF1045" s="314"/>
      <c r="CG1045" s="314"/>
      <c r="CH1045" s="314"/>
      <c r="CI1045" s="314"/>
      <c r="CJ1045" s="314"/>
      <c r="CK1045" s="314"/>
      <c r="CL1045" s="314"/>
      <c r="CM1045" s="314"/>
      <c r="CN1045" s="314"/>
      <c r="CO1045" s="314"/>
      <c r="CP1045" s="314"/>
      <c r="CQ1045" s="319" t="s">
        <v>107</v>
      </c>
    </row>
    <row r="1046" spans="1:95" ht="12.75" customHeight="1" thickBot="1" x14ac:dyDescent="0.3">
      <c r="A1046" s="307"/>
      <c r="B1046" s="68"/>
      <c r="C1046" s="199" t="s">
        <v>12</v>
      </c>
      <c r="D1046" s="344" t="str">
        <f>Translations!$B$356</f>
        <v>RFA:</v>
      </c>
      <c r="E1046" s="345"/>
      <c r="F1046" s="6"/>
      <c r="G1046" s="1256" t="str">
        <f>IF(OR(ISBLANK(F1046),F1046=EUconst_NoTier),"",IF(Z1046=0,EUconst_NA,IF(ISERROR(Z1046),"",Z1046)))</f>
        <v/>
      </c>
      <c r="H1046" s="1257"/>
      <c r="I1046" s="346" t="str">
        <f>IF(J1046&lt;&gt;"","",AI1046)</f>
        <v/>
      </c>
      <c r="J1046" s="7"/>
      <c r="K1046" s="1258"/>
      <c r="L1046" s="1259"/>
      <c r="M1046" s="347" t="str">
        <f>IF(AND(E1041&lt;&gt;"",OR(F1046="",COUNT(K1046)=0),Y1046&lt;&gt;EUconst_NA),EUconst_ERR_Incomplete,"")</f>
        <v/>
      </c>
      <c r="N1046" s="76"/>
      <c r="O1046" s="160"/>
      <c r="P1046" s="348"/>
      <c r="Q1046" s="325" t="str">
        <f>EUconst_SumBioEnergyIN</f>
        <v>SUM_BioEnergyIN</v>
      </c>
      <c r="R1046" s="340" t="str">
        <f>IF(E1041="","",BG1055)</f>
        <v/>
      </c>
      <c r="S1046" s="314"/>
      <c r="T1046" s="349" t="str">
        <f>EUconst_CNTR_ActivityData&amp;E1041</f>
        <v>ActivityData_</v>
      </c>
      <c r="U1046" s="312"/>
      <c r="V1046" s="349" t="str">
        <f>IF(E1040="","",INDEX(B_IdentifyFuelStreams!$I$67:$I$116,MATCH(U1039,B_IdentifyFuelStreams!$D$67:$D$116,0)))</f>
        <v/>
      </c>
      <c r="W1046" s="335" t="s">
        <v>146</v>
      </c>
      <c r="X1046" s="312"/>
      <c r="Y1046" s="350" t="str">
        <f>IF(E1041="","",INDEX(EUwideConstants!$P$164:$P$200,MATCH(T1046,EUwideConstants!$S$164:$S$200,0)))</f>
        <v/>
      </c>
      <c r="Z1046" s="351" t="str">
        <f>IF(ISBLANK(F1046),"",IF(F1046=EUconst_NA,"",INDEX(EUwideConstants!$H:$O,MATCH(T1046,EUwideConstants!$S:$S,0),MATCH(F1046,CNTR_TierList,0))))</f>
        <v/>
      </c>
      <c r="AA1046" s="352" t="s">
        <v>136</v>
      </c>
      <c r="AB1046" s="335"/>
      <c r="AC1046" s="331" t="b">
        <f>E1040&lt;&gt;""</f>
        <v>0</v>
      </c>
      <c r="AD1046" s="314"/>
      <c r="AE1046" s="353" t="str">
        <f>EUconst_CNTR_ActivityData&amp;EUconst_Unit</f>
        <v>ActivityData_Unit</v>
      </c>
      <c r="AF1046" s="354" t="str">
        <f>IF(AC1046=TRUE, IF(COUNTIF(MSPara_SourceStreamCategory,V1046)=0,"",INDEX(MSPara_CalcFactorsMatrix,MATCH(V1046,MSPara_SourceStreamCategory,0),MATCH(AE1046&amp;"_"&amp;2,MSPara_CalcFactors,0))),"")</f>
        <v/>
      </c>
      <c r="AG1046" s="355" t="str">
        <f>IF(AC1046=TRUE, IF(COUNTIF(MSPara_SourceStreamCategory,V1046)=0,"",INDEX(MSPara_CalcFactorsMatrix,MATCH(V1046,MSPara_SourceStreamCategory,0),MATCH(AE1046&amp;"_"&amp;1,MSPara_CalcFactors,0))),"")</f>
        <v/>
      </c>
      <c r="AH1046" s="331" t="str">
        <f>IF(OR(AF1046="",AF1046=EUconst_NA),IF(OR(AG1046=EUconst_NA,AG1046=""),"",AG1046),AF1046)</f>
        <v/>
      </c>
      <c r="AI1046" s="350" t="str">
        <f>IF(AC1046=TRUE,IF(AH1046="",EUconst_t,AH1046),"")</f>
        <v/>
      </c>
      <c r="AJ1046" s="356" t="str">
        <f>IF(J1046="",AI1046,J1046)</f>
        <v/>
      </c>
      <c r="AK1046" s="357" t="b">
        <f>AND(E1040&lt;&gt;"",J1046&lt;&gt;"")</f>
        <v>0</v>
      </c>
      <c r="AL1046" s="326"/>
      <c r="AM1046" s="358" t="s">
        <v>147</v>
      </c>
      <c r="AN1046" s="359" t="str">
        <f>AJ1046</f>
        <v/>
      </c>
      <c r="AO1046" s="326"/>
      <c r="AP1046" s="326"/>
      <c r="AQ1046" s="349" t="str">
        <f>EUconst_CNTR_ActivityData&amp;EUconst_Value</f>
        <v>ActivityData_Value</v>
      </c>
      <c r="AR1046" s="336"/>
      <c r="AS1046" s="336"/>
      <c r="AT1046" s="331" t="b">
        <f>AND(AND(AH1046&lt;&gt;"",AJ1046&lt;&gt;""),AJ1046=AH1046)</f>
        <v>0</v>
      </c>
      <c r="AU1046" s="314"/>
      <c r="AV1046" s="331">
        <f>IF(Y1046=EUconst_NA,0,IF(COUNT(K1046:K1046)=0,0,IF(K1046="",#REF!,K1046)))</f>
        <v>0</v>
      </c>
      <c r="AW1046" s="360" t="b">
        <f>AND(AC1046=TRUE,OR(K1046&lt;&gt;"",AU1046=""))</f>
        <v>0</v>
      </c>
      <c r="AX1046" s="360" t="b">
        <f>AND(AC1046=TRUE,NOT(AW1046))</f>
        <v>0</v>
      </c>
      <c r="AY1046" s="314"/>
      <c r="AZ1046" s="314" t="s">
        <v>148</v>
      </c>
      <c r="BA1046" s="314" t="s">
        <v>149</v>
      </c>
      <c r="BB1046" s="360"/>
      <c r="BC1046" s="314" t="s">
        <v>150</v>
      </c>
      <c r="BD1046" s="314"/>
      <c r="BE1046" s="314"/>
      <c r="BF1046" s="361" t="s">
        <v>119</v>
      </c>
      <c r="BG1046" s="362" t="str">
        <f>IF(COUNTIF(AO1049:AO1050,TRUE)=0,"",BH1046*AV1057)</f>
        <v/>
      </c>
      <c r="BH1046" s="362" t="str">
        <f>IF(COUNTIF(AO1049:AO1050,TRUE)=0,"",AV1046*IF(AO1049,1,AV1048*AN1050)*AV1049-BH1048-BH1050-BH1052)</f>
        <v/>
      </c>
      <c r="BI1046" s="314"/>
      <c r="BJ1046" s="314"/>
      <c r="BK1046" s="314"/>
      <c r="BL1046" s="314"/>
      <c r="BM1046" s="314"/>
      <c r="BN1046" s="314"/>
      <c r="BO1046" s="314"/>
      <c r="BP1046" s="314"/>
      <c r="BQ1046" s="314"/>
      <c r="BR1046" s="314"/>
      <c r="BS1046" s="314"/>
      <c r="BT1046" s="314"/>
      <c r="BU1046" s="314"/>
      <c r="BV1046" s="314"/>
      <c r="BW1046" s="314"/>
      <c r="BX1046" s="314"/>
      <c r="BY1046" s="314"/>
      <c r="BZ1046" s="314"/>
      <c r="CA1046" s="314"/>
      <c r="CB1046" s="314"/>
      <c r="CC1046" s="314"/>
      <c r="CD1046" s="314"/>
      <c r="CE1046" s="314"/>
      <c r="CF1046" s="314"/>
      <c r="CG1046" s="314"/>
      <c r="CH1046" s="314"/>
      <c r="CI1046" s="314"/>
      <c r="CJ1046" s="314"/>
      <c r="CK1046" s="314"/>
      <c r="CL1046" s="314"/>
      <c r="CM1046" s="314"/>
      <c r="CN1046" s="314"/>
      <c r="CO1046" s="314"/>
      <c r="CP1046" s="314"/>
      <c r="CQ1046" s="360" t="b">
        <v>0</v>
      </c>
    </row>
    <row r="1047" spans="1:95" ht="5.15" customHeight="1" thickBot="1" x14ac:dyDescent="0.3">
      <c r="A1047" s="307"/>
      <c r="B1047" s="68"/>
      <c r="C1047" s="199"/>
      <c r="D1047" s="202"/>
      <c r="E1047" s="76"/>
      <c r="F1047" s="76"/>
      <c r="G1047" s="76"/>
      <c r="H1047" s="76" t="str">
        <f>Translations!$B$397</f>
        <v xml:space="preserve"> </v>
      </c>
      <c r="I1047" s="162"/>
      <c r="J1047" s="162"/>
      <c r="K1047" s="76"/>
      <c r="L1047" s="76"/>
      <c r="M1047" s="363"/>
      <c r="N1047" s="76"/>
      <c r="O1047" s="160"/>
      <c r="P1047" s="109"/>
      <c r="Q1047" s="312"/>
      <c r="R1047" s="312"/>
      <c r="S1047" s="314"/>
      <c r="T1047" s="62"/>
      <c r="U1047" s="312"/>
      <c r="V1047" s="314"/>
      <c r="W1047" s="314"/>
      <c r="X1047" s="312"/>
      <c r="Y1047" s="319"/>
      <c r="Z1047" s="314"/>
      <c r="AA1047" s="314"/>
      <c r="AB1047" s="314"/>
      <c r="AC1047" s="314"/>
      <c r="AD1047" s="314"/>
      <c r="AE1047" s="314"/>
      <c r="AF1047" s="314"/>
      <c r="AG1047" s="314"/>
      <c r="AH1047" s="314"/>
      <c r="AI1047" s="314"/>
      <c r="AJ1047" s="314"/>
      <c r="AK1047" s="314"/>
      <c r="AL1047" s="326"/>
      <c r="AM1047" s="326"/>
      <c r="AN1047" s="326"/>
      <c r="AO1047" s="326"/>
      <c r="AP1047" s="326"/>
      <c r="AQ1047" s="314"/>
      <c r="AR1047" s="314"/>
      <c r="AS1047" s="314"/>
      <c r="AT1047" s="314"/>
      <c r="AU1047" s="314"/>
      <c r="AV1047" s="314"/>
      <c r="AW1047" s="314"/>
      <c r="AX1047" s="314"/>
      <c r="AY1047" s="314"/>
      <c r="AZ1047" s="314"/>
      <c r="BA1047" s="314"/>
      <c r="BB1047" s="314"/>
      <c r="BC1047" s="314"/>
      <c r="BD1047" s="314"/>
      <c r="BE1047" s="314"/>
      <c r="BF1047" s="314"/>
      <c r="BG1047" s="364"/>
      <c r="BH1047" s="364"/>
      <c r="BI1047" s="314"/>
      <c r="BJ1047" s="314"/>
      <c r="BK1047" s="314"/>
      <c r="BL1047" s="314"/>
      <c r="BM1047" s="314"/>
      <c r="BN1047" s="314"/>
      <c r="BO1047" s="314"/>
      <c r="BP1047" s="314"/>
      <c r="BQ1047" s="314"/>
      <c r="BR1047" s="314"/>
      <c r="BS1047" s="314"/>
      <c r="BT1047" s="314"/>
      <c r="BU1047" s="314"/>
      <c r="BV1047" s="314"/>
      <c r="BW1047" s="314"/>
      <c r="BX1047" s="314"/>
      <c r="BY1047" s="314"/>
      <c r="BZ1047" s="314"/>
      <c r="CA1047" s="314"/>
      <c r="CB1047" s="314"/>
      <c r="CC1047" s="314"/>
      <c r="CD1047" s="314"/>
      <c r="CE1047" s="314"/>
      <c r="CF1047" s="314"/>
      <c r="CG1047" s="314"/>
      <c r="CH1047" s="314"/>
      <c r="CI1047" s="314"/>
      <c r="CJ1047" s="314"/>
      <c r="CK1047" s="314"/>
      <c r="CL1047" s="314"/>
      <c r="CM1047" s="314"/>
      <c r="CN1047" s="314"/>
      <c r="CO1047" s="314"/>
      <c r="CP1047" s="314"/>
      <c r="CQ1047" s="319"/>
    </row>
    <row r="1048" spans="1:95" ht="12.75" customHeight="1" x14ac:dyDescent="0.25">
      <c r="A1048" s="307"/>
      <c r="B1048" s="68"/>
      <c r="C1048" s="199" t="s">
        <v>13</v>
      </c>
      <c r="D1048" s="344" t="str">
        <f>Translations!$B$360</f>
        <v>UCF:</v>
      </c>
      <c r="E1048" s="345"/>
      <c r="F1048" s="10"/>
      <c r="G1048" s="1256" t="str">
        <f>IF(OR(ISBLANK(F1048),F1048=EUconst_NoTier),"",IF(Z1048=0,EUconst_NotApplicable,IF(ISERROR(Z1048),"",Z1048)))</f>
        <v/>
      </c>
      <c r="H1048" s="1257"/>
      <c r="I1048" s="365" t="str">
        <f>IF(J1048&lt;&gt;"","",AI1048)</f>
        <v/>
      </c>
      <c r="J1048" s="11"/>
      <c r="K1048" s="366" t="str">
        <f>IF(L1048="",AU1048,"")</f>
        <v/>
      </c>
      <c r="L1048" s="23"/>
      <c r="M1048" s="347" t="str">
        <f>IF(AND(E1041&lt;&gt;"",OR(F1048="",COUNT(K1048:L1048)=0),Y1048&lt;&gt;EUconst_NA),EUconst_ERR_Incomplete,IF(COUNTIF(BB1048:BD1048,TRUE)&gt;0,EUconst_ERR_Inconsistent,""))</f>
        <v/>
      </c>
      <c r="N1048" s="367"/>
      <c r="O1048" s="160"/>
      <c r="P1048" s="109"/>
      <c r="Q1048" s="312"/>
      <c r="R1048" s="312"/>
      <c r="S1048" s="314"/>
      <c r="T1048" s="368" t="str">
        <f>EUconst_CNTR_UCF&amp;E1041</f>
        <v>UCF_</v>
      </c>
      <c r="U1048" s="312"/>
      <c r="V1048" s="369" t="str">
        <f>V1049</f>
        <v/>
      </c>
      <c r="W1048" s="314"/>
      <c r="X1048" s="312"/>
      <c r="Y1048" s="370" t="str">
        <f>IF(E1041="","",IF(OR(F1048=EUconst_NA,W1048=TRUE),EUconst_NA,INDEX(EUwideConstants!$P$164:$P$200,MATCH(T1048,EUwideConstants!$S$164:$S$200,0))))</f>
        <v/>
      </c>
      <c r="Z1048" s="371" t="str">
        <f>IF(ISBLANK(F1048),"",IF(F1048=EUconst_NA,"",INDEX(EUwideConstants!$H:$O,MATCH(T1048,EUwideConstants!$S:$S,0),MATCH(F1048,CNTR_TierList,0))))</f>
        <v/>
      </c>
      <c r="AA1048" s="372" t="str">
        <f>IF(COUNTIF(EUconst_DefaultValues,Z1048)&gt;0,MATCH(Z1048,EUconst_DefaultValues,0),"")</f>
        <v/>
      </c>
      <c r="AB1048" s="314"/>
      <c r="AC1048" s="373" t="b">
        <f>AND(AC1046,Y1048&lt;&gt;EUconst_NA)</f>
        <v>0</v>
      </c>
      <c r="AD1048" s="314"/>
      <c r="AE1048" s="353" t="str">
        <f>EUconst_CNTR_UCF&amp;EUconst_Unit</f>
        <v>UCF_Unit</v>
      </c>
      <c r="AF1048" s="374" t="str">
        <f>IF(AC1048=TRUE, IF(COUNTIF(MSPara_SourceStreamCategory,V1048)=0,"",INDEX(MSPara_CalcFactorsMatrix,MATCH(V1048,MSPara_SourceStreamCategory,0),MATCH(AE1048&amp;"_"&amp;2,MSPara_CalcFactors,0))),"")</f>
        <v/>
      </c>
      <c r="AG1048" s="375" t="str">
        <f>IF(AC1048=TRUE, IF(COUNTIF(MSPara_SourceStreamCategory,V1048)=0,"",INDEX(MSPara_CalcFactorsMatrix,MATCH(V1048,MSPara_SourceStreamCategory,0),MATCH(AE1048&amp;"_"&amp;1,MSPara_CalcFactors,0))),"")</f>
        <v/>
      </c>
      <c r="AH1048" s="373" t="str">
        <f>IF(AA1048="","",INDEX(AF1048:AG1048,3-AA1048))</f>
        <v/>
      </c>
      <c r="AI1048" s="373" t="str">
        <f>IF(AC1048=TRUE,IF(OR(AH1048="",AH1048=EUconst_NA),EUconst_GJ&amp;"/"&amp;AJ1046,AH1048),"")</f>
        <v/>
      </c>
      <c r="AJ1048" s="373" t="str">
        <f>IF(J1048="",AI1048,J1048)</f>
        <v/>
      </c>
      <c r="AK1048" s="369" t="b">
        <f>AND(E1040&lt;&gt;"",J1048&lt;&gt;"")</f>
        <v>0</v>
      </c>
      <c r="AL1048" s="326"/>
      <c r="AM1048" s="358" t="s">
        <v>151</v>
      </c>
      <c r="AN1048" s="359" t="str">
        <f>IF(AJ1048="",EUconst_NA,IF(AN1046=EUconst_TJ,EUconst_TJ,INDEX(EUwideConstants!$C$135:$G$139,MATCH(AN1046,RFAUnits,0),MATCH(AJ1048,UCFUnits,0))))</f>
        <v>n.a.</v>
      </c>
      <c r="AO1048" s="326"/>
      <c r="AP1048" s="326"/>
      <c r="AQ1048" s="376" t="str">
        <f>EUconst_CNTR_UCF&amp;EUconst_Value</f>
        <v>UCF_Value</v>
      </c>
      <c r="AR1048" s="377" t="str">
        <f>IF(AC1048=TRUE,IF(COUNTIF(MSPara_SourceStreamCategory,V1048)=0,"",INDEX(MSPara_CalcFactorsMatrix,MATCH(V1048,MSPara_SourceStreamCategory,0),MATCH(AQ1048&amp;"_"&amp;2,MSPara_CalcFactors,0))),"")</f>
        <v/>
      </c>
      <c r="AS1048" s="378" t="str">
        <f>IF(AC1048=TRUE,IF(COUNTIF(MSPara_SourceStreamCategory,V1048)=0,"",INDEX(MSPara_CalcFactorsMatrix,MATCH(V1048,MSPara_SourceStreamCategory,0),MATCH(AQ1048&amp;"_"&amp;1,MSPara_CalcFactors,0))),"")</f>
        <v/>
      </c>
      <c r="AT1048" s="379" t="b">
        <f>AND(AND(AH1048&lt;&gt;"",AJ1048&lt;&gt;""),AJ1048=AH1048)</f>
        <v>0</v>
      </c>
      <c r="AU1048" s="380" t="str">
        <f>IF(AND(AA1048&lt;&gt;"",AT1048=TRUE),IF(OR(INDEX(AR1048:AS1048,3-AA1048)=EUconst_NA,INDEX(AR1048:AS1048,3-AA1048)=0),"",INDEX(AR1048:AS1048,3-AA1048)),"")</f>
        <v/>
      </c>
      <c r="AV1048" s="373">
        <f>IF(AC1048=TRUE,IF(COUNT(K1048:L1048)=0,0,IF(L1048="",K1048,L1048)),0)</f>
        <v>0</v>
      </c>
      <c r="AW1048" s="369" t="b">
        <f t="shared" ref="AW1048:AW1055" si="315">AND(AC1048=TRUE,OR(AND(F1048&lt;&gt;"",NOT(ISNUMBER(AA1048))),L1048&lt;&gt;"",F1048="",AU1048=""))</f>
        <v>0</v>
      </c>
      <c r="AX1048" s="381" t="b">
        <f t="shared" ref="AX1048:AX1055" si="316">AND(AC1048=TRUE,NOT(AW1048))</f>
        <v>0</v>
      </c>
      <c r="AY1048" s="314"/>
      <c r="AZ1048" s="382" t="b">
        <f t="shared" ref="AZ1048:AZ1055" si="317">AND(ISNUMBER(AA1048),AU1048="")</f>
        <v>0</v>
      </c>
      <c r="BA1048" s="383" t="b">
        <f t="shared" ref="BA1048:BA1055" si="318">AND(ISNUMBER(AA1048),AU1048&lt;&gt;AV1048)</f>
        <v>0</v>
      </c>
      <c r="BB1048" s="369" t="b">
        <f>AND(E1041&lt;&gt;"",F1048&lt;&gt;EUconst_NA,AN1048=EUconst_NA)</f>
        <v>0</v>
      </c>
      <c r="BC1048" s="369" t="b">
        <f t="shared" ref="BC1048:BC1055" si="319">AND(L1048&lt;&gt;"",Y1048=EUconst_NA)</f>
        <v>0</v>
      </c>
      <c r="BD1048" s="314"/>
      <c r="BE1048" s="314"/>
      <c r="BF1048" s="382" t="s">
        <v>152</v>
      </c>
      <c r="BG1048" s="384" t="str">
        <f>IF(COUNTIF(AO1049:AO1050,TRUE)=0,"",BH1048*AV1057)</f>
        <v/>
      </c>
      <c r="BH1048" s="384" t="str">
        <f>IF(COUNTIF(AO1049:AO1050,TRUE)=0,"",AV1046*IF(AO1049,1,AV1048*AN1050)*AV1049*AV1050)</f>
        <v/>
      </c>
      <c r="BI1048" s="314"/>
      <c r="BJ1048" s="314"/>
      <c r="BK1048" s="314"/>
      <c r="BL1048" s="314"/>
      <c r="BM1048" s="314"/>
      <c r="BN1048" s="314"/>
      <c r="BO1048" s="314"/>
      <c r="BP1048" s="314"/>
      <c r="BQ1048" s="314"/>
      <c r="BR1048" s="314"/>
      <c r="BS1048" s="314"/>
      <c r="BT1048" s="314"/>
      <c r="BU1048" s="314"/>
      <c r="BV1048" s="314"/>
      <c r="BW1048" s="314"/>
      <c r="BX1048" s="314"/>
      <c r="BY1048" s="314"/>
      <c r="BZ1048" s="314"/>
      <c r="CA1048" s="314"/>
      <c r="CB1048" s="314"/>
      <c r="CC1048" s="314"/>
      <c r="CD1048" s="314"/>
      <c r="CE1048" s="314"/>
      <c r="CF1048" s="314"/>
      <c r="CG1048" s="314"/>
      <c r="CH1048" s="314"/>
      <c r="CI1048" s="314"/>
      <c r="CJ1048" s="314"/>
      <c r="CK1048" s="314"/>
      <c r="CL1048" s="314"/>
      <c r="CM1048" s="314"/>
      <c r="CN1048" s="314"/>
      <c r="CO1048" s="314"/>
      <c r="CP1048" s="314"/>
      <c r="CQ1048" s="369" t="b">
        <f>OR(CQ1046,Y1048=EUconst_NA)</f>
        <v>0</v>
      </c>
    </row>
    <row r="1049" spans="1:95" ht="12.75" customHeight="1" thickBot="1" x14ac:dyDescent="0.3">
      <c r="A1049" s="307"/>
      <c r="B1049" s="68"/>
      <c r="C1049" s="199" t="s">
        <v>14</v>
      </c>
      <c r="D1049" s="344" t="str">
        <f>Translations!$B$358</f>
        <v>(prelim) EF:</v>
      </c>
      <c r="E1049" s="345"/>
      <c r="F1049" s="59"/>
      <c r="G1049" s="1256" t="str">
        <f>IF(OR(ISBLANK(F1049),F1049=EUconst_NoTier),"",IF(Z1049=0,EUconst_NotApplicable,IF(ISERROR(Z1049),"",Z1049)))</f>
        <v/>
      </c>
      <c r="H1049" s="1260"/>
      <c r="I1049" s="385" t="str">
        <f>IF(J1049&lt;&gt;"","",AI1049)</f>
        <v/>
      </c>
      <c r="J1049" s="22"/>
      <c r="K1049" s="386" t="str">
        <f>IF(L1049="",AU1049,"")</f>
        <v/>
      </c>
      <c r="L1049" s="58"/>
      <c r="M1049" s="347" t="str">
        <f>IF(AND(E1041&lt;&gt;"",OR(F1049="",COUNT(K1049:L1049)=0),Y1049&lt;&gt;EUconst_NA),EUconst_ERR_Incomplete,IF(COUNTIF(BB1049:BD1049,TRUE)&gt;0,EUconst_ERR_Inconsistent,""))</f>
        <v/>
      </c>
      <c r="N1049" s="387"/>
      <c r="O1049" s="160"/>
      <c r="P1049" s="109"/>
      <c r="Q1049" s="312"/>
      <c r="R1049" s="312"/>
      <c r="S1049" s="314"/>
      <c r="T1049" s="388" t="str">
        <f>EUconst_CNTR_EF&amp;E1041</f>
        <v>EF_</v>
      </c>
      <c r="U1049" s="312"/>
      <c r="V1049" s="389" t="str">
        <f>V1046</f>
        <v/>
      </c>
      <c r="W1049" s="314"/>
      <c r="X1049" s="312"/>
      <c r="Y1049" s="390" t="str">
        <f>IF(E1041="","",IF(OR(F1049=EUconst_NA,W1049=TRUE),EUconst_NA,INDEX(EUwideConstants!$P$164:$P$200,MATCH(T1049,EUwideConstants!$S$164:$S$200,0))))</f>
        <v/>
      </c>
      <c r="Z1049" s="391" t="str">
        <f>IF(ISBLANK(F1049),"",IF(F1049=EUconst_NA,"",INDEX(EUwideConstants!$H:$O,MATCH(T1049,EUwideConstants!$S:$S,0),MATCH(F1049,CNTR_TierList,0))))</f>
        <v/>
      </c>
      <c r="AA1049" s="392" t="str">
        <f>IF(COUNTIF(EUconst_DefaultValues,Z1049)&gt;0,MATCH(Z1049,EUconst_DefaultValues,0),"")</f>
        <v/>
      </c>
      <c r="AB1049" s="314"/>
      <c r="AC1049" s="393" t="b">
        <f>AND(AC1046,Y1049&lt;&gt;EUconst_NA)</f>
        <v>0</v>
      </c>
      <c r="AD1049" s="314"/>
      <c r="AE1049" s="394" t="str">
        <f>EUconst_CNTR_EF&amp;EUconst_Unit</f>
        <v>EF_Unit</v>
      </c>
      <c r="AF1049" s="395" t="str">
        <f>IF(AC1049=TRUE, IF(COUNTIF(MSPara_SourceStreamCategory,V1049)=0,"",INDEX(MSPara_CalcFactorsMatrix,MATCH(V1049,MSPara_SourceStreamCategory,0),MATCH(AE1049&amp;"_"&amp;2,MSPara_CalcFactors,0))),"")</f>
        <v/>
      </c>
      <c r="AG1049" s="396" t="str">
        <f>IF(AC1049=TRUE, IF(COUNTIF(MSPara_SourceStreamCategory,V1049)=0,"",INDEX(MSPara_CalcFactorsMatrix,MATCH(V1049,MSPara_SourceStreamCategory,0),MATCH(AE1049&amp;"_"&amp;1,MSPara_CalcFactors,0))),"")</f>
        <v/>
      </c>
      <c r="AH1049" s="397" t="str">
        <f>IF(AA1049="","",INDEX(AF1049:AG1049,3-AA1049))</f>
        <v/>
      </c>
      <c r="AI1049" s="397" t="str">
        <f>IF(AC1049=TRUE,IF(OR(AH1049="",AH1049=EUconst_NA),EUconst_tCO2&amp;"/"&amp;IF(AN1048=EUconst_NA,AN1046,IF(AN1048=EUconst_GJ,EUconst_TJ,AN1048)),AH1049),"")</f>
        <v/>
      </c>
      <c r="AJ1049" s="397" t="str">
        <f>IF(J1049="",AI1049,J1049)</f>
        <v/>
      </c>
      <c r="AK1049" s="398" t="b">
        <f>AND(E1041&lt;&gt;"",J1049&lt;&gt;"")</f>
        <v>0</v>
      </c>
      <c r="AL1049" s="326"/>
      <c r="AM1049" s="358" t="s">
        <v>153</v>
      </c>
      <c r="AN1049" s="359" t="str">
        <f>IF(COUNTIF(RFAUnits,AN1046)=0,EUconst_NA,INDEX(EUwideConstants!$C$150:$H$154,MATCH(AJ1049,EFUnits,0),MATCH(AN1046,EUwideConstants!$C$149:$H$149,0)))</f>
        <v>n.a.</v>
      </c>
      <c r="AO1049" s="359" t="b">
        <f>AN1049&lt;&gt;EUconst_NA</f>
        <v>0</v>
      </c>
      <c r="AP1049" s="326"/>
      <c r="AQ1049" s="399" t="str">
        <f>EUconst_CNTR_EF&amp;EUconst_Value</f>
        <v>EF_Value</v>
      </c>
      <c r="AR1049" s="400" t="str">
        <f>IF(AC1049=TRUE,IF(COUNTIF(MSPara_SourceStreamCategory,V1049)=0,"",INDEX(MSPara_CalcFactorsMatrix,MATCH(V1049,MSPara_SourceStreamCategory,0),MATCH(AQ1049&amp;"_"&amp;2,MSPara_CalcFactors,0))),"")</f>
        <v/>
      </c>
      <c r="AS1049" s="401" t="str">
        <f>IF(AC1049=TRUE,IF(COUNTIF(MSPara_SourceStreamCategory,V1049)=0,"",INDEX(MSPara_CalcFactorsMatrix,MATCH(V1049,MSPara_SourceStreamCategory,0),MATCH(AQ1049&amp;"_"&amp;1,MSPara_CalcFactors,0))),"")</f>
        <v/>
      </c>
      <c r="AT1049" s="402" t="b">
        <f>AND(AND(AH1049&lt;&gt;"",AJ1049&lt;&gt;""),AJ1049=AH1049)</f>
        <v>0</v>
      </c>
      <c r="AU1049" s="403" t="str">
        <f>IF(AND(AA1049&lt;&gt;"",AT1049=TRUE),IF(OR(INDEX(AR1049:AS1049,3-AA1049)=EUconst_NA,INDEX(AR1049:AS1049,3-AA1049)=0),"",INDEX(AR1049:AS1049,3-AA1049)),"")</f>
        <v/>
      </c>
      <c r="AV1049" s="393">
        <f>IF(AC1049=TRUE,IF(COUNT(K1049:L1049)=0,0,IF(L1049="",K1049,L1049)),0)</f>
        <v>0</v>
      </c>
      <c r="AW1049" s="389" t="b">
        <f t="shared" si="315"/>
        <v>0</v>
      </c>
      <c r="AX1049" s="404" t="b">
        <f t="shared" si="316"/>
        <v>0</v>
      </c>
      <c r="AY1049" s="314"/>
      <c r="AZ1049" s="405" t="b">
        <f t="shared" si="317"/>
        <v>0</v>
      </c>
      <c r="BA1049" s="406" t="b">
        <f t="shared" si="318"/>
        <v>0</v>
      </c>
      <c r="BB1049" s="407" t="b">
        <f>AND(E1041&lt;&gt;"",COUNTIF(AO1049:AO1050,TRUE)=0)</f>
        <v>0</v>
      </c>
      <c r="BC1049" s="389" t="b">
        <f t="shared" si="319"/>
        <v>0</v>
      </c>
      <c r="BD1049" s="314"/>
      <c r="BE1049" s="314"/>
      <c r="BF1049" s="408" t="s">
        <v>154</v>
      </c>
      <c r="BG1049" s="409" t="str">
        <f>IF(COUNTIF(AO1049:AO1050,TRUE)=0,"",BH1049*AV1057)</f>
        <v/>
      </c>
      <c r="BH1049" s="409" t="str">
        <f>IF(COUNTIF(AO1049:AO1050,TRUE)=0,"",AV1046*IF(AO1049,1,AV1048*AN1050)*AV1049*AV1051)</f>
        <v/>
      </c>
      <c r="BI1049" s="314"/>
      <c r="BJ1049" s="314"/>
      <c r="BK1049" s="314"/>
      <c r="BL1049" s="314"/>
      <c r="BM1049" s="314"/>
      <c r="BN1049" s="314"/>
      <c r="BO1049" s="314"/>
      <c r="BP1049" s="314"/>
      <c r="BQ1049" s="314"/>
      <c r="BR1049" s="314"/>
      <c r="BS1049" s="314"/>
      <c r="BT1049" s="314"/>
      <c r="BU1049" s="314"/>
      <c r="BV1049" s="314"/>
      <c r="BW1049" s="314"/>
      <c r="BX1049" s="314"/>
      <c r="BY1049" s="314"/>
      <c r="BZ1049" s="314"/>
      <c r="CA1049" s="314"/>
      <c r="CB1049" s="314"/>
      <c r="CC1049" s="314"/>
      <c r="CD1049" s="314"/>
      <c r="CE1049" s="314"/>
      <c r="CF1049" s="314"/>
      <c r="CG1049" s="314"/>
      <c r="CH1049" s="314"/>
      <c r="CI1049" s="314"/>
      <c r="CJ1049" s="314"/>
      <c r="CK1049" s="314"/>
      <c r="CL1049" s="314"/>
      <c r="CM1049" s="314"/>
      <c r="CN1049" s="314"/>
      <c r="CO1049" s="314"/>
      <c r="CP1049" s="314"/>
      <c r="CQ1049" s="407" t="b">
        <f>OR(CQ1046,Y1049=EUconst_NA)</f>
        <v>0</v>
      </c>
    </row>
    <row r="1050" spans="1:95" ht="12.75" customHeight="1" x14ac:dyDescent="0.25">
      <c r="A1050" s="307"/>
      <c r="B1050" s="68"/>
      <c r="C1050" s="199" t="s">
        <v>15</v>
      </c>
      <c r="D1050" s="344" t="str">
        <f>Translations!$B$362</f>
        <v>BioF:</v>
      </c>
      <c r="E1050" s="345"/>
      <c r="F1050" s="10"/>
      <c r="G1050" s="1256" t="str">
        <f>IF(OR(ISBLANK(F1050),F1050=EUconst_NoTier),"",IF(Z1050=0,EUconst_NotApplicable,IF(ISERROR(Z1050),"",Z1050)))</f>
        <v/>
      </c>
      <c r="H1050" s="1257"/>
      <c r="I1050" s="410" t="str">
        <f t="shared" ref="I1050:I1055" si="320">IF(OR(AC1050=FALSE,Y1050=EUconst_NA),"","-")</f>
        <v/>
      </c>
      <c r="J1050" s="411"/>
      <c r="K1050" s="412" t="str">
        <f>IF(L1050="",AU1050,"")</f>
        <v/>
      </c>
      <c r="L1050" s="60"/>
      <c r="M1050" s="347" t="str">
        <f>IF(AND(E1041&lt;&gt;"",OR(F1050="",COUNT(K1050:L1050)=0),Y1050&lt;&gt;EUconst_NA),EUconst_ERR_Incomplete,IF(COUNTIF(BB1050:BD1050,TRUE)&gt;0,EUconst_ERR_Inconsistent,""))</f>
        <v/>
      </c>
      <c r="O1050" s="160"/>
      <c r="P1050" s="348"/>
      <c r="Q1050" s="413"/>
      <c r="R1050" s="413"/>
      <c r="S1050" s="314"/>
      <c r="T1050" s="388" t="str">
        <f>EUconst_CNTR_BiomassContent&amp;E1041</f>
        <v>BioC_</v>
      </c>
      <c r="U1050" s="312"/>
      <c r="V1050" s="369" t="str">
        <f>V1048</f>
        <v/>
      </c>
      <c r="W1050" s="369" t="str">
        <f>IF(OR(V1050="",COUNTIF(MSPara_SourceStreamCategory,V1050)=0),"",INDEX(MSPara_IsFossil,MATCH(V1050,MSPara_SourceStreamCategory,0)))</f>
        <v/>
      </c>
      <c r="X1050" s="312"/>
      <c r="Y1050" s="370" t="str">
        <f>IF(E1041="","",IF(OR(F1050=EUconst_NA,W1050=TRUE),EUconst_NA,INDEX(EUwideConstants!$P$164:$P$200,MATCH(T1050,EUwideConstants!$S$164:$S$200,0))))</f>
        <v/>
      </c>
      <c r="Z1050" s="371" t="str">
        <f>IF(ISBLANK(F1050),"",IF(F1050=EUconst_NA,"",INDEX(EUwideConstants!$H:$O,MATCH(T1050,EUwideConstants!$S:$S,0),MATCH(F1050,CNTR_TierList,0))))</f>
        <v/>
      </c>
      <c r="AA1050" s="414" t="str">
        <f>IF(F1050=1,1,"")</f>
        <v/>
      </c>
      <c r="AB1050" s="314"/>
      <c r="AC1050" s="373" t="b">
        <f>AND(AC1046,Y1050&lt;&gt;EUconst_NA)</f>
        <v>0</v>
      </c>
      <c r="AD1050" s="314"/>
      <c r="AE1050" s="415"/>
      <c r="AF1050" s="416"/>
      <c r="AG1050" s="417"/>
      <c r="AH1050" s="418"/>
      <c r="AI1050" s="418"/>
      <c r="AJ1050" s="418"/>
      <c r="AK1050" s="419"/>
      <c r="AL1050" s="326"/>
      <c r="AM1050" s="358" t="s">
        <v>155</v>
      </c>
      <c r="AN1050" s="359" t="str">
        <f>IF(AN1048=EUconst_NA,EUconst_NA,INDEX(EUwideConstants!$C$150:$H$154,MATCH(AJ1049,EFUnits,0),MATCH(AN1048,EUwideConstants!$C$149:$H$149,0)))</f>
        <v>n.a.</v>
      </c>
      <c r="AO1050" s="359" t="b">
        <f>AN1050&lt;&gt;EUconst_NA</f>
        <v>0</v>
      </c>
      <c r="AP1050" s="326"/>
      <c r="AQ1050" s="376" t="str">
        <f>EUconst_CNTR_BiomassContent&amp;EUconst_Value</f>
        <v>BioC_Value</v>
      </c>
      <c r="AR1050" s="420"/>
      <c r="AS1050" s="378" t="str">
        <f t="shared" ref="AS1050:AS1055" si="321">IF(AC1050=TRUE,IF(COUNTIF(MSPara_SourceStreamCategory,V1050)=0,"",INDEX(MSPara_CalcFactorsMatrix,MATCH(V1050,MSPara_SourceStreamCategory,0),MATCH(AQ1050&amp;"_"&amp;2,MSPara_CalcFactors,0))),"")</f>
        <v/>
      </c>
      <c r="AT1050" s="421"/>
      <c r="AU1050" s="380" t="str">
        <f t="shared" ref="AU1050:AU1055" si="322">IF(OR(AA1050="",AS1050=EUconst_NA),"",AS1050)</f>
        <v/>
      </c>
      <c r="AV1050" s="373">
        <f>IF(AC1050=TRUE,IF(COUNT(K1050:L1050)=0,0,IF(L1050="",K1050,L1050)),0)</f>
        <v>0</v>
      </c>
      <c r="AW1050" s="369" t="b">
        <f t="shared" si="315"/>
        <v>0</v>
      </c>
      <c r="AX1050" s="381" t="b">
        <f t="shared" si="316"/>
        <v>0</v>
      </c>
      <c r="AY1050" s="314"/>
      <c r="AZ1050" s="382" t="b">
        <f t="shared" si="317"/>
        <v>0</v>
      </c>
      <c r="BA1050" s="383" t="b">
        <f t="shared" si="318"/>
        <v>0</v>
      </c>
      <c r="BB1050" s="314"/>
      <c r="BC1050" s="369" t="b">
        <f t="shared" si="319"/>
        <v>0</v>
      </c>
      <c r="BD1050" s="369" t="b">
        <f>OR(AV1050&gt;100%,(AV1050+AV1051)&gt;100%)</f>
        <v>0</v>
      </c>
      <c r="BE1050" s="314"/>
      <c r="BF1050" s="382" t="s">
        <v>156</v>
      </c>
      <c r="BG1050" s="384" t="str">
        <f>IF(COUNTIF(AO1049:AO1050,TRUE)=0,"",BH1050*AV1057)</f>
        <v/>
      </c>
      <c r="BH1050" s="384" t="str">
        <f>IF(COUNTIF(AO1049:AO1050,TRUE)=0,"",AV1046*IF(AO1049,1,AV1048*AN1050)*AV1049*AV1052)</f>
        <v/>
      </c>
      <c r="BJ1050" s="314"/>
      <c r="BK1050" s="314"/>
      <c r="BL1050" s="314"/>
      <c r="BM1050" s="314"/>
      <c r="BN1050" s="314"/>
      <c r="BO1050" s="314"/>
      <c r="BP1050" s="314"/>
      <c r="BQ1050" s="314"/>
      <c r="BR1050" s="314"/>
      <c r="BS1050" s="314"/>
      <c r="BT1050" s="314"/>
      <c r="BU1050" s="314"/>
      <c r="BV1050" s="314"/>
      <c r="BW1050" s="314"/>
      <c r="BX1050" s="314"/>
      <c r="BY1050" s="314"/>
      <c r="BZ1050" s="314"/>
      <c r="CA1050" s="314"/>
      <c r="CB1050" s="314"/>
      <c r="CC1050" s="314"/>
      <c r="CD1050" s="314"/>
      <c r="CE1050" s="314"/>
      <c r="CF1050" s="314"/>
      <c r="CG1050" s="314"/>
      <c r="CH1050" s="314"/>
      <c r="CI1050" s="314"/>
      <c r="CJ1050" s="314"/>
      <c r="CK1050" s="314"/>
      <c r="CL1050" s="314"/>
      <c r="CM1050" s="314"/>
      <c r="CN1050" s="314"/>
      <c r="CO1050" s="314"/>
      <c r="CP1050" s="314"/>
      <c r="CQ1050" s="369" t="b">
        <f>OR(CQ1046,Y1050=EUconst_NA)</f>
        <v>0</v>
      </c>
    </row>
    <row r="1051" spans="1:95" ht="12.75" customHeight="1" thickBot="1" x14ac:dyDescent="0.3">
      <c r="A1051" s="307"/>
      <c r="B1051" s="68"/>
      <c r="C1051" s="199" t="s">
        <v>16</v>
      </c>
      <c r="D1051" s="344" t="str">
        <f>Translations!$B$368</f>
        <v>non-sust. BioF:</v>
      </c>
      <c r="E1051" s="345"/>
      <c r="F1051" s="20"/>
      <c r="G1051" s="1256" t="str">
        <f>IF(OR(ISBLANK(F1051),F1051=EUconst_NoTier),"",IF(Z1051=0,EUconst_NotApplicable,IF(ISERROR(Z1051),"",Z1051)))</f>
        <v/>
      </c>
      <c r="H1051" s="1257"/>
      <c r="I1051" s="422" t="str">
        <f t="shared" si="320"/>
        <v/>
      </c>
      <c r="J1051" s="423"/>
      <c r="K1051" s="424" t="str">
        <f>IF(L1051="",AU1051,"")</f>
        <v/>
      </c>
      <c r="L1051" s="21"/>
      <c r="M1051" s="347" t="str">
        <f>IF(AND(E1041&lt;&gt;"",OR(F1051="",COUNT(K1051:L1051)=0),Y1051&lt;&gt;EUconst_NA),EUconst_ERR_Incomplete,IF(COUNTIF(BB1051:BD1051,TRUE)&gt;0,EUconst_ERR_Inconsistent,""))</f>
        <v/>
      </c>
      <c r="N1051" s="76"/>
      <c r="O1051" s="160"/>
      <c r="P1051" s="348"/>
      <c r="Q1051" s="413"/>
      <c r="R1051" s="413"/>
      <c r="S1051" s="314"/>
      <c r="T1051" s="425" t="str">
        <f>EUconst_CNTR_BiomassContent&amp;E1041</f>
        <v>BioC_</v>
      </c>
      <c r="U1051" s="312"/>
      <c r="V1051" s="407" t="str">
        <f>V1050</f>
        <v/>
      </c>
      <c r="W1051" s="407" t="str">
        <f>IF(OR(V1050="",COUNTIF(MSPara_SourceStreamCategory,V1051)=0),"",INDEX(MSPara_IsFossil,MATCH(V1051,MSPara_SourceStreamCategory,0)))</f>
        <v/>
      </c>
      <c r="X1051" s="312"/>
      <c r="Y1051" s="426" t="str">
        <f>IF(E1041="","",IF(OR(F1051=EUconst_NA,W1051=TRUE),EUconst_NA,INDEX(EUwideConstants!$P$164:$P$200,MATCH(T1051,EUwideConstants!$S$164:$S$200,0))))</f>
        <v/>
      </c>
      <c r="Z1051" s="427" t="str">
        <f>IF(ISBLANK(F1051),"",IF(F1051=EUconst_NA,"",INDEX(EUwideConstants!$H:$O,MATCH(T1051,EUwideConstants!$S:$S,0),MATCH(F1051,CNTR_TierList,0))))</f>
        <v/>
      </c>
      <c r="AA1051" s="428" t="str">
        <f>IF(F1051=1,1,"")</f>
        <v/>
      </c>
      <c r="AB1051" s="314"/>
      <c r="AC1051" s="429" t="b">
        <f>AND(AC1046,Y1051&lt;&gt;EUconst_NA)</f>
        <v>0</v>
      </c>
      <c r="AD1051" s="314"/>
      <c r="AE1051" s="430"/>
      <c r="AF1051" s="431"/>
      <c r="AG1051" s="432"/>
      <c r="AH1051" s="433"/>
      <c r="AI1051" s="433"/>
      <c r="AJ1051" s="433"/>
      <c r="AK1051" s="434"/>
      <c r="AL1051" s="326"/>
      <c r="AM1051" s="326"/>
      <c r="AN1051" s="326"/>
      <c r="AO1051" s="326"/>
      <c r="AP1051" s="326"/>
      <c r="AQ1051" s="435" t="str">
        <f>EUconst_CNTR_BiomassContent&amp;EUconst_Value</f>
        <v>BioC_Value</v>
      </c>
      <c r="AR1051" s="430"/>
      <c r="AS1051" s="436" t="str">
        <f t="shared" si="321"/>
        <v/>
      </c>
      <c r="AT1051" s="437"/>
      <c r="AU1051" s="438" t="str">
        <f t="shared" si="322"/>
        <v/>
      </c>
      <c r="AV1051" s="429">
        <f>IF(AC1051=TRUE,IF(COUNT(K1051:L1051)=0,0,IF(L1051="",K1051,L1051)),0)</f>
        <v>0</v>
      </c>
      <c r="AW1051" s="407" t="b">
        <f t="shared" si="315"/>
        <v>0</v>
      </c>
      <c r="AX1051" s="439" t="b">
        <f t="shared" si="316"/>
        <v>0</v>
      </c>
      <c r="AY1051" s="314"/>
      <c r="AZ1051" s="408" t="b">
        <f t="shared" si="317"/>
        <v>0</v>
      </c>
      <c r="BA1051" s="440" t="b">
        <f t="shared" si="318"/>
        <v>0</v>
      </c>
      <c r="BB1051" s="314"/>
      <c r="BC1051" s="407" t="b">
        <f t="shared" si="319"/>
        <v>0</v>
      </c>
      <c r="BD1051" s="407" t="b">
        <f>OR(AV1050&gt;100%,(AV1050+AV1051)&gt;100%)</f>
        <v>0</v>
      </c>
      <c r="BE1051" s="314"/>
      <c r="BF1051" s="408" t="s">
        <v>157</v>
      </c>
      <c r="BG1051" s="409" t="str">
        <f>IF(COUNTIF(AO1049:AO1050,TRUE)=0,"",BH1051*AV1057)</f>
        <v/>
      </c>
      <c r="BH1051" s="409" t="str">
        <f>IF(COUNTIF(AO1049:AO1050,TRUE)=0,"",AV1046*IF(AO1049,1,AV1048*AN1050)*AV1049*AV1053)</f>
        <v/>
      </c>
      <c r="BJ1051" s="314"/>
      <c r="BK1051" s="314"/>
      <c r="BL1051" s="314"/>
      <c r="BM1051" s="314"/>
      <c r="BN1051" s="314"/>
      <c r="BO1051" s="314"/>
      <c r="BP1051" s="314"/>
      <c r="BQ1051" s="314"/>
      <c r="BR1051" s="314"/>
      <c r="BS1051" s="314"/>
      <c r="BT1051" s="314"/>
      <c r="BU1051" s="314"/>
      <c r="BV1051" s="314"/>
      <c r="BW1051" s="314"/>
      <c r="BX1051" s="314"/>
      <c r="BY1051" s="314"/>
      <c r="BZ1051" s="314"/>
      <c r="CA1051" s="314"/>
      <c r="CB1051" s="314"/>
      <c r="CC1051" s="314"/>
      <c r="CD1051" s="314"/>
      <c r="CE1051" s="314"/>
      <c r="CF1051" s="314"/>
      <c r="CG1051" s="314"/>
      <c r="CH1051" s="314"/>
      <c r="CI1051" s="314"/>
      <c r="CJ1051" s="314"/>
      <c r="CK1051" s="314"/>
      <c r="CL1051" s="314"/>
      <c r="CM1051" s="314"/>
      <c r="CN1051" s="314"/>
      <c r="CO1051" s="314"/>
      <c r="CP1051" s="314"/>
      <c r="CQ1051" s="407" t="b">
        <f>OR(CQ1046,Y1051=EUconst_NA)</f>
        <v>0</v>
      </c>
    </row>
    <row r="1052" spans="1:95" ht="12.75" customHeight="1" thickBot="1" x14ac:dyDescent="0.3">
      <c r="A1052" s="307"/>
      <c r="B1052" s="68"/>
      <c r="C1052" s="199" t="s">
        <v>17</v>
      </c>
      <c r="D1052" s="344" t="str">
        <f>Translations!$B$610</f>
        <v>sust. RFNBO/RCF:</v>
      </c>
      <c r="E1052" s="441"/>
      <c r="F1052" s="19" t="s">
        <v>158</v>
      </c>
      <c r="G1052" s="1261"/>
      <c r="H1052" s="1262"/>
      <c r="I1052" s="442" t="str">
        <f t="shared" si="320"/>
        <v/>
      </c>
      <c r="J1052" s="411"/>
      <c r="K1052" s="443"/>
      <c r="L1052" s="55"/>
      <c r="M1052" s="347" t="str">
        <f>IF(AND(E1041&lt;&gt;"",OR(F1052="",COUNT(L1052)=0),Y1052&lt;&gt;EUconst_NA),EUconst_ERR_Incomplete,"")</f>
        <v/>
      </c>
      <c r="N1052" s="76"/>
      <c r="O1052" s="160"/>
      <c r="P1052" s="348"/>
      <c r="Q1052" s="413"/>
      <c r="R1052" s="413"/>
      <c r="S1052" s="314"/>
      <c r="T1052" s="388" t="str">
        <f>EUconst_CNTR_RFNBOetcContent&amp;E1041</f>
        <v>RNFBOC_</v>
      </c>
      <c r="U1052" s="312"/>
      <c r="V1052" s="312"/>
      <c r="W1052" s="312"/>
      <c r="X1052" s="312"/>
      <c r="Y1052" s="380" t="str">
        <f>IF(E1041="","",IF(OR(F1052=EUconst_NA,W1052=TRUE),EUconst_NA,INDEX(EUwideConstants!$P$164:$P$200,MATCH(T1052,EUwideConstants!$S$164:$S$200,0))))</f>
        <v/>
      </c>
      <c r="Z1052" s="314"/>
      <c r="AA1052" s="314"/>
      <c r="AB1052" s="314"/>
      <c r="AC1052" s="397" t="b">
        <f>AND(AC1048,Y1052&lt;&gt;EUconst_NA)</f>
        <v>0</v>
      </c>
      <c r="AD1052" s="314"/>
      <c r="AE1052" s="415"/>
      <c r="AF1052" s="416"/>
      <c r="AG1052" s="417"/>
      <c r="AH1052" s="418"/>
      <c r="AI1052" s="418"/>
      <c r="AJ1052" s="418"/>
      <c r="AK1052" s="419"/>
      <c r="AL1052" s="326"/>
      <c r="AM1052" s="326"/>
      <c r="AN1052" s="326"/>
      <c r="AO1052" s="326"/>
      <c r="AP1052" s="326"/>
      <c r="AQ1052" s="444" t="s">
        <v>159</v>
      </c>
      <c r="AR1052" s="415"/>
      <c r="AS1052" s="445" t="str">
        <f t="shared" si="321"/>
        <v/>
      </c>
      <c r="AT1052" s="446"/>
      <c r="AU1052" s="447" t="str">
        <f t="shared" si="322"/>
        <v/>
      </c>
      <c r="AV1052" s="397">
        <f>IF(L1052&lt;&gt;0,L1052,L1052)</f>
        <v>0</v>
      </c>
      <c r="AW1052" s="398" t="b">
        <f t="shared" si="315"/>
        <v>0</v>
      </c>
      <c r="AX1052" s="448" t="b">
        <f t="shared" si="316"/>
        <v>0</v>
      </c>
      <c r="AY1052" s="314"/>
      <c r="AZ1052" s="449" t="b">
        <f t="shared" si="317"/>
        <v>0</v>
      </c>
      <c r="BA1052" s="450" t="b">
        <f t="shared" si="318"/>
        <v>0</v>
      </c>
      <c r="BB1052" s="314"/>
      <c r="BC1052" s="398" t="b">
        <f t="shared" si="319"/>
        <v>0</v>
      </c>
      <c r="BD1052" s="369" t="b">
        <f>OR(AV1052&gt;100%,(AV1052+AV1053)&gt;100%)</f>
        <v>0</v>
      </c>
      <c r="BE1052" s="314"/>
      <c r="BF1052" s="451" t="s">
        <v>160</v>
      </c>
      <c r="BG1052" s="452" t="str">
        <f>IF(COUNTIF(AO1049:AO1050,TRUE)=0,"",BH1052*AV1057)</f>
        <v/>
      </c>
      <c r="BH1052" s="452" t="str">
        <f>IF(COUNTIF(AO1049:AO1050,TRUE)=0,"",AV1046*IF(AO1049,1,AV1048*AN1050)*AV1049*AV1054)</f>
        <v/>
      </c>
      <c r="BJ1052" s="314"/>
      <c r="BK1052" s="314"/>
      <c r="BL1052" s="314"/>
      <c r="BM1052" s="314"/>
      <c r="BN1052" s="314"/>
      <c r="BO1052" s="314"/>
      <c r="BP1052" s="314"/>
      <c r="BQ1052" s="314"/>
      <c r="BR1052" s="314"/>
      <c r="BS1052" s="314"/>
      <c r="BT1052" s="314"/>
      <c r="BU1052" s="314"/>
      <c r="BV1052" s="314"/>
      <c r="BW1052" s="314"/>
      <c r="BX1052" s="314"/>
      <c r="BY1052" s="314"/>
      <c r="BZ1052" s="314"/>
      <c r="CA1052" s="314"/>
      <c r="CB1052" s="314"/>
      <c r="CC1052" s="314"/>
      <c r="CD1052" s="314"/>
      <c r="CE1052" s="314"/>
      <c r="CF1052" s="314"/>
      <c r="CG1052" s="314"/>
      <c r="CH1052" s="314"/>
      <c r="CI1052" s="314"/>
      <c r="CJ1052" s="314"/>
      <c r="CK1052" s="314"/>
      <c r="CL1052" s="314"/>
      <c r="CM1052" s="314"/>
      <c r="CN1052" s="314"/>
      <c r="CO1052" s="314"/>
      <c r="CP1052" s="314"/>
      <c r="CQ1052" s="407" t="b">
        <f>OR(CQ1046,Y1052=EUconst_NA)</f>
        <v>0</v>
      </c>
    </row>
    <row r="1053" spans="1:95" ht="12.75" customHeight="1" thickBot="1" x14ac:dyDescent="0.3">
      <c r="A1053" s="307"/>
      <c r="B1053" s="68"/>
      <c r="C1053" s="199" t="s">
        <v>161</v>
      </c>
      <c r="D1053" s="344" t="str">
        <f>Translations!$B$613</f>
        <v>non-sust. RFNBO/RCF:</v>
      </c>
      <c r="E1053" s="441"/>
      <c r="F1053" s="20" t="s">
        <v>158</v>
      </c>
      <c r="G1053" s="1261"/>
      <c r="H1053" s="1262"/>
      <c r="I1053" s="422" t="str">
        <f t="shared" si="320"/>
        <v/>
      </c>
      <c r="J1053" s="423"/>
      <c r="K1053" s="443"/>
      <c r="L1053" s="56"/>
      <c r="M1053" s="347" t="str">
        <f>IF(AND(E1041&lt;&gt;"",OR(F1053="",COUNT(L1053)=0),Y1053&lt;&gt;EUconst_NA),EUconst_ERR_Incomplete,"")</f>
        <v/>
      </c>
      <c r="N1053" s="76"/>
      <c r="O1053" s="160"/>
      <c r="P1053" s="348"/>
      <c r="Q1053" s="413"/>
      <c r="R1053" s="413"/>
      <c r="S1053" s="314"/>
      <c r="T1053" s="425" t="str">
        <f>EUconst_CNTR_RFNBOetcContent&amp;E1041</f>
        <v>RNFBOC_</v>
      </c>
      <c r="U1053" s="312"/>
      <c r="V1053" s="312"/>
      <c r="W1053" s="312"/>
      <c r="X1053" s="312"/>
      <c r="Y1053" s="438" t="str">
        <f>IF(E1041="","",IF(OR(F1053=EUconst_NA,W1053=TRUE),EUconst_NA,INDEX(EUwideConstants!$P$164:$P$200,MATCH(T1053,EUwideConstants!$S$164:$S$200,0))))</f>
        <v/>
      </c>
      <c r="Z1053" s="314"/>
      <c r="AA1053" s="314"/>
      <c r="AB1053" s="314"/>
      <c r="AC1053" s="429" t="b">
        <f>AND(AC1048,Y1053&lt;&gt;EUconst_NA)</f>
        <v>0</v>
      </c>
      <c r="AD1053" s="314"/>
      <c r="AE1053" s="430"/>
      <c r="AF1053" s="431"/>
      <c r="AG1053" s="432"/>
      <c r="AH1053" s="433"/>
      <c r="AI1053" s="433"/>
      <c r="AJ1053" s="433"/>
      <c r="AK1053" s="434"/>
      <c r="AL1053" s="326"/>
      <c r="AM1053" s="326"/>
      <c r="AN1053" s="326"/>
      <c r="AO1053" s="326"/>
      <c r="AP1053" s="326"/>
      <c r="AQ1053" s="435" t="s">
        <v>159</v>
      </c>
      <c r="AR1053" s="430"/>
      <c r="AS1053" s="436" t="str">
        <f t="shared" si="321"/>
        <v/>
      </c>
      <c r="AT1053" s="437"/>
      <c r="AU1053" s="438" t="str">
        <f t="shared" si="322"/>
        <v/>
      </c>
      <c r="AV1053" s="429">
        <f t="shared" ref="AV1053:AV1055" si="323">IF(L1053&lt;&gt;0,L1053,L1053)</f>
        <v>0</v>
      </c>
      <c r="AW1053" s="407" t="b">
        <f t="shared" si="315"/>
        <v>0</v>
      </c>
      <c r="AX1053" s="439" t="b">
        <f t="shared" si="316"/>
        <v>0</v>
      </c>
      <c r="AY1053" s="314"/>
      <c r="AZ1053" s="408" t="b">
        <f t="shared" si="317"/>
        <v>0</v>
      </c>
      <c r="BA1053" s="440" t="b">
        <f t="shared" si="318"/>
        <v>0</v>
      </c>
      <c r="BB1053" s="314"/>
      <c r="BC1053" s="407" t="b">
        <f t="shared" si="319"/>
        <v>0</v>
      </c>
      <c r="BD1053" s="407" t="b">
        <f>OR(AV1052&gt;100%,(AV1052+AV1053)&gt;100%)</f>
        <v>0</v>
      </c>
      <c r="BE1053" s="314"/>
      <c r="BF1053" s="408" t="s">
        <v>162</v>
      </c>
      <c r="BG1053" s="409" t="str">
        <f>IF(COUNTIF(AO1049:AO1050,TRUE)=0,"",BH1053*AV1057)</f>
        <v/>
      </c>
      <c r="BH1053" s="409" t="str">
        <f>IF(COUNTIF(AO1049:AO1050,TRUE)=0,"",AV1046*IF(AO1049,1,AV1048*AN1050)*AV1049*AV1055)</f>
        <v/>
      </c>
      <c r="BJ1053" s="314"/>
      <c r="BK1053" s="314"/>
      <c r="BL1053" s="314"/>
      <c r="BM1053" s="314"/>
      <c r="BN1053" s="314"/>
      <c r="BO1053" s="314"/>
      <c r="BP1053" s="314"/>
      <c r="BQ1053" s="314"/>
      <c r="BR1053" s="314"/>
      <c r="BS1053" s="314"/>
      <c r="BT1053" s="314"/>
      <c r="BU1053" s="314"/>
      <c r="BV1053" s="314"/>
      <c r="BW1053" s="314"/>
      <c r="BX1053" s="314"/>
      <c r="BY1053" s="314"/>
      <c r="BZ1053" s="314"/>
      <c r="CA1053" s="314"/>
      <c r="CB1053" s="314"/>
      <c r="CC1053" s="314"/>
      <c r="CD1053" s="314"/>
      <c r="CE1053" s="314"/>
      <c r="CF1053" s="314"/>
      <c r="CG1053" s="314"/>
      <c r="CH1053" s="314"/>
      <c r="CI1053" s="314"/>
      <c r="CJ1053" s="314"/>
      <c r="CK1053" s="314"/>
      <c r="CL1053" s="314"/>
      <c r="CM1053" s="314"/>
      <c r="CN1053" s="314"/>
      <c r="CO1053" s="314"/>
      <c r="CP1053" s="314"/>
      <c r="CQ1053" s="407" t="b">
        <f>OR(CQ1046,Y1053=EUconst_NA)</f>
        <v>0</v>
      </c>
    </row>
    <row r="1054" spans="1:95" ht="12.75" customHeight="1" thickBot="1" x14ac:dyDescent="0.3">
      <c r="A1054" s="307"/>
      <c r="B1054" s="68"/>
      <c r="C1054" s="199" t="s">
        <v>163</v>
      </c>
      <c r="D1054" s="344" t="str">
        <f>Translations!$B$615</f>
        <v>sust. SLCF:</v>
      </c>
      <c r="E1054" s="441"/>
      <c r="F1054" s="19" t="s">
        <v>158</v>
      </c>
      <c r="G1054" s="1261"/>
      <c r="H1054" s="1262"/>
      <c r="I1054" s="442" t="str">
        <f t="shared" si="320"/>
        <v/>
      </c>
      <c r="J1054" s="411"/>
      <c r="K1054" s="443"/>
      <c r="L1054" s="57"/>
      <c r="M1054" s="347" t="str">
        <f>IF(AND(E1041&lt;&gt;"",OR(F1054="",COUNT(L1054)=0),Y1054&lt;&gt;EUconst_NA),EUconst_ERR_Incomplete,"")</f>
        <v/>
      </c>
      <c r="N1054" s="76"/>
      <c r="O1054" s="160"/>
      <c r="P1054" s="348"/>
      <c r="Q1054" s="413"/>
      <c r="R1054" s="413"/>
      <c r="S1054" s="314"/>
      <c r="T1054" s="388" t="str">
        <f>EUconst_CNTR_RFNBOetcContent&amp;E1041</f>
        <v>RNFBOC_</v>
      </c>
      <c r="U1054" s="312"/>
      <c r="V1054" s="312"/>
      <c r="W1054" s="312"/>
      <c r="X1054" s="312"/>
      <c r="Y1054" s="447" t="str">
        <f>IF(E1041="","",IF(OR(F1054=EUconst_NA,W1054=TRUE),EUconst_NA,INDEX(EUwideConstants!$P$164:$P$200,MATCH(T1054,EUwideConstants!$S$164:$S$200,0))))</f>
        <v/>
      </c>
      <c r="Z1054" s="314"/>
      <c r="AA1054" s="314"/>
      <c r="AB1054" s="314"/>
      <c r="AC1054" s="397" t="b">
        <f>AND(AC1050,Y1054&lt;&gt;EUconst_NA)</f>
        <v>0</v>
      </c>
      <c r="AD1054" s="314"/>
      <c r="AE1054" s="415"/>
      <c r="AF1054" s="416"/>
      <c r="AG1054" s="417"/>
      <c r="AH1054" s="418"/>
      <c r="AI1054" s="418"/>
      <c r="AJ1054" s="418"/>
      <c r="AK1054" s="419"/>
      <c r="AL1054" s="326"/>
      <c r="AM1054" s="326"/>
      <c r="AN1054" s="326"/>
      <c r="AO1054" s="326"/>
      <c r="AP1054" s="326"/>
      <c r="AQ1054" s="444" t="s">
        <v>159</v>
      </c>
      <c r="AR1054" s="415"/>
      <c r="AS1054" s="445" t="str">
        <f t="shared" si="321"/>
        <v/>
      </c>
      <c r="AT1054" s="446"/>
      <c r="AU1054" s="447" t="str">
        <f t="shared" si="322"/>
        <v/>
      </c>
      <c r="AV1054" s="397">
        <f t="shared" si="323"/>
        <v>0</v>
      </c>
      <c r="AW1054" s="398" t="b">
        <f t="shared" si="315"/>
        <v>0</v>
      </c>
      <c r="AX1054" s="448" t="b">
        <f t="shared" si="316"/>
        <v>0</v>
      </c>
      <c r="AY1054" s="314"/>
      <c r="AZ1054" s="449" t="b">
        <f t="shared" si="317"/>
        <v>0</v>
      </c>
      <c r="BA1054" s="450" t="b">
        <f t="shared" si="318"/>
        <v>0</v>
      </c>
      <c r="BB1054" s="314"/>
      <c r="BC1054" s="398" t="b">
        <f t="shared" si="319"/>
        <v>0</v>
      </c>
      <c r="BD1054" s="369" t="b">
        <f>OR(AV1054&gt;100%,(AV1054+AV1055)&gt;100%)</f>
        <v>0</v>
      </c>
      <c r="BE1054" s="314"/>
      <c r="BF1054" s="451" t="s">
        <v>164</v>
      </c>
      <c r="BG1054" s="452">
        <f>IF(AN1046=EUconst_TJ,AV1046*(1-AV1050),IF(AN1048=EUconst_GJ,AV1046*AV1048/1000,0))-SUM(BG1055:BG1061)</f>
        <v>0</v>
      </c>
      <c r="BH1054" s="314"/>
      <c r="BI1054" s="314"/>
      <c r="BJ1054" s="314"/>
      <c r="BK1054" s="314"/>
      <c r="BL1054" s="314"/>
      <c r="BM1054" s="314"/>
      <c r="BN1054" s="314"/>
      <c r="BO1054" s="314"/>
      <c r="BP1054" s="314"/>
      <c r="BQ1054" s="314"/>
      <c r="BR1054" s="314"/>
      <c r="BS1054" s="314"/>
      <c r="BT1054" s="314"/>
      <c r="BU1054" s="314"/>
      <c r="BV1054" s="314"/>
      <c r="BW1054" s="314"/>
      <c r="BX1054" s="314"/>
      <c r="BY1054" s="314"/>
      <c r="BZ1054" s="314"/>
      <c r="CA1054" s="314"/>
      <c r="CB1054" s="314"/>
      <c r="CC1054" s="314"/>
      <c r="CD1054" s="314"/>
      <c r="CE1054" s="314"/>
      <c r="CF1054" s="314"/>
      <c r="CG1054" s="314"/>
      <c r="CH1054" s="314"/>
      <c r="CI1054" s="314"/>
      <c r="CJ1054" s="314"/>
      <c r="CK1054" s="314"/>
      <c r="CL1054" s="314"/>
      <c r="CM1054" s="314"/>
      <c r="CN1054" s="314"/>
      <c r="CO1054" s="314"/>
      <c r="CP1054" s="314"/>
      <c r="CQ1054" s="407" t="b">
        <f>OR(CQ1046,Y1054=EUconst_NA)</f>
        <v>0</v>
      </c>
    </row>
    <row r="1055" spans="1:95" ht="12.75" customHeight="1" thickBot="1" x14ac:dyDescent="0.3">
      <c r="A1055" s="307"/>
      <c r="B1055" s="68"/>
      <c r="C1055" s="199" t="s">
        <v>165</v>
      </c>
      <c r="D1055" s="344" t="str">
        <f>Translations!$B$618</f>
        <v>non-sust. SLCF:</v>
      </c>
      <c r="E1055" s="441"/>
      <c r="F1055" s="20" t="s">
        <v>158</v>
      </c>
      <c r="G1055" s="1261"/>
      <c r="H1055" s="1262"/>
      <c r="I1055" s="422" t="str">
        <f t="shared" si="320"/>
        <v/>
      </c>
      <c r="J1055" s="423"/>
      <c r="K1055" s="443"/>
      <c r="L1055" s="56"/>
      <c r="M1055" s="347" t="str">
        <f>IF(AND(E1041&lt;&gt;"",OR(F1055="",COUNT(L1055)=0),Y1055&lt;&gt;EUconst_NA),EUconst_ERR_Incomplete,"")</f>
        <v/>
      </c>
      <c r="N1055" s="76"/>
      <c r="O1055" s="160"/>
      <c r="P1055" s="348"/>
      <c r="Q1055" s="413"/>
      <c r="R1055" s="413"/>
      <c r="S1055" s="314"/>
      <c r="T1055" s="425" t="str">
        <f>EUconst_CNTR_RFNBOetcContent&amp;E1041</f>
        <v>RNFBOC_</v>
      </c>
      <c r="U1055" s="312"/>
      <c r="V1055" s="312"/>
      <c r="W1055" s="312"/>
      <c r="X1055" s="312"/>
      <c r="Y1055" s="438" t="str">
        <f>IF(E1041="","",IF(OR(F1055=EUconst_NA,W1055=TRUE),EUconst_NA,INDEX(EUwideConstants!$P$164:$P$200,MATCH(T1055,EUwideConstants!$S$164:$S$200,0))))</f>
        <v/>
      </c>
      <c r="Z1055" s="314"/>
      <c r="AA1055" s="314"/>
      <c r="AB1055" s="314"/>
      <c r="AC1055" s="429" t="b">
        <f>AND(AC1050,Y1055&lt;&gt;EUconst_NA)</f>
        <v>0</v>
      </c>
      <c r="AD1055" s="314"/>
      <c r="AE1055" s="430"/>
      <c r="AF1055" s="431"/>
      <c r="AG1055" s="432"/>
      <c r="AH1055" s="433"/>
      <c r="AI1055" s="433"/>
      <c r="AJ1055" s="433"/>
      <c r="AK1055" s="434"/>
      <c r="AL1055" s="326"/>
      <c r="AM1055" s="326"/>
      <c r="AN1055" s="326"/>
      <c r="AO1055" s="326"/>
      <c r="AP1055" s="326"/>
      <c r="AQ1055" s="435" t="s">
        <v>159</v>
      </c>
      <c r="AR1055" s="430"/>
      <c r="AS1055" s="436" t="str">
        <f t="shared" si="321"/>
        <v/>
      </c>
      <c r="AT1055" s="437"/>
      <c r="AU1055" s="438" t="str">
        <f t="shared" si="322"/>
        <v/>
      </c>
      <c r="AV1055" s="429">
        <f t="shared" si="323"/>
        <v>0</v>
      </c>
      <c r="AW1055" s="407" t="b">
        <f t="shared" si="315"/>
        <v>0</v>
      </c>
      <c r="AX1055" s="439" t="b">
        <f t="shared" si="316"/>
        <v>0</v>
      </c>
      <c r="AY1055" s="314"/>
      <c r="AZ1055" s="408" t="b">
        <f t="shared" si="317"/>
        <v>0</v>
      </c>
      <c r="BA1055" s="440" t="b">
        <f t="shared" si="318"/>
        <v>0</v>
      </c>
      <c r="BB1055" s="314"/>
      <c r="BC1055" s="407" t="b">
        <f t="shared" si="319"/>
        <v>0</v>
      </c>
      <c r="BD1055" s="407" t="b">
        <f>OR(AV1054&gt;100%,(AV1054+AV1055)&gt;100%)</f>
        <v>0</v>
      </c>
      <c r="BE1055" s="314"/>
      <c r="BF1055" s="408" t="s">
        <v>166</v>
      </c>
      <c r="BG1055" s="409" t="str">
        <f>IF(AN1046=EUconst_TJ,AV1046*AV1050,IF(AN1048=EUconst_GJ,AV1046*AV1048/1000*AV1050,""))</f>
        <v/>
      </c>
      <c r="BH1055" s="314"/>
      <c r="BI1055" s="314"/>
      <c r="BJ1055" s="314"/>
      <c r="BK1055" s="314"/>
      <c r="BL1055" s="314"/>
      <c r="BM1055" s="314"/>
      <c r="BN1055" s="314"/>
      <c r="BO1055" s="314"/>
      <c r="BP1055" s="314"/>
      <c r="BQ1055" s="314"/>
      <c r="BR1055" s="314"/>
      <c r="BS1055" s="314"/>
      <c r="BT1055" s="314"/>
      <c r="BU1055" s="314"/>
      <c r="BV1055" s="314"/>
      <c r="BW1055" s="314"/>
      <c r="BX1055" s="314"/>
      <c r="BY1055" s="314"/>
      <c r="BZ1055" s="314"/>
      <c r="CA1055" s="314"/>
      <c r="CB1055" s="314"/>
      <c r="CC1055" s="314"/>
      <c r="CD1055" s="314"/>
      <c r="CE1055" s="314"/>
      <c r="CF1055" s="314"/>
      <c r="CG1055" s="314"/>
      <c r="CH1055" s="314"/>
      <c r="CI1055" s="314"/>
      <c r="CJ1055" s="314"/>
      <c r="CK1055" s="314"/>
      <c r="CL1055" s="314"/>
      <c r="CM1055" s="314"/>
      <c r="CN1055" s="314"/>
      <c r="CO1055" s="314"/>
      <c r="CP1055" s="314"/>
      <c r="CQ1055" s="407" t="b">
        <f>OR(CQ1046,Y1055=EUconst_NA)</f>
        <v>0</v>
      </c>
    </row>
    <row r="1056" spans="1:95" ht="5.15" customHeight="1" thickBot="1" x14ac:dyDescent="0.3">
      <c r="A1056" s="307"/>
      <c r="B1056" s="68"/>
      <c r="C1056" s="68"/>
      <c r="D1056" s="205"/>
      <c r="E1056" s="76"/>
      <c r="F1056" s="76"/>
      <c r="G1056" s="76"/>
      <c r="H1056" s="76"/>
      <c r="I1056" s="76"/>
      <c r="J1056" s="76"/>
      <c r="K1056" s="76"/>
      <c r="L1056" s="76"/>
      <c r="M1056" s="453"/>
      <c r="N1056" s="76"/>
      <c r="O1056" s="160"/>
      <c r="P1056" s="109"/>
      <c r="Q1056" s="312"/>
      <c r="R1056" s="312"/>
      <c r="S1056" s="314"/>
      <c r="T1056" s="314"/>
      <c r="U1056" s="314"/>
      <c r="V1056" s="314"/>
      <c r="W1056" s="314"/>
      <c r="X1056" s="314"/>
      <c r="Y1056" s="314"/>
      <c r="Z1056" s="314"/>
      <c r="AA1056" s="314"/>
      <c r="AB1056" s="314"/>
      <c r="AC1056" s="314"/>
      <c r="AD1056" s="314"/>
      <c r="AE1056" s="314"/>
      <c r="AF1056" s="314"/>
      <c r="AG1056" s="314"/>
      <c r="AH1056" s="314"/>
      <c r="AI1056" s="314"/>
      <c r="AJ1056" s="314"/>
      <c r="AK1056" s="314"/>
      <c r="AL1056" s="314"/>
      <c r="AM1056" s="314"/>
      <c r="AN1056" s="314"/>
      <c r="AO1056" s="314"/>
      <c r="AP1056" s="314"/>
      <c r="AQ1056" s="314"/>
      <c r="AR1056" s="314"/>
      <c r="AS1056" s="314"/>
      <c r="AT1056" s="314"/>
      <c r="AU1056" s="314"/>
      <c r="AV1056" s="314"/>
      <c r="AW1056" s="314"/>
      <c r="AX1056" s="314"/>
      <c r="AY1056" s="314"/>
      <c r="AZ1056" s="314"/>
      <c r="BA1056" s="314"/>
      <c r="BB1056" s="314"/>
      <c r="BC1056" s="314"/>
      <c r="BD1056" s="314"/>
      <c r="BE1056" s="314"/>
      <c r="BF1056" s="314"/>
      <c r="BG1056" s="364"/>
      <c r="BH1056" s="314"/>
      <c r="BI1056" s="314"/>
      <c r="BJ1056" s="314"/>
      <c r="BK1056" s="314"/>
      <c r="BL1056" s="314"/>
      <c r="BM1056" s="314"/>
      <c r="BN1056" s="314"/>
      <c r="BO1056" s="314"/>
      <c r="BP1056" s="314"/>
      <c r="BQ1056" s="314"/>
      <c r="BR1056" s="314"/>
      <c r="BS1056" s="314"/>
      <c r="BT1056" s="314"/>
      <c r="BU1056" s="314"/>
      <c r="BV1056" s="314"/>
      <c r="BW1056" s="314"/>
      <c r="BX1056" s="314"/>
      <c r="BY1056" s="314"/>
      <c r="BZ1056" s="314"/>
      <c r="CA1056" s="314"/>
      <c r="CB1056" s="314"/>
      <c r="CC1056" s="314"/>
      <c r="CD1056" s="314"/>
      <c r="CE1056" s="314"/>
      <c r="CF1056" s="314"/>
      <c r="CG1056" s="314"/>
      <c r="CH1056" s="314"/>
      <c r="CI1056" s="314"/>
      <c r="CJ1056" s="314"/>
      <c r="CK1056" s="314"/>
      <c r="CL1056" s="314"/>
      <c r="CM1056" s="314"/>
      <c r="CN1056" s="314"/>
      <c r="CO1056" s="314"/>
      <c r="CP1056" s="314"/>
      <c r="CQ1056" s="314"/>
    </row>
    <row r="1057" spans="1:95" ht="12.75" customHeight="1" thickBot="1" x14ac:dyDescent="0.3">
      <c r="A1057" s="307"/>
      <c r="B1057" s="68"/>
      <c r="C1057" s="199" t="s">
        <v>167</v>
      </c>
      <c r="D1057" s="344" t="str">
        <f>Translations!$B$398</f>
        <v>Scope factor:</v>
      </c>
      <c r="E1057" s="454"/>
      <c r="F1057" s="992"/>
      <c r="G1057" s="1263"/>
      <c r="H1057" s="1264"/>
      <c r="I1057" s="455" t="s">
        <v>46</v>
      </c>
      <c r="J1057" s="456"/>
      <c r="K1057" s="457" t="str">
        <f>IF(L1057="",AU1057,"")</f>
        <v/>
      </c>
      <c r="L1057" s="16"/>
      <c r="M1057" s="458" t="str">
        <f>IF(AND(E1041&lt;&gt;"",OR(F1057="",G1057="",COUNT(K1057:L1057)=0)),EUconst_ERR_Incomplete,IF(COUNTIF(BB1057:BD1057,TRUE)&gt;0,EUconst_ERR_Inconsistent,""))</f>
        <v/>
      </c>
      <c r="N1057" s="76"/>
      <c r="O1057" s="160"/>
      <c r="P1057" s="109"/>
      <c r="Q1057" s="312"/>
      <c r="R1057" s="314"/>
      <c r="S1057" s="297"/>
      <c r="T1057" s="459" t="str">
        <f>EUconst_CNTR_ScopeFactor&amp;E1041</f>
        <v>ScopeFactor_</v>
      </c>
      <c r="U1057" s="231" t="str">
        <f>IF(F1057="","",INDEX(ScopeAddress,MATCH(F1057,ScopeTiers,0)))</f>
        <v/>
      </c>
      <c r="V1057" s="360" t="str">
        <f>V1046</f>
        <v/>
      </c>
      <c r="W1057" s="314"/>
      <c r="X1057" s="314"/>
      <c r="Y1057" s="460" t="str">
        <f>IF(E1041="","",IF(F1057=EUconst_NA,EUconst_NA,INDEX(EUwideConstants!$P$164:$P$200,MATCH(T1057,EUwideConstants!$S$164:$S$200,0))))</f>
        <v/>
      </c>
      <c r="Z1057" s="461" t="str">
        <f>IF(ISBLANK(F1057),"",IF(F1057=EUconst_NA,"",INDEX(EUwideConstants!$H:$O,MATCH(T1057,EUwideConstants!$S:$S,0),MATCH(F1057,CNTR_TierList,0))))</f>
        <v/>
      </c>
      <c r="AA1057" s="331" t="str">
        <f>IF(G1057=EUwideConstants!$A$89,1,"")</f>
        <v/>
      </c>
      <c r="AB1057" s="314"/>
      <c r="AC1057" s="331" t="b">
        <f>AND(AC1046,Y1057&lt;&gt;EUconst_NA)</f>
        <v>0</v>
      </c>
      <c r="AD1057" s="314"/>
      <c r="AE1057" s="314"/>
      <c r="AF1057" s="314"/>
      <c r="AG1057" s="319"/>
      <c r="AH1057" s="314"/>
      <c r="AI1057" s="314"/>
      <c r="AJ1057" s="314"/>
      <c r="AK1057" s="314"/>
      <c r="AL1057" s="314"/>
      <c r="AM1057" s="314"/>
      <c r="AN1057" s="314"/>
      <c r="AO1057" s="314"/>
      <c r="AP1057" s="314"/>
      <c r="AQ1057" s="314"/>
      <c r="AR1057" s="314"/>
      <c r="AS1057" s="328">
        <v>1</v>
      </c>
      <c r="AT1057" s="314"/>
      <c r="AU1057" s="319" t="str">
        <f>IF(G1057=EUwideConstants!$A$89,AS1057,"")</f>
        <v/>
      </c>
      <c r="AV1057" s="331">
        <f>IF(AC1057=TRUE,IF(COUNT(K1057:L1057)=0,0,IF(L1057="",K1057,L1057)),0)</f>
        <v>0</v>
      </c>
      <c r="AW1057" s="360" t="b">
        <f>AND(AC1057=TRUE,OR(AND(F1057&lt;&gt;"",NOT(ISNUMBER(AA1057))),L1057&lt;&gt;"",F1057="",AU1057=""))</f>
        <v>0</v>
      </c>
      <c r="AX1057" s="357" t="b">
        <f>AND(AC1057=TRUE,NOT(AW1057))</f>
        <v>0</v>
      </c>
      <c r="AY1057" s="314"/>
      <c r="AZ1057" s="361" t="b">
        <f>AND(ISNUMBER(AA1057),AU1057="")</f>
        <v>0</v>
      </c>
      <c r="BA1057" s="351" t="b">
        <f>AND(ISNUMBER(AA1057),AU1057&lt;&gt;AV1057)</f>
        <v>0</v>
      </c>
      <c r="BB1057" s="314"/>
      <c r="BC1057" s="360" t="b">
        <f>AND(F1057&lt;&gt;"",OR(COUNTIF(INDEX(ScopeMethods,F1057,),G1057)=0,AND(AA1057&lt;&gt;"",AU1057&lt;&gt;AV1057)))</f>
        <v>0</v>
      </c>
      <c r="BD1057" s="314"/>
      <c r="BE1057" s="314"/>
      <c r="BF1057" s="361" t="s">
        <v>168</v>
      </c>
      <c r="BG1057" s="362" t="str">
        <f>IF(AN1046=EUconst_TJ,AV1046*AV1052,IF(AN1048=EUconst_GJ,AV1046*AV1048/1000*AV1052,""))</f>
        <v/>
      </c>
      <c r="BH1057" s="314"/>
      <c r="BI1057" s="314"/>
      <c r="BJ1057" s="314"/>
      <c r="BK1057" s="314"/>
      <c r="BL1057" s="314"/>
      <c r="BM1057" s="314"/>
      <c r="BN1057" s="314"/>
      <c r="BO1057" s="314"/>
      <c r="BP1057" s="314"/>
      <c r="BQ1057" s="314"/>
      <c r="BR1057" s="314"/>
      <c r="BS1057" s="314"/>
      <c r="BT1057" s="314"/>
      <c r="BU1057" s="314"/>
      <c r="BV1057" s="314"/>
      <c r="BW1057" s="314"/>
      <c r="BX1057" s="314"/>
      <c r="BY1057" s="314"/>
      <c r="BZ1057" s="314"/>
      <c r="CA1057" s="314"/>
      <c r="CB1057" s="314"/>
      <c r="CC1057" s="314"/>
      <c r="CD1057" s="314"/>
      <c r="CE1057" s="314"/>
      <c r="CF1057" s="314"/>
      <c r="CG1057" s="314"/>
      <c r="CH1057" s="314"/>
      <c r="CI1057" s="314"/>
      <c r="CJ1057" s="314"/>
      <c r="CK1057" s="314"/>
      <c r="CL1057" s="314"/>
      <c r="CM1057" s="314"/>
      <c r="CN1057" s="314"/>
      <c r="CO1057" s="314"/>
      <c r="CP1057" s="314"/>
      <c r="CQ1057" s="314"/>
    </row>
    <row r="1058" spans="1:95" ht="12.75" customHeight="1" x14ac:dyDescent="0.25">
      <c r="A1058" s="307"/>
      <c r="B1058" s="68"/>
      <c r="C1058" s="68"/>
      <c r="D1058" s="68"/>
      <c r="E1058" s="68"/>
      <c r="F1058" s="68"/>
      <c r="G1058" s="1265" t="str">
        <f>IF(G1057="","",INDEX(ScopeMethodsDetails,MATCH(G1057,INDEX(ScopeMethodsDetails,,1),0),2))</f>
        <v/>
      </c>
      <c r="H1058" s="1266"/>
      <c r="I1058" s="1266"/>
      <c r="J1058" s="1266"/>
      <c r="K1058" s="1266"/>
      <c r="L1058" s="1266"/>
      <c r="M1058" s="1267"/>
      <c r="N1058" s="76"/>
      <c r="O1058" s="160"/>
      <c r="P1058" s="109"/>
      <c r="Q1058" s="312"/>
      <c r="R1058" s="312"/>
      <c r="S1058" s="314"/>
      <c r="T1058" s="314"/>
      <c r="U1058" s="314"/>
      <c r="V1058" s="314"/>
      <c r="W1058" s="314"/>
      <c r="X1058" s="314"/>
      <c r="Y1058" s="314"/>
      <c r="Z1058" s="314"/>
      <c r="AA1058" s="314"/>
      <c r="AB1058" s="314"/>
      <c r="AC1058" s="314"/>
      <c r="AD1058" s="314"/>
      <c r="AE1058" s="314"/>
      <c r="AF1058" s="314"/>
      <c r="AG1058" s="314"/>
      <c r="AH1058" s="314"/>
      <c r="AI1058" s="314"/>
      <c r="AJ1058" s="314"/>
      <c r="AK1058" s="314"/>
      <c r="AL1058" s="314"/>
      <c r="AM1058" s="314"/>
      <c r="AN1058" s="314"/>
      <c r="AO1058" s="314"/>
      <c r="AP1058" s="314"/>
      <c r="AQ1058" s="314"/>
      <c r="AR1058" s="314"/>
      <c r="AS1058" s="314"/>
      <c r="AT1058" s="314"/>
      <c r="AU1058" s="314"/>
      <c r="AV1058" s="314"/>
      <c r="AW1058" s="314"/>
      <c r="AX1058" s="314"/>
      <c r="AY1058" s="314"/>
      <c r="AZ1058" s="314"/>
      <c r="BA1058" s="314"/>
      <c r="BB1058" s="314"/>
      <c r="BC1058" s="314"/>
      <c r="BD1058" s="314"/>
      <c r="BE1058" s="314"/>
      <c r="BG1058" s="364"/>
      <c r="BH1058" s="314"/>
      <c r="BI1058" s="314"/>
      <c r="BJ1058" s="314"/>
      <c r="BK1058" s="314"/>
      <c r="BL1058" s="314"/>
      <c r="BM1058" s="314"/>
      <c r="BN1058" s="314"/>
      <c r="BO1058" s="314"/>
      <c r="BP1058" s="314"/>
      <c r="BQ1058" s="314"/>
      <c r="BR1058" s="314"/>
      <c r="BS1058" s="314"/>
      <c r="BT1058" s="314"/>
      <c r="BU1058" s="314"/>
      <c r="BV1058" s="314"/>
      <c r="BW1058" s="314"/>
      <c r="BX1058" s="314"/>
      <c r="BY1058" s="314"/>
      <c r="BZ1058" s="314"/>
      <c r="CA1058" s="314"/>
      <c r="CB1058" s="314"/>
      <c r="CC1058" s="314"/>
      <c r="CD1058" s="314"/>
      <c r="CE1058" s="314"/>
      <c r="CF1058" s="314"/>
      <c r="CG1058" s="314"/>
      <c r="CH1058" s="314"/>
      <c r="CI1058" s="314"/>
      <c r="CJ1058" s="314"/>
      <c r="CK1058" s="314"/>
      <c r="CL1058" s="314"/>
      <c r="CM1058" s="314"/>
      <c r="CN1058" s="314"/>
      <c r="CO1058" s="314"/>
      <c r="CP1058" s="314"/>
      <c r="CQ1058" s="314"/>
    </row>
    <row r="1059" spans="1:95" ht="5.15" customHeight="1" x14ac:dyDescent="0.25">
      <c r="A1059" s="307"/>
      <c r="C1059" s="76"/>
      <c r="D1059" s="76"/>
      <c r="E1059" s="76"/>
      <c r="F1059" s="76"/>
      <c r="G1059" s="76"/>
      <c r="H1059" s="76"/>
      <c r="I1059" s="76"/>
      <c r="J1059" s="76"/>
      <c r="K1059" s="76"/>
      <c r="L1059" s="76"/>
      <c r="O1059" s="160"/>
      <c r="P1059" s="109"/>
      <c r="Q1059" s="312"/>
      <c r="R1059" s="312"/>
      <c r="S1059" s="314"/>
      <c r="T1059" s="314"/>
      <c r="U1059" s="314"/>
      <c r="V1059" s="314"/>
      <c r="W1059" s="314"/>
      <c r="X1059" s="314"/>
      <c r="Y1059" s="314"/>
      <c r="Z1059" s="314"/>
      <c r="AA1059" s="314"/>
      <c r="AB1059" s="314"/>
      <c r="AC1059" s="314"/>
      <c r="AD1059" s="314"/>
      <c r="AE1059" s="314"/>
      <c r="AF1059" s="314"/>
      <c r="AG1059" s="314"/>
      <c r="AH1059" s="314"/>
      <c r="AI1059" s="314"/>
      <c r="AJ1059" s="314"/>
      <c r="AK1059" s="314"/>
      <c r="AL1059" s="314"/>
      <c r="AM1059" s="314"/>
      <c r="AN1059" s="314"/>
      <c r="AO1059" s="314"/>
      <c r="AP1059" s="314"/>
      <c r="AQ1059" s="314"/>
      <c r="AR1059" s="314"/>
      <c r="AS1059" s="314"/>
      <c r="AT1059" s="314"/>
      <c r="AU1059" s="314"/>
      <c r="AV1059" s="314"/>
      <c r="AW1059" s="314"/>
      <c r="AX1059" s="314"/>
      <c r="AY1059" s="314"/>
      <c r="AZ1059" s="314"/>
      <c r="BA1059" s="314"/>
      <c r="BB1059" s="314"/>
      <c r="BC1059" s="314"/>
      <c r="BD1059" s="314"/>
      <c r="BE1059" s="314"/>
      <c r="BG1059" s="364"/>
      <c r="BH1059" s="314"/>
      <c r="BI1059" s="314"/>
      <c r="BJ1059" s="314"/>
      <c r="BK1059" s="314"/>
      <c r="BL1059" s="314"/>
      <c r="BM1059" s="314"/>
      <c r="BN1059" s="314"/>
      <c r="BO1059" s="314"/>
      <c r="BP1059" s="314"/>
      <c r="BQ1059" s="314"/>
      <c r="BR1059" s="314"/>
      <c r="BS1059" s="314"/>
      <c r="BT1059" s="314"/>
      <c r="BU1059" s="314"/>
      <c r="BV1059" s="314"/>
      <c r="BW1059" s="314"/>
      <c r="BX1059" s="314"/>
      <c r="BY1059" s="314"/>
      <c r="BZ1059" s="314"/>
      <c r="CA1059" s="314"/>
      <c r="CB1059" s="314"/>
      <c r="CC1059" s="314"/>
      <c r="CD1059" s="314"/>
      <c r="CE1059" s="314"/>
      <c r="CF1059" s="314"/>
      <c r="CG1059" s="314"/>
      <c r="CH1059" s="314"/>
      <c r="CI1059" s="314"/>
      <c r="CJ1059" s="314"/>
      <c r="CK1059" s="314"/>
      <c r="CL1059" s="314"/>
      <c r="CM1059" s="314"/>
      <c r="CN1059" s="314"/>
      <c r="CO1059" s="314"/>
      <c r="CP1059" s="314"/>
      <c r="CQ1059" s="314"/>
    </row>
    <row r="1060" spans="1:95" ht="12.75" customHeight="1" thickBot="1" x14ac:dyDescent="0.3">
      <c r="A1060" s="307"/>
      <c r="C1060" s="76"/>
      <c r="D1060" s="76"/>
      <c r="E1060" s="76"/>
      <c r="F1060" s="76"/>
      <c r="G1060" s="1268">
        <v>1</v>
      </c>
      <c r="H1060" s="1268"/>
      <c r="I1060" s="1268">
        <v>2</v>
      </c>
      <c r="J1060" s="1268"/>
      <c r="K1060" s="1268">
        <v>3</v>
      </c>
      <c r="L1060" s="1268"/>
      <c r="O1060" s="160"/>
      <c r="P1060" s="109"/>
      <c r="Q1060" s="312"/>
      <c r="R1060" s="312"/>
      <c r="S1060" s="314"/>
      <c r="T1060" s="314"/>
      <c r="U1060" s="314"/>
      <c r="V1060" s="314"/>
      <c r="W1060" s="314"/>
      <c r="X1060" s="314"/>
      <c r="Y1060" s="314"/>
      <c r="Z1060" s="314"/>
      <c r="AA1060" s="314"/>
      <c r="AB1060" s="314"/>
      <c r="AC1060" s="314"/>
      <c r="AD1060" s="314"/>
      <c r="AE1060" s="314"/>
      <c r="AF1060" s="314"/>
      <c r="AG1060" s="314"/>
      <c r="AH1060" s="314"/>
      <c r="AI1060" s="314"/>
      <c r="AJ1060" s="314"/>
      <c r="AK1060" s="314"/>
      <c r="AL1060" s="314"/>
      <c r="AM1060" s="314"/>
      <c r="AN1060" s="314"/>
      <c r="AO1060" s="314"/>
      <c r="AP1060" s="314"/>
      <c r="AQ1060" s="314"/>
      <c r="AR1060" s="314"/>
      <c r="AS1060" s="314"/>
      <c r="AT1060" s="314"/>
      <c r="AU1060" s="314"/>
      <c r="AV1060" s="314"/>
      <c r="AW1060" s="314"/>
      <c r="AX1060" s="314"/>
      <c r="AY1060" s="314"/>
      <c r="AZ1060" s="314"/>
      <c r="BA1060" s="314"/>
      <c r="BB1060" s="314"/>
      <c r="BC1060" s="314"/>
      <c r="BD1060" s="314"/>
      <c r="BE1060" s="314"/>
      <c r="BF1060" s="314"/>
      <c r="BG1060" s="364"/>
      <c r="BH1060" s="314"/>
      <c r="BI1060" s="314"/>
      <c r="BJ1060" s="314"/>
      <c r="BK1060" s="314"/>
      <c r="BL1060" s="314"/>
      <c r="BM1060" s="314"/>
      <c r="BN1060" s="314"/>
      <c r="BO1060" s="314"/>
      <c r="BP1060" s="314"/>
      <c r="BQ1060" s="314"/>
      <c r="BR1060" s="314"/>
      <c r="BS1060" s="314"/>
      <c r="BT1060" s="314"/>
      <c r="BU1060" s="314"/>
      <c r="BV1060" s="314"/>
      <c r="BW1060" s="314"/>
      <c r="BX1060" s="314"/>
      <c r="BY1060" s="314"/>
      <c r="BZ1060" s="314"/>
      <c r="CA1060" s="314"/>
      <c r="CB1060" s="314"/>
      <c r="CC1060" s="314"/>
      <c r="CD1060" s="314"/>
      <c r="CE1060" s="314"/>
      <c r="CF1060" s="314"/>
      <c r="CG1060" s="314"/>
      <c r="CH1060" s="314"/>
      <c r="CI1060" s="314"/>
      <c r="CJ1060" s="314"/>
      <c r="CK1060" s="314"/>
      <c r="CL1060" s="314"/>
      <c r="CM1060" s="314"/>
      <c r="CN1060" s="314"/>
      <c r="CO1060" s="314"/>
      <c r="CP1060" s="314"/>
      <c r="CQ1060" s="314"/>
    </row>
    <row r="1061" spans="1:95" ht="12.75" customHeight="1" thickBot="1" x14ac:dyDescent="0.3">
      <c r="A1061" s="462"/>
      <c r="B1061" s="76"/>
      <c r="C1061" s="76"/>
      <c r="D1061" s="1246" t="str">
        <f>Translations!$B$372</f>
        <v>Consumers' CRF category:</v>
      </c>
      <c r="E1061" s="1246"/>
      <c r="F1061" s="1247"/>
      <c r="G1061" s="1248"/>
      <c r="H1061" s="1249"/>
      <c r="I1061" s="1248"/>
      <c r="J1061" s="1249"/>
      <c r="K1061" s="1248"/>
      <c r="L1061" s="1249"/>
      <c r="M1061" s="463" t="str">
        <f>IF(AND(E1040&lt;&gt;"",COUNTA(G1061:L1061)=0,AX1061=FALSE),EUconst_ERR_Incomplete,"")</f>
        <v/>
      </c>
      <c r="N1061" s="76"/>
      <c r="O1061" s="160"/>
      <c r="P1061" s="109"/>
      <c r="Q1061" s="312"/>
      <c r="R1061" s="312"/>
      <c r="S1061" s="314"/>
      <c r="T1061" s="314"/>
      <c r="U1061" s="314"/>
      <c r="V1061" s="314"/>
      <c r="W1061" s="314"/>
      <c r="X1061" s="314"/>
      <c r="Y1061" s="314"/>
      <c r="Z1061" s="314"/>
      <c r="AA1061" s="314"/>
      <c r="AB1061" s="314"/>
      <c r="AC1061" s="314"/>
      <c r="AD1061" s="314"/>
      <c r="AE1061" s="314"/>
      <c r="AF1061" s="314"/>
      <c r="AG1061" s="314"/>
      <c r="AH1061" s="314"/>
      <c r="AI1061" s="314"/>
      <c r="AJ1061" s="314"/>
      <c r="AK1061" s="314"/>
      <c r="AL1061" s="314"/>
      <c r="AM1061" s="314"/>
      <c r="AN1061" s="314"/>
      <c r="AO1061" s="314"/>
      <c r="AP1061" s="314"/>
      <c r="AQ1061" s="314"/>
      <c r="AR1061" s="314"/>
      <c r="AS1061" s="314"/>
      <c r="AT1061" s="314"/>
      <c r="AU1061" s="314"/>
      <c r="AV1061" s="314"/>
      <c r="AW1061" s="314"/>
      <c r="AX1061" s="464" t="b">
        <f>AND(AV1057&lt;&gt;"",SUM(AV1057=1))</f>
        <v>0</v>
      </c>
      <c r="AY1061" s="314"/>
      <c r="AZ1061" s="314"/>
      <c r="BA1061" s="314"/>
      <c r="BB1061" s="314"/>
      <c r="BC1061" s="314"/>
      <c r="BD1061" s="314"/>
      <c r="BE1061" s="314"/>
      <c r="BF1061" s="361" t="s">
        <v>169</v>
      </c>
      <c r="BG1061" s="362" t="str">
        <f>IF(AN1046=EUconst_TJ,AV1046*AV1054,IF(AN1048=EUconst_GJ,AV1046*AV1048/1000*AV1054,""))</f>
        <v/>
      </c>
      <c r="BH1061" s="314"/>
      <c r="BI1061" s="314"/>
      <c r="BJ1061" s="314"/>
      <c r="BK1061" s="314"/>
      <c r="BL1061" s="314"/>
      <c r="BM1061" s="314"/>
      <c r="BN1061" s="314"/>
      <c r="BO1061" s="314"/>
      <c r="BP1061" s="314"/>
      <c r="BQ1061" s="314"/>
      <c r="BR1061" s="314"/>
      <c r="BS1061" s="314"/>
      <c r="BT1061" s="314"/>
      <c r="BU1061" s="314"/>
      <c r="BV1061" s="314"/>
      <c r="BW1061" s="314"/>
      <c r="BX1061" s="314"/>
      <c r="BY1061" s="314"/>
      <c r="BZ1061" s="314"/>
      <c r="CA1061" s="314"/>
      <c r="CB1061" s="314"/>
      <c r="CC1061" s="314"/>
      <c r="CD1061" s="314"/>
      <c r="CE1061" s="314"/>
      <c r="CF1061" s="314"/>
      <c r="CG1061" s="314"/>
      <c r="CH1061" s="314"/>
      <c r="CI1061" s="314"/>
      <c r="CJ1061" s="314"/>
      <c r="CK1061" s="314"/>
      <c r="CL1061" s="314"/>
      <c r="CM1061" s="314"/>
      <c r="CN1061" s="314"/>
      <c r="CO1061" s="314"/>
      <c r="CP1061" s="314"/>
      <c r="CQ1061" s="314"/>
    </row>
    <row r="1062" spans="1:95" ht="5.15" customHeight="1" x14ac:dyDescent="0.25">
      <c r="A1062" s="307"/>
      <c r="B1062" s="68"/>
      <c r="C1062" s="68"/>
      <c r="D1062" s="68"/>
      <c r="E1062" s="68"/>
      <c r="F1062" s="68"/>
      <c r="G1062" s="76"/>
      <c r="H1062" s="76"/>
      <c r="I1062" s="76"/>
      <c r="J1062" s="76"/>
      <c r="K1062" s="76"/>
      <c r="L1062" s="76"/>
      <c r="M1062" s="76"/>
      <c r="N1062" s="76"/>
      <c r="O1062" s="160"/>
      <c r="P1062" s="109"/>
      <c r="Q1062" s="312"/>
      <c r="R1062" s="312"/>
      <c r="S1062" s="314"/>
      <c r="T1062" s="314"/>
      <c r="U1062" s="314"/>
      <c r="V1062" s="314"/>
      <c r="W1062" s="314"/>
      <c r="X1062" s="314"/>
      <c r="Y1062" s="314"/>
      <c r="Z1062" s="314"/>
      <c r="AA1062" s="314"/>
      <c r="AB1062" s="314"/>
      <c r="AC1062" s="314"/>
      <c r="AD1062" s="314"/>
      <c r="AE1062" s="314"/>
      <c r="AF1062" s="314"/>
      <c r="AG1062" s="314"/>
      <c r="AH1062" s="314"/>
      <c r="AI1062" s="314"/>
      <c r="AJ1062" s="314"/>
      <c r="AK1062" s="314"/>
      <c r="AL1062" s="314"/>
      <c r="AM1062" s="314"/>
      <c r="AN1062" s="314"/>
      <c r="AO1062" s="314"/>
      <c r="AP1062" s="314"/>
      <c r="AQ1062" s="314"/>
      <c r="AR1062" s="314"/>
      <c r="AS1062" s="314"/>
      <c r="AT1062" s="314"/>
      <c r="AU1062" s="314"/>
      <c r="AV1062" s="314"/>
      <c r="AW1062" s="314"/>
      <c r="AX1062" s="314"/>
      <c r="AY1062" s="314"/>
      <c r="AZ1062" s="314"/>
      <c r="BA1062" s="314"/>
      <c r="BB1062" s="314"/>
      <c r="BC1062" s="314"/>
      <c r="BD1062" s="314"/>
      <c r="BE1062" s="314"/>
      <c r="BF1062" s="314"/>
      <c r="BG1062" s="314"/>
      <c r="BH1062" s="314"/>
      <c r="BI1062" s="314"/>
      <c r="BJ1062" s="314"/>
      <c r="BK1062" s="314"/>
      <c r="BL1062" s="314"/>
      <c r="BM1062" s="314"/>
      <c r="BN1062" s="314"/>
      <c r="BO1062" s="314"/>
      <c r="BP1062" s="314"/>
      <c r="BQ1062" s="314"/>
      <c r="BR1062" s="314"/>
      <c r="BS1062" s="314"/>
      <c r="BT1062" s="314"/>
      <c r="BU1062" s="314"/>
      <c r="BV1062" s="314"/>
      <c r="BW1062" s="314"/>
      <c r="BX1062" s="314"/>
      <c r="BY1062" s="314"/>
      <c r="BZ1062" s="314"/>
      <c r="CA1062" s="314"/>
      <c r="CB1062" s="314"/>
      <c r="CC1062" s="314"/>
      <c r="CD1062" s="314"/>
      <c r="CE1062" s="314"/>
      <c r="CF1062" s="314"/>
      <c r="CG1062" s="314"/>
      <c r="CH1062" s="314"/>
      <c r="CI1062" s="314"/>
      <c r="CJ1062" s="314"/>
      <c r="CK1062" s="314"/>
      <c r="CL1062" s="314"/>
      <c r="CM1062" s="314"/>
      <c r="CN1062" s="314"/>
      <c r="CO1062" s="314"/>
      <c r="CP1062" s="314"/>
      <c r="CQ1062" s="314"/>
    </row>
    <row r="1063" spans="1:95" ht="12.75" customHeight="1" x14ac:dyDescent="0.25">
      <c r="A1063" s="307"/>
      <c r="B1063" s="68"/>
      <c r="C1063" s="68"/>
      <c r="D1063" s="1246" t="str">
        <f>Translations!$B$399</f>
        <v>Tiers valid from:</v>
      </c>
      <c r="E1063" s="1246"/>
      <c r="F1063" s="1247"/>
      <c r="G1063" s="8"/>
      <c r="H1063" s="199" t="str">
        <f>Translations!$B$400</f>
        <v>until:</v>
      </c>
      <c r="I1063" s="8"/>
      <c r="J1063" s="76"/>
      <c r="K1063" s="76"/>
      <c r="L1063" s="76"/>
      <c r="M1063" s="199" t="str">
        <f>Translations!$B$401</f>
        <v>ID used in the monitoring plan for this fuel stream:</v>
      </c>
      <c r="N1063" s="9"/>
      <c r="O1063" s="160"/>
      <c r="P1063" s="109"/>
      <c r="Q1063" s="312"/>
      <c r="R1063" s="312"/>
      <c r="S1063" s="465"/>
      <c r="T1063" s="314"/>
      <c r="U1063" s="314"/>
      <c r="V1063" s="314"/>
      <c r="W1063" s="314"/>
      <c r="X1063" s="314"/>
      <c r="Y1063" s="314"/>
      <c r="Z1063" s="314"/>
      <c r="AA1063" s="314"/>
      <c r="AB1063" s="314"/>
      <c r="AC1063" s="314"/>
      <c r="AD1063" s="314"/>
      <c r="AE1063" s="314"/>
      <c r="AF1063" s="314"/>
      <c r="AG1063" s="314"/>
      <c r="AH1063" s="314"/>
      <c r="AI1063" s="314"/>
      <c r="AJ1063" s="314"/>
      <c r="AK1063" s="314"/>
      <c r="AL1063" s="314"/>
      <c r="AM1063" s="314"/>
      <c r="AN1063" s="314"/>
      <c r="AO1063" s="314"/>
      <c r="AP1063" s="314"/>
      <c r="AQ1063" s="314"/>
      <c r="AR1063" s="314"/>
      <c r="AS1063" s="314"/>
      <c r="AT1063" s="314"/>
      <c r="AU1063" s="314"/>
      <c r="AV1063" s="314"/>
      <c r="AW1063" s="314"/>
      <c r="AX1063" s="314"/>
      <c r="AY1063" s="314"/>
      <c r="AZ1063" s="314"/>
      <c r="BA1063" s="314"/>
      <c r="BB1063" s="314"/>
      <c r="BC1063" s="314"/>
      <c r="BD1063" s="314"/>
      <c r="BE1063" s="314"/>
      <c r="BF1063" s="314"/>
      <c r="BG1063" s="314"/>
      <c r="BH1063" s="314"/>
      <c r="BI1063" s="314"/>
      <c r="BJ1063" s="314"/>
      <c r="BK1063" s="314"/>
      <c r="BL1063" s="314"/>
      <c r="BM1063" s="314"/>
      <c r="BN1063" s="314"/>
      <c r="BO1063" s="314"/>
      <c r="BP1063" s="314"/>
      <c r="BQ1063" s="314"/>
      <c r="BR1063" s="314"/>
      <c r="BS1063" s="314"/>
      <c r="BT1063" s="314"/>
      <c r="BU1063" s="314"/>
      <c r="BV1063" s="314"/>
      <c r="BW1063" s="314"/>
      <c r="BX1063" s="314"/>
      <c r="BY1063" s="314"/>
      <c r="BZ1063" s="314"/>
      <c r="CA1063" s="314"/>
      <c r="CB1063" s="314"/>
      <c r="CC1063" s="314"/>
      <c r="CD1063" s="314"/>
      <c r="CE1063" s="314"/>
      <c r="CF1063" s="314"/>
      <c r="CG1063" s="314"/>
      <c r="CH1063" s="314"/>
      <c r="CI1063" s="314"/>
      <c r="CJ1063" s="314"/>
      <c r="CK1063" s="314"/>
      <c r="CL1063" s="314"/>
      <c r="CM1063" s="314"/>
      <c r="CN1063" s="314"/>
      <c r="CO1063" s="314"/>
      <c r="CP1063" s="314"/>
      <c r="CQ1063" s="464" t="b">
        <f>CQ1046</f>
        <v>0</v>
      </c>
    </row>
    <row r="1064" spans="1:95" ht="5.15" customHeight="1" x14ac:dyDescent="0.25">
      <c r="A1064" s="462"/>
      <c r="B1064" s="76"/>
      <c r="C1064" s="76"/>
      <c r="D1064" s="76"/>
      <c r="E1064" s="76"/>
      <c r="F1064" s="76"/>
      <c r="G1064" s="76"/>
      <c r="H1064" s="76"/>
      <c r="I1064" s="76"/>
      <c r="J1064" s="76"/>
      <c r="K1064" s="76"/>
      <c r="L1064" s="76"/>
      <c r="M1064" s="76"/>
      <c r="N1064" s="76"/>
      <c r="O1064" s="160"/>
      <c r="P1064" s="109"/>
      <c r="Q1064" s="312"/>
      <c r="R1064" s="312"/>
      <c r="S1064" s="314"/>
      <c r="T1064" s="314"/>
      <c r="U1064" s="314"/>
      <c r="V1064" s="314"/>
      <c r="W1064" s="314"/>
      <c r="X1064" s="314"/>
      <c r="Y1064" s="314"/>
      <c r="Z1064" s="314"/>
      <c r="AA1064" s="314"/>
      <c r="AB1064" s="314"/>
      <c r="AC1064" s="314"/>
      <c r="AD1064" s="314"/>
      <c r="AE1064" s="314"/>
      <c r="AF1064" s="314"/>
      <c r="AG1064" s="314"/>
      <c r="AH1064" s="314"/>
      <c r="AI1064" s="314"/>
      <c r="AJ1064" s="314"/>
      <c r="AK1064" s="314"/>
      <c r="AL1064" s="314"/>
      <c r="AM1064" s="314"/>
      <c r="AN1064" s="314"/>
      <c r="AO1064" s="314"/>
      <c r="AP1064" s="314"/>
      <c r="AQ1064" s="314"/>
      <c r="AR1064" s="314"/>
      <c r="AS1064" s="314"/>
      <c r="AT1064" s="314"/>
      <c r="AU1064" s="314"/>
      <c r="AV1064" s="314"/>
      <c r="AW1064" s="314"/>
      <c r="AX1064" s="314"/>
      <c r="AY1064" s="314"/>
      <c r="AZ1064" s="314"/>
      <c r="BA1064" s="314"/>
      <c r="BB1064" s="314"/>
      <c r="BC1064" s="314"/>
      <c r="BD1064" s="314"/>
      <c r="BE1064" s="314"/>
      <c r="BF1064" s="314"/>
      <c r="BG1064" s="314"/>
      <c r="BH1064" s="314"/>
      <c r="BI1064" s="314"/>
      <c r="BJ1064" s="314"/>
      <c r="BK1064" s="314"/>
      <c r="BL1064" s="314"/>
      <c r="BM1064" s="314"/>
      <c r="BN1064" s="314"/>
      <c r="BO1064" s="314"/>
      <c r="BP1064" s="314"/>
      <c r="BQ1064" s="314"/>
      <c r="BR1064" s="314"/>
      <c r="BS1064" s="314"/>
      <c r="BT1064" s="314"/>
      <c r="BU1064" s="314"/>
      <c r="BV1064" s="314"/>
      <c r="BW1064" s="314"/>
      <c r="BX1064" s="314"/>
      <c r="BY1064" s="314"/>
      <c r="BZ1064" s="314"/>
      <c r="CA1064" s="314"/>
      <c r="CB1064" s="314"/>
      <c r="CC1064" s="314"/>
      <c r="CD1064" s="314"/>
      <c r="CE1064" s="314"/>
      <c r="CF1064" s="314"/>
      <c r="CG1064" s="314"/>
      <c r="CH1064" s="314"/>
      <c r="CI1064" s="314"/>
      <c r="CJ1064" s="314"/>
      <c r="CK1064" s="314"/>
      <c r="CL1064" s="314"/>
      <c r="CM1064" s="314"/>
      <c r="CN1064" s="314"/>
      <c r="CO1064" s="314"/>
      <c r="CP1064" s="314"/>
      <c r="CQ1064" s="314"/>
    </row>
    <row r="1065" spans="1:95" ht="12.75" customHeight="1" x14ac:dyDescent="0.25">
      <c r="A1065" s="462"/>
      <c r="B1065" s="76"/>
      <c r="C1065" s="76"/>
      <c r="D1065" s="115"/>
      <c r="E1065" s="85"/>
      <c r="F1065" s="466" t="str">
        <f>Translations!$B$304</f>
        <v>Comments:</v>
      </c>
      <c r="G1065" s="1250"/>
      <c r="H1065" s="1251"/>
      <c r="I1065" s="1251"/>
      <c r="J1065" s="1251"/>
      <c r="K1065" s="1251"/>
      <c r="L1065" s="1251"/>
      <c r="M1065" s="1251"/>
      <c r="N1065" s="1252"/>
      <c r="O1065" s="160"/>
      <c r="P1065" s="109"/>
      <c r="Q1065" s="312"/>
      <c r="R1065" s="312"/>
      <c r="S1065" s="314"/>
      <c r="T1065" s="314"/>
      <c r="U1065" s="314"/>
      <c r="V1065" s="314"/>
      <c r="W1065" s="314"/>
      <c r="X1065" s="314"/>
      <c r="Y1065" s="314"/>
      <c r="Z1065" s="314"/>
      <c r="AA1065" s="314"/>
      <c r="AB1065" s="314"/>
      <c r="AC1065" s="314"/>
      <c r="AD1065" s="314"/>
      <c r="AE1065" s="314"/>
      <c r="AF1065" s="314"/>
      <c r="AG1065" s="314"/>
      <c r="AH1065" s="314"/>
      <c r="AI1065" s="314"/>
      <c r="AJ1065" s="314"/>
      <c r="AK1065" s="314"/>
      <c r="AL1065" s="314"/>
      <c r="AM1065" s="314"/>
      <c r="AN1065" s="314"/>
      <c r="AO1065" s="314"/>
      <c r="AP1065" s="314"/>
      <c r="AQ1065" s="314"/>
      <c r="AR1065" s="314"/>
      <c r="AS1065" s="314"/>
      <c r="AT1065" s="314"/>
      <c r="AU1065" s="314"/>
      <c r="AV1065" s="314"/>
      <c r="AW1065" s="314"/>
      <c r="AX1065" s="314"/>
      <c r="AY1065" s="314"/>
      <c r="AZ1065" s="314"/>
      <c r="BA1065" s="314"/>
      <c r="BB1065" s="314"/>
      <c r="BC1065" s="314"/>
      <c r="BD1065" s="314"/>
      <c r="BE1065" s="314"/>
      <c r="BF1065" s="314"/>
      <c r="BG1065" s="314"/>
      <c r="BH1065" s="314"/>
      <c r="BI1065" s="314"/>
      <c r="BJ1065" s="314"/>
      <c r="BK1065" s="314"/>
      <c r="BL1065" s="314"/>
      <c r="BM1065" s="314"/>
      <c r="BN1065" s="314"/>
      <c r="BO1065" s="314"/>
      <c r="BP1065" s="314"/>
      <c r="BQ1065" s="314"/>
      <c r="BR1065" s="314"/>
      <c r="BS1065" s="314"/>
      <c r="BT1065" s="314"/>
      <c r="BU1065" s="314"/>
      <c r="BV1065" s="314"/>
      <c r="BW1065" s="314"/>
      <c r="BX1065" s="314"/>
      <c r="BY1065" s="314"/>
      <c r="BZ1065" s="314"/>
      <c r="CA1065" s="314"/>
      <c r="CB1065" s="314"/>
      <c r="CC1065" s="314"/>
      <c r="CD1065" s="314"/>
      <c r="CE1065" s="314"/>
      <c r="CF1065" s="314"/>
      <c r="CG1065" s="314"/>
      <c r="CH1065" s="314"/>
      <c r="CI1065" s="314"/>
      <c r="CJ1065" s="314"/>
      <c r="CK1065" s="314"/>
      <c r="CL1065" s="314"/>
      <c r="CM1065" s="314"/>
      <c r="CN1065" s="314"/>
      <c r="CO1065" s="314"/>
      <c r="CP1065" s="314"/>
      <c r="CQ1065" s="464" t="b">
        <f>CQ1063</f>
        <v>0</v>
      </c>
    </row>
    <row r="1066" spans="1:95" ht="12.75" customHeight="1" thickBot="1" x14ac:dyDescent="0.3">
      <c r="A1066" s="307"/>
      <c r="B1066" s="76"/>
      <c r="C1066" s="308"/>
      <c r="D1066" s="309"/>
      <c r="E1066" s="310"/>
      <c r="F1066" s="308"/>
      <c r="G1066" s="311"/>
      <c r="H1066" s="311"/>
      <c r="I1066" s="311"/>
      <c r="J1066" s="311"/>
      <c r="K1066" s="311"/>
      <c r="L1066" s="311"/>
      <c r="M1066" s="311"/>
      <c r="N1066" s="311"/>
      <c r="O1066" s="160"/>
      <c r="P1066" s="109"/>
      <c r="Q1066" s="312"/>
      <c r="R1066" s="312"/>
      <c r="S1066" s="293"/>
      <c r="T1066" s="293"/>
      <c r="U1066" s="313"/>
      <c r="V1066" s="293"/>
      <c r="W1066" s="293"/>
      <c r="X1066" s="313"/>
      <c r="Y1066" s="293"/>
      <c r="Z1066" s="293"/>
      <c r="AA1066" s="293"/>
      <c r="AB1066" s="293"/>
      <c r="AC1066" s="293"/>
      <c r="AD1066" s="293"/>
      <c r="AE1066" s="293"/>
      <c r="AF1066" s="293"/>
      <c r="AG1066" s="293"/>
      <c r="AH1066" s="293"/>
      <c r="AI1066" s="293"/>
      <c r="AJ1066" s="293"/>
      <c r="AK1066" s="293"/>
      <c r="AL1066" s="293"/>
      <c r="AM1066" s="293"/>
      <c r="AN1066" s="293"/>
      <c r="AO1066" s="293"/>
      <c r="AP1066" s="293"/>
      <c r="AQ1066" s="293"/>
      <c r="AR1066" s="293"/>
      <c r="AS1066" s="293"/>
      <c r="AT1066" s="293"/>
      <c r="AU1066" s="293"/>
      <c r="AV1066" s="293"/>
      <c r="AW1066" s="293"/>
      <c r="AX1066" s="293"/>
      <c r="AY1066" s="293"/>
      <c r="AZ1066" s="293"/>
      <c r="BA1066" s="293"/>
      <c r="BB1066" s="293"/>
      <c r="BC1066" s="293"/>
      <c r="BD1066" s="293"/>
      <c r="BE1066" s="293"/>
      <c r="BF1066" s="293"/>
      <c r="BG1066" s="293"/>
      <c r="BH1066" s="293"/>
      <c r="BI1066" s="293"/>
      <c r="BJ1066" s="293"/>
      <c r="BK1066" s="293"/>
      <c r="BL1066" s="293"/>
      <c r="BM1066" s="314"/>
      <c r="BN1066" s="314"/>
      <c r="BO1066" s="314"/>
      <c r="BP1066" s="314"/>
      <c r="BQ1066" s="314"/>
      <c r="BR1066" s="314"/>
      <c r="BS1066" s="314"/>
      <c r="BT1066" s="314"/>
      <c r="BU1066" s="293"/>
      <c r="BV1066" s="293"/>
      <c r="BW1066" s="293"/>
      <c r="BX1066" s="293"/>
      <c r="BY1066" s="293"/>
      <c r="BZ1066" s="293"/>
      <c r="CA1066" s="293"/>
      <c r="CB1066" s="293"/>
      <c r="CC1066" s="293"/>
      <c r="CD1066" s="293"/>
      <c r="CE1066" s="293"/>
      <c r="CF1066" s="293"/>
      <c r="CG1066" s="293"/>
      <c r="CH1066" s="293"/>
      <c r="CI1066" s="293"/>
      <c r="CJ1066" s="293"/>
      <c r="CK1066" s="293"/>
      <c r="CL1066" s="293"/>
      <c r="CM1066" s="293"/>
      <c r="CN1066" s="293"/>
      <c r="CO1066" s="293"/>
      <c r="CP1066" s="293"/>
      <c r="CQ1066" s="293"/>
    </row>
    <row r="1067" spans="1:95" ht="12.75" customHeight="1" thickBot="1" x14ac:dyDescent="0.3">
      <c r="A1067" s="315"/>
      <c r="B1067" s="76"/>
      <c r="C1067" s="76"/>
      <c r="D1067" s="205"/>
      <c r="E1067" s="316"/>
      <c r="F1067" s="76"/>
      <c r="G1067" s="96"/>
      <c r="H1067" s="96"/>
      <c r="I1067" s="96"/>
      <c r="J1067" s="96"/>
      <c r="K1067" s="76"/>
      <c r="L1067" s="96"/>
      <c r="M1067" s="96"/>
      <c r="N1067" s="96"/>
      <c r="O1067" s="160"/>
      <c r="P1067" s="109"/>
      <c r="Q1067" s="312"/>
      <c r="R1067" s="312"/>
      <c r="S1067" s="287"/>
      <c r="T1067" s="317" t="str">
        <f>IF(ISBLANK(E1068),"",MATCH(E1068,CNTR_SourceStreamNames,0))</f>
        <v/>
      </c>
      <c r="U1067" s="318" t="str">
        <f>IF(ISBLANK(E1068),"",INDEX(B_IdentifyFuelStreams!$D$67:$D$116,MATCH(E1068,CNTR_SourceStreamNames,0)))</f>
        <v/>
      </c>
      <c r="V1067" s="301"/>
      <c r="W1067" s="138"/>
      <c r="X1067" s="138"/>
      <c r="Y1067" s="138"/>
      <c r="Z1067" s="293"/>
      <c r="AA1067" s="293"/>
      <c r="AB1067" s="293"/>
      <c r="AC1067" s="293"/>
      <c r="AD1067" s="293"/>
      <c r="AE1067" s="293"/>
      <c r="AF1067" s="293"/>
      <c r="AG1067" s="293"/>
      <c r="AH1067" s="293"/>
      <c r="AI1067" s="293"/>
      <c r="AJ1067" s="293"/>
      <c r="AK1067" s="312"/>
      <c r="AL1067" s="293"/>
      <c r="AM1067" s="293"/>
      <c r="AN1067" s="293"/>
      <c r="AO1067" s="293"/>
      <c r="AP1067" s="293"/>
      <c r="AQ1067" s="293"/>
      <c r="AR1067" s="293"/>
      <c r="AS1067" s="293"/>
      <c r="AT1067" s="293"/>
      <c r="AU1067" s="293"/>
      <c r="AV1067" s="293"/>
      <c r="AW1067" s="293"/>
      <c r="AX1067" s="293"/>
      <c r="AY1067" s="293"/>
      <c r="AZ1067" s="293"/>
      <c r="BA1067" s="293"/>
      <c r="BB1067" s="293"/>
      <c r="BC1067" s="293"/>
      <c r="BD1067" s="293"/>
      <c r="BE1067" s="293"/>
      <c r="BF1067" s="293"/>
      <c r="BG1067" s="293"/>
      <c r="BH1067" s="293"/>
      <c r="BI1067" s="293"/>
      <c r="BJ1067" s="138"/>
      <c r="BK1067" s="138"/>
      <c r="BL1067" s="138"/>
      <c r="BM1067" s="138"/>
      <c r="BN1067" s="138"/>
      <c r="BO1067" s="138"/>
      <c r="BP1067" s="138"/>
      <c r="BQ1067" s="138"/>
      <c r="BR1067" s="138"/>
      <c r="BS1067" s="138"/>
      <c r="BT1067" s="138"/>
      <c r="BU1067" s="138"/>
      <c r="BV1067" s="138"/>
      <c r="BW1067" s="138"/>
      <c r="BX1067" s="138"/>
      <c r="BY1067" s="138"/>
      <c r="BZ1067" s="138"/>
      <c r="CA1067" s="138"/>
      <c r="CB1067" s="138"/>
      <c r="CC1067" s="138"/>
      <c r="CD1067" s="138"/>
      <c r="CE1067" s="138"/>
      <c r="CF1067" s="138"/>
      <c r="CG1067" s="138"/>
      <c r="CH1067" s="138"/>
      <c r="CI1067" s="138"/>
      <c r="CJ1067" s="138"/>
      <c r="CK1067" s="138"/>
      <c r="CL1067" s="138"/>
      <c r="CM1067" s="138"/>
      <c r="CN1067" s="138"/>
      <c r="CO1067" s="138"/>
      <c r="CP1067" s="138"/>
      <c r="CQ1067" s="319" t="s">
        <v>107</v>
      </c>
    </row>
    <row r="1068" spans="1:95" ht="15" customHeight="1" thickBot="1" x14ac:dyDescent="0.3">
      <c r="A1068" s="320">
        <f>C1068</f>
        <v>37</v>
      </c>
      <c r="B1068" s="68"/>
      <c r="C1068" s="321">
        <f>C1040+1</f>
        <v>37</v>
      </c>
      <c r="D1068" s="68"/>
      <c r="E1068" s="1269"/>
      <c r="F1068" s="1270"/>
      <c r="G1068" s="1270"/>
      <c r="H1068" s="1270"/>
      <c r="I1068" s="1270"/>
      <c r="J1068" s="1271"/>
      <c r="K1068" s="1272" t="str">
        <f>IF(INDEX(B_IdentifyFuelStreams!$K$125:$K$174,MATCH(U1067,B_IdentifyFuelStreams!$D$125:$D$174,0))&gt;0,INDEX(B_IdentifyFuelStreams!$K$125:$K$174,MATCH(U1067,B_IdentifyFuelStreams!$D$125:$D$174,0)),"")</f>
        <v/>
      </c>
      <c r="L1068" s="1273"/>
      <c r="M1068" s="316" t="str">
        <f>Translations!$B$621</f>
        <v>Emissions:</v>
      </c>
      <c r="N1068" s="322" t="str">
        <f>IF(E1069="","",BG1074)</f>
        <v/>
      </c>
      <c r="O1068" s="323" t="str">
        <f>EUconst_tCO2</f>
        <v>tCO2</v>
      </c>
      <c r="P1068" s="324" t="str">
        <f>IF(AND(E1068&lt;&gt;"",COUNTIF(P1069:$P$1649,"PRINT")=0),"PRINT","")</f>
        <v/>
      </c>
      <c r="Q1068" s="325" t="str">
        <f>EUconst_SumCO2</f>
        <v>SUM_CO2</v>
      </c>
      <c r="R1068" s="312"/>
      <c r="S1068" s="287"/>
      <c r="T1068" s="287"/>
      <c r="U1068" s="287"/>
      <c r="V1068" s="301"/>
      <c r="W1068" s="138"/>
      <c r="X1068" s="293"/>
      <c r="Y1068" s="293"/>
      <c r="Z1068" s="293"/>
      <c r="AA1068" s="293"/>
      <c r="AB1068" s="293"/>
      <c r="AC1068" s="293"/>
      <c r="AD1068" s="293"/>
      <c r="AE1068" s="293"/>
      <c r="AF1068" s="293"/>
      <c r="AG1068" s="293"/>
      <c r="AH1068" s="293"/>
      <c r="AI1068" s="326"/>
      <c r="AJ1068" s="326"/>
      <c r="AK1068" s="326"/>
      <c r="AL1068" s="326"/>
      <c r="AM1068" s="326"/>
      <c r="AN1068" s="326"/>
      <c r="AO1068" s="326"/>
      <c r="AP1068" s="326"/>
      <c r="AQ1068" s="326"/>
      <c r="AR1068" s="326"/>
      <c r="AS1068" s="326"/>
      <c r="AT1068" s="326"/>
      <c r="AU1068" s="326"/>
      <c r="AV1068" s="326"/>
      <c r="AW1068" s="326"/>
      <c r="AX1068" s="326"/>
      <c r="AY1068" s="326"/>
      <c r="AZ1068" s="326"/>
      <c r="BA1068" s="326"/>
      <c r="BB1068" s="326"/>
      <c r="BC1068" s="326"/>
      <c r="BD1068" s="326"/>
      <c r="BE1068" s="326"/>
      <c r="BF1068" s="326"/>
      <c r="BG1068" s="326"/>
      <c r="BH1068" s="326"/>
      <c r="BI1068" s="327" t="str">
        <f>IF(E1068="","",E1068)</f>
        <v/>
      </c>
      <c r="BJ1068" s="328" t="str">
        <f>IF(F1074="","",F1074)</f>
        <v/>
      </c>
      <c r="BK1068" s="329">
        <f>AV1074</f>
        <v>0</v>
      </c>
      <c r="BL1068" s="329">
        <f>IF(BK1068="","",BK1068*(1-BP1068))</f>
        <v>0</v>
      </c>
      <c r="BM1068" s="328" t="str">
        <f>AJ1074</f>
        <v/>
      </c>
      <c r="BN1068" s="328" t="str">
        <f>IF(F1085="","",F1085)</f>
        <v/>
      </c>
      <c r="BO1068" s="327" t="str">
        <f>IF(G1085="","",G1085)</f>
        <v/>
      </c>
      <c r="BP1068" s="330">
        <f>AV1085</f>
        <v>0</v>
      </c>
      <c r="BQ1068" s="328" t="str">
        <f>IF(F1077="","",F1077)</f>
        <v/>
      </c>
      <c r="BR1068" s="330">
        <f>AV1077</f>
        <v>0</v>
      </c>
      <c r="BS1068" s="330" t="str">
        <f>AJ1077</f>
        <v/>
      </c>
      <c r="BT1068" s="328" t="str">
        <f>IF(F1076="","",F1076)</f>
        <v/>
      </c>
      <c r="BU1068" s="330">
        <f>IF(F1076=EUconst_NA,"",AV1076)</f>
        <v>0</v>
      </c>
      <c r="BV1068" s="330" t="str">
        <f>AJ1076</f>
        <v/>
      </c>
      <c r="BW1068" s="328" t="str">
        <f>IF(F1078="","",F1078)</f>
        <v/>
      </c>
      <c r="BX1068" s="330">
        <f>AV1078</f>
        <v>0</v>
      </c>
      <c r="BY1068" s="328" t="str">
        <f>IF(F1079="","",F1079)</f>
        <v/>
      </c>
      <c r="BZ1068" s="330">
        <f>AV1079</f>
        <v>0</v>
      </c>
      <c r="CA1068" s="330">
        <f>AV1080</f>
        <v>0</v>
      </c>
      <c r="CB1068" s="330">
        <f>AV1081</f>
        <v>0</v>
      </c>
      <c r="CC1068" s="330">
        <f>AV1082</f>
        <v>0</v>
      </c>
      <c r="CD1068" s="330">
        <f>AV1083</f>
        <v>0</v>
      </c>
      <c r="CE1068" s="329" t="str">
        <f>BG1074</f>
        <v/>
      </c>
      <c r="CF1068" s="329" t="str">
        <f>BG1076</f>
        <v/>
      </c>
      <c r="CG1068" s="329" t="str">
        <f>BG1077</f>
        <v/>
      </c>
      <c r="CH1068" s="329" t="str">
        <f>BG1078</f>
        <v/>
      </c>
      <c r="CI1068" s="329" t="str">
        <f>BG1079</f>
        <v/>
      </c>
      <c r="CJ1068" s="329" t="str">
        <f>BG1080</f>
        <v/>
      </c>
      <c r="CK1068" s="329" t="str">
        <f>BG1081</f>
        <v/>
      </c>
      <c r="CL1068" s="329">
        <f>BG1082</f>
        <v>0</v>
      </c>
      <c r="CM1068" s="329" t="str">
        <f>BG1083</f>
        <v/>
      </c>
      <c r="CN1068" s="329" t="str">
        <f>BG1085</f>
        <v/>
      </c>
      <c r="CO1068" s="329" t="str">
        <f>BG1089</f>
        <v/>
      </c>
      <c r="CP1068" s="329" t="str">
        <f>IF(COUNTIF(AO1077:AO1078,TRUE)=0,"",BH1074)</f>
        <v/>
      </c>
      <c r="CQ1068" s="331" t="b">
        <v>0</v>
      </c>
    </row>
    <row r="1069" spans="1:95" ht="15" customHeight="1" thickBot="1" x14ac:dyDescent="0.3">
      <c r="A1069" s="307"/>
      <c r="B1069" s="68"/>
      <c r="C1069" s="68"/>
      <c r="D1069" s="68"/>
      <c r="E1069" s="1274" t="str">
        <f>IF(ISBLANK(E1068),"",IF(INDEX(B_IdentifyFuelStreams!$E$67:$E$116,MATCH(U1067,B_IdentifyFuelStreams!$D$67:$D$116,0))&gt;0,INDEX(B_IdentifyFuelStreams!$E$67:$E$116,MATCH(U1067,B_IdentifyFuelStreams!$D$67:$D$116,0)),""))</f>
        <v/>
      </c>
      <c r="F1069" s="1275"/>
      <c r="G1069" s="1275"/>
      <c r="H1069" s="1275"/>
      <c r="I1069" s="1275"/>
      <c r="J1069" s="1276"/>
      <c r="K1069" s="1272" t="str">
        <f>IF(INDEX(B_IdentifyFuelStreams!$M$125:$M$174,MATCH(U1067,B_IdentifyFuelStreams!$D$125:$D$174,0))&gt;0,INDEX(B_IdentifyFuelStreams!$M$125:$M$174,MATCH(U1067,B_IdentifyFuelStreams!$D$125:$D$174,0)),"")</f>
        <v/>
      </c>
      <c r="L1069" s="1273"/>
      <c r="M1069" s="332" t="str">
        <f>Translations!$B$622</f>
        <v>zero-rated:</v>
      </c>
      <c r="N1069" s="333" t="str">
        <f>IF(E1069="","",SUM(BG1076,BG1078,BG1080))</f>
        <v/>
      </c>
      <c r="O1069" s="334" t="str">
        <f>EUconst_tCO2</f>
        <v>tCO2</v>
      </c>
      <c r="P1069" s="109"/>
      <c r="Q1069" s="325" t="str">
        <f>EUconst_SumBioCO2</f>
        <v>SUM_bioCO2</v>
      </c>
      <c r="R1069" s="312"/>
      <c r="S1069" s="287"/>
      <c r="T1069" s="287"/>
      <c r="U1069" s="287"/>
      <c r="V1069" s="301"/>
      <c r="W1069" s="138"/>
      <c r="X1069" s="293"/>
      <c r="Y1069" s="317" t="str">
        <f>Translations!$B$143</f>
        <v>Tiers</v>
      </c>
      <c r="Z1069" s="314"/>
      <c r="AA1069" s="314"/>
      <c r="AB1069" s="314"/>
      <c r="AC1069" s="314"/>
      <c r="AD1069" s="314"/>
      <c r="AE1069" s="317" t="s">
        <v>108</v>
      </c>
      <c r="AF1069" s="293"/>
      <c r="AG1069" s="335"/>
      <c r="AH1069" s="314"/>
      <c r="AI1069" s="314"/>
      <c r="AJ1069" s="335"/>
      <c r="AK1069" s="335"/>
      <c r="AL1069" s="326"/>
      <c r="AM1069" s="326"/>
      <c r="AN1069" s="326"/>
      <c r="AO1069" s="326"/>
      <c r="AP1069" s="326"/>
      <c r="AQ1069" s="317" t="s">
        <v>109</v>
      </c>
      <c r="AR1069" s="336"/>
      <c r="AS1069" s="336"/>
      <c r="AT1069" s="314"/>
      <c r="AU1069" s="314"/>
      <c r="AV1069" s="314"/>
      <c r="AW1069" s="314"/>
      <c r="AX1069" s="314"/>
      <c r="AY1069" s="314"/>
      <c r="AZ1069" s="317" t="s">
        <v>110</v>
      </c>
      <c r="BA1069" s="314"/>
      <c r="BB1069" s="314"/>
      <c r="BC1069" s="314"/>
      <c r="BD1069" s="314"/>
      <c r="BE1069" s="314"/>
      <c r="BF1069" s="317" t="s">
        <v>111</v>
      </c>
      <c r="BG1069" s="314"/>
      <c r="BH1069" s="314"/>
      <c r="BI1069" s="317" t="s">
        <v>112</v>
      </c>
      <c r="BJ1069" s="328" t="str">
        <f>Translations!$B$376</f>
        <v>RFA Tier</v>
      </c>
      <c r="BK1069" s="328" t="str">
        <f>Translations!$B$377</f>
        <v>RFA</v>
      </c>
      <c r="BL1069" s="328" t="str">
        <f>Translations!$B$378</f>
        <v>RFA (in scope)</v>
      </c>
      <c r="BM1069" s="328" t="str">
        <f>Translations!$B$379</f>
        <v>RFA Unit</v>
      </c>
      <c r="BN1069" s="328" t="str">
        <f>Translations!$B$380</f>
        <v>SF Tier</v>
      </c>
      <c r="BO1069" s="328" t="str">
        <f>Translations!$B$380</f>
        <v>SF Tier</v>
      </c>
      <c r="BP1069" s="328" t="str">
        <f>Translations!$B$381</f>
        <v>SF</v>
      </c>
      <c r="BQ1069" s="328" t="str">
        <f>Translations!$B$382</f>
        <v>EF Tier</v>
      </c>
      <c r="BR1069" s="328" t="str">
        <f>Translations!$B$383</f>
        <v>EF</v>
      </c>
      <c r="BS1069" s="328" t="str">
        <f>Translations!$B$384</f>
        <v>EF Unit</v>
      </c>
      <c r="BT1069" s="328" t="str">
        <f>Translations!$B$385</f>
        <v>UCF Tier</v>
      </c>
      <c r="BU1069" s="328" t="str">
        <f>Translations!$B$386</f>
        <v>UCF</v>
      </c>
      <c r="BV1069" s="328" t="str">
        <f>Translations!$B$387</f>
        <v>UCF Unit</v>
      </c>
      <c r="BW1069" s="328" t="str">
        <f>Translations!$B$388</f>
        <v>Bio Tier</v>
      </c>
      <c r="BX1069" s="328" t="s">
        <v>113</v>
      </c>
      <c r="BY1069" s="328" t="str">
        <f>Translations!$B$389</f>
        <v>NonSustBio Tier</v>
      </c>
      <c r="BZ1069" s="328" t="s">
        <v>114</v>
      </c>
      <c r="CA1069" s="328" t="s">
        <v>115</v>
      </c>
      <c r="CB1069" s="328" t="s">
        <v>116</v>
      </c>
      <c r="CC1069" s="328" t="s">
        <v>117</v>
      </c>
      <c r="CD1069" s="328" t="s">
        <v>118</v>
      </c>
      <c r="CE1069" s="328" t="s">
        <v>119</v>
      </c>
      <c r="CF1069" s="328" t="s">
        <v>120</v>
      </c>
      <c r="CG1069" s="328" t="str">
        <f>Translations!$B$392</f>
        <v>CO2 non-sust</v>
      </c>
      <c r="CH1069" s="328" t="s">
        <v>121</v>
      </c>
      <c r="CI1069" s="328" t="s">
        <v>122</v>
      </c>
      <c r="CJ1069" s="328" t="s">
        <v>123</v>
      </c>
      <c r="CK1069" s="328" t="s">
        <v>124</v>
      </c>
      <c r="CL1069" s="328" t="s">
        <v>125</v>
      </c>
      <c r="CM1069" s="328" t="str">
        <f>Translations!$B$551</f>
        <v>Energy content (bio), TJ</v>
      </c>
      <c r="CN1069" s="328" t="s">
        <v>126</v>
      </c>
      <c r="CO1069" s="328" t="s">
        <v>127</v>
      </c>
      <c r="CP1069" s="328" t="s">
        <v>128</v>
      </c>
      <c r="CQ1069" s="314"/>
    </row>
    <row r="1070" spans="1:95" ht="5.15" customHeight="1" thickBot="1" x14ac:dyDescent="0.3">
      <c r="A1070" s="307"/>
      <c r="B1070" s="68"/>
      <c r="C1070" s="68"/>
      <c r="D1070" s="68"/>
      <c r="E1070" s="68"/>
      <c r="F1070" s="68"/>
      <c r="G1070" s="68"/>
      <c r="H1070" s="76"/>
      <c r="I1070" s="76"/>
      <c r="J1070" s="76"/>
      <c r="K1070" s="76"/>
      <c r="L1070" s="76"/>
      <c r="M1070" s="76"/>
      <c r="N1070" s="76"/>
      <c r="O1070" s="160"/>
      <c r="P1070" s="109"/>
      <c r="Q1070" s="312"/>
      <c r="R1070" s="312"/>
      <c r="S1070" s="287"/>
      <c r="T1070" s="287"/>
      <c r="U1070" s="287"/>
      <c r="V1070" s="301"/>
      <c r="W1070" s="314"/>
      <c r="X1070" s="314"/>
      <c r="Y1070" s="312"/>
      <c r="Z1070" s="314"/>
      <c r="AA1070" s="314"/>
      <c r="AB1070" s="314"/>
      <c r="AC1070" s="314"/>
      <c r="AD1070" s="314"/>
      <c r="AE1070" s="314"/>
      <c r="AF1070" s="293"/>
      <c r="AG1070" s="314"/>
      <c r="AH1070" s="314"/>
      <c r="AI1070" s="314"/>
      <c r="AJ1070" s="335"/>
      <c r="AK1070" s="335"/>
      <c r="AL1070" s="326"/>
      <c r="AM1070" s="326"/>
      <c r="AN1070" s="326"/>
      <c r="AO1070" s="326"/>
      <c r="AP1070" s="326"/>
      <c r="AQ1070" s="314"/>
      <c r="AR1070" s="314"/>
      <c r="AS1070" s="314"/>
      <c r="AT1070" s="314"/>
      <c r="AU1070" s="314"/>
      <c r="AV1070" s="314"/>
      <c r="AW1070" s="314"/>
      <c r="AX1070" s="314"/>
      <c r="AY1070" s="314"/>
      <c r="AZ1070" s="314"/>
      <c r="BA1070" s="314"/>
      <c r="BB1070" s="314"/>
      <c r="BC1070" s="314"/>
      <c r="BD1070" s="314"/>
      <c r="BE1070" s="314"/>
      <c r="BF1070" s="314"/>
      <c r="BG1070" s="314"/>
      <c r="BH1070" s="314"/>
      <c r="BI1070" s="314"/>
      <c r="BJ1070" s="314"/>
      <c r="BK1070" s="314"/>
      <c r="BL1070" s="314"/>
      <c r="BM1070" s="314"/>
      <c r="BN1070" s="314"/>
      <c r="BO1070" s="314"/>
      <c r="BP1070" s="314"/>
      <c r="BQ1070" s="314"/>
      <c r="BR1070" s="314"/>
      <c r="BS1070" s="314"/>
      <c r="BT1070" s="314"/>
      <c r="BU1070" s="314"/>
      <c r="BV1070" s="314"/>
      <c r="BW1070" s="314"/>
      <c r="BX1070" s="314"/>
      <c r="BY1070" s="314"/>
      <c r="BZ1070" s="314"/>
      <c r="CA1070" s="314"/>
      <c r="CB1070" s="314"/>
      <c r="CC1070" s="314"/>
      <c r="CD1070" s="314"/>
      <c r="CE1070" s="314"/>
      <c r="CF1070" s="314"/>
      <c r="CG1070" s="314"/>
      <c r="CH1070" s="314"/>
      <c r="CI1070" s="314"/>
      <c r="CJ1070" s="314"/>
      <c r="CK1070" s="314"/>
      <c r="CL1070" s="314"/>
      <c r="CM1070" s="314"/>
      <c r="CN1070" s="314"/>
      <c r="CO1070" s="314"/>
      <c r="CP1070" s="314"/>
      <c r="CQ1070" s="314"/>
    </row>
    <row r="1071" spans="1:95" ht="12.75" customHeight="1" thickBot="1" x14ac:dyDescent="0.3">
      <c r="A1071" s="307"/>
      <c r="B1071" s="68"/>
      <c r="C1071" s="68"/>
      <c r="D1071" s="68"/>
      <c r="E1071" s="1253" t="str">
        <f>IF(E1068="","",HYPERLINK("#JUMP_E_Top",EUconst_FurtherGuidancePoint1))</f>
        <v/>
      </c>
      <c r="F1071" s="1253"/>
      <c r="G1071" s="1253"/>
      <c r="H1071" s="1253"/>
      <c r="I1071" s="1253"/>
      <c r="J1071" s="1253"/>
      <c r="K1071" s="1253"/>
      <c r="L1071" s="1253"/>
      <c r="M1071" s="1253"/>
      <c r="N1071" s="76"/>
      <c r="O1071" s="160"/>
      <c r="P1071" s="109"/>
      <c r="Q1071" s="325" t="str">
        <f>EUconst_SumNonSustBioCO2</f>
        <v>SUM_bioNonSustCO2</v>
      </c>
      <c r="R1071" s="337" t="str">
        <f>IF(E1069="","",BG1077)</f>
        <v/>
      </c>
      <c r="S1071" s="287"/>
      <c r="T1071" s="287"/>
      <c r="U1071" s="287"/>
      <c r="V1071" s="314"/>
      <c r="W1071" s="314"/>
      <c r="X1071" s="314"/>
      <c r="Y1071" s="293"/>
      <c r="Z1071" s="314"/>
      <c r="AA1071" s="314"/>
      <c r="AB1071" s="314"/>
      <c r="AC1071" s="314"/>
      <c r="AD1071" s="314"/>
      <c r="AE1071" s="314"/>
      <c r="AF1071" s="293"/>
      <c r="AG1071" s="314"/>
      <c r="AH1071" s="314"/>
      <c r="AI1071" s="314"/>
      <c r="AJ1071" s="335"/>
      <c r="AK1071" s="335"/>
      <c r="AL1071" s="326"/>
      <c r="AM1071" s="326"/>
      <c r="AN1071" s="326"/>
      <c r="AO1071" s="326"/>
      <c r="AP1071" s="326"/>
      <c r="AQ1071" s="314"/>
      <c r="AR1071" s="314"/>
      <c r="AS1071" s="314"/>
      <c r="AT1071" s="314"/>
      <c r="AU1071" s="314"/>
      <c r="AV1071" s="314"/>
      <c r="AW1071" s="314"/>
      <c r="AX1071" s="314"/>
      <c r="AY1071" s="314"/>
      <c r="AZ1071" s="314"/>
      <c r="BA1071" s="314"/>
      <c r="BB1071" s="314"/>
      <c r="BC1071" s="314"/>
      <c r="BD1071" s="314"/>
      <c r="BE1071" s="314"/>
      <c r="BF1071" s="314"/>
      <c r="BG1071" s="314"/>
      <c r="BH1071" s="314"/>
      <c r="BI1071" s="317" t="s">
        <v>129</v>
      </c>
      <c r="BJ1071" s="336"/>
      <c r="BK1071" s="327" t="str">
        <f>IF(G1089="","",G1089)</f>
        <v/>
      </c>
      <c r="BL1071" s="327" t="str">
        <f>IF(I1089="","",I1089)</f>
        <v/>
      </c>
      <c r="BM1071" s="327" t="str">
        <f>IF(K1089="","",K1089)</f>
        <v/>
      </c>
      <c r="BN1071" s="314"/>
      <c r="BO1071" s="314"/>
      <c r="BP1071" s="314"/>
      <c r="BQ1071" s="314"/>
      <c r="BR1071" s="314"/>
      <c r="BS1071" s="314"/>
      <c r="BT1071" s="319"/>
      <c r="BU1071" s="314"/>
      <c r="BV1071" s="314"/>
      <c r="BW1071" s="314"/>
      <c r="BX1071" s="314"/>
      <c r="BY1071" s="314"/>
      <c r="BZ1071" s="314"/>
      <c r="CA1071" s="314"/>
      <c r="CB1071" s="314"/>
      <c r="CC1071" s="314"/>
      <c r="CD1071" s="314"/>
      <c r="CE1071" s="314"/>
      <c r="CF1071" s="314"/>
      <c r="CG1071" s="314"/>
      <c r="CH1071" s="314"/>
      <c r="CI1071" s="314"/>
      <c r="CJ1071" s="314"/>
      <c r="CK1071" s="314"/>
      <c r="CL1071" s="314"/>
      <c r="CM1071" s="314"/>
      <c r="CN1071" s="314"/>
      <c r="CO1071" s="314"/>
      <c r="CP1071" s="314"/>
      <c r="CQ1071" s="314"/>
    </row>
    <row r="1072" spans="1:95" ht="5.15" customHeight="1" thickBot="1" x14ac:dyDescent="0.3">
      <c r="A1072" s="307"/>
      <c r="B1072" s="68"/>
      <c r="C1072" s="68"/>
      <c r="D1072" s="68"/>
      <c r="E1072" s="68"/>
      <c r="F1072" s="68"/>
      <c r="G1072" s="68"/>
      <c r="H1072" s="76"/>
      <c r="I1072" s="76"/>
      <c r="J1072" s="76"/>
      <c r="K1072" s="76"/>
      <c r="L1072" s="76"/>
      <c r="M1072" s="76"/>
      <c r="N1072" s="76"/>
      <c r="O1072" s="160"/>
      <c r="P1072" s="111"/>
      <c r="Q1072" s="287"/>
      <c r="R1072" s="111"/>
      <c r="S1072" s="287"/>
      <c r="T1072" s="287"/>
      <c r="U1072" s="287"/>
      <c r="V1072" s="314"/>
      <c r="W1072" s="314"/>
      <c r="X1072" s="314"/>
      <c r="Y1072" s="312"/>
      <c r="Z1072" s="314"/>
      <c r="AA1072" s="314"/>
      <c r="AB1072" s="314"/>
      <c r="AC1072" s="314"/>
      <c r="AD1072" s="314"/>
      <c r="AE1072" s="314"/>
      <c r="AF1072" s="293"/>
      <c r="AG1072" s="314"/>
      <c r="AH1072" s="314"/>
      <c r="AI1072" s="314"/>
      <c r="AJ1072" s="335"/>
      <c r="AK1072" s="335"/>
      <c r="AL1072" s="326"/>
      <c r="AM1072" s="326"/>
      <c r="AN1072" s="326"/>
      <c r="AO1072" s="326"/>
      <c r="AP1072" s="326"/>
      <c r="AQ1072" s="314"/>
      <c r="AR1072" s="314"/>
      <c r="AS1072" s="314"/>
      <c r="AT1072" s="314"/>
      <c r="AU1072" s="314"/>
      <c r="AV1072" s="314"/>
      <c r="AW1072" s="314"/>
      <c r="AX1072" s="314"/>
      <c r="AY1072" s="314"/>
      <c r="AZ1072" s="314"/>
      <c r="BA1072" s="314"/>
      <c r="BB1072" s="314"/>
      <c r="BC1072" s="314"/>
      <c r="BD1072" s="314"/>
      <c r="BE1072" s="314"/>
      <c r="BF1072" s="314"/>
      <c r="BG1072" s="314"/>
      <c r="BH1072" s="314"/>
      <c r="BI1072" s="314"/>
      <c r="BJ1072" s="314"/>
      <c r="BK1072" s="314"/>
      <c r="BL1072" s="314"/>
      <c r="BM1072" s="314"/>
      <c r="BN1072" s="314"/>
      <c r="BO1072" s="314"/>
      <c r="BP1072" s="314"/>
      <c r="BQ1072" s="314"/>
      <c r="BR1072" s="314"/>
      <c r="BS1072" s="314"/>
      <c r="BT1072" s="314"/>
      <c r="BU1072" s="314"/>
      <c r="BV1072" s="314"/>
      <c r="BW1072" s="314"/>
      <c r="BX1072" s="314"/>
      <c r="BY1072" s="314"/>
      <c r="BZ1072" s="314"/>
      <c r="CA1072" s="314"/>
      <c r="CB1072" s="314"/>
      <c r="CC1072" s="314"/>
      <c r="CD1072" s="314"/>
      <c r="CE1072" s="314"/>
      <c r="CF1072" s="314"/>
      <c r="CG1072" s="314"/>
      <c r="CH1072" s="314"/>
      <c r="CI1072" s="314"/>
      <c r="CJ1072" s="314"/>
      <c r="CK1072" s="314"/>
      <c r="CL1072" s="314"/>
      <c r="CM1072" s="314"/>
      <c r="CN1072" s="314"/>
      <c r="CO1072" s="314"/>
      <c r="CP1072" s="314"/>
      <c r="CQ1072" s="314"/>
    </row>
    <row r="1073" spans="1:95" ht="12.75" customHeight="1" thickBot="1" x14ac:dyDescent="0.3">
      <c r="A1073" s="307"/>
      <c r="B1073" s="68"/>
      <c r="C1073" s="68"/>
      <c r="D1073" s="68"/>
      <c r="E1073" s="68"/>
      <c r="F1073" s="338" t="str">
        <f>Translations!$B$127</f>
        <v>Tier</v>
      </c>
      <c r="G1073" s="1254" t="str">
        <f>Translations!$B$393</f>
        <v>tier description</v>
      </c>
      <c r="H1073" s="1254"/>
      <c r="I1073" s="1255" t="str">
        <f>Translations!$B$394</f>
        <v>Unit</v>
      </c>
      <c r="J1073" s="1255"/>
      <c r="K1073" s="1255" t="str">
        <f>Translations!$B$395</f>
        <v>Value</v>
      </c>
      <c r="L1073" s="1255"/>
      <c r="M1073" s="205" t="str">
        <f>Translations!$B$396</f>
        <v>error</v>
      </c>
      <c r="N1073" s="76"/>
      <c r="O1073" s="160"/>
      <c r="P1073" s="339"/>
      <c r="Q1073" s="325" t="str">
        <f>EUconst_SumEnergyIN</f>
        <v>SUM_EnergyIN</v>
      </c>
      <c r="R1073" s="340" t="str">
        <f>IF(E1069="","",BG1082)</f>
        <v/>
      </c>
      <c r="S1073" s="314"/>
      <c r="T1073" s="314"/>
      <c r="U1073" s="314"/>
      <c r="V1073" s="341" t="s">
        <v>130</v>
      </c>
      <c r="W1073" s="314"/>
      <c r="X1073" s="314"/>
      <c r="Y1073" s="312" t="s">
        <v>131</v>
      </c>
      <c r="Z1073" s="312" t="s">
        <v>132</v>
      </c>
      <c r="AA1073" s="314"/>
      <c r="AB1073" s="314"/>
      <c r="AC1073" s="336" t="s">
        <v>133</v>
      </c>
      <c r="AD1073" s="314"/>
      <c r="AE1073" s="314"/>
      <c r="AF1073" s="314" t="s">
        <v>134</v>
      </c>
      <c r="AG1073" s="314" t="s">
        <v>135</v>
      </c>
      <c r="AH1073" s="312" t="s">
        <v>136</v>
      </c>
      <c r="AI1073" s="335" t="s">
        <v>137</v>
      </c>
      <c r="AJ1073" s="335" t="s">
        <v>138</v>
      </c>
      <c r="AK1073" s="342" t="s">
        <v>139</v>
      </c>
      <c r="AL1073" s="326"/>
      <c r="AM1073" s="326"/>
      <c r="AN1073" s="326"/>
      <c r="AO1073" s="326"/>
      <c r="AP1073" s="326"/>
      <c r="AQ1073" s="314"/>
      <c r="AR1073" s="314" t="s">
        <v>134</v>
      </c>
      <c r="AS1073" s="314" t="s">
        <v>135</v>
      </c>
      <c r="AT1073" s="343" t="s">
        <v>140</v>
      </c>
      <c r="AU1073" s="335" t="s">
        <v>141</v>
      </c>
      <c r="AV1073" s="335" t="s">
        <v>142</v>
      </c>
      <c r="AW1073" s="342" t="s">
        <v>139</v>
      </c>
      <c r="AX1073" s="342" t="s">
        <v>139</v>
      </c>
      <c r="AY1073" s="314"/>
      <c r="AZ1073" s="314"/>
      <c r="BA1073" s="314"/>
      <c r="BB1073" s="314" t="s">
        <v>143</v>
      </c>
      <c r="BC1073" s="314"/>
      <c r="BD1073" s="314"/>
      <c r="BE1073" s="314"/>
      <c r="BF1073" s="314"/>
      <c r="BG1073" s="319" t="s">
        <v>144</v>
      </c>
      <c r="BH1073" s="314" t="s">
        <v>145</v>
      </c>
      <c r="BI1073" s="314"/>
      <c r="BJ1073" s="314"/>
      <c r="BK1073" s="314"/>
      <c r="BL1073" s="314"/>
      <c r="BM1073" s="314"/>
      <c r="BN1073" s="314"/>
      <c r="BO1073" s="314"/>
      <c r="BP1073" s="314"/>
      <c r="BQ1073" s="314"/>
      <c r="BR1073" s="314"/>
      <c r="BS1073" s="314"/>
      <c r="BT1073" s="314"/>
      <c r="BU1073" s="314"/>
      <c r="BV1073" s="314"/>
      <c r="BW1073" s="314"/>
      <c r="BX1073" s="314"/>
      <c r="BY1073" s="314"/>
      <c r="BZ1073" s="314"/>
      <c r="CA1073" s="314"/>
      <c r="CB1073" s="314"/>
      <c r="CC1073" s="314"/>
      <c r="CD1073" s="314"/>
      <c r="CE1073" s="314"/>
      <c r="CF1073" s="314"/>
      <c r="CG1073" s="314"/>
      <c r="CH1073" s="314"/>
      <c r="CI1073" s="314"/>
      <c r="CJ1073" s="314"/>
      <c r="CK1073" s="314"/>
      <c r="CL1073" s="314"/>
      <c r="CM1073" s="314"/>
      <c r="CN1073" s="314"/>
      <c r="CO1073" s="314"/>
      <c r="CP1073" s="314"/>
      <c r="CQ1073" s="319" t="s">
        <v>107</v>
      </c>
    </row>
    <row r="1074" spans="1:95" ht="12.75" customHeight="1" thickBot="1" x14ac:dyDescent="0.3">
      <c r="A1074" s="307"/>
      <c r="B1074" s="68"/>
      <c r="C1074" s="199" t="s">
        <v>12</v>
      </c>
      <c r="D1074" s="344" t="str">
        <f>Translations!$B$356</f>
        <v>RFA:</v>
      </c>
      <c r="E1074" s="345"/>
      <c r="F1074" s="6"/>
      <c r="G1074" s="1256" t="str">
        <f>IF(OR(ISBLANK(F1074),F1074=EUconst_NoTier),"",IF(Z1074=0,EUconst_NA,IF(ISERROR(Z1074),"",Z1074)))</f>
        <v/>
      </c>
      <c r="H1074" s="1257"/>
      <c r="I1074" s="346" t="str">
        <f>IF(J1074&lt;&gt;"","",AI1074)</f>
        <v/>
      </c>
      <c r="J1074" s="7"/>
      <c r="K1074" s="1258"/>
      <c r="L1074" s="1259"/>
      <c r="M1074" s="347" t="str">
        <f>IF(AND(E1069&lt;&gt;"",OR(F1074="",COUNT(K1074)=0),Y1074&lt;&gt;EUconst_NA),EUconst_ERR_Incomplete,"")</f>
        <v/>
      </c>
      <c r="N1074" s="76"/>
      <c r="O1074" s="160"/>
      <c r="P1074" s="348"/>
      <c r="Q1074" s="325" t="str">
        <f>EUconst_SumBioEnergyIN</f>
        <v>SUM_BioEnergyIN</v>
      </c>
      <c r="R1074" s="340" t="str">
        <f>IF(E1069="","",BG1083)</f>
        <v/>
      </c>
      <c r="S1074" s="314"/>
      <c r="T1074" s="349" t="str">
        <f>EUconst_CNTR_ActivityData&amp;E1069</f>
        <v>ActivityData_</v>
      </c>
      <c r="U1074" s="312"/>
      <c r="V1074" s="349" t="str">
        <f>IF(E1068="","",INDEX(B_IdentifyFuelStreams!$I$67:$I$116,MATCH(U1067,B_IdentifyFuelStreams!$D$67:$D$116,0)))</f>
        <v/>
      </c>
      <c r="W1074" s="335" t="s">
        <v>146</v>
      </c>
      <c r="X1074" s="312"/>
      <c r="Y1074" s="350" t="str">
        <f>IF(E1069="","",INDEX(EUwideConstants!$P$164:$P$200,MATCH(T1074,EUwideConstants!$S$164:$S$200,0)))</f>
        <v/>
      </c>
      <c r="Z1074" s="351" t="str">
        <f>IF(ISBLANK(F1074),"",IF(F1074=EUconst_NA,"",INDEX(EUwideConstants!$H:$O,MATCH(T1074,EUwideConstants!$S:$S,0),MATCH(F1074,CNTR_TierList,0))))</f>
        <v/>
      </c>
      <c r="AA1074" s="352" t="s">
        <v>136</v>
      </c>
      <c r="AB1074" s="335"/>
      <c r="AC1074" s="331" t="b">
        <f>E1068&lt;&gt;""</f>
        <v>0</v>
      </c>
      <c r="AD1074" s="314"/>
      <c r="AE1074" s="353" t="str">
        <f>EUconst_CNTR_ActivityData&amp;EUconst_Unit</f>
        <v>ActivityData_Unit</v>
      </c>
      <c r="AF1074" s="354" t="str">
        <f>IF(AC1074=TRUE, IF(COUNTIF(MSPara_SourceStreamCategory,V1074)=0,"",INDEX(MSPara_CalcFactorsMatrix,MATCH(V1074,MSPara_SourceStreamCategory,0),MATCH(AE1074&amp;"_"&amp;2,MSPara_CalcFactors,0))),"")</f>
        <v/>
      </c>
      <c r="AG1074" s="355" t="str">
        <f>IF(AC1074=TRUE, IF(COUNTIF(MSPara_SourceStreamCategory,V1074)=0,"",INDEX(MSPara_CalcFactorsMatrix,MATCH(V1074,MSPara_SourceStreamCategory,0),MATCH(AE1074&amp;"_"&amp;1,MSPara_CalcFactors,0))),"")</f>
        <v/>
      </c>
      <c r="AH1074" s="331" t="str">
        <f>IF(OR(AF1074="",AF1074=EUconst_NA),IF(OR(AG1074=EUconst_NA,AG1074=""),"",AG1074),AF1074)</f>
        <v/>
      </c>
      <c r="AI1074" s="350" t="str">
        <f>IF(AC1074=TRUE,IF(AH1074="",EUconst_t,AH1074),"")</f>
        <v/>
      </c>
      <c r="AJ1074" s="356" t="str">
        <f>IF(J1074="",AI1074,J1074)</f>
        <v/>
      </c>
      <c r="AK1074" s="357" t="b">
        <f>AND(E1068&lt;&gt;"",J1074&lt;&gt;"")</f>
        <v>0</v>
      </c>
      <c r="AL1074" s="326"/>
      <c r="AM1074" s="358" t="s">
        <v>147</v>
      </c>
      <c r="AN1074" s="359" t="str">
        <f>AJ1074</f>
        <v/>
      </c>
      <c r="AO1074" s="326"/>
      <c r="AP1074" s="326"/>
      <c r="AQ1074" s="349" t="str">
        <f>EUconst_CNTR_ActivityData&amp;EUconst_Value</f>
        <v>ActivityData_Value</v>
      </c>
      <c r="AR1074" s="336"/>
      <c r="AS1074" s="336"/>
      <c r="AT1074" s="331" t="b">
        <f>AND(AND(AH1074&lt;&gt;"",AJ1074&lt;&gt;""),AJ1074=AH1074)</f>
        <v>0</v>
      </c>
      <c r="AU1074" s="314"/>
      <c r="AV1074" s="331">
        <f>IF(Y1074=EUconst_NA,0,IF(COUNT(K1074:K1074)=0,0,IF(K1074="",#REF!,K1074)))</f>
        <v>0</v>
      </c>
      <c r="AW1074" s="360" t="b">
        <f>AND(AC1074=TRUE,OR(K1074&lt;&gt;"",AU1074=""))</f>
        <v>0</v>
      </c>
      <c r="AX1074" s="360" t="b">
        <f>AND(AC1074=TRUE,NOT(AW1074))</f>
        <v>0</v>
      </c>
      <c r="AY1074" s="314"/>
      <c r="AZ1074" s="314" t="s">
        <v>148</v>
      </c>
      <c r="BA1074" s="314" t="s">
        <v>149</v>
      </c>
      <c r="BB1074" s="360"/>
      <c r="BC1074" s="314" t="s">
        <v>150</v>
      </c>
      <c r="BD1074" s="314"/>
      <c r="BE1074" s="314"/>
      <c r="BF1074" s="361" t="s">
        <v>119</v>
      </c>
      <c r="BG1074" s="362" t="str">
        <f>IF(COUNTIF(AO1077:AO1078,TRUE)=0,"",BH1074*AV1085)</f>
        <v/>
      </c>
      <c r="BH1074" s="362" t="str">
        <f>IF(COUNTIF(AO1077:AO1078,TRUE)=0,"",AV1074*IF(AO1077,1,AV1076*AN1078)*AV1077-BH1076-BH1078-BH1080)</f>
        <v/>
      </c>
      <c r="BI1074" s="314"/>
      <c r="BJ1074" s="314"/>
      <c r="BK1074" s="314"/>
      <c r="BL1074" s="314"/>
      <c r="BM1074" s="314"/>
      <c r="BN1074" s="314"/>
      <c r="BO1074" s="314"/>
      <c r="BP1074" s="314"/>
      <c r="BQ1074" s="314"/>
      <c r="BR1074" s="314"/>
      <c r="BS1074" s="314"/>
      <c r="BT1074" s="314"/>
      <c r="BU1074" s="314"/>
      <c r="BV1074" s="314"/>
      <c r="BW1074" s="314"/>
      <c r="BX1074" s="314"/>
      <c r="BY1074" s="314"/>
      <c r="BZ1074" s="314"/>
      <c r="CA1074" s="314"/>
      <c r="CB1074" s="314"/>
      <c r="CC1074" s="314"/>
      <c r="CD1074" s="314"/>
      <c r="CE1074" s="314"/>
      <c r="CF1074" s="314"/>
      <c r="CG1074" s="314"/>
      <c r="CH1074" s="314"/>
      <c r="CI1074" s="314"/>
      <c r="CJ1074" s="314"/>
      <c r="CK1074" s="314"/>
      <c r="CL1074" s="314"/>
      <c r="CM1074" s="314"/>
      <c r="CN1074" s="314"/>
      <c r="CO1074" s="314"/>
      <c r="CP1074" s="314"/>
      <c r="CQ1074" s="360" t="b">
        <v>0</v>
      </c>
    </row>
    <row r="1075" spans="1:95" ht="5.15" customHeight="1" thickBot="1" x14ac:dyDescent="0.3">
      <c r="A1075" s="307"/>
      <c r="B1075" s="68"/>
      <c r="C1075" s="199"/>
      <c r="D1075" s="202"/>
      <c r="E1075" s="76"/>
      <c r="F1075" s="76"/>
      <c r="G1075" s="76"/>
      <c r="H1075" s="76" t="str">
        <f>Translations!$B$397</f>
        <v xml:space="preserve"> </v>
      </c>
      <c r="I1075" s="162"/>
      <c r="J1075" s="162"/>
      <c r="K1075" s="76"/>
      <c r="L1075" s="76"/>
      <c r="M1075" s="363"/>
      <c r="N1075" s="76"/>
      <c r="O1075" s="160"/>
      <c r="P1075" s="109"/>
      <c r="Q1075" s="312"/>
      <c r="R1075" s="312"/>
      <c r="S1075" s="314"/>
      <c r="T1075" s="62"/>
      <c r="U1075" s="312"/>
      <c r="V1075" s="314"/>
      <c r="W1075" s="314"/>
      <c r="X1075" s="312"/>
      <c r="Y1075" s="319"/>
      <c r="Z1075" s="314"/>
      <c r="AA1075" s="314"/>
      <c r="AB1075" s="314"/>
      <c r="AC1075" s="314"/>
      <c r="AD1075" s="314"/>
      <c r="AE1075" s="314"/>
      <c r="AF1075" s="314"/>
      <c r="AG1075" s="314"/>
      <c r="AH1075" s="314"/>
      <c r="AI1075" s="314"/>
      <c r="AJ1075" s="314"/>
      <c r="AK1075" s="314"/>
      <c r="AL1075" s="326"/>
      <c r="AM1075" s="326"/>
      <c r="AN1075" s="326"/>
      <c r="AO1075" s="326"/>
      <c r="AP1075" s="326"/>
      <c r="AQ1075" s="314"/>
      <c r="AR1075" s="314"/>
      <c r="AS1075" s="314"/>
      <c r="AT1075" s="314"/>
      <c r="AU1075" s="314"/>
      <c r="AV1075" s="314"/>
      <c r="AW1075" s="314"/>
      <c r="AX1075" s="314"/>
      <c r="AY1075" s="314"/>
      <c r="AZ1075" s="314"/>
      <c r="BA1075" s="314"/>
      <c r="BB1075" s="314"/>
      <c r="BC1075" s="314"/>
      <c r="BD1075" s="314"/>
      <c r="BE1075" s="314"/>
      <c r="BF1075" s="314"/>
      <c r="BG1075" s="364"/>
      <c r="BH1075" s="364"/>
      <c r="BI1075" s="314"/>
      <c r="BJ1075" s="314"/>
      <c r="BK1075" s="314"/>
      <c r="BL1075" s="314"/>
      <c r="BM1075" s="314"/>
      <c r="BN1075" s="314"/>
      <c r="BO1075" s="314"/>
      <c r="BP1075" s="314"/>
      <c r="BQ1075" s="314"/>
      <c r="BR1075" s="314"/>
      <c r="BS1075" s="314"/>
      <c r="BT1075" s="314"/>
      <c r="BU1075" s="314"/>
      <c r="BV1075" s="314"/>
      <c r="BW1075" s="314"/>
      <c r="BX1075" s="314"/>
      <c r="BY1075" s="314"/>
      <c r="BZ1075" s="314"/>
      <c r="CA1075" s="314"/>
      <c r="CB1075" s="314"/>
      <c r="CC1075" s="314"/>
      <c r="CD1075" s="314"/>
      <c r="CE1075" s="314"/>
      <c r="CF1075" s="314"/>
      <c r="CG1075" s="314"/>
      <c r="CH1075" s="314"/>
      <c r="CI1075" s="314"/>
      <c r="CJ1075" s="314"/>
      <c r="CK1075" s="314"/>
      <c r="CL1075" s="314"/>
      <c r="CM1075" s="314"/>
      <c r="CN1075" s="314"/>
      <c r="CO1075" s="314"/>
      <c r="CP1075" s="314"/>
      <c r="CQ1075" s="319"/>
    </row>
    <row r="1076" spans="1:95" ht="12.75" customHeight="1" x14ac:dyDescent="0.25">
      <c r="A1076" s="307"/>
      <c r="B1076" s="68"/>
      <c r="C1076" s="199" t="s">
        <v>13</v>
      </c>
      <c r="D1076" s="344" t="str">
        <f>Translations!$B$360</f>
        <v>UCF:</v>
      </c>
      <c r="E1076" s="345"/>
      <c r="F1076" s="10"/>
      <c r="G1076" s="1256" t="str">
        <f>IF(OR(ISBLANK(F1076),F1076=EUconst_NoTier),"",IF(Z1076=0,EUconst_NotApplicable,IF(ISERROR(Z1076),"",Z1076)))</f>
        <v/>
      </c>
      <c r="H1076" s="1257"/>
      <c r="I1076" s="365" t="str">
        <f>IF(J1076&lt;&gt;"","",AI1076)</f>
        <v/>
      </c>
      <c r="J1076" s="11"/>
      <c r="K1076" s="366" t="str">
        <f>IF(L1076="",AU1076,"")</f>
        <v/>
      </c>
      <c r="L1076" s="23"/>
      <c r="M1076" s="347" t="str">
        <f>IF(AND(E1069&lt;&gt;"",OR(F1076="",COUNT(K1076:L1076)=0),Y1076&lt;&gt;EUconst_NA),EUconst_ERR_Incomplete,IF(COUNTIF(BB1076:BD1076,TRUE)&gt;0,EUconst_ERR_Inconsistent,""))</f>
        <v/>
      </c>
      <c r="N1076" s="367"/>
      <c r="O1076" s="160"/>
      <c r="P1076" s="109"/>
      <c r="Q1076" s="312"/>
      <c r="R1076" s="312"/>
      <c r="S1076" s="314"/>
      <c r="T1076" s="368" t="str">
        <f>EUconst_CNTR_UCF&amp;E1069</f>
        <v>UCF_</v>
      </c>
      <c r="U1076" s="312"/>
      <c r="V1076" s="369" t="str">
        <f>V1077</f>
        <v/>
      </c>
      <c r="W1076" s="314"/>
      <c r="X1076" s="312"/>
      <c r="Y1076" s="370" t="str">
        <f>IF(E1069="","",IF(OR(F1076=EUconst_NA,W1076=TRUE),EUconst_NA,INDEX(EUwideConstants!$P$164:$P$200,MATCH(T1076,EUwideConstants!$S$164:$S$200,0))))</f>
        <v/>
      </c>
      <c r="Z1076" s="371" t="str">
        <f>IF(ISBLANK(F1076),"",IF(F1076=EUconst_NA,"",INDEX(EUwideConstants!$H:$O,MATCH(T1076,EUwideConstants!$S:$S,0),MATCH(F1076,CNTR_TierList,0))))</f>
        <v/>
      </c>
      <c r="AA1076" s="372" t="str">
        <f>IF(COUNTIF(EUconst_DefaultValues,Z1076)&gt;0,MATCH(Z1076,EUconst_DefaultValues,0),"")</f>
        <v/>
      </c>
      <c r="AB1076" s="314"/>
      <c r="AC1076" s="373" t="b">
        <f>AND(AC1074,Y1076&lt;&gt;EUconst_NA)</f>
        <v>0</v>
      </c>
      <c r="AD1076" s="314"/>
      <c r="AE1076" s="353" t="str">
        <f>EUconst_CNTR_UCF&amp;EUconst_Unit</f>
        <v>UCF_Unit</v>
      </c>
      <c r="AF1076" s="374" t="str">
        <f>IF(AC1076=TRUE, IF(COUNTIF(MSPara_SourceStreamCategory,V1076)=0,"",INDEX(MSPara_CalcFactorsMatrix,MATCH(V1076,MSPara_SourceStreamCategory,0),MATCH(AE1076&amp;"_"&amp;2,MSPara_CalcFactors,0))),"")</f>
        <v/>
      </c>
      <c r="AG1076" s="375" t="str">
        <f>IF(AC1076=TRUE, IF(COUNTIF(MSPara_SourceStreamCategory,V1076)=0,"",INDEX(MSPara_CalcFactorsMatrix,MATCH(V1076,MSPara_SourceStreamCategory,0),MATCH(AE1076&amp;"_"&amp;1,MSPara_CalcFactors,0))),"")</f>
        <v/>
      </c>
      <c r="AH1076" s="373" t="str">
        <f>IF(AA1076="","",INDEX(AF1076:AG1076,3-AA1076))</f>
        <v/>
      </c>
      <c r="AI1076" s="373" t="str">
        <f>IF(AC1076=TRUE,IF(OR(AH1076="",AH1076=EUconst_NA),EUconst_GJ&amp;"/"&amp;AJ1074,AH1076),"")</f>
        <v/>
      </c>
      <c r="AJ1076" s="373" t="str">
        <f>IF(J1076="",AI1076,J1076)</f>
        <v/>
      </c>
      <c r="AK1076" s="369" t="b">
        <f>AND(E1068&lt;&gt;"",J1076&lt;&gt;"")</f>
        <v>0</v>
      </c>
      <c r="AL1076" s="326"/>
      <c r="AM1076" s="358" t="s">
        <v>151</v>
      </c>
      <c r="AN1076" s="359" t="str">
        <f>IF(AJ1076="",EUconst_NA,IF(AN1074=EUconst_TJ,EUconst_TJ,INDEX(EUwideConstants!$C$135:$G$139,MATCH(AN1074,RFAUnits,0),MATCH(AJ1076,UCFUnits,0))))</f>
        <v>n.a.</v>
      </c>
      <c r="AO1076" s="326"/>
      <c r="AP1076" s="326"/>
      <c r="AQ1076" s="376" t="str">
        <f>EUconst_CNTR_UCF&amp;EUconst_Value</f>
        <v>UCF_Value</v>
      </c>
      <c r="AR1076" s="377" t="str">
        <f>IF(AC1076=TRUE,IF(COUNTIF(MSPara_SourceStreamCategory,V1076)=0,"",INDEX(MSPara_CalcFactorsMatrix,MATCH(V1076,MSPara_SourceStreamCategory,0),MATCH(AQ1076&amp;"_"&amp;2,MSPara_CalcFactors,0))),"")</f>
        <v/>
      </c>
      <c r="AS1076" s="378" t="str">
        <f>IF(AC1076=TRUE,IF(COUNTIF(MSPara_SourceStreamCategory,V1076)=0,"",INDEX(MSPara_CalcFactorsMatrix,MATCH(V1076,MSPara_SourceStreamCategory,0),MATCH(AQ1076&amp;"_"&amp;1,MSPara_CalcFactors,0))),"")</f>
        <v/>
      </c>
      <c r="AT1076" s="379" t="b">
        <f>AND(AND(AH1076&lt;&gt;"",AJ1076&lt;&gt;""),AJ1076=AH1076)</f>
        <v>0</v>
      </c>
      <c r="AU1076" s="380" t="str">
        <f>IF(AND(AA1076&lt;&gt;"",AT1076=TRUE),IF(OR(INDEX(AR1076:AS1076,3-AA1076)=EUconst_NA,INDEX(AR1076:AS1076,3-AA1076)=0),"",INDEX(AR1076:AS1076,3-AA1076)),"")</f>
        <v/>
      </c>
      <c r="AV1076" s="373">
        <f>IF(AC1076=TRUE,IF(COUNT(K1076:L1076)=0,0,IF(L1076="",K1076,L1076)),0)</f>
        <v>0</v>
      </c>
      <c r="AW1076" s="369" t="b">
        <f t="shared" ref="AW1076:AW1083" si="324">AND(AC1076=TRUE,OR(AND(F1076&lt;&gt;"",NOT(ISNUMBER(AA1076))),L1076&lt;&gt;"",F1076="",AU1076=""))</f>
        <v>0</v>
      </c>
      <c r="AX1076" s="381" t="b">
        <f t="shared" ref="AX1076:AX1083" si="325">AND(AC1076=TRUE,NOT(AW1076))</f>
        <v>0</v>
      </c>
      <c r="AY1076" s="314"/>
      <c r="AZ1076" s="382" t="b">
        <f t="shared" ref="AZ1076:AZ1083" si="326">AND(ISNUMBER(AA1076),AU1076="")</f>
        <v>0</v>
      </c>
      <c r="BA1076" s="383" t="b">
        <f t="shared" ref="BA1076:BA1083" si="327">AND(ISNUMBER(AA1076),AU1076&lt;&gt;AV1076)</f>
        <v>0</v>
      </c>
      <c r="BB1076" s="369" t="b">
        <f>AND(E1069&lt;&gt;"",F1076&lt;&gt;EUconst_NA,AN1076=EUconst_NA)</f>
        <v>0</v>
      </c>
      <c r="BC1076" s="369" t="b">
        <f t="shared" ref="BC1076:BC1083" si="328">AND(L1076&lt;&gt;"",Y1076=EUconst_NA)</f>
        <v>0</v>
      </c>
      <c r="BD1076" s="314"/>
      <c r="BE1076" s="314"/>
      <c r="BF1076" s="382" t="s">
        <v>152</v>
      </c>
      <c r="BG1076" s="384" t="str">
        <f>IF(COUNTIF(AO1077:AO1078,TRUE)=0,"",BH1076*AV1085)</f>
        <v/>
      </c>
      <c r="BH1076" s="384" t="str">
        <f>IF(COUNTIF(AO1077:AO1078,TRUE)=0,"",AV1074*IF(AO1077,1,AV1076*AN1078)*AV1077*AV1078)</f>
        <v/>
      </c>
      <c r="BI1076" s="314"/>
      <c r="BJ1076" s="314"/>
      <c r="BK1076" s="314"/>
      <c r="BL1076" s="314"/>
      <c r="BM1076" s="314"/>
      <c r="BN1076" s="314"/>
      <c r="BO1076" s="314"/>
      <c r="BP1076" s="314"/>
      <c r="BQ1076" s="314"/>
      <c r="BR1076" s="314"/>
      <c r="BS1076" s="314"/>
      <c r="BT1076" s="314"/>
      <c r="BU1076" s="314"/>
      <c r="BV1076" s="314"/>
      <c r="BW1076" s="314"/>
      <c r="BX1076" s="314"/>
      <c r="BY1076" s="314"/>
      <c r="BZ1076" s="314"/>
      <c r="CA1076" s="314"/>
      <c r="CB1076" s="314"/>
      <c r="CC1076" s="314"/>
      <c r="CD1076" s="314"/>
      <c r="CE1076" s="314"/>
      <c r="CF1076" s="314"/>
      <c r="CG1076" s="314"/>
      <c r="CH1076" s="314"/>
      <c r="CI1076" s="314"/>
      <c r="CJ1076" s="314"/>
      <c r="CK1076" s="314"/>
      <c r="CL1076" s="314"/>
      <c r="CM1076" s="314"/>
      <c r="CN1076" s="314"/>
      <c r="CO1076" s="314"/>
      <c r="CP1076" s="314"/>
      <c r="CQ1076" s="369" t="b">
        <f>OR(CQ1074,Y1076=EUconst_NA)</f>
        <v>0</v>
      </c>
    </row>
    <row r="1077" spans="1:95" ht="12.75" customHeight="1" thickBot="1" x14ac:dyDescent="0.3">
      <c r="A1077" s="307"/>
      <c r="B1077" s="68"/>
      <c r="C1077" s="199" t="s">
        <v>14</v>
      </c>
      <c r="D1077" s="344" t="str">
        <f>Translations!$B$358</f>
        <v>(prelim) EF:</v>
      </c>
      <c r="E1077" s="345"/>
      <c r="F1077" s="59"/>
      <c r="G1077" s="1256" t="str">
        <f>IF(OR(ISBLANK(F1077),F1077=EUconst_NoTier),"",IF(Z1077=0,EUconst_NotApplicable,IF(ISERROR(Z1077),"",Z1077)))</f>
        <v/>
      </c>
      <c r="H1077" s="1260"/>
      <c r="I1077" s="385" t="str">
        <f>IF(J1077&lt;&gt;"","",AI1077)</f>
        <v/>
      </c>
      <c r="J1077" s="22"/>
      <c r="K1077" s="386" t="str">
        <f>IF(L1077="",AU1077,"")</f>
        <v/>
      </c>
      <c r="L1077" s="58"/>
      <c r="M1077" s="347" t="str">
        <f>IF(AND(E1069&lt;&gt;"",OR(F1077="",COUNT(K1077:L1077)=0),Y1077&lt;&gt;EUconst_NA),EUconst_ERR_Incomplete,IF(COUNTIF(BB1077:BD1077,TRUE)&gt;0,EUconst_ERR_Inconsistent,""))</f>
        <v/>
      </c>
      <c r="N1077" s="387"/>
      <c r="O1077" s="160"/>
      <c r="P1077" s="109"/>
      <c r="Q1077" s="312"/>
      <c r="R1077" s="312"/>
      <c r="S1077" s="314"/>
      <c r="T1077" s="388" t="str">
        <f>EUconst_CNTR_EF&amp;E1069</f>
        <v>EF_</v>
      </c>
      <c r="U1077" s="312"/>
      <c r="V1077" s="389" t="str">
        <f>V1074</f>
        <v/>
      </c>
      <c r="W1077" s="314"/>
      <c r="X1077" s="312"/>
      <c r="Y1077" s="390" t="str">
        <f>IF(E1069="","",IF(OR(F1077=EUconst_NA,W1077=TRUE),EUconst_NA,INDEX(EUwideConstants!$P$164:$P$200,MATCH(T1077,EUwideConstants!$S$164:$S$200,0))))</f>
        <v/>
      </c>
      <c r="Z1077" s="391" t="str">
        <f>IF(ISBLANK(F1077),"",IF(F1077=EUconst_NA,"",INDEX(EUwideConstants!$H:$O,MATCH(T1077,EUwideConstants!$S:$S,0),MATCH(F1077,CNTR_TierList,0))))</f>
        <v/>
      </c>
      <c r="AA1077" s="392" t="str">
        <f>IF(COUNTIF(EUconst_DefaultValues,Z1077)&gt;0,MATCH(Z1077,EUconst_DefaultValues,0),"")</f>
        <v/>
      </c>
      <c r="AB1077" s="314"/>
      <c r="AC1077" s="393" t="b">
        <f>AND(AC1074,Y1077&lt;&gt;EUconst_NA)</f>
        <v>0</v>
      </c>
      <c r="AD1077" s="314"/>
      <c r="AE1077" s="394" t="str">
        <f>EUconst_CNTR_EF&amp;EUconst_Unit</f>
        <v>EF_Unit</v>
      </c>
      <c r="AF1077" s="395" t="str">
        <f>IF(AC1077=TRUE, IF(COUNTIF(MSPara_SourceStreamCategory,V1077)=0,"",INDEX(MSPara_CalcFactorsMatrix,MATCH(V1077,MSPara_SourceStreamCategory,0),MATCH(AE1077&amp;"_"&amp;2,MSPara_CalcFactors,0))),"")</f>
        <v/>
      </c>
      <c r="AG1077" s="396" t="str">
        <f>IF(AC1077=TRUE, IF(COUNTIF(MSPara_SourceStreamCategory,V1077)=0,"",INDEX(MSPara_CalcFactorsMatrix,MATCH(V1077,MSPara_SourceStreamCategory,0),MATCH(AE1077&amp;"_"&amp;1,MSPara_CalcFactors,0))),"")</f>
        <v/>
      </c>
      <c r="AH1077" s="397" t="str">
        <f>IF(AA1077="","",INDEX(AF1077:AG1077,3-AA1077))</f>
        <v/>
      </c>
      <c r="AI1077" s="397" t="str">
        <f>IF(AC1077=TRUE,IF(OR(AH1077="",AH1077=EUconst_NA),EUconst_tCO2&amp;"/"&amp;IF(AN1076=EUconst_NA,AN1074,IF(AN1076=EUconst_GJ,EUconst_TJ,AN1076)),AH1077),"")</f>
        <v/>
      </c>
      <c r="AJ1077" s="397" t="str">
        <f>IF(J1077="",AI1077,J1077)</f>
        <v/>
      </c>
      <c r="AK1077" s="398" t="b">
        <f>AND(E1069&lt;&gt;"",J1077&lt;&gt;"")</f>
        <v>0</v>
      </c>
      <c r="AL1077" s="326"/>
      <c r="AM1077" s="358" t="s">
        <v>153</v>
      </c>
      <c r="AN1077" s="359" t="str">
        <f>IF(COUNTIF(RFAUnits,AN1074)=0,EUconst_NA,INDEX(EUwideConstants!$C$150:$H$154,MATCH(AJ1077,EFUnits,0),MATCH(AN1074,EUwideConstants!$C$149:$H$149,0)))</f>
        <v>n.a.</v>
      </c>
      <c r="AO1077" s="359" t="b">
        <f>AN1077&lt;&gt;EUconst_NA</f>
        <v>0</v>
      </c>
      <c r="AP1077" s="326"/>
      <c r="AQ1077" s="399" t="str">
        <f>EUconst_CNTR_EF&amp;EUconst_Value</f>
        <v>EF_Value</v>
      </c>
      <c r="AR1077" s="400" t="str">
        <f>IF(AC1077=TRUE,IF(COUNTIF(MSPara_SourceStreamCategory,V1077)=0,"",INDEX(MSPara_CalcFactorsMatrix,MATCH(V1077,MSPara_SourceStreamCategory,0),MATCH(AQ1077&amp;"_"&amp;2,MSPara_CalcFactors,0))),"")</f>
        <v/>
      </c>
      <c r="AS1077" s="401" t="str">
        <f>IF(AC1077=TRUE,IF(COUNTIF(MSPara_SourceStreamCategory,V1077)=0,"",INDEX(MSPara_CalcFactorsMatrix,MATCH(V1077,MSPara_SourceStreamCategory,0),MATCH(AQ1077&amp;"_"&amp;1,MSPara_CalcFactors,0))),"")</f>
        <v/>
      </c>
      <c r="AT1077" s="402" t="b">
        <f>AND(AND(AH1077&lt;&gt;"",AJ1077&lt;&gt;""),AJ1077=AH1077)</f>
        <v>0</v>
      </c>
      <c r="AU1077" s="403" t="str">
        <f>IF(AND(AA1077&lt;&gt;"",AT1077=TRUE),IF(OR(INDEX(AR1077:AS1077,3-AA1077)=EUconst_NA,INDEX(AR1077:AS1077,3-AA1077)=0),"",INDEX(AR1077:AS1077,3-AA1077)),"")</f>
        <v/>
      </c>
      <c r="AV1077" s="393">
        <f>IF(AC1077=TRUE,IF(COUNT(K1077:L1077)=0,0,IF(L1077="",K1077,L1077)),0)</f>
        <v>0</v>
      </c>
      <c r="AW1077" s="389" t="b">
        <f t="shared" si="324"/>
        <v>0</v>
      </c>
      <c r="AX1077" s="404" t="b">
        <f t="shared" si="325"/>
        <v>0</v>
      </c>
      <c r="AY1077" s="314"/>
      <c r="AZ1077" s="405" t="b">
        <f t="shared" si="326"/>
        <v>0</v>
      </c>
      <c r="BA1077" s="406" t="b">
        <f t="shared" si="327"/>
        <v>0</v>
      </c>
      <c r="BB1077" s="407" t="b">
        <f>AND(E1069&lt;&gt;"",COUNTIF(AO1077:AO1078,TRUE)=0)</f>
        <v>0</v>
      </c>
      <c r="BC1077" s="389" t="b">
        <f t="shared" si="328"/>
        <v>0</v>
      </c>
      <c r="BD1077" s="314"/>
      <c r="BE1077" s="314"/>
      <c r="BF1077" s="408" t="s">
        <v>154</v>
      </c>
      <c r="BG1077" s="409" t="str">
        <f>IF(COUNTIF(AO1077:AO1078,TRUE)=0,"",BH1077*AV1085)</f>
        <v/>
      </c>
      <c r="BH1077" s="409" t="str">
        <f>IF(COUNTIF(AO1077:AO1078,TRUE)=0,"",AV1074*IF(AO1077,1,AV1076*AN1078)*AV1077*AV1079)</f>
        <v/>
      </c>
      <c r="BI1077" s="314"/>
      <c r="BJ1077" s="314"/>
      <c r="BK1077" s="314"/>
      <c r="BL1077" s="314"/>
      <c r="BM1077" s="314"/>
      <c r="BN1077" s="314"/>
      <c r="BO1077" s="314"/>
      <c r="BP1077" s="314"/>
      <c r="BQ1077" s="314"/>
      <c r="BR1077" s="314"/>
      <c r="BS1077" s="314"/>
      <c r="BT1077" s="314"/>
      <c r="BU1077" s="314"/>
      <c r="BV1077" s="314"/>
      <c r="BW1077" s="314"/>
      <c r="BX1077" s="314"/>
      <c r="BY1077" s="314"/>
      <c r="BZ1077" s="314"/>
      <c r="CA1077" s="314"/>
      <c r="CB1077" s="314"/>
      <c r="CC1077" s="314"/>
      <c r="CD1077" s="314"/>
      <c r="CE1077" s="314"/>
      <c r="CF1077" s="314"/>
      <c r="CG1077" s="314"/>
      <c r="CH1077" s="314"/>
      <c r="CI1077" s="314"/>
      <c r="CJ1077" s="314"/>
      <c r="CK1077" s="314"/>
      <c r="CL1077" s="314"/>
      <c r="CM1077" s="314"/>
      <c r="CN1077" s="314"/>
      <c r="CO1077" s="314"/>
      <c r="CP1077" s="314"/>
      <c r="CQ1077" s="407" t="b">
        <f>OR(CQ1074,Y1077=EUconst_NA)</f>
        <v>0</v>
      </c>
    </row>
    <row r="1078" spans="1:95" ht="12.75" customHeight="1" x14ac:dyDescent="0.25">
      <c r="A1078" s="307"/>
      <c r="B1078" s="68"/>
      <c r="C1078" s="199" t="s">
        <v>15</v>
      </c>
      <c r="D1078" s="344" t="str">
        <f>Translations!$B$362</f>
        <v>BioF:</v>
      </c>
      <c r="E1078" s="345"/>
      <c r="F1078" s="10"/>
      <c r="G1078" s="1256" t="str">
        <f>IF(OR(ISBLANK(F1078),F1078=EUconst_NoTier),"",IF(Z1078=0,EUconst_NotApplicable,IF(ISERROR(Z1078),"",Z1078)))</f>
        <v/>
      </c>
      <c r="H1078" s="1257"/>
      <c r="I1078" s="410" t="str">
        <f t="shared" ref="I1078:I1083" si="329">IF(OR(AC1078=FALSE,Y1078=EUconst_NA),"","-")</f>
        <v/>
      </c>
      <c r="J1078" s="411"/>
      <c r="K1078" s="412" t="str">
        <f>IF(L1078="",AU1078,"")</f>
        <v/>
      </c>
      <c r="L1078" s="60"/>
      <c r="M1078" s="347" t="str">
        <f>IF(AND(E1069&lt;&gt;"",OR(F1078="",COUNT(K1078:L1078)=0),Y1078&lt;&gt;EUconst_NA),EUconst_ERR_Incomplete,IF(COUNTIF(BB1078:BD1078,TRUE)&gt;0,EUconst_ERR_Inconsistent,""))</f>
        <v/>
      </c>
      <c r="O1078" s="160"/>
      <c r="P1078" s="348"/>
      <c r="Q1078" s="413"/>
      <c r="R1078" s="413"/>
      <c r="S1078" s="314"/>
      <c r="T1078" s="388" t="str">
        <f>EUconst_CNTR_BiomassContent&amp;E1069</f>
        <v>BioC_</v>
      </c>
      <c r="U1078" s="312"/>
      <c r="V1078" s="369" t="str">
        <f>V1076</f>
        <v/>
      </c>
      <c r="W1078" s="369" t="str">
        <f>IF(OR(V1078="",COUNTIF(MSPara_SourceStreamCategory,V1078)=0),"",INDEX(MSPara_IsFossil,MATCH(V1078,MSPara_SourceStreamCategory,0)))</f>
        <v/>
      </c>
      <c r="X1078" s="312"/>
      <c r="Y1078" s="370" t="str">
        <f>IF(E1069="","",IF(OR(F1078=EUconst_NA,W1078=TRUE),EUconst_NA,INDEX(EUwideConstants!$P$164:$P$200,MATCH(T1078,EUwideConstants!$S$164:$S$200,0))))</f>
        <v/>
      </c>
      <c r="Z1078" s="371" t="str">
        <f>IF(ISBLANK(F1078),"",IF(F1078=EUconst_NA,"",INDEX(EUwideConstants!$H:$O,MATCH(T1078,EUwideConstants!$S:$S,0),MATCH(F1078,CNTR_TierList,0))))</f>
        <v/>
      </c>
      <c r="AA1078" s="414" t="str">
        <f>IF(F1078=1,1,"")</f>
        <v/>
      </c>
      <c r="AB1078" s="314"/>
      <c r="AC1078" s="373" t="b">
        <f>AND(AC1074,Y1078&lt;&gt;EUconst_NA)</f>
        <v>0</v>
      </c>
      <c r="AD1078" s="314"/>
      <c r="AE1078" s="415"/>
      <c r="AF1078" s="416"/>
      <c r="AG1078" s="417"/>
      <c r="AH1078" s="418"/>
      <c r="AI1078" s="418"/>
      <c r="AJ1078" s="418"/>
      <c r="AK1078" s="419"/>
      <c r="AL1078" s="326"/>
      <c r="AM1078" s="358" t="s">
        <v>155</v>
      </c>
      <c r="AN1078" s="359" t="str">
        <f>IF(AN1076=EUconst_NA,EUconst_NA,INDEX(EUwideConstants!$C$150:$H$154,MATCH(AJ1077,EFUnits,0),MATCH(AN1076,EUwideConstants!$C$149:$H$149,0)))</f>
        <v>n.a.</v>
      </c>
      <c r="AO1078" s="359" t="b">
        <f>AN1078&lt;&gt;EUconst_NA</f>
        <v>0</v>
      </c>
      <c r="AP1078" s="326"/>
      <c r="AQ1078" s="376" t="str">
        <f>EUconst_CNTR_BiomassContent&amp;EUconst_Value</f>
        <v>BioC_Value</v>
      </c>
      <c r="AR1078" s="420"/>
      <c r="AS1078" s="378" t="str">
        <f t="shared" ref="AS1078:AS1083" si="330">IF(AC1078=TRUE,IF(COUNTIF(MSPara_SourceStreamCategory,V1078)=0,"",INDEX(MSPara_CalcFactorsMatrix,MATCH(V1078,MSPara_SourceStreamCategory,0),MATCH(AQ1078&amp;"_"&amp;2,MSPara_CalcFactors,0))),"")</f>
        <v/>
      </c>
      <c r="AT1078" s="421"/>
      <c r="AU1078" s="380" t="str">
        <f t="shared" ref="AU1078:AU1083" si="331">IF(OR(AA1078="",AS1078=EUconst_NA),"",AS1078)</f>
        <v/>
      </c>
      <c r="AV1078" s="373">
        <f>IF(AC1078=TRUE,IF(COUNT(K1078:L1078)=0,0,IF(L1078="",K1078,L1078)),0)</f>
        <v>0</v>
      </c>
      <c r="AW1078" s="369" t="b">
        <f t="shared" si="324"/>
        <v>0</v>
      </c>
      <c r="AX1078" s="381" t="b">
        <f t="shared" si="325"/>
        <v>0</v>
      </c>
      <c r="AY1078" s="314"/>
      <c r="AZ1078" s="382" t="b">
        <f t="shared" si="326"/>
        <v>0</v>
      </c>
      <c r="BA1078" s="383" t="b">
        <f t="shared" si="327"/>
        <v>0</v>
      </c>
      <c r="BB1078" s="314"/>
      <c r="BC1078" s="369" t="b">
        <f t="shared" si="328"/>
        <v>0</v>
      </c>
      <c r="BD1078" s="369" t="b">
        <f>OR(AV1078&gt;100%,(AV1078+AV1079)&gt;100%)</f>
        <v>0</v>
      </c>
      <c r="BE1078" s="314"/>
      <c r="BF1078" s="382" t="s">
        <v>156</v>
      </c>
      <c r="BG1078" s="384" t="str">
        <f>IF(COUNTIF(AO1077:AO1078,TRUE)=0,"",BH1078*AV1085)</f>
        <v/>
      </c>
      <c r="BH1078" s="384" t="str">
        <f>IF(COUNTIF(AO1077:AO1078,TRUE)=0,"",AV1074*IF(AO1077,1,AV1076*AN1078)*AV1077*AV1080)</f>
        <v/>
      </c>
      <c r="BJ1078" s="314"/>
      <c r="BK1078" s="314"/>
      <c r="BL1078" s="314"/>
      <c r="BM1078" s="314"/>
      <c r="BN1078" s="314"/>
      <c r="BO1078" s="314"/>
      <c r="BP1078" s="314"/>
      <c r="BQ1078" s="314"/>
      <c r="BR1078" s="314"/>
      <c r="BS1078" s="314"/>
      <c r="BT1078" s="314"/>
      <c r="BU1078" s="314"/>
      <c r="BV1078" s="314"/>
      <c r="BW1078" s="314"/>
      <c r="BX1078" s="314"/>
      <c r="BY1078" s="314"/>
      <c r="BZ1078" s="314"/>
      <c r="CA1078" s="314"/>
      <c r="CB1078" s="314"/>
      <c r="CC1078" s="314"/>
      <c r="CD1078" s="314"/>
      <c r="CE1078" s="314"/>
      <c r="CF1078" s="314"/>
      <c r="CG1078" s="314"/>
      <c r="CH1078" s="314"/>
      <c r="CI1078" s="314"/>
      <c r="CJ1078" s="314"/>
      <c r="CK1078" s="314"/>
      <c r="CL1078" s="314"/>
      <c r="CM1078" s="314"/>
      <c r="CN1078" s="314"/>
      <c r="CO1078" s="314"/>
      <c r="CP1078" s="314"/>
      <c r="CQ1078" s="369" t="b">
        <f>OR(CQ1074,Y1078=EUconst_NA)</f>
        <v>0</v>
      </c>
    </row>
    <row r="1079" spans="1:95" ht="12.75" customHeight="1" thickBot="1" x14ac:dyDescent="0.3">
      <c r="A1079" s="307"/>
      <c r="B1079" s="68"/>
      <c r="C1079" s="199" t="s">
        <v>16</v>
      </c>
      <c r="D1079" s="344" t="str">
        <f>Translations!$B$368</f>
        <v>non-sust. BioF:</v>
      </c>
      <c r="E1079" s="345"/>
      <c r="F1079" s="20"/>
      <c r="G1079" s="1256" t="str">
        <f>IF(OR(ISBLANK(F1079),F1079=EUconst_NoTier),"",IF(Z1079=0,EUconst_NotApplicable,IF(ISERROR(Z1079),"",Z1079)))</f>
        <v/>
      </c>
      <c r="H1079" s="1257"/>
      <c r="I1079" s="422" t="str">
        <f t="shared" si="329"/>
        <v/>
      </c>
      <c r="J1079" s="423"/>
      <c r="K1079" s="424" t="str">
        <f>IF(L1079="",AU1079,"")</f>
        <v/>
      </c>
      <c r="L1079" s="21"/>
      <c r="M1079" s="347" t="str">
        <f>IF(AND(E1069&lt;&gt;"",OR(F1079="",COUNT(K1079:L1079)=0),Y1079&lt;&gt;EUconst_NA),EUconst_ERR_Incomplete,IF(COUNTIF(BB1079:BD1079,TRUE)&gt;0,EUconst_ERR_Inconsistent,""))</f>
        <v/>
      </c>
      <c r="N1079" s="76"/>
      <c r="O1079" s="160"/>
      <c r="P1079" s="348"/>
      <c r="Q1079" s="413"/>
      <c r="R1079" s="413"/>
      <c r="S1079" s="314"/>
      <c r="T1079" s="425" t="str">
        <f>EUconst_CNTR_BiomassContent&amp;E1069</f>
        <v>BioC_</v>
      </c>
      <c r="U1079" s="312"/>
      <c r="V1079" s="407" t="str">
        <f>V1078</f>
        <v/>
      </c>
      <c r="W1079" s="407" t="str">
        <f>IF(OR(V1078="",COUNTIF(MSPara_SourceStreamCategory,V1079)=0),"",INDEX(MSPara_IsFossil,MATCH(V1079,MSPara_SourceStreamCategory,0)))</f>
        <v/>
      </c>
      <c r="X1079" s="312"/>
      <c r="Y1079" s="426" t="str">
        <f>IF(E1069="","",IF(OR(F1079=EUconst_NA,W1079=TRUE),EUconst_NA,INDEX(EUwideConstants!$P$164:$P$200,MATCH(T1079,EUwideConstants!$S$164:$S$200,0))))</f>
        <v/>
      </c>
      <c r="Z1079" s="427" t="str">
        <f>IF(ISBLANK(F1079),"",IF(F1079=EUconst_NA,"",INDEX(EUwideConstants!$H:$O,MATCH(T1079,EUwideConstants!$S:$S,0),MATCH(F1079,CNTR_TierList,0))))</f>
        <v/>
      </c>
      <c r="AA1079" s="428" t="str">
        <f>IF(F1079=1,1,"")</f>
        <v/>
      </c>
      <c r="AB1079" s="314"/>
      <c r="AC1079" s="429" t="b">
        <f>AND(AC1074,Y1079&lt;&gt;EUconst_NA)</f>
        <v>0</v>
      </c>
      <c r="AD1079" s="314"/>
      <c r="AE1079" s="430"/>
      <c r="AF1079" s="431"/>
      <c r="AG1079" s="432"/>
      <c r="AH1079" s="433"/>
      <c r="AI1079" s="433"/>
      <c r="AJ1079" s="433"/>
      <c r="AK1079" s="434"/>
      <c r="AL1079" s="326"/>
      <c r="AM1079" s="326"/>
      <c r="AN1079" s="326"/>
      <c r="AO1079" s="326"/>
      <c r="AP1079" s="326"/>
      <c r="AQ1079" s="435" t="str">
        <f>EUconst_CNTR_BiomassContent&amp;EUconst_Value</f>
        <v>BioC_Value</v>
      </c>
      <c r="AR1079" s="430"/>
      <c r="AS1079" s="436" t="str">
        <f t="shared" si="330"/>
        <v/>
      </c>
      <c r="AT1079" s="437"/>
      <c r="AU1079" s="438" t="str">
        <f t="shared" si="331"/>
        <v/>
      </c>
      <c r="AV1079" s="429">
        <f>IF(AC1079=TRUE,IF(COUNT(K1079:L1079)=0,0,IF(L1079="",K1079,L1079)),0)</f>
        <v>0</v>
      </c>
      <c r="AW1079" s="407" t="b">
        <f t="shared" si="324"/>
        <v>0</v>
      </c>
      <c r="AX1079" s="439" t="b">
        <f t="shared" si="325"/>
        <v>0</v>
      </c>
      <c r="AY1079" s="314"/>
      <c r="AZ1079" s="408" t="b">
        <f t="shared" si="326"/>
        <v>0</v>
      </c>
      <c r="BA1079" s="440" t="b">
        <f t="shared" si="327"/>
        <v>0</v>
      </c>
      <c r="BB1079" s="314"/>
      <c r="BC1079" s="407" t="b">
        <f t="shared" si="328"/>
        <v>0</v>
      </c>
      <c r="BD1079" s="407" t="b">
        <f>OR(AV1078&gt;100%,(AV1078+AV1079)&gt;100%)</f>
        <v>0</v>
      </c>
      <c r="BE1079" s="314"/>
      <c r="BF1079" s="408" t="s">
        <v>157</v>
      </c>
      <c r="BG1079" s="409" t="str">
        <f>IF(COUNTIF(AO1077:AO1078,TRUE)=0,"",BH1079*AV1085)</f>
        <v/>
      </c>
      <c r="BH1079" s="409" t="str">
        <f>IF(COUNTIF(AO1077:AO1078,TRUE)=0,"",AV1074*IF(AO1077,1,AV1076*AN1078)*AV1077*AV1081)</f>
        <v/>
      </c>
      <c r="BJ1079" s="314"/>
      <c r="BK1079" s="314"/>
      <c r="BL1079" s="314"/>
      <c r="BM1079" s="314"/>
      <c r="BN1079" s="314"/>
      <c r="BO1079" s="314"/>
      <c r="BP1079" s="314"/>
      <c r="BQ1079" s="314"/>
      <c r="BR1079" s="314"/>
      <c r="BS1079" s="314"/>
      <c r="BT1079" s="314"/>
      <c r="BU1079" s="314"/>
      <c r="BV1079" s="314"/>
      <c r="BW1079" s="314"/>
      <c r="BX1079" s="314"/>
      <c r="BY1079" s="314"/>
      <c r="BZ1079" s="314"/>
      <c r="CA1079" s="314"/>
      <c r="CB1079" s="314"/>
      <c r="CC1079" s="314"/>
      <c r="CD1079" s="314"/>
      <c r="CE1079" s="314"/>
      <c r="CF1079" s="314"/>
      <c r="CG1079" s="314"/>
      <c r="CH1079" s="314"/>
      <c r="CI1079" s="314"/>
      <c r="CJ1079" s="314"/>
      <c r="CK1079" s="314"/>
      <c r="CL1079" s="314"/>
      <c r="CM1079" s="314"/>
      <c r="CN1079" s="314"/>
      <c r="CO1079" s="314"/>
      <c r="CP1079" s="314"/>
      <c r="CQ1079" s="407" t="b">
        <f>OR(CQ1074,Y1079=EUconst_NA)</f>
        <v>0</v>
      </c>
    </row>
    <row r="1080" spans="1:95" ht="12.75" customHeight="1" thickBot="1" x14ac:dyDescent="0.3">
      <c r="A1080" s="307"/>
      <c r="B1080" s="68"/>
      <c r="C1080" s="199" t="s">
        <v>17</v>
      </c>
      <c r="D1080" s="344" t="str">
        <f>Translations!$B$610</f>
        <v>sust. RFNBO/RCF:</v>
      </c>
      <c r="E1080" s="441"/>
      <c r="F1080" s="19" t="s">
        <v>158</v>
      </c>
      <c r="G1080" s="1261"/>
      <c r="H1080" s="1262"/>
      <c r="I1080" s="442" t="str">
        <f t="shared" si="329"/>
        <v/>
      </c>
      <c r="J1080" s="411"/>
      <c r="K1080" s="443"/>
      <c r="L1080" s="55"/>
      <c r="M1080" s="347" t="str">
        <f>IF(AND(E1069&lt;&gt;"",OR(F1080="",COUNT(L1080)=0),Y1080&lt;&gt;EUconst_NA),EUconst_ERR_Incomplete,"")</f>
        <v/>
      </c>
      <c r="N1080" s="76"/>
      <c r="O1080" s="160"/>
      <c r="P1080" s="348"/>
      <c r="Q1080" s="413"/>
      <c r="R1080" s="413"/>
      <c r="S1080" s="314"/>
      <c r="T1080" s="388" t="str">
        <f>EUconst_CNTR_RFNBOetcContent&amp;E1069</f>
        <v>RNFBOC_</v>
      </c>
      <c r="U1080" s="312"/>
      <c r="V1080" s="312"/>
      <c r="W1080" s="312"/>
      <c r="X1080" s="312"/>
      <c r="Y1080" s="380" t="str">
        <f>IF(E1069="","",IF(OR(F1080=EUconst_NA,W1080=TRUE),EUconst_NA,INDEX(EUwideConstants!$P$164:$P$200,MATCH(T1080,EUwideConstants!$S$164:$S$200,0))))</f>
        <v/>
      </c>
      <c r="Z1080" s="314"/>
      <c r="AA1080" s="314"/>
      <c r="AB1080" s="314"/>
      <c r="AC1080" s="397" t="b">
        <f>AND(AC1076,Y1080&lt;&gt;EUconst_NA)</f>
        <v>0</v>
      </c>
      <c r="AD1080" s="314"/>
      <c r="AE1080" s="415"/>
      <c r="AF1080" s="416"/>
      <c r="AG1080" s="417"/>
      <c r="AH1080" s="418"/>
      <c r="AI1080" s="418"/>
      <c r="AJ1080" s="418"/>
      <c r="AK1080" s="419"/>
      <c r="AL1080" s="326"/>
      <c r="AM1080" s="326"/>
      <c r="AN1080" s="326"/>
      <c r="AO1080" s="326"/>
      <c r="AP1080" s="326"/>
      <c r="AQ1080" s="444" t="s">
        <v>159</v>
      </c>
      <c r="AR1080" s="415"/>
      <c r="AS1080" s="445" t="str">
        <f t="shared" si="330"/>
        <v/>
      </c>
      <c r="AT1080" s="446"/>
      <c r="AU1080" s="447" t="str">
        <f t="shared" si="331"/>
        <v/>
      </c>
      <c r="AV1080" s="397">
        <f>IF(L1080&lt;&gt;0,L1080,L1080)</f>
        <v>0</v>
      </c>
      <c r="AW1080" s="398" t="b">
        <f t="shared" si="324"/>
        <v>0</v>
      </c>
      <c r="AX1080" s="448" t="b">
        <f t="shared" si="325"/>
        <v>0</v>
      </c>
      <c r="AY1080" s="314"/>
      <c r="AZ1080" s="449" t="b">
        <f t="shared" si="326"/>
        <v>0</v>
      </c>
      <c r="BA1080" s="450" t="b">
        <f t="shared" si="327"/>
        <v>0</v>
      </c>
      <c r="BB1080" s="314"/>
      <c r="BC1080" s="398" t="b">
        <f t="shared" si="328"/>
        <v>0</v>
      </c>
      <c r="BD1080" s="369" t="b">
        <f>OR(AV1080&gt;100%,(AV1080+AV1081)&gt;100%)</f>
        <v>0</v>
      </c>
      <c r="BE1080" s="314"/>
      <c r="BF1080" s="451" t="s">
        <v>160</v>
      </c>
      <c r="BG1080" s="452" t="str">
        <f>IF(COUNTIF(AO1077:AO1078,TRUE)=0,"",BH1080*AV1085)</f>
        <v/>
      </c>
      <c r="BH1080" s="452" t="str">
        <f>IF(COUNTIF(AO1077:AO1078,TRUE)=0,"",AV1074*IF(AO1077,1,AV1076*AN1078)*AV1077*AV1082)</f>
        <v/>
      </c>
      <c r="BJ1080" s="314"/>
      <c r="BK1080" s="314"/>
      <c r="BL1080" s="314"/>
      <c r="BM1080" s="314"/>
      <c r="BN1080" s="314"/>
      <c r="BO1080" s="314"/>
      <c r="BP1080" s="314"/>
      <c r="BQ1080" s="314"/>
      <c r="BR1080" s="314"/>
      <c r="BS1080" s="314"/>
      <c r="BT1080" s="314"/>
      <c r="BU1080" s="314"/>
      <c r="BV1080" s="314"/>
      <c r="BW1080" s="314"/>
      <c r="BX1080" s="314"/>
      <c r="BY1080" s="314"/>
      <c r="BZ1080" s="314"/>
      <c r="CA1080" s="314"/>
      <c r="CB1080" s="314"/>
      <c r="CC1080" s="314"/>
      <c r="CD1080" s="314"/>
      <c r="CE1080" s="314"/>
      <c r="CF1080" s="314"/>
      <c r="CG1080" s="314"/>
      <c r="CH1080" s="314"/>
      <c r="CI1080" s="314"/>
      <c r="CJ1080" s="314"/>
      <c r="CK1080" s="314"/>
      <c r="CL1080" s="314"/>
      <c r="CM1080" s="314"/>
      <c r="CN1080" s="314"/>
      <c r="CO1080" s="314"/>
      <c r="CP1080" s="314"/>
      <c r="CQ1080" s="407" t="b">
        <f>OR(CQ1074,Y1080=EUconst_NA)</f>
        <v>0</v>
      </c>
    </row>
    <row r="1081" spans="1:95" ht="12.75" customHeight="1" thickBot="1" x14ac:dyDescent="0.3">
      <c r="A1081" s="307"/>
      <c r="B1081" s="68"/>
      <c r="C1081" s="199" t="s">
        <v>161</v>
      </c>
      <c r="D1081" s="344" t="str">
        <f>Translations!$B$613</f>
        <v>non-sust. RFNBO/RCF:</v>
      </c>
      <c r="E1081" s="441"/>
      <c r="F1081" s="20" t="s">
        <v>158</v>
      </c>
      <c r="G1081" s="1261"/>
      <c r="H1081" s="1262"/>
      <c r="I1081" s="422" t="str">
        <f t="shared" si="329"/>
        <v/>
      </c>
      <c r="J1081" s="423"/>
      <c r="K1081" s="443"/>
      <c r="L1081" s="56"/>
      <c r="M1081" s="347" t="str">
        <f>IF(AND(E1069&lt;&gt;"",OR(F1081="",COUNT(L1081)=0),Y1081&lt;&gt;EUconst_NA),EUconst_ERR_Incomplete,"")</f>
        <v/>
      </c>
      <c r="N1081" s="76"/>
      <c r="O1081" s="160"/>
      <c r="P1081" s="348"/>
      <c r="Q1081" s="413"/>
      <c r="R1081" s="413"/>
      <c r="S1081" s="314"/>
      <c r="T1081" s="425" t="str">
        <f>EUconst_CNTR_RFNBOetcContent&amp;E1069</f>
        <v>RNFBOC_</v>
      </c>
      <c r="U1081" s="312"/>
      <c r="V1081" s="312"/>
      <c r="W1081" s="312"/>
      <c r="X1081" s="312"/>
      <c r="Y1081" s="438" t="str">
        <f>IF(E1069="","",IF(OR(F1081=EUconst_NA,W1081=TRUE),EUconst_NA,INDEX(EUwideConstants!$P$164:$P$200,MATCH(T1081,EUwideConstants!$S$164:$S$200,0))))</f>
        <v/>
      </c>
      <c r="Z1081" s="314"/>
      <c r="AA1081" s="314"/>
      <c r="AB1081" s="314"/>
      <c r="AC1081" s="429" t="b">
        <f>AND(AC1076,Y1081&lt;&gt;EUconst_NA)</f>
        <v>0</v>
      </c>
      <c r="AD1081" s="314"/>
      <c r="AE1081" s="430"/>
      <c r="AF1081" s="431"/>
      <c r="AG1081" s="432"/>
      <c r="AH1081" s="433"/>
      <c r="AI1081" s="433"/>
      <c r="AJ1081" s="433"/>
      <c r="AK1081" s="434"/>
      <c r="AL1081" s="326"/>
      <c r="AM1081" s="326"/>
      <c r="AN1081" s="326"/>
      <c r="AO1081" s="326"/>
      <c r="AP1081" s="326"/>
      <c r="AQ1081" s="435" t="s">
        <v>159</v>
      </c>
      <c r="AR1081" s="430"/>
      <c r="AS1081" s="436" t="str">
        <f t="shared" si="330"/>
        <v/>
      </c>
      <c r="AT1081" s="437"/>
      <c r="AU1081" s="438" t="str">
        <f t="shared" si="331"/>
        <v/>
      </c>
      <c r="AV1081" s="429">
        <f t="shared" ref="AV1081:AV1083" si="332">IF(L1081&lt;&gt;0,L1081,L1081)</f>
        <v>0</v>
      </c>
      <c r="AW1081" s="407" t="b">
        <f t="shared" si="324"/>
        <v>0</v>
      </c>
      <c r="AX1081" s="439" t="b">
        <f t="shared" si="325"/>
        <v>0</v>
      </c>
      <c r="AY1081" s="314"/>
      <c r="AZ1081" s="408" t="b">
        <f t="shared" si="326"/>
        <v>0</v>
      </c>
      <c r="BA1081" s="440" t="b">
        <f t="shared" si="327"/>
        <v>0</v>
      </c>
      <c r="BB1081" s="314"/>
      <c r="BC1081" s="407" t="b">
        <f t="shared" si="328"/>
        <v>0</v>
      </c>
      <c r="BD1081" s="407" t="b">
        <f>OR(AV1080&gt;100%,(AV1080+AV1081)&gt;100%)</f>
        <v>0</v>
      </c>
      <c r="BE1081" s="314"/>
      <c r="BF1081" s="408" t="s">
        <v>162</v>
      </c>
      <c r="BG1081" s="409" t="str">
        <f>IF(COUNTIF(AO1077:AO1078,TRUE)=0,"",BH1081*AV1085)</f>
        <v/>
      </c>
      <c r="BH1081" s="409" t="str">
        <f>IF(COUNTIF(AO1077:AO1078,TRUE)=0,"",AV1074*IF(AO1077,1,AV1076*AN1078)*AV1077*AV1083)</f>
        <v/>
      </c>
      <c r="BJ1081" s="314"/>
      <c r="BK1081" s="314"/>
      <c r="BL1081" s="314"/>
      <c r="BM1081" s="314"/>
      <c r="BN1081" s="314"/>
      <c r="BO1081" s="314"/>
      <c r="BP1081" s="314"/>
      <c r="BQ1081" s="314"/>
      <c r="BR1081" s="314"/>
      <c r="BS1081" s="314"/>
      <c r="BT1081" s="314"/>
      <c r="BU1081" s="314"/>
      <c r="BV1081" s="314"/>
      <c r="BW1081" s="314"/>
      <c r="BX1081" s="314"/>
      <c r="BY1081" s="314"/>
      <c r="BZ1081" s="314"/>
      <c r="CA1081" s="314"/>
      <c r="CB1081" s="314"/>
      <c r="CC1081" s="314"/>
      <c r="CD1081" s="314"/>
      <c r="CE1081" s="314"/>
      <c r="CF1081" s="314"/>
      <c r="CG1081" s="314"/>
      <c r="CH1081" s="314"/>
      <c r="CI1081" s="314"/>
      <c r="CJ1081" s="314"/>
      <c r="CK1081" s="314"/>
      <c r="CL1081" s="314"/>
      <c r="CM1081" s="314"/>
      <c r="CN1081" s="314"/>
      <c r="CO1081" s="314"/>
      <c r="CP1081" s="314"/>
      <c r="CQ1081" s="407" t="b">
        <f>OR(CQ1074,Y1081=EUconst_NA)</f>
        <v>0</v>
      </c>
    </row>
    <row r="1082" spans="1:95" ht="12.75" customHeight="1" thickBot="1" x14ac:dyDescent="0.3">
      <c r="A1082" s="307"/>
      <c r="B1082" s="68"/>
      <c r="C1082" s="199" t="s">
        <v>163</v>
      </c>
      <c r="D1082" s="344" t="str">
        <f>Translations!$B$615</f>
        <v>sust. SLCF:</v>
      </c>
      <c r="E1082" s="441"/>
      <c r="F1082" s="19" t="s">
        <v>158</v>
      </c>
      <c r="G1082" s="1261"/>
      <c r="H1082" s="1262"/>
      <c r="I1082" s="442" t="str">
        <f t="shared" si="329"/>
        <v/>
      </c>
      <c r="J1082" s="411"/>
      <c r="K1082" s="443"/>
      <c r="L1082" s="57"/>
      <c r="M1082" s="347" t="str">
        <f>IF(AND(E1069&lt;&gt;"",OR(F1082="",COUNT(L1082)=0),Y1082&lt;&gt;EUconst_NA),EUconst_ERR_Incomplete,"")</f>
        <v/>
      </c>
      <c r="N1082" s="76"/>
      <c r="O1082" s="160"/>
      <c r="P1082" s="348"/>
      <c r="Q1082" s="413"/>
      <c r="R1082" s="413"/>
      <c r="S1082" s="314"/>
      <c r="T1082" s="388" t="str">
        <f>EUconst_CNTR_RFNBOetcContent&amp;E1069</f>
        <v>RNFBOC_</v>
      </c>
      <c r="U1082" s="312"/>
      <c r="V1082" s="312"/>
      <c r="W1082" s="312"/>
      <c r="X1082" s="312"/>
      <c r="Y1082" s="447" t="str">
        <f>IF(E1069="","",IF(OR(F1082=EUconst_NA,W1082=TRUE),EUconst_NA,INDEX(EUwideConstants!$P$164:$P$200,MATCH(T1082,EUwideConstants!$S$164:$S$200,0))))</f>
        <v/>
      </c>
      <c r="Z1082" s="314"/>
      <c r="AA1082" s="314"/>
      <c r="AB1082" s="314"/>
      <c r="AC1082" s="397" t="b">
        <f>AND(AC1078,Y1082&lt;&gt;EUconst_NA)</f>
        <v>0</v>
      </c>
      <c r="AD1082" s="314"/>
      <c r="AE1082" s="415"/>
      <c r="AF1082" s="416"/>
      <c r="AG1082" s="417"/>
      <c r="AH1082" s="418"/>
      <c r="AI1082" s="418"/>
      <c r="AJ1082" s="418"/>
      <c r="AK1082" s="419"/>
      <c r="AL1082" s="326"/>
      <c r="AM1082" s="326"/>
      <c r="AN1082" s="326"/>
      <c r="AO1082" s="326"/>
      <c r="AP1082" s="326"/>
      <c r="AQ1082" s="444" t="s">
        <v>159</v>
      </c>
      <c r="AR1082" s="415"/>
      <c r="AS1082" s="445" t="str">
        <f t="shared" si="330"/>
        <v/>
      </c>
      <c r="AT1082" s="446"/>
      <c r="AU1082" s="447" t="str">
        <f t="shared" si="331"/>
        <v/>
      </c>
      <c r="AV1082" s="397">
        <f t="shared" si="332"/>
        <v>0</v>
      </c>
      <c r="AW1082" s="398" t="b">
        <f t="shared" si="324"/>
        <v>0</v>
      </c>
      <c r="AX1082" s="448" t="b">
        <f t="shared" si="325"/>
        <v>0</v>
      </c>
      <c r="AY1082" s="314"/>
      <c r="AZ1082" s="449" t="b">
        <f t="shared" si="326"/>
        <v>0</v>
      </c>
      <c r="BA1082" s="450" t="b">
        <f t="shared" si="327"/>
        <v>0</v>
      </c>
      <c r="BB1082" s="314"/>
      <c r="BC1082" s="398" t="b">
        <f t="shared" si="328"/>
        <v>0</v>
      </c>
      <c r="BD1082" s="369" t="b">
        <f>OR(AV1082&gt;100%,(AV1082+AV1083)&gt;100%)</f>
        <v>0</v>
      </c>
      <c r="BE1082" s="314"/>
      <c r="BF1082" s="451" t="s">
        <v>164</v>
      </c>
      <c r="BG1082" s="452">
        <f>IF(AN1074=EUconst_TJ,AV1074*(1-AV1078),IF(AN1076=EUconst_GJ,AV1074*AV1076/1000,0))-SUM(BG1083:BG1089)</f>
        <v>0</v>
      </c>
      <c r="BH1082" s="314"/>
      <c r="BI1082" s="314"/>
      <c r="BJ1082" s="314"/>
      <c r="BK1082" s="314"/>
      <c r="BL1082" s="314"/>
      <c r="BM1082" s="314"/>
      <c r="BN1082" s="314"/>
      <c r="BO1082" s="314"/>
      <c r="BP1082" s="314"/>
      <c r="BQ1082" s="314"/>
      <c r="BR1082" s="314"/>
      <c r="BS1082" s="314"/>
      <c r="BT1082" s="314"/>
      <c r="BU1082" s="314"/>
      <c r="BV1082" s="314"/>
      <c r="BW1082" s="314"/>
      <c r="BX1082" s="314"/>
      <c r="BY1082" s="314"/>
      <c r="BZ1082" s="314"/>
      <c r="CA1082" s="314"/>
      <c r="CB1082" s="314"/>
      <c r="CC1082" s="314"/>
      <c r="CD1082" s="314"/>
      <c r="CE1082" s="314"/>
      <c r="CF1082" s="314"/>
      <c r="CG1082" s="314"/>
      <c r="CH1082" s="314"/>
      <c r="CI1082" s="314"/>
      <c r="CJ1082" s="314"/>
      <c r="CK1082" s="314"/>
      <c r="CL1082" s="314"/>
      <c r="CM1082" s="314"/>
      <c r="CN1082" s="314"/>
      <c r="CO1082" s="314"/>
      <c r="CP1082" s="314"/>
      <c r="CQ1082" s="407" t="b">
        <f>OR(CQ1074,Y1082=EUconst_NA)</f>
        <v>0</v>
      </c>
    </row>
    <row r="1083" spans="1:95" ht="12.75" customHeight="1" thickBot="1" x14ac:dyDescent="0.3">
      <c r="A1083" s="307"/>
      <c r="B1083" s="68"/>
      <c r="C1083" s="199" t="s">
        <v>165</v>
      </c>
      <c r="D1083" s="344" t="str">
        <f>Translations!$B$618</f>
        <v>non-sust. SLCF:</v>
      </c>
      <c r="E1083" s="441"/>
      <c r="F1083" s="20" t="s">
        <v>158</v>
      </c>
      <c r="G1083" s="1261"/>
      <c r="H1083" s="1262"/>
      <c r="I1083" s="422" t="str">
        <f t="shared" si="329"/>
        <v/>
      </c>
      <c r="J1083" s="423"/>
      <c r="K1083" s="443"/>
      <c r="L1083" s="56"/>
      <c r="M1083" s="347" t="str">
        <f>IF(AND(E1069&lt;&gt;"",OR(F1083="",COUNT(L1083)=0),Y1083&lt;&gt;EUconst_NA),EUconst_ERR_Incomplete,"")</f>
        <v/>
      </c>
      <c r="N1083" s="76"/>
      <c r="O1083" s="160"/>
      <c r="P1083" s="348"/>
      <c r="Q1083" s="413"/>
      <c r="R1083" s="413"/>
      <c r="S1083" s="314"/>
      <c r="T1083" s="425" t="str">
        <f>EUconst_CNTR_RFNBOetcContent&amp;E1069</f>
        <v>RNFBOC_</v>
      </c>
      <c r="U1083" s="312"/>
      <c r="V1083" s="312"/>
      <c r="W1083" s="312"/>
      <c r="X1083" s="312"/>
      <c r="Y1083" s="438" t="str">
        <f>IF(E1069="","",IF(OR(F1083=EUconst_NA,W1083=TRUE),EUconst_NA,INDEX(EUwideConstants!$P$164:$P$200,MATCH(T1083,EUwideConstants!$S$164:$S$200,0))))</f>
        <v/>
      </c>
      <c r="Z1083" s="314"/>
      <c r="AA1083" s="314"/>
      <c r="AB1083" s="314"/>
      <c r="AC1083" s="429" t="b">
        <f>AND(AC1078,Y1083&lt;&gt;EUconst_NA)</f>
        <v>0</v>
      </c>
      <c r="AD1083" s="314"/>
      <c r="AE1083" s="430"/>
      <c r="AF1083" s="431"/>
      <c r="AG1083" s="432"/>
      <c r="AH1083" s="433"/>
      <c r="AI1083" s="433"/>
      <c r="AJ1083" s="433"/>
      <c r="AK1083" s="434"/>
      <c r="AL1083" s="326"/>
      <c r="AM1083" s="326"/>
      <c r="AN1083" s="326"/>
      <c r="AO1083" s="326"/>
      <c r="AP1083" s="326"/>
      <c r="AQ1083" s="435" t="s">
        <v>159</v>
      </c>
      <c r="AR1083" s="430"/>
      <c r="AS1083" s="436" t="str">
        <f t="shared" si="330"/>
        <v/>
      </c>
      <c r="AT1083" s="437"/>
      <c r="AU1083" s="438" t="str">
        <f t="shared" si="331"/>
        <v/>
      </c>
      <c r="AV1083" s="429">
        <f t="shared" si="332"/>
        <v>0</v>
      </c>
      <c r="AW1083" s="407" t="b">
        <f t="shared" si="324"/>
        <v>0</v>
      </c>
      <c r="AX1083" s="439" t="b">
        <f t="shared" si="325"/>
        <v>0</v>
      </c>
      <c r="AY1083" s="314"/>
      <c r="AZ1083" s="408" t="b">
        <f t="shared" si="326"/>
        <v>0</v>
      </c>
      <c r="BA1083" s="440" t="b">
        <f t="shared" si="327"/>
        <v>0</v>
      </c>
      <c r="BB1083" s="314"/>
      <c r="BC1083" s="407" t="b">
        <f t="shared" si="328"/>
        <v>0</v>
      </c>
      <c r="BD1083" s="407" t="b">
        <f>OR(AV1082&gt;100%,(AV1082+AV1083)&gt;100%)</f>
        <v>0</v>
      </c>
      <c r="BE1083" s="314"/>
      <c r="BF1083" s="408" t="s">
        <v>166</v>
      </c>
      <c r="BG1083" s="409" t="str">
        <f>IF(AN1074=EUconst_TJ,AV1074*AV1078,IF(AN1076=EUconst_GJ,AV1074*AV1076/1000*AV1078,""))</f>
        <v/>
      </c>
      <c r="BH1083" s="314"/>
      <c r="BI1083" s="314"/>
      <c r="BJ1083" s="314"/>
      <c r="BK1083" s="314"/>
      <c r="BL1083" s="314"/>
      <c r="BM1083" s="314"/>
      <c r="BN1083" s="314"/>
      <c r="BO1083" s="314"/>
      <c r="BP1083" s="314"/>
      <c r="BQ1083" s="314"/>
      <c r="BR1083" s="314"/>
      <c r="BS1083" s="314"/>
      <c r="BT1083" s="314"/>
      <c r="BU1083" s="314"/>
      <c r="BV1083" s="314"/>
      <c r="BW1083" s="314"/>
      <c r="BX1083" s="314"/>
      <c r="BY1083" s="314"/>
      <c r="BZ1083" s="314"/>
      <c r="CA1083" s="314"/>
      <c r="CB1083" s="314"/>
      <c r="CC1083" s="314"/>
      <c r="CD1083" s="314"/>
      <c r="CE1083" s="314"/>
      <c r="CF1083" s="314"/>
      <c r="CG1083" s="314"/>
      <c r="CH1083" s="314"/>
      <c r="CI1083" s="314"/>
      <c r="CJ1083" s="314"/>
      <c r="CK1083" s="314"/>
      <c r="CL1083" s="314"/>
      <c r="CM1083" s="314"/>
      <c r="CN1083" s="314"/>
      <c r="CO1083" s="314"/>
      <c r="CP1083" s="314"/>
      <c r="CQ1083" s="407" t="b">
        <f>OR(CQ1074,Y1083=EUconst_NA)</f>
        <v>0</v>
      </c>
    </row>
    <row r="1084" spans="1:95" ht="5.15" customHeight="1" thickBot="1" x14ac:dyDescent="0.3">
      <c r="A1084" s="307"/>
      <c r="B1084" s="68"/>
      <c r="C1084" s="68"/>
      <c r="D1084" s="205"/>
      <c r="E1084" s="76"/>
      <c r="F1084" s="76"/>
      <c r="G1084" s="76"/>
      <c r="H1084" s="76"/>
      <c r="I1084" s="76"/>
      <c r="J1084" s="76"/>
      <c r="K1084" s="76"/>
      <c r="L1084" s="76"/>
      <c r="M1084" s="453"/>
      <c r="N1084" s="76"/>
      <c r="O1084" s="160"/>
      <c r="P1084" s="109"/>
      <c r="Q1084" s="312"/>
      <c r="R1084" s="312"/>
      <c r="S1084" s="314"/>
      <c r="T1084" s="314"/>
      <c r="U1084" s="314"/>
      <c r="V1084" s="314"/>
      <c r="W1084" s="314"/>
      <c r="X1084" s="314"/>
      <c r="Y1084" s="314"/>
      <c r="Z1084" s="314"/>
      <c r="AA1084" s="314"/>
      <c r="AB1084" s="314"/>
      <c r="AC1084" s="314"/>
      <c r="AD1084" s="314"/>
      <c r="AE1084" s="314"/>
      <c r="AF1084" s="314"/>
      <c r="AG1084" s="314"/>
      <c r="AH1084" s="314"/>
      <c r="AI1084" s="314"/>
      <c r="AJ1084" s="314"/>
      <c r="AK1084" s="314"/>
      <c r="AL1084" s="314"/>
      <c r="AM1084" s="314"/>
      <c r="AN1084" s="314"/>
      <c r="AO1084" s="314"/>
      <c r="AP1084" s="314"/>
      <c r="AQ1084" s="314"/>
      <c r="AR1084" s="314"/>
      <c r="AS1084" s="314"/>
      <c r="AT1084" s="314"/>
      <c r="AU1084" s="314"/>
      <c r="AV1084" s="314"/>
      <c r="AW1084" s="314"/>
      <c r="AX1084" s="314"/>
      <c r="AY1084" s="314"/>
      <c r="AZ1084" s="314"/>
      <c r="BA1084" s="314"/>
      <c r="BB1084" s="314"/>
      <c r="BC1084" s="314"/>
      <c r="BD1084" s="314"/>
      <c r="BE1084" s="314"/>
      <c r="BF1084" s="314"/>
      <c r="BG1084" s="364"/>
      <c r="BH1084" s="314"/>
      <c r="BI1084" s="314"/>
      <c r="BJ1084" s="314"/>
      <c r="BK1084" s="314"/>
      <c r="BL1084" s="314"/>
      <c r="BM1084" s="314"/>
      <c r="BN1084" s="314"/>
      <c r="BO1084" s="314"/>
      <c r="BP1084" s="314"/>
      <c r="BQ1084" s="314"/>
      <c r="BR1084" s="314"/>
      <c r="BS1084" s="314"/>
      <c r="BT1084" s="314"/>
      <c r="BU1084" s="314"/>
      <c r="BV1084" s="314"/>
      <c r="BW1084" s="314"/>
      <c r="BX1084" s="314"/>
      <c r="BY1084" s="314"/>
      <c r="BZ1084" s="314"/>
      <c r="CA1084" s="314"/>
      <c r="CB1084" s="314"/>
      <c r="CC1084" s="314"/>
      <c r="CD1084" s="314"/>
      <c r="CE1084" s="314"/>
      <c r="CF1084" s="314"/>
      <c r="CG1084" s="314"/>
      <c r="CH1084" s="314"/>
      <c r="CI1084" s="314"/>
      <c r="CJ1084" s="314"/>
      <c r="CK1084" s="314"/>
      <c r="CL1084" s="314"/>
      <c r="CM1084" s="314"/>
      <c r="CN1084" s="314"/>
      <c r="CO1084" s="314"/>
      <c r="CP1084" s="314"/>
      <c r="CQ1084" s="314"/>
    </row>
    <row r="1085" spans="1:95" ht="12.75" customHeight="1" thickBot="1" x14ac:dyDescent="0.3">
      <c r="A1085" s="307"/>
      <c r="B1085" s="68"/>
      <c r="C1085" s="199" t="s">
        <v>167</v>
      </c>
      <c r="D1085" s="344" t="str">
        <f>Translations!$B$398</f>
        <v>Scope factor:</v>
      </c>
      <c r="E1085" s="454"/>
      <c r="F1085" s="992"/>
      <c r="G1085" s="1263"/>
      <c r="H1085" s="1264"/>
      <c r="I1085" s="455" t="s">
        <v>46</v>
      </c>
      <c r="J1085" s="456"/>
      <c r="K1085" s="457" t="str">
        <f>IF(L1085="",AU1085,"")</f>
        <v/>
      </c>
      <c r="L1085" s="16"/>
      <c r="M1085" s="458" t="str">
        <f>IF(AND(E1069&lt;&gt;"",OR(F1085="",G1085="",COUNT(K1085:L1085)=0)),EUconst_ERR_Incomplete,IF(COUNTIF(BB1085:BD1085,TRUE)&gt;0,EUconst_ERR_Inconsistent,""))</f>
        <v/>
      </c>
      <c r="N1085" s="76"/>
      <c r="O1085" s="160"/>
      <c r="P1085" s="109"/>
      <c r="Q1085" s="312"/>
      <c r="R1085" s="314"/>
      <c r="S1085" s="297"/>
      <c r="T1085" s="459" t="str">
        <f>EUconst_CNTR_ScopeFactor&amp;E1069</f>
        <v>ScopeFactor_</v>
      </c>
      <c r="U1085" s="231" t="str">
        <f>IF(F1085="","",INDEX(ScopeAddress,MATCH(F1085,ScopeTiers,0)))</f>
        <v/>
      </c>
      <c r="V1085" s="360" t="str">
        <f>V1074</f>
        <v/>
      </c>
      <c r="W1085" s="314"/>
      <c r="X1085" s="314"/>
      <c r="Y1085" s="460" t="str">
        <f>IF(E1069="","",IF(F1085=EUconst_NA,EUconst_NA,INDEX(EUwideConstants!$P$164:$P$200,MATCH(T1085,EUwideConstants!$S$164:$S$200,0))))</f>
        <v/>
      </c>
      <c r="Z1085" s="461" t="str">
        <f>IF(ISBLANK(F1085),"",IF(F1085=EUconst_NA,"",INDEX(EUwideConstants!$H:$O,MATCH(T1085,EUwideConstants!$S:$S,0),MATCH(F1085,CNTR_TierList,0))))</f>
        <v/>
      </c>
      <c r="AA1085" s="331" t="str">
        <f>IF(G1085=EUwideConstants!$A$89,1,"")</f>
        <v/>
      </c>
      <c r="AB1085" s="314"/>
      <c r="AC1085" s="331" t="b">
        <f>AND(AC1074,Y1085&lt;&gt;EUconst_NA)</f>
        <v>0</v>
      </c>
      <c r="AD1085" s="314"/>
      <c r="AE1085" s="314"/>
      <c r="AF1085" s="314"/>
      <c r="AG1085" s="319"/>
      <c r="AH1085" s="314"/>
      <c r="AI1085" s="314"/>
      <c r="AJ1085" s="314"/>
      <c r="AK1085" s="314"/>
      <c r="AL1085" s="314"/>
      <c r="AM1085" s="314"/>
      <c r="AN1085" s="314"/>
      <c r="AO1085" s="314"/>
      <c r="AP1085" s="314"/>
      <c r="AQ1085" s="314"/>
      <c r="AR1085" s="314"/>
      <c r="AS1085" s="328">
        <v>1</v>
      </c>
      <c r="AT1085" s="314"/>
      <c r="AU1085" s="319" t="str">
        <f>IF(G1085=EUwideConstants!$A$89,AS1085,"")</f>
        <v/>
      </c>
      <c r="AV1085" s="331">
        <f>IF(AC1085=TRUE,IF(COUNT(K1085:L1085)=0,0,IF(L1085="",K1085,L1085)),0)</f>
        <v>0</v>
      </c>
      <c r="AW1085" s="360" t="b">
        <f>AND(AC1085=TRUE,OR(AND(F1085&lt;&gt;"",NOT(ISNUMBER(AA1085))),L1085&lt;&gt;"",F1085="",AU1085=""))</f>
        <v>0</v>
      </c>
      <c r="AX1085" s="357" t="b">
        <f>AND(AC1085=TRUE,NOT(AW1085))</f>
        <v>0</v>
      </c>
      <c r="AY1085" s="314"/>
      <c r="AZ1085" s="361" t="b">
        <f>AND(ISNUMBER(AA1085),AU1085="")</f>
        <v>0</v>
      </c>
      <c r="BA1085" s="351" t="b">
        <f>AND(ISNUMBER(AA1085),AU1085&lt;&gt;AV1085)</f>
        <v>0</v>
      </c>
      <c r="BB1085" s="314"/>
      <c r="BC1085" s="360" t="b">
        <f>AND(F1085&lt;&gt;"",OR(COUNTIF(INDEX(ScopeMethods,F1085,),G1085)=0,AND(AA1085&lt;&gt;"",AU1085&lt;&gt;AV1085)))</f>
        <v>0</v>
      </c>
      <c r="BD1085" s="314"/>
      <c r="BE1085" s="314"/>
      <c r="BF1085" s="361" t="s">
        <v>168</v>
      </c>
      <c r="BG1085" s="362" t="str">
        <f>IF(AN1074=EUconst_TJ,AV1074*AV1080,IF(AN1076=EUconst_GJ,AV1074*AV1076/1000*AV1080,""))</f>
        <v/>
      </c>
      <c r="BH1085" s="314"/>
      <c r="BI1085" s="314"/>
      <c r="BJ1085" s="314"/>
      <c r="BK1085" s="314"/>
      <c r="BL1085" s="314"/>
      <c r="BM1085" s="314"/>
      <c r="BN1085" s="314"/>
      <c r="BO1085" s="314"/>
      <c r="BP1085" s="314"/>
      <c r="BQ1085" s="314"/>
      <c r="BR1085" s="314"/>
      <c r="BS1085" s="314"/>
      <c r="BT1085" s="314"/>
      <c r="BU1085" s="314"/>
      <c r="BV1085" s="314"/>
      <c r="BW1085" s="314"/>
      <c r="BX1085" s="314"/>
      <c r="BY1085" s="314"/>
      <c r="BZ1085" s="314"/>
      <c r="CA1085" s="314"/>
      <c r="CB1085" s="314"/>
      <c r="CC1085" s="314"/>
      <c r="CD1085" s="314"/>
      <c r="CE1085" s="314"/>
      <c r="CF1085" s="314"/>
      <c r="CG1085" s="314"/>
      <c r="CH1085" s="314"/>
      <c r="CI1085" s="314"/>
      <c r="CJ1085" s="314"/>
      <c r="CK1085" s="314"/>
      <c r="CL1085" s="314"/>
      <c r="CM1085" s="314"/>
      <c r="CN1085" s="314"/>
      <c r="CO1085" s="314"/>
      <c r="CP1085" s="314"/>
      <c r="CQ1085" s="314"/>
    </row>
    <row r="1086" spans="1:95" ht="12.75" customHeight="1" x14ac:dyDescent="0.25">
      <c r="A1086" s="307"/>
      <c r="B1086" s="68"/>
      <c r="C1086" s="68"/>
      <c r="D1086" s="68"/>
      <c r="E1086" s="68"/>
      <c r="F1086" s="68"/>
      <c r="G1086" s="1265" t="str">
        <f>IF(G1085="","",INDEX(ScopeMethodsDetails,MATCH(G1085,INDEX(ScopeMethodsDetails,,1),0),2))</f>
        <v/>
      </c>
      <c r="H1086" s="1266"/>
      <c r="I1086" s="1266"/>
      <c r="J1086" s="1266"/>
      <c r="K1086" s="1266"/>
      <c r="L1086" s="1266"/>
      <c r="M1086" s="1267"/>
      <c r="N1086" s="76"/>
      <c r="O1086" s="160"/>
      <c r="P1086" s="109"/>
      <c r="Q1086" s="312"/>
      <c r="R1086" s="312"/>
      <c r="S1086" s="314"/>
      <c r="T1086" s="314"/>
      <c r="U1086" s="314"/>
      <c r="V1086" s="314"/>
      <c r="W1086" s="314"/>
      <c r="X1086" s="314"/>
      <c r="Y1086" s="314"/>
      <c r="Z1086" s="314"/>
      <c r="AA1086" s="314"/>
      <c r="AB1086" s="314"/>
      <c r="AC1086" s="314"/>
      <c r="AD1086" s="314"/>
      <c r="AE1086" s="314"/>
      <c r="AF1086" s="314"/>
      <c r="AG1086" s="314"/>
      <c r="AH1086" s="314"/>
      <c r="AI1086" s="314"/>
      <c r="AJ1086" s="314"/>
      <c r="AK1086" s="314"/>
      <c r="AL1086" s="314"/>
      <c r="AM1086" s="314"/>
      <c r="AN1086" s="314"/>
      <c r="AO1086" s="314"/>
      <c r="AP1086" s="314"/>
      <c r="AQ1086" s="314"/>
      <c r="AR1086" s="314"/>
      <c r="AS1086" s="314"/>
      <c r="AT1086" s="314"/>
      <c r="AU1086" s="314"/>
      <c r="AV1086" s="314"/>
      <c r="AW1086" s="314"/>
      <c r="AX1086" s="314"/>
      <c r="AY1086" s="314"/>
      <c r="AZ1086" s="314"/>
      <c r="BA1086" s="314"/>
      <c r="BB1086" s="314"/>
      <c r="BC1086" s="314"/>
      <c r="BD1086" s="314"/>
      <c r="BE1086" s="314"/>
      <c r="BG1086" s="364"/>
      <c r="BH1086" s="314"/>
      <c r="BI1086" s="314"/>
      <c r="BJ1086" s="314"/>
      <c r="BK1086" s="314"/>
      <c r="BL1086" s="314"/>
      <c r="BM1086" s="314"/>
      <c r="BN1086" s="314"/>
      <c r="BO1086" s="314"/>
      <c r="BP1086" s="314"/>
      <c r="BQ1086" s="314"/>
      <c r="BR1086" s="314"/>
      <c r="BS1086" s="314"/>
      <c r="BT1086" s="314"/>
      <c r="BU1086" s="314"/>
      <c r="BV1086" s="314"/>
      <c r="BW1086" s="314"/>
      <c r="BX1086" s="314"/>
      <c r="BY1086" s="314"/>
      <c r="BZ1086" s="314"/>
      <c r="CA1086" s="314"/>
      <c r="CB1086" s="314"/>
      <c r="CC1086" s="314"/>
      <c r="CD1086" s="314"/>
      <c r="CE1086" s="314"/>
      <c r="CF1086" s="314"/>
      <c r="CG1086" s="314"/>
      <c r="CH1086" s="314"/>
      <c r="CI1086" s="314"/>
      <c r="CJ1086" s="314"/>
      <c r="CK1086" s="314"/>
      <c r="CL1086" s="314"/>
      <c r="CM1086" s="314"/>
      <c r="CN1086" s="314"/>
      <c r="CO1086" s="314"/>
      <c r="CP1086" s="314"/>
      <c r="CQ1086" s="314"/>
    </row>
    <row r="1087" spans="1:95" ht="5.15" customHeight="1" x14ac:dyDescent="0.25">
      <c r="A1087" s="307"/>
      <c r="C1087" s="76"/>
      <c r="D1087" s="76"/>
      <c r="E1087" s="76"/>
      <c r="F1087" s="76"/>
      <c r="G1087" s="76"/>
      <c r="H1087" s="76"/>
      <c r="I1087" s="76"/>
      <c r="J1087" s="76"/>
      <c r="K1087" s="76"/>
      <c r="L1087" s="76"/>
      <c r="O1087" s="160"/>
      <c r="P1087" s="109"/>
      <c r="Q1087" s="312"/>
      <c r="R1087" s="312"/>
      <c r="S1087" s="314"/>
      <c r="T1087" s="314"/>
      <c r="U1087" s="314"/>
      <c r="V1087" s="314"/>
      <c r="W1087" s="314"/>
      <c r="X1087" s="314"/>
      <c r="Y1087" s="314"/>
      <c r="Z1087" s="314"/>
      <c r="AA1087" s="314"/>
      <c r="AB1087" s="314"/>
      <c r="AC1087" s="314"/>
      <c r="AD1087" s="314"/>
      <c r="AE1087" s="314"/>
      <c r="AF1087" s="314"/>
      <c r="AG1087" s="314"/>
      <c r="AH1087" s="314"/>
      <c r="AI1087" s="314"/>
      <c r="AJ1087" s="314"/>
      <c r="AK1087" s="314"/>
      <c r="AL1087" s="314"/>
      <c r="AM1087" s="314"/>
      <c r="AN1087" s="314"/>
      <c r="AO1087" s="314"/>
      <c r="AP1087" s="314"/>
      <c r="AQ1087" s="314"/>
      <c r="AR1087" s="314"/>
      <c r="AS1087" s="314"/>
      <c r="AT1087" s="314"/>
      <c r="AU1087" s="314"/>
      <c r="AV1087" s="314"/>
      <c r="AW1087" s="314"/>
      <c r="AX1087" s="314"/>
      <c r="AY1087" s="314"/>
      <c r="AZ1087" s="314"/>
      <c r="BA1087" s="314"/>
      <c r="BB1087" s="314"/>
      <c r="BC1087" s="314"/>
      <c r="BD1087" s="314"/>
      <c r="BE1087" s="314"/>
      <c r="BG1087" s="364"/>
      <c r="BH1087" s="314"/>
      <c r="BI1087" s="314"/>
      <c r="BJ1087" s="314"/>
      <c r="BK1087" s="314"/>
      <c r="BL1087" s="314"/>
      <c r="BM1087" s="314"/>
      <c r="BN1087" s="314"/>
      <c r="BO1087" s="314"/>
      <c r="BP1087" s="314"/>
      <c r="BQ1087" s="314"/>
      <c r="BR1087" s="314"/>
      <c r="BS1087" s="314"/>
      <c r="BT1087" s="314"/>
      <c r="BU1087" s="314"/>
      <c r="BV1087" s="314"/>
      <c r="BW1087" s="314"/>
      <c r="BX1087" s="314"/>
      <c r="BY1087" s="314"/>
      <c r="BZ1087" s="314"/>
      <c r="CA1087" s="314"/>
      <c r="CB1087" s="314"/>
      <c r="CC1087" s="314"/>
      <c r="CD1087" s="314"/>
      <c r="CE1087" s="314"/>
      <c r="CF1087" s="314"/>
      <c r="CG1087" s="314"/>
      <c r="CH1087" s="314"/>
      <c r="CI1087" s="314"/>
      <c r="CJ1087" s="314"/>
      <c r="CK1087" s="314"/>
      <c r="CL1087" s="314"/>
      <c r="CM1087" s="314"/>
      <c r="CN1087" s="314"/>
      <c r="CO1087" s="314"/>
      <c r="CP1087" s="314"/>
      <c r="CQ1087" s="314"/>
    </row>
    <row r="1088" spans="1:95" ht="12.75" customHeight="1" thickBot="1" x14ac:dyDescent="0.3">
      <c r="A1088" s="307"/>
      <c r="C1088" s="76"/>
      <c r="D1088" s="76"/>
      <c r="E1088" s="76"/>
      <c r="F1088" s="76"/>
      <c r="G1088" s="1268">
        <v>1</v>
      </c>
      <c r="H1088" s="1268"/>
      <c r="I1088" s="1268">
        <v>2</v>
      </c>
      <c r="J1088" s="1268"/>
      <c r="K1088" s="1268">
        <v>3</v>
      </c>
      <c r="L1088" s="1268"/>
      <c r="O1088" s="160"/>
      <c r="P1088" s="109"/>
      <c r="Q1088" s="312"/>
      <c r="R1088" s="312"/>
      <c r="S1088" s="314"/>
      <c r="T1088" s="314"/>
      <c r="U1088" s="314"/>
      <c r="V1088" s="314"/>
      <c r="W1088" s="314"/>
      <c r="X1088" s="314"/>
      <c r="Y1088" s="314"/>
      <c r="Z1088" s="314"/>
      <c r="AA1088" s="314"/>
      <c r="AB1088" s="314"/>
      <c r="AC1088" s="314"/>
      <c r="AD1088" s="314"/>
      <c r="AE1088" s="314"/>
      <c r="AF1088" s="314"/>
      <c r="AG1088" s="314"/>
      <c r="AH1088" s="314"/>
      <c r="AI1088" s="314"/>
      <c r="AJ1088" s="314"/>
      <c r="AK1088" s="314"/>
      <c r="AL1088" s="314"/>
      <c r="AM1088" s="314"/>
      <c r="AN1088" s="314"/>
      <c r="AO1088" s="314"/>
      <c r="AP1088" s="314"/>
      <c r="AQ1088" s="314"/>
      <c r="AR1088" s="314"/>
      <c r="AS1088" s="314"/>
      <c r="AT1088" s="314"/>
      <c r="AU1088" s="314"/>
      <c r="AV1088" s="314"/>
      <c r="AW1088" s="314"/>
      <c r="AX1088" s="314"/>
      <c r="AY1088" s="314"/>
      <c r="AZ1088" s="314"/>
      <c r="BA1088" s="314"/>
      <c r="BB1088" s="314"/>
      <c r="BC1088" s="314"/>
      <c r="BD1088" s="314"/>
      <c r="BE1088" s="314"/>
      <c r="BF1088" s="314"/>
      <c r="BG1088" s="364"/>
      <c r="BH1088" s="314"/>
      <c r="BI1088" s="314"/>
      <c r="BJ1088" s="314"/>
      <c r="BK1088" s="314"/>
      <c r="BL1088" s="314"/>
      <c r="BM1088" s="314"/>
      <c r="BN1088" s="314"/>
      <c r="BO1088" s="314"/>
      <c r="BP1088" s="314"/>
      <c r="BQ1088" s="314"/>
      <c r="BR1088" s="314"/>
      <c r="BS1088" s="314"/>
      <c r="BT1088" s="314"/>
      <c r="BU1088" s="314"/>
      <c r="BV1088" s="314"/>
      <c r="BW1088" s="314"/>
      <c r="BX1088" s="314"/>
      <c r="BY1088" s="314"/>
      <c r="BZ1088" s="314"/>
      <c r="CA1088" s="314"/>
      <c r="CB1088" s="314"/>
      <c r="CC1088" s="314"/>
      <c r="CD1088" s="314"/>
      <c r="CE1088" s="314"/>
      <c r="CF1088" s="314"/>
      <c r="CG1088" s="314"/>
      <c r="CH1088" s="314"/>
      <c r="CI1088" s="314"/>
      <c r="CJ1088" s="314"/>
      <c r="CK1088" s="314"/>
      <c r="CL1088" s="314"/>
      <c r="CM1088" s="314"/>
      <c r="CN1088" s="314"/>
      <c r="CO1088" s="314"/>
      <c r="CP1088" s="314"/>
      <c r="CQ1088" s="314"/>
    </row>
    <row r="1089" spans="1:95" ht="12.75" customHeight="1" thickBot="1" x14ac:dyDescent="0.3">
      <c r="A1089" s="462"/>
      <c r="B1089" s="76"/>
      <c r="C1089" s="76"/>
      <c r="D1089" s="1246" t="str">
        <f>Translations!$B$372</f>
        <v>Consumers' CRF category:</v>
      </c>
      <c r="E1089" s="1246"/>
      <c r="F1089" s="1247"/>
      <c r="G1089" s="1248"/>
      <c r="H1089" s="1249"/>
      <c r="I1089" s="1248"/>
      <c r="J1089" s="1249"/>
      <c r="K1089" s="1248"/>
      <c r="L1089" s="1249"/>
      <c r="M1089" s="463" t="str">
        <f>IF(AND(E1068&lt;&gt;"",COUNTA(G1089:L1089)=0,AX1089=FALSE),EUconst_ERR_Incomplete,"")</f>
        <v/>
      </c>
      <c r="N1089" s="76"/>
      <c r="O1089" s="160"/>
      <c r="P1089" s="109"/>
      <c r="Q1089" s="312"/>
      <c r="R1089" s="312"/>
      <c r="S1089" s="314"/>
      <c r="T1089" s="314"/>
      <c r="U1089" s="314"/>
      <c r="V1089" s="314"/>
      <c r="W1089" s="314"/>
      <c r="X1089" s="314"/>
      <c r="Y1089" s="314"/>
      <c r="Z1089" s="314"/>
      <c r="AA1089" s="314"/>
      <c r="AB1089" s="314"/>
      <c r="AC1089" s="314"/>
      <c r="AD1089" s="314"/>
      <c r="AE1089" s="314"/>
      <c r="AF1089" s="314"/>
      <c r="AG1089" s="314"/>
      <c r="AH1089" s="314"/>
      <c r="AI1089" s="314"/>
      <c r="AJ1089" s="314"/>
      <c r="AK1089" s="314"/>
      <c r="AL1089" s="314"/>
      <c r="AM1089" s="314"/>
      <c r="AN1089" s="314"/>
      <c r="AO1089" s="314"/>
      <c r="AP1089" s="314"/>
      <c r="AQ1089" s="314"/>
      <c r="AR1089" s="314"/>
      <c r="AS1089" s="314"/>
      <c r="AT1089" s="314"/>
      <c r="AU1089" s="314"/>
      <c r="AV1089" s="314"/>
      <c r="AW1089" s="314"/>
      <c r="AX1089" s="464" t="b">
        <f>AND(AV1085&lt;&gt;"",SUM(AV1085=1))</f>
        <v>0</v>
      </c>
      <c r="AY1089" s="314"/>
      <c r="AZ1089" s="314"/>
      <c r="BA1089" s="314"/>
      <c r="BB1089" s="314"/>
      <c r="BC1089" s="314"/>
      <c r="BD1089" s="314"/>
      <c r="BE1089" s="314"/>
      <c r="BF1089" s="361" t="s">
        <v>169</v>
      </c>
      <c r="BG1089" s="362" t="str">
        <f>IF(AN1074=EUconst_TJ,AV1074*AV1082,IF(AN1076=EUconst_GJ,AV1074*AV1076/1000*AV1082,""))</f>
        <v/>
      </c>
      <c r="BH1089" s="314"/>
      <c r="BI1089" s="314"/>
      <c r="BJ1089" s="314"/>
      <c r="BK1089" s="314"/>
      <c r="BL1089" s="314"/>
      <c r="BM1089" s="314"/>
      <c r="BN1089" s="314"/>
      <c r="BO1089" s="314"/>
      <c r="BP1089" s="314"/>
      <c r="BQ1089" s="314"/>
      <c r="BR1089" s="314"/>
      <c r="BS1089" s="314"/>
      <c r="BT1089" s="314"/>
      <c r="BU1089" s="314"/>
      <c r="BV1089" s="314"/>
      <c r="BW1089" s="314"/>
      <c r="BX1089" s="314"/>
      <c r="BY1089" s="314"/>
      <c r="BZ1089" s="314"/>
      <c r="CA1089" s="314"/>
      <c r="CB1089" s="314"/>
      <c r="CC1089" s="314"/>
      <c r="CD1089" s="314"/>
      <c r="CE1089" s="314"/>
      <c r="CF1089" s="314"/>
      <c r="CG1089" s="314"/>
      <c r="CH1089" s="314"/>
      <c r="CI1089" s="314"/>
      <c r="CJ1089" s="314"/>
      <c r="CK1089" s="314"/>
      <c r="CL1089" s="314"/>
      <c r="CM1089" s="314"/>
      <c r="CN1089" s="314"/>
      <c r="CO1089" s="314"/>
      <c r="CP1089" s="314"/>
      <c r="CQ1089" s="314"/>
    </row>
    <row r="1090" spans="1:95" ht="5.15" customHeight="1" x14ac:dyDescent="0.25">
      <c r="A1090" s="307"/>
      <c r="B1090" s="68"/>
      <c r="C1090" s="68"/>
      <c r="D1090" s="68"/>
      <c r="E1090" s="68"/>
      <c r="F1090" s="68"/>
      <c r="G1090" s="76"/>
      <c r="H1090" s="76"/>
      <c r="I1090" s="76"/>
      <c r="J1090" s="76"/>
      <c r="K1090" s="76"/>
      <c r="L1090" s="76"/>
      <c r="M1090" s="76"/>
      <c r="N1090" s="76"/>
      <c r="O1090" s="160"/>
      <c r="P1090" s="109"/>
      <c r="Q1090" s="312"/>
      <c r="R1090" s="312"/>
      <c r="S1090" s="314"/>
      <c r="T1090" s="314"/>
      <c r="U1090" s="314"/>
      <c r="V1090" s="314"/>
      <c r="W1090" s="314"/>
      <c r="X1090" s="314"/>
      <c r="Y1090" s="314"/>
      <c r="Z1090" s="314"/>
      <c r="AA1090" s="314"/>
      <c r="AB1090" s="314"/>
      <c r="AC1090" s="314"/>
      <c r="AD1090" s="314"/>
      <c r="AE1090" s="314"/>
      <c r="AF1090" s="314"/>
      <c r="AG1090" s="314"/>
      <c r="AH1090" s="314"/>
      <c r="AI1090" s="314"/>
      <c r="AJ1090" s="314"/>
      <c r="AK1090" s="314"/>
      <c r="AL1090" s="314"/>
      <c r="AM1090" s="314"/>
      <c r="AN1090" s="314"/>
      <c r="AO1090" s="314"/>
      <c r="AP1090" s="314"/>
      <c r="AQ1090" s="314"/>
      <c r="AR1090" s="314"/>
      <c r="AS1090" s="314"/>
      <c r="AT1090" s="314"/>
      <c r="AU1090" s="314"/>
      <c r="AV1090" s="314"/>
      <c r="AW1090" s="314"/>
      <c r="AX1090" s="314"/>
      <c r="AY1090" s="314"/>
      <c r="AZ1090" s="314"/>
      <c r="BA1090" s="314"/>
      <c r="BB1090" s="314"/>
      <c r="BC1090" s="314"/>
      <c r="BD1090" s="314"/>
      <c r="BE1090" s="314"/>
      <c r="BF1090" s="314"/>
      <c r="BG1090" s="314"/>
      <c r="BH1090" s="314"/>
      <c r="BI1090" s="314"/>
      <c r="BJ1090" s="314"/>
      <c r="BK1090" s="314"/>
      <c r="BL1090" s="314"/>
      <c r="BM1090" s="314"/>
      <c r="BN1090" s="314"/>
      <c r="BO1090" s="314"/>
      <c r="BP1090" s="314"/>
      <c r="BQ1090" s="314"/>
      <c r="BR1090" s="314"/>
      <c r="BS1090" s="314"/>
      <c r="BT1090" s="314"/>
      <c r="BU1090" s="314"/>
      <c r="BV1090" s="314"/>
      <c r="BW1090" s="314"/>
      <c r="BX1090" s="314"/>
      <c r="BY1090" s="314"/>
      <c r="BZ1090" s="314"/>
      <c r="CA1090" s="314"/>
      <c r="CB1090" s="314"/>
      <c r="CC1090" s="314"/>
      <c r="CD1090" s="314"/>
      <c r="CE1090" s="314"/>
      <c r="CF1090" s="314"/>
      <c r="CG1090" s="314"/>
      <c r="CH1090" s="314"/>
      <c r="CI1090" s="314"/>
      <c r="CJ1090" s="314"/>
      <c r="CK1090" s="314"/>
      <c r="CL1090" s="314"/>
      <c r="CM1090" s="314"/>
      <c r="CN1090" s="314"/>
      <c r="CO1090" s="314"/>
      <c r="CP1090" s="314"/>
      <c r="CQ1090" s="314"/>
    </row>
    <row r="1091" spans="1:95" ht="12.75" customHeight="1" x14ac:dyDescent="0.25">
      <c r="A1091" s="307"/>
      <c r="B1091" s="68"/>
      <c r="C1091" s="68"/>
      <c r="D1091" s="1246" t="str">
        <f>Translations!$B$399</f>
        <v>Tiers valid from:</v>
      </c>
      <c r="E1091" s="1246"/>
      <c r="F1091" s="1247"/>
      <c r="G1091" s="8"/>
      <c r="H1091" s="199" t="str">
        <f>Translations!$B$400</f>
        <v>until:</v>
      </c>
      <c r="I1091" s="8"/>
      <c r="J1091" s="76"/>
      <c r="K1091" s="76"/>
      <c r="L1091" s="76"/>
      <c r="M1091" s="199" t="str">
        <f>Translations!$B$401</f>
        <v>ID used in the monitoring plan for this fuel stream:</v>
      </c>
      <c r="N1091" s="9"/>
      <c r="O1091" s="160"/>
      <c r="P1091" s="109"/>
      <c r="Q1091" s="312"/>
      <c r="R1091" s="312"/>
      <c r="S1091" s="465"/>
      <c r="T1091" s="314"/>
      <c r="U1091" s="314"/>
      <c r="V1091" s="314"/>
      <c r="W1091" s="314"/>
      <c r="X1091" s="314"/>
      <c r="Y1091" s="314"/>
      <c r="Z1091" s="314"/>
      <c r="AA1091" s="314"/>
      <c r="AB1091" s="314"/>
      <c r="AC1091" s="314"/>
      <c r="AD1091" s="314"/>
      <c r="AE1091" s="314"/>
      <c r="AF1091" s="314"/>
      <c r="AG1091" s="314"/>
      <c r="AH1091" s="314"/>
      <c r="AI1091" s="314"/>
      <c r="AJ1091" s="314"/>
      <c r="AK1091" s="314"/>
      <c r="AL1091" s="314"/>
      <c r="AM1091" s="314"/>
      <c r="AN1091" s="314"/>
      <c r="AO1091" s="314"/>
      <c r="AP1091" s="314"/>
      <c r="AQ1091" s="314"/>
      <c r="AR1091" s="314"/>
      <c r="AS1091" s="314"/>
      <c r="AT1091" s="314"/>
      <c r="AU1091" s="314"/>
      <c r="AV1091" s="314"/>
      <c r="AW1091" s="314"/>
      <c r="AX1091" s="314"/>
      <c r="AY1091" s="314"/>
      <c r="AZ1091" s="314"/>
      <c r="BA1091" s="314"/>
      <c r="BB1091" s="314"/>
      <c r="BC1091" s="314"/>
      <c r="BD1091" s="314"/>
      <c r="BE1091" s="314"/>
      <c r="BF1091" s="314"/>
      <c r="BG1091" s="314"/>
      <c r="BH1091" s="314"/>
      <c r="BI1091" s="314"/>
      <c r="BJ1091" s="314"/>
      <c r="BK1091" s="314"/>
      <c r="BL1091" s="314"/>
      <c r="BM1091" s="314"/>
      <c r="BN1091" s="314"/>
      <c r="BO1091" s="314"/>
      <c r="BP1091" s="314"/>
      <c r="BQ1091" s="314"/>
      <c r="BR1091" s="314"/>
      <c r="BS1091" s="314"/>
      <c r="BT1091" s="314"/>
      <c r="BU1091" s="314"/>
      <c r="BV1091" s="314"/>
      <c r="BW1091" s="314"/>
      <c r="BX1091" s="314"/>
      <c r="BY1091" s="314"/>
      <c r="BZ1091" s="314"/>
      <c r="CA1091" s="314"/>
      <c r="CB1091" s="314"/>
      <c r="CC1091" s="314"/>
      <c r="CD1091" s="314"/>
      <c r="CE1091" s="314"/>
      <c r="CF1091" s="314"/>
      <c r="CG1091" s="314"/>
      <c r="CH1091" s="314"/>
      <c r="CI1091" s="314"/>
      <c r="CJ1091" s="314"/>
      <c r="CK1091" s="314"/>
      <c r="CL1091" s="314"/>
      <c r="CM1091" s="314"/>
      <c r="CN1091" s="314"/>
      <c r="CO1091" s="314"/>
      <c r="CP1091" s="314"/>
      <c r="CQ1091" s="464" t="b">
        <f>CQ1074</f>
        <v>0</v>
      </c>
    </row>
    <row r="1092" spans="1:95" ht="5.15" customHeight="1" x14ac:dyDescent="0.25">
      <c r="A1092" s="462"/>
      <c r="B1092" s="76"/>
      <c r="C1092" s="76"/>
      <c r="D1092" s="76"/>
      <c r="E1092" s="76"/>
      <c r="F1092" s="76"/>
      <c r="G1092" s="76"/>
      <c r="H1092" s="76"/>
      <c r="I1092" s="76"/>
      <c r="J1092" s="76"/>
      <c r="K1092" s="76"/>
      <c r="L1092" s="76"/>
      <c r="M1092" s="76"/>
      <c r="N1092" s="76"/>
      <c r="O1092" s="160"/>
      <c r="P1092" s="109"/>
      <c r="Q1092" s="312"/>
      <c r="R1092" s="312"/>
      <c r="S1092" s="314"/>
      <c r="T1092" s="314"/>
      <c r="U1092" s="314"/>
      <c r="V1092" s="314"/>
      <c r="W1092" s="314"/>
      <c r="X1092" s="314"/>
      <c r="Y1092" s="314"/>
      <c r="Z1092" s="314"/>
      <c r="AA1092" s="314"/>
      <c r="AB1092" s="314"/>
      <c r="AC1092" s="314"/>
      <c r="AD1092" s="314"/>
      <c r="AE1092" s="314"/>
      <c r="AF1092" s="314"/>
      <c r="AG1092" s="314"/>
      <c r="AH1092" s="314"/>
      <c r="AI1092" s="314"/>
      <c r="AJ1092" s="314"/>
      <c r="AK1092" s="314"/>
      <c r="AL1092" s="314"/>
      <c r="AM1092" s="314"/>
      <c r="AN1092" s="314"/>
      <c r="AO1092" s="314"/>
      <c r="AP1092" s="314"/>
      <c r="AQ1092" s="314"/>
      <c r="AR1092" s="314"/>
      <c r="AS1092" s="314"/>
      <c r="AT1092" s="314"/>
      <c r="AU1092" s="314"/>
      <c r="AV1092" s="314"/>
      <c r="AW1092" s="314"/>
      <c r="AX1092" s="314"/>
      <c r="AY1092" s="314"/>
      <c r="AZ1092" s="314"/>
      <c r="BA1092" s="314"/>
      <c r="BB1092" s="314"/>
      <c r="BC1092" s="314"/>
      <c r="BD1092" s="314"/>
      <c r="BE1092" s="314"/>
      <c r="BF1092" s="314"/>
      <c r="BG1092" s="314"/>
      <c r="BH1092" s="314"/>
      <c r="BI1092" s="314"/>
      <c r="BJ1092" s="314"/>
      <c r="BK1092" s="314"/>
      <c r="BL1092" s="314"/>
      <c r="BM1092" s="314"/>
      <c r="BN1092" s="314"/>
      <c r="BO1092" s="314"/>
      <c r="BP1092" s="314"/>
      <c r="BQ1092" s="314"/>
      <c r="BR1092" s="314"/>
      <c r="BS1092" s="314"/>
      <c r="BT1092" s="314"/>
      <c r="BU1092" s="314"/>
      <c r="BV1092" s="314"/>
      <c r="BW1092" s="314"/>
      <c r="BX1092" s="314"/>
      <c r="BY1092" s="314"/>
      <c r="BZ1092" s="314"/>
      <c r="CA1092" s="314"/>
      <c r="CB1092" s="314"/>
      <c r="CC1092" s="314"/>
      <c r="CD1092" s="314"/>
      <c r="CE1092" s="314"/>
      <c r="CF1092" s="314"/>
      <c r="CG1092" s="314"/>
      <c r="CH1092" s="314"/>
      <c r="CI1092" s="314"/>
      <c r="CJ1092" s="314"/>
      <c r="CK1092" s="314"/>
      <c r="CL1092" s="314"/>
      <c r="CM1092" s="314"/>
      <c r="CN1092" s="314"/>
      <c r="CO1092" s="314"/>
      <c r="CP1092" s="314"/>
      <c r="CQ1092" s="314"/>
    </row>
    <row r="1093" spans="1:95" ht="12.75" customHeight="1" x14ac:dyDescent="0.25">
      <c r="A1093" s="462"/>
      <c r="B1093" s="76"/>
      <c r="C1093" s="76"/>
      <c r="D1093" s="115"/>
      <c r="E1093" s="85"/>
      <c r="F1093" s="466" t="str">
        <f>Translations!$B$304</f>
        <v>Comments:</v>
      </c>
      <c r="G1093" s="1250"/>
      <c r="H1093" s="1251"/>
      <c r="I1093" s="1251"/>
      <c r="J1093" s="1251"/>
      <c r="K1093" s="1251"/>
      <c r="L1093" s="1251"/>
      <c r="M1093" s="1251"/>
      <c r="N1093" s="1252"/>
      <c r="O1093" s="160"/>
      <c r="P1093" s="109"/>
      <c r="Q1093" s="312"/>
      <c r="R1093" s="312"/>
      <c r="S1093" s="314"/>
      <c r="T1093" s="314"/>
      <c r="U1093" s="314"/>
      <c r="V1093" s="314"/>
      <c r="W1093" s="314"/>
      <c r="X1093" s="314"/>
      <c r="Y1093" s="314"/>
      <c r="Z1093" s="314"/>
      <c r="AA1093" s="314"/>
      <c r="AB1093" s="314"/>
      <c r="AC1093" s="314"/>
      <c r="AD1093" s="314"/>
      <c r="AE1093" s="314"/>
      <c r="AF1093" s="314"/>
      <c r="AG1093" s="314"/>
      <c r="AH1093" s="314"/>
      <c r="AI1093" s="314"/>
      <c r="AJ1093" s="314"/>
      <c r="AK1093" s="314"/>
      <c r="AL1093" s="314"/>
      <c r="AM1093" s="314"/>
      <c r="AN1093" s="314"/>
      <c r="AO1093" s="314"/>
      <c r="AP1093" s="314"/>
      <c r="AQ1093" s="314"/>
      <c r="AR1093" s="314"/>
      <c r="AS1093" s="314"/>
      <c r="AT1093" s="314"/>
      <c r="AU1093" s="314"/>
      <c r="AV1093" s="314"/>
      <c r="AW1093" s="314"/>
      <c r="AX1093" s="314"/>
      <c r="AY1093" s="314"/>
      <c r="AZ1093" s="314"/>
      <c r="BA1093" s="314"/>
      <c r="BB1093" s="314"/>
      <c r="BC1093" s="314"/>
      <c r="BD1093" s="314"/>
      <c r="BE1093" s="314"/>
      <c r="BF1093" s="314"/>
      <c r="BG1093" s="314"/>
      <c r="BH1093" s="314"/>
      <c r="BI1093" s="314"/>
      <c r="BJ1093" s="314"/>
      <c r="BK1093" s="314"/>
      <c r="BL1093" s="314"/>
      <c r="BM1093" s="314"/>
      <c r="BN1093" s="314"/>
      <c r="BO1093" s="314"/>
      <c r="BP1093" s="314"/>
      <c r="BQ1093" s="314"/>
      <c r="BR1093" s="314"/>
      <c r="BS1093" s="314"/>
      <c r="BT1093" s="314"/>
      <c r="BU1093" s="314"/>
      <c r="BV1093" s="314"/>
      <c r="BW1093" s="314"/>
      <c r="BX1093" s="314"/>
      <c r="BY1093" s="314"/>
      <c r="BZ1093" s="314"/>
      <c r="CA1093" s="314"/>
      <c r="CB1093" s="314"/>
      <c r="CC1093" s="314"/>
      <c r="CD1093" s="314"/>
      <c r="CE1093" s="314"/>
      <c r="CF1093" s="314"/>
      <c r="CG1093" s="314"/>
      <c r="CH1093" s="314"/>
      <c r="CI1093" s="314"/>
      <c r="CJ1093" s="314"/>
      <c r="CK1093" s="314"/>
      <c r="CL1093" s="314"/>
      <c r="CM1093" s="314"/>
      <c r="CN1093" s="314"/>
      <c r="CO1093" s="314"/>
      <c r="CP1093" s="314"/>
      <c r="CQ1093" s="464" t="b">
        <f>CQ1091</f>
        <v>0</v>
      </c>
    </row>
    <row r="1094" spans="1:95" ht="12.75" customHeight="1" thickBot="1" x14ac:dyDescent="0.3">
      <c r="A1094" s="307"/>
      <c r="B1094" s="76"/>
      <c r="C1094" s="308"/>
      <c r="D1094" s="309"/>
      <c r="E1094" s="310"/>
      <c r="F1094" s="308"/>
      <c r="G1094" s="311"/>
      <c r="H1094" s="311"/>
      <c r="I1094" s="311"/>
      <c r="J1094" s="311"/>
      <c r="K1094" s="311"/>
      <c r="L1094" s="311"/>
      <c r="M1094" s="311"/>
      <c r="N1094" s="311"/>
      <c r="O1094" s="160"/>
      <c r="P1094" s="109"/>
      <c r="Q1094" s="312"/>
      <c r="R1094" s="312"/>
      <c r="S1094" s="293"/>
      <c r="T1094" s="293"/>
      <c r="U1094" s="313"/>
      <c r="V1094" s="293"/>
      <c r="W1094" s="293"/>
      <c r="X1094" s="313"/>
      <c r="Y1094" s="293"/>
      <c r="Z1094" s="293"/>
      <c r="AA1094" s="293"/>
      <c r="AB1094" s="293"/>
      <c r="AC1094" s="293"/>
      <c r="AD1094" s="293"/>
      <c r="AE1094" s="293"/>
      <c r="AF1094" s="293"/>
      <c r="AG1094" s="293"/>
      <c r="AH1094" s="293"/>
      <c r="AI1094" s="293"/>
      <c r="AJ1094" s="293"/>
      <c r="AK1094" s="293"/>
      <c r="AL1094" s="293"/>
      <c r="AM1094" s="293"/>
      <c r="AN1094" s="293"/>
      <c r="AO1094" s="293"/>
      <c r="AP1094" s="293"/>
      <c r="AQ1094" s="293"/>
      <c r="AR1094" s="293"/>
      <c r="AS1094" s="293"/>
      <c r="AT1094" s="293"/>
      <c r="AU1094" s="293"/>
      <c r="AV1094" s="293"/>
      <c r="AW1094" s="293"/>
      <c r="AX1094" s="293"/>
      <c r="AY1094" s="293"/>
      <c r="AZ1094" s="293"/>
      <c r="BA1094" s="293"/>
      <c r="BB1094" s="293"/>
      <c r="BC1094" s="293"/>
      <c r="BD1094" s="293"/>
      <c r="BE1094" s="293"/>
      <c r="BF1094" s="293"/>
      <c r="BG1094" s="293"/>
      <c r="BH1094" s="293"/>
      <c r="BI1094" s="293"/>
      <c r="BJ1094" s="293"/>
      <c r="BK1094" s="293"/>
      <c r="BL1094" s="293"/>
      <c r="BM1094" s="314"/>
      <c r="BN1094" s="314"/>
      <c r="BO1094" s="314"/>
      <c r="BP1094" s="314"/>
      <c r="BQ1094" s="314"/>
      <c r="BR1094" s="314"/>
      <c r="BS1094" s="314"/>
      <c r="BT1094" s="314"/>
      <c r="BU1094" s="293"/>
      <c r="BV1094" s="293"/>
      <c r="BW1094" s="293"/>
      <c r="BX1094" s="293"/>
      <c r="BY1094" s="293"/>
      <c r="BZ1094" s="293"/>
      <c r="CA1094" s="293"/>
      <c r="CB1094" s="293"/>
      <c r="CC1094" s="293"/>
      <c r="CD1094" s="293"/>
      <c r="CE1094" s="293"/>
      <c r="CF1094" s="293"/>
      <c r="CG1094" s="293"/>
      <c r="CH1094" s="293"/>
      <c r="CI1094" s="293"/>
      <c r="CJ1094" s="293"/>
      <c r="CK1094" s="293"/>
      <c r="CL1094" s="293"/>
      <c r="CM1094" s="293"/>
      <c r="CN1094" s="293"/>
      <c r="CO1094" s="293"/>
      <c r="CP1094" s="293"/>
      <c r="CQ1094" s="293"/>
    </row>
    <row r="1095" spans="1:95" ht="12.75" customHeight="1" thickBot="1" x14ac:dyDescent="0.3">
      <c r="A1095" s="315"/>
      <c r="B1095" s="76"/>
      <c r="C1095" s="76"/>
      <c r="D1095" s="205"/>
      <c r="E1095" s="316"/>
      <c r="F1095" s="76"/>
      <c r="G1095" s="96"/>
      <c r="H1095" s="96"/>
      <c r="I1095" s="96"/>
      <c r="J1095" s="96"/>
      <c r="K1095" s="76"/>
      <c r="L1095" s="96"/>
      <c r="M1095" s="96"/>
      <c r="N1095" s="96"/>
      <c r="O1095" s="160"/>
      <c r="P1095" s="109"/>
      <c r="Q1095" s="312"/>
      <c r="R1095" s="312"/>
      <c r="S1095" s="287"/>
      <c r="T1095" s="317" t="str">
        <f>IF(ISBLANK(E1096),"",MATCH(E1096,CNTR_SourceStreamNames,0))</f>
        <v/>
      </c>
      <c r="U1095" s="318" t="str">
        <f>IF(ISBLANK(E1096),"",INDEX(B_IdentifyFuelStreams!$D$67:$D$116,MATCH(E1096,CNTR_SourceStreamNames,0)))</f>
        <v/>
      </c>
      <c r="V1095" s="301"/>
      <c r="W1095" s="138"/>
      <c r="X1095" s="138"/>
      <c r="Y1095" s="138"/>
      <c r="Z1095" s="293"/>
      <c r="AA1095" s="293"/>
      <c r="AB1095" s="293"/>
      <c r="AC1095" s="293"/>
      <c r="AD1095" s="293"/>
      <c r="AE1095" s="293"/>
      <c r="AF1095" s="293"/>
      <c r="AG1095" s="293"/>
      <c r="AH1095" s="293"/>
      <c r="AI1095" s="293"/>
      <c r="AJ1095" s="293"/>
      <c r="AK1095" s="312"/>
      <c r="AL1095" s="293"/>
      <c r="AM1095" s="293"/>
      <c r="AN1095" s="293"/>
      <c r="AO1095" s="293"/>
      <c r="AP1095" s="293"/>
      <c r="AQ1095" s="293"/>
      <c r="AR1095" s="293"/>
      <c r="AS1095" s="293"/>
      <c r="AT1095" s="293"/>
      <c r="AU1095" s="293"/>
      <c r="AV1095" s="293"/>
      <c r="AW1095" s="293"/>
      <c r="AX1095" s="293"/>
      <c r="AY1095" s="293"/>
      <c r="AZ1095" s="293"/>
      <c r="BA1095" s="293"/>
      <c r="BB1095" s="293"/>
      <c r="BC1095" s="293"/>
      <c r="BD1095" s="293"/>
      <c r="BE1095" s="293"/>
      <c r="BF1095" s="293"/>
      <c r="BG1095" s="293"/>
      <c r="BH1095" s="293"/>
      <c r="BI1095" s="293"/>
      <c r="BJ1095" s="138"/>
      <c r="BK1095" s="138"/>
      <c r="BL1095" s="138"/>
      <c r="BM1095" s="138"/>
      <c r="BN1095" s="138"/>
      <c r="BO1095" s="138"/>
      <c r="BP1095" s="138"/>
      <c r="BQ1095" s="138"/>
      <c r="BR1095" s="138"/>
      <c r="BS1095" s="138"/>
      <c r="BT1095" s="138"/>
      <c r="BU1095" s="138"/>
      <c r="BV1095" s="138"/>
      <c r="BW1095" s="138"/>
      <c r="BX1095" s="138"/>
      <c r="BY1095" s="138"/>
      <c r="BZ1095" s="138"/>
      <c r="CA1095" s="138"/>
      <c r="CB1095" s="138"/>
      <c r="CC1095" s="138"/>
      <c r="CD1095" s="138"/>
      <c r="CE1095" s="138"/>
      <c r="CF1095" s="138"/>
      <c r="CG1095" s="138"/>
      <c r="CH1095" s="138"/>
      <c r="CI1095" s="138"/>
      <c r="CJ1095" s="138"/>
      <c r="CK1095" s="138"/>
      <c r="CL1095" s="138"/>
      <c r="CM1095" s="138"/>
      <c r="CN1095" s="138"/>
      <c r="CO1095" s="138"/>
      <c r="CP1095" s="138"/>
      <c r="CQ1095" s="319" t="s">
        <v>107</v>
      </c>
    </row>
    <row r="1096" spans="1:95" ht="15" customHeight="1" thickBot="1" x14ac:dyDescent="0.3">
      <c r="A1096" s="320">
        <f>C1096</f>
        <v>38</v>
      </c>
      <c r="B1096" s="68"/>
      <c r="C1096" s="321">
        <f>C1068+1</f>
        <v>38</v>
      </c>
      <c r="D1096" s="68"/>
      <c r="E1096" s="1269"/>
      <c r="F1096" s="1270"/>
      <c r="G1096" s="1270"/>
      <c r="H1096" s="1270"/>
      <c r="I1096" s="1270"/>
      <c r="J1096" s="1271"/>
      <c r="K1096" s="1272" t="str">
        <f>IF(INDEX(B_IdentifyFuelStreams!$K$125:$K$174,MATCH(U1095,B_IdentifyFuelStreams!$D$125:$D$174,0))&gt;0,INDEX(B_IdentifyFuelStreams!$K$125:$K$174,MATCH(U1095,B_IdentifyFuelStreams!$D$125:$D$174,0)),"")</f>
        <v/>
      </c>
      <c r="L1096" s="1273"/>
      <c r="M1096" s="316" t="str">
        <f>Translations!$B$621</f>
        <v>Emissions:</v>
      </c>
      <c r="N1096" s="322" t="str">
        <f>IF(E1097="","",BG1102)</f>
        <v/>
      </c>
      <c r="O1096" s="323" t="str">
        <f>EUconst_tCO2</f>
        <v>tCO2</v>
      </c>
      <c r="P1096" s="324" t="str">
        <f>IF(AND(E1096&lt;&gt;"",COUNTIF(P1097:$P$1649,"PRINT")=0),"PRINT","")</f>
        <v/>
      </c>
      <c r="Q1096" s="325" t="str">
        <f>EUconst_SumCO2</f>
        <v>SUM_CO2</v>
      </c>
      <c r="R1096" s="312"/>
      <c r="S1096" s="287"/>
      <c r="T1096" s="287"/>
      <c r="U1096" s="287"/>
      <c r="V1096" s="301"/>
      <c r="W1096" s="138"/>
      <c r="X1096" s="293"/>
      <c r="Y1096" s="293"/>
      <c r="Z1096" s="293"/>
      <c r="AA1096" s="293"/>
      <c r="AB1096" s="293"/>
      <c r="AC1096" s="293"/>
      <c r="AD1096" s="293"/>
      <c r="AE1096" s="293"/>
      <c r="AF1096" s="293"/>
      <c r="AG1096" s="293"/>
      <c r="AH1096" s="293"/>
      <c r="AI1096" s="326"/>
      <c r="AJ1096" s="326"/>
      <c r="AK1096" s="326"/>
      <c r="AL1096" s="326"/>
      <c r="AM1096" s="326"/>
      <c r="AN1096" s="326"/>
      <c r="AO1096" s="326"/>
      <c r="AP1096" s="326"/>
      <c r="AQ1096" s="326"/>
      <c r="AR1096" s="326"/>
      <c r="AS1096" s="326"/>
      <c r="AT1096" s="326"/>
      <c r="AU1096" s="326"/>
      <c r="AV1096" s="326"/>
      <c r="AW1096" s="326"/>
      <c r="AX1096" s="326"/>
      <c r="AY1096" s="326"/>
      <c r="AZ1096" s="326"/>
      <c r="BA1096" s="326"/>
      <c r="BB1096" s="326"/>
      <c r="BC1096" s="326"/>
      <c r="BD1096" s="326"/>
      <c r="BE1096" s="326"/>
      <c r="BF1096" s="326"/>
      <c r="BG1096" s="326"/>
      <c r="BH1096" s="326"/>
      <c r="BI1096" s="327" t="str">
        <f>IF(E1096="","",E1096)</f>
        <v/>
      </c>
      <c r="BJ1096" s="328" t="str">
        <f>IF(F1102="","",F1102)</f>
        <v/>
      </c>
      <c r="BK1096" s="329">
        <f>AV1102</f>
        <v>0</v>
      </c>
      <c r="BL1096" s="329">
        <f>IF(BK1096="","",BK1096*(1-BP1096))</f>
        <v>0</v>
      </c>
      <c r="BM1096" s="328" t="str">
        <f>AJ1102</f>
        <v/>
      </c>
      <c r="BN1096" s="328" t="str">
        <f>IF(F1113="","",F1113)</f>
        <v/>
      </c>
      <c r="BO1096" s="327" t="str">
        <f>IF(G1113="","",G1113)</f>
        <v/>
      </c>
      <c r="BP1096" s="330">
        <f>AV1113</f>
        <v>0</v>
      </c>
      <c r="BQ1096" s="328" t="str">
        <f>IF(F1105="","",F1105)</f>
        <v/>
      </c>
      <c r="BR1096" s="330">
        <f>AV1105</f>
        <v>0</v>
      </c>
      <c r="BS1096" s="330" t="str">
        <f>AJ1105</f>
        <v/>
      </c>
      <c r="BT1096" s="328" t="str">
        <f>IF(F1104="","",F1104)</f>
        <v/>
      </c>
      <c r="BU1096" s="330">
        <f>IF(F1104=EUconst_NA,"",AV1104)</f>
        <v>0</v>
      </c>
      <c r="BV1096" s="330" t="str">
        <f>AJ1104</f>
        <v/>
      </c>
      <c r="BW1096" s="328" t="str">
        <f>IF(F1106="","",F1106)</f>
        <v/>
      </c>
      <c r="BX1096" s="330">
        <f>AV1106</f>
        <v>0</v>
      </c>
      <c r="BY1096" s="328" t="str">
        <f>IF(F1107="","",F1107)</f>
        <v/>
      </c>
      <c r="BZ1096" s="330">
        <f>AV1107</f>
        <v>0</v>
      </c>
      <c r="CA1096" s="330">
        <f>AV1108</f>
        <v>0</v>
      </c>
      <c r="CB1096" s="330">
        <f>AV1109</f>
        <v>0</v>
      </c>
      <c r="CC1096" s="330">
        <f>AV1110</f>
        <v>0</v>
      </c>
      <c r="CD1096" s="330">
        <f>AV1111</f>
        <v>0</v>
      </c>
      <c r="CE1096" s="329" t="str">
        <f>BG1102</f>
        <v/>
      </c>
      <c r="CF1096" s="329" t="str">
        <f>BG1104</f>
        <v/>
      </c>
      <c r="CG1096" s="329" t="str">
        <f>BG1105</f>
        <v/>
      </c>
      <c r="CH1096" s="329" t="str">
        <f>BG1106</f>
        <v/>
      </c>
      <c r="CI1096" s="329" t="str">
        <f>BG1107</f>
        <v/>
      </c>
      <c r="CJ1096" s="329" t="str">
        <f>BG1108</f>
        <v/>
      </c>
      <c r="CK1096" s="329" t="str">
        <f>BG1109</f>
        <v/>
      </c>
      <c r="CL1096" s="329">
        <f>BG1110</f>
        <v>0</v>
      </c>
      <c r="CM1096" s="329" t="str">
        <f>BG1111</f>
        <v/>
      </c>
      <c r="CN1096" s="329" t="str">
        <f>BG1113</f>
        <v/>
      </c>
      <c r="CO1096" s="329" t="str">
        <f>BG1117</f>
        <v/>
      </c>
      <c r="CP1096" s="329" t="str">
        <f>IF(COUNTIF(AO1105:AO1106,TRUE)=0,"",BH1102)</f>
        <v/>
      </c>
      <c r="CQ1096" s="331" t="b">
        <v>0</v>
      </c>
    </row>
    <row r="1097" spans="1:95" ht="15" customHeight="1" thickBot="1" x14ac:dyDescent="0.3">
      <c r="A1097" s="307"/>
      <c r="B1097" s="68"/>
      <c r="C1097" s="68"/>
      <c r="D1097" s="68"/>
      <c r="E1097" s="1274" t="str">
        <f>IF(ISBLANK(E1096),"",IF(INDEX(B_IdentifyFuelStreams!$E$67:$E$116,MATCH(U1095,B_IdentifyFuelStreams!$D$67:$D$116,0))&gt;0,INDEX(B_IdentifyFuelStreams!$E$67:$E$116,MATCH(U1095,B_IdentifyFuelStreams!$D$67:$D$116,0)),""))</f>
        <v/>
      </c>
      <c r="F1097" s="1275"/>
      <c r="G1097" s="1275"/>
      <c r="H1097" s="1275"/>
      <c r="I1097" s="1275"/>
      <c r="J1097" s="1276"/>
      <c r="K1097" s="1272" t="str">
        <f>IF(INDEX(B_IdentifyFuelStreams!$M$125:$M$174,MATCH(U1095,B_IdentifyFuelStreams!$D$125:$D$174,0))&gt;0,INDEX(B_IdentifyFuelStreams!$M$125:$M$174,MATCH(U1095,B_IdentifyFuelStreams!$D$125:$D$174,0)),"")</f>
        <v/>
      </c>
      <c r="L1097" s="1273"/>
      <c r="M1097" s="332" t="str">
        <f>Translations!$B$622</f>
        <v>zero-rated:</v>
      </c>
      <c r="N1097" s="333" t="str">
        <f>IF(E1097="","",SUM(BG1104,BG1106,BG1108))</f>
        <v/>
      </c>
      <c r="O1097" s="334" t="str">
        <f>EUconst_tCO2</f>
        <v>tCO2</v>
      </c>
      <c r="P1097" s="109"/>
      <c r="Q1097" s="325" t="str">
        <f>EUconst_SumBioCO2</f>
        <v>SUM_bioCO2</v>
      </c>
      <c r="R1097" s="312"/>
      <c r="S1097" s="287"/>
      <c r="T1097" s="287"/>
      <c r="U1097" s="287"/>
      <c r="V1097" s="301"/>
      <c r="W1097" s="138"/>
      <c r="X1097" s="293"/>
      <c r="Y1097" s="317" t="str">
        <f>Translations!$B$143</f>
        <v>Tiers</v>
      </c>
      <c r="Z1097" s="314"/>
      <c r="AA1097" s="314"/>
      <c r="AB1097" s="314"/>
      <c r="AC1097" s="314"/>
      <c r="AD1097" s="314"/>
      <c r="AE1097" s="317" t="s">
        <v>108</v>
      </c>
      <c r="AF1097" s="293"/>
      <c r="AG1097" s="335"/>
      <c r="AH1097" s="314"/>
      <c r="AI1097" s="314"/>
      <c r="AJ1097" s="335"/>
      <c r="AK1097" s="335"/>
      <c r="AL1097" s="326"/>
      <c r="AM1097" s="326"/>
      <c r="AN1097" s="326"/>
      <c r="AO1097" s="326"/>
      <c r="AP1097" s="326"/>
      <c r="AQ1097" s="317" t="s">
        <v>109</v>
      </c>
      <c r="AR1097" s="336"/>
      <c r="AS1097" s="336"/>
      <c r="AT1097" s="314"/>
      <c r="AU1097" s="314"/>
      <c r="AV1097" s="314"/>
      <c r="AW1097" s="314"/>
      <c r="AX1097" s="314"/>
      <c r="AY1097" s="314"/>
      <c r="AZ1097" s="317" t="s">
        <v>110</v>
      </c>
      <c r="BA1097" s="314"/>
      <c r="BB1097" s="314"/>
      <c r="BC1097" s="314"/>
      <c r="BD1097" s="314"/>
      <c r="BE1097" s="314"/>
      <c r="BF1097" s="317" t="s">
        <v>111</v>
      </c>
      <c r="BG1097" s="314"/>
      <c r="BH1097" s="314"/>
      <c r="BI1097" s="317" t="s">
        <v>112</v>
      </c>
      <c r="BJ1097" s="328" t="str">
        <f>Translations!$B$376</f>
        <v>RFA Tier</v>
      </c>
      <c r="BK1097" s="328" t="str">
        <f>Translations!$B$377</f>
        <v>RFA</v>
      </c>
      <c r="BL1097" s="328" t="str">
        <f>Translations!$B$378</f>
        <v>RFA (in scope)</v>
      </c>
      <c r="BM1097" s="328" t="str">
        <f>Translations!$B$379</f>
        <v>RFA Unit</v>
      </c>
      <c r="BN1097" s="328" t="str">
        <f>Translations!$B$380</f>
        <v>SF Tier</v>
      </c>
      <c r="BO1097" s="328" t="str">
        <f>Translations!$B$380</f>
        <v>SF Tier</v>
      </c>
      <c r="BP1097" s="328" t="str">
        <f>Translations!$B$381</f>
        <v>SF</v>
      </c>
      <c r="BQ1097" s="328" t="str">
        <f>Translations!$B$382</f>
        <v>EF Tier</v>
      </c>
      <c r="BR1097" s="328" t="str">
        <f>Translations!$B$383</f>
        <v>EF</v>
      </c>
      <c r="BS1097" s="328" t="str">
        <f>Translations!$B$384</f>
        <v>EF Unit</v>
      </c>
      <c r="BT1097" s="328" t="str">
        <f>Translations!$B$385</f>
        <v>UCF Tier</v>
      </c>
      <c r="BU1097" s="328" t="str">
        <f>Translations!$B$386</f>
        <v>UCF</v>
      </c>
      <c r="BV1097" s="328" t="str">
        <f>Translations!$B$387</f>
        <v>UCF Unit</v>
      </c>
      <c r="BW1097" s="328" t="str">
        <f>Translations!$B$388</f>
        <v>Bio Tier</v>
      </c>
      <c r="BX1097" s="328" t="s">
        <v>113</v>
      </c>
      <c r="BY1097" s="328" t="str">
        <f>Translations!$B$389</f>
        <v>NonSustBio Tier</v>
      </c>
      <c r="BZ1097" s="328" t="s">
        <v>114</v>
      </c>
      <c r="CA1097" s="328" t="s">
        <v>115</v>
      </c>
      <c r="CB1097" s="328" t="s">
        <v>116</v>
      </c>
      <c r="CC1097" s="328" t="s">
        <v>117</v>
      </c>
      <c r="CD1097" s="328" t="s">
        <v>118</v>
      </c>
      <c r="CE1097" s="328" t="s">
        <v>119</v>
      </c>
      <c r="CF1097" s="328" t="s">
        <v>120</v>
      </c>
      <c r="CG1097" s="328" t="str">
        <f>Translations!$B$392</f>
        <v>CO2 non-sust</v>
      </c>
      <c r="CH1097" s="328" t="s">
        <v>121</v>
      </c>
      <c r="CI1097" s="328" t="s">
        <v>122</v>
      </c>
      <c r="CJ1097" s="328" t="s">
        <v>123</v>
      </c>
      <c r="CK1097" s="328" t="s">
        <v>124</v>
      </c>
      <c r="CL1097" s="328" t="s">
        <v>125</v>
      </c>
      <c r="CM1097" s="328" t="str">
        <f>Translations!$B$551</f>
        <v>Energy content (bio), TJ</v>
      </c>
      <c r="CN1097" s="328" t="s">
        <v>126</v>
      </c>
      <c r="CO1097" s="328" t="s">
        <v>127</v>
      </c>
      <c r="CP1097" s="328" t="s">
        <v>128</v>
      </c>
      <c r="CQ1097" s="314"/>
    </row>
    <row r="1098" spans="1:95" ht="5.15" customHeight="1" thickBot="1" x14ac:dyDescent="0.3">
      <c r="A1098" s="307"/>
      <c r="B1098" s="68"/>
      <c r="C1098" s="68"/>
      <c r="D1098" s="68"/>
      <c r="E1098" s="68"/>
      <c r="F1098" s="68"/>
      <c r="G1098" s="68"/>
      <c r="H1098" s="76"/>
      <c r="I1098" s="76"/>
      <c r="J1098" s="76"/>
      <c r="K1098" s="76"/>
      <c r="L1098" s="76"/>
      <c r="M1098" s="76"/>
      <c r="N1098" s="76"/>
      <c r="O1098" s="160"/>
      <c r="P1098" s="109"/>
      <c r="Q1098" s="312"/>
      <c r="R1098" s="312"/>
      <c r="S1098" s="287"/>
      <c r="T1098" s="287"/>
      <c r="U1098" s="287"/>
      <c r="V1098" s="301"/>
      <c r="W1098" s="314"/>
      <c r="X1098" s="314"/>
      <c r="Y1098" s="312"/>
      <c r="Z1098" s="314"/>
      <c r="AA1098" s="314"/>
      <c r="AB1098" s="314"/>
      <c r="AC1098" s="314"/>
      <c r="AD1098" s="314"/>
      <c r="AE1098" s="314"/>
      <c r="AF1098" s="293"/>
      <c r="AG1098" s="314"/>
      <c r="AH1098" s="314"/>
      <c r="AI1098" s="314"/>
      <c r="AJ1098" s="335"/>
      <c r="AK1098" s="335"/>
      <c r="AL1098" s="326"/>
      <c r="AM1098" s="326"/>
      <c r="AN1098" s="326"/>
      <c r="AO1098" s="326"/>
      <c r="AP1098" s="326"/>
      <c r="AQ1098" s="314"/>
      <c r="AR1098" s="314"/>
      <c r="AS1098" s="314"/>
      <c r="AT1098" s="314"/>
      <c r="AU1098" s="314"/>
      <c r="AV1098" s="314"/>
      <c r="AW1098" s="314"/>
      <c r="AX1098" s="314"/>
      <c r="AY1098" s="314"/>
      <c r="AZ1098" s="314"/>
      <c r="BA1098" s="314"/>
      <c r="BB1098" s="314"/>
      <c r="BC1098" s="314"/>
      <c r="BD1098" s="314"/>
      <c r="BE1098" s="314"/>
      <c r="BF1098" s="314"/>
      <c r="BG1098" s="314"/>
      <c r="BH1098" s="314"/>
      <c r="BI1098" s="314"/>
      <c r="BJ1098" s="314"/>
      <c r="BK1098" s="314"/>
      <c r="BL1098" s="314"/>
      <c r="BM1098" s="314"/>
      <c r="BN1098" s="314"/>
      <c r="BO1098" s="314"/>
      <c r="BP1098" s="314"/>
      <c r="BQ1098" s="314"/>
      <c r="BR1098" s="314"/>
      <c r="BS1098" s="314"/>
      <c r="BT1098" s="314"/>
      <c r="BU1098" s="314"/>
      <c r="BV1098" s="314"/>
      <c r="BW1098" s="314"/>
      <c r="BX1098" s="314"/>
      <c r="BY1098" s="314"/>
      <c r="BZ1098" s="314"/>
      <c r="CA1098" s="314"/>
      <c r="CB1098" s="314"/>
      <c r="CC1098" s="314"/>
      <c r="CD1098" s="314"/>
      <c r="CE1098" s="314"/>
      <c r="CF1098" s="314"/>
      <c r="CG1098" s="314"/>
      <c r="CH1098" s="314"/>
      <c r="CI1098" s="314"/>
      <c r="CJ1098" s="314"/>
      <c r="CK1098" s="314"/>
      <c r="CL1098" s="314"/>
      <c r="CM1098" s="314"/>
      <c r="CN1098" s="314"/>
      <c r="CO1098" s="314"/>
      <c r="CP1098" s="314"/>
      <c r="CQ1098" s="314"/>
    </row>
    <row r="1099" spans="1:95" ht="12.75" customHeight="1" thickBot="1" x14ac:dyDescent="0.3">
      <c r="A1099" s="307"/>
      <c r="B1099" s="68"/>
      <c r="C1099" s="68"/>
      <c r="D1099" s="68"/>
      <c r="E1099" s="1253" t="str">
        <f>IF(E1096="","",HYPERLINK("#JUMP_E_Top",EUconst_FurtherGuidancePoint1))</f>
        <v/>
      </c>
      <c r="F1099" s="1253"/>
      <c r="G1099" s="1253"/>
      <c r="H1099" s="1253"/>
      <c r="I1099" s="1253"/>
      <c r="J1099" s="1253"/>
      <c r="K1099" s="1253"/>
      <c r="L1099" s="1253"/>
      <c r="M1099" s="1253"/>
      <c r="N1099" s="76"/>
      <c r="O1099" s="160"/>
      <c r="P1099" s="109"/>
      <c r="Q1099" s="325" t="str">
        <f>EUconst_SumNonSustBioCO2</f>
        <v>SUM_bioNonSustCO2</v>
      </c>
      <c r="R1099" s="337" t="str">
        <f>IF(E1097="","",BG1105)</f>
        <v/>
      </c>
      <c r="S1099" s="287"/>
      <c r="T1099" s="287"/>
      <c r="U1099" s="287"/>
      <c r="V1099" s="314"/>
      <c r="W1099" s="314"/>
      <c r="X1099" s="314"/>
      <c r="Y1099" s="293"/>
      <c r="Z1099" s="314"/>
      <c r="AA1099" s="314"/>
      <c r="AB1099" s="314"/>
      <c r="AC1099" s="314"/>
      <c r="AD1099" s="314"/>
      <c r="AE1099" s="314"/>
      <c r="AF1099" s="293"/>
      <c r="AG1099" s="314"/>
      <c r="AH1099" s="314"/>
      <c r="AI1099" s="314"/>
      <c r="AJ1099" s="335"/>
      <c r="AK1099" s="335"/>
      <c r="AL1099" s="326"/>
      <c r="AM1099" s="326"/>
      <c r="AN1099" s="326"/>
      <c r="AO1099" s="326"/>
      <c r="AP1099" s="326"/>
      <c r="AQ1099" s="314"/>
      <c r="AR1099" s="314"/>
      <c r="AS1099" s="314"/>
      <c r="AT1099" s="314"/>
      <c r="AU1099" s="314"/>
      <c r="AV1099" s="314"/>
      <c r="AW1099" s="314"/>
      <c r="AX1099" s="314"/>
      <c r="AY1099" s="314"/>
      <c r="AZ1099" s="314"/>
      <c r="BA1099" s="314"/>
      <c r="BB1099" s="314"/>
      <c r="BC1099" s="314"/>
      <c r="BD1099" s="314"/>
      <c r="BE1099" s="314"/>
      <c r="BF1099" s="314"/>
      <c r="BG1099" s="314"/>
      <c r="BH1099" s="314"/>
      <c r="BI1099" s="317" t="s">
        <v>129</v>
      </c>
      <c r="BJ1099" s="336"/>
      <c r="BK1099" s="327" t="str">
        <f>IF(G1117="","",G1117)</f>
        <v/>
      </c>
      <c r="BL1099" s="327" t="str">
        <f>IF(I1117="","",I1117)</f>
        <v/>
      </c>
      <c r="BM1099" s="327" t="str">
        <f>IF(K1117="","",K1117)</f>
        <v/>
      </c>
      <c r="BN1099" s="314"/>
      <c r="BO1099" s="314"/>
      <c r="BP1099" s="314"/>
      <c r="BQ1099" s="314"/>
      <c r="BR1099" s="314"/>
      <c r="BS1099" s="314"/>
      <c r="BT1099" s="319"/>
      <c r="BU1099" s="314"/>
      <c r="BV1099" s="314"/>
      <c r="BW1099" s="314"/>
      <c r="BX1099" s="314"/>
      <c r="BY1099" s="314"/>
      <c r="BZ1099" s="314"/>
      <c r="CA1099" s="314"/>
      <c r="CB1099" s="314"/>
      <c r="CC1099" s="314"/>
      <c r="CD1099" s="314"/>
      <c r="CE1099" s="314"/>
      <c r="CF1099" s="314"/>
      <c r="CG1099" s="314"/>
      <c r="CH1099" s="314"/>
      <c r="CI1099" s="314"/>
      <c r="CJ1099" s="314"/>
      <c r="CK1099" s="314"/>
      <c r="CL1099" s="314"/>
      <c r="CM1099" s="314"/>
      <c r="CN1099" s="314"/>
      <c r="CO1099" s="314"/>
      <c r="CP1099" s="314"/>
      <c r="CQ1099" s="314"/>
    </row>
    <row r="1100" spans="1:95" ht="5.15" customHeight="1" thickBot="1" x14ac:dyDescent="0.3">
      <c r="A1100" s="307"/>
      <c r="B1100" s="68"/>
      <c r="C1100" s="68"/>
      <c r="D1100" s="68"/>
      <c r="E1100" s="68"/>
      <c r="F1100" s="68"/>
      <c r="G1100" s="68"/>
      <c r="H1100" s="76"/>
      <c r="I1100" s="76"/>
      <c r="J1100" s="76"/>
      <c r="K1100" s="76"/>
      <c r="L1100" s="76"/>
      <c r="M1100" s="76"/>
      <c r="N1100" s="76"/>
      <c r="O1100" s="160"/>
      <c r="P1100" s="111"/>
      <c r="Q1100" s="287"/>
      <c r="R1100" s="111"/>
      <c r="S1100" s="287"/>
      <c r="T1100" s="287"/>
      <c r="U1100" s="287"/>
      <c r="V1100" s="314"/>
      <c r="W1100" s="314"/>
      <c r="X1100" s="314"/>
      <c r="Y1100" s="312"/>
      <c r="Z1100" s="314"/>
      <c r="AA1100" s="314"/>
      <c r="AB1100" s="314"/>
      <c r="AC1100" s="314"/>
      <c r="AD1100" s="314"/>
      <c r="AE1100" s="314"/>
      <c r="AF1100" s="293"/>
      <c r="AG1100" s="314"/>
      <c r="AH1100" s="314"/>
      <c r="AI1100" s="314"/>
      <c r="AJ1100" s="335"/>
      <c r="AK1100" s="335"/>
      <c r="AL1100" s="326"/>
      <c r="AM1100" s="326"/>
      <c r="AN1100" s="326"/>
      <c r="AO1100" s="326"/>
      <c r="AP1100" s="326"/>
      <c r="AQ1100" s="314"/>
      <c r="AR1100" s="314"/>
      <c r="AS1100" s="314"/>
      <c r="AT1100" s="314"/>
      <c r="AU1100" s="314"/>
      <c r="AV1100" s="314"/>
      <c r="AW1100" s="314"/>
      <c r="AX1100" s="314"/>
      <c r="AY1100" s="314"/>
      <c r="AZ1100" s="314"/>
      <c r="BA1100" s="314"/>
      <c r="BB1100" s="314"/>
      <c r="BC1100" s="314"/>
      <c r="BD1100" s="314"/>
      <c r="BE1100" s="314"/>
      <c r="BF1100" s="314"/>
      <c r="BG1100" s="314"/>
      <c r="BH1100" s="314"/>
      <c r="BI1100" s="314"/>
      <c r="BJ1100" s="314"/>
      <c r="BK1100" s="314"/>
      <c r="BL1100" s="314"/>
      <c r="BM1100" s="314"/>
      <c r="BN1100" s="314"/>
      <c r="BO1100" s="314"/>
      <c r="BP1100" s="314"/>
      <c r="BQ1100" s="314"/>
      <c r="BR1100" s="314"/>
      <c r="BS1100" s="314"/>
      <c r="BT1100" s="314"/>
      <c r="BU1100" s="314"/>
      <c r="BV1100" s="314"/>
      <c r="BW1100" s="314"/>
      <c r="BX1100" s="314"/>
      <c r="BY1100" s="314"/>
      <c r="BZ1100" s="314"/>
      <c r="CA1100" s="314"/>
      <c r="CB1100" s="314"/>
      <c r="CC1100" s="314"/>
      <c r="CD1100" s="314"/>
      <c r="CE1100" s="314"/>
      <c r="CF1100" s="314"/>
      <c r="CG1100" s="314"/>
      <c r="CH1100" s="314"/>
      <c r="CI1100" s="314"/>
      <c r="CJ1100" s="314"/>
      <c r="CK1100" s="314"/>
      <c r="CL1100" s="314"/>
      <c r="CM1100" s="314"/>
      <c r="CN1100" s="314"/>
      <c r="CO1100" s="314"/>
      <c r="CP1100" s="314"/>
      <c r="CQ1100" s="314"/>
    </row>
    <row r="1101" spans="1:95" ht="12.75" customHeight="1" thickBot="1" x14ac:dyDescent="0.3">
      <c r="A1101" s="307"/>
      <c r="B1101" s="68"/>
      <c r="C1101" s="68"/>
      <c r="D1101" s="68"/>
      <c r="E1101" s="68"/>
      <c r="F1101" s="338" t="str">
        <f>Translations!$B$127</f>
        <v>Tier</v>
      </c>
      <c r="G1101" s="1254" t="str">
        <f>Translations!$B$393</f>
        <v>tier description</v>
      </c>
      <c r="H1101" s="1254"/>
      <c r="I1101" s="1255" t="str">
        <f>Translations!$B$394</f>
        <v>Unit</v>
      </c>
      <c r="J1101" s="1255"/>
      <c r="K1101" s="1255" t="str">
        <f>Translations!$B$395</f>
        <v>Value</v>
      </c>
      <c r="L1101" s="1255"/>
      <c r="M1101" s="205" t="str">
        <f>Translations!$B$396</f>
        <v>error</v>
      </c>
      <c r="N1101" s="76"/>
      <c r="O1101" s="160"/>
      <c r="P1101" s="339"/>
      <c r="Q1101" s="325" t="str">
        <f>EUconst_SumEnergyIN</f>
        <v>SUM_EnergyIN</v>
      </c>
      <c r="R1101" s="340" t="str">
        <f>IF(E1097="","",BG1110)</f>
        <v/>
      </c>
      <c r="S1101" s="314"/>
      <c r="T1101" s="314"/>
      <c r="U1101" s="314"/>
      <c r="V1101" s="341" t="s">
        <v>130</v>
      </c>
      <c r="W1101" s="314"/>
      <c r="X1101" s="314"/>
      <c r="Y1101" s="312" t="s">
        <v>131</v>
      </c>
      <c r="Z1101" s="312" t="s">
        <v>132</v>
      </c>
      <c r="AA1101" s="314"/>
      <c r="AB1101" s="314"/>
      <c r="AC1101" s="336" t="s">
        <v>133</v>
      </c>
      <c r="AD1101" s="314"/>
      <c r="AE1101" s="314"/>
      <c r="AF1101" s="314" t="s">
        <v>134</v>
      </c>
      <c r="AG1101" s="314" t="s">
        <v>135</v>
      </c>
      <c r="AH1101" s="312" t="s">
        <v>136</v>
      </c>
      <c r="AI1101" s="335" t="s">
        <v>137</v>
      </c>
      <c r="AJ1101" s="335" t="s">
        <v>138</v>
      </c>
      <c r="AK1101" s="342" t="s">
        <v>139</v>
      </c>
      <c r="AL1101" s="326"/>
      <c r="AM1101" s="326"/>
      <c r="AN1101" s="326"/>
      <c r="AO1101" s="326"/>
      <c r="AP1101" s="326"/>
      <c r="AQ1101" s="314"/>
      <c r="AR1101" s="314" t="s">
        <v>134</v>
      </c>
      <c r="AS1101" s="314" t="s">
        <v>135</v>
      </c>
      <c r="AT1101" s="343" t="s">
        <v>140</v>
      </c>
      <c r="AU1101" s="335" t="s">
        <v>141</v>
      </c>
      <c r="AV1101" s="335" t="s">
        <v>142</v>
      </c>
      <c r="AW1101" s="342" t="s">
        <v>139</v>
      </c>
      <c r="AX1101" s="342" t="s">
        <v>139</v>
      </c>
      <c r="AY1101" s="314"/>
      <c r="AZ1101" s="314"/>
      <c r="BA1101" s="314"/>
      <c r="BB1101" s="314" t="s">
        <v>143</v>
      </c>
      <c r="BC1101" s="314"/>
      <c r="BD1101" s="314"/>
      <c r="BE1101" s="314"/>
      <c r="BF1101" s="314"/>
      <c r="BG1101" s="319" t="s">
        <v>144</v>
      </c>
      <c r="BH1101" s="314" t="s">
        <v>145</v>
      </c>
      <c r="BI1101" s="314"/>
      <c r="BJ1101" s="314"/>
      <c r="BK1101" s="314"/>
      <c r="BL1101" s="314"/>
      <c r="BM1101" s="314"/>
      <c r="BN1101" s="314"/>
      <c r="BO1101" s="314"/>
      <c r="BP1101" s="314"/>
      <c r="BQ1101" s="314"/>
      <c r="BR1101" s="314"/>
      <c r="BS1101" s="314"/>
      <c r="BT1101" s="314"/>
      <c r="BU1101" s="314"/>
      <c r="BV1101" s="314"/>
      <c r="BW1101" s="314"/>
      <c r="BX1101" s="314"/>
      <c r="BY1101" s="314"/>
      <c r="BZ1101" s="314"/>
      <c r="CA1101" s="314"/>
      <c r="CB1101" s="314"/>
      <c r="CC1101" s="314"/>
      <c r="CD1101" s="314"/>
      <c r="CE1101" s="314"/>
      <c r="CF1101" s="314"/>
      <c r="CG1101" s="314"/>
      <c r="CH1101" s="314"/>
      <c r="CI1101" s="314"/>
      <c r="CJ1101" s="314"/>
      <c r="CK1101" s="314"/>
      <c r="CL1101" s="314"/>
      <c r="CM1101" s="314"/>
      <c r="CN1101" s="314"/>
      <c r="CO1101" s="314"/>
      <c r="CP1101" s="314"/>
      <c r="CQ1101" s="319" t="s">
        <v>107</v>
      </c>
    </row>
    <row r="1102" spans="1:95" ht="12.75" customHeight="1" thickBot="1" x14ac:dyDescent="0.3">
      <c r="A1102" s="307"/>
      <c r="B1102" s="68"/>
      <c r="C1102" s="199" t="s">
        <v>12</v>
      </c>
      <c r="D1102" s="344" t="str">
        <f>Translations!$B$356</f>
        <v>RFA:</v>
      </c>
      <c r="E1102" s="345"/>
      <c r="F1102" s="6"/>
      <c r="G1102" s="1256" t="str">
        <f>IF(OR(ISBLANK(F1102),F1102=EUconst_NoTier),"",IF(Z1102=0,EUconst_NA,IF(ISERROR(Z1102),"",Z1102)))</f>
        <v/>
      </c>
      <c r="H1102" s="1257"/>
      <c r="I1102" s="346" t="str">
        <f>IF(J1102&lt;&gt;"","",AI1102)</f>
        <v/>
      </c>
      <c r="J1102" s="7"/>
      <c r="K1102" s="1258"/>
      <c r="L1102" s="1259"/>
      <c r="M1102" s="347" t="str">
        <f>IF(AND(E1097&lt;&gt;"",OR(F1102="",COUNT(K1102)=0),Y1102&lt;&gt;EUconst_NA),EUconst_ERR_Incomplete,"")</f>
        <v/>
      </c>
      <c r="N1102" s="76"/>
      <c r="O1102" s="160"/>
      <c r="P1102" s="348"/>
      <c r="Q1102" s="325" t="str">
        <f>EUconst_SumBioEnergyIN</f>
        <v>SUM_BioEnergyIN</v>
      </c>
      <c r="R1102" s="340" t="str">
        <f>IF(E1097="","",BG1111)</f>
        <v/>
      </c>
      <c r="S1102" s="314"/>
      <c r="T1102" s="349" t="str">
        <f>EUconst_CNTR_ActivityData&amp;E1097</f>
        <v>ActivityData_</v>
      </c>
      <c r="U1102" s="312"/>
      <c r="V1102" s="349" t="str">
        <f>IF(E1096="","",INDEX(B_IdentifyFuelStreams!$I$67:$I$116,MATCH(U1095,B_IdentifyFuelStreams!$D$67:$D$116,0)))</f>
        <v/>
      </c>
      <c r="W1102" s="335" t="s">
        <v>146</v>
      </c>
      <c r="X1102" s="312"/>
      <c r="Y1102" s="350" t="str">
        <f>IF(E1097="","",INDEX(EUwideConstants!$P$164:$P$200,MATCH(T1102,EUwideConstants!$S$164:$S$200,0)))</f>
        <v/>
      </c>
      <c r="Z1102" s="351" t="str">
        <f>IF(ISBLANK(F1102),"",IF(F1102=EUconst_NA,"",INDEX(EUwideConstants!$H:$O,MATCH(T1102,EUwideConstants!$S:$S,0),MATCH(F1102,CNTR_TierList,0))))</f>
        <v/>
      </c>
      <c r="AA1102" s="352" t="s">
        <v>136</v>
      </c>
      <c r="AB1102" s="335"/>
      <c r="AC1102" s="331" t="b">
        <f>E1096&lt;&gt;""</f>
        <v>0</v>
      </c>
      <c r="AD1102" s="314"/>
      <c r="AE1102" s="353" t="str">
        <f>EUconst_CNTR_ActivityData&amp;EUconst_Unit</f>
        <v>ActivityData_Unit</v>
      </c>
      <c r="AF1102" s="354" t="str">
        <f>IF(AC1102=TRUE, IF(COUNTIF(MSPara_SourceStreamCategory,V1102)=0,"",INDEX(MSPara_CalcFactorsMatrix,MATCH(V1102,MSPara_SourceStreamCategory,0),MATCH(AE1102&amp;"_"&amp;2,MSPara_CalcFactors,0))),"")</f>
        <v/>
      </c>
      <c r="AG1102" s="355" t="str">
        <f>IF(AC1102=TRUE, IF(COUNTIF(MSPara_SourceStreamCategory,V1102)=0,"",INDEX(MSPara_CalcFactorsMatrix,MATCH(V1102,MSPara_SourceStreamCategory,0),MATCH(AE1102&amp;"_"&amp;1,MSPara_CalcFactors,0))),"")</f>
        <v/>
      </c>
      <c r="AH1102" s="331" t="str">
        <f>IF(OR(AF1102="",AF1102=EUconst_NA),IF(OR(AG1102=EUconst_NA,AG1102=""),"",AG1102),AF1102)</f>
        <v/>
      </c>
      <c r="AI1102" s="350" t="str">
        <f>IF(AC1102=TRUE,IF(AH1102="",EUconst_t,AH1102),"")</f>
        <v/>
      </c>
      <c r="AJ1102" s="356" t="str">
        <f>IF(J1102="",AI1102,J1102)</f>
        <v/>
      </c>
      <c r="AK1102" s="357" t="b">
        <f>AND(E1096&lt;&gt;"",J1102&lt;&gt;"")</f>
        <v>0</v>
      </c>
      <c r="AL1102" s="326"/>
      <c r="AM1102" s="358" t="s">
        <v>147</v>
      </c>
      <c r="AN1102" s="359" t="str">
        <f>AJ1102</f>
        <v/>
      </c>
      <c r="AO1102" s="326"/>
      <c r="AP1102" s="326"/>
      <c r="AQ1102" s="349" t="str">
        <f>EUconst_CNTR_ActivityData&amp;EUconst_Value</f>
        <v>ActivityData_Value</v>
      </c>
      <c r="AR1102" s="336"/>
      <c r="AS1102" s="336"/>
      <c r="AT1102" s="331" t="b">
        <f>AND(AND(AH1102&lt;&gt;"",AJ1102&lt;&gt;""),AJ1102=AH1102)</f>
        <v>0</v>
      </c>
      <c r="AU1102" s="314"/>
      <c r="AV1102" s="331">
        <f>IF(Y1102=EUconst_NA,0,IF(COUNT(K1102:K1102)=0,0,IF(K1102="",#REF!,K1102)))</f>
        <v>0</v>
      </c>
      <c r="AW1102" s="360" t="b">
        <f>AND(AC1102=TRUE,OR(K1102&lt;&gt;"",AU1102=""))</f>
        <v>0</v>
      </c>
      <c r="AX1102" s="360" t="b">
        <f>AND(AC1102=TRUE,NOT(AW1102))</f>
        <v>0</v>
      </c>
      <c r="AY1102" s="314"/>
      <c r="AZ1102" s="314" t="s">
        <v>148</v>
      </c>
      <c r="BA1102" s="314" t="s">
        <v>149</v>
      </c>
      <c r="BB1102" s="360"/>
      <c r="BC1102" s="314" t="s">
        <v>150</v>
      </c>
      <c r="BD1102" s="314"/>
      <c r="BE1102" s="314"/>
      <c r="BF1102" s="361" t="s">
        <v>119</v>
      </c>
      <c r="BG1102" s="362" t="str">
        <f>IF(COUNTIF(AO1105:AO1106,TRUE)=0,"",BH1102*AV1113)</f>
        <v/>
      </c>
      <c r="BH1102" s="362" t="str">
        <f>IF(COUNTIF(AO1105:AO1106,TRUE)=0,"",AV1102*IF(AO1105,1,AV1104*AN1106)*AV1105-BH1104-BH1106-BH1108)</f>
        <v/>
      </c>
      <c r="BI1102" s="314"/>
      <c r="BJ1102" s="314"/>
      <c r="BK1102" s="314"/>
      <c r="BL1102" s="314"/>
      <c r="BM1102" s="314"/>
      <c r="BN1102" s="314"/>
      <c r="BO1102" s="314"/>
      <c r="BP1102" s="314"/>
      <c r="BQ1102" s="314"/>
      <c r="BR1102" s="314"/>
      <c r="BS1102" s="314"/>
      <c r="BT1102" s="314"/>
      <c r="BU1102" s="314"/>
      <c r="BV1102" s="314"/>
      <c r="BW1102" s="314"/>
      <c r="BX1102" s="314"/>
      <c r="BY1102" s="314"/>
      <c r="BZ1102" s="314"/>
      <c r="CA1102" s="314"/>
      <c r="CB1102" s="314"/>
      <c r="CC1102" s="314"/>
      <c r="CD1102" s="314"/>
      <c r="CE1102" s="314"/>
      <c r="CF1102" s="314"/>
      <c r="CG1102" s="314"/>
      <c r="CH1102" s="314"/>
      <c r="CI1102" s="314"/>
      <c r="CJ1102" s="314"/>
      <c r="CK1102" s="314"/>
      <c r="CL1102" s="314"/>
      <c r="CM1102" s="314"/>
      <c r="CN1102" s="314"/>
      <c r="CO1102" s="314"/>
      <c r="CP1102" s="314"/>
      <c r="CQ1102" s="360" t="b">
        <v>0</v>
      </c>
    </row>
    <row r="1103" spans="1:95" ht="5.15" customHeight="1" thickBot="1" x14ac:dyDescent="0.3">
      <c r="A1103" s="307"/>
      <c r="B1103" s="68"/>
      <c r="C1103" s="199"/>
      <c r="D1103" s="202"/>
      <c r="E1103" s="76"/>
      <c r="F1103" s="76"/>
      <c r="G1103" s="76"/>
      <c r="H1103" s="76" t="str">
        <f>Translations!$B$397</f>
        <v xml:space="preserve"> </v>
      </c>
      <c r="I1103" s="162"/>
      <c r="J1103" s="162"/>
      <c r="K1103" s="76"/>
      <c r="L1103" s="76"/>
      <c r="M1103" s="363"/>
      <c r="N1103" s="76"/>
      <c r="O1103" s="160"/>
      <c r="P1103" s="109"/>
      <c r="Q1103" s="312"/>
      <c r="R1103" s="312"/>
      <c r="S1103" s="314"/>
      <c r="T1103" s="62"/>
      <c r="U1103" s="312"/>
      <c r="V1103" s="314"/>
      <c r="W1103" s="314"/>
      <c r="X1103" s="312"/>
      <c r="Y1103" s="319"/>
      <c r="Z1103" s="314"/>
      <c r="AA1103" s="314"/>
      <c r="AB1103" s="314"/>
      <c r="AC1103" s="314"/>
      <c r="AD1103" s="314"/>
      <c r="AE1103" s="314"/>
      <c r="AF1103" s="314"/>
      <c r="AG1103" s="314"/>
      <c r="AH1103" s="314"/>
      <c r="AI1103" s="314"/>
      <c r="AJ1103" s="314"/>
      <c r="AK1103" s="314"/>
      <c r="AL1103" s="326"/>
      <c r="AM1103" s="326"/>
      <c r="AN1103" s="326"/>
      <c r="AO1103" s="326"/>
      <c r="AP1103" s="326"/>
      <c r="AQ1103" s="314"/>
      <c r="AR1103" s="314"/>
      <c r="AS1103" s="314"/>
      <c r="AT1103" s="314"/>
      <c r="AU1103" s="314"/>
      <c r="AV1103" s="314"/>
      <c r="AW1103" s="314"/>
      <c r="AX1103" s="314"/>
      <c r="AY1103" s="314"/>
      <c r="AZ1103" s="314"/>
      <c r="BA1103" s="314"/>
      <c r="BB1103" s="314"/>
      <c r="BC1103" s="314"/>
      <c r="BD1103" s="314"/>
      <c r="BE1103" s="314"/>
      <c r="BF1103" s="314"/>
      <c r="BG1103" s="364"/>
      <c r="BH1103" s="364"/>
      <c r="BI1103" s="314"/>
      <c r="BJ1103" s="314"/>
      <c r="BK1103" s="314"/>
      <c r="BL1103" s="314"/>
      <c r="BM1103" s="314"/>
      <c r="BN1103" s="314"/>
      <c r="BO1103" s="314"/>
      <c r="BP1103" s="314"/>
      <c r="BQ1103" s="314"/>
      <c r="BR1103" s="314"/>
      <c r="BS1103" s="314"/>
      <c r="BT1103" s="314"/>
      <c r="BU1103" s="314"/>
      <c r="BV1103" s="314"/>
      <c r="BW1103" s="314"/>
      <c r="BX1103" s="314"/>
      <c r="BY1103" s="314"/>
      <c r="BZ1103" s="314"/>
      <c r="CA1103" s="314"/>
      <c r="CB1103" s="314"/>
      <c r="CC1103" s="314"/>
      <c r="CD1103" s="314"/>
      <c r="CE1103" s="314"/>
      <c r="CF1103" s="314"/>
      <c r="CG1103" s="314"/>
      <c r="CH1103" s="314"/>
      <c r="CI1103" s="314"/>
      <c r="CJ1103" s="314"/>
      <c r="CK1103" s="314"/>
      <c r="CL1103" s="314"/>
      <c r="CM1103" s="314"/>
      <c r="CN1103" s="314"/>
      <c r="CO1103" s="314"/>
      <c r="CP1103" s="314"/>
      <c r="CQ1103" s="319"/>
    </row>
    <row r="1104" spans="1:95" ht="12.75" customHeight="1" x14ac:dyDescent="0.25">
      <c r="A1104" s="307"/>
      <c r="B1104" s="68"/>
      <c r="C1104" s="199" t="s">
        <v>13</v>
      </c>
      <c r="D1104" s="344" t="str">
        <f>Translations!$B$360</f>
        <v>UCF:</v>
      </c>
      <c r="E1104" s="345"/>
      <c r="F1104" s="10"/>
      <c r="G1104" s="1256" t="str">
        <f>IF(OR(ISBLANK(F1104),F1104=EUconst_NoTier),"",IF(Z1104=0,EUconst_NotApplicable,IF(ISERROR(Z1104),"",Z1104)))</f>
        <v/>
      </c>
      <c r="H1104" s="1257"/>
      <c r="I1104" s="365" t="str">
        <f>IF(J1104&lt;&gt;"","",AI1104)</f>
        <v/>
      </c>
      <c r="J1104" s="11"/>
      <c r="K1104" s="366" t="str">
        <f>IF(L1104="",AU1104,"")</f>
        <v/>
      </c>
      <c r="L1104" s="23"/>
      <c r="M1104" s="347" t="str">
        <f>IF(AND(E1097&lt;&gt;"",OR(F1104="",COUNT(K1104:L1104)=0),Y1104&lt;&gt;EUconst_NA),EUconst_ERR_Incomplete,IF(COUNTIF(BB1104:BD1104,TRUE)&gt;0,EUconst_ERR_Inconsistent,""))</f>
        <v/>
      </c>
      <c r="N1104" s="367"/>
      <c r="O1104" s="160"/>
      <c r="P1104" s="109"/>
      <c r="Q1104" s="312"/>
      <c r="R1104" s="312"/>
      <c r="S1104" s="314"/>
      <c r="T1104" s="368" t="str">
        <f>EUconst_CNTR_UCF&amp;E1097</f>
        <v>UCF_</v>
      </c>
      <c r="U1104" s="312"/>
      <c r="V1104" s="369" t="str">
        <f>V1105</f>
        <v/>
      </c>
      <c r="W1104" s="314"/>
      <c r="X1104" s="312"/>
      <c r="Y1104" s="370" t="str">
        <f>IF(E1097="","",IF(OR(F1104=EUconst_NA,W1104=TRUE),EUconst_NA,INDEX(EUwideConstants!$P$164:$P$200,MATCH(T1104,EUwideConstants!$S$164:$S$200,0))))</f>
        <v/>
      </c>
      <c r="Z1104" s="371" t="str">
        <f>IF(ISBLANK(F1104),"",IF(F1104=EUconst_NA,"",INDEX(EUwideConstants!$H:$O,MATCH(T1104,EUwideConstants!$S:$S,0),MATCH(F1104,CNTR_TierList,0))))</f>
        <v/>
      </c>
      <c r="AA1104" s="372" t="str">
        <f>IF(COUNTIF(EUconst_DefaultValues,Z1104)&gt;0,MATCH(Z1104,EUconst_DefaultValues,0),"")</f>
        <v/>
      </c>
      <c r="AB1104" s="314"/>
      <c r="AC1104" s="373" t="b">
        <f>AND(AC1102,Y1104&lt;&gt;EUconst_NA)</f>
        <v>0</v>
      </c>
      <c r="AD1104" s="314"/>
      <c r="AE1104" s="353" t="str">
        <f>EUconst_CNTR_UCF&amp;EUconst_Unit</f>
        <v>UCF_Unit</v>
      </c>
      <c r="AF1104" s="374" t="str">
        <f>IF(AC1104=TRUE, IF(COUNTIF(MSPara_SourceStreamCategory,V1104)=0,"",INDEX(MSPara_CalcFactorsMatrix,MATCH(V1104,MSPara_SourceStreamCategory,0),MATCH(AE1104&amp;"_"&amp;2,MSPara_CalcFactors,0))),"")</f>
        <v/>
      </c>
      <c r="AG1104" s="375" t="str">
        <f>IF(AC1104=TRUE, IF(COUNTIF(MSPara_SourceStreamCategory,V1104)=0,"",INDEX(MSPara_CalcFactorsMatrix,MATCH(V1104,MSPara_SourceStreamCategory,0),MATCH(AE1104&amp;"_"&amp;1,MSPara_CalcFactors,0))),"")</f>
        <v/>
      </c>
      <c r="AH1104" s="373" t="str">
        <f>IF(AA1104="","",INDEX(AF1104:AG1104,3-AA1104))</f>
        <v/>
      </c>
      <c r="AI1104" s="373" t="str">
        <f>IF(AC1104=TRUE,IF(OR(AH1104="",AH1104=EUconst_NA),EUconst_GJ&amp;"/"&amp;AJ1102,AH1104),"")</f>
        <v/>
      </c>
      <c r="AJ1104" s="373" t="str">
        <f>IF(J1104="",AI1104,J1104)</f>
        <v/>
      </c>
      <c r="AK1104" s="369" t="b">
        <f>AND(E1096&lt;&gt;"",J1104&lt;&gt;"")</f>
        <v>0</v>
      </c>
      <c r="AL1104" s="326"/>
      <c r="AM1104" s="358" t="s">
        <v>151</v>
      </c>
      <c r="AN1104" s="359" t="str">
        <f>IF(AJ1104="",EUconst_NA,IF(AN1102=EUconst_TJ,EUconst_TJ,INDEX(EUwideConstants!$C$135:$G$139,MATCH(AN1102,RFAUnits,0),MATCH(AJ1104,UCFUnits,0))))</f>
        <v>n.a.</v>
      </c>
      <c r="AO1104" s="326"/>
      <c r="AP1104" s="326"/>
      <c r="AQ1104" s="376" t="str">
        <f>EUconst_CNTR_UCF&amp;EUconst_Value</f>
        <v>UCF_Value</v>
      </c>
      <c r="AR1104" s="377" t="str">
        <f>IF(AC1104=TRUE,IF(COUNTIF(MSPara_SourceStreamCategory,V1104)=0,"",INDEX(MSPara_CalcFactorsMatrix,MATCH(V1104,MSPara_SourceStreamCategory,0),MATCH(AQ1104&amp;"_"&amp;2,MSPara_CalcFactors,0))),"")</f>
        <v/>
      </c>
      <c r="AS1104" s="378" t="str">
        <f>IF(AC1104=TRUE,IF(COUNTIF(MSPara_SourceStreamCategory,V1104)=0,"",INDEX(MSPara_CalcFactorsMatrix,MATCH(V1104,MSPara_SourceStreamCategory,0),MATCH(AQ1104&amp;"_"&amp;1,MSPara_CalcFactors,0))),"")</f>
        <v/>
      </c>
      <c r="AT1104" s="379" t="b">
        <f>AND(AND(AH1104&lt;&gt;"",AJ1104&lt;&gt;""),AJ1104=AH1104)</f>
        <v>0</v>
      </c>
      <c r="AU1104" s="380" t="str">
        <f>IF(AND(AA1104&lt;&gt;"",AT1104=TRUE),IF(OR(INDEX(AR1104:AS1104,3-AA1104)=EUconst_NA,INDEX(AR1104:AS1104,3-AA1104)=0),"",INDEX(AR1104:AS1104,3-AA1104)),"")</f>
        <v/>
      </c>
      <c r="AV1104" s="373">
        <f>IF(AC1104=TRUE,IF(COUNT(K1104:L1104)=0,0,IF(L1104="",K1104,L1104)),0)</f>
        <v>0</v>
      </c>
      <c r="AW1104" s="369" t="b">
        <f t="shared" ref="AW1104:AW1111" si="333">AND(AC1104=TRUE,OR(AND(F1104&lt;&gt;"",NOT(ISNUMBER(AA1104))),L1104&lt;&gt;"",F1104="",AU1104=""))</f>
        <v>0</v>
      </c>
      <c r="AX1104" s="381" t="b">
        <f t="shared" ref="AX1104:AX1111" si="334">AND(AC1104=TRUE,NOT(AW1104))</f>
        <v>0</v>
      </c>
      <c r="AY1104" s="314"/>
      <c r="AZ1104" s="382" t="b">
        <f t="shared" ref="AZ1104:AZ1111" si="335">AND(ISNUMBER(AA1104),AU1104="")</f>
        <v>0</v>
      </c>
      <c r="BA1104" s="383" t="b">
        <f t="shared" ref="BA1104:BA1111" si="336">AND(ISNUMBER(AA1104),AU1104&lt;&gt;AV1104)</f>
        <v>0</v>
      </c>
      <c r="BB1104" s="369" t="b">
        <f>AND(E1097&lt;&gt;"",F1104&lt;&gt;EUconst_NA,AN1104=EUconst_NA)</f>
        <v>0</v>
      </c>
      <c r="BC1104" s="369" t="b">
        <f t="shared" ref="BC1104:BC1111" si="337">AND(L1104&lt;&gt;"",Y1104=EUconst_NA)</f>
        <v>0</v>
      </c>
      <c r="BD1104" s="314"/>
      <c r="BE1104" s="314"/>
      <c r="BF1104" s="382" t="s">
        <v>152</v>
      </c>
      <c r="BG1104" s="384" t="str">
        <f>IF(COUNTIF(AO1105:AO1106,TRUE)=0,"",BH1104*AV1113)</f>
        <v/>
      </c>
      <c r="BH1104" s="384" t="str">
        <f>IF(COUNTIF(AO1105:AO1106,TRUE)=0,"",AV1102*IF(AO1105,1,AV1104*AN1106)*AV1105*AV1106)</f>
        <v/>
      </c>
      <c r="BI1104" s="314"/>
      <c r="BJ1104" s="314"/>
      <c r="BK1104" s="314"/>
      <c r="BL1104" s="314"/>
      <c r="BM1104" s="314"/>
      <c r="BN1104" s="314"/>
      <c r="BO1104" s="314"/>
      <c r="BP1104" s="314"/>
      <c r="BQ1104" s="314"/>
      <c r="BR1104" s="314"/>
      <c r="BS1104" s="314"/>
      <c r="BT1104" s="314"/>
      <c r="BU1104" s="314"/>
      <c r="BV1104" s="314"/>
      <c r="BW1104" s="314"/>
      <c r="BX1104" s="314"/>
      <c r="BY1104" s="314"/>
      <c r="BZ1104" s="314"/>
      <c r="CA1104" s="314"/>
      <c r="CB1104" s="314"/>
      <c r="CC1104" s="314"/>
      <c r="CD1104" s="314"/>
      <c r="CE1104" s="314"/>
      <c r="CF1104" s="314"/>
      <c r="CG1104" s="314"/>
      <c r="CH1104" s="314"/>
      <c r="CI1104" s="314"/>
      <c r="CJ1104" s="314"/>
      <c r="CK1104" s="314"/>
      <c r="CL1104" s="314"/>
      <c r="CM1104" s="314"/>
      <c r="CN1104" s="314"/>
      <c r="CO1104" s="314"/>
      <c r="CP1104" s="314"/>
      <c r="CQ1104" s="369" t="b">
        <f>OR(CQ1102,Y1104=EUconst_NA)</f>
        <v>0</v>
      </c>
    </row>
    <row r="1105" spans="1:95" ht="12.75" customHeight="1" thickBot="1" x14ac:dyDescent="0.3">
      <c r="A1105" s="307"/>
      <c r="B1105" s="68"/>
      <c r="C1105" s="199" t="s">
        <v>14</v>
      </c>
      <c r="D1105" s="344" t="str">
        <f>Translations!$B$358</f>
        <v>(prelim) EF:</v>
      </c>
      <c r="E1105" s="345"/>
      <c r="F1105" s="59"/>
      <c r="G1105" s="1256" t="str">
        <f>IF(OR(ISBLANK(F1105),F1105=EUconst_NoTier),"",IF(Z1105=0,EUconst_NotApplicable,IF(ISERROR(Z1105),"",Z1105)))</f>
        <v/>
      </c>
      <c r="H1105" s="1260"/>
      <c r="I1105" s="385" t="str">
        <f>IF(J1105&lt;&gt;"","",AI1105)</f>
        <v/>
      </c>
      <c r="J1105" s="22"/>
      <c r="K1105" s="386" t="str">
        <f>IF(L1105="",AU1105,"")</f>
        <v/>
      </c>
      <c r="L1105" s="58"/>
      <c r="M1105" s="347" t="str">
        <f>IF(AND(E1097&lt;&gt;"",OR(F1105="",COUNT(K1105:L1105)=0),Y1105&lt;&gt;EUconst_NA),EUconst_ERR_Incomplete,IF(COUNTIF(BB1105:BD1105,TRUE)&gt;0,EUconst_ERR_Inconsistent,""))</f>
        <v/>
      </c>
      <c r="N1105" s="387"/>
      <c r="O1105" s="160"/>
      <c r="P1105" s="109"/>
      <c r="Q1105" s="312"/>
      <c r="R1105" s="312"/>
      <c r="S1105" s="314"/>
      <c r="T1105" s="388" t="str">
        <f>EUconst_CNTR_EF&amp;E1097</f>
        <v>EF_</v>
      </c>
      <c r="U1105" s="312"/>
      <c r="V1105" s="389" t="str">
        <f>V1102</f>
        <v/>
      </c>
      <c r="W1105" s="314"/>
      <c r="X1105" s="312"/>
      <c r="Y1105" s="390" t="str">
        <f>IF(E1097="","",IF(OR(F1105=EUconst_NA,W1105=TRUE),EUconst_NA,INDEX(EUwideConstants!$P$164:$P$200,MATCH(T1105,EUwideConstants!$S$164:$S$200,0))))</f>
        <v/>
      </c>
      <c r="Z1105" s="391" t="str">
        <f>IF(ISBLANK(F1105),"",IF(F1105=EUconst_NA,"",INDEX(EUwideConstants!$H:$O,MATCH(T1105,EUwideConstants!$S:$S,0),MATCH(F1105,CNTR_TierList,0))))</f>
        <v/>
      </c>
      <c r="AA1105" s="392" t="str">
        <f>IF(COUNTIF(EUconst_DefaultValues,Z1105)&gt;0,MATCH(Z1105,EUconst_DefaultValues,0),"")</f>
        <v/>
      </c>
      <c r="AB1105" s="314"/>
      <c r="AC1105" s="393" t="b">
        <f>AND(AC1102,Y1105&lt;&gt;EUconst_NA)</f>
        <v>0</v>
      </c>
      <c r="AD1105" s="314"/>
      <c r="AE1105" s="394" t="str">
        <f>EUconst_CNTR_EF&amp;EUconst_Unit</f>
        <v>EF_Unit</v>
      </c>
      <c r="AF1105" s="395" t="str">
        <f>IF(AC1105=TRUE, IF(COUNTIF(MSPara_SourceStreamCategory,V1105)=0,"",INDEX(MSPara_CalcFactorsMatrix,MATCH(V1105,MSPara_SourceStreamCategory,0),MATCH(AE1105&amp;"_"&amp;2,MSPara_CalcFactors,0))),"")</f>
        <v/>
      </c>
      <c r="AG1105" s="396" t="str">
        <f>IF(AC1105=TRUE, IF(COUNTIF(MSPara_SourceStreamCategory,V1105)=0,"",INDEX(MSPara_CalcFactorsMatrix,MATCH(V1105,MSPara_SourceStreamCategory,0),MATCH(AE1105&amp;"_"&amp;1,MSPara_CalcFactors,0))),"")</f>
        <v/>
      </c>
      <c r="AH1105" s="397" t="str">
        <f>IF(AA1105="","",INDEX(AF1105:AG1105,3-AA1105))</f>
        <v/>
      </c>
      <c r="AI1105" s="397" t="str">
        <f>IF(AC1105=TRUE,IF(OR(AH1105="",AH1105=EUconst_NA),EUconst_tCO2&amp;"/"&amp;IF(AN1104=EUconst_NA,AN1102,IF(AN1104=EUconst_GJ,EUconst_TJ,AN1104)),AH1105),"")</f>
        <v/>
      </c>
      <c r="AJ1105" s="397" t="str">
        <f>IF(J1105="",AI1105,J1105)</f>
        <v/>
      </c>
      <c r="AK1105" s="398" t="b">
        <f>AND(E1097&lt;&gt;"",J1105&lt;&gt;"")</f>
        <v>0</v>
      </c>
      <c r="AL1105" s="326"/>
      <c r="AM1105" s="358" t="s">
        <v>153</v>
      </c>
      <c r="AN1105" s="359" t="str">
        <f>IF(COUNTIF(RFAUnits,AN1102)=0,EUconst_NA,INDEX(EUwideConstants!$C$150:$H$154,MATCH(AJ1105,EFUnits,0),MATCH(AN1102,EUwideConstants!$C$149:$H$149,0)))</f>
        <v>n.a.</v>
      </c>
      <c r="AO1105" s="359" t="b">
        <f>AN1105&lt;&gt;EUconst_NA</f>
        <v>0</v>
      </c>
      <c r="AP1105" s="326"/>
      <c r="AQ1105" s="399" t="str">
        <f>EUconst_CNTR_EF&amp;EUconst_Value</f>
        <v>EF_Value</v>
      </c>
      <c r="AR1105" s="400" t="str">
        <f>IF(AC1105=TRUE,IF(COUNTIF(MSPara_SourceStreamCategory,V1105)=0,"",INDEX(MSPara_CalcFactorsMatrix,MATCH(V1105,MSPara_SourceStreamCategory,0),MATCH(AQ1105&amp;"_"&amp;2,MSPara_CalcFactors,0))),"")</f>
        <v/>
      </c>
      <c r="AS1105" s="401" t="str">
        <f>IF(AC1105=TRUE,IF(COUNTIF(MSPara_SourceStreamCategory,V1105)=0,"",INDEX(MSPara_CalcFactorsMatrix,MATCH(V1105,MSPara_SourceStreamCategory,0),MATCH(AQ1105&amp;"_"&amp;1,MSPara_CalcFactors,0))),"")</f>
        <v/>
      </c>
      <c r="AT1105" s="402" t="b">
        <f>AND(AND(AH1105&lt;&gt;"",AJ1105&lt;&gt;""),AJ1105=AH1105)</f>
        <v>0</v>
      </c>
      <c r="AU1105" s="403" t="str">
        <f>IF(AND(AA1105&lt;&gt;"",AT1105=TRUE),IF(OR(INDEX(AR1105:AS1105,3-AA1105)=EUconst_NA,INDEX(AR1105:AS1105,3-AA1105)=0),"",INDEX(AR1105:AS1105,3-AA1105)),"")</f>
        <v/>
      </c>
      <c r="AV1105" s="393">
        <f>IF(AC1105=TRUE,IF(COUNT(K1105:L1105)=0,0,IF(L1105="",K1105,L1105)),0)</f>
        <v>0</v>
      </c>
      <c r="AW1105" s="389" t="b">
        <f t="shared" si="333"/>
        <v>0</v>
      </c>
      <c r="AX1105" s="404" t="b">
        <f t="shared" si="334"/>
        <v>0</v>
      </c>
      <c r="AY1105" s="314"/>
      <c r="AZ1105" s="405" t="b">
        <f t="shared" si="335"/>
        <v>0</v>
      </c>
      <c r="BA1105" s="406" t="b">
        <f t="shared" si="336"/>
        <v>0</v>
      </c>
      <c r="BB1105" s="407" t="b">
        <f>AND(E1097&lt;&gt;"",COUNTIF(AO1105:AO1106,TRUE)=0)</f>
        <v>0</v>
      </c>
      <c r="BC1105" s="389" t="b">
        <f t="shared" si="337"/>
        <v>0</v>
      </c>
      <c r="BD1105" s="314"/>
      <c r="BE1105" s="314"/>
      <c r="BF1105" s="408" t="s">
        <v>154</v>
      </c>
      <c r="BG1105" s="409" t="str">
        <f>IF(COUNTIF(AO1105:AO1106,TRUE)=0,"",BH1105*AV1113)</f>
        <v/>
      </c>
      <c r="BH1105" s="409" t="str">
        <f>IF(COUNTIF(AO1105:AO1106,TRUE)=0,"",AV1102*IF(AO1105,1,AV1104*AN1106)*AV1105*AV1107)</f>
        <v/>
      </c>
      <c r="BI1105" s="314"/>
      <c r="BJ1105" s="314"/>
      <c r="BK1105" s="314"/>
      <c r="BL1105" s="314"/>
      <c r="BM1105" s="314"/>
      <c r="BN1105" s="314"/>
      <c r="BO1105" s="314"/>
      <c r="BP1105" s="314"/>
      <c r="BQ1105" s="314"/>
      <c r="BR1105" s="314"/>
      <c r="BS1105" s="314"/>
      <c r="BT1105" s="314"/>
      <c r="BU1105" s="314"/>
      <c r="BV1105" s="314"/>
      <c r="BW1105" s="314"/>
      <c r="BX1105" s="314"/>
      <c r="BY1105" s="314"/>
      <c r="BZ1105" s="314"/>
      <c r="CA1105" s="314"/>
      <c r="CB1105" s="314"/>
      <c r="CC1105" s="314"/>
      <c r="CD1105" s="314"/>
      <c r="CE1105" s="314"/>
      <c r="CF1105" s="314"/>
      <c r="CG1105" s="314"/>
      <c r="CH1105" s="314"/>
      <c r="CI1105" s="314"/>
      <c r="CJ1105" s="314"/>
      <c r="CK1105" s="314"/>
      <c r="CL1105" s="314"/>
      <c r="CM1105" s="314"/>
      <c r="CN1105" s="314"/>
      <c r="CO1105" s="314"/>
      <c r="CP1105" s="314"/>
      <c r="CQ1105" s="407" t="b">
        <f>OR(CQ1102,Y1105=EUconst_NA)</f>
        <v>0</v>
      </c>
    </row>
    <row r="1106" spans="1:95" ht="12.75" customHeight="1" x14ac:dyDescent="0.25">
      <c r="A1106" s="307"/>
      <c r="B1106" s="68"/>
      <c r="C1106" s="199" t="s">
        <v>15</v>
      </c>
      <c r="D1106" s="344" t="str">
        <f>Translations!$B$362</f>
        <v>BioF:</v>
      </c>
      <c r="E1106" s="345"/>
      <c r="F1106" s="10"/>
      <c r="G1106" s="1256" t="str">
        <f>IF(OR(ISBLANK(F1106),F1106=EUconst_NoTier),"",IF(Z1106=0,EUconst_NotApplicable,IF(ISERROR(Z1106),"",Z1106)))</f>
        <v/>
      </c>
      <c r="H1106" s="1257"/>
      <c r="I1106" s="410" t="str">
        <f t="shared" ref="I1106:I1111" si="338">IF(OR(AC1106=FALSE,Y1106=EUconst_NA),"","-")</f>
        <v/>
      </c>
      <c r="J1106" s="411"/>
      <c r="K1106" s="412" t="str">
        <f>IF(L1106="",AU1106,"")</f>
        <v/>
      </c>
      <c r="L1106" s="60"/>
      <c r="M1106" s="347" t="str">
        <f>IF(AND(E1097&lt;&gt;"",OR(F1106="",COUNT(K1106:L1106)=0),Y1106&lt;&gt;EUconst_NA),EUconst_ERR_Incomplete,IF(COUNTIF(BB1106:BD1106,TRUE)&gt;0,EUconst_ERR_Inconsistent,""))</f>
        <v/>
      </c>
      <c r="O1106" s="160"/>
      <c r="P1106" s="348"/>
      <c r="Q1106" s="413"/>
      <c r="R1106" s="413"/>
      <c r="S1106" s="314"/>
      <c r="T1106" s="388" t="str">
        <f>EUconst_CNTR_BiomassContent&amp;E1097</f>
        <v>BioC_</v>
      </c>
      <c r="U1106" s="312"/>
      <c r="V1106" s="369" t="str">
        <f>V1104</f>
        <v/>
      </c>
      <c r="W1106" s="369" t="str">
        <f>IF(OR(V1106="",COUNTIF(MSPara_SourceStreamCategory,V1106)=0),"",INDEX(MSPara_IsFossil,MATCH(V1106,MSPara_SourceStreamCategory,0)))</f>
        <v/>
      </c>
      <c r="X1106" s="312"/>
      <c r="Y1106" s="370" t="str">
        <f>IF(E1097="","",IF(OR(F1106=EUconst_NA,W1106=TRUE),EUconst_NA,INDEX(EUwideConstants!$P$164:$P$200,MATCH(T1106,EUwideConstants!$S$164:$S$200,0))))</f>
        <v/>
      </c>
      <c r="Z1106" s="371" t="str">
        <f>IF(ISBLANK(F1106),"",IF(F1106=EUconst_NA,"",INDEX(EUwideConstants!$H:$O,MATCH(T1106,EUwideConstants!$S:$S,0),MATCH(F1106,CNTR_TierList,0))))</f>
        <v/>
      </c>
      <c r="AA1106" s="414" t="str">
        <f>IF(F1106=1,1,"")</f>
        <v/>
      </c>
      <c r="AB1106" s="314"/>
      <c r="AC1106" s="373" t="b">
        <f>AND(AC1102,Y1106&lt;&gt;EUconst_NA)</f>
        <v>0</v>
      </c>
      <c r="AD1106" s="314"/>
      <c r="AE1106" s="415"/>
      <c r="AF1106" s="416"/>
      <c r="AG1106" s="417"/>
      <c r="AH1106" s="418"/>
      <c r="AI1106" s="418"/>
      <c r="AJ1106" s="418"/>
      <c r="AK1106" s="419"/>
      <c r="AL1106" s="326"/>
      <c r="AM1106" s="358" t="s">
        <v>155</v>
      </c>
      <c r="AN1106" s="359" t="str">
        <f>IF(AN1104=EUconst_NA,EUconst_NA,INDEX(EUwideConstants!$C$150:$H$154,MATCH(AJ1105,EFUnits,0),MATCH(AN1104,EUwideConstants!$C$149:$H$149,0)))</f>
        <v>n.a.</v>
      </c>
      <c r="AO1106" s="359" t="b">
        <f>AN1106&lt;&gt;EUconst_NA</f>
        <v>0</v>
      </c>
      <c r="AP1106" s="326"/>
      <c r="AQ1106" s="376" t="str">
        <f>EUconst_CNTR_BiomassContent&amp;EUconst_Value</f>
        <v>BioC_Value</v>
      </c>
      <c r="AR1106" s="420"/>
      <c r="AS1106" s="378" t="str">
        <f t="shared" ref="AS1106:AS1111" si="339">IF(AC1106=TRUE,IF(COUNTIF(MSPara_SourceStreamCategory,V1106)=0,"",INDEX(MSPara_CalcFactorsMatrix,MATCH(V1106,MSPara_SourceStreamCategory,0),MATCH(AQ1106&amp;"_"&amp;2,MSPara_CalcFactors,0))),"")</f>
        <v/>
      </c>
      <c r="AT1106" s="421"/>
      <c r="AU1106" s="380" t="str">
        <f t="shared" ref="AU1106:AU1111" si="340">IF(OR(AA1106="",AS1106=EUconst_NA),"",AS1106)</f>
        <v/>
      </c>
      <c r="AV1106" s="373">
        <f>IF(AC1106=TRUE,IF(COUNT(K1106:L1106)=0,0,IF(L1106="",K1106,L1106)),0)</f>
        <v>0</v>
      </c>
      <c r="AW1106" s="369" t="b">
        <f t="shared" si="333"/>
        <v>0</v>
      </c>
      <c r="AX1106" s="381" t="b">
        <f t="shared" si="334"/>
        <v>0</v>
      </c>
      <c r="AY1106" s="314"/>
      <c r="AZ1106" s="382" t="b">
        <f t="shared" si="335"/>
        <v>0</v>
      </c>
      <c r="BA1106" s="383" t="b">
        <f t="shared" si="336"/>
        <v>0</v>
      </c>
      <c r="BB1106" s="314"/>
      <c r="BC1106" s="369" t="b">
        <f t="shared" si="337"/>
        <v>0</v>
      </c>
      <c r="BD1106" s="369" t="b">
        <f>OR(AV1106&gt;100%,(AV1106+AV1107)&gt;100%)</f>
        <v>0</v>
      </c>
      <c r="BE1106" s="314"/>
      <c r="BF1106" s="382" t="s">
        <v>156</v>
      </c>
      <c r="BG1106" s="384" t="str">
        <f>IF(COUNTIF(AO1105:AO1106,TRUE)=0,"",BH1106*AV1113)</f>
        <v/>
      </c>
      <c r="BH1106" s="384" t="str">
        <f>IF(COUNTIF(AO1105:AO1106,TRUE)=0,"",AV1102*IF(AO1105,1,AV1104*AN1106)*AV1105*AV1108)</f>
        <v/>
      </c>
      <c r="BJ1106" s="314"/>
      <c r="BK1106" s="314"/>
      <c r="BL1106" s="314"/>
      <c r="BM1106" s="314"/>
      <c r="BN1106" s="314"/>
      <c r="BO1106" s="314"/>
      <c r="BP1106" s="314"/>
      <c r="BQ1106" s="314"/>
      <c r="BR1106" s="314"/>
      <c r="BS1106" s="314"/>
      <c r="BT1106" s="314"/>
      <c r="BU1106" s="314"/>
      <c r="BV1106" s="314"/>
      <c r="BW1106" s="314"/>
      <c r="BX1106" s="314"/>
      <c r="BY1106" s="314"/>
      <c r="BZ1106" s="314"/>
      <c r="CA1106" s="314"/>
      <c r="CB1106" s="314"/>
      <c r="CC1106" s="314"/>
      <c r="CD1106" s="314"/>
      <c r="CE1106" s="314"/>
      <c r="CF1106" s="314"/>
      <c r="CG1106" s="314"/>
      <c r="CH1106" s="314"/>
      <c r="CI1106" s="314"/>
      <c r="CJ1106" s="314"/>
      <c r="CK1106" s="314"/>
      <c r="CL1106" s="314"/>
      <c r="CM1106" s="314"/>
      <c r="CN1106" s="314"/>
      <c r="CO1106" s="314"/>
      <c r="CP1106" s="314"/>
      <c r="CQ1106" s="369" t="b">
        <f>OR(CQ1102,Y1106=EUconst_NA)</f>
        <v>0</v>
      </c>
    </row>
    <row r="1107" spans="1:95" ht="12.75" customHeight="1" thickBot="1" x14ac:dyDescent="0.3">
      <c r="A1107" s="307"/>
      <c r="B1107" s="68"/>
      <c r="C1107" s="199" t="s">
        <v>16</v>
      </c>
      <c r="D1107" s="344" t="str">
        <f>Translations!$B$368</f>
        <v>non-sust. BioF:</v>
      </c>
      <c r="E1107" s="345"/>
      <c r="F1107" s="20"/>
      <c r="G1107" s="1256" t="str">
        <f>IF(OR(ISBLANK(F1107),F1107=EUconst_NoTier),"",IF(Z1107=0,EUconst_NotApplicable,IF(ISERROR(Z1107),"",Z1107)))</f>
        <v/>
      </c>
      <c r="H1107" s="1257"/>
      <c r="I1107" s="422" t="str">
        <f t="shared" si="338"/>
        <v/>
      </c>
      <c r="J1107" s="423"/>
      <c r="K1107" s="424" t="str">
        <f>IF(L1107="",AU1107,"")</f>
        <v/>
      </c>
      <c r="L1107" s="21"/>
      <c r="M1107" s="347" t="str">
        <f>IF(AND(E1097&lt;&gt;"",OR(F1107="",COUNT(K1107:L1107)=0),Y1107&lt;&gt;EUconst_NA),EUconst_ERR_Incomplete,IF(COUNTIF(BB1107:BD1107,TRUE)&gt;0,EUconst_ERR_Inconsistent,""))</f>
        <v/>
      </c>
      <c r="N1107" s="76"/>
      <c r="O1107" s="160"/>
      <c r="P1107" s="348"/>
      <c r="Q1107" s="413"/>
      <c r="R1107" s="413"/>
      <c r="S1107" s="314"/>
      <c r="T1107" s="425" t="str">
        <f>EUconst_CNTR_BiomassContent&amp;E1097</f>
        <v>BioC_</v>
      </c>
      <c r="U1107" s="312"/>
      <c r="V1107" s="407" t="str">
        <f>V1106</f>
        <v/>
      </c>
      <c r="W1107" s="407" t="str">
        <f>IF(OR(V1106="",COUNTIF(MSPara_SourceStreamCategory,V1107)=0),"",INDEX(MSPara_IsFossil,MATCH(V1107,MSPara_SourceStreamCategory,0)))</f>
        <v/>
      </c>
      <c r="X1107" s="312"/>
      <c r="Y1107" s="426" t="str">
        <f>IF(E1097="","",IF(OR(F1107=EUconst_NA,W1107=TRUE),EUconst_NA,INDEX(EUwideConstants!$P$164:$P$200,MATCH(T1107,EUwideConstants!$S$164:$S$200,0))))</f>
        <v/>
      </c>
      <c r="Z1107" s="427" t="str">
        <f>IF(ISBLANK(F1107),"",IF(F1107=EUconst_NA,"",INDEX(EUwideConstants!$H:$O,MATCH(T1107,EUwideConstants!$S:$S,0),MATCH(F1107,CNTR_TierList,0))))</f>
        <v/>
      </c>
      <c r="AA1107" s="428" t="str">
        <f>IF(F1107=1,1,"")</f>
        <v/>
      </c>
      <c r="AB1107" s="314"/>
      <c r="AC1107" s="429" t="b">
        <f>AND(AC1102,Y1107&lt;&gt;EUconst_NA)</f>
        <v>0</v>
      </c>
      <c r="AD1107" s="314"/>
      <c r="AE1107" s="430"/>
      <c r="AF1107" s="431"/>
      <c r="AG1107" s="432"/>
      <c r="AH1107" s="433"/>
      <c r="AI1107" s="433"/>
      <c r="AJ1107" s="433"/>
      <c r="AK1107" s="434"/>
      <c r="AL1107" s="326"/>
      <c r="AM1107" s="326"/>
      <c r="AN1107" s="326"/>
      <c r="AO1107" s="326"/>
      <c r="AP1107" s="326"/>
      <c r="AQ1107" s="435" t="str">
        <f>EUconst_CNTR_BiomassContent&amp;EUconst_Value</f>
        <v>BioC_Value</v>
      </c>
      <c r="AR1107" s="430"/>
      <c r="AS1107" s="436" t="str">
        <f t="shared" si="339"/>
        <v/>
      </c>
      <c r="AT1107" s="437"/>
      <c r="AU1107" s="438" t="str">
        <f t="shared" si="340"/>
        <v/>
      </c>
      <c r="AV1107" s="429">
        <f>IF(AC1107=TRUE,IF(COUNT(K1107:L1107)=0,0,IF(L1107="",K1107,L1107)),0)</f>
        <v>0</v>
      </c>
      <c r="AW1107" s="407" t="b">
        <f t="shared" si="333"/>
        <v>0</v>
      </c>
      <c r="AX1107" s="439" t="b">
        <f t="shared" si="334"/>
        <v>0</v>
      </c>
      <c r="AY1107" s="314"/>
      <c r="AZ1107" s="408" t="b">
        <f t="shared" si="335"/>
        <v>0</v>
      </c>
      <c r="BA1107" s="440" t="b">
        <f t="shared" si="336"/>
        <v>0</v>
      </c>
      <c r="BB1107" s="314"/>
      <c r="BC1107" s="407" t="b">
        <f t="shared" si="337"/>
        <v>0</v>
      </c>
      <c r="BD1107" s="407" t="b">
        <f>OR(AV1106&gt;100%,(AV1106+AV1107)&gt;100%)</f>
        <v>0</v>
      </c>
      <c r="BE1107" s="314"/>
      <c r="BF1107" s="408" t="s">
        <v>157</v>
      </c>
      <c r="BG1107" s="409" t="str">
        <f>IF(COUNTIF(AO1105:AO1106,TRUE)=0,"",BH1107*AV1113)</f>
        <v/>
      </c>
      <c r="BH1107" s="409" t="str">
        <f>IF(COUNTIF(AO1105:AO1106,TRUE)=0,"",AV1102*IF(AO1105,1,AV1104*AN1106)*AV1105*AV1109)</f>
        <v/>
      </c>
      <c r="BJ1107" s="314"/>
      <c r="BK1107" s="314"/>
      <c r="BL1107" s="314"/>
      <c r="BM1107" s="314"/>
      <c r="BN1107" s="314"/>
      <c r="BO1107" s="314"/>
      <c r="BP1107" s="314"/>
      <c r="BQ1107" s="314"/>
      <c r="BR1107" s="314"/>
      <c r="BS1107" s="314"/>
      <c r="BT1107" s="314"/>
      <c r="BU1107" s="314"/>
      <c r="BV1107" s="314"/>
      <c r="BW1107" s="314"/>
      <c r="BX1107" s="314"/>
      <c r="BY1107" s="314"/>
      <c r="BZ1107" s="314"/>
      <c r="CA1107" s="314"/>
      <c r="CB1107" s="314"/>
      <c r="CC1107" s="314"/>
      <c r="CD1107" s="314"/>
      <c r="CE1107" s="314"/>
      <c r="CF1107" s="314"/>
      <c r="CG1107" s="314"/>
      <c r="CH1107" s="314"/>
      <c r="CI1107" s="314"/>
      <c r="CJ1107" s="314"/>
      <c r="CK1107" s="314"/>
      <c r="CL1107" s="314"/>
      <c r="CM1107" s="314"/>
      <c r="CN1107" s="314"/>
      <c r="CO1107" s="314"/>
      <c r="CP1107" s="314"/>
      <c r="CQ1107" s="407" t="b">
        <f>OR(CQ1102,Y1107=EUconst_NA)</f>
        <v>0</v>
      </c>
    </row>
    <row r="1108" spans="1:95" ht="12.75" customHeight="1" thickBot="1" x14ac:dyDescent="0.3">
      <c r="A1108" s="307"/>
      <c r="B1108" s="68"/>
      <c r="C1108" s="199" t="s">
        <v>17</v>
      </c>
      <c r="D1108" s="344" t="str">
        <f>Translations!$B$610</f>
        <v>sust. RFNBO/RCF:</v>
      </c>
      <c r="E1108" s="441"/>
      <c r="F1108" s="19" t="s">
        <v>158</v>
      </c>
      <c r="G1108" s="1261"/>
      <c r="H1108" s="1262"/>
      <c r="I1108" s="442" t="str">
        <f t="shared" si="338"/>
        <v/>
      </c>
      <c r="J1108" s="411"/>
      <c r="K1108" s="443"/>
      <c r="L1108" s="55"/>
      <c r="M1108" s="347" t="str">
        <f>IF(AND(E1097&lt;&gt;"",OR(F1108="",COUNT(L1108)=0),Y1108&lt;&gt;EUconst_NA),EUconst_ERR_Incomplete,"")</f>
        <v/>
      </c>
      <c r="N1108" s="76"/>
      <c r="O1108" s="160"/>
      <c r="P1108" s="348"/>
      <c r="Q1108" s="413"/>
      <c r="R1108" s="413"/>
      <c r="S1108" s="314"/>
      <c r="T1108" s="388" t="str">
        <f>EUconst_CNTR_RFNBOetcContent&amp;E1097</f>
        <v>RNFBOC_</v>
      </c>
      <c r="U1108" s="312"/>
      <c r="V1108" s="312"/>
      <c r="W1108" s="312"/>
      <c r="X1108" s="312"/>
      <c r="Y1108" s="380" t="str">
        <f>IF(E1097="","",IF(OR(F1108=EUconst_NA,W1108=TRUE),EUconst_NA,INDEX(EUwideConstants!$P$164:$P$200,MATCH(T1108,EUwideConstants!$S$164:$S$200,0))))</f>
        <v/>
      </c>
      <c r="Z1108" s="314"/>
      <c r="AA1108" s="314"/>
      <c r="AB1108" s="314"/>
      <c r="AC1108" s="397" t="b">
        <f>AND(AC1104,Y1108&lt;&gt;EUconst_NA)</f>
        <v>0</v>
      </c>
      <c r="AD1108" s="314"/>
      <c r="AE1108" s="415"/>
      <c r="AF1108" s="416"/>
      <c r="AG1108" s="417"/>
      <c r="AH1108" s="418"/>
      <c r="AI1108" s="418"/>
      <c r="AJ1108" s="418"/>
      <c r="AK1108" s="419"/>
      <c r="AL1108" s="326"/>
      <c r="AM1108" s="326"/>
      <c r="AN1108" s="326"/>
      <c r="AO1108" s="326"/>
      <c r="AP1108" s="326"/>
      <c r="AQ1108" s="444" t="s">
        <v>159</v>
      </c>
      <c r="AR1108" s="415"/>
      <c r="AS1108" s="445" t="str">
        <f t="shared" si="339"/>
        <v/>
      </c>
      <c r="AT1108" s="446"/>
      <c r="AU1108" s="447" t="str">
        <f t="shared" si="340"/>
        <v/>
      </c>
      <c r="AV1108" s="397">
        <f>IF(L1108&lt;&gt;0,L1108,L1108)</f>
        <v>0</v>
      </c>
      <c r="AW1108" s="398" t="b">
        <f t="shared" si="333"/>
        <v>0</v>
      </c>
      <c r="AX1108" s="448" t="b">
        <f t="shared" si="334"/>
        <v>0</v>
      </c>
      <c r="AY1108" s="314"/>
      <c r="AZ1108" s="449" t="b">
        <f t="shared" si="335"/>
        <v>0</v>
      </c>
      <c r="BA1108" s="450" t="b">
        <f t="shared" si="336"/>
        <v>0</v>
      </c>
      <c r="BB1108" s="314"/>
      <c r="BC1108" s="398" t="b">
        <f t="shared" si="337"/>
        <v>0</v>
      </c>
      <c r="BD1108" s="369" t="b">
        <f>OR(AV1108&gt;100%,(AV1108+AV1109)&gt;100%)</f>
        <v>0</v>
      </c>
      <c r="BE1108" s="314"/>
      <c r="BF1108" s="451" t="s">
        <v>160</v>
      </c>
      <c r="BG1108" s="452" t="str">
        <f>IF(COUNTIF(AO1105:AO1106,TRUE)=0,"",BH1108*AV1113)</f>
        <v/>
      </c>
      <c r="BH1108" s="452" t="str">
        <f>IF(COUNTIF(AO1105:AO1106,TRUE)=0,"",AV1102*IF(AO1105,1,AV1104*AN1106)*AV1105*AV1110)</f>
        <v/>
      </c>
      <c r="BJ1108" s="314"/>
      <c r="BK1108" s="314"/>
      <c r="BL1108" s="314"/>
      <c r="BM1108" s="314"/>
      <c r="BN1108" s="314"/>
      <c r="BO1108" s="314"/>
      <c r="BP1108" s="314"/>
      <c r="BQ1108" s="314"/>
      <c r="BR1108" s="314"/>
      <c r="BS1108" s="314"/>
      <c r="BT1108" s="314"/>
      <c r="BU1108" s="314"/>
      <c r="BV1108" s="314"/>
      <c r="BW1108" s="314"/>
      <c r="BX1108" s="314"/>
      <c r="BY1108" s="314"/>
      <c r="BZ1108" s="314"/>
      <c r="CA1108" s="314"/>
      <c r="CB1108" s="314"/>
      <c r="CC1108" s="314"/>
      <c r="CD1108" s="314"/>
      <c r="CE1108" s="314"/>
      <c r="CF1108" s="314"/>
      <c r="CG1108" s="314"/>
      <c r="CH1108" s="314"/>
      <c r="CI1108" s="314"/>
      <c r="CJ1108" s="314"/>
      <c r="CK1108" s="314"/>
      <c r="CL1108" s="314"/>
      <c r="CM1108" s="314"/>
      <c r="CN1108" s="314"/>
      <c r="CO1108" s="314"/>
      <c r="CP1108" s="314"/>
      <c r="CQ1108" s="407" t="b">
        <f>OR(CQ1102,Y1108=EUconst_NA)</f>
        <v>0</v>
      </c>
    </row>
    <row r="1109" spans="1:95" ht="12.75" customHeight="1" thickBot="1" x14ac:dyDescent="0.3">
      <c r="A1109" s="307"/>
      <c r="B1109" s="68"/>
      <c r="C1109" s="199" t="s">
        <v>161</v>
      </c>
      <c r="D1109" s="344" t="str">
        <f>Translations!$B$613</f>
        <v>non-sust. RFNBO/RCF:</v>
      </c>
      <c r="E1109" s="441"/>
      <c r="F1109" s="20" t="s">
        <v>158</v>
      </c>
      <c r="G1109" s="1261"/>
      <c r="H1109" s="1262"/>
      <c r="I1109" s="422" t="str">
        <f t="shared" si="338"/>
        <v/>
      </c>
      <c r="J1109" s="423"/>
      <c r="K1109" s="443"/>
      <c r="L1109" s="56"/>
      <c r="M1109" s="347" t="str">
        <f>IF(AND(E1097&lt;&gt;"",OR(F1109="",COUNT(L1109)=0),Y1109&lt;&gt;EUconst_NA),EUconst_ERR_Incomplete,"")</f>
        <v/>
      </c>
      <c r="N1109" s="76"/>
      <c r="O1109" s="160"/>
      <c r="P1109" s="348"/>
      <c r="Q1109" s="413"/>
      <c r="R1109" s="413"/>
      <c r="S1109" s="314"/>
      <c r="T1109" s="425" t="str">
        <f>EUconst_CNTR_RFNBOetcContent&amp;E1097</f>
        <v>RNFBOC_</v>
      </c>
      <c r="U1109" s="312"/>
      <c r="V1109" s="312"/>
      <c r="W1109" s="312"/>
      <c r="X1109" s="312"/>
      <c r="Y1109" s="438" t="str">
        <f>IF(E1097="","",IF(OR(F1109=EUconst_NA,W1109=TRUE),EUconst_NA,INDEX(EUwideConstants!$P$164:$P$200,MATCH(T1109,EUwideConstants!$S$164:$S$200,0))))</f>
        <v/>
      </c>
      <c r="Z1109" s="314"/>
      <c r="AA1109" s="314"/>
      <c r="AB1109" s="314"/>
      <c r="AC1109" s="429" t="b">
        <f>AND(AC1104,Y1109&lt;&gt;EUconst_NA)</f>
        <v>0</v>
      </c>
      <c r="AD1109" s="314"/>
      <c r="AE1109" s="430"/>
      <c r="AF1109" s="431"/>
      <c r="AG1109" s="432"/>
      <c r="AH1109" s="433"/>
      <c r="AI1109" s="433"/>
      <c r="AJ1109" s="433"/>
      <c r="AK1109" s="434"/>
      <c r="AL1109" s="326"/>
      <c r="AM1109" s="326"/>
      <c r="AN1109" s="326"/>
      <c r="AO1109" s="326"/>
      <c r="AP1109" s="326"/>
      <c r="AQ1109" s="435" t="s">
        <v>159</v>
      </c>
      <c r="AR1109" s="430"/>
      <c r="AS1109" s="436" t="str">
        <f t="shared" si="339"/>
        <v/>
      </c>
      <c r="AT1109" s="437"/>
      <c r="AU1109" s="438" t="str">
        <f t="shared" si="340"/>
        <v/>
      </c>
      <c r="AV1109" s="429">
        <f t="shared" ref="AV1109:AV1111" si="341">IF(L1109&lt;&gt;0,L1109,L1109)</f>
        <v>0</v>
      </c>
      <c r="AW1109" s="407" t="b">
        <f t="shared" si="333"/>
        <v>0</v>
      </c>
      <c r="AX1109" s="439" t="b">
        <f t="shared" si="334"/>
        <v>0</v>
      </c>
      <c r="AY1109" s="314"/>
      <c r="AZ1109" s="408" t="b">
        <f t="shared" si="335"/>
        <v>0</v>
      </c>
      <c r="BA1109" s="440" t="b">
        <f t="shared" si="336"/>
        <v>0</v>
      </c>
      <c r="BB1109" s="314"/>
      <c r="BC1109" s="407" t="b">
        <f t="shared" si="337"/>
        <v>0</v>
      </c>
      <c r="BD1109" s="407" t="b">
        <f>OR(AV1108&gt;100%,(AV1108+AV1109)&gt;100%)</f>
        <v>0</v>
      </c>
      <c r="BE1109" s="314"/>
      <c r="BF1109" s="408" t="s">
        <v>162</v>
      </c>
      <c r="BG1109" s="409" t="str">
        <f>IF(COUNTIF(AO1105:AO1106,TRUE)=0,"",BH1109*AV1113)</f>
        <v/>
      </c>
      <c r="BH1109" s="409" t="str">
        <f>IF(COUNTIF(AO1105:AO1106,TRUE)=0,"",AV1102*IF(AO1105,1,AV1104*AN1106)*AV1105*AV1111)</f>
        <v/>
      </c>
      <c r="BJ1109" s="314"/>
      <c r="BK1109" s="314"/>
      <c r="BL1109" s="314"/>
      <c r="BM1109" s="314"/>
      <c r="BN1109" s="314"/>
      <c r="BO1109" s="314"/>
      <c r="BP1109" s="314"/>
      <c r="BQ1109" s="314"/>
      <c r="BR1109" s="314"/>
      <c r="BS1109" s="314"/>
      <c r="BT1109" s="314"/>
      <c r="BU1109" s="314"/>
      <c r="BV1109" s="314"/>
      <c r="BW1109" s="314"/>
      <c r="BX1109" s="314"/>
      <c r="BY1109" s="314"/>
      <c r="BZ1109" s="314"/>
      <c r="CA1109" s="314"/>
      <c r="CB1109" s="314"/>
      <c r="CC1109" s="314"/>
      <c r="CD1109" s="314"/>
      <c r="CE1109" s="314"/>
      <c r="CF1109" s="314"/>
      <c r="CG1109" s="314"/>
      <c r="CH1109" s="314"/>
      <c r="CI1109" s="314"/>
      <c r="CJ1109" s="314"/>
      <c r="CK1109" s="314"/>
      <c r="CL1109" s="314"/>
      <c r="CM1109" s="314"/>
      <c r="CN1109" s="314"/>
      <c r="CO1109" s="314"/>
      <c r="CP1109" s="314"/>
      <c r="CQ1109" s="407" t="b">
        <f>OR(CQ1102,Y1109=EUconst_NA)</f>
        <v>0</v>
      </c>
    </row>
    <row r="1110" spans="1:95" ht="12.75" customHeight="1" thickBot="1" x14ac:dyDescent="0.3">
      <c r="A1110" s="307"/>
      <c r="B1110" s="68"/>
      <c r="C1110" s="199" t="s">
        <v>163</v>
      </c>
      <c r="D1110" s="344" t="str">
        <f>Translations!$B$615</f>
        <v>sust. SLCF:</v>
      </c>
      <c r="E1110" s="441"/>
      <c r="F1110" s="19" t="s">
        <v>158</v>
      </c>
      <c r="G1110" s="1261"/>
      <c r="H1110" s="1262"/>
      <c r="I1110" s="442" t="str">
        <f t="shared" si="338"/>
        <v/>
      </c>
      <c r="J1110" s="411"/>
      <c r="K1110" s="443"/>
      <c r="L1110" s="57"/>
      <c r="M1110" s="347" t="str">
        <f>IF(AND(E1097&lt;&gt;"",OR(F1110="",COUNT(L1110)=0),Y1110&lt;&gt;EUconst_NA),EUconst_ERR_Incomplete,"")</f>
        <v/>
      </c>
      <c r="N1110" s="76"/>
      <c r="O1110" s="160"/>
      <c r="P1110" s="348"/>
      <c r="Q1110" s="413"/>
      <c r="R1110" s="413"/>
      <c r="S1110" s="314"/>
      <c r="T1110" s="388" t="str">
        <f>EUconst_CNTR_RFNBOetcContent&amp;E1097</f>
        <v>RNFBOC_</v>
      </c>
      <c r="U1110" s="312"/>
      <c r="V1110" s="312"/>
      <c r="W1110" s="312"/>
      <c r="X1110" s="312"/>
      <c r="Y1110" s="447" t="str">
        <f>IF(E1097="","",IF(OR(F1110=EUconst_NA,W1110=TRUE),EUconst_NA,INDEX(EUwideConstants!$P$164:$P$200,MATCH(T1110,EUwideConstants!$S$164:$S$200,0))))</f>
        <v/>
      </c>
      <c r="Z1110" s="314"/>
      <c r="AA1110" s="314"/>
      <c r="AB1110" s="314"/>
      <c r="AC1110" s="397" t="b">
        <f>AND(AC1106,Y1110&lt;&gt;EUconst_NA)</f>
        <v>0</v>
      </c>
      <c r="AD1110" s="314"/>
      <c r="AE1110" s="415"/>
      <c r="AF1110" s="416"/>
      <c r="AG1110" s="417"/>
      <c r="AH1110" s="418"/>
      <c r="AI1110" s="418"/>
      <c r="AJ1110" s="418"/>
      <c r="AK1110" s="419"/>
      <c r="AL1110" s="326"/>
      <c r="AM1110" s="326"/>
      <c r="AN1110" s="326"/>
      <c r="AO1110" s="326"/>
      <c r="AP1110" s="326"/>
      <c r="AQ1110" s="444" t="s">
        <v>159</v>
      </c>
      <c r="AR1110" s="415"/>
      <c r="AS1110" s="445" t="str">
        <f t="shared" si="339"/>
        <v/>
      </c>
      <c r="AT1110" s="446"/>
      <c r="AU1110" s="447" t="str">
        <f t="shared" si="340"/>
        <v/>
      </c>
      <c r="AV1110" s="397">
        <f t="shared" si="341"/>
        <v>0</v>
      </c>
      <c r="AW1110" s="398" t="b">
        <f t="shared" si="333"/>
        <v>0</v>
      </c>
      <c r="AX1110" s="448" t="b">
        <f t="shared" si="334"/>
        <v>0</v>
      </c>
      <c r="AY1110" s="314"/>
      <c r="AZ1110" s="449" t="b">
        <f t="shared" si="335"/>
        <v>0</v>
      </c>
      <c r="BA1110" s="450" t="b">
        <f t="shared" si="336"/>
        <v>0</v>
      </c>
      <c r="BB1110" s="314"/>
      <c r="BC1110" s="398" t="b">
        <f t="shared" si="337"/>
        <v>0</v>
      </c>
      <c r="BD1110" s="369" t="b">
        <f>OR(AV1110&gt;100%,(AV1110+AV1111)&gt;100%)</f>
        <v>0</v>
      </c>
      <c r="BE1110" s="314"/>
      <c r="BF1110" s="451" t="s">
        <v>164</v>
      </c>
      <c r="BG1110" s="452">
        <f>IF(AN1102=EUconst_TJ,AV1102*(1-AV1106),IF(AN1104=EUconst_GJ,AV1102*AV1104/1000,0))-SUM(BG1111:BG1117)</f>
        <v>0</v>
      </c>
      <c r="BH1110" s="314"/>
      <c r="BI1110" s="314"/>
      <c r="BJ1110" s="314"/>
      <c r="BK1110" s="314"/>
      <c r="BL1110" s="314"/>
      <c r="BM1110" s="314"/>
      <c r="BN1110" s="314"/>
      <c r="BO1110" s="314"/>
      <c r="BP1110" s="314"/>
      <c r="BQ1110" s="314"/>
      <c r="BR1110" s="314"/>
      <c r="BS1110" s="314"/>
      <c r="BT1110" s="314"/>
      <c r="BU1110" s="314"/>
      <c r="BV1110" s="314"/>
      <c r="BW1110" s="314"/>
      <c r="BX1110" s="314"/>
      <c r="BY1110" s="314"/>
      <c r="BZ1110" s="314"/>
      <c r="CA1110" s="314"/>
      <c r="CB1110" s="314"/>
      <c r="CC1110" s="314"/>
      <c r="CD1110" s="314"/>
      <c r="CE1110" s="314"/>
      <c r="CF1110" s="314"/>
      <c r="CG1110" s="314"/>
      <c r="CH1110" s="314"/>
      <c r="CI1110" s="314"/>
      <c r="CJ1110" s="314"/>
      <c r="CK1110" s="314"/>
      <c r="CL1110" s="314"/>
      <c r="CM1110" s="314"/>
      <c r="CN1110" s="314"/>
      <c r="CO1110" s="314"/>
      <c r="CP1110" s="314"/>
      <c r="CQ1110" s="407" t="b">
        <f>OR(CQ1102,Y1110=EUconst_NA)</f>
        <v>0</v>
      </c>
    </row>
    <row r="1111" spans="1:95" ht="12.75" customHeight="1" thickBot="1" x14ac:dyDescent="0.3">
      <c r="A1111" s="307"/>
      <c r="B1111" s="68"/>
      <c r="C1111" s="199" t="s">
        <v>165</v>
      </c>
      <c r="D1111" s="344" t="str">
        <f>Translations!$B$618</f>
        <v>non-sust. SLCF:</v>
      </c>
      <c r="E1111" s="441"/>
      <c r="F1111" s="20" t="s">
        <v>158</v>
      </c>
      <c r="G1111" s="1261"/>
      <c r="H1111" s="1262"/>
      <c r="I1111" s="422" t="str">
        <f t="shared" si="338"/>
        <v/>
      </c>
      <c r="J1111" s="423"/>
      <c r="K1111" s="443"/>
      <c r="L1111" s="56"/>
      <c r="M1111" s="347" t="str">
        <f>IF(AND(E1097&lt;&gt;"",OR(F1111="",COUNT(L1111)=0),Y1111&lt;&gt;EUconst_NA),EUconst_ERR_Incomplete,"")</f>
        <v/>
      </c>
      <c r="N1111" s="76"/>
      <c r="O1111" s="160"/>
      <c r="P1111" s="348"/>
      <c r="Q1111" s="413"/>
      <c r="R1111" s="413"/>
      <c r="S1111" s="314"/>
      <c r="T1111" s="425" t="str">
        <f>EUconst_CNTR_RFNBOetcContent&amp;E1097</f>
        <v>RNFBOC_</v>
      </c>
      <c r="U1111" s="312"/>
      <c r="V1111" s="312"/>
      <c r="W1111" s="312"/>
      <c r="X1111" s="312"/>
      <c r="Y1111" s="438" t="str">
        <f>IF(E1097="","",IF(OR(F1111=EUconst_NA,W1111=TRUE),EUconst_NA,INDEX(EUwideConstants!$P$164:$P$200,MATCH(T1111,EUwideConstants!$S$164:$S$200,0))))</f>
        <v/>
      </c>
      <c r="Z1111" s="314"/>
      <c r="AA1111" s="314"/>
      <c r="AB1111" s="314"/>
      <c r="AC1111" s="429" t="b">
        <f>AND(AC1106,Y1111&lt;&gt;EUconst_NA)</f>
        <v>0</v>
      </c>
      <c r="AD1111" s="314"/>
      <c r="AE1111" s="430"/>
      <c r="AF1111" s="431"/>
      <c r="AG1111" s="432"/>
      <c r="AH1111" s="433"/>
      <c r="AI1111" s="433"/>
      <c r="AJ1111" s="433"/>
      <c r="AK1111" s="434"/>
      <c r="AL1111" s="326"/>
      <c r="AM1111" s="326"/>
      <c r="AN1111" s="326"/>
      <c r="AO1111" s="326"/>
      <c r="AP1111" s="326"/>
      <c r="AQ1111" s="435" t="s">
        <v>159</v>
      </c>
      <c r="AR1111" s="430"/>
      <c r="AS1111" s="436" t="str">
        <f t="shared" si="339"/>
        <v/>
      </c>
      <c r="AT1111" s="437"/>
      <c r="AU1111" s="438" t="str">
        <f t="shared" si="340"/>
        <v/>
      </c>
      <c r="AV1111" s="429">
        <f t="shared" si="341"/>
        <v>0</v>
      </c>
      <c r="AW1111" s="407" t="b">
        <f t="shared" si="333"/>
        <v>0</v>
      </c>
      <c r="AX1111" s="439" t="b">
        <f t="shared" si="334"/>
        <v>0</v>
      </c>
      <c r="AY1111" s="314"/>
      <c r="AZ1111" s="408" t="b">
        <f t="shared" si="335"/>
        <v>0</v>
      </c>
      <c r="BA1111" s="440" t="b">
        <f t="shared" si="336"/>
        <v>0</v>
      </c>
      <c r="BB1111" s="314"/>
      <c r="BC1111" s="407" t="b">
        <f t="shared" si="337"/>
        <v>0</v>
      </c>
      <c r="BD1111" s="407" t="b">
        <f>OR(AV1110&gt;100%,(AV1110+AV1111)&gt;100%)</f>
        <v>0</v>
      </c>
      <c r="BE1111" s="314"/>
      <c r="BF1111" s="408" t="s">
        <v>166</v>
      </c>
      <c r="BG1111" s="409" t="str">
        <f>IF(AN1102=EUconst_TJ,AV1102*AV1106,IF(AN1104=EUconst_GJ,AV1102*AV1104/1000*AV1106,""))</f>
        <v/>
      </c>
      <c r="BH1111" s="314"/>
      <c r="BI1111" s="314"/>
      <c r="BJ1111" s="314"/>
      <c r="BK1111" s="314"/>
      <c r="BL1111" s="314"/>
      <c r="BM1111" s="314"/>
      <c r="BN1111" s="314"/>
      <c r="BO1111" s="314"/>
      <c r="BP1111" s="314"/>
      <c r="BQ1111" s="314"/>
      <c r="BR1111" s="314"/>
      <c r="BS1111" s="314"/>
      <c r="BT1111" s="314"/>
      <c r="BU1111" s="314"/>
      <c r="BV1111" s="314"/>
      <c r="BW1111" s="314"/>
      <c r="BX1111" s="314"/>
      <c r="BY1111" s="314"/>
      <c r="BZ1111" s="314"/>
      <c r="CA1111" s="314"/>
      <c r="CB1111" s="314"/>
      <c r="CC1111" s="314"/>
      <c r="CD1111" s="314"/>
      <c r="CE1111" s="314"/>
      <c r="CF1111" s="314"/>
      <c r="CG1111" s="314"/>
      <c r="CH1111" s="314"/>
      <c r="CI1111" s="314"/>
      <c r="CJ1111" s="314"/>
      <c r="CK1111" s="314"/>
      <c r="CL1111" s="314"/>
      <c r="CM1111" s="314"/>
      <c r="CN1111" s="314"/>
      <c r="CO1111" s="314"/>
      <c r="CP1111" s="314"/>
      <c r="CQ1111" s="407" t="b">
        <f>OR(CQ1102,Y1111=EUconst_NA)</f>
        <v>0</v>
      </c>
    </row>
    <row r="1112" spans="1:95" ht="5.15" customHeight="1" thickBot="1" x14ac:dyDescent="0.3">
      <c r="A1112" s="307"/>
      <c r="B1112" s="68"/>
      <c r="C1112" s="68"/>
      <c r="D1112" s="205"/>
      <c r="E1112" s="76"/>
      <c r="F1112" s="76"/>
      <c r="G1112" s="76"/>
      <c r="H1112" s="76"/>
      <c r="I1112" s="76"/>
      <c r="J1112" s="76"/>
      <c r="K1112" s="76"/>
      <c r="L1112" s="76"/>
      <c r="M1112" s="453"/>
      <c r="N1112" s="76"/>
      <c r="O1112" s="160"/>
      <c r="P1112" s="109"/>
      <c r="Q1112" s="312"/>
      <c r="R1112" s="312"/>
      <c r="S1112" s="314"/>
      <c r="T1112" s="314"/>
      <c r="U1112" s="314"/>
      <c r="V1112" s="314"/>
      <c r="W1112" s="314"/>
      <c r="X1112" s="314"/>
      <c r="Y1112" s="314"/>
      <c r="Z1112" s="314"/>
      <c r="AA1112" s="314"/>
      <c r="AB1112" s="314"/>
      <c r="AC1112" s="314"/>
      <c r="AD1112" s="314"/>
      <c r="AE1112" s="314"/>
      <c r="AF1112" s="314"/>
      <c r="AG1112" s="314"/>
      <c r="AH1112" s="314"/>
      <c r="AI1112" s="314"/>
      <c r="AJ1112" s="314"/>
      <c r="AK1112" s="314"/>
      <c r="AL1112" s="314"/>
      <c r="AM1112" s="314"/>
      <c r="AN1112" s="314"/>
      <c r="AO1112" s="314"/>
      <c r="AP1112" s="314"/>
      <c r="AQ1112" s="314"/>
      <c r="AR1112" s="314"/>
      <c r="AS1112" s="314"/>
      <c r="AT1112" s="314"/>
      <c r="AU1112" s="314"/>
      <c r="AV1112" s="314"/>
      <c r="AW1112" s="314"/>
      <c r="AX1112" s="314"/>
      <c r="AY1112" s="314"/>
      <c r="AZ1112" s="314"/>
      <c r="BA1112" s="314"/>
      <c r="BB1112" s="314"/>
      <c r="BC1112" s="314"/>
      <c r="BD1112" s="314"/>
      <c r="BE1112" s="314"/>
      <c r="BF1112" s="314"/>
      <c r="BG1112" s="364"/>
      <c r="BH1112" s="314"/>
      <c r="BI1112" s="314"/>
      <c r="BJ1112" s="314"/>
      <c r="BK1112" s="314"/>
      <c r="BL1112" s="314"/>
      <c r="BM1112" s="314"/>
      <c r="BN1112" s="314"/>
      <c r="BO1112" s="314"/>
      <c r="BP1112" s="314"/>
      <c r="BQ1112" s="314"/>
      <c r="BR1112" s="314"/>
      <c r="BS1112" s="314"/>
      <c r="BT1112" s="314"/>
      <c r="BU1112" s="314"/>
      <c r="BV1112" s="314"/>
      <c r="BW1112" s="314"/>
      <c r="BX1112" s="314"/>
      <c r="BY1112" s="314"/>
      <c r="BZ1112" s="314"/>
      <c r="CA1112" s="314"/>
      <c r="CB1112" s="314"/>
      <c r="CC1112" s="314"/>
      <c r="CD1112" s="314"/>
      <c r="CE1112" s="314"/>
      <c r="CF1112" s="314"/>
      <c r="CG1112" s="314"/>
      <c r="CH1112" s="314"/>
      <c r="CI1112" s="314"/>
      <c r="CJ1112" s="314"/>
      <c r="CK1112" s="314"/>
      <c r="CL1112" s="314"/>
      <c r="CM1112" s="314"/>
      <c r="CN1112" s="314"/>
      <c r="CO1112" s="314"/>
      <c r="CP1112" s="314"/>
      <c r="CQ1112" s="314"/>
    </row>
    <row r="1113" spans="1:95" ht="12.75" customHeight="1" thickBot="1" x14ac:dyDescent="0.3">
      <c r="A1113" s="307"/>
      <c r="B1113" s="68"/>
      <c r="C1113" s="199" t="s">
        <v>167</v>
      </c>
      <c r="D1113" s="344" t="str">
        <f>Translations!$B$398</f>
        <v>Scope factor:</v>
      </c>
      <c r="E1113" s="454"/>
      <c r="F1113" s="992"/>
      <c r="G1113" s="1263"/>
      <c r="H1113" s="1264"/>
      <c r="I1113" s="455" t="s">
        <v>46</v>
      </c>
      <c r="J1113" s="456"/>
      <c r="K1113" s="457" t="str">
        <f>IF(L1113="",AU1113,"")</f>
        <v/>
      </c>
      <c r="L1113" s="16"/>
      <c r="M1113" s="458" t="str">
        <f>IF(AND(E1097&lt;&gt;"",OR(F1113="",G1113="",COUNT(K1113:L1113)=0)),EUconst_ERR_Incomplete,IF(COUNTIF(BB1113:BD1113,TRUE)&gt;0,EUconst_ERR_Inconsistent,""))</f>
        <v/>
      </c>
      <c r="N1113" s="76"/>
      <c r="O1113" s="160"/>
      <c r="P1113" s="109"/>
      <c r="Q1113" s="312"/>
      <c r="R1113" s="314"/>
      <c r="S1113" s="297"/>
      <c r="T1113" s="459" t="str">
        <f>EUconst_CNTR_ScopeFactor&amp;E1097</f>
        <v>ScopeFactor_</v>
      </c>
      <c r="U1113" s="231" t="str">
        <f>IF(F1113="","",INDEX(ScopeAddress,MATCH(F1113,ScopeTiers,0)))</f>
        <v/>
      </c>
      <c r="V1113" s="360" t="str">
        <f>V1102</f>
        <v/>
      </c>
      <c r="W1113" s="314"/>
      <c r="X1113" s="314"/>
      <c r="Y1113" s="460" t="str">
        <f>IF(E1097="","",IF(F1113=EUconst_NA,EUconst_NA,INDEX(EUwideConstants!$P$164:$P$200,MATCH(T1113,EUwideConstants!$S$164:$S$200,0))))</f>
        <v/>
      </c>
      <c r="Z1113" s="461" t="str">
        <f>IF(ISBLANK(F1113),"",IF(F1113=EUconst_NA,"",INDEX(EUwideConstants!$H:$O,MATCH(T1113,EUwideConstants!$S:$S,0),MATCH(F1113,CNTR_TierList,0))))</f>
        <v/>
      </c>
      <c r="AA1113" s="331" t="str">
        <f>IF(G1113=EUwideConstants!$A$89,1,"")</f>
        <v/>
      </c>
      <c r="AB1113" s="314"/>
      <c r="AC1113" s="331" t="b">
        <f>AND(AC1102,Y1113&lt;&gt;EUconst_NA)</f>
        <v>0</v>
      </c>
      <c r="AD1113" s="314"/>
      <c r="AE1113" s="314"/>
      <c r="AF1113" s="314"/>
      <c r="AG1113" s="319"/>
      <c r="AH1113" s="314"/>
      <c r="AI1113" s="314"/>
      <c r="AJ1113" s="314"/>
      <c r="AK1113" s="314"/>
      <c r="AL1113" s="314"/>
      <c r="AM1113" s="314"/>
      <c r="AN1113" s="314"/>
      <c r="AO1113" s="314"/>
      <c r="AP1113" s="314"/>
      <c r="AQ1113" s="314"/>
      <c r="AR1113" s="314"/>
      <c r="AS1113" s="328">
        <v>1</v>
      </c>
      <c r="AT1113" s="314"/>
      <c r="AU1113" s="319" t="str">
        <f>IF(G1113=EUwideConstants!$A$89,AS1113,"")</f>
        <v/>
      </c>
      <c r="AV1113" s="331">
        <f>IF(AC1113=TRUE,IF(COUNT(K1113:L1113)=0,0,IF(L1113="",K1113,L1113)),0)</f>
        <v>0</v>
      </c>
      <c r="AW1113" s="360" t="b">
        <f>AND(AC1113=TRUE,OR(AND(F1113&lt;&gt;"",NOT(ISNUMBER(AA1113))),L1113&lt;&gt;"",F1113="",AU1113=""))</f>
        <v>0</v>
      </c>
      <c r="AX1113" s="357" t="b">
        <f>AND(AC1113=TRUE,NOT(AW1113))</f>
        <v>0</v>
      </c>
      <c r="AY1113" s="314"/>
      <c r="AZ1113" s="361" t="b">
        <f>AND(ISNUMBER(AA1113),AU1113="")</f>
        <v>0</v>
      </c>
      <c r="BA1113" s="351" t="b">
        <f>AND(ISNUMBER(AA1113),AU1113&lt;&gt;AV1113)</f>
        <v>0</v>
      </c>
      <c r="BB1113" s="314"/>
      <c r="BC1113" s="360" t="b">
        <f>AND(F1113&lt;&gt;"",OR(COUNTIF(INDEX(ScopeMethods,F1113,),G1113)=0,AND(AA1113&lt;&gt;"",AU1113&lt;&gt;AV1113)))</f>
        <v>0</v>
      </c>
      <c r="BD1113" s="314"/>
      <c r="BE1113" s="314"/>
      <c r="BF1113" s="361" t="s">
        <v>168</v>
      </c>
      <c r="BG1113" s="362" t="str">
        <f>IF(AN1102=EUconst_TJ,AV1102*AV1108,IF(AN1104=EUconst_GJ,AV1102*AV1104/1000*AV1108,""))</f>
        <v/>
      </c>
      <c r="BH1113" s="314"/>
      <c r="BI1113" s="314"/>
      <c r="BJ1113" s="314"/>
      <c r="BK1113" s="314"/>
      <c r="BL1113" s="314"/>
      <c r="BM1113" s="314"/>
      <c r="BN1113" s="314"/>
      <c r="BO1113" s="314"/>
      <c r="BP1113" s="314"/>
      <c r="BQ1113" s="314"/>
      <c r="BR1113" s="314"/>
      <c r="BS1113" s="314"/>
      <c r="BT1113" s="314"/>
      <c r="BU1113" s="314"/>
      <c r="BV1113" s="314"/>
      <c r="BW1113" s="314"/>
      <c r="BX1113" s="314"/>
      <c r="BY1113" s="314"/>
      <c r="BZ1113" s="314"/>
      <c r="CA1113" s="314"/>
      <c r="CB1113" s="314"/>
      <c r="CC1113" s="314"/>
      <c r="CD1113" s="314"/>
      <c r="CE1113" s="314"/>
      <c r="CF1113" s="314"/>
      <c r="CG1113" s="314"/>
      <c r="CH1113" s="314"/>
      <c r="CI1113" s="314"/>
      <c r="CJ1113" s="314"/>
      <c r="CK1113" s="314"/>
      <c r="CL1113" s="314"/>
      <c r="CM1113" s="314"/>
      <c r="CN1113" s="314"/>
      <c r="CO1113" s="314"/>
      <c r="CP1113" s="314"/>
      <c r="CQ1113" s="314"/>
    </row>
    <row r="1114" spans="1:95" ht="12.75" customHeight="1" x14ac:dyDescent="0.25">
      <c r="A1114" s="307"/>
      <c r="B1114" s="68"/>
      <c r="C1114" s="68"/>
      <c r="D1114" s="68"/>
      <c r="E1114" s="68"/>
      <c r="F1114" s="68"/>
      <c r="G1114" s="1265" t="str">
        <f>IF(G1113="","",INDEX(ScopeMethodsDetails,MATCH(G1113,INDEX(ScopeMethodsDetails,,1),0),2))</f>
        <v/>
      </c>
      <c r="H1114" s="1266"/>
      <c r="I1114" s="1266"/>
      <c r="J1114" s="1266"/>
      <c r="K1114" s="1266"/>
      <c r="L1114" s="1266"/>
      <c r="M1114" s="1267"/>
      <c r="N1114" s="76"/>
      <c r="O1114" s="160"/>
      <c r="P1114" s="109"/>
      <c r="Q1114" s="312"/>
      <c r="R1114" s="312"/>
      <c r="S1114" s="314"/>
      <c r="T1114" s="314"/>
      <c r="U1114" s="314"/>
      <c r="V1114" s="314"/>
      <c r="W1114" s="314"/>
      <c r="X1114" s="314"/>
      <c r="Y1114" s="314"/>
      <c r="Z1114" s="314"/>
      <c r="AA1114" s="314"/>
      <c r="AB1114" s="314"/>
      <c r="AC1114" s="314"/>
      <c r="AD1114" s="314"/>
      <c r="AE1114" s="314"/>
      <c r="AF1114" s="314"/>
      <c r="AG1114" s="314"/>
      <c r="AH1114" s="314"/>
      <c r="AI1114" s="314"/>
      <c r="AJ1114" s="314"/>
      <c r="AK1114" s="314"/>
      <c r="AL1114" s="314"/>
      <c r="AM1114" s="314"/>
      <c r="AN1114" s="314"/>
      <c r="AO1114" s="314"/>
      <c r="AP1114" s="314"/>
      <c r="AQ1114" s="314"/>
      <c r="AR1114" s="314"/>
      <c r="AS1114" s="314"/>
      <c r="AT1114" s="314"/>
      <c r="AU1114" s="314"/>
      <c r="AV1114" s="314"/>
      <c r="AW1114" s="314"/>
      <c r="AX1114" s="314"/>
      <c r="AY1114" s="314"/>
      <c r="AZ1114" s="314"/>
      <c r="BA1114" s="314"/>
      <c r="BB1114" s="314"/>
      <c r="BC1114" s="314"/>
      <c r="BD1114" s="314"/>
      <c r="BE1114" s="314"/>
      <c r="BG1114" s="364"/>
      <c r="BH1114" s="314"/>
      <c r="BI1114" s="314"/>
      <c r="BJ1114" s="314"/>
      <c r="BK1114" s="314"/>
      <c r="BL1114" s="314"/>
      <c r="BM1114" s="314"/>
      <c r="BN1114" s="314"/>
      <c r="BO1114" s="314"/>
      <c r="BP1114" s="314"/>
      <c r="BQ1114" s="314"/>
      <c r="BR1114" s="314"/>
      <c r="BS1114" s="314"/>
      <c r="BT1114" s="314"/>
      <c r="BU1114" s="314"/>
      <c r="BV1114" s="314"/>
      <c r="BW1114" s="314"/>
      <c r="BX1114" s="314"/>
      <c r="BY1114" s="314"/>
      <c r="BZ1114" s="314"/>
      <c r="CA1114" s="314"/>
      <c r="CB1114" s="314"/>
      <c r="CC1114" s="314"/>
      <c r="CD1114" s="314"/>
      <c r="CE1114" s="314"/>
      <c r="CF1114" s="314"/>
      <c r="CG1114" s="314"/>
      <c r="CH1114" s="314"/>
      <c r="CI1114" s="314"/>
      <c r="CJ1114" s="314"/>
      <c r="CK1114" s="314"/>
      <c r="CL1114" s="314"/>
      <c r="CM1114" s="314"/>
      <c r="CN1114" s="314"/>
      <c r="CO1114" s="314"/>
      <c r="CP1114" s="314"/>
      <c r="CQ1114" s="314"/>
    </row>
    <row r="1115" spans="1:95" ht="5.15" customHeight="1" x14ac:dyDescent="0.25">
      <c r="A1115" s="307"/>
      <c r="C1115" s="76"/>
      <c r="D1115" s="76"/>
      <c r="E1115" s="76"/>
      <c r="F1115" s="76"/>
      <c r="G1115" s="76"/>
      <c r="H1115" s="76"/>
      <c r="I1115" s="76"/>
      <c r="J1115" s="76"/>
      <c r="K1115" s="76"/>
      <c r="L1115" s="76"/>
      <c r="O1115" s="160"/>
      <c r="P1115" s="109"/>
      <c r="Q1115" s="312"/>
      <c r="R1115" s="312"/>
      <c r="S1115" s="314"/>
      <c r="T1115" s="314"/>
      <c r="U1115" s="314"/>
      <c r="V1115" s="314"/>
      <c r="W1115" s="314"/>
      <c r="X1115" s="314"/>
      <c r="Y1115" s="314"/>
      <c r="Z1115" s="314"/>
      <c r="AA1115" s="314"/>
      <c r="AB1115" s="314"/>
      <c r="AC1115" s="314"/>
      <c r="AD1115" s="314"/>
      <c r="AE1115" s="314"/>
      <c r="AF1115" s="314"/>
      <c r="AG1115" s="314"/>
      <c r="AH1115" s="314"/>
      <c r="AI1115" s="314"/>
      <c r="AJ1115" s="314"/>
      <c r="AK1115" s="314"/>
      <c r="AL1115" s="314"/>
      <c r="AM1115" s="314"/>
      <c r="AN1115" s="314"/>
      <c r="AO1115" s="314"/>
      <c r="AP1115" s="314"/>
      <c r="AQ1115" s="314"/>
      <c r="AR1115" s="314"/>
      <c r="AS1115" s="314"/>
      <c r="AT1115" s="314"/>
      <c r="AU1115" s="314"/>
      <c r="AV1115" s="314"/>
      <c r="AW1115" s="314"/>
      <c r="AX1115" s="314"/>
      <c r="AY1115" s="314"/>
      <c r="AZ1115" s="314"/>
      <c r="BA1115" s="314"/>
      <c r="BB1115" s="314"/>
      <c r="BC1115" s="314"/>
      <c r="BD1115" s="314"/>
      <c r="BE1115" s="314"/>
      <c r="BG1115" s="364"/>
      <c r="BH1115" s="314"/>
      <c r="BI1115" s="314"/>
      <c r="BJ1115" s="314"/>
      <c r="BK1115" s="314"/>
      <c r="BL1115" s="314"/>
      <c r="BM1115" s="314"/>
      <c r="BN1115" s="314"/>
      <c r="BO1115" s="314"/>
      <c r="BP1115" s="314"/>
      <c r="BQ1115" s="314"/>
      <c r="BR1115" s="314"/>
      <c r="BS1115" s="314"/>
      <c r="BT1115" s="314"/>
      <c r="BU1115" s="314"/>
      <c r="BV1115" s="314"/>
      <c r="BW1115" s="314"/>
      <c r="BX1115" s="314"/>
      <c r="BY1115" s="314"/>
      <c r="BZ1115" s="314"/>
      <c r="CA1115" s="314"/>
      <c r="CB1115" s="314"/>
      <c r="CC1115" s="314"/>
      <c r="CD1115" s="314"/>
      <c r="CE1115" s="314"/>
      <c r="CF1115" s="314"/>
      <c r="CG1115" s="314"/>
      <c r="CH1115" s="314"/>
      <c r="CI1115" s="314"/>
      <c r="CJ1115" s="314"/>
      <c r="CK1115" s="314"/>
      <c r="CL1115" s="314"/>
      <c r="CM1115" s="314"/>
      <c r="CN1115" s="314"/>
      <c r="CO1115" s="314"/>
      <c r="CP1115" s="314"/>
      <c r="CQ1115" s="314"/>
    </row>
    <row r="1116" spans="1:95" ht="12.75" customHeight="1" thickBot="1" x14ac:dyDescent="0.3">
      <c r="A1116" s="307"/>
      <c r="C1116" s="76"/>
      <c r="D1116" s="76"/>
      <c r="E1116" s="76"/>
      <c r="F1116" s="76"/>
      <c r="G1116" s="1268">
        <v>1</v>
      </c>
      <c r="H1116" s="1268"/>
      <c r="I1116" s="1268">
        <v>2</v>
      </c>
      <c r="J1116" s="1268"/>
      <c r="K1116" s="1268">
        <v>3</v>
      </c>
      <c r="L1116" s="1268"/>
      <c r="O1116" s="160"/>
      <c r="P1116" s="109"/>
      <c r="Q1116" s="312"/>
      <c r="R1116" s="312"/>
      <c r="S1116" s="314"/>
      <c r="T1116" s="314"/>
      <c r="U1116" s="314"/>
      <c r="V1116" s="314"/>
      <c r="W1116" s="314"/>
      <c r="X1116" s="314"/>
      <c r="Y1116" s="314"/>
      <c r="Z1116" s="314"/>
      <c r="AA1116" s="314"/>
      <c r="AB1116" s="314"/>
      <c r="AC1116" s="314"/>
      <c r="AD1116" s="314"/>
      <c r="AE1116" s="314"/>
      <c r="AF1116" s="314"/>
      <c r="AG1116" s="314"/>
      <c r="AH1116" s="314"/>
      <c r="AI1116" s="314"/>
      <c r="AJ1116" s="314"/>
      <c r="AK1116" s="314"/>
      <c r="AL1116" s="314"/>
      <c r="AM1116" s="314"/>
      <c r="AN1116" s="314"/>
      <c r="AO1116" s="314"/>
      <c r="AP1116" s="314"/>
      <c r="AQ1116" s="314"/>
      <c r="AR1116" s="314"/>
      <c r="AS1116" s="314"/>
      <c r="AT1116" s="314"/>
      <c r="AU1116" s="314"/>
      <c r="AV1116" s="314"/>
      <c r="AW1116" s="314"/>
      <c r="AX1116" s="314"/>
      <c r="AY1116" s="314"/>
      <c r="AZ1116" s="314"/>
      <c r="BA1116" s="314"/>
      <c r="BB1116" s="314"/>
      <c r="BC1116" s="314"/>
      <c r="BD1116" s="314"/>
      <c r="BE1116" s="314"/>
      <c r="BF1116" s="314"/>
      <c r="BG1116" s="364"/>
      <c r="BH1116" s="314"/>
      <c r="BI1116" s="314"/>
      <c r="BJ1116" s="314"/>
      <c r="BK1116" s="314"/>
      <c r="BL1116" s="314"/>
      <c r="BM1116" s="314"/>
      <c r="BN1116" s="314"/>
      <c r="BO1116" s="314"/>
      <c r="BP1116" s="314"/>
      <c r="BQ1116" s="314"/>
      <c r="BR1116" s="314"/>
      <c r="BS1116" s="314"/>
      <c r="BT1116" s="314"/>
      <c r="BU1116" s="314"/>
      <c r="BV1116" s="314"/>
      <c r="BW1116" s="314"/>
      <c r="BX1116" s="314"/>
      <c r="BY1116" s="314"/>
      <c r="BZ1116" s="314"/>
      <c r="CA1116" s="314"/>
      <c r="CB1116" s="314"/>
      <c r="CC1116" s="314"/>
      <c r="CD1116" s="314"/>
      <c r="CE1116" s="314"/>
      <c r="CF1116" s="314"/>
      <c r="CG1116" s="314"/>
      <c r="CH1116" s="314"/>
      <c r="CI1116" s="314"/>
      <c r="CJ1116" s="314"/>
      <c r="CK1116" s="314"/>
      <c r="CL1116" s="314"/>
      <c r="CM1116" s="314"/>
      <c r="CN1116" s="314"/>
      <c r="CO1116" s="314"/>
      <c r="CP1116" s="314"/>
      <c r="CQ1116" s="314"/>
    </row>
    <row r="1117" spans="1:95" ht="12.75" customHeight="1" thickBot="1" x14ac:dyDescent="0.3">
      <c r="A1117" s="462"/>
      <c r="B1117" s="76"/>
      <c r="C1117" s="76"/>
      <c r="D1117" s="1246" t="str">
        <f>Translations!$B$372</f>
        <v>Consumers' CRF category:</v>
      </c>
      <c r="E1117" s="1246"/>
      <c r="F1117" s="1247"/>
      <c r="G1117" s="1248"/>
      <c r="H1117" s="1249"/>
      <c r="I1117" s="1248"/>
      <c r="J1117" s="1249"/>
      <c r="K1117" s="1248"/>
      <c r="L1117" s="1249"/>
      <c r="M1117" s="463" t="str">
        <f>IF(AND(E1096&lt;&gt;"",COUNTA(G1117:L1117)=0,AX1117=FALSE),EUconst_ERR_Incomplete,"")</f>
        <v/>
      </c>
      <c r="N1117" s="76"/>
      <c r="O1117" s="160"/>
      <c r="P1117" s="109"/>
      <c r="Q1117" s="312"/>
      <c r="R1117" s="312"/>
      <c r="S1117" s="314"/>
      <c r="T1117" s="314"/>
      <c r="U1117" s="314"/>
      <c r="V1117" s="314"/>
      <c r="W1117" s="314"/>
      <c r="X1117" s="314"/>
      <c r="Y1117" s="314"/>
      <c r="Z1117" s="314"/>
      <c r="AA1117" s="314"/>
      <c r="AB1117" s="314"/>
      <c r="AC1117" s="314"/>
      <c r="AD1117" s="314"/>
      <c r="AE1117" s="314"/>
      <c r="AF1117" s="314"/>
      <c r="AG1117" s="314"/>
      <c r="AH1117" s="314"/>
      <c r="AI1117" s="314"/>
      <c r="AJ1117" s="314"/>
      <c r="AK1117" s="314"/>
      <c r="AL1117" s="314"/>
      <c r="AM1117" s="314"/>
      <c r="AN1117" s="314"/>
      <c r="AO1117" s="314"/>
      <c r="AP1117" s="314"/>
      <c r="AQ1117" s="314"/>
      <c r="AR1117" s="314"/>
      <c r="AS1117" s="314"/>
      <c r="AT1117" s="314"/>
      <c r="AU1117" s="314"/>
      <c r="AV1117" s="314"/>
      <c r="AW1117" s="314"/>
      <c r="AX1117" s="464" t="b">
        <f>AND(AV1113&lt;&gt;"",SUM(AV1113=1))</f>
        <v>0</v>
      </c>
      <c r="AY1117" s="314"/>
      <c r="AZ1117" s="314"/>
      <c r="BA1117" s="314"/>
      <c r="BB1117" s="314"/>
      <c r="BC1117" s="314"/>
      <c r="BD1117" s="314"/>
      <c r="BE1117" s="314"/>
      <c r="BF1117" s="361" t="s">
        <v>169</v>
      </c>
      <c r="BG1117" s="362" t="str">
        <f>IF(AN1102=EUconst_TJ,AV1102*AV1110,IF(AN1104=EUconst_GJ,AV1102*AV1104/1000*AV1110,""))</f>
        <v/>
      </c>
      <c r="BH1117" s="314"/>
      <c r="BI1117" s="314"/>
      <c r="BJ1117" s="314"/>
      <c r="BK1117" s="314"/>
      <c r="BL1117" s="314"/>
      <c r="BM1117" s="314"/>
      <c r="BN1117" s="314"/>
      <c r="BO1117" s="314"/>
      <c r="BP1117" s="314"/>
      <c r="BQ1117" s="314"/>
      <c r="BR1117" s="314"/>
      <c r="BS1117" s="314"/>
      <c r="BT1117" s="314"/>
      <c r="BU1117" s="314"/>
      <c r="BV1117" s="314"/>
      <c r="BW1117" s="314"/>
      <c r="BX1117" s="314"/>
      <c r="BY1117" s="314"/>
      <c r="BZ1117" s="314"/>
      <c r="CA1117" s="314"/>
      <c r="CB1117" s="314"/>
      <c r="CC1117" s="314"/>
      <c r="CD1117" s="314"/>
      <c r="CE1117" s="314"/>
      <c r="CF1117" s="314"/>
      <c r="CG1117" s="314"/>
      <c r="CH1117" s="314"/>
      <c r="CI1117" s="314"/>
      <c r="CJ1117" s="314"/>
      <c r="CK1117" s="314"/>
      <c r="CL1117" s="314"/>
      <c r="CM1117" s="314"/>
      <c r="CN1117" s="314"/>
      <c r="CO1117" s="314"/>
      <c r="CP1117" s="314"/>
      <c r="CQ1117" s="314"/>
    </row>
    <row r="1118" spans="1:95" ht="5.15" customHeight="1" x14ac:dyDescent="0.25">
      <c r="A1118" s="307"/>
      <c r="B1118" s="68"/>
      <c r="C1118" s="68"/>
      <c r="D1118" s="68"/>
      <c r="E1118" s="68"/>
      <c r="F1118" s="68"/>
      <c r="G1118" s="76"/>
      <c r="H1118" s="76"/>
      <c r="I1118" s="76"/>
      <c r="J1118" s="76"/>
      <c r="K1118" s="76"/>
      <c r="L1118" s="76"/>
      <c r="M1118" s="76"/>
      <c r="N1118" s="76"/>
      <c r="O1118" s="160"/>
      <c r="P1118" s="109"/>
      <c r="Q1118" s="312"/>
      <c r="R1118" s="312"/>
      <c r="S1118" s="314"/>
      <c r="T1118" s="314"/>
      <c r="U1118" s="314"/>
      <c r="V1118" s="314"/>
      <c r="W1118" s="314"/>
      <c r="X1118" s="314"/>
      <c r="Y1118" s="314"/>
      <c r="Z1118" s="314"/>
      <c r="AA1118" s="314"/>
      <c r="AB1118" s="314"/>
      <c r="AC1118" s="314"/>
      <c r="AD1118" s="314"/>
      <c r="AE1118" s="314"/>
      <c r="AF1118" s="314"/>
      <c r="AG1118" s="314"/>
      <c r="AH1118" s="314"/>
      <c r="AI1118" s="314"/>
      <c r="AJ1118" s="314"/>
      <c r="AK1118" s="314"/>
      <c r="AL1118" s="314"/>
      <c r="AM1118" s="314"/>
      <c r="AN1118" s="314"/>
      <c r="AO1118" s="314"/>
      <c r="AP1118" s="314"/>
      <c r="AQ1118" s="314"/>
      <c r="AR1118" s="314"/>
      <c r="AS1118" s="314"/>
      <c r="AT1118" s="314"/>
      <c r="AU1118" s="314"/>
      <c r="AV1118" s="314"/>
      <c r="AW1118" s="314"/>
      <c r="AX1118" s="314"/>
      <c r="AY1118" s="314"/>
      <c r="AZ1118" s="314"/>
      <c r="BA1118" s="314"/>
      <c r="BB1118" s="314"/>
      <c r="BC1118" s="314"/>
      <c r="BD1118" s="314"/>
      <c r="BE1118" s="314"/>
      <c r="BF1118" s="314"/>
      <c r="BG1118" s="314"/>
      <c r="BH1118" s="314"/>
      <c r="BI1118" s="314"/>
      <c r="BJ1118" s="314"/>
      <c r="BK1118" s="314"/>
      <c r="BL1118" s="314"/>
      <c r="BM1118" s="314"/>
      <c r="BN1118" s="314"/>
      <c r="BO1118" s="314"/>
      <c r="BP1118" s="314"/>
      <c r="BQ1118" s="314"/>
      <c r="BR1118" s="314"/>
      <c r="BS1118" s="314"/>
      <c r="BT1118" s="314"/>
      <c r="BU1118" s="314"/>
      <c r="BV1118" s="314"/>
      <c r="BW1118" s="314"/>
      <c r="BX1118" s="314"/>
      <c r="BY1118" s="314"/>
      <c r="BZ1118" s="314"/>
      <c r="CA1118" s="314"/>
      <c r="CB1118" s="314"/>
      <c r="CC1118" s="314"/>
      <c r="CD1118" s="314"/>
      <c r="CE1118" s="314"/>
      <c r="CF1118" s="314"/>
      <c r="CG1118" s="314"/>
      <c r="CH1118" s="314"/>
      <c r="CI1118" s="314"/>
      <c r="CJ1118" s="314"/>
      <c r="CK1118" s="314"/>
      <c r="CL1118" s="314"/>
      <c r="CM1118" s="314"/>
      <c r="CN1118" s="314"/>
      <c r="CO1118" s="314"/>
      <c r="CP1118" s="314"/>
      <c r="CQ1118" s="314"/>
    </row>
    <row r="1119" spans="1:95" ht="12.75" customHeight="1" x14ac:dyDescent="0.25">
      <c r="A1119" s="307"/>
      <c r="B1119" s="68"/>
      <c r="C1119" s="68"/>
      <c r="D1119" s="1246" t="str">
        <f>Translations!$B$399</f>
        <v>Tiers valid from:</v>
      </c>
      <c r="E1119" s="1246"/>
      <c r="F1119" s="1247"/>
      <c r="G1119" s="8"/>
      <c r="H1119" s="199" t="str">
        <f>Translations!$B$400</f>
        <v>until:</v>
      </c>
      <c r="I1119" s="8"/>
      <c r="J1119" s="76"/>
      <c r="K1119" s="76"/>
      <c r="L1119" s="76"/>
      <c r="M1119" s="199" t="str">
        <f>Translations!$B$401</f>
        <v>ID used in the monitoring plan for this fuel stream:</v>
      </c>
      <c r="N1119" s="9"/>
      <c r="O1119" s="160"/>
      <c r="P1119" s="109"/>
      <c r="Q1119" s="312"/>
      <c r="R1119" s="312"/>
      <c r="S1119" s="465"/>
      <c r="T1119" s="314"/>
      <c r="U1119" s="314"/>
      <c r="V1119" s="314"/>
      <c r="W1119" s="314"/>
      <c r="X1119" s="314"/>
      <c r="Y1119" s="314"/>
      <c r="Z1119" s="314"/>
      <c r="AA1119" s="314"/>
      <c r="AB1119" s="314"/>
      <c r="AC1119" s="314"/>
      <c r="AD1119" s="314"/>
      <c r="AE1119" s="314"/>
      <c r="AF1119" s="314"/>
      <c r="AG1119" s="314"/>
      <c r="AH1119" s="314"/>
      <c r="AI1119" s="314"/>
      <c r="AJ1119" s="314"/>
      <c r="AK1119" s="314"/>
      <c r="AL1119" s="314"/>
      <c r="AM1119" s="314"/>
      <c r="AN1119" s="314"/>
      <c r="AO1119" s="314"/>
      <c r="AP1119" s="314"/>
      <c r="AQ1119" s="314"/>
      <c r="AR1119" s="314"/>
      <c r="AS1119" s="314"/>
      <c r="AT1119" s="314"/>
      <c r="AU1119" s="314"/>
      <c r="AV1119" s="314"/>
      <c r="AW1119" s="314"/>
      <c r="AX1119" s="314"/>
      <c r="AY1119" s="314"/>
      <c r="AZ1119" s="314"/>
      <c r="BA1119" s="314"/>
      <c r="BB1119" s="314"/>
      <c r="BC1119" s="314"/>
      <c r="BD1119" s="314"/>
      <c r="BE1119" s="314"/>
      <c r="BF1119" s="314"/>
      <c r="BG1119" s="314"/>
      <c r="BH1119" s="314"/>
      <c r="BI1119" s="314"/>
      <c r="BJ1119" s="314"/>
      <c r="BK1119" s="314"/>
      <c r="BL1119" s="314"/>
      <c r="BM1119" s="314"/>
      <c r="BN1119" s="314"/>
      <c r="BO1119" s="314"/>
      <c r="BP1119" s="314"/>
      <c r="BQ1119" s="314"/>
      <c r="BR1119" s="314"/>
      <c r="BS1119" s="314"/>
      <c r="BT1119" s="314"/>
      <c r="BU1119" s="314"/>
      <c r="BV1119" s="314"/>
      <c r="BW1119" s="314"/>
      <c r="BX1119" s="314"/>
      <c r="BY1119" s="314"/>
      <c r="BZ1119" s="314"/>
      <c r="CA1119" s="314"/>
      <c r="CB1119" s="314"/>
      <c r="CC1119" s="314"/>
      <c r="CD1119" s="314"/>
      <c r="CE1119" s="314"/>
      <c r="CF1119" s="314"/>
      <c r="CG1119" s="314"/>
      <c r="CH1119" s="314"/>
      <c r="CI1119" s="314"/>
      <c r="CJ1119" s="314"/>
      <c r="CK1119" s="314"/>
      <c r="CL1119" s="314"/>
      <c r="CM1119" s="314"/>
      <c r="CN1119" s="314"/>
      <c r="CO1119" s="314"/>
      <c r="CP1119" s="314"/>
      <c r="CQ1119" s="464" t="b">
        <f>CQ1102</f>
        <v>0</v>
      </c>
    </row>
    <row r="1120" spans="1:95" ht="5.15" customHeight="1" x14ac:dyDescent="0.25">
      <c r="A1120" s="462"/>
      <c r="B1120" s="76"/>
      <c r="C1120" s="76"/>
      <c r="D1120" s="76"/>
      <c r="E1120" s="76"/>
      <c r="F1120" s="76"/>
      <c r="G1120" s="76"/>
      <c r="H1120" s="76"/>
      <c r="I1120" s="76"/>
      <c r="J1120" s="76"/>
      <c r="K1120" s="76"/>
      <c r="L1120" s="76"/>
      <c r="M1120" s="76"/>
      <c r="N1120" s="76"/>
      <c r="O1120" s="160"/>
      <c r="P1120" s="109"/>
      <c r="Q1120" s="312"/>
      <c r="R1120" s="312"/>
      <c r="S1120" s="314"/>
      <c r="T1120" s="314"/>
      <c r="U1120" s="314"/>
      <c r="V1120" s="314"/>
      <c r="W1120" s="314"/>
      <c r="X1120" s="314"/>
      <c r="Y1120" s="314"/>
      <c r="Z1120" s="314"/>
      <c r="AA1120" s="314"/>
      <c r="AB1120" s="314"/>
      <c r="AC1120" s="314"/>
      <c r="AD1120" s="314"/>
      <c r="AE1120" s="314"/>
      <c r="AF1120" s="314"/>
      <c r="AG1120" s="314"/>
      <c r="AH1120" s="314"/>
      <c r="AI1120" s="314"/>
      <c r="AJ1120" s="314"/>
      <c r="AK1120" s="314"/>
      <c r="AL1120" s="314"/>
      <c r="AM1120" s="314"/>
      <c r="AN1120" s="314"/>
      <c r="AO1120" s="314"/>
      <c r="AP1120" s="314"/>
      <c r="AQ1120" s="314"/>
      <c r="AR1120" s="314"/>
      <c r="AS1120" s="314"/>
      <c r="AT1120" s="314"/>
      <c r="AU1120" s="314"/>
      <c r="AV1120" s="314"/>
      <c r="AW1120" s="314"/>
      <c r="AX1120" s="314"/>
      <c r="AY1120" s="314"/>
      <c r="AZ1120" s="314"/>
      <c r="BA1120" s="314"/>
      <c r="BB1120" s="314"/>
      <c r="BC1120" s="314"/>
      <c r="BD1120" s="314"/>
      <c r="BE1120" s="314"/>
      <c r="BF1120" s="314"/>
      <c r="BG1120" s="314"/>
      <c r="BH1120" s="314"/>
      <c r="BI1120" s="314"/>
      <c r="BJ1120" s="314"/>
      <c r="BK1120" s="314"/>
      <c r="BL1120" s="314"/>
      <c r="BM1120" s="314"/>
      <c r="BN1120" s="314"/>
      <c r="BO1120" s="314"/>
      <c r="BP1120" s="314"/>
      <c r="BQ1120" s="314"/>
      <c r="BR1120" s="314"/>
      <c r="BS1120" s="314"/>
      <c r="BT1120" s="314"/>
      <c r="BU1120" s="314"/>
      <c r="BV1120" s="314"/>
      <c r="BW1120" s="314"/>
      <c r="BX1120" s="314"/>
      <c r="BY1120" s="314"/>
      <c r="BZ1120" s="314"/>
      <c r="CA1120" s="314"/>
      <c r="CB1120" s="314"/>
      <c r="CC1120" s="314"/>
      <c r="CD1120" s="314"/>
      <c r="CE1120" s="314"/>
      <c r="CF1120" s="314"/>
      <c r="CG1120" s="314"/>
      <c r="CH1120" s="314"/>
      <c r="CI1120" s="314"/>
      <c r="CJ1120" s="314"/>
      <c r="CK1120" s="314"/>
      <c r="CL1120" s="314"/>
      <c r="CM1120" s="314"/>
      <c r="CN1120" s="314"/>
      <c r="CO1120" s="314"/>
      <c r="CP1120" s="314"/>
      <c r="CQ1120" s="314"/>
    </row>
    <row r="1121" spans="1:95" ht="12.75" customHeight="1" x14ac:dyDescent="0.25">
      <c r="A1121" s="462"/>
      <c r="B1121" s="76"/>
      <c r="C1121" s="76"/>
      <c r="D1121" s="115"/>
      <c r="E1121" s="85"/>
      <c r="F1121" s="466" t="str">
        <f>Translations!$B$304</f>
        <v>Comments:</v>
      </c>
      <c r="G1121" s="1250"/>
      <c r="H1121" s="1251"/>
      <c r="I1121" s="1251"/>
      <c r="J1121" s="1251"/>
      <c r="K1121" s="1251"/>
      <c r="L1121" s="1251"/>
      <c r="M1121" s="1251"/>
      <c r="N1121" s="1252"/>
      <c r="O1121" s="160"/>
      <c r="P1121" s="109"/>
      <c r="Q1121" s="312"/>
      <c r="R1121" s="312"/>
      <c r="S1121" s="314"/>
      <c r="T1121" s="314"/>
      <c r="U1121" s="314"/>
      <c r="V1121" s="314"/>
      <c r="W1121" s="314"/>
      <c r="X1121" s="314"/>
      <c r="Y1121" s="314"/>
      <c r="Z1121" s="314"/>
      <c r="AA1121" s="314"/>
      <c r="AB1121" s="314"/>
      <c r="AC1121" s="314"/>
      <c r="AD1121" s="314"/>
      <c r="AE1121" s="314"/>
      <c r="AF1121" s="314"/>
      <c r="AG1121" s="314"/>
      <c r="AH1121" s="314"/>
      <c r="AI1121" s="314"/>
      <c r="AJ1121" s="314"/>
      <c r="AK1121" s="314"/>
      <c r="AL1121" s="314"/>
      <c r="AM1121" s="314"/>
      <c r="AN1121" s="314"/>
      <c r="AO1121" s="314"/>
      <c r="AP1121" s="314"/>
      <c r="AQ1121" s="314"/>
      <c r="AR1121" s="314"/>
      <c r="AS1121" s="314"/>
      <c r="AT1121" s="314"/>
      <c r="AU1121" s="314"/>
      <c r="AV1121" s="314"/>
      <c r="AW1121" s="314"/>
      <c r="AX1121" s="314"/>
      <c r="AY1121" s="314"/>
      <c r="AZ1121" s="314"/>
      <c r="BA1121" s="314"/>
      <c r="BB1121" s="314"/>
      <c r="BC1121" s="314"/>
      <c r="BD1121" s="314"/>
      <c r="BE1121" s="314"/>
      <c r="BF1121" s="314"/>
      <c r="BG1121" s="314"/>
      <c r="BH1121" s="314"/>
      <c r="BI1121" s="314"/>
      <c r="BJ1121" s="314"/>
      <c r="BK1121" s="314"/>
      <c r="BL1121" s="314"/>
      <c r="BM1121" s="314"/>
      <c r="BN1121" s="314"/>
      <c r="BO1121" s="314"/>
      <c r="BP1121" s="314"/>
      <c r="BQ1121" s="314"/>
      <c r="BR1121" s="314"/>
      <c r="BS1121" s="314"/>
      <c r="BT1121" s="314"/>
      <c r="BU1121" s="314"/>
      <c r="BV1121" s="314"/>
      <c r="BW1121" s="314"/>
      <c r="BX1121" s="314"/>
      <c r="BY1121" s="314"/>
      <c r="BZ1121" s="314"/>
      <c r="CA1121" s="314"/>
      <c r="CB1121" s="314"/>
      <c r="CC1121" s="314"/>
      <c r="CD1121" s="314"/>
      <c r="CE1121" s="314"/>
      <c r="CF1121" s="314"/>
      <c r="CG1121" s="314"/>
      <c r="CH1121" s="314"/>
      <c r="CI1121" s="314"/>
      <c r="CJ1121" s="314"/>
      <c r="CK1121" s="314"/>
      <c r="CL1121" s="314"/>
      <c r="CM1121" s="314"/>
      <c r="CN1121" s="314"/>
      <c r="CO1121" s="314"/>
      <c r="CP1121" s="314"/>
      <c r="CQ1121" s="464" t="b">
        <f>CQ1119</f>
        <v>0</v>
      </c>
    </row>
    <row r="1122" spans="1:95" ht="12.75" customHeight="1" thickBot="1" x14ac:dyDescent="0.3">
      <c r="A1122" s="307"/>
      <c r="B1122" s="76"/>
      <c r="C1122" s="308"/>
      <c r="D1122" s="309"/>
      <c r="E1122" s="310"/>
      <c r="F1122" s="308"/>
      <c r="G1122" s="311"/>
      <c r="H1122" s="311"/>
      <c r="I1122" s="311"/>
      <c r="J1122" s="311"/>
      <c r="K1122" s="311"/>
      <c r="L1122" s="311"/>
      <c r="M1122" s="311"/>
      <c r="N1122" s="311"/>
      <c r="O1122" s="160"/>
      <c r="P1122" s="109"/>
      <c r="Q1122" s="312"/>
      <c r="R1122" s="312"/>
      <c r="S1122" s="293"/>
      <c r="T1122" s="293"/>
      <c r="U1122" s="313"/>
      <c r="V1122" s="293"/>
      <c r="W1122" s="293"/>
      <c r="X1122" s="313"/>
      <c r="Y1122" s="293"/>
      <c r="Z1122" s="293"/>
      <c r="AA1122" s="293"/>
      <c r="AB1122" s="293"/>
      <c r="AC1122" s="293"/>
      <c r="AD1122" s="293"/>
      <c r="AE1122" s="293"/>
      <c r="AF1122" s="293"/>
      <c r="AG1122" s="293"/>
      <c r="AH1122" s="293"/>
      <c r="AI1122" s="293"/>
      <c r="AJ1122" s="293"/>
      <c r="AK1122" s="293"/>
      <c r="AL1122" s="293"/>
      <c r="AM1122" s="293"/>
      <c r="AN1122" s="293"/>
      <c r="AO1122" s="293"/>
      <c r="AP1122" s="293"/>
      <c r="AQ1122" s="293"/>
      <c r="AR1122" s="293"/>
      <c r="AS1122" s="293"/>
      <c r="AT1122" s="293"/>
      <c r="AU1122" s="293"/>
      <c r="AV1122" s="293"/>
      <c r="AW1122" s="293"/>
      <c r="AX1122" s="293"/>
      <c r="AY1122" s="293"/>
      <c r="AZ1122" s="293"/>
      <c r="BA1122" s="293"/>
      <c r="BB1122" s="293"/>
      <c r="BC1122" s="293"/>
      <c r="BD1122" s="293"/>
      <c r="BE1122" s="293"/>
      <c r="BF1122" s="293"/>
      <c r="BG1122" s="293"/>
      <c r="BH1122" s="293"/>
      <c r="BI1122" s="293"/>
      <c r="BJ1122" s="293"/>
      <c r="BK1122" s="293"/>
      <c r="BL1122" s="293"/>
      <c r="BM1122" s="314"/>
      <c r="BN1122" s="314"/>
      <c r="BO1122" s="314"/>
      <c r="BP1122" s="314"/>
      <c r="BQ1122" s="314"/>
      <c r="BR1122" s="314"/>
      <c r="BS1122" s="314"/>
      <c r="BT1122" s="314"/>
      <c r="BU1122" s="293"/>
      <c r="BV1122" s="293"/>
      <c r="BW1122" s="293"/>
      <c r="BX1122" s="293"/>
      <c r="BY1122" s="293"/>
      <c r="BZ1122" s="293"/>
      <c r="CA1122" s="293"/>
      <c r="CB1122" s="293"/>
      <c r="CC1122" s="293"/>
      <c r="CD1122" s="293"/>
      <c r="CE1122" s="293"/>
      <c r="CF1122" s="293"/>
      <c r="CG1122" s="293"/>
      <c r="CH1122" s="293"/>
      <c r="CI1122" s="293"/>
      <c r="CJ1122" s="293"/>
      <c r="CK1122" s="293"/>
      <c r="CL1122" s="293"/>
      <c r="CM1122" s="293"/>
      <c r="CN1122" s="293"/>
      <c r="CO1122" s="293"/>
      <c r="CP1122" s="293"/>
      <c r="CQ1122" s="293"/>
    </row>
    <row r="1123" spans="1:95" ht="12.75" customHeight="1" thickBot="1" x14ac:dyDescent="0.3">
      <c r="A1123" s="315"/>
      <c r="B1123" s="76"/>
      <c r="C1123" s="76"/>
      <c r="D1123" s="205"/>
      <c r="E1123" s="316"/>
      <c r="F1123" s="76"/>
      <c r="G1123" s="96"/>
      <c r="H1123" s="96"/>
      <c r="I1123" s="96"/>
      <c r="J1123" s="96"/>
      <c r="K1123" s="76"/>
      <c r="L1123" s="96"/>
      <c r="M1123" s="96"/>
      <c r="N1123" s="96"/>
      <c r="O1123" s="160"/>
      <c r="P1123" s="109"/>
      <c r="Q1123" s="312"/>
      <c r="R1123" s="312"/>
      <c r="S1123" s="287"/>
      <c r="T1123" s="317" t="str">
        <f>IF(ISBLANK(E1124),"",MATCH(E1124,CNTR_SourceStreamNames,0))</f>
        <v/>
      </c>
      <c r="U1123" s="318" t="str">
        <f>IF(ISBLANK(E1124),"",INDEX(B_IdentifyFuelStreams!$D$67:$D$116,MATCH(E1124,CNTR_SourceStreamNames,0)))</f>
        <v/>
      </c>
      <c r="V1123" s="301"/>
      <c r="W1123" s="138"/>
      <c r="X1123" s="138"/>
      <c r="Y1123" s="138"/>
      <c r="Z1123" s="293"/>
      <c r="AA1123" s="293"/>
      <c r="AB1123" s="293"/>
      <c r="AC1123" s="293"/>
      <c r="AD1123" s="293"/>
      <c r="AE1123" s="293"/>
      <c r="AF1123" s="293"/>
      <c r="AG1123" s="293"/>
      <c r="AH1123" s="293"/>
      <c r="AI1123" s="293"/>
      <c r="AJ1123" s="293"/>
      <c r="AK1123" s="312"/>
      <c r="AL1123" s="293"/>
      <c r="AM1123" s="293"/>
      <c r="AN1123" s="293"/>
      <c r="AO1123" s="293"/>
      <c r="AP1123" s="293"/>
      <c r="AQ1123" s="293"/>
      <c r="AR1123" s="293"/>
      <c r="AS1123" s="293"/>
      <c r="AT1123" s="293"/>
      <c r="AU1123" s="293"/>
      <c r="AV1123" s="293"/>
      <c r="AW1123" s="293"/>
      <c r="AX1123" s="293"/>
      <c r="AY1123" s="293"/>
      <c r="AZ1123" s="293"/>
      <c r="BA1123" s="293"/>
      <c r="BB1123" s="293"/>
      <c r="BC1123" s="293"/>
      <c r="BD1123" s="293"/>
      <c r="BE1123" s="293"/>
      <c r="BF1123" s="293"/>
      <c r="BG1123" s="293"/>
      <c r="BH1123" s="293"/>
      <c r="BI1123" s="293"/>
      <c r="BJ1123" s="138"/>
      <c r="BK1123" s="138"/>
      <c r="BL1123" s="138"/>
      <c r="BM1123" s="138"/>
      <c r="BN1123" s="138"/>
      <c r="BO1123" s="138"/>
      <c r="BP1123" s="138"/>
      <c r="BQ1123" s="138"/>
      <c r="BR1123" s="138"/>
      <c r="BS1123" s="138"/>
      <c r="BT1123" s="138"/>
      <c r="BU1123" s="138"/>
      <c r="BV1123" s="138"/>
      <c r="BW1123" s="138"/>
      <c r="BX1123" s="138"/>
      <c r="BY1123" s="138"/>
      <c r="BZ1123" s="138"/>
      <c r="CA1123" s="138"/>
      <c r="CB1123" s="138"/>
      <c r="CC1123" s="138"/>
      <c r="CD1123" s="138"/>
      <c r="CE1123" s="138"/>
      <c r="CF1123" s="138"/>
      <c r="CG1123" s="138"/>
      <c r="CH1123" s="138"/>
      <c r="CI1123" s="138"/>
      <c r="CJ1123" s="138"/>
      <c r="CK1123" s="138"/>
      <c r="CL1123" s="138"/>
      <c r="CM1123" s="138"/>
      <c r="CN1123" s="138"/>
      <c r="CO1123" s="138"/>
      <c r="CP1123" s="138"/>
      <c r="CQ1123" s="319" t="s">
        <v>107</v>
      </c>
    </row>
    <row r="1124" spans="1:95" ht="15" customHeight="1" thickBot="1" x14ac:dyDescent="0.3">
      <c r="A1124" s="320">
        <f>C1124</f>
        <v>39</v>
      </c>
      <c r="B1124" s="68"/>
      <c r="C1124" s="321">
        <f>C1096+1</f>
        <v>39</v>
      </c>
      <c r="D1124" s="68"/>
      <c r="E1124" s="1269"/>
      <c r="F1124" s="1270"/>
      <c r="G1124" s="1270"/>
      <c r="H1124" s="1270"/>
      <c r="I1124" s="1270"/>
      <c r="J1124" s="1271"/>
      <c r="K1124" s="1272" t="str">
        <f>IF(INDEX(B_IdentifyFuelStreams!$K$125:$K$174,MATCH(U1123,B_IdentifyFuelStreams!$D$125:$D$174,0))&gt;0,INDEX(B_IdentifyFuelStreams!$K$125:$K$174,MATCH(U1123,B_IdentifyFuelStreams!$D$125:$D$174,0)),"")</f>
        <v/>
      </c>
      <c r="L1124" s="1273"/>
      <c r="M1124" s="316" t="str">
        <f>Translations!$B$621</f>
        <v>Emissions:</v>
      </c>
      <c r="N1124" s="322" t="str">
        <f>IF(E1125="","",BG1130)</f>
        <v/>
      </c>
      <c r="O1124" s="323" t="str">
        <f>EUconst_tCO2</f>
        <v>tCO2</v>
      </c>
      <c r="P1124" s="324" t="str">
        <f>IF(AND(E1124&lt;&gt;"",COUNTIF(P1125:$P$1649,"PRINT")=0),"PRINT","")</f>
        <v/>
      </c>
      <c r="Q1124" s="325" t="str">
        <f>EUconst_SumCO2</f>
        <v>SUM_CO2</v>
      </c>
      <c r="R1124" s="312"/>
      <c r="S1124" s="287"/>
      <c r="T1124" s="287"/>
      <c r="U1124" s="287"/>
      <c r="V1124" s="301"/>
      <c r="W1124" s="138"/>
      <c r="X1124" s="293"/>
      <c r="Y1124" s="293"/>
      <c r="Z1124" s="293"/>
      <c r="AA1124" s="293"/>
      <c r="AB1124" s="293"/>
      <c r="AC1124" s="293"/>
      <c r="AD1124" s="293"/>
      <c r="AE1124" s="293"/>
      <c r="AF1124" s="293"/>
      <c r="AG1124" s="293"/>
      <c r="AH1124" s="293"/>
      <c r="AI1124" s="326"/>
      <c r="AJ1124" s="326"/>
      <c r="AK1124" s="326"/>
      <c r="AL1124" s="326"/>
      <c r="AM1124" s="326"/>
      <c r="AN1124" s="326"/>
      <c r="AO1124" s="326"/>
      <c r="AP1124" s="326"/>
      <c r="AQ1124" s="326"/>
      <c r="AR1124" s="326"/>
      <c r="AS1124" s="326"/>
      <c r="AT1124" s="326"/>
      <c r="AU1124" s="326"/>
      <c r="AV1124" s="326"/>
      <c r="AW1124" s="326"/>
      <c r="AX1124" s="326"/>
      <c r="AY1124" s="326"/>
      <c r="AZ1124" s="326"/>
      <c r="BA1124" s="326"/>
      <c r="BB1124" s="326"/>
      <c r="BC1124" s="326"/>
      <c r="BD1124" s="326"/>
      <c r="BE1124" s="326"/>
      <c r="BF1124" s="326"/>
      <c r="BG1124" s="326"/>
      <c r="BH1124" s="326"/>
      <c r="BI1124" s="327" t="str">
        <f>IF(E1124="","",E1124)</f>
        <v/>
      </c>
      <c r="BJ1124" s="328" t="str">
        <f>IF(F1130="","",F1130)</f>
        <v/>
      </c>
      <c r="BK1124" s="329">
        <f>AV1130</f>
        <v>0</v>
      </c>
      <c r="BL1124" s="329">
        <f>IF(BK1124="","",BK1124*(1-BP1124))</f>
        <v>0</v>
      </c>
      <c r="BM1124" s="328" t="str">
        <f>AJ1130</f>
        <v/>
      </c>
      <c r="BN1124" s="328" t="str">
        <f>IF(F1141="","",F1141)</f>
        <v/>
      </c>
      <c r="BO1124" s="327" t="str">
        <f>IF(G1141="","",G1141)</f>
        <v/>
      </c>
      <c r="BP1124" s="330">
        <f>AV1141</f>
        <v>0</v>
      </c>
      <c r="BQ1124" s="328" t="str">
        <f>IF(F1133="","",F1133)</f>
        <v/>
      </c>
      <c r="BR1124" s="330">
        <f>AV1133</f>
        <v>0</v>
      </c>
      <c r="BS1124" s="330" t="str">
        <f>AJ1133</f>
        <v/>
      </c>
      <c r="BT1124" s="328" t="str">
        <f>IF(F1132="","",F1132)</f>
        <v/>
      </c>
      <c r="BU1124" s="330">
        <f>IF(F1132=EUconst_NA,"",AV1132)</f>
        <v>0</v>
      </c>
      <c r="BV1124" s="330" t="str">
        <f>AJ1132</f>
        <v/>
      </c>
      <c r="BW1124" s="328" t="str">
        <f>IF(F1134="","",F1134)</f>
        <v/>
      </c>
      <c r="BX1124" s="330">
        <f>AV1134</f>
        <v>0</v>
      </c>
      <c r="BY1124" s="328" t="str">
        <f>IF(F1135="","",F1135)</f>
        <v/>
      </c>
      <c r="BZ1124" s="330">
        <f>AV1135</f>
        <v>0</v>
      </c>
      <c r="CA1124" s="330">
        <f>AV1136</f>
        <v>0</v>
      </c>
      <c r="CB1124" s="330">
        <f>AV1137</f>
        <v>0</v>
      </c>
      <c r="CC1124" s="330">
        <f>AV1138</f>
        <v>0</v>
      </c>
      <c r="CD1124" s="330">
        <f>AV1139</f>
        <v>0</v>
      </c>
      <c r="CE1124" s="329" t="str">
        <f>BG1130</f>
        <v/>
      </c>
      <c r="CF1124" s="329" t="str">
        <f>BG1132</f>
        <v/>
      </c>
      <c r="CG1124" s="329" t="str">
        <f>BG1133</f>
        <v/>
      </c>
      <c r="CH1124" s="329" t="str">
        <f>BG1134</f>
        <v/>
      </c>
      <c r="CI1124" s="329" t="str">
        <f>BG1135</f>
        <v/>
      </c>
      <c r="CJ1124" s="329" t="str">
        <f>BG1136</f>
        <v/>
      </c>
      <c r="CK1124" s="329" t="str">
        <f>BG1137</f>
        <v/>
      </c>
      <c r="CL1124" s="329">
        <f>BG1138</f>
        <v>0</v>
      </c>
      <c r="CM1124" s="329" t="str">
        <f>BG1139</f>
        <v/>
      </c>
      <c r="CN1124" s="329" t="str">
        <f>BG1141</f>
        <v/>
      </c>
      <c r="CO1124" s="329" t="str">
        <f>BG1145</f>
        <v/>
      </c>
      <c r="CP1124" s="329" t="str">
        <f>IF(COUNTIF(AO1133:AO1134,TRUE)=0,"",BH1130)</f>
        <v/>
      </c>
      <c r="CQ1124" s="331" t="b">
        <v>0</v>
      </c>
    </row>
    <row r="1125" spans="1:95" ht="15" customHeight="1" thickBot="1" x14ac:dyDescent="0.3">
      <c r="A1125" s="307"/>
      <c r="B1125" s="68"/>
      <c r="C1125" s="68"/>
      <c r="D1125" s="68"/>
      <c r="E1125" s="1274" t="str">
        <f>IF(ISBLANK(E1124),"",IF(INDEX(B_IdentifyFuelStreams!$E$67:$E$116,MATCH(U1123,B_IdentifyFuelStreams!$D$67:$D$116,0))&gt;0,INDEX(B_IdentifyFuelStreams!$E$67:$E$116,MATCH(U1123,B_IdentifyFuelStreams!$D$67:$D$116,0)),""))</f>
        <v/>
      </c>
      <c r="F1125" s="1275"/>
      <c r="G1125" s="1275"/>
      <c r="H1125" s="1275"/>
      <c r="I1125" s="1275"/>
      <c r="J1125" s="1276"/>
      <c r="K1125" s="1272" t="str">
        <f>IF(INDEX(B_IdentifyFuelStreams!$M$125:$M$174,MATCH(U1123,B_IdentifyFuelStreams!$D$125:$D$174,0))&gt;0,INDEX(B_IdentifyFuelStreams!$M$125:$M$174,MATCH(U1123,B_IdentifyFuelStreams!$D$125:$D$174,0)),"")</f>
        <v/>
      </c>
      <c r="L1125" s="1273"/>
      <c r="M1125" s="332" t="str">
        <f>Translations!$B$622</f>
        <v>zero-rated:</v>
      </c>
      <c r="N1125" s="333" t="str">
        <f>IF(E1125="","",SUM(BG1132,BG1134,BG1136))</f>
        <v/>
      </c>
      <c r="O1125" s="334" t="str">
        <f>EUconst_tCO2</f>
        <v>tCO2</v>
      </c>
      <c r="P1125" s="109"/>
      <c r="Q1125" s="325" t="str">
        <f>EUconst_SumBioCO2</f>
        <v>SUM_bioCO2</v>
      </c>
      <c r="R1125" s="312"/>
      <c r="S1125" s="287"/>
      <c r="T1125" s="287"/>
      <c r="U1125" s="287"/>
      <c r="V1125" s="301"/>
      <c r="W1125" s="138"/>
      <c r="X1125" s="293"/>
      <c r="Y1125" s="317" t="str">
        <f>Translations!$B$143</f>
        <v>Tiers</v>
      </c>
      <c r="Z1125" s="314"/>
      <c r="AA1125" s="314"/>
      <c r="AB1125" s="314"/>
      <c r="AC1125" s="314"/>
      <c r="AD1125" s="314"/>
      <c r="AE1125" s="317" t="s">
        <v>108</v>
      </c>
      <c r="AF1125" s="293"/>
      <c r="AG1125" s="335"/>
      <c r="AH1125" s="314"/>
      <c r="AI1125" s="314"/>
      <c r="AJ1125" s="335"/>
      <c r="AK1125" s="335"/>
      <c r="AL1125" s="326"/>
      <c r="AM1125" s="326"/>
      <c r="AN1125" s="326"/>
      <c r="AO1125" s="326"/>
      <c r="AP1125" s="326"/>
      <c r="AQ1125" s="317" t="s">
        <v>109</v>
      </c>
      <c r="AR1125" s="336"/>
      <c r="AS1125" s="336"/>
      <c r="AT1125" s="314"/>
      <c r="AU1125" s="314"/>
      <c r="AV1125" s="314"/>
      <c r="AW1125" s="314"/>
      <c r="AX1125" s="314"/>
      <c r="AY1125" s="314"/>
      <c r="AZ1125" s="317" t="s">
        <v>110</v>
      </c>
      <c r="BA1125" s="314"/>
      <c r="BB1125" s="314"/>
      <c r="BC1125" s="314"/>
      <c r="BD1125" s="314"/>
      <c r="BE1125" s="314"/>
      <c r="BF1125" s="317" t="s">
        <v>111</v>
      </c>
      <c r="BG1125" s="314"/>
      <c r="BH1125" s="314"/>
      <c r="BI1125" s="317" t="s">
        <v>112</v>
      </c>
      <c r="BJ1125" s="328" t="str">
        <f>Translations!$B$376</f>
        <v>RFA Tier</v>
      </c>
      <c r="BK1125" s="328" t="str">
        <f>Translations!$B$377</f>
        <v>RFA</v>
      </c>
      <c r="BL1125" s="328" t="str">
        <f>Translations!$B$378</f>
        <v>RFA (in scope)</v>
      </c>
      <c r="BM1125" s="328" t="str">
        <f>Translations!$B$379</f>
        <v>RFA Unit</v>
      </c>
      <c r="BN1125" s="328" t="str">
        <f>Translations!$B$380</f>
        <v>SF Tier</v>
      </c>
      <c r="BO1125" s="328" t="str">
        <f>Translations!$B$380</f>
        <v>SF Tier</v>
      </c>
      <c r="BP1125" s="328" t="str">
        <f>Translations!$B$381</f>
        <v>SF</v>
      </c>
      <c r="BQ1125" s="328" t="str">
        <f>Translations!$B$382</f>
        <v>EF Tier</v>
      </c>
      <c r="BR1125" s="328" t="str">
        <f>Translations!$B$383</f>
        <v>EF</v>
      </c>
      <c r="BS1125" s="328" t="str">
        <f>Translations!$B$384</f>
        <v>EF Unit</v>
      </c>
      <c r="BT1125" s="328" t="str">
        <f>Translations!$B$385</f>
        <v>UCF Tier</v>
      </c>
      <c r="BU1125" s="328" t="str">
        <f>Translations!$B$386</f>
        <v>UCF</v>
      </c>
      <c r="BV1125" s="328" t="str">
        <f>Translations!$B$387</f>
        <v>UCF Unit</v>
      </c>
      <c r="BW1125" s="328" t="str">
        <f>Translations!$B$388</f>
        <v>Bio Tier</v>
      </c>
      <c r="BX1125" s="328" t="s">
        <v>113</v>
      </c>
      <c r="BY1125" s="328" t="str">
        <f>Translations!$B$389</f>
        <v>NonSustBio Tier</v>
      </c>
      <c r="BZ1125" s="328" t="s">
        <v>114</v>
      </c>
      <c r="CA1125" s="328" t="s">
        <v>115</v>
      </c>
      <c r="CB1125" s="328" t="s">
        <v>116</v>
      </c>
      <c r="CC1125" s="328" t="s">
        <v>117</v>
      </c>
      <c r="CD1125" s="328" t="s">
        <v>118</v>
      </c>
      <c r="CE1125" s="328" t="s">
        <v>119</v>
      </c>
      <c r="CF1125" s="328" t="s">
        <v>120</v>
      </c>
      <c r="CG1125" s="328" t="str">
        <f>Translations!$B$392</f>
        <v>CO2 non-sust</v>
      </c>
      <c r="CH1125" s="328" t="s">
        <v>121</v>
      </c>
      <c r="CI1125" s="328" t="s">
        <v>122</v>
      </c>
      <c r="CJ1125" s="328" t="s">
        <v>123</v>
      </c>
      <c r="CK1125" s="328" t="s">
        <v>124</v>
      </c>
      <c r="CL1125" s="328" t="s">
        <v>125</v>
      </c>
      <c r="CM1125" s="328" t="str">
        <f>Translations!$B$551</f>
        <v>Energy content (bio), TJ</v>
      </c>
      <c r="CN1125" s="328" t="s">
        <v>126</v>
      </c>
      <c r="CO1125" s="328" t="s">
        <v>127</v>
      </c>
      <c r="CP1125" s="328" t="s">
        <v>128</v>
      </c>
      <c r="CQ1125" s="314"/>
    </row>
    <row r="1126" spans="1:95" ht="5.15" customHeight="1" thickBot="1" x14ac:dyDescent="0.3">
      <c r="A1126" s="307"/>
      <c r="B1126" s="68"/>
      <c r="C1126" s="68"/>
      <c r="D1126" s="68"/>
      <c r="E1126" s="68"/>
      <c r="F1126" s="68"/>
      <c r="G1126" s="68"/>
      <c r="H1126" s="76"/>
      <c r="I1126" s="76"/>
      <c r="J1126" s="76"/>
      <c r="K1126" s="76"/>
      <c r="L1126" s="76"/>
      <c r="M1126" s="76"/>
      <c r="N1126" s="76"/>
      <c r="O1126" s="160"/>
      <c r="P1126" s="109"/>
      <c r="Q1126" s="312"/>
      <c r="R1126" s="312"/>
      <c r="S1126" s="287"/>
      <c r="T1126" s="287"/>
      <c r="U1126" s="287"/>
      <c r="V1126" s="301"/>
      <c r="W1126" s="314"/>
      <c r="X1126" s="314"/>
      <c r="Y1126" s="312"/>
      <c r="Z1126" s="314"/>
      <c r="AA1126" s="314"/>
      <c r="AB1126" s="314"/>
      <c r="AC1126" s="314"/>
      <c r="AD1126" s="314"/>
      <c r="AE1126" s="314"/>
      <c r="AF1126" s="293"/>
      <c r="AG1126" s="314"/>
      <c r="AH1126" s="314"/>
      <c r="AI1126" s="314"/>
      <c r="AJ1126" s="335"/>
      <c r="AK1126" s="335"/>
      <c r="AL1126" s="326"/>
      <c r="AM1126" s="326"/>
      <c r="AN1126" s="326"/>
      <c r="AO1126" s="326"/>
      <c r="AP1126" s="326"/>
      <c r="AQ1126" s="314"/>
      <c r="AR1126" s="314"/>
      <c r="AS1126" s="314"/>
      <c r="AT1126" s="314"/>
      <c r="AU1126" s="314"/>
      <c r="AV1126" s="314"/>
      <c r="AW1126" s="314"/>
      <c r="AX1126" s="314"/>
      <c r="AY1126" s="314"/>
      <c r="AZ1126" s="314"/>
      <c r="BA1126" s="314"/>
      <c r="BB1126" s="314"/>
      <c r="BC1126" s="314"/>
      <c r="BD1126" s="314"/>
      <c r="BE1126" s="314"/>
      <c r="BF1126" s="314"/>
      <c r="BG1126" s="314"/>
      <c r="BH1126" s="314"/>
      <c r="BI1126" s="314"/>
      <c r="BJ1126" s="314"/>
      <c r="BK1126" s="314"/>
      <c r="BL1126" s="314"/>
      <c r="BM1126" s="314"/>
      <c r="BN1126" s="314"/>
      <c r="BO1126" s="314"/>
      <c r="BP1126" s="314"/>
      <c r="BQ1126" s="314"/>
      <c r="BR1126" s="314"/>
      <c r="BS1126" s="314"/>
      <c r="BT1126" s="314"/>
      <c r="BU1126" s="314"/>
      <c r="BV1126" s="314"/>
      <c r="BW1126" s="314"/>
      <c r="BX1126" s="314"/>
      <c r="BY1126" s="314"/>
      <c r="BZ1126" s="314"/>
      <c r="CA1126" s="314"/>
      <c r="CB1126" s="314"/>
      <c r="CC1126" s="314"/>
      <c r="CD1126" s="314"/>
      <c r="CE1126" s="314"/>
      <c r="CF1126" s="314"/>
      <c r="CG1126" s="314"/>
      <c r="CH1126" s="314"/>
      <c r="CI1126" s="314"/>
      <c r="CJ1126" s="314"/>
      <c r="CK1126" s="314"/>
      <c r="CL1126" s="314"/>
      <c r="CM1126" s="314"/>
      <c r="CN1126" s="314"/>
      <c r="CO1126" s="314"/>
      <c r="CP1126" s="314"/>
      <c r="CQ1126" s="314"/>
    </row>
    <row r="1127" spans="1:95" ht="12.75" customHeight="1" thickBot="1" x14ac:dyDescent="0.3">
      <c r="A1127" s="307"/>
      <c r="B1127" s="68"/>
      <c r="C1127" s="68"/>
      <c r="D1127" s="68"/>
      <c r="E1127" s="1253" t="str">
        <f>IF(E1124="","",HYPERLINK("#JUMP_E_Top",EUconst_FurtherGuidancePoint1))</f>
        <v/>
      </c>
      <c r="F1127" s="1253"/>
      <c r="G1127" s="1253"/>
      <c r="H1127" s="1253"/>
      <c r="I1127" s="1253"/>
      <c r="J1127" s="1253"/>
      <c r="K1127" s="1253"/>
      <c r="L1127" s="1253"/>
      <c r="M1127" s="1253"/>
      <c r="N1127" s="76"/>
      <c r="O1127" s="160"/>
      <c r="P1127" s="109"/>
      <c r="Q1127" s="325" t="str">
        <f>EUconst_SumNonSustBioCO2</f>
        <v>SUM_bioNonSustCO2</v>
      </c>
      <c r="R1127" s="337" t="str">
        <f>IF(E1125="","",BG1133)</f>
        <v/>
      </c>
      <c r="S1127" s="287"/>
      <c r="T1127" s="287"/>
      <c r="U1127" s="287"/>
      <c r="V1127" s="314"/>
      <c r="W1127" s="314"/>
      <c r="X1127" s="314"/>
      <c r="Y1127" s="293"/>
      <c r="Z1127" s="314"/>
      <c r="AA1127" s="314"/>
      <c r="AB1127" s="314"/>
      <c r="AC1127" s="314"/>
      <c r="AD1127" s="314"/>
      <c r="AE1127" s="314"/>
      <c r="AF1127" s="293"/>
      <c r="AG1127" s="314"/>
      <c r="AH1127" s="314"/>
      <c r="AI1127" s="314"/>
      <c r="AJ1127" s="335"/>
      <c r="AK1127" s="335"/>
      <c r="AL1127" s="326"/>
      <c r="AM1127" s="326"/>
      <c r="AN1127" s="326"/>
      <c r="AO1127" s="326"/>
      <c r="AP1127" s="326"/>
      <c r="AQ1127" s="314"/>
      <c r="AR1127" s="314"/>
      <c r="AS1127" s="314"/>
      <c r="AT1127" s="314"/>
      <c r="AU1127" s="314"/>
      <c r="AV1127" s="314"/>
      <c r="AW1127" s="314"/>
      <c r="AX1127" s="314"/>
      <c r="AY1127" s="314"/>
      <c r="AZ1127" s="314"/>
      <c r="BA1127" s="314"/>
      <c r="BB1127" s="314"/>
      <c r="BC1127" s="314"/>
      <c r="BD1127" s="314"/>
      <c r="BE1127" s="314"/>
      <c r="BF1127" s="314"/>
      <c r="BG1127" s="314"/>
      <c r="BH1127" s="314"/>
      <c r="BI1127" s="317" t="s">
        <v>129</v>
      </c>
      <c r="BJ1127" s="336"/>
      <c r="BK1127" s="327" t="str">
        <f>IF(G1145="","",G1145)</f>
        <v/>
      </c>
      <c r="BL1127" s="327" t="str">
        <f>IF(I1145="","",I1145)</f>
        <v/>
      </c>
      <c r="BM1127" s="327" t="str">
        <f>IF(K1145="","",K1145)</f>
        <v/>
      </c>
      <c r="BN1127" s="314"/>
      <c r="BO1127" s="314"/>
      <c r="BP1127" s="314"/>
      <c r="BQ1127" s="314"/>
      <c r="BR1127" s="314"/>
      <c r="BS1127" s="314"/>
      <c r="BT1127" s="319"/>
      <c r="BU1127" s="314"/>
      <c r="BV1127" s="314"/>
      <c r="BW1127" s="314"/>
      <c r="BX1127" s="314"/>
      <c r="BY1127" s="314"/>
      <c r="BZ1127" s="314"/>
      <c r="CA1127" s="314"/>
      <c r="CB1127" s="314"/>
      <c r="CC1127" s="314"/>
      <c r="CD1127" s="314"/>
      <c r="CE1127" s="314"/>
      <c r="CF1127" s="314"/>
      <c r="CG1127" s="314"/>
      <c r="CH1127" s="314"/>
      <c r="CI1127" s="314"/>
      <c r="CJ1127" s="314"/>
      <c r="CK1127" s="314"/>
      <c r="CL1127" s="314"/>
      <c r="CM1127" s="314"/>
      <c r="CN1127" s="314"/>
      <c r="CO1127" s="314"/>
      <c r="CP1127" s="314"/>
      <c r="CQ1127" s="314"/>
    </row>
    <row r="1128" spans="1:95" ht="5.15" customHeight="1" thickBot="1" x14ac:dyDescent="0.3">
      <c r="A1128" s="307"/>
      <c r="B1128" s="68"/>
      <c r="C1128" s="68"/>
      <c r="D1128" s="68"/>
      <c r="E1128" s="68"/>
      <c r="F1128" s="68"/>
      <c r="G1128" s="68"/>
      <c r="H1128" s="76"/>
      <c r="I1128" s="76"/>
      <c r="J1128" s="76"/>
      <c r="K1128" s="76"/>
      <c r="L1128" s="76"/>
      <c r="M1128" s="76"/>
      <c r="N1128" s="76"/>
      <c r="O1128" s="160"/>
      <c r="P1128" s="111"/>
      <c r="Q1128" s="287"/>
      <c r="R1128" s="111"/>
      <c r="S1128" s="287"/>
      <c r="T1128" s="287"/>
      <c r="U1128" s="287"/>
      <c r="V1128" s="314"/>
      <c r="W1128" s="314"/>
      <c r="X1128" s="314"/>
      <c r="Y1128" s="312"/>
      <c r="Z1128" s="314"/>
      <c r="AA1128" s="314"/>
      <c r="AB1128" s="314"/>
      <c r="AC1128" s="314"/>
      <c r="AD1128" s="314"/>
      <c r="AE1128" s="314"/>
      <c r="AF1128" s="293"/>
      <c r="AG1128" s="314"/>
      <c r="AH1128" s="314"/>
      <c r="AI1128" s="314"/>
      <c r="AJ1128" s="335"/>
      <c r="AK1128" s="335"/>
      <c r="AL1128" s="326"/>
      <c r="AM1128" s="326"/>
      <c r="AN1128" s="326"/>
      <c r="AO1128" s="326"/>
      <c r="AP1128" s="326"/>
      <c r="AQ1128" s="314"/>
      <c r="AR1128" s="314"/>
      <c r="AS1128" s="314"/>
      <c r="AT1128" s="314"/>
      <c r="AU1128" s="314"/>
      <c r="AV1128" s="314"/>
      <c r="AW1128" s="314"/>
      <c r="AX1128" s="314"/>
      <c r="AY1128" s="314"/>
      <c r="AZ1128" s="314"/>
      <c r="BA1128" s="314"/>
      <c r="BB1128" s="314"/>
      <c r="BC1128" s="314"/>
      <c r="BD1128" s="314"/>
      <c r="BE1128" s="314"/>
      <c r="BF1128" s="314"/>
      <c r="BG1128" s="314"/>
      <c r="BH1128" s="314"/>
      <c r="BI1128" s="314"/>
      <c r="BJ1128" s="314"/>
      <c r="BK1128" s="314"/>
      <c r="BL1128" s="314"/>
      <c r="BM1128" s="314"/>
      <c r="BN1128" s="314"/>
      <c r="BO1128" s="314"/>
      <c r="BP1128" s="314"/>
      <c r="BQ1128" s="314"/>
      <c r="BR1128" s="314"/>
      <c r="BS1128" s="314"/>
      <c r="BT1128" s="314"/>
      <c r="BU1128" s="314"/>
      <c r="BV1128" s="314"/>
      <c r="BW1128" s="314"/>
      <c r="BX1128" s="314"/>
      <c r="BY1128" s="314"/>
      <c r="BZ1128" s="314"/>
      <c r="CA1128" s="314"/>
      <c r="CB1128" s="314"/>
      <c r="CC1128" s="314"/>
      <c r="CD1128" s="314"/>
      <c r="CE1128" s="314"/>
      <c r="CF1128" s="314"/>
      <c r="CG1128" s="314"/>
      <c r="CH1128" s="314"/>
      <c r="CI1128" s="314"/>
      <c r="CJ1128" s="314"/>
      <c r="CK1128" s="314"/>
      <c r="CL1128" s="314"/>
      <c r="CM1128" s="314"/>
      <c r="CN1128" s="314"/>
      <c r="CO1128" s="314"/>
      <c r="CP1128" s="314"/>
      <c r="CQ1128" s="314"/>
    </row>
    <row r="1129" spans="1:95" ht="12.75" customHeight="1" thickBot="1" x14ac:dyDescent="0.3">
      <c r="A1129" s="307"/>
      <c r="B1129" s="68"/>
      <c r="C1129" s="68"/>
      <c r="D1129" s="68"/>
      <c r="E1129" s="68"/>
      <c r="F1129" s="338" t="str">
        <f>Translations!$B$127</f>
        <v>Tier</v>
      </c>
      <c r="G1129" s="1254" t="str">
        <f>Translations!$B$393</f>
        <v>tier description</v>
      </c>
      <c r="H1129" s="1254"/>
      <c r="I1129" s="1255" t="str">
        <f>Translations!$B$394</f>
        <v>Unit</v>
      </c>
      <c r="J1129" s="1255"/>
      <c r="K1129" s="1255" t="str">
        <f>Translations!$B$395</f>
        <v>Value</v>
      </c>
      <c r="L1129" s="1255"/>
      <c r="M1129" s="205" t="str">
        <f>Translations!$B$396</f>
        <v>error</v>
      </c>
      <c r="N1129" s="76"/>
      <c r="O1129" s="160"/>
      <c r="P1129" s="339"/>
      <c r="Q1129" s="325" t="str">
        <f>EUconst_SumEnergyIN</f>
        <v>SUM_EnergyIN</v>
      </c>
      <c r="R1129" s="340" t="str">
        <f>IF(E1125="","",BG1138)</f>
        <v/>
      </c>
      <c r="S1129" s="314"/>
      <c r="T1129" s="314"/>
      <c r="U1129" s="314"/>
      <c r="V1129" s="341" t="s">
        <v>130</v>
      </c>
      <c r="W1129" s="314"/>
      <c r="X1129" s="314"/>
      <c r="Y1129" s="312" t="s">
        <v>131</v>
      </c>
      <c r="Z1129" s="312" t="s">
        <v>132</v>
      </c>
      <c r="AA1129" s="314"/>
      <c r="AB1129" s="314"/>
      <c r="AC1129" s="336" t="s">
        <v>133</v>
      </c>
      <c r="AD1129" s="314"/>
      <c r="AE1129" s="314"/>
      <c r="AF1129" s="314" t="s">
        <v>134</v>
      </c>
      <c r="AG1129" s="314" t="s">
        <v>135</v>
      </c>
      <c r="AH1129" s="312" t="s">
        <v>136</v>
      </c>
      <c r="AI1129" s="335" t="s">
        <v>137</v>
      </c>
      <c r="AJ1129" s="335" t="s">
        <v>138</v>
      </c>
      <c r="AK1129" s="342" t="s">
        <v>139</v>
      </c>
      <c r="AL1129" s="326"/>
      <c r="AM1129" s="326"/>
      <c r="AN1129" s="326"/>
      <c r="AO1129" s="326"/>
      <c r="AP1129" s="326"/>
      <c r="AQ1129" s="314"/>
      <c r="AR1129" s="314" t="s">
        <v>134</v>
      </c>
      <c r="AS1129" s="314" t="s">
        <v>135</v>
      </c>
      <c r="AT1129" s="343" t="s">
        <v>140</v>
      </c>
      <c r="AU1129" s="335" t="s">
        <v>141</v>
      </c>
      <c r="AV1129" s="335" t="s">
        <v>142</v>
      </c>
      <c r="AW1129" s="342" t="s">
        <v>139</v>
      </c>
      <c r="AX1129" s="342" t="s">
        <v>139</v>
      </c>
      <c r="AY1129" s="314"/>
      <c r="AZ1129" s="314"/>
      <c r="BA1129" s="314"/>
      <c r="BB1129" s="314" t="s">
        <v>143</v>
      </c>
      <c r="BC1129" s="314"/>
      <c r="BD1129" s="314"/>
      <c r="BE1129" s="314"/>
      <c r="BF1129" s="314"/>
      <c r="BG1129" s="319" t="s">
        <v>144</v>
      </c>
      <c r="BH1129" s="314" t="s">
        <v>145</v>
      </c>
      <c r="BI1129" s="314"/>
      <c r="BJ1129" s="314"/>
      <c r="BK1129" s="314"/>
      <c r="BL1129" s="314"/>
      <c r="BM1129" s="314"/>
      <c r="BN1129" s="314"/>
      <c r="BO1129" s="314"/>
      <c r="BP1129" s="314"/>
      <c r="BQ1129" s="314"/>
      <c r="BR1129" s="314"/>
      <c r="BS1129" s="314"/>
      <c r="BT1129" s="314"/>
      <c r="BU1129" s="314"/>
      <c r="BV1129" s="314"/>
      <c r="BW1129" s="314"/>
      <c r="BX1129" s="314"/>
      <c r="BY1129" s="314"/>
      <c r="BZ1129" s="314"/>
      <c r="CA1129" s="314"/>
      <c r="CB1129" s="314"/>
      <c r="CC1129" s="314"/>
      <c r="CD1129" s="314"/>
      <c r="CE1129" s="314"/>
      <c r="CF1129" s="314"/>
      <c r="CG1129" s="314"/>
      <c r="CH1129" s="314"/>
      <c r="CI1129" s="314"/>
      <c r="CJ1129" s="314"/>
      <c r="CK1129" s="314"/>
      <c r="CL1129" s="314"/>
      <c r="CM1129" s="314"/>
      <c r="CN1129" s="314"/>
      <c r="CO1129" s="314"/>
      <c r="CP1129" s="314"/>
      <c r="CQ1129" s="319" t="s">
        <v>107</v>
      </c>
    </row>
    <row r="1130" spans="1:95" ht="12.75" customHeight="1" thickBot="1" x14ac:dyDescent="0.3">
      <c r="A1130" s="307"/>
      <c r="B1130" s="68"/>
      <c r="C1130" s="199" t="s">
        <v>12</v>
      </c>
      <c r="D1130" s="344" t="str">
        <f>Translations!$B$356</f>
        <v>RFA:</v>
      </c>
      <c r="E1130" s="345"/>
      <c r="F1130" s="6"/>
      <c r="G1130" s="1256" t="str">
        <f>IF(OR(ISBLANK(F1130),F1130=EUconst_NoTier),"",IF(Z1130=0,EUconst_NA,IF(ISERROR(Z1130),"",Z1130)))</f>
        <v/>
      </c>
      <c r="H1130" s="1257"/>
      <c r="I1130" s="346" t="str">
        <f>IF(J1130&lt;&gt;"","",AI1130)</f>
        <v/>
      </c>
      <c r="J1130" s="7"/>
      <c r="K1130" s="1258"/>
      <c r="L1130" s="1259"/>
      <c r="M1130" s="347" t="str">
        <f>IF(AND(E1125&lt;&gt;"",OR(F1130="",COUNT(K1130)=0),Y1130&lt;&gt;EUconst_NA),EUconst_ERR_Incomplete,"")</f>
        <v/>
      </c>
      <c r="N1130" s="76"/>
      <c r="O1130" s="160"/>
      <c r="P1130" s="348"/>
      <c r="Q1130" s="325" t="str">
        <f>EUconst_SumBioEnergyIN</f>
        <v>SUM_BioEnergyIN</v>
      </c>
      <c r="R1130" s="340" t="str">
        <f>IF(E1125="","",BG1139)</f>
        <v/>
      </c>
      <c r="S1130" s="314"/>
      <c r="T1130" s="349" t="str">
        <f>EUconst_CNTR_ActivityData&amp;E1125</f>
        <v>ActivityData_</v>
      </c>
      <c r="U1130" s="312"/>
      <c r="V1130" s="349" t="str">
        <f>IF(E1124="","",INDEX(B_IdentifyFuelStreams!$I$67:$I$116,MATCH(U1123,B_IdentifyFuelStreams!$D$67:$D$116,0)))</f>
        <v/>
      </c>
      <c r="W1130" s="335" t="s">
        <v>146</v>
      </c>
      <c r="X1130" s="312"/>
      <c r="Y1130" s="350" t="str">
        <f>IF(E1125="","",INDEX(EUwideConstants!$P$164:$P$200,MATCH(T1130,EUwideConstants!$S$164:$S$200,0)))</f>
        <v/>
      </c>
      <c r="Z1130" s="351" t="str">
        <f>IF(ISBLANK(F1130),"",IF(F1130=EUconst_NA,"",INDEX(EUwideConstants!$H:$O,MATCH(T1130,EUwideConstants!$S:$S,0),MATCH(F1130,CNTR_TierList,0))))</f>
        <v/>
      </c>
      <c r="AA1130" s="352" t="s">
        <v>136</v>
      </c>
      <c r="AB1130" s="335"/>
      <c r="AC1130" s="331" t="b">
        <f>E1124&lt;&gt;""</f>
        <v>0</v>
      </c>
      <c r="AD1130" s="314"/>
      <c r="AE1130" s="353" t="str">
        <f>EUconst_CNTR_ActivityData&amp;EUconst_Unit</f>
        <v>ActivityData_Unit</v>
      </c>
      <c r="AF1130" s="354" t="str">
        <f>IF(AC1130=TRUE, IF(COUNTIF(MSPara_SourceStreamCategory,V1130)=0,"",INDEX(MSPara_CalcFactorsMatrix,MATCH(V1130,MSPara_SourceStreamCategory,0),MATCH(AE1130&amp;"_"&amp;2,MSPara_CalcFactors,0))),"")</f>
        <v/>
      </c>
      <c r="AG1130" s="355" t="str">
        <f>IF(AC1130=TRUE, IF(COUNTIF(MSPara_SourceStreamCategory,V1130)=0,"",INDEX(MSPara_CalcFactorsMatrix,MATCH(V1130,MSPara_SourceStreamCategory,0),MATCH(AE1130&amp;"_"&amp;1,MSPara_CalcFactors,0))),"")</f>
        <v/>
      </c>
      <c r="AH1130" s="331" t="str">
        <f>IF(OR(AF1130="",AF1130=EUconst_NA),IF(OR(AG1130=EUconst_NA,AG1130=""),"",AG1130),AF1130)</f>
        <v/>
      </c>
      <c r="AI1130" s="350" t="str">
        <f>IF(AC1130=TRUE,IF(AH1130="",EUconst_t,AH1130),"")</f>
        <v/>
      </c>
      <c r="AJ1130" s="356" t="str">
        <f>IF(J1130="",AI1130,J1130)</f>
        <v/>
      </c>
      <c r="AK1130" s="357" t="b">
        <f>AND(E1124&lt;&gt;"",J1130&lt;&gt;"")</f>
        <v>0</v>
      </c>
      <c r="AL1130" s="326"/>
      <c r="AM1130" s="358" t="s">
        <v>147</v>
      </c>
      <c r="AN1130" s="359" t="str">
        <f>AJ1130</f>
        <v/>
      </c>
      <c r="AO1130" s="326"/>
      <c r="AP1130" s="326"/>
      <c r="AQ1130" s="349" t="str">
        <f>EUconst_CNTR_ActivityData&amp;EUconst_Value</f>
        <v>ActivityData_Value</v>
      </c>
      <c r="AR1130" s="336"/>
      <c r="AS1130" s="336"/>
      <c r="AT1130" s="331" t="b">
        <f>AND(AND(AH1130&lt;&gt;"",AJ1130&lt;&gt;""),AJ1130=AH1130)</f>
        <v>0</v>
      </c>
      <c r="AU1130" s="314"/>
      <c r="AV1130" s="331">
        <f>IF(Y1130=EUconst_NA,0,IF(COUNT(K1130:K1130)=0,0,IF(K1130="",#REF!,K1130)))</f>
        <v>0</v>
      </c>
      <c r="AW1130" s="360" t="b">
        <f>AND(AC1130=TRUE,OR(K1130&lt;&gt;"",AU1130=""))</f>
        <v>0</v>
      </c>
      <c r="AX1130" s="360" t="b">
        <f>AND(AC1130=TRUE,NOT(AW1130))</f>
        <v>0</v>
      </c>
      <c r="AY1130" s="314"/>
      <c r="AZ1130" s="314" t="s">
        <v>148</v>
      </c>
      <c r="BA1130" s="314" t="s">
        <v>149</v>
      </c>
      <c r="BB1130" s="360"/>
      <c r="BC1130" s="314" t="s">
        <v>150</v>
      </c>
      <c r="BD1130" s="314"/>
      <c r="BE1130" s="314"/>
      <c r="BF1130" s="361" t="s">
        <v>119</v>
      </c>
      <c r="BG1130" s="362" t="str">
        <f>IF(COUNTIF(AO1133:AO1134,TRUE)=0,"",BH1130*AV1141)</f>
        <v/>
      </c>
      <c r="BH1130" s="362" t="str">
        <f>IF(COUNTIF(AO1133:AO1134,TRUE)=0,"",AV1130*IF(AO1133,1,AV1132*AN1134)*AV1133-BH1132-BH1134-BH1136)</f>
        <v/>
      </c>
      <c r="BI1130" s="314"/>
      <c r="BJ1130" s="314"/>
      <c r="BK1130" s="314"/>
      <c r="BL1130" s="314"/>
      <c r="BM1130" s="314"/>
      <c r="BN1130" s="314"/>
      <c r="BO1130" s="314"/>
      <c r="BP1130" s="314"/>
      <c r="BQ1130" s="314"/>
      <c r="BR1130" s="314"/>
      <c r="BS1130" s="314"/>
      <c r="BT1130" s="314"/>
      <c r="BU1130" s="314"/>
      <c r="BV1130" s="314"/>
      <c r="BW1130" s="314"/>
      <c r="BX1130" s="314"/>
      <c r="BY1130" s="314"/>
      <c r="BZ1130" s="314"/>
      <c r="CA1130" s="314"/>
      <c r="CB1130" s="314"/>
      <c r="CC1130" s="314"/>
      <c r="CD1130" s="314"/>
      <c r="CE1130" s="314"/>
      <c r="CF1130" s="314"/>
      <c r="CG1130" s="314"/>
      <c r="CH1130" s="314"/>
      <c r="CI1130" s="314"/>
      <c r="CJ1130" s="314"/>
      <c r="CK1130" s="314"/>
      <c r="CL1130" s="314"/>
      <c r="CM1130" s="314"/>
      <c r="CN1130" s="314"/>
      <c r="CO1130" s="314"/>
      <c r="CP1130" s="314"/>
      <c r="CQ1130" s="360" t="b">
        <v>0</v>
      </c>
    </row>
    <row r="1131" spans="1:95" ht="5.15" customHeight="1" thickBot="1" x14ac:dyDescent="0.3">
      <c r="A1131" s="307"/>
      <c r="B1131" s="68"/>
      <c r="C1131" s="199"/>
      <c r="D1131" s="202"/>
      <c r="E1131" s="76"/>
      <c r="F1131" s="76"/>
      <c r="G1131" s="76"/>
      <c r="H1131" s="76" t="str">
        <f>Translations!$B$397</f>
        <v xml:space="preserve"> </v>
      </c>
      <c r="I1131" s="162"/>
      <c r="J1131" s="162"/>
      <c r="K1131" s="76"/>
      <c r="L1131" s="76"/>
      <c r="M1131" s="363"/>
      <c r="N1131" s="76"/>
      <c r="O1131" s="160"/>
      <c r="P1131" s="109"/>
      <c r="Q1131" s="312"/>
      <c r="R1131" s="312"/>
      <c r="S1131" s="314"/>
      <c r="T1131" s="62"/>
      <c r="U1131" s="312"/>
      <c r="V1131" s="314"/>
      <c r="W1131" s="314"/>
      <c r="X1131" s="312"/>
      <c r="Y1131" s="319"/>
      <c r="Z1131" s="314"/>
      <c r="AA1131" s="314"/>
      <c r="AB1131" s="314"/>
      <c r="AC1131" s="314"/>
      <c r="AD1131" s="314"/>
      <c r="AE1131" s="314"/>
      <c r="AF1131" s="314"/>
      <c r="AG1131" s="314"/>
      <c r="AH1131" s="314"/>
      <c r="AI1131" s="314"/>
      <c r="AJ1131" s="314"/>
      <c r="AK1131" s="314"/>
      <c r="AL1131" s="326"/>
      <c r="AM1131" s="326"/>
      <c r="AN1131" s="326"/>
      <c r="AO1131" s="326"/>
      <c r="AP1131" s="326"/>
      <c r="AQ1131" s="314"/>
      <c r="AR1131" s="314"/>
      <c r="AS1131" s="314"/>
      <c r="AT1131" s="314"/>
      <c r="AU1131" s="314"/>
      <c r="AV1131" s="314"/>
      <c r="AW1131" s="314"/>
      <c r="AX1131" s="314"/>
      <c r="AY1131" s="314"/>
      <c r="AZ1131" s="314"/>
      <c r="BA1131" s="314"/>
      <c r="BB1131" s="314"/>
      <c r="BC1131" s="314"/>
      <c r="BD1131" s="314"/>
      <c r="BE1131" s="314"/>
      <c r="BF1131" s="314"/>
      <c r="BG1131" s="364"/>
      <c r="BH1131" s="364"/>
      <c r="BI1131" s="314"/>
      <c r="BJ1131" s="314"/>
      <c r="BK1131" s="314"/>
      <c r="BL1131" s="314"/>
      <c r="BM1131" s="314"/>
      <c r="BN1131" s="314"/>
      <c r="BO1131" s="314"/>
      <c r="BP1131" s="314"/>
      <c r="BQ1131" s="314"/>
      <c r="BR1131" s="314"/>
      <c r="BS1131" s="314"/>
      <c r="BT1131" s="314"/>
      <c r="BU1131" s="314"/>
      <c r="BV1131" s="314"/>
      <c r="BW1131" s="314"/>
      <c r="BX1131" s="314"/>
      <c r="BY1131" s="314"/>
      <c r="BZ1131" s="314"/>
      <c r="CA1131" s="314"/>
      <c r="CB1131" s="314"/>
      <c r="CC1131" s="314"/>
      <c r="CD1131" s="314"/>
      <c r="CE1131" s="314"/>
      <c r="CF1131" s="314"/>
      <c r="CG1131" s="314"/>
      <c r="CH1131" s="314"/>
      <c r="CI1131" s="314"/>
      <c r="CJ1131" s="314"/>
      <c r="CK1131" s="314"/>
      <c r="CL1131" s="314"/>
      <c r="CM1131" s="314"/>
      <c r="CN1131" s="314"/>
      <c r="CO1131" s="314"/>
      <c r="CP1131" s="314"/>
      <c r="CQ1131" s="319"/>
    </row>
    <row r="1132" spans="1:95" ht="12.75" customHeight="1" x14ac:dyDescent="0.25">
      <c r="A1132" s="307"/>
      <c r="B1132" s="68"/>
      <c r="C1132" s="199" t="s">
        <v>13</v>
      </c>
      <c r="D1132" s="344" t="str">
        <f>Translations!$B$360</f>
        <v>UCF:</v>
      </c>
      <c r="E1132" s="345"/>
      <c r="F1132" s="10"/>
      <c r="G1132" s="1256" t="str">
        <f>IF(OR(ISBLANK(F1132),F1132=EUconst_NoTier),"",IF(Z1132=0,EUconst_NotApplicable,IF(ISERROR(Z1132),"",Z1132)))</f>
        <v/>
      </c>
      <c r="H1132" s="1257"/>
      <c r="I1132" s="365" t="str">
        <f>IF(J1132&lt;&gt;"","",AI1132)</f>
        <v/>
      </c>
      <c r="J1132" s="11"/>
      <c r="K1132" s="366" t="str">
        <f>IF(L1132="",AU1132,"")</f>
        <v/>
      </c>
      <c r="L1132" s="23"/>
      <c r="M1132" s="347" t="str">
        <f>IF(AND(E1125&lt;&gt;"",OR(F1132="",COUNT(K1132:L1132)=0),Y1132&lt;&gt;EUconst_NA),EUconst_ERR_Incomplete,IF(COUNTIF(BB1132:BD1132,TRUE)&gt;0,EUconst_ERR_Inconsistent,""))</f>
        <v/>
      </c>
      <c r="N1132" s="367"/>
      <c r="O1132" s="160"/>
      <c r="P1132" s="109"/>
      <c r="Q1132" s="312"/>
      <c r="R1132" s="312"/>
      <c r="S1132" s="314"/>
      <c r="T1132" s="368" t="str">
        <f>EUconst_CNTR_UCF&amp;E1125</f>
        <v>UCF_</v>
      </c>
      <c r="U1132" s="312"/>
      <c r="V1132" s="369" t="str">
        <f>V1133</f>
        <v/>
      </c>
      <c r="W1132" s="314"/>
      <c r="X1132" s="312"/>
      <c r="Y1132" s="370" t="str">
        <f>IF(E1125="","",IF(OR(F1132=EUconst_NA,W1132=TRUE),EUconst_NA,INDEX(EUwideConstants!$P$164:$P$200,MATCH(T1132,EUwideConstants!$S$164:$S$200,0))))</f>
        <v/>
      </c>
      <c r="Z1132" s="371" t="str">
        <f>IF(ISBLANK(F1132),"",IF(F1132=EUconst_NA,"",INDEX(EUwideConstants!$H:$O,MATCH(T1132,EUwideConstants!$S:$S,0),MATCH(F1132,CNTR_TierList,0))))</f>
        <v/>
      </c>
      <c r="AA1132" s="372" t="str">
        <f>IF(COUNTIF(EUconst_DefaultValues,Z1132)&gt;0,MATCH(Z1132,EUconst_DefaultValues,0),"")</f>
        <v/>
      </c>
      <c r="AB1132" s="314"/>
      <c r="AC1132" s="373" t="b">
        <f>AND(AC1130,Y1132&lt;&gt;EUconst_NA)</f>
        <v>0</v>
      </c>
      <c r="AD1132" s="314"/>
      <c r="AE1132" s="353" t="str">
        <f>EUconst_CNTR_UCF&amp;EUconst_Unit</f>
        <v>UCF_Unit</v>
      </c>
      <c r="AF1132" s="374" t="str">
        <f>IF(AC1132=TRUE, IF(COUNTIF(MSPara_SourceStreamCategory,V1132)=0,"",INDEX(MSPara_CalcFactorsMatrix,MATCH(V1132,MSPara_SourceStreamCategory,0),MATCH(AE1132&amp;"_"&amp;2,MSPara_CalcFactors,0))),"")</f>
        <v/>
      </c>
      <c r="AG1132" s="375" t="str">
        <f>IF(AC1132=TRUE, IF(COUNTIF(MSPara_SourceStreamCategory,V1132)=0,"",INDEX(MSPara_CalcFactorsMatrix,MATCH(V1132,MSPara_SourceStreamCategory,0),MATCH(AE1132&amp;"_"&amp;1,MSPara_CalcFactors,0))),"")</f>
        <v/>
      </c>
      <c r="AH1132" s="373" t="str">
        <f>IF(AA1132="","",INDEX(AF1132:AG1132,3-AA1132))</f>
        <v/>
      </c>
      <c r="AI1132" s="373" t="str">
        <f>IF(AC1132=TRUE,IF(OR(AH1132="",AH1132=EUconst_NA),EUconst_GJ&amp;"/"&amp;AJ1130,AH1132),"")</f>
        <v/>
      </c>
      <c r="AJ1132" s="373" t="str">
        <f>IF(J1132="",AI1132,J1132)</f>
        <v/>
      </c>
      <c r="AK1132" s="369" t="b">
        <f>AND(E1124&lt;&gt;"",J1132&lt;&gt;"")</f>
        <v>0</v>
      </c>
      <c r="AL1132" s="326"/>
      <c r="AM1132" s="358" t="s">
        <v>151</v>
      </c>
      <c r="AN1132" s="359" t="str">
        <f>IF(AJ1132="",EUconst_NA,IF(AN1130=EUconst_TJ,EUconst_TJ,INDEX(EUwideConstants!$C$135:$G$139,MATCH(AN1130,RFAUnits,0),MATCH(AJ1132,UCFUnits,0))))</f>
        <v>n.a.</v>
      </c>
      <c r="AO1132" s="326"/>
      <c r="AP1132" s="326"/>
      <c r="AQ1132" s="376" t="str">
        <f>EUconst_CNTR_UCF&amp;EUconst_Value</f>
        <v>UCF_Value</v>
      </c>
      <c r="AR1132" s="377" t="str">
        <f>IF(AC1132=TRUE,IF(COUNTIF(MSPara_SourceStreamCategory,V1132)=0,"",INDEX(MSPara_CalcFactorsMatrix,MATCH(V1132,MSPara_SourceStreamCategory,0),MATCH(AQ1132&amp;"_"&amp;2,MSPara_CalcFactors,0))),"")</f>
        <v/>
      </c>
      <c r="AS1132" s="378" t="str">
        <f>IF(AC1132=TRUE,IF(COUNTIF(MSPara_SourceStreamCategory,V1132)=0,"",INDEX(MSPara_CalcFactorsMatrix,MATCH(V1132,MSPara_SourceStreamCategory,0),MATCH(AQ1132&amp;"_"&amp;1,MSPara_CalcFactors,0))),"")</f>
        <v/>
      </c>
      <c r="AT1132" s="379" t="b">
        <f>AND(AND(AH1132&lt;&gt;"",AJ1132&lt;&gt;""),AJ1132=AH1132)</f>
        <v>0</v>
      </c>
      <c r="AU1132" s="380" t="str">
        <f>IF(AND(AA1132&lt;&gt;"",AT1132=TRUE),IF(OR(INDEX(AR1132:AS1132,3-AA1132)=EUconst_NA,INDEX(AR1132:AS1132,3-AA1132)=0),"",INDEX(AR1132:AS1132,3-AA1132)),"")</f>
        <v/>
      </c>
      <c r="AV1132" s="373">
        <f>IF(AC1132=TRUE,IF(COUNT(K1132:L1132)=0,0,IF(L1132="",K1132,L1132)),0)</f>
        <v>0</v>
      </c>
      <c r="AW1132" s="369" t="b">
        <f t="shared" ref="AW1132:AW1139" si="342">AND(AC1132=TRUE,OR(AND(F1132&lt;&gt;"",NOT(ISNUMBER(AA1132))),L1132&lt;&gt;"",F1132="",AU1132=""))</f>
        <v>0</v>
      </c>
      <c r="AX1132" s="381" t="b">
        <f t="shared" ref="AX1132:AX1139" si="343">AND(AC1132=TRUE,NOT(AW1132))</f>
        <v>0</v>
      </c>
      <c r="AY1132" s="314"/>
      <c r="AZ1132" s="382" t="b">
        <f t="shared" ref="AZ1132:AZ1139" si="344">AND(ISNUMBER(AA1132),AU1132="")</f>
        <v>0</v>
      </c>
      <c r="BA1132" s="383" t="b">
        <f t="shared" ref="BA1132:BA1139" si="345">AND(ISNUMBER(AA1132),AU1132&lt;&gt;AV1132)</f>
        <v>0</v>
      </c>
      <c r="BB1132" s="369" t="b">
        <f>AND(E1125&lt;&gt;"",F1132&lt;&gt;EUconst_NA,AN1132=EUconst_NA)</f>
        <v>0</v>
      </c>
      <c r="BC1132" s="369" t="b">
        <f t="shared" ref="BC1132:BC1139" si="346">AND(L1132&lt;&gt;"",Y1132=EUconst_NA)</f>
        <v>0</v>
      </c>
      <c r="BD1132" s="314"/>
      <c r="BE1132" s="314"/>
      <c r="BF1132" s="382" t="s">
        <v>152</v>
      </c>
      <c r="BG1132" s="384" t="str">
        <f>IF(COUNTIF(AO1133:AO1134,TRUE)=0,"",BH1132*AV1141)</f>
        <v/>
      </c>
      <c r="BH1132" s="384" t="str">
        <f>IF(COUNTIF(AO1133:AO1134,TRUE)=0,"",AV1130*IF(AO1133,1,AV1132*AN1134)*AV1133*AV1134)</f>
        <v/>
      </c>
      <c r="BI1132" s="314"/>
      <c r="BJ1132" s="314"/>
      <c r="BK1132" s="314"/>
      <c r="BL1132" s="314"/>
      <c r="BM1132" s="314"/>
      <c r="BN1132" s="314"/>
      <c r="BO1132" s="314"/>
      <c r="BP1132" s="314"/>
      <c r="BQ1132" s="314"/>
      <c r="BR1132" s="314"/>
      <c r="BS1132" s="314"/>
      <c r="BT1132" s="314"/>
      <c r="BU1132" s="314"/>
      <c r="BV1132" s="314"/>
      <c r="BW1132" s="314"/>
      <c r="BX1132" s="314"/>
      <c r="BY1132" s="314"/>
      <c r="BZ1132" s="314"/>
      <c r="CA1132" s="314"/>
      <c r="CB1132" s="314"/>
      <c r="CC1132" s="314"/>
      <c r="CD1132" s="314"/>
      <c r="CE1132" s="314"/>
      <c r="CF1132" s="314"/>
      <c r="CG1132" s="314"/>
      <c r="CH1132" s="314"/>
      <c r="CI1132" s="314"/>
      <c r="CJ1132" s="314"/>
      <c r="CK1132" s="314"/>
      <c r="CL1132" s="314"/>
      <c r="CM1132" s="314"/>
      <c r="CN1132" s="314"/>
      <c r="CO1132" s="314"/>
      <c r="CP1132" s="314"/>
      <c r="CQ1132" s="369" t="b">
        <f>OR(CQ1130,Y1132=EUconst_NA)</f>
        <v>0</v>
      </c>
    </row>
    <row r="1133" spans="1:95" ht="12.75" customHeight="1" thickBot="1" x14ac:dyDescent="0.3">
      <c r="A1133" s="307"/>
      <c r="B1133" s="68"/>
      <c r="C1133" s="199" t="s">
        <v>14</v>
      </c>
      <c r="D1133" s="344" t="str">
        <f>Translations!$B$358</f>
        <v>(prelim) EF:</v>
      </c>
      <c r="E1133" s="345"/>
      <c r="F1133" s="59"/>
      <c r="G1133" s="1256" t="str">
        <f>IF(OR(ISBLANK(F1133),F1133=EUconst_NoTier),"",IF(Z1133=0,EUconst_NotApplicable,IF(ISERROR(Z1133),"",Z1133)))</f>
        <v/>
      </c>
      <c r="H1133" s="1260"/>
      <c r="I1133" s="385" t="str">
        <f>IF(J1133&lt;&gt;"","",AI1133)</f>
        <v/>
      </c>
      <c r="J1133" s="22"/>
      <c r="K1133" s="386" t="str">
        <f>IF(L1133="",AU1133,"")</f>
        <v/>
      </c>
      <c r="L1133" s="58"/>
      <c r="M1133" s="347" t="str">
        <f>IF(AND(E1125&lt;&gt;"",OR(F1133="",COUNT(K1133:L1133)=0),Y1133&lt;&gt;EUconst_NA),EUconst_ERR_Incomplete,IF(COUNTIF(BB1133:BD1133,TRUE)&gt;0,EUconst_ERR_Inconsistent,""))</f>
        <v/>
      </c>
      <c r="N1133" s="387"/>
      <c r="O1133" s="160"/>
      <c r="P1133" s="109"/>
      <c r="Q1133" s="312"/>
      <c r="R1133" s="312"/>
      <c r="S1133" s="314"/>
      <c r="T1133" s="388" t="str">
        <f>EUconst_CNTR_EF&amp;E1125</f>
        <v>EF_</v>
      </c>
      <c r="U1133" s="312"/>
      <c r="V1133" s="389" t="str">
        <f>V1130</f>
        <v/>
      </c>
      <c r="W1133" s="314"/>
      <c r="X1133" s="312"/>
      <c r="Y1133" s="390" t="str">
        <f>IF(E1125="","",IF(OR(F1133=EUconst_NA,W1133=TRUE),EUconst_NA,INDEX(EUwideConstants!$P$164:$P$200,MATCH(T1133,EUwideConstants!$S$164:$S$200,0))))</f>
        <v/>
      </c>
      <c r="Z1133" s="391" t="str">
        <f>IF(ISBLANK(F1133),"",IF(F1133=EUconst_NA,"",INDEX(EUwideConstants!$H:$O,MATCH(T1133,EUwideConstants!$S:$S,0),MATCH(F1133,CNTR_TierList,0))))</f>
        <v/>
      </c>
      <c r="AA1133" s="392" t="str">
        <f>IF(COUNTIF(EUconst_DefaultValues,Z1133)&gt;0,MATCH(Z1133,EUconst_DefaultValues,0),"")</f>
        <v/>
      </c>
      <c r="AB1133" s="314"/>
      <c r="AC1133" s="393" t="b">
        <f>AND(AC1130,Y1133&lt;&gt;EUconst_NA)</f>
        <v>0</v>
      </c>
      <c r="AD1133" s="314"/>
      <c r="AE1133" s="394" t="str">
        <f>EUconst_CNTR_EF&amp;EUconst_Unit</f>
        <v>EF_Unit</v>
      </c>
      <c r="AF1133" s="395" t="str">
        <f>IF(AC1133=TRUE, IF(COUNTIF(MSPara_SourceStreamCategory,V1133)=0,"",INDEX(MSPara_CalcFactorsMatrix,MATCH(V1133,MSPara_SourceStreamCategory,0),MATCH(AE1133&amp;"_"&amp;2,MSPara_CalcFactors,0))),"")</f>
        <v/>
      </c>
      <c r="AG1133" s="396" t="str">
        <f>IF(AC1133=TRUE, IF(COUNTIF(MSPara_SourceStreamCategory,V1133)=0,"",INDEX(MSPara_CalcFactorsMatrix,MATCH(V1133,MSPara_SourceStreamCategory,0),MATCH(AE1133&amp;"_"&amp;1,MSPara_CalcFactors,0))),"")</f>
        <v/>
      </c>
      <c r="AH1133" s="397" t="str">
        <f>IF(AA1133="","",INDEX(AF1133:AG1133,3-AA1133))</f>
        <v/>
      </c>
      <c r="AI1133" s="397" t="str">
        <f>IF(AC1133=TRUE,IF(OR(AH1133="",AH1133=EUconst_NA),EUconst_tCO2&amp;"/"&amp;IF(AN1132=EUconst_NA,AN1130,IF(AN1132=EUconst_GJ,EUconst_TJ,AN1132)),AH1133),"")</f>
        <v/>
      </c>
      <c r="AJ1133" s="397" t="str">
        <f>IF(J1133="",AI1133,J1133)</f>
        <v/>
      </c>
      <c r="AK1133" s="398" t="b">
        <f>AND(E1125&lt;&gt;"",J1133&lt;&gt;"")</f>
        <v>0</v>
      </c>
      <c r="AL1133" s="326"/>
      <c r="AM1133" s="358" t="s">
        <v>153</v>
      </c>
      <c r="AN1133" s="359" t="str">
        <f>IF(COUNTIF(RFAUnits,AN1130)=0,EUconst_NA,INDEX(EUwideConstants!$C$150:$H$154,MATCH(AJ1133,EFUnits,0),MATCH(AN1130,EUwideConstants!$C$149:$H$149,0)))</f>
        <v>n.a.</v>
      </c>
      <c r="AO1133" s="359" t="b">
        <f>AN1133&lt;&gt;EUconst_NA</f>
        <v>0</v>
      </c>
      <c r="AP1133" s="326"/>
      <c r="AQ1133" s="399" t="str">
        <f>EUconst_CNTR_EF&amp;EUconst_Value</f>
        <v>EF_Value</v>
      </c>
      <c r="AR1133" s="400" t="str">
        <f>IF(AC1133=TRUE,IF(COUNTIF(MSPara_SourceStreamCategory,V1133)=0,"",INDEX(MSPara_CalcFactorsMatrix,MATCH(V1133,MSPara_SourceStreamCategory,0),MATCH(AQ1133&amp;"_"&amp;2,MSPara_CalcFactors,0))),"")</f>
        <v/>
      </c>
      <c r="AS1133" s="401" t="str">
        <f>IF(AC1133=TRUE,IF(COUNTIF(MSPara_SourceStreamCategory,V1133)=0,"",INDEX(MSPara_CalcFactorsMatrix,MATCH(V1133,MSPara_SourceStreamCategory,0),MATCH(AQ1133&amp;"_"&amp;1,MSPara_CalcFactors,0))),"")</f>
        <v/>
      </c>
      <c r="AT1133" s="402" t="b">
        <f>AND(AND(AH1133&lt;&gt;"",AJ1133&lt;&gt;""),AJ1133=AH1133)</f>
        <v>0</v>
      </c>
      <c r="AU1133" s="403" t="str">
        <f>IF(AND(AA1133&lt;&gt;"",AT1133=TRUE),IF(OR(INDEX(AR1133:AS1133,3-AA1133)=EUconst_NA,INDEX(AR1133:AS1133,3-AA1133)=0),"",INDEX(AR1133:AS1133,3-AA1133)),"")</f>
        <v/>
      </c>
      <c r="AV1133" s="393">
        <f>IF(AC1133=TRUE,IF(COUNT(K1133:L1133)=0,0,IF(L1133="",K1133,L1133)),0)</f>
        <v>0</v>
      </c>
      <c r="AW1133" s="389" t="b">
        <f t="shared" si="342"/>
        <v>0</v>
      </c>
      <c r="AX1133" s="404" t="b">
        <f t="shared" si="343"/>
        <v>0</v>
      </c>
      <c r="AY1133" s="314"/>
      <c r="AZ1133" s="405" t="b">
        <f t="shared" si="344"/>
        <v>0</v>
      </c>
      <c r="BA1133" s="406" t="b">
        <f t="shared" si="345"/>
        <v>0</v>
      </c>
      <c r="BB1133" s="407" t="b">
        <f>AND(E1125&lt;&gt;"",COUNTIF(AO1133:AO1134,TRUE)=0)</f>
        <v>0</v>
      </c>
      <c r="BC1133" s="389" t="b">
        <f t="shared" si="346"/>
        <v>0</v>
      </c>
      <c r="BD1133" s="314"/>
      <c r="BE1133" s="314"/>
      <c r="BF1133" s="408" t="s">
        <v>154</v>
      </c>
      <c r="BG1133" s="409" t="str">
        <f>IF(COUNTIF(AO1133:AO1134,TRUE)=0,"",BH1133*AV1141)</f>
        <v/>
      </c>
      <c r="BH1133" s="409" t="str">
        <f>IF(COUNTIF(AO1133:AO1134,TRUE)=0,"",AV1130*IF(AO1133,1,AV1132*AN1134)*AV1133*AV1135)</f>
        <v/>
      </c>
      <c r="BI1133" s="314"/>
      <c r="BJ1133" s="314"/>
      <c r="BK1133" s="314"/>
      <c r="BL1133" s="314"/>
      <c r="BM1133" s="314"/>
      <c r="BN1133" s="314"/>
      <c r="BO1133" s="314"/>
      <c r="BP1133" s="314"/>
      <c r="BQ1133" s="314"/>
      <c r="BR1133" s="314"/>
      <c r="BS1133" s="314"/>
      <c r="BT1133" s="314"/>
      <c r="BU1133" s="314"/>
      <c r="BV1133" s="314"/>
      <c r="BW1133" s="314"/>
      <c r="BX1133" s="314"/>
      <c r="BY1133" s="314"/>
      <c r="BZ1133" s="314"/>
      <c r="CA1133" s="314"/>
      <c r="CB1133" s="314"/>
      <c r="CC1133" s="314"/>
      <c r="CD1133" s="314"/>
      <c r="CE1133" s="314"/>
      <c r="CF1133" s="314"/>
      <c r="CG1133" s="314"/>
      <c r="CH1133" s="314"/>
      <c r="CI1133" s="314"/>
      <c r="CJ1133" s="314"/>
      <c r="CK1133" s="314"/>
      <c r="CL1133" s="314"/>
      <c r="CM1133" s="314"/>
      <c r="CN1133" s="314"/>
      <c r="CO1133" s="314"/>
      <c r="CP1133" s="314"/>
      <c r="CQ1133" s="407" t="b">
        <f>OR(CQ1130,Y1133=EUconst_NA)</f>
        <v>0</v>
      </c>
    </row>
    <row r="1134" spans="1:95" ht="12.75" customHeight="1" x14ac:dyDescent="0.25">
      <c r="A1134" s="307"/>
      <c r="B1134" s="68"/>
      <c r="C1134" s="199" t="s">
        <v>15</v>
      </c>
      <c r="D1134" s="344" t="str">
        <f>Translations!$B$362</f>
        <v>BioF:</v>
      </c>
      <c r="E1134" s="345"/>
      <c r="F1134" s="10"/>
      <c r="G1134" s="1256" t="str">
        <f>IF(OR(ISBLANK(F1134),F1134=EUconst_NoTier),"",IF(Z1134=0,EUconst_NotApplicable,IF(ISERROR(Z1134),"",Z1134)))</f>
        <v/>
      </c>
      <c r="H1134" s="1257"/>
      <c r="I1134" s="410" t="str">
        <f t="shared" ref="I1134:I1139" si="347">IF(OR(AC1134=FALSE,Y1134=EUconst_NA),"","-")</f>
        <v/>
      </c>
      <c r="J1134" s="411"/>
      <c r="K1134" s="412" t="str">
        <f>IF(L1134="",AU1134,"")</f>
        <v/>
      </c>
      <c r="L1134" s="60"/>
      <c r="M1134" s="347" t="str">
        <f>IF(AND(E1125&lt;&gt;"",OR(F1134="",COUNT(K1134:L1134)=0),Y1134&lt;&gt;EUconst_NA),EUconst_ERR_Incomplete,IF(COUNTIF(BB1134:BD1134,TRUE)&gt;0,EUconst_ERR_Inconsistent,""))</f>
        <v/>
      </c>
      <c r="O1134" s="160"/>
      <c r="P1134" s="348"/>
      <c r="Q1134" s="413"/>
      <c r="R1134" s="413"/>
      <c r="S1134" s="314"/>
      <c r="T1134" s="388" t="str">
        <f>EUconst_CNTR_BiomassContent&amp;E1125</f>
        <v>BioC_</v>
      </c>
      <c r="U1134" s="312"/>
      <c r="V1134" s="369" t="str">
        <f>V1132</f>
        <v/>
      </c>
      <c r="W1134" s="369" t="str">
        <f>IF(OR(V1134="",COUNTIF(MSPara_SourceStreamCategory,V1134)=0),"",INDEX(MSPara_IsFossil,MATCH(V1134,MSPara_SourceStreamCategory,0)))</f>
        <v/>
      </c>
      <c r="X1134" s="312"/>
      <c r="Y1134" s="370" t="str">
        <f>IF(E1125="","",IF(OR(F1134=EUconst_NA,W1134=TRUE),EUconst_NA,INDEX(EUwideConstants!$P$164:$P$200,MATCH(T1134,EUwideConstants!$S$164:$S$200,0))))</f>
        <v/>
      </c>
      <c r="Z1134" s="371" t="str">
        <f>IF(ISBLANK(F1134),"",IF(F1134=EUconst_NA,"",INDEX(EUwideConstants!$H:$O,MATCH(T1134,EUwideConstants!$S:$S,0),MATCH(F1134,CNTR_TierList,0))))</f>
        <v/>
      </c>
      <c r="AA1134" s="414" t="str">
        <f>IF(F1134=1,1,"")</f>
        <v/>
      </c>
      <c r="AB1134" s="314"/>
      <c r="AC1134" s="373" t="b">
        <f>AND(AC1130,Y1134&lt;&gt;EUconst_NA)</f>
        <v>0</v>
      </c>
      <c r="AD1134" s="314"/>
      <c r="AE1134" s="415"/>
      <c r="AF1134" s="416"/>
      <c r="AG1134" s="417"/>
      <c r="AH1134" s="418"/>
      <c r="AI1134" s="418"/>
      <c r="AJ1134" s="418"/>
      <c r="AK1134" s="419"/>
      <c r="AL1134" s="326"/>
      <c r="AM1134" s="358" t="s">
        <v>155</v>
      </c>
      <c r="AN1134" s="359" t="str">
        <f>IF(AN1132=EUconst_NA,EUconst_NA,INDEX(EUwideConstants!$C$150:$H$154,MATCH(AJ1133,EFUnits,0),MATCH(AN1132,EUwideConstants!$C$149:$H$149,0)))</f>
        <v>n.a.</v>
      </c>
      <c r="AO1134" s="359" t="b">
        <f>AN1134&lt;&gt;EUconst_NA</f>
        <v>0</v>
      </c>
      <c r="AP1134" s="326"/>
      <c r="AQ1134" s="376" t="str">
        <f>EUconst_CNTR_BiomassContent&amp;EUconst_Value</f>
        <v>BioC_Value</v>
      </c>
      <c r="AR1134" s="420"/>
      <c r="AS1134" s="378" t="str">
        <f t="shared" ref="AS1134:AS1139" si="348">IF(AC1134=TRUE,IF(COUNTIF(MSPara_SourceStreamCategory,V1134)=0,"",INDEX(MSPara_CalcFactorsMatrix,MATCH(V1134,MSPara_SourceStreamCategory,0),MATCH(AQ1134&amp;"_"&amp;2,MSPara_CalcFactors,0))),"")</f>
        <v/>
      </c>
      <c r="AT1134" s="421"/>
      <c r="AU1134" s="380" t="str">
        <f t="shared" ref="AU1134:AU1139" si="349">IF(OR(AA1134="",AS1134=EUconst_NA),"",AS1134)</f>
        <v/>
      </c>
      <c r="AV1134" s="373">
        <f>IF(AC1134=TRUE,IF(COUNT(K1134:L1134)=0,0,IF(L1134="",K1134,L1134)),0)</f>
        <v>0</v>
      </c>
      <c r="AW1134" s="369" t="b">
        <f t="shared" si="342"/>
        <v>0</v>
      </c>
      <c r="AX1134" s="381" t="b">
        <f t="shared" si="343"/>
        <v>0</v>
      </c>
      <c r="AY1134" s="314"/>
      <c r="AZ1134" s="382" t="b">
        <f t="shared" si="344"/>
        <v>0</v>
      </c>
      <c r="BA1134" s="383" t="b">
        <f t="shared" si="345"/>
        <v>0</v>
      </c>
      <c r="BB1134" s="314"/>
      <c r="BC1134" s="369" t="b">
        <f t="shared" si="346"/>
        <v>0</v>
      </c>
      <c r="BD1134" s="369" t="b">
        <f>OR(AV1134&gt;100%,(AV1134+AV1135)&gt;100%)</f>
        <v>0</v>
      </c>
      <c r="BE1134" s="314"/>
      <c r="BF1134" s="382" t="s">
        <v>156</v>
      </c>
      <c r="BG1134" s="384" t="str">
        <f>IF(COUNTIF(AO1133:AO1134,TRUE)=0,"",BH1134*AV1141)</f>
        <v/>
      </c>
      <c r="BH1134" s="384" t="str">
        <f>IF(COUNTIF(AO1133:AO1134,TRUE)=0,"",AV1130*IF(AO1133,1,AV1132*AN1134)*AV1133*AV1136)</f>
        <v/>
      </c>
      <c r="BJ1134" s="314"/>
      <c r="BK1134" s="314"/>
      <c r="BL1134" s="314"/>
      <c r="BM1134" s="314"/>
      <c r="BN1134" s="314"/>
      <c r="BO1134" s="314"/>
      <c r="BP1134" s="314"/>
      <c r="BQ1134" s="314"/>
      <c r="BR1134" s="314"/>
      <c r="BS1134" s="314"/>
      <c r="BT1134" s="314"/>
      <c r="BU1134" s="314"/>
      <c r="BV1134" s="314"/>
      <c r="BW1134" s="314"/>
      <c r="BX1134" s="314"/>
      <c r="BY1134" s="314"/>
      <c r="BZ1134" s="314"/>
      <c r="CA1134" s="314"/>
      <c r="CB1134" s="314"/>
      <c r="CC1134" s="314"/>
      <c r="CD1134" s="314"/>
      <c r="CE1134" s="314"/>
      <c r="CF1134" s="314"/>
      <c r="CG1134" s="314"/>
      <c r="CH1134" s="314"/>
      <c r="CI1134" s="314"/>
      <c r="CJ1134" s="314"/>
      <c r="CK1134" s="314"/>
      <c r="CL1134" s="314"/>
      <c r="CM1134" s="314"/>
      <c r="CN1134" s="314"/>
      <c r="CO1134" s="314"/>
      <c r="CP1134" s="314"/>
      <c r="CQ1134" s="369" t="b">
        <f>OR(CQ1130,Y1134=EUconst_NA)</f>
        <v>0</v>
      </c>
    </row>
    <row r="1135" spans="1:95" ht="12.75" customHeight="1" thickBot="1" x14ac:dyDescent="0.3">
      <c r="A1135" s="307"/>
      <c r="B1135" s="68"/>
      <c r="C1135" s="199" t="s">
        <v>16</v>
      </c>
      <c r="D1135" s="344" t="str">
        <f>Translations!$B$368</f>
        <v>non-sust. BioF:</v>
      </c>
      <c r="E1135" s="345"/>
      <c r="F1135" s="20"/>
      <c r="G1135" s="1256" t="str">
        <f>IF(OR(ISBLANK(F1135),F1135=EUconst_NoTier),"",IF(Z1135=0,EUconst_NotApplicable,IF(ISERROR(Z1135),"",Z1135)))</f>
        <v/>
      </c>
      <c r="H1135" s="1257"/>
      <c r="I1135" s="422" t="str">
        <f t="shared" si="347"/>
        <v/>
      </c>
      <c r="J1135" s="423"/>
      <c r="K1135" s="424" t="str">
        <f>IF(L1135="",AU1135,"")</f>
        <v/>
      </c>
      <c r="L1135" s="21"/>
      <c r="M1135" s="347" t="str">
        <f>IF(AND(E1125&lt;&gt;"",OR(F1135="",COUNT(K1135:L1135)=0),Y1135&lt;&gt;EUconst_NA),EUconst_ERR_Incomplete,IF(COUNTIF(BB1135:BD1135,TRUE)&gt;0,EUconst_ERR_Inconsistent,""))</f>
        <v/>
      </c>
      <c r="N1135" s="76"/>
      <c r="O1135" s="160"/>
      <c r="P1135" s="348"/>
      <c r="Q1135" s="413"/>
      <c r="R1135" s="413"/>
      <c r="S1135" s="314"/>
      <c r="T1135" s="425" t="str">
        <f>EUconst_CNTR_BiomassContent&amp;E1125</f>
        <v>BioC_</v>
      </c>
      <c r="U1135" s="312"/>
      <c r="V1135" s="407" t="str">
        <f>V1134</f>
        <v/>
      </c>
      <c r="W1135" s="407" t="str">
        <f>IF(OR(V1134="",COUNTIF(MSPara_SourceStreamCategory,V1135)=0),"",INDEX(MSPara_IsFossil,MATCH(V1135,MSPara_SourceStreamCategory,0)))</f>
        <v/>
      </c>
      <c r="X1135" s="312"/>
      <c r="Y1135" s="426" t="str">
        <f>IF(E1125="","",IF(OR(F1135=EUconst_NA,W1135=TRUE),EUconst_NA,INDEX(EUwideConstants!$P$164:$P$200,MATCH(T1135,EUwideConstants!$S$164:$S$200,0))))</f>
        <v/>
      </c>
      <c r="Z1135" s="427" t="str">
        <f>IF(ISBLANK(F1135),"",IF(F1135=EUconst_NA,"",INDEX(EUwideConstants!$H:$O,MATCH(T1135,EUwideConstants!$S:$S,0),MATCH(F1135,CNTR_TierList,0))))</f>
        <v/>
      </c>
      <c r="AA1135" s="428" t="str">
        <f>IF(F1135=1,1,"")</f>
        <v/>
      </c>
      <c r="AB1135" s="314"/>
      <c r="AC1135" s="429" t="b">
        <f>AND(AC1130,Y1135&lt;&gt;EUconst_NA)</f>
        <v>0</v>
      </c>
      <c r="AD1135" s="314"/>
      <c r="AE1135" s="430"/>
      <c r="AF1135" s="431"/>
      <c r="AG1135" s="432"/>
      <c r="AH1135" s="433"/>
      <c r="AI1135" s="433"/>
      <c r="AJ1135" s="433"/>
      <c r="AK1135" s="434"/>
      <c r="AL1135" s="326"/>
      <c r="AM1135" s="326"/>
      <c r="AN1135" s="326"/>
      <c r="AO1135" s="326"/>
      <c r="AP1135" s="326"/>
      <c r="AQ1135" s="435" t="str">
        <f>EUconst_CNTR_BiomassContent&amp;EUconst_Value</f>
        <v>BioC_Value</v>
      </c>
      <c r="AR1135" s="430"/>
      <c r="AS1135" s="436" t="str">
        <f t="shared" si="348"/>
        <v/>
      </c>
      <c r="AT1135" s="437"/>
      <c r="AU1135" s="438" t="str">
        <f t="shared" si="349"/>
        <v/>
      </c>
      <c r="AV1135" s="429">
        <f>IF(AC1135=TRUE,IF(COUNT(K1135:L1135)=0,0,IF(L1135="",K1135,L1135)),0)</f>
        <v>0</v>
      </c>
      <c r="AW1135" s="407" t="b">
        <f t="shared" si="342"/>
        <v>0</v>
      </c>
      <c r="AX1135" s="439" t="b">
        <f t="shared" si="343"/>
        <v>0</v>
      </c>
      <c r="AY1135" s="314"/>
      <c r="AZ1135" s="408" t="b">
        <f t="shared" si="344"/>
        <v>0</v>
      </c>
      <c r="BA1135" s="440" t="b">
        <f t="shared" si="345"/>
        <v>0</v>
      </c>
      <c r="BB1135" s="314"/>
      <c r="BC1135" s="407" t="b">
        <f t="shared" si="346"/>
        <v>0</v>
      </c>
      <c r="BD1135" s="407" t="b">
        <f>OR(AV1134&gt;100%,(AV1134+AV1135)&gt;100%)</f>
        <v>0</v>
      </c>
      <c r="BE1135" s="314"/>
      <c r="BF1135" s="408" t="s">
        <v>157</v>
      </c>
      <c r="BG1135" s="409" t="str">
        <f>IF(COUNTIF(AO1133:AO1134,TRUE)=0,"",BH1135*AV1141)</f>
        <v/>
      </c>
      <c r="BH1135" s="409" t="str">
        <f>IF(COUNTIF(AO1133:AO1134,TRUE)=0,"",AV1130*IF(AO1133,1,AV1132*AN1134)*AV1133*AV1137)</f>
        <v/>
      </c>
      <c r="BJ1135" s="314"/>
      <c r="BK1135" s="314"/>
      <c r="BL1135" s="314"/>
      <c r="BM1135" s="314"/>
      <c r="BN1135" s="314"/>
      <c r="BO1135" s="314"/>
      <c r="BP1135" s="314"/>
      <c r="BQ1135" s="314"/>
      <c r="BR1135" s="314"/>
      <c r="BS1135" s="314"/>
      <c r="BT1135" s="314"/>
      <c r="BU1135" s="314"/>
      <c r="BV1135" s="314"/>
      <c r="BW1135" s="314"/>
      <c r="BX1135" s="314"/>
      <c r="BY1135" s="314"/>
      <c r="BZ1135" s="314"/>
      <c r="CA1135" s="314"/>
      <c r="CB1135" s="314"/>
      <c r="CC1135" s="314"/>
      <c r="CD1135" s="314"/>
      <c r="CE1135" s="314"/>
      <c r="CF1135" s="314"/>
      <c r="CG1135" s="314"/>
      <c r="CH1135" s="314"/>
      <c r="CI1135" s="314"/>
      <c r="CJ1135" s="314"/>
      <c r="CK1135" s="314"/>
      <c r="CL1135" s="314"/>
      <c r="CM1135" s="314"/>
      <c r="CN1135" s="314"/>
      <c r="CO1135" s="314"/>
      <c r="CP1135" s="314"/>
      <c r="CQ1135" s="407" t="b">
        <f>OR(CQ1130,Y1135=EUconst_NA)</f>
        <v>0</v>
      </c>
    </row>
    <row r="1136" spans="1:95" ht="12.75" customHeight="1" thickBot="1" x14ac:dyDescent="0.3">
      <c r="A1136" s="307"/>
      <c r="B1136" s="68"/>
      <c r="C1136" s="199" t="s">
        <v>17</v>
      </c>
      <c r="D1136" s="344" t="str">
        <f>Translations!$B$610</f>
        <v>sust. RFNBO/RCF:</v>
      </c>
      <c r="E1136" s="441"/>
      <c r="F1136" s="19" t="s">
        <v>158</v>
      </c>
      <c r="G1136" s="1261"/>
      <c r="H1136" s="1262"/>
      <c r="I1136" s="442" t="str">
        <f t="shared" si="347"/>
        <v/>
      </c>
      <c r="J1136" s="411"/>
      <c r="K1136" s="443"/>
      <c r="L1136" s="55"/>
      <c r="M1136" s="347" t="str">
        <f>IF(AND(E1125&lt;&gt;"",OR(F1136="",COUNT(L1136)=0),Y1136&lt;&gt;EUconst_NA),EUconst_ERR_Incomplete,"")</f>
        <v/>
      </c>
      <c r="N1136" s="76"/>
      <c r="O1136" s="160"/>
      <c r="P1136" s="348"/>
      <c r="Q1136" s="413"/>
      <c r="R1136" s="413"/>
      <c r="S1136" s="314"/>
      <c r="T1136" s="388" t="str">
        <f>EUconst_CNTR_RFNBOetcContent&amp;E1125</f>
        <v>RNFBOC_</v>
      </c>
      <c r="U1136" s="312"/>
      <c r="V1136" s="312"/>
      <c r="W1136" s="312"/>
      <c r="X1136" s="312"/>
      <c r="Y1136" s="380" t="str">
        <f>IF(E1125="","",IF(OR(F1136=EUconst_NA,W1136=TRUE),EUconst_NA,INDEX(EUwideConstants!$P$164:$P$200,MATCH(T1136,EUwideConstants!$S$164:$S$200,0))))</f>
        <v/>
      </c>
      <c r="Z1136" s="314"/>
      <c r="AA1136" s="314"/>
      <c r="AB1136" s="314"/>
      <c r="AC1136" s="397" t="b">
        <f>AND(AC1132,Y1136&lt;&gt;EUconst_NA)</f>
        <v>0</v>
      </c>
      <c r="AD1136" s="314"/>
      <c r="AE1136" s="415"/>
      <c r="AF1136" s="416"/>
      <c r="AG1136" s="417"/>
      <c r="AH1136" s="418"/>
      <c r="AI1136" s="418"/>
      <c r="AJ1136" s="418"/>
      <c r="AK1136" s="419"/>
      <c r="AL1136" s="326"/>
      <c r="AM1136" s="326"/>
      <c r="AN1136" s="326"/>
      <c r="AO1136" s="326"/>
      <c r="AP1136" s="326"/>
      <c r="AQ1136" s="444" t="s">
        <v>159</v>
      </c>
      <c r="AR1136" s="415"/>
      <c r="AS1136" s="445" t="str">
        <f t="shared" si="348"/>
        <v/>
      </c>
      <c r="AT1136" s="446"/>
      <c r="AU1136" s="447" t="str">
        <f t="shared" si="349"/>
        <v/>
      </c>
      <c r="AV1136" s="397">
        <f>IF(L1136&lt;&gt;0,L1136,L1136)</f>
        <v>0</v>
      </c>
      <c r="AW1136" s="398" t="b">
        <f t="shared" si="342"/>
        <v>0</v>
      </c>
      <c r="AX1136" s="448" t="b">
        <f t="shared" si="343"/>
        <v>0</v>
      </c>
      <c r="AY1136" s="314"/>
      <c r="AZ1136" s="449" t="b">
        <f t="shared" si="344"/>
        <v>0</v>
      </c>
      <c r="BA1136" s="450" t="b">
        <f t="shared" si="345"/>
        <v>0</v>
      </c>
      <c r="BB1136" s="314"/>
      <c r="BC1136" s="398" t="b">
        <f t="shared" si="346"/>
        <v>0</v>
      </c>
      <c r="BD1136" s="369" t="b">
        <f>OR(AV1136&gt;100%,(AV1136+AV1137)&gt;100%)</f>
        <v>0</v>
      </c>
      <c r="BE1136" s="314"/>
      <c r="BF1136" s="451" t="s">
        <v>160</v>
      </c>
      <c r="BG1136" s="452" t="str">
        <f>IF(COUNTIF(AO1133:AO1134,TRUE)=0,"",BH1136*AV1141)</f>
        <v/>
      </c>
      <c r="BH1136" s="452" t="str">
        <f>IF(COUNTIF(AO1133:AO1134,TRUE)=0,"",AV1130*IF(AO1133,1,AV1132*AN1134)*AV1133*AV1138)</f>
        <v/>
      </c>
      <c r="BJ1136" s="314"/>
      <c r="BK1136" s="314"/>
      <c r="BL1136" s="314"/>
      <c r="BM1136" s="314"/>
      <c r="BN1136" s="314"/>
      <c r="BO1136" s="314"/>
      <c r="BP1136" s="314"/>
      <c r="BQ1136" s="314"/>
      <c r="BR1136" s="314"/>
      <c r="BS1136" s="314"/>
      <c r="BT1136" s="314"/>
      <c r="BU1136" s="314"/>
      <c r="BV1136" s="314"/>
      <c r="BW1136" s="314"/>
      <c r="BX1136" s="314"/>
      <c r="BY1136" s="314"/>
      <c r="BZ1136" s="314"/>
      <c r="CA1136" s="314"/>
      <c r="CB1136" s="314"/>
      <c r="CC1136" s="314"/>
      <c r="CD1136" s="314"/>
      <c r="CE1136" s="314"/>
      <c r="CF1136" s="314"/>
      <c r="CG1136" s="314"/>
      <c r="CH1136" s="314"/>
      <c r="CI1136" s="314"/>
      <c r="CJ1136" s="314"/>
      <c r="CK1136" s="314"/>
      <c r="CL1136" s="314"/>
      <c r="CM1136" s="314"/>
      <c r="CN1136" s="314"/>
      <c r="CO1136" s="314"/>
      <c r="CP1136" s="314"/>
      <c r="CQ1136" s="407" t="b">
        <f>OR(CQ1130,Y1136=EUconst_NA)</f>
        <v>0</v>
      </c>
    </row>
    <row r="1137" spans="1:95" ht="12.75" customHeight="1" thickBot="1" x14ac:dyDescent="0.3">
      <c r="A1137" s="307"/>
      <c r="B1137" s="68"/>
      <c r="C1137" s="199" t="s">
        <v>161</v>
      </c>
      <c r="D1137" s="344" t="str">
        <f>Translations!$B$613</f>
        <v>non-sust. RFNBO/RCF:</v>
      </c>
      <c r="E1137" s="441"/>
      <c r="F1137" s="20" t="s">
        <v>158</v>
      </c>
      <c r="G1137" s="1261"/>
      <c r="H1137" s="1262"/>
      <c r="I1137" s="422" t="str">
        <f t="shared" si="347"/>
        <v/>
      </c>
      <c r="J1137" s="423"/>
      <c r="K1137" s="443"/>
      <c r="L1137" s="56"/>
      <c r="M1137" s="347" t="str">
        <f>IF(AND(E1125&lt;&gt;"",OR(F1137="",COUNT(L1137)=0),Y1137&lt;&gt;EUconst_NA),EUconst_ERR_Incomplete,"")</f>
        <v/>
      </c>
      <c r="N1137" s="76"/>
      <c r="O1137" s="160"/>
      <c r="P1137" s="348"/>
      <c r="Q1137" s="413"/>
      <c r="R1137" s="413"/>
      <c r="S1137" s="314"/>
      <c r="T1137" s="425" t="str">
        <f>EUconst_CNTR_RFNBOetcContent&amp;E1125</f>
        <v>RNFBOC_</v>
      </c>
      <c r="U1137" s="312"/>
      <c r="V1137" s="312"/>
      <c r="W1137" s="312"/>
      <c r="X1137" s="312"/>
      <c r="Y1137" s="438" t="str">
        <f>IF(E1125="","",IF(OR(F1137=EUconst_NA,W1137=TRUE),EUconst_NA,INDEX(EUwideConstants!$P$164:$P$200,MATCH(T1137,EUwideConstants!$S$164:$S$200,0))))</f>
        <v/>
      </c>
      <c r="Z1137" s="314"/>
      <c r="AA1137" s="314"/>
      <c r="AB1137" s="314"/>
      <c r="AC1137" s="429" t="b">
        <f>AND(AC1132,Y1137&lt;&gt;EUconst_NA)</f>
        <v>0</v>
      </c>
      <c r="AD1137" s="314"/>
      <c r="AE1137" s="430"/>
      <c r="AF1137" s="431"/>
      <c r="AG1137" s="432"/>
      <c r="AH1137" s="433"/>
      <c r="AI1137" s="433"/>
      <c r="AJ1137" s="433"/>
      <c r="AK1137" s="434"/>
      <c r="AL1137" s="326"/>
      <c r="AM1137" s="326"/>
      <c r="AN1137" s="326"/>
      <c r="AO1137" s="326"/>
      <c r="AP1137" s="326"/>
      <c r="AQ1137" s="435" t="s">
        <v>159</v>
      </c>
      <c r="AR1137" s="430"/>
      <c r="AS1137" s="436" t="str">
        <f t="shared" si="348"/>
        <v/>
      </c>
      <c r="AT1137" s="437"/>
      <c r="AU1137" s="438" t="str">
        <f t="shared" si="349"/>
        <v/>
      </c>
      <c r="AV1137" s="429">
        <f t="shared" ref="AV1137:AV1139" si="350">IF(L1137&lt;&gt;0,L1137,L1137)</f>
        <v>0</v>
      </c>
      <c r="AW1137" s="407" t="b">
        <f t="shared" si="342"/>
        <v>0</v>
      </c>
      <c r="AX1137" s="439" t="b">
        <f t="shared" si="343"/>
        <v>0</v>
      </c>
      <c r="AY1137" s="314"/>
      <c r="AZ1137" s="408" t="b">
        <f t="shared" si="344"/>
        <v>0</v>
      </c>
      <c r="BA1137" s="440" t="b">
        <f t="shared" si="345"/>
        <v>0</v>
      </c>
      <c r="BB1137" s="314"/>
      <c r="BC1137" s="407" t="b">
        <f t="shared" si="346"/>
        <v>0</v>
      </c>
      <c r="BD1137" s="407" t="b">
        <f>OR(AV1136&gt;100%,(AV1136+AV1137)&gt;100%)</f>
        <v>0</v>
      </c>
      <c r="BE1137" s="314"/>
      <c r="BF1137" s="408" t="s">
        <v>162</v>
      </c>
      <c r="BG1137" s="409" t="str">
        <f>IF(COUNTIF(AO1133:AO1134,TRUE)=0,"",BH1137*AV1141)</f>
        <v/>
      </c>
      <c r="BH1137" s="409" t="str">
        <f>IF(COUNTIF(AO1133:AO1134,TRUE)=0,"",AV1130*IF(AO1133,1,AV1132*AN1134)*AV1133*AV1139)</f>
        <v/>
      </c>
      <c r="BJ1137" s="314"/>
      <c r="BK1137" s="314"/>
      <c r="BL1137" s="314"/>
      <c r="BM1137" s="314"/>
      <c r="BN1137" s="314"/>
      <c r="BO1137" s="314"/>
      <c r="BP1137" s="314"/>
      <c r="BQ1137" s="314"/>
      <c r="BR1137" s="314"/>
      <c r="BS1137" s="314"/>
      <c r="BT1137" s="314"/>
      <c r="BU1137" s="314"/>
      <c r="BV1137" s="314"/>
      <c r="BW1137" s="314"/>
      <c r="BX1137" s="314"/>
      <c r="BY1137" s="314"/>
      <c r="BZ1137" s="314"/>
      <c r="CA1137" s="314"/>
      <c r="CB1137" s="314"/>
      <c r="CC1137" s="314"/>
      <c r="CD1137" s="314"/>
      <c r="CE1137" s="314"/>
      <c r="CF1137" s="314"/>
      <c r="CG1137" s="314"/>
      <c r="CH1137" s="314"/>
      <c r="CI1137" s="314"/>
      <c r="CJ1137" s="314"/>
      <c r="CK1137" s="314"/>
      <c r="CL1137" s="314"/>
      <c r="CM1137" s="314"/>
      <c r="CN1137" s="314"/>
      <c r="CO1137" s="314"/>
      <c r="CP1137" s="314"/>
      <c r="CQ1137" s="407" t="b">
        <f>OR(CQ1130,Y1137=EUconst_NA)</f>
        <v>0</v>
      </c>
    </row>
    <row r="1138" spans="1:95" ht="12.75" customHeight="1" thickBot="1" x14ac:dyDescent="0.3">
      <c r="A1138" s="307"/>
      <c r="B1138" s="68"/>
      <c r="C1138" s="199" t="s">
        <v>163</v>
      </c>
      <c r="D1138" s="344" t="str">
        <f>Translations!$B$615</f>
        <v>sust. SLCF:</v>
      </c>
      <c r="E1138" s="441"/>
      <c r="F1138" s="19" t="s">
        <v>158</v>
      </c>
      <c r="G1138" s="1261"/>
      <c r="H1138" s="1262"/>
      <c r="I1138" s="442" t="str">
        <f t="shared" si="347"/>
        <v/>
      </c>
      <c r="J1138" s="411"/>
      <c r="K1138" s="443"/>
      <c r="L1138" s="57"/>
      <c r="M1138" s="347" t="str">
        <f>IF(AND(E1125&lt;&gt;"",OR(F1138="",COUNT(L1138)=0),Y1138&lt;&gt;EUconst_NA),EUconst_ERR_Incomplete,"")</f>
        <v/>
      </c>
      <c r="N1138" s="76"/>
      <c r="O1138" s="160"/>
      <c r="P1138" s="348"/>
      <c r="Q1138" s="413"/>
      <c r="R1138" s="413"/>
      <c r="S1138" s="314"/>
      <c r="T1138" s="388" t="str">
        <f>EUconst_CNTR_RFNBOetcContent&amp;E1125</f>
        <v>RNFBOC_</v>
      </c>
      <c r="U1138" s="312"/>
      <c r="V1138" s="312"/>
      <c r="W1138" s="312"/>
      <c r="X1138" s="312"/>
      <c r="Y1138" s="447" t="str">
        <f>IF(E1125="","",IF(OR(F1138=EUconst_NA,W1138=TRUE),EUconst_NA,INDEX(EUwideConstants!$P$164:$P$200,MATCH(T1138,EUwideConstants!$S$164:$S$200,0))))</f>
        <v/>
      </c>
      <c r="Z1138" s="314"/>
      <c r="AA1138" s="314"/>
      <c r="AB1138" s="314"/>
      <c r="AC1138" s="397" t="b">
        <f>AND(AC1134,Y1138&lt;&gt;EUconst_NA)</f>
        <v>0</v>
      </c>
      <c r="AD1138" s="314"/>
      <c r="AE1138" s="415"/>
      <c r="AF1138" s="416"/>
      <c r="AG1138" s="417"/>
      <c r="AH1138" s="418"/>
      <c r="AI1138" s="418"/>
      <c r="AJ1138" s="418"/>
      <c r="AK1138" s="419"/>
      <c r="AL1138" s="326"/>
      <c r="AM1138" s="326"/>
      <c r="AN1138" s="326"/>
      <c r="AO1138" s="326"/>
      <c r="AP1138" s="326"/>
      <c r="AQ1138" s="444" t="s">
        <v>159</v>
      </c>
      <c r="AR1138" s="415"/>
      <c r="AS1138" s="445" t="str">
        <f t="shared" si="348"/>
        <v/>
      </c>
      <c r="AT1138" s="446"/>
      <c r="AU1138" s="447" t="str">
        <f t="shared" si="349"/>
        <v/>
      </c>
      <c r="AV1138" s="397">
        <f t="shared" si="350"/>
        <v>0</v>
      </c>
      <c r="AW1138" s="398" t="b">
        <f t="shared" si="342"/>
        <v>0</v>
      </c>
      <c r="AX1138" s="448" t="b">
        <f t="shared" si="343"/>
        <v>0</v>
      </c>
      <c r="AY1138" s="314"/>
      <c r="AZ1138" s="449" t="b">
        <f t="shared" si="344"/>
        <v>0</v>
      </c>
      <c r="BA1138" s="450" t="b">
        <f t="shared" si="345"/>
        <v>0</v>
      </c>
      <c r="BB1138" s="314"/>
      <c r="BC1138" s="398" t="b">
        <f t="shared" si="346"/>
        <v>0</v>
      </c>
      <c r="BD1138" s="369" t="b">
        <f>OR(AV1138&gt;100%,(AV1138+AV1139)&gt;100%)</f>
        <v>0</v>
      </c>
      <c r="BE1138" s="314"/>
      <c r="BF1138" s="451" t="s">
        <v>164</v>
      </c>
      <c r="BG1138" s="452">
        <f>IF(AN1130=EUconst_TJ,AV1130*(1-AV1134),IF(AN1132=EUconst_GJ,AV1130*AV1132/1000,0))-SUM(BG1139:BG1145)</f>
        <v>0</v>
      </c>
      <c r="BH1138" s="314"/>
      <c r="BI1138" s="314"/>
      <c r="BJ1138" s="314"/>
      <c r="BK1138" s="314"/>
      <c r="BL1138" s="314"/>
      <c r="BM1138" s="314"/>
      <c r="BN1138" s="314"/>
      <c r="BO1138" s="314"/>
      <c r="BP1138" s="314"/>
      <c r="BQ1138" s="314"/>
      <c r="BR1138" s="314"/>
      <c r="BS1138" s="314"/>
      <c r="BT1138" s="314"/>
      <c r="BU1138" s="314"/>
      <c r="BV1138" s="314"/>
      <c r="BW1138" s="314"/>
      <c r="BX1138" s="314"/>
      <c r="BY1138" s="314"/>
      <c r="BZ1138" s="314"/>
      <c r="CA1138" s="314"/>
      <c r="CB1138" s="314"/>
      <c r="CC1138" s="314"/>
      <c r="CD1138" s="314"/>
      <c r="CE1138" s="314"/>
      <c r="CF1138" s="314"/>
      <c r="CG1138" s="314"/>
      <c r="CH1138" s="314"/>
      <c r="CI1138" s="314"/>
      <c r="CJ1138" s="314"/>
      <c r="CK1138" s="314"/>
      <c r="CL1138" s="314"/>
      <c r="CM1138" s="314"/>
      <c r="CN1138" s="314"/>
      <c r="CO1138" s="314"/>
      <c r="CP1138" s="314"/>
      <c r="CQ1138" s="407" t="b">
        <f>OR(CQ1130,Y1138=EUconst_NA)</f>
        <v>0</v>
      </c>
    </row>
    <row r="1139" spans="1:95" ht="12.75" customHeight="1" thickBot="1" x14ac:dyDescent="0.3">
      <c r="A1139" s="307"/>
      <c r="B1139" s="68"/>
      <c r="C1139" s="199" t="s">
        <v>165</v>
      </c>
      <c r="D1139" s="344" t="str">
        <f>Translations!$B$618</f>
        <v>non-sust. SLCF:</v>
      </c>
      <c r="E1139" s="441"/>
      <c r="F1139" s="20" t="s">
        <v>158</v>
      </c>
      <c r="G1139" s="1261"/>
      <c r="H1139" s="1262"/>
      <c r="I1139" s="422" t="str">
        <f t="shared" si="347"/>
        <v/>
      </c>
      <c r="J1139" s="423"/>
      <c r="K1139" s="443"/>
      <c r="L1139" s="56"/>
      <c r="M1139" s="347" t="str">
        <f>IF(AND(E1125&lt;&gt;"",OR(F1139="",COUNT(L1139)=0),Y1139&lt;&gt;EUconst_NA),EUconst_ERR_Incomplete,"")</f>
        <v/>
      </c>
      <c r="N1139" s="76"/>
      <c r="O1139" s="160"/>
      <c r="P1139" s="348"/>
      <c r="Q1139" s="413"/>
      <c r="R1139" s="413"/>
      <c r="S1139" s="314"/>
      <c r="T1139" s="425" t="str">
        <f>EUconst_CNTR_RFNBOetcContent&amp;E1125</f>
        <v>RNFBOC_</v>
      </c>
      <c r="U1139" s="312"/>
      <c r="V1139" s="312"/>
      <c r="W1139" s="312"/>
      <c r="X1139" s="312"/>
      <c r="Y1139" s="438" t="str">
        <f>IF(E1125="","",IF(OR(F1139=EUconst_NA,W1139=TRUE),EUconst_NA,INDEX(EUwideConstants!$P$164:$P$200,MATCH(T1139,EUwideConstants!$S$164:$S$200,0))))</f>
        <v/>
      </c>
      <c r="Z1139" s="314"/>
      <c r="AA1139" s="314"/>
      <c r="AB1139" s="314"/>
      <c r="AC1139" s="429" t="b">
        <f>AND(AC1134,Y1139&lt;&gt;EUconst_NA)</f>
        <v>0</v>
      </c>
      <c r="AD1139" s="314"/>
      <c r="AE1139" s="430"/>
      <c r="AF1139" s="431"/>
      <c r="AG1139" s="432"/>
      <c r="AH1139" s="433"/>
      <c r="AI1139" s="433"/>
      <c r="AJ1139" s="433"/>
      <c r="AK1139" s="434"/>
      <c r="AL1139" s="326"/>
      <c r="AM1139" s="326"/>
      <c r="AN1139" s="326"/>
      <c r="AO1139" s="326"/>
      <c r="AP1139" s="326"/>
      <c r="AQ1139" s="435" t="s">
        <v>159</v>
      </c>
      <c r="AR1139" s="430"/>
      <c r="AS1139" s="436" t="str">
        <f t="shared" si="348"/>
        <v/>
      </c>
      <c r="AT1139" s="437"/>
      <c r="AU1139" s="438" t="str">
        <f t="shared" si="349"/>
        <v/>
      </c>
      <c r="AV1139" s="429">
        <f t="shared" si="350"/>
        <v>0</v>
      </c>
      <c r="AW1139" s="407" t="b">
        <f t="shared" si="342"/>
        <v>0</v>
      </c>
      <c r="AX1139" s="439" t="b">
        <f t="shared" si="343"/>
        <v>0</v>
      </c>
      <c r="AY1139" s="314"/>
      <c r="AZ1139" s="408" t="b">
        <f t="shared" si="344"/>
        <v>0</v>
      </c>
      <c r="BA1139" s="440" t="b">
        <f t="shared" si="345"/>
        <v>0</v>
      </c>
      <c r="BB1139" s="314"/>
      <c r="BC1139" s="407" t="b">
        <f t="shared" si="346"/>
        <v>0</v>
      </c>
      <c r="BD1139" s="407" t="b">
        <f>OR(AV1138&gt;100%,(AV1138+AV1139)&gt;100%)</f>
        <v>0</v>
      </c>
      <c r="BE1139" s="314"/>
      <c r="BF1139" s="408" t="s">
        <v>166</v>
      </c>
      <c r="BG1139" s="409" t="str">
        <f>IF(AN1130=EUconst_TJ,AV1130*AV1134,IF(AN1132=EUconst_GJ,AV1130*AV1132/1000*AV1134,""))</f>
        <v/>
      </c>
      <c r="BH1139" s="314"/>
      <c r="BI1139" s="314"/>
      <c r="BJ1139" s="314"/>
      <c r="BK1139" s="314"/>
      <c r="BL1139" s="314"/>
      <c r="BM1139" s="314"/>
      <c r="BN1139" s="314"/>
      <c r="BO1139" s="314"/>
      <c r="BP1139" s="314"/>
      <c r="BQ1139" s="314"/>
      <c r="BR1139" s="314"/>
      <c r="BS1139" s="314"/>
      <c r="BT1139" s="314"/>
      <c r="BU1139" s="314"/>
      <c r="BV1139" s="314"/>
      <c r="BW1139" s="314"/>
      <c r="BX1139" s="314"/>
      <c r="BY1139" s="314"/>
      <c r="BZ1139" s="314"/>
      <c r="CA1139" s="314"/>
      <c r="CB1139" s="314"/>
      <c r="CC1139" s="314"/>
      <c r="CD1139" s="314"/>
      <c r="CE1139" s="314"/>
      <c r="CF1139" s="314"/>
      <c r="CG1139" s="314"/>
      <c r="CH1139" s="314"/>
      <c r="CI1139" s="314"/>
      <c r="CJ1139" s="314"/>
      <c r="CK1139" s="314"/>
      <c r="CL1139" s="314"/>
      <c r="CM1139" s="314"/>
      <c r="CN1139" s="314"/>
      <c r="CO1139" s="314"/>
      <c r="CP1139" s="314"/>
      <c r="CQ1139" s="407" t="b">
        <f>OR(CQ1130,Y1139=EUconst_NA)</f>
        <v>0</v>
      </c>
    </row>
    <row r="1140" spans="1:95" ht="5.15" customHeight="1" thickBot="1" x14ac:dyDescent="0.3">
      <c r="A1140" s="307"/>
      <c r="B1140" s="68"/>
      <c r="C1140" s="68"/>
      <c r="D1140" s="205"/>
      <c r="E1140" s="76"/>
      <c r="F1140" s="76"/>
      <c r="G1140" s="76"/>
      <c r="H1140" s="76"/>
      <c r="I1140" s="76"/>
      <c r="J1140" s="76"/>
      <c r="K1140" s="76"/>
      <c r="L1140" s="76"/>
      <c r="M1140" s="453"/>
      <c r="N1140" s="76"/>
      <c r="O1140" s="160"/>
      <c r="P1140" s="109"/>
      <c r="Q1140" s="312"/>
      <c r="R1140" s="312"/>
      <c r="S1140" s="314"/>
      <c r="T1140" s="314"/>
      <c r="U1140" s="314"/>
      <c r="V1140" s="314"/>
      <c r="W1140" s="314"/>
      <c r="X1140" s="314"/>
      <c r="Y1140" s="314"/>
      <c r="Z1140" s="314"/>
      <c r="AA1140" s="314"/>
      <c r="AB1140" s="314"/>
      <c r="AC1140" s="314"/>
      <c r="AD1140" s="314"/>
      <c r="AE1140" s="314"/>
      <c r="AF1140" s="314"/>
      <c r="AG1140" s="314"/>
      <c r="AH1140" s="314"/>
      <c r="AI1140" s="314"/>
      <c r="AJ1140" s="314"/>
      <c r="AK1140" s="314"/>
      <c r="AL1140" s="314"/>
      <c r="AM1140" s="314"/>
      <c r="AN1140" s="314"/>
      <c r="AO1140" s="314"/>
      <c r="AP1140" s="314"/>
      <c r="AQ1140" s="314"/>
      <c r="AR1140" s="314"/>
      <c r="AS1140" s="314"/>
      <c r="AT1140" s="314"/>
      <c r="AU1140" s="314"/>
      <c r="AV1140" s="314"/>
      <c r="AW1140" s="314"/>
      <c r="AX1140" s="314"/>
      <c r="AY1140" s="314"/>
      <c r="AZ1140" s="314"/>
      <c r="BA1140" s="314"/>
      <c r="BB1140" s="314"/>
      <c r="BC1140" s="314"/>
      <c r="BD1140" s="314"/>
      <c r="BE1140" s="314"/>
      <c r="BF1140" s="314"/>
      <c r="BG1140" s="364"/>
      <c r="BH1140" s="314"/>
      <c r="BI1140" s="314"/>
      <c r="BJ1140" s="314"/>
      <c r="BK1140" s="314"/>
      <c r="BL1140" s="314"/>
      <c r="BM1140" s="314"/>
      <c r="BN1140" s="314"/>
      <c r="BO1140" s="314"/>
      <c r="BP1140" s="314"/>
      <c r="BQ1140" s="314"/>
      <c r="BR1140" s="314"/>
      <c r="BS1140" s="314"/>
      <c r="BT1140" s="314"/>
      <c r="BU1140" s="314"/>
      <c r="BV1140" s="314"/>
      <c r="BW1140" s="314"/>
      <c r="BX1140" s="314"/>
      <c r="BY1140" s="314"/>
      <c r="BZ1140" s="314"/>
      <c r="CA1140" s="314"/>
      <c r="CB1140" s="314"/>
      <c r="CC1140" s="314"/>
      <c r="CD1140" s="314"/>
      <c r="CE1140" s="314"/>
      <c r="CF1140" s="314"/>
      <c r="CG1140" s="314"/>
      <c r="CH1140" s="314"/>
      <c r="CI1140" s="314"/>
      <c r="CJ1140" s="314"/>
      <c r="CK1140" s="314"/>
      <c r="CL1140" s="314"/>
      <c r="CM1140" s="314"/>
      <c r="CN1140" s="314"/>
      <c r="CO1140" s="314"/>
      <c r="CP1140" s="314"/>
      <c r="CQ1140" s="314"/>
    </row>
    <row r="1141" spans="1:95" ht="12.75" customHeight="1" thickBot="1" x14ac:dyDescent="0.3">
      <c r="A1141" s="307"/>
      <c r="B1141" s="68"/>
      <c r="C1141" s="199" t="s">
        <v>167</v>
      </c>
      <c r="D1141" s="344" t="str">
        <f>Translations!$B$398</f>
        <v>Scope factor:</v>
      </c>
      <c r="E1141" s="454"/>
      <c r="F1141" s="992"/>
      <c r="G1141" s="1263"/>
      <c r="H1141" s="1264"/>
      <c r="I1141" s="455" t="s">
        <v>46</v>
      </c>
      <c r="J1141" s="456"/>
      <c r="K1141" s="457" t="str">
        <f>IF(L1141="",AU1141,"")</f>
        <v/>
      </c>
      <c r="L1141" s="16"/>
      <c r="M1141" s="458" t="str">
        <f>IF(AND(E1125&lt;&gt;"",OR(F1141="",G1141="",COUNT(K1141:L1141)=0)),EUconst_ERR_Incomplete,IF(COUNTIF(BB1141:BD1141,TRUE)&gt;0,EUconst_ERR_Inconsistent,""))</f>
        <v/>
      </c>
      <c r="N1141" s="76"/>
      <c r="O1141" s="160"/>
      <c r="P1141" s="109"/>
      <c r="Q1141" s="312"/>
      <c r="R1141" s="314"/>
      <c r="S1141" s="297"/>
      <c r="T1141" s="459" t="str">
        <f>EUconst_CNTR_ScopeFactor&amp;E1125</f>
        <v>ScopeFactor_</v>
      </c>
      <c r="U1141" s="231" t="str">
        <f>IF(F1141="","",INDEX(ScopeAddress,MATCH(F1141,ScopeTiers,0)))</f>
        <v/>
      </c>
      <c r="V1141" s="360" t="str">
        <f>V1130</f>
        <v/>
      </c>
      <c r="W1141" s="314"/>
      <c r="X1141" s="314"/>
      <c r="Y1141" s="460" t="str">
        <f>IF(E1125="","",IF(F1141=EUconst_NA,EUconst_NA,INDEX(EUwideConstants!$P$164:$P$200,MATCH(T1141,EUwideConstants!$S$164:$S$200,0))))</f>
        <v/>
      </c>
      <c r="Z1141" s="461" t="str">
        <f>IF(ISBLANK(F1141),"",IF(F1141=EUconst_NA,"",INDEX(EUwideConstants!$H:$O,MATCH(T1141,EUwideConstants!$S:$S,0),MATCH(F1141,CNTR_TierList,0))))</f>
        <v/>
      </c>
      <c r="AA1141" s="331" t="str">
        <f>IF(G1141=EUwideConstants!$A$89,1,"")</f>
        <v/>
      </c>
      <c r="AB1141" s="314"/>
      <c r="AC1141" s="331" t="b">
        <f>AND(AC1130,Y1141&lt;&gt;EUconst_NA)</f>
        <v>0</v>
      </c>
      <c r="AD1141" s="314"/>
      <c r="AE1141" s="314"/>
      <c r="AF1141" s="314"/>
      <c r="AG1141" s="319"/>
      <c r="AH1141" s="314"/>
      <c r="AI1141" s="314"/>
      <c r="AJ1141" s="314"/>
      <c r="AK1141" s="314"/>
      <c r="AL1141" s="314"/>
      <c r="AM1141" s="314"/>
      <c r="AN1141" s="314"/>
      <c r="AO1141" s="314"/>
      <c r="AP1141" s="314"/>
      <c r="AQ1141" s="314"/>
      <c r="AR1141" s="314"/>
      <c r="AS1141" s="328">
        <v>1</v>
      </c>
      <c r="AT1141" s="314"/>
      <c r="AU1141" s="319" t="str">
        <f>IF(G1141=EUwideConstants!$A$89,AS1141,"")</f>
        <v/>
      </c>
      <c r="AV1141" s="331">
        <f>IF(AC1141=TRUE,IF(COUNT(K1141:L1141)=0,0,IF(L1141="",K1141,L1141)),0)</f>
        <v>0</v>
      </c>
      <c r="AW1141" s="360" t="b">
        <f>AND(AC1141=TRUE,OR(AND(F1141&lt;&gt;"",NOT(ISNUMBER(AA1141))),L1141&lt;&gt;"",F1141="",AU1141=""))</f>
        <v>0</v>
      </c>
      <c r="AX1141" s="357" t="b">
        <f>AND(AC1141=TRUE,NOT(AW1141))</f>
        <v>0</v>
      </c>
      <c r="AY1141" s="314"/>
      <c r="AZ1141" s="361" t="b">
        <f>AND(ISNUMBER(AA1141),AU1141="")</f>
        <v>0</v>
      </c>
      <c r="BA1141" s="351" t="b">
        <f>AND(ISNUMBER(AA1141),AU1141&lt;&gt;AV1141)</f>
        <v>0</v>
      </c>
      <c r="BB1141" s="314"/>
      <c r="BC1141" s="360" t="b">
        <f>AND(F1141&lt;&gt;"",OR(COUNTIF(INDEX(ScopeMethods,F1141,),G1141)=0,AND(AA1141&lt;&gt;"",AU1141&lt;&gt;AV1141)))</f>
        <v>0</v>
      </c>
      <c r="BD1141" s="314"/>
      <c r="BE1141" s="314"/>
      <c r="BF1141" s="361" t="s">
        <v>168</v>
      </c>
      <c r="BG1141" s="362" t="str">
        <f>IF(AN1130=EUconst_TJ,AV1130*AV1136,IF(AN1132=EUconst_GJ,AV1130*AV1132/1000*AV1136,""))</f>
        <v/>
      </c>
      <c r="BH1141" s="314"/>
      <c r="BI1141" s="314"/>
      <c r="BJ1141" s="314"/>
      <c r="BK1141" s="314"/>
      <c r="BL1141" s="314"/>
      <c r="BM1141" s="314"/>
      <c r="BN1141" s="314"/>
      <c r="BO1141" s="314"/>
      <c r="BP1141" s="314"/>
      <c r="BQ1141" s="314"/>
      <c r="BR1141" s="314"/>
      <c r="BS1141" s="314"/>
      <c r="BT1141" s="314"/>
      <c r="BU1141" s="314"/>
      <c r="BV1141" s="314"/>
      <c r="BW1141" s="314"/>
      <c r="BX1141" s="314"/>
      <c r="BY1141" s="314"/>
      <c r="BZ1141" s="314"/>
      <c r="CA1141" s="314"/>
      <c r="CB1141" s="314"/>
      <c r="CC1141" s="314"/>
      <c r="CD1141" s="314"/>
      <c r="CE1141" s="314"/>
      <c r="CF1141" s="314"/>
      <c r="CG1141" s="314"/>
      <c r="CH1141" s="314"/>
      <c r="CI1141" s="314"/>
      <c r="CJ1141" s="314"/>
      <c r="CK1141" s="314"/>
      <c r="CL1141" s="314"/>
      <c r="CM1141" s="314"/>
      <c r="CN1141" s="314"/>
      <c r="CO1141" s="314"/>
      <c r="CP1141" s="314"/>
      <c r="CQ1141" s="314"/>
    </row>
    <row r="1142" spans="1:95" ht="12.75" customHeight="1" x14ac:dyDescent="0.25">
      <c r="A1142" s="307"/>
      <c r="B1142" s="68"/>
      <c r="C1142" s="68"/>
      <c r="D1142" s="68"/>
      <c r="E1142" s="68"/>
      <c r="F1142" s="68"/>
      <c r="G1142" s="1265" t="str">
        <f>IF(G1141="","",INDEX(ScopeMethodsDetails,MATCH(G1141,INDEX(ScopeMethodsDetails,,1),0),2))</f>
        <v/>
      </c>
      <c r="H1142" s="1266"/>
      <c r="I1142" s="1266"/>
      <c r="J1142" s="1266"/>
      <c r="K1142" s="1266"/>
      <c r="L1142" s="1266"/>
      <c r="M1142" s="1267"/>
      <c r="N1142" s="76"/>
      <c r="O1142" s="160"/>
      <c r="P1142" s="109"/>
      <c r="Q1142" s="312"/>
      <c r="R1142" s="312"/>
      <c r="S1142" s="314"/>
      <c r="T1142" s="314"/>
      <c r="U1142" s="314"/>
      <c r="V1142" s="314"/>
      <c r="W1142" s="314"/>
      <c r="X1142" s="314"/>
      <c r="Y1142" s="314"/>
      <c r="Z1142" s="314"/>
      <c r="AA1142" s="314"/>
      <c r="AB1142" s="314"/>
      <c r="AC1142" s="314"/>
      <c r="AD1142" s="314"/>
      <c r="AE1142" s="314"/>
      <c r="AF1142" s="314"/>
      <c r="AG1142" s="314"/>
      <c r="AH1142" s="314"/>
      <c r="AI1142" s="314"/>
      <c r="AJ1142" s="314"/>
      <c r="AK1142" s="314"/>
      <c r="AL1142" s="314"/>
      <c r="AM1142" s="314"/>
      <c r="AN1142" s="314"/>
      <c r="AO1142" s="314"/>
      <c r="AP1142" s="314"/>
      <c r="AQ1142" s="314"/>
      <c r="AR1142" s="314"/>
      <c r="AS1142" s="314"/>
      <c r="AT1142" s="314"/>
      <c r="AU1142" s="314"/>
      <c r="AV1142" s="314"/>
      <c r="AW1142" s="314"/>
      <c r="AX1142" s="314"/>
      <c r="AY1142" s="314"/>
      <c r="AZ1142" s="314"/>
      <c r="BA1142" s="314"/>
      <c r="BB1142" s="314"/>
      <c r="BC1142" s="314"/>
      <c r="BD1142" s="314"/>
      <c r="BE1142" s="314"/>
      <c r="BG1142" s="364"/>
      <c r="BH1142" s="314"/>
      <c r="BI1142" s="314"/>
      <c r="BJ1142" s="314"/>
      <c r="BK1142" s="314"/>
      <c r="BL1142" s="314"/>
      <c r="BM1142" s="314"/>
      <c r="BN1142" s="314"/>
      <c r="BO1142" s="314"/>
      <c r="BP1142" s="314"/>
      <c r="BQ1142" s="314"/>
      <c r="BR1142" s="314"/>
      <c r="BS1142" s="314"/>
      <c r="BT1142" s="314"/>
      <c r="BU1142" s="314"/>
      <c r="BV1142" s="314"/>
      <c r="BW1142" s="314"/>
      <c r="BX1142" s="314"/>
      <c r="BY1142" s="314"/>
      <c r="BZ1142" s="314"/>
      <c r="CA1142" s="314"/>
      <c r="CB1142" s="314"/>
      <c r="CC1142" s="314"/>
      <c r="CD1142" s="314"/>
      <c r="CE1142" s="314"/>
      <c r="CF1142" s="314"/>
      <c r="CG1142" s="314"/>
      <c r="CH1142" s="314"/>
      <c r="CI1142" s="314"/>
      <c r="CJ1142" s="314"/>
      <c r="CK1142" s="314"/>
      <c r="CL1142" s="314"/>
      <c r="CM1142" s="314"/>
      <c r="CN1142" s="314"/>
      <c r="CO1142" s="314"/>
      <c r="CP1142" s="314"/>
      <c r="CQ1142" s="314"/>
    </row>
    <row r="1143" spans="1:95" ht="5.15" customHeight="1" x14ac:dyDescent="0.25">
      <c r="A1143" s="307"/>
      <c r="C1143" s="76"/>
      <c r="D1143" s="76"/>
      <c r="E1143" s="76"/>
      <c r="F1143" s="76"/>
      <c r="G1143" s="76"/>
      <c r="H1143" s="76"/>
      <c r="I1143" s="76"/>
      <c r="J1143" s="76"/>
      <c r="K1143" s="76"/>
      <c r="L1143" s="76"/>
      <c r="O1143" s="160"/>
      <c r="P1143" s="109"/>
      <c r="Q1143" s="312"/>
      <c r="R1143" s="312"/>
      <c r="S1143" s="314"/>
      <c r="T1143" s="314"/>
      <c r="U1143" s="314"/>
      <c r="V1143" s="314"/>
      <c r="W1143" s="314"/>
      <c r="X1143" s="314"/>
      <c r="Y1143" s="314"/>
      <c r="Z1143" s="314"/>
      <c r="AA1143" s="314"/>
      <c r="AB1143" s="314"/>
      <c r="AC1143" s="314"/>
      <c r="AD1143" s="314"/>
      <c r="AE1143" s="314"/>
      <c r="AF1143" s="314"/>
      <c r="AG1143" s="314"/>
      <c r="AH1143" s="314"/>
      <c r="AI1143" s="314"/>
      <c r="AJ1143" s="314"/>
      <c r="AK1143" s="314"/>
      <c r="AL1143" s="314"/>
      <c r="AM1143" s="314"/>
      <c r="AN1143" s="314"/>
      <c r="AO1143" s="314"/>
      <c r="AP1143" s="314"/>
      <c r="AQ1143" s="314"/>
      <c r="AR1143" s="314"/>
      <c r="AS1143" s="314"/>
      <c r="AT1143" s="314"/>
      <c r="AU1143" s="314"/>
      <c r="AV1143" s="314"/>
      <c r="AW1143" s="314"/>
      <c r="AX1143" s="314"/>
      <c r="AY1143" s="314"/>
      <c r="AZ1143" s="314"/>
      <c r="BA1143" s="314"/>
      <c r="BB1143" s="314"/>
      <c r="BC1143" s="314"/>
      <c r="BD1143" s="314"/>
      <c r="BE1143" s="314"/>
      <c r="BG1143" s="364"/>
      <c r="BH1143" s="314"/>
      <c r="BI1143" s="314"/>
      <c r="BJ1143" s="314"/>
      <c r="BK1143" s="314"/>
      <c r="BL1143" s="314"/>
      <c r="BM1143" s="314"/>
      <c r="BN1143" s="314"/>
      <c r="BO1143" s="314"/>
      <c r="BP1143" s="314"/>
      <c r="BQ1143" s="314"/>
      <c r="BR1143" s="314"/>
      <c r="BS1143" s="314"/>
      <c r="BT1143" s="314"/>
      <c r="BU1143" s="314"/>
      <c r="BV1143" s="314"/>
      <c r="BW1143" s="314"/>
      <c r="BX1143" s="314"/>
      <c r="BY1143" s="314"/>
      <c r="BZ1143" s="314"/>
      <c r="CA1143" s="314"/>
      <c r="CB1143" s="314"/>
      <c r="CC1143" s="314"/>
      <c r="CD1143" s="314"/>
      <c r="CE1143" s="314"/>
      <c r="CF1143" s="314"/>
      <c r="CG1143" s="314"/>
      <c r="CH1143" s="314"/>
      <c r="CI1143" s="314"/>
      <c r="CJ1143" s="314"/>
      <c r="CK1143" s="314"/>
      <c r="CL1143" s="314"/>
      <c r="CM1143" s="314"/>
      <c r="CN1143" s="314"/>
      <c r="CO1143" s="314"/>
      <c r="CP1143" s="314"/>
      <c r="CQ1143" s="314"/>
    </row>
    <row r="1144" spans="1:95" ht="12.75" customHeight="1" thickBot="1" x14ac:dyDescent="0.3">
      <c r="A1144" s="307"/>
      <c r="C1144" s="76"/>
      <c r="D1144" s="76"/>
      <c r="E1144" s="76"/>
      <c r="F1144" s="76"/>
      <c r="G1144" s="1268">
        <v>1</v>
      </c>
      <c r="H1144" s="1268"/>
      <c r="I1144" s="1268">
        <v>2</v>
      </c>
      <c r="J1144" s="1268"/>
      <c r="K1144" s="1268">
        <v>3</v>
      </c>
      <c r="L1144" s="1268"/>
      <c r="O1144" s="160"/>
      <c r="P1144" s="109"/>
      <c r="Q1144" s="312"/>
      <c r="R1144" s="312"/>
      <c r="S1144" s="314"/>
      <c r="T1144" s="314"/>
      <c r="U1144" s="314"/>
      <c r="V1144" s="314"/>
      <c r="W1144" s="314"/>
      <c r="X1144" s="314"/>
      <c r="Y1144" s="314"/>
      <c r="Z1144" s="314"/>
      <c r="AA1144" s="314"/>
      <c r="AB1144" s="314"/>
      <c r="AC1144" s="314"/>
      <c r="AD1144" s="314"/>
      <c r="AE1144" s="314"/>
      <c r="AF1144" s="314"/>
      <c r="AG1144" s="314"/>
      <c r="AH1144" s="314"/>
      <c r="AI1144" s="314"/>
      <c r="AJ1144" s="314"/>
      <c r="AK1144" s="314"/>
      <c r="AL1144" s="314"/>
      <c r="AM1144" s="314"/>
      <c r="AN1144" s="314"/>
      <c r="AO1144" s="314"/>
      <c r="AP1144" s="314"/>
      <c r="AQ1144" s="314"/>
      <c r="AR1144" s="314"/>
      <c r="AS1144" s="314"/>
      <c r="AT1144" s="314"/>
      <c r="AU1144" s="314"/>
      <c r="AV1144" s="314"/>
      <c r="AW1144" s="314"/>
      <c r="AX1144" s="314"/>
      <c r="AY1144" s="314"/>
      <c r="AZ1144" s="314"/>
      <c r="BA1144" s="314"/>
      <c r="BB1144" s="314"/>
      <c r="BC1144" s="314"/>
      <c r="BD1144" s="314"/>
      <c r="BE1144" s="314"/>
      <c r="BF1144" s="314"/>
      <c r="BG1144" s="364"/>
      <c r="BH1144" s="314"/>
      <c r="BI1144" s="314"/>
      <c r="BJ1144" s="314"/>
      <c r="BK1144" s="314"/>
      <c r="BL1144" s="314"/>
      <c r="BM1144" s="314"/>
      <c r="BN1144" s="314"/>
      <c r="BO1144" s="314"/>
      <c r="BP1144" s="314"/>
      <c r="BQ1144" s="314"/>
      <c r="BR1144" s="314"/>
      <c r="BS1144" s="314"/>
      <c r="BT1144" s="314"/>
      <c r="BU1144" s="314"/>
      <c r="BV1144" s="314"/>
      <c r="BW1144" s="314"/>
      <c r="BX1144" s="314"/>
      <c r="BY1144" s="314"/>
      <c r="BZ1144" s="314"/>
      <c r="CA1144" s="314"/>
      <c r="CB1144" s="314"/>
      <c r="CC1144" s="314"/>
      <c r="CD1144" s="314"/>
      <c r="CE1144" s="314"/>
      <c r="CF1144" s="314"/>
      <c r="CG1144" s="314"/>
      <c r="CH1144" s="314"/>
      <c r="CI1144" s="314"/>
      <c r="CJ1144" s="314"/>
      <c r="CK1144" s="314"/>
      <c r="CL1144" s="314"/>
      <c r="CM1144" s="314"/>
      <c r="CN1144" s="314"/>
      <c r="CO1144" s="314"/>
      <c r="CP1144" s="314"/>
      <c r="CQ1144" s="314"/>
    </row>
    <row r="1145" spans="1:95" ht="12.75" customHeight="1" thickBot="1" x14ac:dyDescent="0.3">
      <c r="A1145" s="462"/>
      <c r="B1145" s="76"/>
      <c r="C1145" s="76"/>
      <c r="D1145" s="1246" t="str">
        <f>Translations!$B$372</f>
        <v>Consumers' CRF category:</v>
      </c>
      <c r="E1145" s="1246"/>
      <c r="F1145" s="1247"/>
      <c r="G1145" s="1248"/>
      <c r="H1145" s="1249"/>
      <c r="I1145" s="1248"/>
      <c r="J1145" s="1249"/>
      <c r="K1145" s="1248"/>
      <c r="L1145" s="1249"/>
      <c r="M1145" s="463" t="str">
        <f>IF(AND(E1124&lt;&gt;"",COUNTA(G1145:L1145)=0,AX1145=FALSE),EUconst_ERR_Incomplete,"")</f>
        <v/>
      </c>
      <c r="N1145" s="76"/>
      <c r="O1145" s="160"/>
      <c r="P1145" s="109"/>
      <c r="Q1145" s="312"/>
      <c r="R1145" s="312"/>
      <c r="S1145" s="314"/>
      <c r="T1145" s="314"/>
      <c r="U1145" s="314"/>
      <c r="V1145" s="314"/>
      <c r="W1145" s="314"/>
      <c r="X1145" s="314"/>
      <c r="Y1145" s="314"/>
      <c r="Z1145" s="314"/>
      <c r="AA1145" s="314"/>
      <c r="AB1145" s="314"/>
      <c r="AC1145" s="314"/>
      <c r="AD1145" s="314"/>
      <c r="AE1145" s="314"/>
      <c r="AF1145" s="314"/>
      <c r="AG1145" s="314"/>
      <c r="AH1145" s="314"/>
      <c r="AI1145" s="314"/>
      <c r="AJ1145" s="314"/>
      <c r="AK1145" s="314"/>
      <c r="AL1145" s="314"/>
      <c r="AM1145" s="314"/>
      <c r="AN1145" s="314"/>
      <c r="AO1145" s="314"/>
      <c r="AP1145" s="314"/>
      <c r="AQ1145" s="314"/>
      <c r="AR1145" s="314"/>
      <c r="AS1145" s="314"/>
      <c r="AT1145" s="314"/>
      <c r="AU1145" s="314"/>
      <c r="AV1145" s="314"/>
      <c r="AW1145" s="314"/>
      <c r="AX1145" s="464" t="b">
        <f>AND(AV1141&lt;&gt;"",SUM(AV1141=1))</f>
        <v>0</v>
      </c>
      <c r="AY1145" s="314"/>
      <c r="AZ1145" s="314"/>
      <c r="BA1145" s="314"/>
      <c r="BB1145" s="314"/>
      <c r="BC1145" s="314"/>
      <c r="BD1145" s="314"/>
      <c r="BE1145" s="314"/>
      <c r="BF1145" s="361" t="s">
        <v>169</v>
      </c>
      <c r="BG1145" s="362" t="str">
        <f>IF(AN1130=EUconst_TJ,AV1130*AV1138,IF(AN1132=EUconst_GJ,AV1130*AV1132/1000*AV1138,""))</f>
        <v/>
      </c>
      <c r="BH1145" s="314"/>
      <c r="BI1145" s="314"/>
      <c r="BJ1145" s="314"/>
      <c r="BK1145" s="314"/>
      <c r="BL1145" s="314"/>
      <c r="BM1145" s="314"/>
      <c r="BN1145" s="314"/>
      <c r="BO1145" s="314"/>
      <c r="BP1145" s="314"/>
      <c r="BQ1145" s="314"/>
      <c r="BR1145" s="314"/>
      <c r="BS1145" s="314"/>
      <c r="BT1145" s="314"/>
      <c r="BU1145" s="314"/>
      <c r="BV1145" s="314"/>
      <c r="BW1145" s="314"/>
      <c r="BX1145" s="314"/>
      <c r="BY1145" s="314"/>
      <c r="BZ1145" s="314"/>
      <c r="CA1145" s="314"/>
      <c r="CB1145" s="314"/>
      <c r="CC1145" s="314"/>
      <c r="CD1145" s="314"/>
      <c r="CE1145" s="314"/>
      <c r="CF1145" s="314"/>
      <c r="CG1145" s="314"/>
      <c r="CH1145" s="314"/>
      <c r="CI1145" s="314"/>
      <c r="CJ1145" s="314"/>
      <c r="CK1145" s="314"/>
      <c r="CL1145" s="314"/>
      <c r="CM1145" s="314"/>
      <c r="CN1145" s="314"/>
      <c r="CO1145" s="314"/>
      <c r="CP1145" s="314"/>
      <c r="CQ1145" s="314"/>
    </row>
    <row r="1146" spans="1:95" ht="5.15" customHeight="1" x14ac:dyDescent="0.25">
      <c r="A1146" s="307"/>
      <c r="B1146" s="68"/>
      <c r="C1146" s="68"/>
      <c r="D1146" s="68"/>
      <c r="E1146" s="68"/>
      <c r="F1146" s="68"/>
      <c r="G1146" s="76"/>
      <c r="H1146" s="76"/>
      <c r="I1146" s="76"/>
      <c r="J1146" s="76"/>
      <c r="K1146" s="76"/>
      <c r="L1146" s="76"/>
      <c r="M1146" s="76"/>
      <c r="N1146" s="76"/>
      <c r="O1146" s="160"/>
      <c r="P1146" s="109"/>
      <c r="Q1146" s="312"/>
      <c r="R1146" s="312"/>
      <c r="S1146" s="314"/>
      <c r="T1146" s="314"/>
      <c r="U1146" s="314"/>
      <c r="V1146" s="314"/>
      <c r="W1146" s="314"/>
      <c r="X1146" s="314"/>
      <c r="Y1146" s="314"/>
      <c r="Z1146" s="314"/>
      <c r="AA1146" s="314"/>
      <c r="AB1146" s="314"/>
      <c r="AC1146" s="314"/>
      <c r="AD1146" s="314"/>
      <c r="AE1146" s="314"/>
      <c r="AF1146" s="314"/>
      <c r="AG1146" s="314"/>
      <c r="AH1146" s="314"/>
      <c r="AI1146" s="314"/>
      <c r="AJ1146" s="314"/>
      <c r="AK1146" s="314"/>
      <c r="AL1146" s="314"/>
      <c r="AM1146" s="314"/>
      <c r="AN1146" s="314"/>
      <c r="AO1146" s="314"/>
      <c r="AP1146" s="314"/>
      <c r="AQ1146" s="314"/>
      <c r="AR1146" s="314"/>
      <c r="AS1146" s="314"/>
      <c r="AT1146" s="314"/>
      <c r="AU1146" s="314"/>
      <c r="AV1146" s="314"/>
      <c r="AW1146" s="314"/>
      <c r="AX1146" s="314"/>
      <c r="AY1146" s="314"/>
      <c r="AZ1146" s="314"/>
      <c r="BA1146" s="314"/>
      <c r="BB1146" s="314"/>
      <c r="BC1146" s="314"/>
      <c r="BD1146" s="314"/>
      <c r="BE1146" s="314"/>
      <c r="BF1146" s="314"/>
      <c r="BG1146" s="314"/>
      <c r="BH1146" s="314"/>
      <c r="BI1146" s="314"/>
      <c r="BJ1146" s="314"/>
      <c r="BK1146" s="314"/>
      <c r="BL1146" s="314"/>
      <c r="BM1146" s="314"/>
      <c r="BN1146" s="314"/>
      <c r="BO1146" s="314"/>
      <c r="BP1146" s="314"/>
      <c r="BQ1146" s="314"/>
      <c r="BR1146" s="314"/>
      <c r="BS1146" s="314"/>
      <c r="BT1146" s="314"/>
      <c r="BU1146" s="314"/>
      <c r="BV1146" s="314"/>
      <c r="BW1146" s="314"/>
      <c r="BX1146" s="314"/>
      <c r="BY1146" s="314"/>
      <c r="BZ1146" s="314"/>
      <c r="CA1146" s="314"/>
      <c r="CB1146" s="314"/>
      <c r="CC1146" s="314"/>
      <c r="CD1146" s="314"/>
      <c r="CE1146" s="314"/>
      <c r="CF1146" s="314"/>
      <c r="CG1146" s="314"/>
      <c r="CH1146" s="314"/>
      <c r="CI1146" s="314"/>
      <c r="CJ1146" s="314"/>
      <c r="CK1146" s="314"/>
      <c r="CL1146" s="314"/>
      <c r="CM1146" s="314"/>
      <c r="CN1146" s="314"/>
      <c r="CO1146" s="314"/>
      <c r="CP1146" s="314"/>
      <c r="CQ1146" s="314"/>
    </row>
    <row r="1147" spans="1:95" ht="12.75" customHeight="1" x14ac:dyDescent="0.25">
      <c r="A1147" s="307"/>
      <c r="B1147" s="68"/>
      <c r="C1147" s="68"/>
      <c r="D1147" s="1246" t="str">
        <f>Translations!$B$399</f>
        <v>Tiers valid from:</v>
      </c>
      <c r="E1147" s="1246"/>
      <c r="F1147" s="1247"/>
      <c r="G1147" s="8"/>
      <c r="H1147" s="199" t="str">
        <f>Translations!$B$400</f>
        <v>until:</v>
      </c>
      <c r="I1147" s="8"/>
      <c r="J1147" s="76"/>
      <c r="K1147" s="76"/>
      <c r="L1147" s="76"/>
      <c r="M1147" s="199" t="str">
        <f>Translations!$B$401</f>
        <v>ID used in the monitoring plan for this fuel stream:</v>
      </c>
      <c r="N1147" s="9"/>
      <c r="O1147" s="160"/>
      <c r="P1147" s="109"/>
      <c r="Q1147" s="312"/>
      <c r="R1147" s="312"/>
      <c r="S1147" s="465"/>
      <c r="T1147" s="314"/>
      <c r="U1147" s="314"/>
      <c r="V1147" s="314"/>
      <c r="W1147" s="314"/>
      <c r="X1147" s="314"/>
      <c r="Y1147" s="314"/>
      <c r="Z1147" s="314"/>
      <c r="AA1147" s="314"/>
      <c r="AB1147" s="314"/>
      <c r="AC1147" s="314"/>
      <c r="AD1147" s="314"/>
      <c r="AE1147" s="314"/>
      <c r="AF1147" s="314"/>
      <c r="AG1147" s="314"/>
      <c r="AH1147" s="314"/>
      <c r="AI1147" s="314"/>
      <c r="AJ1147" s="314"/>
      <c r="AK1147" s="314"/>
      <c r="AL1147" s="314"/>
      <c r="AM1147" s="314"/>
      <c r="AN1147" s="314"/>
      <c r="AO1147" s="314"/>
      <c r="AP1147" s="314"/>
      <c r="AQ1147" s="314"/>
      <c r="AR1147" s="314"/>
      <c r="AS1147" s="314"/>
      <c r="AT1147" s="314"/>
      <c r="AU1147" s="314"/>
      <c r="AV1147" s="314"/>
      <c r="AW1147" s="314"/>
      <c r="AX1147" s="314"/>
      <c r="AY1147" s="314"/>
      <c r="AZ1147" s="314"/>
      <c r="BA1147" s="314"/>
      <c r="BB1147" s="314"/>
      <c r="BC1147" s="314"/>
      <c r="BD1147" s="314"/>
      <c r="BE1147" s="314"/>
      <c r="BF1147" s="314"/>
      <c r="BG1147" s="314"/>
      <c r="BH1147" s="314"/>
      <c r="BI1147" s="314"/>
      <c r="BJ1147" s="314"/>
      <c r="BK1147" s="314"/>
      <c r="BL1147" s="314"/>
      <c r="BM1147" s="314"/>
      <c r="BN1147" s="314"/>
      <c r="BO1147" s="314"/>
      <c r="BP1147" s="314"/>
      <c r="BQ1147" s="314"/>
      <c r="BR1147" s="314"/>
      <c r="BS1147" s="314"/>
      <c r="BT1147" s="314"/>
      <c r="BU1147" s="314"/>
      <c r="BV1147" s="314"/>
      <c r="BW1147" s="314"/>
      <c r="BX1147" s="314"/>
      <c r="BY1147" s="314"/>
      <c r="BZ1147" s="314"/>
      <c r="CA1147" s="314"/>
      <c r="CB1147" s="314"/>
      <c r="CC1147" s="314"/>
      <c r="CD1147" s="314"/>
      <c r="CE1147" s="314"/>
      <c r="CF1147" s="314"/>
      <c r="CG1147" s="314"/>
      <c r="CH1147" s="314"/>
      <c r="CI1147" s="314"/>
      <c r="CJ1147" s="314"/>
      <c r="CK1147" s="314"/>
      <c r="CL1147" s="314"/>
      <c r="CM1147" s="314"/>
      <c r="CN1147" s="314"/>
      <c r="CO1147" s="314"/>
      <c r="CP1147" s="314"/>
      <c r="CQ1147" s="464" t="b">
        <f>CQ1130</f>
        <v>0</v>
      </c>
    </row>
    <row r="1148" spans="1:95" ht="5.15" customHeight="1" x14ac:dyDescent="0.25">
      <c r="A1148" s="462"/>
      <c r="B1148" s="76"/>
      <c r="C1148" s="76"/>
      <c r="D1148" s="76"/>
      <c r="E1148" s="76"/>
      <c r="F1148" s="76"/>
      <c r="G1148" s="76"/>
      <c r="H1148" s="76"/>
      <c r="I1148" s="76"/>
      <c r="J1148" s="76"/>
      <c r="K1148" s="76"/>
      <c r="L1148" s="76"/>
      <c r="M1148" s="76"/>
      <c r="N1148" s="76"/>
      <c r="O1148" s="160"/>
      <c r="P1148" s="109"/>
      <c r="Q1148" s="312"/>
      <c r="R1148" s="312"/>
      <c r="S1148" s="314"/>
      <c r="T1148" s="314"/>
      <c r="U1148" s="314"/>
      <c r="V1148" s="314"/>
      <c r="W1148" s="314"/>
      <c r="X1148" s="314"/>
      <c r="Y1148" s="314"/>
      <c r="Z1148" s="314"/>
      <c r="AA1148" s="314"/>
      <c r="AB1148" s="314"/>
      <c r="AC1148" s="314"/>
      <c r="AD1148" s="314"/>
      <c r="AE1148" s="314"/>
      <c r="AF1148" s="314"/>
      <c r="AG1148" s="314"/>
      <c r="AH1148" s="314"/>
      <c r="AI1148" s="314"/>
      <c r="AJ1148" s="314"/>
      <c r="AK1148" s="314"/>
      <c r="AL1148" s="314"/>
      <c r="AM1148" s="314"/>
      <c r="AN1148" s="314"/>
      <c r="AO1148" s="314"/>
      <c r="AP1148" s="314"/>
      <c r="AQ1148" s="314"/>
      <c r="AR1148" s="314"/>
      <c r="AS1148" s="314"/>
      <c r="AT1148" s="314"/>
      <c r="AU1148" s="314"/>
      <c r="AV1148" s="314"/>
      <c r="AW1148" s="314"/>
      <c r="AX1148" s="314"/>
      <c r="AY1148" s="314"/>
      <c r="AZ1148" s="314"/>
      <c r="BA1148" s="314"/>
      <c r="BB1148" s="314"/>
      <c r="BC1148" s="314"/>
      <c r="BD1148" s="314"/>
      <c r="BE1148" s="314"/>
      <c r="BF1148" s="314"/>
      <c r="BG1148" s="314"/>
      <c r="BH1148" s="314"/>
      <c r="BI1148" s="314"/>
      <c r="BJ1148" s="314"/>
      <c r="BK1148" s="314"/>
      <c r="BL1148" s="314"/>
      <c r="BM1148" s="314"/>
      <c r="BN1148" s="314"/>
      <c r="BO1148" s="314"/>
      <c r="BP1148" s="314"/>
      <c r="BQ1148" s="314"/>
      <c r="BR1148" s="314"/>
      <c r="BS1148" s="314"/>
      <c r="BT1148" s="314"/>
      <c r="BU1148" s="314"/>
      <c r="BV1148" s="314"/>
      <c r="BW1148" s="314"/>
      <c r="BX1148" s="314"/>
      <c r="BY1148" s="314"/>
      <c r="BZ1148" s="314"/>
      <c r="CA1148" s="314"/>
      <c r="CB1148" s="314"/>
      <c r="CC1148" s="314"/>
      <c r="CD1148" s="314"/>
      <c r="CE1148" s="314"/>
      <c r="CF1148" s="314"/>
      <c r="CG1148" s="314"/>
      <c r="CH1148" s="314"/>
      <c r="CI1148" s="314"/>
      <c r="CJ1148" s="314"/>
      <c r="CK1148" s="314"/>
      <c r="CL1148" s="314"/>
      <c r="CM1148" s="314"/>
      <c r="CN1148" s="314"/>
      <c r="CO1148" s="314"/>
      <c r="CP1148" s="314"/>
      <c r="CQ1148" s="314"/>
    </row>
    <row r="1149" spans="1:95" ht="12.75" customHeight="1" x14ac:dyDescent="0.25">
      <c r="A1149" s="462"/>
      <c r="B1149" s="76"/>
      <c r="C1149" s="76"/>
      <c r="D1149" s="115"/>
      <c r="E1149" s="85"/>
      <c r="F1149" s="466" t="str">
        <f>Translations!$B$304</f>
        <v>Comments:</v>
      </c>
      <c r="G1149" s="1250"/>
      <c r="H1149" s="1251"/>
      <c r="I1149" s="1251"/>
      <c r="J1149" s="1251"/>
      <c r="K1149" s="1251"/>
      <c r="L1149" s="1251"/>
      <c r="M1149" s="1251"/>
      <c r="N1149" s="1252"/>
      <c r="O1149" s="160"/>
      <c r="P1149" s="109"/>
      <c r="Q1149" s="312"/>
      <c r="R1149" s="312"/>
      <c r="S1149" s="314"/>
      <c r="T1149" s="314"/>
      <c r="U1149" s="314"/>
      <c r="V1149" s="314"/>
      <c r="W1149" s="314"/>
      <c r="X1149" s="314"/>
      <c r="Y1149" s="314"/>
      <c r="Z1149" s="314"/>
      <c r="AA1149" s="314"/>
      <c r="AB1149" s="314"/>
      <c r="AC1149" s="314"/>
      <c r="AD1149" s="314"/>
      <c r="AE1149" s="314"/>
      <c r="AF1149" s="314"/>
      <c r="AG1149" s="314"/>
      <c r="AH1149" s="314"/>
      <c r="AI1149" s="314"/>
      <c r="AJ1149" s="314"/>
      <c r="AK1149" s="314"/>
      <c r="AL1149" s="314"/>
      <c r="AM1149" s="314"/>
      <c r="AN1149" s="314"/>
      <c r="AO1149" s="314"/>
      <c r="AP1149" s="314"/>
      <c r="AQ1149" s="314"/>
      <c r="AR1149" s="314"/>
      <c r="AS1149" s="314"/>
      <c r="AT1149" s="314"/>
      <c r="AU1149" s="314"/>
      <c r="AV1149" s="314"/>
      <c r="AW1149" s="314"/>
      <c r="AX1149" s="314"/>
      <c r="AY1149" s="314"/>
      <c r="AZ1149" s="314"/>
      <c r="BA1149" s="314"/>
      <c r="BB1149" s="314"/>
      <c r="BC1149" s="314"/>
      <c r="BD1149" s="314"/>
      <c r="BE1149" s="314"/>
      <c r="BF1149" s="314"/>
      <c r="BG1149" s="314"/>
      <c r="BH1149" s="314"/>
      <c r="BI1149" s="314"/>
      <c r="BJ1149" s="314"/>
      <c r="BK1149" s="314"/>
      <c r="BL1149" s="314"/>
      <c r="BM1149" s="314"/>
      <c r="BN1149" s="314"/>
      <c r="BO1149" s="314"/>
      <c r="BP1149" s="314"/>
      <c r="BQ1149" s="314"/>
      <c r="BR1149" s="314"/>
      <c r="BS1149" s="314"/>
      <c r="BT1149" s="314"/>
      <c r="BU1149" s="314"/>
      <c r="BV1149" s="314"/>
      <c r="BW1149" s="314"/>
      <c r="BX1149" s="314"/>
      <c r="BY1149" s="314"/>
      <c r="BZ1149" s="314"/>
      <c r="CA1149" s="314"/>
      <c r="CB1149" s="314"/>
      <c r="CC1149" s="314"/>
      <c r="CD1149" s="314"/>
      <c r="CE1149" s="314"/>
      <c r="CF1149" s="314"/>
      <c r="CG1149" s="314"/>
      <c r="CH1149" s="314"/>
      <c r="CI1149" s="314"/>
      <c r="CJ1149" s="314"/>
      <c r="CK1149" s="314"/>
      <c r="CL1149" s="314"/>
      <c r="CM1149" s="314"/>
      <c r="CN1149" s="314"/>
      <c r="CO1149" s="314"/>
      <c r="CP1149" s="314"/>
      <c r="CQ1149" s="464" t="b">
        <f>CQ1147</f>
        <v>0</v>
      </c>
    </row>
    <row r="1150" spans="1:95" ht="12.75" customHeight="1" thickBot="1" x14ac:dyDescent="0.3">
      <c r="A1150" s="307"/>
      <c r="B1150" s="76"/>
      <c r="C1150" s="308"/>
      <c r="D1150" s="309"/>
      <c r="E1150" s="310"/>
      <c r="F1150" s="308"/>
      <c r="G1150" s="311"/>
      <c r="H1150" s="311"/>
      <c r="I1150" s="311"/>
      <c r="J1150" s="311"/>
      <c r="K1150" s="311"/>
      <c r="L1150" s="311"/>
      <c r="M1150" s="311"/>
      <c r="N1150" s="311"/>
      <c r="O1150" s="160"/>
      <c r="P1150" s="109"/>
      <c r="Q1150" s="312"/>
      <c r="R1150" s="312"/>
      <c r="S1150" s="293"/>
      <c r="T1150" s="293"/>
      <c r="U1150" s="313"/>
      <c r="V1150" s="293"/>
      <c r="W1150" s="293"/>
      <c r="X1150" s="313"/>
      <c r="Y1150" s="293"/>
      <c r="Z1150" s="293"/>
      <c r="AA1150" s="293"/>
      <c r="AB1150" s="293"/>
      <c r="AC1150" s="293"/>
      <c r="AD1150" s="293"/>
      <c r="AE1150" s="293"/>
      <c r="AF1150" s="293"/>
      <c r="AG1150" s="293"/>
      <c r="AH1150" s="293"/>
      <c r="AI1150" s="293"/>
      <c r="AJ1150" s="293"/>
      <c r="AK1150" s="293"/>
      <c r="AL1150" s="293"/>
      <c r="AM1150" s="293"/>
      <c r="AN1150" s="293"/>
      <c r="AO1150" s="293"/>
      <c r="AP1150" s="293"/>
      <c r="AQ1150" s="293"/>
      <c r="AR1150" s="293"/>
      <c r="AS1150" s="293"/>
      <c r="AT1150" s="293"/>
      <c r="AU1150" s="293"/>
      <c r="AV1150" s="293"/>
      <c r="AW1150" s="293"/>
      <c r="AX1150" s="293"/>
      <c r="AY1150" s="293"/>
      <c r="AZ1150" s="293"/>
      <c r="BA1150" s="293"/>
      <c r="BB1150" s="293"/>
      <c r="BC1150" s="293"/>
      <c r="BD1150" s="293"/>
      <c r="BE1150" s="293"/>
      <c r="BF1150" s="293"/>
      <c r="BG1150" s="293"/>
      <c r="BH1150" s="293"/>
      <c r="BI1150" s="293"/>
      <c r="BJ1150" s="293"/>
      <c r="BK1150" s="293"/>
      <c r="BL1150" s="293"/>
      <c r="BM1150" s="314"/>
      <c r="BN1150" s="314"/>
      <c r="BO1150" s="314"/>
      <c r="BP1150" s="314"/>
      <c r="BQ1150" s="314"/>
      <c r="BR1150" s="314"/>
      <c r="BS1150" s="314"/>
      <c r="BT1150" s="314"/>
      <c r="BU1150" s="293"/>
      <c r="BV1150" s="293"/>
      <c r="BW1150" s="293"/>
      <c r="BX1150" s="293"/>
      <c r="BY1150" s="293"/>
      <c r="BZ1150" s="293"/>
      <c r="CA1150" s="293"/>
      <c r="CB1150" s="293"/>
      <c r="CC1150" s="293"/>
      <c r="CD1150" s="293"/>
      <c r="CE1150" s="293"/>
      <c r="CF1150" s="293"/>
      <c r="CG1150" s="293"/>
      <c r="CH1150" s="293"/>
      <c r="CI1150" s="293"/>
      <c r="CJ1150" s="293"/>
      <c r="CK1150" s="293"/>
      <c r="CL1150" s="293"/>
      <c r="CM1150" s="293"/>
      <c r="CN1150" s="293"/>
      <c r="CO1150" s="293"/>
      <c r="CP1150" s="293"/>
      <c r="CQ1150" s="293"/>
    </row>
    <row r="1151" spans="1:95" ht="12.75" customHeight="1" thickBot="1" x14ac:dyDescent="0.3">
      <c r="A1151" s="315"/>
      <c r="B1151" s="76"/>
      <c r="C1151" s="76"/>
      <c r="D1151" s="205"/>
      <c r="E1151" s="316"/>
      <c r="F1151" s="76"/>
      <c r="G1151" s="96"/>
      <c r="H1151" s="96"/>
      <c r="I1151" s="96"/>
      <c r="J1151" s="96"/>
      <c r="K1151" s="76"/>
      <c r="L1151" s="96"/>
      <c r="M1151" s="96"/>
      <c r="N1151" s="96"/>
      <c r="O1151" s="160"/>
      <c r="P1151" s="109"/>
      <c r="Q1151" s="312"/>
      <c r="R1151" s="312"/>
      <c r="S1151" s="287"/>
      <c r="T1151" s="317" t="str">
        <f>IF(ISBLANK(E1152),"",MATCH(E1152,CNTR_SourceStreamNames,0))</f>
        <v/>
      </c>
      <c r="U1151" s="318" t="str">
        <f>IF(ISBLANK(E1152),"",INDEX(B_IdentifyFuelStreams!$D$67:$D$116,MATCH(E1152,CNTR_SourceStreamNames,0)))</f>
        <v/>
      </c>
      <c r="V1151" s="301"/>
      <c r="W1151" s="138"/>
      <c r="X1151" s="138"/>
      <c r="Y1151" s="138"/>
      <c r="Z1151" s="293"/>
      <c r="AA1151" s="293"/>
      <c r="AB1151" s="293"/>
      <c r="AC1151" s="293"/>
      <c r="AD1151" s="293"/>
      <c r="AE1151" s="293"/>
      <c r="AF1151" s="293"/>
      <c r="AG1151" s="293"/>
      <c r="AH1151" s="293"/>
      <c r="AI1151" s="293"/>
      <c r="AJ1151" s="293"/>
      <c r="AK1151" s="312"/>
      <c r="AL1151" s="293"/>
      <c r="AM1151" s="293"/>
      <c r="AN1151" s="293"/>
      <c r="AO1151" s="293"/>
      <c r="AP1151" s="293"/>
      <c r="AQ1151" s="293"/>
      <c r="AR1151" s="293"/>
      <c r="AS1151" s="293"/>
      <c r="AT1151" s="293"/>
      <c r="AU1151" s="293"/>
      <c r="AV1151" s="293"/>
      <c r="AW1151" s="293"/>
      <c r="AX1151" s="293"/>
      <c r="AY1151" s="293"/>
      <c r="AZ1151" s="293"/>
      <c r="BA1151" s="293"/>
      <c r="BB1151" s="293"/>
      <c r="BC1151" s="293"/>
      <c r="BD1151" s="293"/>
      <c r="BE1151" s="293"/>
      <c r="BF1151" s="293"/>
      <c r="BG1151" s="293"/>
      <c r="BH1151" s="293"/>
      <c r="BI1151" s="293"/>
      <c r="BJ1151" s="138"/>
      <c r="BK1151" s="138"/>
      <c r="BL1151" s="138"/>
      <c r="BM1151" s="138"/>
      <c r="BN1151" s="138"/>
      <c r="BO1151" s="138"/>
      <c r="BP1151" s="138"/>
      <c r="BQ1151" s="138"/>
      <c r="BR1151" s="138"/>
      <c r="BS1151" s="138"/>
      <c r="BT1151" s="138"/>
      <c r="BU1151" s="138"/>
      <c r="BV1151" s="138"/>
      <c r="BW1151" s="138"/>
      <c r="BX1151" s="138"/>
      <c r="BY1151" s="138"/>
      <c r="BZ1151" s="138"/>
      <c r="CA1151" s="138"/>
      <c r="CB1151" s="138"/>
      <c r="CC1151" s="138"/>
      <c r="CD1151" s="138"/>
      <c r="CE1151" s="138"/>
      <c r="CF1151" s="138"/>
      <c r="CG1151" s="138"/>
      <c r="CH1151" s="138"/>
      <c r="CI1151" s="138"/>
      <c r="CJ1151" s="138"/>
      <c r="CK1151" s="138"/>
      <c r="CL1151" s="138"/>
      <c r="CM1151" s="138"/>
      <c r="CN1151" s="138"/>
      <c r="CO1151" s="138"/>
      <c r="CP1151" s="138"/>
      <c r="CQ1151" s="319" t="s">
        <v>107</v>
      </c>
    </row>
    <row r="1152" spans="1:95" ht="15" customHeight="1" thickBot="1" x14ac:dyDescent="0.3">
      <c r="A1152" s="320">
        <f>C1152</f>
        <v>40</v>
      </c>
      <c r="B1152" s="68"/>
      <c r="C1152" s="321">
        <f>C1124+1</f>
        <v>40</v>
      </c>
      <c r="D1152" s="68"/>
      <c r="E1152" s="1269"/>
      <c r="F1152" s="1270"/>
      <c r="G1152" s="1270"/>
      <c r="H1152" s="1270"/>
      <c r="I1152" s="1270"/>
      <c r="J1152" s="1271"/>
      <c r="K1152" s="1272" t="str">
        <f>IF(INDEX(B_IdentifyFuelStreams!$K$125:$K$174,MATCH(U1151,B_IdentifyFuelStreams!$D$125:$D$174,0))&gt;0,INDEX(B_IdentifyFuelStreams!$K$125:$K$174,MATCH(U1151,B_IdentifyFuelStreams!$D$125:$D$174,0)),"")</f>
        <v/>
      </c>
      <c r="L1152" s="1273"/>
      <c r="M1152" s="316" t="str">
        <f>Translations!$B$621</f>
        <v>Emissions:</v>
      </c>
      <c r="N1152" s="322" t="str">
        <f>IF(E1153="","",BG1158)</f>
        <v/>
      </c>
      <c r="O1152" s="323" t="str">
        <f>EUconst_tCO2</f>
        <v>tCO2</v>
      </c>
      <c r="P1152" s="324" t="str">
        <f>IF(AND(E1152&lt;&gt;"",COUNTIF(P1153:$P$1649,"PRINT")=0),"PRINT","")</f>
        <v/>
      </c>
      <c r="Q1152" s="325" t="str">
        <f>EUconst_SumCO2</f>
        <v>SUM_CO2</v>
      </c>
      <c r="R1152" s="312"/>
      <c r="S1152" s="287"/>
      <c r="T1152" s="287"/>
      <c r="U1152" s="287"/>
      <c r="V1152" s="301"/>
      <c r="W1152" s="138"/>
      <c r="X1152" s="293"/>
      <c r="Y1152" s="293"/>
      <c r="Z1152" s="293"/>
      <c r="AA1152" s="293"/>
      <c r="AB1152" s="293"/>
      <c r="AC1152" s="293"/>
      <c r="AD1152" s="293"/>
      <c r="AE1152" s="293"/>
      <c r="AF1152" s="293"/>
      <c r="AG1152" s="293"/>
      <c r="AH1152" s="293"/>
      <c r="AI1152" s="326"/>
      <c r="AJ1152" s="326"/>
      <c r="AK1152" s="326"/>
      <c r="AL1152" s="326"/>
      <c r="AM1152" s="326"/>
      <c r="AN1152" s="326"/>
      <c r="AO1152" s="326"/>
      <c r="AP1152" s="326"/>
      <c r="AQ1152" s="326"/>
      <c r="AR1152" s="326"/>
      <c r="AS1152" s="326"/>
      <c r="AT1152" s="326"/>
      <c r="AU1152" s="326"/>
      <c r="AV1152" s="326"/>
      <c r="AW1152" s="326"/>
      <c r="AX1152" s="326"/>
      <c r="AY1152" s="326"/>
      <c r="AZ1152" s="326"/>
      <c r="BA1152" s="326"/>
      <c r="BB1152" s="326"/>
      <c r="BC1152" s="326"/>
      <c r="BD1152" s="326"/>
      <c r="BE1152" s="326"/>
      <c r="BF1152" s="326"/>
      <c r="BG1152" s="326"/>
      <c r="BH1152" s="326"/>
      <c r="BI1152" s="327" t="str">
        <f>IF(E1152="","",E1152)</f>
        <v/>
      </c>
      <c r="BJ1152" s="328" t="str">
        <f>IF(F1158="","",F1158)</f>
        <v/>
      </c>
      <c r="BK1152" s="329">
        <f>AV1158</f>
        <v>0</v>
      </c>
      <c r="BL1152" s="329">
        <f>IF(BK1152="","",BK1152*(1-BP1152))</f>
        <v>0</v>
      </c>
      <c r="BM1152" s="328" t="str">
        <f>AJ1158</f>
        <v/>
      </c>
      <c r="BN1152" s="328" t="str">
        <f>IF(F1169="","",F1169)</f>
        <v/>
      </c>
      <c r="BO1152" s="327" t="str">
        <f>IF(G1169="","",G1169)</f>
        <v/>
      </c>
      <c r="BP1152" s="330">
        <f>AV1169</f>
        <v>0</v>
      </c>
      <c r="BQ1152" s="328" t="str">
        <f>IF(F1161="","",F1161)</f>
        <v/>
      </c>
      <c r="BR1152" s="330">
        <f>AV1161</f>
        <v>0</v>
      </c>
      <c r="BS1152" s="330" t="str">
        <f>AJ1161</f>
        <v/>
      </c>
      <c r="BT1152" s="328" t="str">
        <f>IF(F1160="","",F1160)</f>
        <v/>
      </c>
      <c r="BU1152" s="330">
        <f>IF(F1160=EUconst_NA,"",AV1160)</f>
        <v>0</v>
      </c>
      <c r="BV1152" s="330" t="str">
        <f>AJ1160</f>
        <v/>
      </c>
      <c r="BW1152" s="328" t="str">
        <f>IF(F1162="","",F1162)</f>
        <v/>
      </c>
      <c r="BX1152" s="330">
        <f>AV1162</f>
        <v>0</v>
      </c>
      <c r="BY1152" s="328" t="str">
        <f>IF(F1163="","",F1163)</f>
        <v/>
      </c>
      <c r="BZ1152" s="330">
        <f>AV1163</f>
        <v>0</v>
      </c>
      <c r="CA1152" s="330">
        <f>AV1164</f>
        <v>0</v>
      </c>
      <c r="CB1152" s="330">
        <f>AV1165</f>
        <v>0</v>
      </c>
      <c r="CC1152" s="330">
        <f>AV1166</f>
        <v>0</v>
      </c>
      <c r="CD1152" s="330">
        <f>AV1167</f>
        <v>0</v>
      </c>
      <c r="CE1152" s="329" t="str">
        <f>BG1158</f>
        <v/>
      </c>
      <c r="CF1152" s="329" t="str">
        <f>BG1160</f>
        <v/>
      </c>
      <c r="CG1152" s="329" t="str">
        <f>BG1161</f>
        <v/>
      </c>
      <c r="CH1152" s="329" t="str">
        <f>BG1162</f>
        <v/>
      </c>
      <c r="CI1152" s="329" t="str">
        <f>BG1163</f>
        <v/>
      </c>
      <c r="CJ1152" s="329" t="str">
        <f>BG1164</f>
        <v/>
      </c>
      <c r="CK1152" s="329" t="str">
        <f>BG1165</f>
        <v/>
      </c>
      <c r="CL1152" s="329">
        <f>BG1166</f>
        <v>0</v>
      </c>
      <c r="CM1152" s="329" t="str">
        <f>BG1167</f>
        <v/>
      </c>
      <c r="CN1152" s="329" t="str">
        <f>BG1169</f>
        <v/>
      </c>
      <c r="CO1152" s="329" t="str">
        <f>BG1173</f>
        <v/>
      </c>
      <c r="CP1152" s="329" t="str">
        <f>IF(COUNTIF(AO1161:AO1162,TRUE)=0,"",BH1158)</f>
        <v/>
      </c>
      <c r="CQ1152" s="331" t="b">
        <v>0</v>
      </c>
    </row>
    <row r="1153" spans="1:95" ht="15" customHeight="1" thickBot="1" x14ac:dyDescent="0.3">
      <c r="A1153" s="307"/>
      <c r="B1153" s="68"/>
      <c r="C1153" s="68"/>
      <c r="D1153" s="68"/>
      <c r="E1153" s="1274" t="str">
        <f>IF(ISBLANK(E1152),"",IF(INDEX(B_IdentifyFuelStreams!$E$67:$E$116,MATCH(U1151,B_IdentifyFuelStreams!$D$67:$D$116,0))&gt;0,INDEX(B_IdentifyFuelStreams!$E$67:$E$116,MATCH(U1151,B_IdentifyFuelStreams!$D$67:$D$116,0)),""))</f>
        <v/>
      </c>
      <c r="F1153" s="1275"/>
      <c r="G1153" s="1275"/>
      <c r="H1153" s="1275"/>
      <c r="I1153" s="1275"/>
      <c r="J1153" s="1276"/>
      <c r="K1153" s="1272" t="str">
        <f>IF(INDEX(B_IdentifyFuelStreams!$M$125:$M$174,MATCH(U1151,B_IdentifyFuelStreams!$D$125:$D$174,0))&gt;0,INDEX(B_IdentifyFuelStreams!$M$125:$M$174,MATCH(U1151,B_IdentifyFuelStreams!$D$125:$D$174,0)),"")</f>
        <v/>
      </c>
      <c r="L1153" s="1273"/>
      <c r="M1153" s="332" t="str">
        <f>Translations!$B$622</f>
        <v>zero-rated:</v>
      </c>
      <c r="N1153" s="333" t="str">
        <f>IF(E1153="","",SUM(BG1160,BG1162,BG1164))</f>
        <v/>
      </c>
      <c r="O1153" s="334" t="str">
        <f>EUconst_tCO2</f>
        <v>tCO2</v>
      </c>
      <c r="P1153" s="109"/>
      <c r="Q1153" s="325" t="str">
        <f>EUconst_SumBioCO2</f>
        <v>SUM_bioCO2</v>
      </c>
      <c r="R1153" s="312"/>
      <c r="S1153" s="287"/>
      <c r="T1153" s="287"/>
      <c r="U1153" s="287"/>
      <c r="V1153" s="301"/>
      <c r="W1153" s="138"/>
      <c r="X1153" s="293"/>
      <c r="Y1153" s="317" t="str">
        <f>Translations!$B$143</f>
        <v>Tiers</v>
      </c>
      <c r="Z1153" s="314"/>
      <c r="AA1153" s="314"/>
      <c r="AB1153" s="314"/>
      <c r="AC1153" s="314"/>
      <c r="AD1153" s="314"/>
      <c r="AE1153" s="317" t="s">
        <v>108</v>
      </c>
      <c r="AF1153" s="293"/>
      <c r="AG1153" s="335"/>
      <c r="AH1153" s="314"/>
      <c r="AI1153" s="314"/>
      <c r="AJ1153" s="335"/>
      <c r="AK1153" s="335"/>
      <c r="AL1153" s="326"/>
      <c r="AM1153" s="326"/>
      <c r="AN1153" s="326"/>
      <c r="AO1153" s="326"/>
      <c r="AP1153" s="326"/>
      <c r="AQ1153" s="317" t="s">
        <v>109</v>
      </c>
      <c r="AR1153" s="336"/>
      <c r="AS1153" s="336"/>
      <c r="AT1153" s="314"/>
      <c r="AU1153" s="314"/>
      <c r="AV1153" s="314"/>
      <c r="AW1153" s="314"/>
      <c r="AX1153" s="314"/>
      <c r="AY1153" s="314"/>
      <c r="AZ1153" s="317" t="s">
        <v>110</v>
      </c>
      <c r="BA1153" s="314"/>
      <c r="BB1153" s="314"/>
      <c r="BC1153" s="314"/>
      <c r="BD1153" s="314"/>
      <c r="BE1153" s="314"/>
      <c r="BF1153" s="317" t="s">
        <v>111</v>
      </c>
      <c r="BG1153" s="314"/>
      <c r="BH1153" s="314"/>
      <c r="BI1153" s="317" t="s">
        <v>112</v>
      </c>
      <c r="BJ1153" s="328" t="str">
        <f>Translations!$B$376</f>
        <v>RFA Tier</v>
      </c>
      <c r="BK1153" s="328" t="str">
        <f>Translations!$B$377</f>
        <v>RFA</v>
      </c>
      <c r="BL1153" s="328" t="str">
        <f>Translations!$B$378</f>
        <v>RFA (in scope)</v>
      </c>
      <c r="BM1153" s="328" t="str">
        <f>Translations!$B$379</f>
        <v>RFA Unit</v>
      </c>
      <c r="BN1153" s="328" t="str">
        <f>Translations!$B$380</f>
        <v>SF Tier</v>
      </c>
      <c r="BO1153" s="328" t="str">
        <f>Translations!$B$380</f>
        <v>SF Tier</v>
      </c>
      <c r="BP1153" s="328" t="str">
        <f>Translations!$B$381</f>
        <v>SF</v>
      </c>
      <c r="BQ1153" s="328" t="str">
        <f>Translations!$B$382</f>
        <v>EF Tier</v>
      </c>
      <c r="BR1153" s="328" t="str">
        <f>Translations!$B$383</f>
        <v>EF</v>
      </c>
      <c r="BS1153" s="328" t="str">
        <f>Translations!$B$384</f>
        <v>EF Unit</v>
      </c>
      <c r="BT1153" s="328" t="str">
        <f>Translations!$B$385</f>
        <v>UCF Tier</v>
      </c>
      <c r="BU1153" s="328" t="str">
        <f>Translations!$B$386</f>
        <v>UCF</v>
      </c>
      <c r="BV1153" s="328" t="str">
        <f>Translations!$B$387</f>
        <v>UCF Unit</v>
      </c>
      <c r="BW1153" s="328" t="str">
        <f>Translations!$B$388</f>
        <v>Bio Tier</v>
      </c>
      <c r="BX1153" s="328" t="s">
        <v>113</v>
      </c>
      <c r="BY1153" s="328" t="str">
        <f>Translations!$B$389</f>
        <v>NonSustBio Tier</v>
      </c>
      <c r="BZ1153" s="328" t="s">
        <v>114</v>
      </c>
      <c r="CA1153" s="328" t="s">
        <v>115</v>
      </c>
      <c r="CB1153" s="328" t="s">
        <v>116</v>
      </c>
      <c r="CC1153" s="328" t="s">
        <v>117</v>
      </c>
      <c r="CD1153" s="328" t="s">
        <v>118</v>
      </c>
      <c r="CE1153" s="328" t="s">
        <v>119</v>
      </c>
      <c r="CF1153" s="328" t="s">
        <v>120</v>
      </c>
      <c r="CG1153" s="328" t="str">
        <f>Translations!$B$392</f>
        <v>CO2 non-sust</v>
      </c>
      <c r="CH1153" s="328" t="s">
        <v>121</v>
      </c>
      <c r="CI1153" s="328" t="s">
        <v>122</v>
      </c>
      <c r="CJ1153" s="328" t="s">
        <v>123</v>
      </c>
      <c r="CK1153" s="328" t="s">
        <v>124</v>
      </c>
      <c r="CL1153" s="328" t="s">
        <v>125</v>
      </c>
      <c r="CM1153" s="328" t="str">
        <f>Translations!$B$551</f>
        <v>Energy content (bio), TJ</v>
      </c>
      <c r="CN1153" s="328" t="s">
        <v>126</v>
      </c>
      <c r="CO1153" s="328" t="s">
        <v>127</v>
      </c>
      <c r="CP1153" s="328" t="s">
        <v>128</v>
      </c>
      <c r="CQ1153" s="314"/>
    </row>
    <row r="1154" spans="1:95" ht="5.15" customHeight="1" thickBot="1" x14ac:dyDescent="0.3">
      <c r="A1154" s="307"/>
      <c r="B1154" s="68"/>
      <c r="C1154" s="68"/>
      <c r="D1154" s="68"/>
      <c r="E1154" s="68"/>
      <c r="F1154" s="68"/>
      <c r="G1154" s="68"/>
      <c r="H1154" s="76"/>
      <c r="I1154" s="76"/>
      <c r="J1154" s="76"/>
      <c r="K1154" s="76"/>
      <c r="L1154" s="76"/>
      <c r="M1154" s="76"/>
      <c r="N1154" s="76"/>
      <c r="O1154" s="160"/>
      <c r="P1154" s="109"/>
      <c r="Q1154" s="312"/>
      <c r="R1154" s="312"/>
      <c r="S1154" s="287"/>
      <c r="T1154" s="287"/>
      <c r="U1154" s="287"/>
      <c r="V1154" s="301"/>
      <c r="W1154" s="314"/>
      <c r="X1154" s="314"/>
      <c r="Y1154" s="312"/>
      <c r="Z1154" s="314"/>
      <c r="AA1154" s="314"/>
      <c r="AB1154" s="314"/>
      <c r="AC1154" s="314"/>
      <c r="AD1154" s="314"/>
      <c r="AE1154" s="314"/>
      <c r="AF1154" s="293"/>
      <c r="AG1154" s="314"/>
      <c r="AH1154" s="314"/>
      <c r="AI1154" s="314"/>
      <c r="AJ1154" s="335"/>
      <c r="AK1154" s="335"/>
      <c r="AL1154" s="326"/>
      <c r="AM1154" s="326"/>
      <c r="AN1154" s="326"/>
      <c r="AO1154" s="326"/>
      <c r="AP1154" s="326"/>
      <c r="AQ1154" s="314"/>
      <c r="AR1154" s="314"/>
      <c r="AS1154" s="314"/>
      <c r="AT1154" s="314"/>
      <c r="AU1154" s="314"/>
      <c r="AV1154" s="314"/>
      <c r="AW1154" s="314"/>
      <c r="AX1154" s="314"/>
      <c r="AY1154" s="314"/>
      <c r="AZ1154" s="314"/>
      <c r="BA1154" s="314"/>
      <c r="BB1154" s="314"/>
      <c r="BC1154" s="314"/>
      <c r="BD1154" s="314"/>
      <c r="BE1154" s="314"/>
      <c r="BF1154" s="314"/>
      <c r="BG1154" s="314"/>
      <c r="BH1154" s="314"/>
      <c r="BI1154" s="314"/>
      <c r="BJ1154" s="314"/>
      <c r="BK1154" s="314"/>
      <c r="BL1154" s="314"/>
      <c r="BM1154" s="314"/>
      <c r="BN1154" s="314"/>
      <c r="BO1154" s="314"/>
      <c r="BP1154" s="314"/>
      <c r="BQ1154" s="314"/>
      <c r="BR1154" s="314"/>
      <c r="BS1154" s="314"/>
      <c r="BT1154" s="314"/>
      <c r="BU1154" s="314"/>
      <c r="BV1154" s="314"/>
      <c r="BW1154" s="314"/>
      <c r="BX1154" s="314"/>
      <c r="BY1154" s="314"/>
      <c r="BZ1154" s="314"/>
      <c r="CA1154" s="314"/>
      <c r="CB1154" s="314"/>
      <c r="CC1154" s="314"/>
      <c r="CD1154" s="314"/>
      <c r="CE1154" s="314"/>
      <c r="CF1154" s="314"/>
      <c r="CG1154" s="314"/>
      <c r="CH1154" s="314"/>
      <c r="CI1154" s="314"/>
      <c r="CJ1154" s="314"/>
      <c r="CK1154" s="314"/>
      <c r="CL1154" s="314"/>
      <c r="CM1154" s="314"/>
      <c r="CN1154" s="314"/>
      <c r="CO1154" s="314"/>
      <c r="CP1154" s="314"/>
      <c r="CQ1154" s="314"/>
    </row>
    <row r="1155" spans="1:95" ht="12.75" customHeight="1" thickBot="1" x14ac:dyDescent="0.3">
      <c r="A1155" s="307"/>
      <c r="B1155" s="68"/>
      <c r="C1155" s="68"/>
      <c r="D1155" s="68"/>
      <c r="E1155" s="1253" t="str">
        <f>IF(E1152="","",HYPERLINK("#JUMP_E_Top",EUconst_FurtherGuidancePoint1))</f>
        <v/>
      </c>
      <c r="F1155" s="1253"/>
      <c r="G1155" s="1253"/>
      <c r="H1155" s="1253"/>
      <c r="I1155" s="1253"/>
      <c r="J1155" s="1253"/>
      <c r="K1155" s="1253"/>
      <c r="L1155" s="1253"/>
      <c r="M1155" s="1253"/>
      <c r="N1155" s="76"/>
      <c r="O1155" s="160"/>
      <c r="P1155" s="109"/>
      <c r="Q1155" s="325" t="str">
        <f>EUconst_SumNonSustBioCO2</f>
        <v>SUM_bioNonSustCO2</v>
      </c>
      <c r="R1155" s="337" t="str">
        <f>IF(E1153="","",BG1161)</f>
        <v/>
      </c>
      <c r="S1155" s="287"/>
      <c r="T1155" s="287"/>
      <c r="U1155" s="287"/>
      <c r="V1155" s="314"/>
      <c r="W1155" s="314"/>
      <c r="X1155" s="314"/>
      <c r="Y1155" s="293"/>
      <c r="Z1155" s="314"/>
      <c r="AA1155" s="314"/>
      <c r="AB1155" s="314"/>
      <c r="AC1155" s="314"/>
      <c r="AD1155" s="314"/>
      <c r="AE1155" s="314"/>
      <c r="AF1155" s="293"/>
      <c r="AG1155" s="314"/>
      <c r="AH1155" s="314"/>
      <c r="AI1155" s="314"/>
      <c r="AJ1155" s="335"/>
      <c r="AK1155" s="335"/>
      <c r="AL1155" s="326"/>
      <c r="AM1155" s="326"/>
      <c r="AN1155" s="326"/>
      <c r="AO1155" s="326"/>
      <c r="AP1155" s="326"/>
      <c r="AQ1155" s="314"/>
      <c r="AR1155" s="314"/>
      <c r="AS1155" s="314"/>
      <c r="AT1155" s="314"/>
      <c r="AU1155" s="314"/>
      <c r="AV1155" s="314"/>
      <c r="AW1155" s="314"/>
      <c r="AX1155" s="314"/>
      <c r="AY1155" s="314"/>
      <c r="AZ1155" s="314"/>
      <c r="BA1155" s="314"/>
      <c r="BB1155" s="314"/>
      <c r="BC1155" s="314"/>
      <c r="BD1155" s="314"/>
      <c r="BE1155" s="314"/>
      <c r="BF1155" s="314"/>
      <c r="BG1155" s="314"/>
      <c r="BH1155" s="314"/>
      <c r="BI1155" s="317" t="s">
        <v>129</v>
      </c>
      <c r="BJ1155" s="336"/>
      <c r="BK1155" s="327" t="str">
        <f>IF(G1173="","",G1173)</f>
        <v/>
      </c>
      <c r="BL1155" s="327" t="str">
        <f>IF(I1173="","",I1173)</f>
        <v/>
      </c>
      <c r="BM1155" s="327" t="str">
        <f>IF(K1173="","",K1173)</f>
        <v/>
      </c>
      <c r="BN1155" s="314"/>
      <c r="BO1155" s="314"/>
      <c r="BP1155" s="314"/>
      <c r="BQ1155" s="314"/>
      <c r="BR1155" s="314"/>
      <c r="BS1155" s="314"/>
      <c r="BT1155" s="319"/>
      <c r="BU1155" s="314"/>
      <c r="BV1155" s="314"/>
      <c r="BW1155" s="314"/>
      <c r="BX1155" s="314"/>
      <c r="BY1155" s="314"/>
      <c r="BZ1155" s="314"/>
      <c r="CA1155" s="314"/>
      <c r="CB1155" s="314"/>
      <c r="CC1155" s="314"/>
      <c r="CD1155" s="314"/>
      <c r="CE1155" s="314"/>
      <c r="CF1155" s="314"/>
      <c r="CG1155" s="314"/>
      <c r="CH1155" s="314"/>
      <c r="CI1155" s="314"/>
      <c r="CJ1155" s="314"/>
      <c r="CK1155" s="314"/>
      <c r="CL1155" s="314"/>
      <c r="CM1155" s="314"/>
      <c r="CN1155" s="314"/>
      <c r="CO1155" s="314"/>
      <c r="CP1155" s="314"/>
      <c r="CQ1155" s="314"/>
    </row>
    <row r="1156" spans="1:95" ht="5.15" customHeight="1" thickBot="1" x14ac:dyDescent="0.3">
      <c r="A1156" s="307"/>
      <c r="B1156" s="68"/>
      <c r="C1156" s="68"/>
      <c r="D1156" s="68"/>
      <c r="E1156" s="68"/>
      <c r="F1156" s="68"/>
      <c r="G1156" s="68"/>
      <c r="H1156" s="76"/>
      <c r="I1156" s="76"/>
      <c r="J1156" s="76"/>
      <c r="K1156" s="76"/>
      <c r="L1156" s="76"/>
      <c r="M1156" s="76"/>
      <c r="N1156" s="76"/>
      <c r="O1156" s="160"/>
      <c r="P1156" s="111"/>
      <c r="Q1156" s="287"/>
      <c r="R1156" s="111"/>
      <c r="S1156" s="287"/>
      <c r="T1156" s="287"/>
      <c r="U1156" s="287"/>
      <c r="V1156" s="314"/>
      <c r="W1156" s="314"/>
      <c r="X1156" s="314"/>
      <c r="Y1156" s="312"/>
      <c r="Z1156" s="314"/>
      <c r="AA1156" s="314"/>
      <c r="AB1156" s="314"/>
      <c r="AC1156" s="314"/>
      <c r="AD1156" s="314"/>
      <c r="AE1156" s="314"/>
      <c r="AF1156" s="293"/>
      <c r="AG1156" s="314"/>
      <c r="AH1156" s="314"/>
      <c r="AI1156" s="314"/>
      <c r="AJ1156" s="335"/>
      <c r="AK1156" s="335"/>
      <c r="AL1156" s="326"/>
      <c r="AM1156" s="326"/>
      <c r="AN1156" s="326"/>
      <c r="AO1156" s="326"/>
      <c r="AP1156" s="326"/>
      <c r="AQ1156" s="314"/>
      <c r="AR1156" s="314"/>
      <c r="AS1156" s="314"/>
      <c r="AT1156" s="314"/>
      <c r="AU1156" s="314"/>
      <c r="AV1156" s="314"/>
      <c r="AW1156" s="314"/>
      <c r="AX1156" s="314"/>
      <c r="AY1156" s="314"/>
      <c r="AZ1156" s="314"/>
      <c r="BA1156" s="314"/>
      <c r="BB1156" s="314"/>
      <c r="BC1156" s="314"/>
      <c r="BD1156" s="314"/>
      <c r="BE1156" s="314"/>
      <c r="BF1156" s="314"/>
      <c r="BG1156" s="314"/>
      <c r="BH1156" s="314"/>
      <c r="BI1156" s="314"/>
      <c r="BJ1156" s="314"/>
      <c r="BK1156" s="314"/>
      <c r="BL1156" s="314"/>
      <c r="BM1156" s="314"/>
      <c r="BN1156" s="314"/>
      <c r="BO1156" s="314"/>
      <c r="BP1156" s="314"/>
      <c r="BQ1156" s="314"/>
      <c r="BR1156" s="314"/>
      <c r="BS1156" s="314"/>
      <c r="BT1156" s="314"/>
      <c r="BU1156" s="314"/>
      <c r="BV1156" s="314"/>
      <c r="BW1156" s="314"/>
      <c r="BX1156" s="314"/>
      <c r="BY1156" s="314"/>
      <c r="BZ1156" s="314"/>
      <c r="CA1156" s="314"/>
      <c r="CB1156" s="314"/>
      <c r="CC1156" s="314"/>
      <c r="CD1156" s="314"/>
      <c r="CE1156" s="314"/>
      <c r="CF1156" s="314"/>
      <c r="CG1156" s="314"/>
      <c r="CH1156" s="314"/>
      <c r="CI1156" s="314"/>
      <c r="CJ1156" s="314"/>
      <c r="CK1156" s="314"/>
      <c r="CL1156" s="314"/>
      <c r="CM1156" s="314"/>
      <c r="CN1156" s="314"/>
      <c r="CO1156" s="314"/>
      <c r="CP1156" s="314"/>
      <c r="CQ1156" s="314"/>
    </row>
    <row r="1157" spans="1:95" ht="12.75" customHeight="1" thickBot="1" x14ac:dyDescent="0.3">
      <c r="A1157" s="307"/>
      <c r="B1157" s="68"/>
      <c r="C1157" s="68"/>
      <c r="D1157" s="68"/>
      <c r="E1157" s="68"/>
      <c r="F1157" s="338" t="str">
        <f>Translations!$B$127</f>
        <v>Tier</v>
      </c>
      <c r="G1157" s="1254" t="str">
        <f>Translations!$B$393</f>
        <v>tier description</v>
      </c>
      <c r="H1157" s="1254"/>
      <c r="I1157" s="1255" t="str">
        <f>Translations!$B$394</f>
        <v>Unit</v>
      </c>
      <c r="J1157" s="1255"/>
      <c r="K1157" s="1255" t="str">
        <f>Translations!$B$395</f>
        <v>Value</v>
      </c>
      <c r="L1157" s="1255"/>
      <c r="M1157" s="205" t="str">
        <f>Translations!$B$396</f>
        <v>error</v>
      </c>
      <c r="N1157" s="76"/>
      <c r="O1157" s="160"/>
      <c r="P1157" s="339"/>
      <c r="Q1157" s="325" t="str">
        <f>EUconst_SumEnergyIN</f>
        <v>SUM_EnergyIN</v>
      </c>
      <c r="R1157" s="340" t="str">
        <f>IF(E1153="","",BG1166)</f>
        <v/>
      </c>
      <c r="S1157" s="314"/>
      <c r="T1157" s="314"/>
      <c r="U1157" s="314"/>
      <c r="V1157" s="341" t="s">
        <v>130</v>
      </c>
      <c r="W1157" s="314"/>
      <c r="X1157" s="314"/>
      <c r="Y1157" s="312" t="s">
        <v>131</v>
      </c>
      <c r="Z1157" s="312" t="s">
        <v>132</v>
      </c>
      <c r="AA1157" s="314"/>
      <c r="AB1157" s="314"/>
      <c r="AC1157" s="336" t="s">
        <v>133</v>
      </c>
      <c r="AD1157" s="314"/>
      <c r="AE1157" s="314"/>
      <c r="AF1157" s="314" t="s">
        <v>134</v>
      </c>
      <c r="AG1157" s="314" t="s">
        <v>135</v>
      </c>
      <c r="AH1157" s="312" t="s">
        <v>136</v>
      </c>
      <c r="AI1157" s="335" t="s">
        <v>137</v>
      </c>
      <c r="AJ1157" s="335" t="s">
        <v>138</v>
      </c>
      <c r="AK1157" s="342" t="s">
        <v>139</v>
      </c>
      <c r="AL1157" s="326"/>
      <c r="AM1157" s="326"/>
      <c r="AN1157" s="326"/>
      <c r="AO1157" s="326"/>
      <c r="AP1157" s="326"/>
      <c r="AQ1157" s="314"/>
      <c r="AR1157" s="314" t="s">
        <v>134</v>
      </c>
      <c r="AS1157" s="314" t="s">
        <v>135</v>
      </c>
      <c r="AT1157" s="343" t="s">
        <v>140</v>
      </c>
      <c r="AU1157" s="335" t="s">
        <v>141</v>
      </c>
      <c r="AV1157" s="335" t="s">
        <v>142</v>
      </c>
      <c r="AW1157" s="342" t="s">
        <v>139</v>
      </c>
      <c r="AX1157" s="342" t="s">
        <v>139</v>
      </c>
      <c r="AY1157" s="314"/>
      <c r="AZ1157" s="314"/>
      <c r="BA1157" s="314"/>
      <c r="BB1157" s="314" t="s">
        <v>143</v>
      </c>
      <c r="BC1157" s="314"/>
      <c r="BD1157" s="314"/>
      <c r="BE1157" s="314"/>
      <c r="BF1157" s="314"/>
      <c r="BG1157" s="319" t="s">
        <v>144</v>
      </c>
      <c r="BH1157" s="314" t="s">
        <v>145</v>
      </c>
      <c r="BI1157" s="314"/>
      <c r="BJ1157" s="314"/>
      <c r="BK1157" s="314"/>
      <c r="BL1157" s="314"/>
      <c r="BM1157" s="314"/>
      <c r="BN1157" s="314"/>
      <c r="BO1157" s="314"/>
      <c r="BP1157" s="314"/>
      <c r="BQ1157" s="314"/>
      <c r="BR1157" s="314"/>
      <c r="BS1157" s="314"/>
      <c r="BT1157" s="314"/>
      <c r="BU1157" s="314"/>
      <c r="BV1157" s="314"/>
      <c r="BW1157" s="314"/>
      <c r="BX1157" s="314"/>
      <c r="BY1157" s="314"/>
      <c r="BZ1157" s="314"/>
      <c r="CA1157" s="314"/>
      <c r="CB1157" s="314"/>
      <c r="CC1157" s="314"/>
      <c r="CD1157" s="314"/>
      <c r="CE1157" s="314"/>
      <c r="CF1157" s="314"/>
      <c r="CG1157" s="314"/>
      <c r="CH1157" s="314"/>
      <c r="CI1157" s="314"/>
      <c r="CJ1157" s="314"/>
      <c r="CK1157" s="314"/>
      <c r="CL1157" s="314"/>
      <c r="CM1157" s="314"/>
      <c r="CN1157" s="314"/>
      <c r="CO1157" s="314"/>
      <c r="CP1157" s="314"/>
      <c r="CQ1157" s="319" t="s">
        <v>107</v>
      </c>
    </row>
    <row r="1158" spans="1:95" ht="12.75" customHeight="1" thickBot="1" x14ac:dyDescent="0.3">
      <c r="A1158" s="307"/>
      <c r="B1158" s="68"/>
      <c r="C1158" s="199" t="s">
        <v>12</v>
      </c>
      <c r="D1158" s="344" t="str">
        <f>Translations!$B$356</f>
        <v>RFA:</v>
      </c>
      <c r="E1158" s="345"/>
      <c r="F1158" s="6"/>
      <c r="G1158" s="1256" t="str">
        <f>IF(OR(ISBLANK(F1158),F1158=EUconst_NoTier),"",IF(Z1158=0,EUconst_NA,IF(ISERROR(Z1158),"",Z1158)))</f>
        <v/>
      </c>
      <c r="H1158" s="1257"/>
      <c r="I1158" s="346" t="str">
        <f>IF(J1158&lt;&gt;"","",AI1158)</f>
        <v/>
      </c>
      <c r="J1158" s="7"/>
      <c r="K1158" s="1258"/>
      <c r="L1158" s="1259"/>
      <c r="M1158" s="347" t="str">
        <f>IF(AND(E1153&lt;&gt;"",OR(F1158="",COUNT(K1158)=0),Y1158&lt;&gt;EUconst_NA),EUconst_ERR_Incomplete,"")</f>
        <v/>
      </c>
      <c r="N1158" s="76"/>
      <c r="O1158" s="160"/>
      <c r="P1158" s="348"/>
      <c r="Q1158" s="325" t="str">
        <f>EUconst_SumBioEnergyIN</f>
        <v>SUM_BioEnergyIN</v>
      </c>
      <c r="R1158" s="340" t="str">
        <f>IF(E1153="","",BG1167)</f>
        <v/>
      </c>
      <c r="S1158" s="314"/>
      <c r="T1158" s="349" t="str">
        <f>EUconst_CNTR_ActivityData&amp;E1153</f>
        <v>ActivityData_</v>
      </c>
      <c r="U1158" s="312"/>
      <c r="V1158" s="349" t="str">
        <f>IF(E1152="","",INDEX(B_IdentifyFuelStreams!$I$67:$I$116,MATCH(U1151,B_IdentifyFuelStreams!$D$67:$D$116,0)))</f>
        <v/>
      </c>
      <c r="W1158" s="335" t="s">
        <v>146</v>
      </c>
      <c r="X1158" s="312"/>
      <c r="Y1158" s="350" t="str">
        <f>IF(E1153="","",INDEX(EUwideConstants!$P$164:$P$200,MATCH(T1158,EUwideConstants!$S$164:$S$200,0)))</f>
        <v/>
      </c>
      <c r="Z1158" s="351" t="str">
        <f>IF(ISBLANK(F1158),"",IF(F1158=EUconst_NA,"",INDEX(EUwideConstants!$H:$O,MATCH(T1158,EUwideConstants!$S:$S,0),MATCH(F1158,CNTR_TierList,0))))</f>
        <v/>
      </c>
      <c r="AA1158" s="352" t="s">
        <v>136</v>
      </c>
      <c r="AB1158" s="335"/>
      <c r="AC1158" s="331" t="b">
        <f>E1152&lt;&gt;""</f>
        <v>0</v>
      </c>
      <c r="AD1158" s="314"/>
      <c r="AE1158" s="353" t="str">
        <f>EUconst_CNTR_ActivityData&amp;EUconst_Unit</f>
        <v>ActivityData_Unit</v>
      </c>
      <c r="AF1158" s="354" t="str">
        <f>IF(AC1158=TRUE, IF(COUNTIF(MSPara_SourceStreamCategory,V1158)=0,"",INDEX(MSPara_CalcFactorsMatrix,MATCH(V1158,MSPara_SourceStreamCategory,0),MATCH(AE1158&amp;"_"&amp;2,MSPara_CalcFactors,0))),"")</f>
        <v/>
      </c>
      <c r="AG1158" s="355" t="str">
        <f>IF(AC1158=TRUE, IF(COUNTIF(MSPara_SourceStreamCategory,V1158)=0,"",INDEX(MSPara_CalcFactorsMatrix,MATCH(V1158,MSPara_SourceStreamCategory,0),MATCH(AE1158&amp;"_"&amp;1,MSPara_CalcFactors,0))),"")</f>
        <v/>
      </c>
      <c r="AH1158" s="331" t="str">
        <f>IF(OR(AF1158="",AF1158=EUconst_NA),IF(OR(AG1158=EUconst_NA,AG1158=""),"",AG1158),AF1158)</f>
        <v/>
      </c>
      <c r="AI1158" s="350" t="str">
        <f>IF(AC1158=TRUE,IF(AH1158="",EUconst_t,AH1158),"")</f>
        <v/>
      </c>
      <c r="AJ1158" s="356" t="str">
        <f>IF(J1158="",AI1158,J1158)</f>
        <v/>
      </c>
      <c r="AK1158" s="357" t="b">
        <f>AND(E1152&lt;&gt;"",J1158&lt;&gt;"")</f>
        <v>0</v>
      </c>
      <c r="AL1158" s="326"/>
      <c r="AM1158" s="358" t="s">
        <v>147</v>
      </c>
      <c r="AN1158" s="359" t="str">
        <f>AJ1158</f>
        <v/>
      </c>
      <c r="AO1158" s="326"/>
      <c r="AP1158" s="326"/>
      <c r="AQ1158" s="349" t="str">
        <f>EUconst_CNTR_ActivityData&amp;EUconst_Value</f>
        <v>ActivityData_Value</v>
      </c>
      <c r="AR1158" s="336"/>
      <c r="AS1158" s="336"/>
      <c r="AT1158" s="331" t="b">
        <f>AND(AND(AH1158&lt;&gt;"",AJ1158&lt;&gt;""),AJ1158=AH1158)</f>
        <v>0</v>
      </c>
      <c r="AU1158" s="314"/>
      <c r="AV1158" s="331">
        <f>IF(Y1158=EUconst_NA,0,IF(COUNT(K1158:K1158)=0,0,IF(K1158="",#REF!,K1158)))</f>
        <v>0</v>
      </c>
      <c r="AW1158" s="360" t="b">
        <f>AND(AC1158=TRUE,OR(K1158&lt;&gt;"",AU1158=""))</f>
        <v>0</v>
      </c>
      <c r="AX1158" s="360" t="b">
        <f>AND(AC1158=TRUE,NOT(AW1158))</f>
        <v>0</v>
      </c>
      <c r="AY1158" s="314"/>
      <c r="AZ1158" s="314" t="s">
        <v>148</v>
      </c>
      <c r="BA1158" s="314" t="s">
        <v>149</v>
      </c>
      <c r="BB1158" s="360"/>
      <c r="BC1158" s="314" t="s">
        <v>150</v>
      </c>
      <c r="BD1158" s="314"/>
      <c r="BE1158" s="314"/>
      <c r="BF1158" s="361" t="s">
        <v>119</v>
      </c>
      <c r="BG1158" s="362" t="str">
        <f>IF(COUNTIF(AO1161:AO1162,TRUE)=0,"",BH1158*AV1169)</f>
        <v/>
      </c>
      <c r="BH1158" s="362" t="str">
        <f>IF(COUNTIF(AO1161:AO1162,TRUE)=0,"",AV1158*IF(AO1161,1,AV1160*AN1162)*AV1161-BH1160-BH1162-BH1164)</f>
        <v/>
      </c>
      <c r="BI1158" s="314"/>
      <c r="BJ1158" s="314"/>
      <c r="BK1158" s="314"/>
      <c r="BL1158" s="314"/>
      <c r="BM1158" s="314"/>
      <c r="BN1158" s="314"/>
      <c r="BO1158" s="314"/>
      <c r="BP1158" s="314"/>
      <c r="BQ1158" s="314"/>
      <c r="BR1158" s="314"/>
      <c r="BS1158" s="314"/>
      <c r="BT1158" s="314"/>
      <c r="BU1158" s="314"/>
      <c r="BV1158" s="314"/>
      <c r="BW1158" s="314"/>
      <c r="BX1158" s="314"/>
      <c r="BY1158" s="314"/>
      <c r="BZ1158" s="314"/>
      <c r="CA1158" s="314"/>
      <c r="CB1158" s="314"/>
      <c r="CC1158" s="314"/>
      <c r="CD1158" s="314"/>
      <c r="CE1158" s="314"/>
      <c r="CF1158" s="314"/>
      <c r="CG1158" s="314"/>
      <c r="CH1158" s="314"/>
      <c r="CI1158" s="314"/>
      <c r="CJ1158" s="314"/>
      <c r="CK1158" s="314"/>
      <c r="CL1158" s="314"/>
      <c r="CM1158" s="314"/>
      <c r="CN1158" s="314"/>
      <c r="CO1158" s="314"/>
      <c r="CP1158" s="314"/>
      <c r="CQ1158" s="360" t="b">
        <v>0</v>
      </c>
    </row>
    <row r="1159" spans="1:95" ht="5.15" customHeight="1" thickBot="1" x14ac:dyDescent="0.3">
      <c r="A1159" s="307"/>
      <c r="B1159" s="68"/>
      <c r="C1159" s="199"/>
      <c r="D1159" s="202"/>
      <c r="E1159" s="76"/>
      <c r="F1159" s="76"/>
      <c r="G1159" s="76"/>
      <c r="H1159" s="76" t="str">
        <f>Translations!$B$397</f>
        <v xml:space="preserve"> </v>
      </c>
      <c r="I1159" s="162"/>
      <c r="J1159" s="162"/>
      <c r="K1159" s="76"/>
      <c r="L1159" s="76"/>
      <c r="M1159" s="363"/>
      <c r="N1159" s="76"/>
      <c r="O1159" s="160"/>
      <c r="P1159" s="109"/>
      <c r="Q1159" s="312"/>
      <c r="R1159" s="312"/>
      <c r="S1159" s="314"/>
      <c r="T1159" s="62"/>
      <c r="U1159" s="312"/>
      <c r="V1159" s="314"/>
      <c r="W1159" s="314"/>
      <c r="X1159" s="312"/>
      <c r="Y1159" s="319"/>
      <c r="Z1159" s="314"/>
      <c r="AA1159" s="314"/>
      <c r="AB1159" s="314"/>
      <c r="AC1159" s="314"/>
      <c r="AD1159" s="314"/>
      <c r="AE1159" s="314"/>
      <c r="AF1159" s="314"/>
      <c r="AG1159" s="314"/>
      <c r="AH1159" s="314"/>
      <c r="AI1159" s="314"/>
      <c r="AJ1159" s="314"/>
      <c r="AK1159" s="314"/>
      <c r="AL1159" s="326"/>
      <c r="AM1159" s="326"/>
      <c r="AN1159" s="326"/>
      <c r="AO1159" s="326"/>
      <c r="AP1159" s="326"/>
      <c r="AQ1159" s="314"/>
      <c r="AR1159" s="314"/>
      <c r="AS1159" s="314"/>
      <c r="AT1159" s="314"/>
      <c r="AU1159" s="314"/>
      <c r="AV1159" s="314"/>
      <c r="AW1159" s="314"/>
      <c r="AX1159" s="314"/>
      <c r="AY1159" s="314"/>
      <c r="AZ1159" s="314"/>
      <c r="BA1159" s="314"/>
      <c r="BB1159" s="314"/>
      <c r="BC1159" s="314"/>
      <c r="BD1159" s="314"/>
      <c r="BE1159" s="314"/>
      <c r="BF1159" s="314"/>
      <c r="BG1159" s="364"/>
      <c r="BH1159" s="364"/>
      <c r="BI1159" s="314"/>
      <c r="BJ1159" s="314"/>
      <c r="BK1159" s="314"/>
      <c r="BL1159" s="314"/>
      <c r="BM1159" s="314"/>
      <c r="BN1159" s="314"/>
      <c r="BO1159" s="314"/>
      <c r="BP1159" s="314"/>
      <c r="BQ1159" s="314"/>
      <c r="BR1159" s="314"/>
      <c r="BS1159" s="314"/>
      <c r="BT1159" s="314"/>
      <c r="BU1159" s="314"/>
      <c r="BV1159" s="314"/>
      <c r="BW1159" s="314"/>
      <c r="BX1159" s="314"/>
      <c r="BY1159" s="314"/>
      <c r="BZ1159" s="314"/>
      <c r="CA1159" s="314"/>
      <c r="CB1159" s="314"/>
      <c r="CC1159" s="314"/>
      <c r="CD1159" s="314"/>
      <c r="CE1159" s="314"/>
      <c r="CF1159" s="314"/>
      <c r="CG1159" s="314"/>
      <c r="CH1159" s="314"/>
      <c r="CI1159" s="314"/>
      <c r="CJ1159" s="314"/>
      <c r="CK1159" s="314"/>
      <c r="CL1159" s="314"/>
      <c r="CM1159" s="314"/>
      <c r="CN1159" s="314"/>
      <c r="CO1159" s="314"/>
      <c r="CP1159" s="314"/>
      <c r="CQ1159" s="319"/>
    </row>
    <row r="1160" spans="1:95" ht="12.75" customHeight="1" x14ac:dyDescent="0.25">
      <c r="A1160" s="307"/>
      <c r="B1160" s="68"/>
      <c r="C1160" s="199" t="s">
        <v>13</v>
      </c>
      <c r="D1160" s="344" t="str">
        <f>Translations!$B$360</f>
        <v>UCF:</v>
      </c>
      <c r="E1160" s="345"/>
      <c r="F1160" s="10"/>
      <c r="G1160" s="1256" t="str">
        <f>IF(OR(ISBLANK(F1160),F1160=EUconst_NoTier),"",IF(Z1160=0,EUconst_NotApplicable,IF(ISERROR(Z1160),"",Z1160)))</f>
        <v/>
      </c>
      <c r="H1160" s="1257"/>
      <c r="I1160" s="365" t="str">
        <f>IF(J1160&lt;&gt;"","",AI1160)</f>
        <v/>
      </c>
      <c r="J1160" s="11"/>
      <c r="K1160" s="366" t="str">
        <f>IF(L1160="",AU1160,"")</f>
        <v/>
      </c>
      <c r="L1160" s="23"/>
      <c r="M1160" s="347" t="str">
        <f>IF(AND(E1153&lt;&gt;"",OR(F1160="",COUNT(K1160:L1160)=0),Y1160&lt;&gt;EUconst_NA),EUconst_ERR_Incomplete,IF(COUNTIF(BB1160:BD1160,TRUE)&gt;0,EUconst_ERR_Inconsistent,""))</f>
        <v/>
      </c>
      <c r="N1160" s="367"/>
      <c r="O1160" s="160"/>
      <c r="P1160" s="109"/>
      <c r="Q1160" s="312"/>
      <c r="R1160" s="312"/>
      <c r="S1160" s="314"/>
      <c r="T1160" s="368" t="str">
        <f>EUconst_CNTR_UCF&amp;E1153</f>
        <v>UCF_</v>
      </c>
      <c r="U1160" s="312"/>
      <c r="V1160" s="369" t="str">
        <f>V1161</f>
        <v/>
      </c>
      <c r="W1160" s="314"/>
      <c r="X1160" s="312"/>
      <c r="Y1160" s="370" t="str">
        <f>IF(E1153="","",IF(OR(F1160=EUconst_NA,W1160=TRUE),EUconst_NA,INDEX(EUwideConstants!$P$164:$P$200,MATCH(T1160,EUwideConstants!$S$164:$S$200,0))))</f>
        <v/>
      </c>
      <c r="Z1160" s="371" t="str">
        <f>IF(ISBLANK(F1160),"",IF(F1160=EUconst_NA,"",INDEX(EUwideConstants!$H:$O,MATCH(T1160,EUwideConstants!$S:$S,0),MATCH(F1160,CNTR_TierList,0))))</f>
        <v/>
      </c>
      <c r="AA1160" s="372" t="str">
        <f>IF(COUNTIF(EUconst_DefaultValues,Z1160)&gt;0,MATCH(Z1160,EUconst_DefaultValues,0),"")</f>
        <v/>
      </c>
      <c r="AB1160" s="314"/>
      <c r="AC1160" s="373" t="b">
        <f>AND(AC1158,Y1160&lt;&gt;EUconst_NA)</f>
        <v>0</v>
      </c>
      <c r="AD1160" s="314"/>
      <c r="AE1160" s="353" t="str">
        <f>EUconst_CNTR_UCF&amp;EUconst_Unit</f>
        <v>UCF_Unit</v>
      </c>
      <c r="AF1160" s="374" t="str">
        <f>IF(AC1160=TRUE, IF(COUNTIF(MSPara_SourceStreamCategory,V1160)=0,"",INDEX(MSPara_CalcFactorsMatrix,MATCH(V1160,MSPara_SourceStreamCategory,0),MATCH(AE1160&amp;"_"&amp;2,MSPara_CalcFactors,0))),"")</f>
        <v/>
      </c>
      <c r="AG1160" s="375" t="str">
        <f>IF(AC1160=TRUE, IF(COUNTIF(MSPara_SourceStreamCategory,V1160)=0,"",INDEX(MSPara_CalcFactorsMatrix,MATCH(V1160,MSPara_SourceStreamCategory,0),MATCH(AE1160&amp;"_"&amp;1,MSPara_CalcFactors,0))),"")</f>
        <v/>
      </c>
      <c r="AH1160" s="373" t="str">
        <f>IF(AA1160="","",INDEX(AF1160:AG1160,3-AA1160))</f>
        <v/>
      </c>
      <c r="AI1160" s="373" t="str">
        <f>IF(AC1160=TRUE,IF(OR(AH1160="",AH1160=EUconst_NA),EUconst_GJ&amp;"/"&amp;AJ1158,AH1160),"")</f>
        <v/>
      </c>
      <c r="AJ1160" s="373" t="str">
        <f>IF(J1160="",AI1160,J1160)</f>
        <v/>
      </c>
      <c r="AK1160" s="369" t="b">
        <f>AND(E1152&lt;&gt;"",J1160&lt;&gt;"")</f>
        <v>0</v>
      </c>
      <c r="AL1160" s="326"/>
      <c r="AM1160" s="358" t="s">
        <v>151</v>
      </c>
      <c r="AN1160" s="359" t="str">
        <f>IF(AJ1160="",EUconst_NA,IF(AN1158=EUconst_TJ,EUconst_TJ,INDEX(EUwideConstants!$C$135:$G$139,MATCH(AN1158,RFAUnits,0),MATCH(AJ1160,UCFUnits,0))))</f>
        <v>n.a.</v>
      </c>
      <c r="AO1160" s="326"/>
      <c r="AP1160" s="326"/>
      <c r="AQ1160" s="376" t="str">
        <f>EUconst_CNTR_UCF&amp;EUconst_Value</f>
        <v>UCF_Value</v>
      </c>
      <c r="AR1160" s="377" t="str">
        <f>IF(AC1160=TRUE,IF(COUNTIF(MSPara_SourceStreamCategory,V1160)=0,"",INDEX(MSPara_CalcFactorsMatrix,MATCH(V1160,MSPara_SourceStreamCategory,0),MATCH(AQ1160&amp;"_"&amp;2,MSPara_CalcFactors,0))),"")</f>
        <v/>
      </c>
      <c r="AS1160" s="378" t="str">
        <f>IF(AC1160=TRUE,IF(COUNTIF(MSPara_SourceStreamCategory,V1160)=0,"",INDEX(MSPara_CalcFactorsMatrix,MATCH(V1160,MSPara_SourceStreamCategory,0),MATCH(AQ1160&amp;"_"&amp;1,MSPara_CalcFactors,0))),"")</f>
        <v/>
      </c>
      <c r="AT1160" s="379" t="b">
        <f>AND(AND(AH1160&lt;&gt;"",AJ1160&lt;&gt;""),AJ1160=AH1160)</f>
        <v>0</v>
      </c>
      <c r="AU1160" s="380" t="str">
        <f>IF(AND(AA1160&lt;&gt;"",AT1160=TRUE),IF(OR(INDEX(AR1160:AS1160,3-AA1160)=EUconst_NA,INDEX(AR1160:AS1160,3-AA1160)=0),"",INDEX(AR1160:AS1160,3-AA1160)),"")</f>
        <v/>
      </c>
      <c r="AV1160" s="373">
        <f>IF(AC1160=TRUE,IF(COUNT(K1160:L1160)=0,0,IF(L1160="",K1160,L1160)),0)</f>
        <v>0</v>
      </c>
      <c r="AW1160" s="369" t="b">
        <f t="shared" ref="AW1160:AW1167" si="351">AND(AC1160=TRUE,OR(AND(F1160&lt;&gt;"",NOT(ISNUMBER(AA1160))),L1160&lt;&gt;"",F1160="",AU1160=""))</f>
        <v>0</v>
      </c>
      <c r="AX1160" s="381" t="b">
        <f t="shared" ref="AX1160:AX1167" si="352">AND(AC1160=TRUE,NOT(AW1160))</f>
        <v>0</v>
      </c>
      <c r="AY1160" s="314"/>
      <c r="AZ1160" s="382" t="b">
        <f t="shared" ref="AZ1160:AZ1167" si="353">AND(ISNUMBER(AA1160),AU1160="")</f>
        <v>0</v>
      </c>
      <c r="BA1160" s="383" t="b">
        <f t="shared" ref="BA1160:BA1167" si="354">AND(ISNUMBER(AA1160),AU1160&lt;&gt;AV1160)</f>
        <v>0</v>
      </c>
      <c r="BB1160" s="369" t="b">
        <f>AND(E1153&lt;&gt;"",F1160&lt;&gt;EUconst_NA,AN1160=EUconst_NA)</f>
        <v>0</v>
      </c>
      <c r="BC1160" s="369" t="b">
        <f t="shared" ref="BC1160:BC1167" si="355">AND(L1160&lt;&gt;"",Y1160=EUconst_NA)</f>
        <v>0</v>
      </c>
      <c r="BD1160" s="314"/>
      <c r="BE1160" s="314"/>
      <c r="BF1160" s="382" t="s">
        <v>152</v>
      </c>
      <c r="BG1160" s="384" t="str">
        <f>IF(COUNTIF(AO1161:AO1162,TRUE)=0,"",BH1160*AV1169)</f>
        <v/>
      </c>
      <c r="BH1160" s="384" t="str">
        <f>IF(COUNTIF(AO1161:AO1162,TRUE)=0,"",AV1158*IF(AO1161,1,AV1160*AN1162)*AV1161*AV1162)</f>
        <v/>
      </c>
      <c r="BI1160" s="314"/>
      <c r="BJ1160" s="314"/>
      <c r="BK1160" s="314"/>
      <c r="BL1160" s="314"/>
      <c r="BM1160" s="314"/>
      <c r="BN1160" s="314"/>
      <c r="BO1160" s="314"/>
      <c r="BP1160" s="314"/>
      <c r="BQ1160" s="314"/>
      <c r="BR1160" s="314"/>
      <c r="BS1160" s="314"/>
      <c r="BT1160" s="314"/>
      <c r="BU1160" s="314"/>
      <c r="BV1160" s="314"/>
      <c r="BW1160" s="314"/>
      <c r="BX1160" s="314"/>
      <c r="BY1160" s="314"/>
      <c r="BZ1160" s="314"/>
      <c r="CA1160" s="314"/>
      <c r="CB1160" s="314"/>
      <c r="CC1160" s="314"/>
      <c r="CD1160" s="314"/>
      <c r="CE1160" s="314"/>
      <c r="CF1160" s="314"/>
      <c r="CG1160" s="314"/>
      <c r="CH1160" s="314"/>
      <c r="CI1160" s="314"/>
      <c r="CJ1160" s="314"/>
      <c r="CK1160" s="314"/>
      <c r="CL1160" s="314"/>
      <c r="CM1160" s="314"/>
      <c r="CN1160" s="314"/>
      <c r="CO1160" s="314"/>
      <c r="CP1160" s="314"/>
      <c r="CQ1160" s="369" t="b">
        <f>OR(CQ1158,Y1160=EUconst_NA)</f>
        <v>0</v>
      </c>
    </row>
    <row r="1161" spans="1:95" ht="12.75" customHeight="1" thickBot="1" x14ac:dyDescent="0.3">
      <c r="A1161" s="307"/>
      <c r="B1161" s="68"/>
      <c r="C1161" s="199" t="s">
        <v>14</v>
      </c>
      <c r="D1161" s="344" t="str">
        <f>Translations!$B$358</f>
        <v>(prelim) EF:</v>
      </c>
      <c r="E1161" s="345"/>
      <c r="F1161" s="59"/>
      <c r="G1161" s="1256" t="str">
        <f>IF(OR(ISBLANK(F1161),F1161=EUconst_NoTier),"",IF(Z1161=0,EUconst_NotApplicable,IF(ISERROR(Z1161),"",Z1161)))</f>
        <v/>
      </c>
      <c r="H1161" s="1260"/>
      <c r="I1161" s="385" t="str">
        <f>IF(J1161&lt;&gt;"","",AI1161)</f>
        <v/>
      </c>
      <c r="J1161" s="22"/>
      <c r="K1161" s="386" t="str">
        <f>IF(L1161="",AU1161,"")</f>
        <v/>
      </c>
      <c r="L1161" s="58"/>
      <c r="M1161" s="347" t="str">
        <f>IF(AND(E1153&lt;&gt;"",OR(F1161="",COUNT(K1161:L1161)=0),Y1161&lt;&gt;EUconst_NA),EUconst_ERR_Incomplete,IF(COUNTIF(BB1161:BD1161,TRUE)&gt;0,EUconst_ERR_Inconsistent,""))</f>
        <v/>
      </c>
      <c r="N1161" s="387"/>
      <c r="O1161" s="160"/>
      <c r="P1161" s="109"/>
      <c r="Q1161" s="312"/>
      <c r="R1161" s="312"/>
      <c r="S1161" s="314"/>
      <c r="T1161" s="388" t="str">
        <f>EUconst_CNTR_EF&amp;E1153</f>
        <v>EF_</v>
      </c>
      <c r="U1161" s="312"/>
      <c r="V1161" s="389" t="str">
        <f>V1158</f>
        <v/>
      </c>
      <c r="W1161" s="314"/>
      <c r="X1161" s="312"/>
      <c r="Y1161" s="390" t="str">
        <f>IF(E1153="","",IF(OR(F1161=EUconst_NA,W1161=TRUE),EUconst_NA,INDEX(EUwideConstants!$P$164:$P$200,MATCH(T1161,EUwideConstants!$S$164:$S$200,0))))</f>
        <v/>
      </c>
      <c r="Z1161" s="391" t="str">
        <f>IF(ISBLANK(F1161),"",IF(F1161=EUconst_NA,"",INDEX(EUwideConstants!$H:$O,MATCH(T1161,EUwideConstants!$S:$S,0),MATCH(F1161,CNTR_TierList,0))))</f>
        <v/>
      </c>
      <c r="AA1161" s="392" t="str">
        <f>IF(COUNTIF(EUconst_DefaultValues,Z1161)&gt;0,MATCH(Z1161,EUconst_DefaultValues,0),"")</f>
        <v/>
      </c>
      <c r="AB1161" s="314"/>
      <c r="AC1161" s="393" t="b">
        <f>AND(AC1158,Y1161&lt;&gt;EUconst_NA)</f>
        <v>0</v>
      </c>
      <c r="AD1161" s="314"/>
      <c r="AE1161" s="394" t="str">
        <f>EUconst_CNTR_EF&amp;EUconst_Unit</f>
        <v>EF_Unit</v>
      </c>
      <c r="AF1161" s="395" t="str">
        <f>IF(AC1161=TRUE, IF(COUNTIF(MSPara_SourceStreamCategory,V1161)=0,"",INDEX(MSPara_CalcFactorsMatrix,MATCH(V1161,MSPara_SourceStreamCategory,0),MATCH(AE1161&amp;"_"&amp;2,MSPara_CalcFactors,0))),"")</f>
        <v/>
      </c>
      <c r="AG1161" s="396" t="str">
        <f>IF(AC1161=TRUE, IF(COUNTIF(MSPara_SourceStreamCategory,V1161)=0,"",INDEX(MSPara_CalcFactorsMatrix,MATCH(V1161,MSPara_SourceStreamCategory,0),MATCH(AE1161&amp;"_"&amp;1,MSPara_CalcFactors,0))),"")</f>
        <v/>
      </c>
      <c r="AH1161" s="397" t="str">
        <f>IF(AA1161="","",INDEX(AF1161:AG1161,3-AA1161))</f>
        <v/>
      </c>
      <c r="AI1161" s="397" t="str">
        <f>IF(AC1161=TRUE,IF(OR(AH1161="",AH1161=EUconst_NA),EUconst_tCO2&amp;"/"&amp;IF(AN1160=EUconst_NA,AN1158,IF(AN1160=EUconst_GJ,EUconst_TJ,AN1160)),AH1161),"")</f>
        <v/>
      </c>
      <c r="AJ1161" s="397" t="str">
        <f>IF(J1161="",AI1161,J1161)</f>
        <v/>
      </c>
      <c r="AK1161" s="398" t="b">
        <f>AND(E1153&lt;&gt;"",J1161&lt;&gt;"")</f>
        <v>0</v>
      </c>
      <c r="AL1161" s="326"/>
      <c r="AM1161" s="358" t="s">
        <v>153</v>
      </c>
      <c r="AN1161" s="359" t="str">
        <f>IF(COUNTIF(RFAUnits,AN1158)=0,EUconst_NA,INDEX(EUwideConstants!$C$150:$H$154,MATCH(AJ1161,EFUnits,0),MATCH(AN1158,EUwideConstants!$C$149:$H$149,0)))</f>
        <v>n.a.</v>
      </c>
      <c r="AO1161" s="359" t="b">
        <f>AN1161&lt;&gt;EUconst_NA</f>
        <v>0</v>
      </c>
      <c r="AP1161" s="326"/>
      <c r="AQ1161" s="399" t="str">
        <f>EUconst_CNTR_EF&amp;EUconst_Value</f>
        <v>EF_Value</v>
      </c>
      <c r="AR1161" s="400" t="str">
        <f>IF(AC1161=TRUE,IF(COUNTIF(MSPara_SourceStreamCategory,V1161)=0,"",INDEX(MSPara_CalcFactorsMatrix,MATCH(V1161,MSPara_SourceStreamCategory,0),MATCH(AQ1161&amp;"_"&amp;2,MSPara_CalcFactors,0))),"")</f>
        <v/>
      </c>
      <c r="AS1161" s="401" t="str">
        <f>IF(AC1161=TRUE,IF(COUNTIF(MSPara_SourceStreamCategory,V1161)=0,"",INDEX(MSPara_CalcFactorsMatrix,MATCH(V1161,MSPara_SourceStreamCategory,0),MATCH(AQ1161&amp;"_"&amp;1,MSPara_CalcFactors,0))),"")</f>
        <v/>
      </c>
      <c r="AT1161" s="402" t="b">
        <f>AND(AND(AH1161&lt;&gt;"",AJ1161&lt;&gt;""),AJ1161=AH1161)</f>
        <v>0</v>
      </c>
      <c r="AU1161" s="403" t="str">
        <f>IF(AND(AA1161&lt;&gt;"",AT1161=TRUE),IF(OR(INDEX(AR1161:AS1161,3-AA1161)=EUconst_NA,INDEX(AR1161:AS1161,3-AA1161)=0),"",INDEX(AR1161:AS1161,3-AA1161)),"")</f>
        <v/>
      </c>
      <c r="AV1161" s="393">
        <f>IF(AC1161=TRUE,IF(COUNT(K1161:L1161)=0,0,IF(L1161="",K1161,L1161)),0)</f>
        <v>0</v>
      </c>
      <c r="AW1161" s="389" t="b">
        <f t="shared" si="351"/>
        <v>0</v>
      </c>
      <c r="AX1161" s="404" t="b">
        <f t="shared" si="352"/>
        <v>0</v>
      </c>
      <c r="AY1161" s="314"/>
      <c r="AZ1161" s="405" t="b">
        <f t="shared" si="353"/>
        <v>0</v>
      </c>
      <c r="BA1161" s="406" t="b">
        <f t="shared" si="354"/>
        <v>0</v>
      </c>
      <c r="BB1161" s="407" t="b">
        <f>AND(E1153&lt;&gt;"",COUNTIF(AO1161:AO1162,TRUE)=0)</f>
        <v>0</v>
      </c>
      <c r="BC1161" s="389" t="b">
        <f t="shared" si="355"/>
        <v>0</v>
      </c>
      <c r="BD1161" s="314"/>
      <c r="BE1161" s="314"/>
      <c r="BF1161" s="408" t="s">
        <v>154</v>
      </c>
      <c r="BG1161" s="409" t="str">
        <f>IF(COUNTIF(AO1161:AO1162,TRUE)=0,"",BH1161*AV1169)</f>
        <v/>
      </c>
      <c r="BH1161" s="409" t="str">
        <f>IF(COUNTIF(AO1161:AO1162,TRUE)=0,"",AV1158*IF(AO1161,1,AV1160*AN1162)*AV1161*AV1163)</f>
        <v/>
      </c>
      <c r="BI1161" s="314"/>
      <c r="BJ1161" s="314"/>
      <c r="BK1161" s="314"/>
      <c r="BL1161" s="314"/>
      <c r="BM1161" s="314"/>
      <c r="BN1161" s="314"/>
      <c r="BO1161" s="314"/>
      <c r="BP1161" s="314"/>
      <c r="BQ1161" s="314"/>
      <c r="BR1161" s="314"/>
      <c r="BS1161" s="314"/>
      <c r="BT1161" s="314"/>
      <c r="BU1161" s="314"/>
      <c r="BV1161" s="314"/>
      <c r="BW1161" s="314"/>
      <c r="BX1161" s="314"/>
      <c r="BY1161" s="314"/>
      <c r="BZ1161" s="314"/>
      <c r="CA1161" s="314"/>
      <c r="CB1161" s="314"/>
      <c r="CC1161" s="314"/>
      <c r="CD1161" s="314"/>
      <c r="CE1161" s="314"/>
      <c r="CF1161" s="314"/>
      <c r="CG1161" s="314"/>
      <c r="CH1161" s="314"/>
      <c r="CI1161" s="314"/>
      <c r="CJ1161" s="314"/>
      <c r="CK1161" s="314"/>
      <c r="CL1161" s="314"/>
      <c r="CM1161" s="314"/>
      <c r="CN1161" s="314"/>
      <c r="CO1161" s="314"/>
      <c r="CP1161" s="314"/>
      <c r="CQ1161" s="407" t="b">
        <f>OR(CQ1158,Y1161=EUconst_NA)</f>
        <v>0</v>
      </c>
    </row>
    <row r="1162" spans="1:95" ht="12.75" customHeight="1" x14ac:dyDescent="0.25">
      <c r="A1162" s="307"/>
      <c r="B1162" s="68"/>
      <c r="C1162" s="199" t="s">
        <v>15</v>
      </c>
      <c r="D1162" s="344" t="str">
        <f>Translations!$B$362</f>
        <v>BioF:</v>
      </c>
      <c r="E1162" s="345"/>
      <c r="F1162" s="10"/>
      <c r="G1162" s="1256" t="str">
        <f>IF(OR(ISBLANK(F1162),F1162=EUconst_NoTier),"",IF(Z1162=0,EUconst_NotApplicable,IF(ISERROR(Z1162),"",Z1162)))</f>
        <v/>
      </c>
      <c r="H1162" s="1257"/>
      <c r="I1162" s="410" t="str">
        <f t="shared" ref="I1162:I1167" si="356">IF(OR(AC1162=FALSE,Y1162=EUconst_NA),"","-")</f>
        <v/>
      </c>
      <c r="J1162" s="411"/>
      <c r="K1162" s="412" t="str">
        <f>IF(L1162="",AU1162,"")</f>
        <v/>
      </c>
      <c r="L1162" s="60"/>
      <c r="M1162" s="347" t="str">
        <f>IF(AND(E1153&lt;&gt;"",OR(F1162="",COUNT(K1162:L1162)=0),Y1162&lt;&gt;EUconst_NA),EUconst_ERR_Incomplete,IF(COUNTIF(BB1162:BD1162,TRUE)&gt;0,EUconst_ERR_Inconsistent,""))</f>
        <v/>
      </c>
      <c r="O1162" s="160"/>
      <c r="P1162" s="348"/>
      <c r="Q1162" s="413"/>
      <c r="R1162" s="413"/>
      <c r="S1162" s="314"/>
      <c r="T1162" s="388" t="str">
        <f>EUconst_CNTR_BiomassContent&amp;E1153</f>
        <v>BioC_</v>
      </c>
      <c r="U1162" s="312"/>
      <c r="V1162" s="369" t="str">
        <f>V1160</f>
        <v/>
      </c>
      <c r="W1162" s="369" t="str">
        <f>IF(OR(V1162="",COUNTIF(MSPara_SourceStreamCategory,V1162)=0),"",INDEX(MSPara_IsFossil,MATCH(V1162,MSPara_SourceStreamCategory,0)))</f>
        <v/>
      </c>
      <c r="X1162" s="312"/>
      <c r="Y1162" s="370" t="str">
        <f>IF(E1153="","",IF(OR(F1162=EUconst_NA,W1162=TRUE),EUconst_NA,INDEX(EUwideConstants!$P$164:$P$200,MATCH(T1162,EUwideConstants!$S$164:$S$200,0))))</f>
        <v/>
      </c>
      <c r="Z1162" s="371" t="str">
        <f>IF(ISBLANK(F1162),"",IF(F1162=EUconst_NA,"",INDEX(EUwideConstants!$H:$O,MATCH(T1162,EUwideConstants!$S:$S,0),MATCH(F1162,CNTR_TierList,0))))</f>
        <v/>
      </c>
      <c r="AA1162" s="414" t="str">
        <f>IF(F1162=1,1,"")</f>
        <v/>
      </c>
      <c r="AB1162" s="314"/>
      <c r="AC1162" s="373" t="b">
        <f>AND(AC1158,Y1162&lt;&gt;EUconst_NA)</f>
        <v>0</v>
      </c>
      <c r="AD1162" s="314"/>
      <c r="AE1162" s="415"/>
      <c r="AF1162" s="416"/>
      <c r="AG1162" s="417"/>
      <c r="AH1162" s="418"/>
      <c r="AI1162" s="418"/>
      <c r="AJ1162" s="418"/>
      <c r="AK1162" s="419"/>
      <c r="AL1162" s="326"/>
      <c r="AM1162" s="358" t="s">
        <v>155</v>
      </c>
      <c r="AN1162" s="359" t="str">
        <f>IF(AN1160=EUconst_NA,EUconst_NA,INDEX(EUwideConstants!$C$150:$H$154,MATCH(AJ1161,EFUnits,0),MATCH(AN1160,EUwideConstants!$C$149:$H$149,0)))</f>
        <v>n.a.</v>
      </c>
      <c r="AO1162" s="359" t="b">
        <f>AN1162&lt;&gt;EUconst_NA</f>
        <v>0</v>
      </c>
      <c r="AP1162" s="326"/>
      <c r="AQ1162" s="376" t="str">
        <f>EUconst_CNTR_BiomassContent&amp;EUconst_Value</f>
        <v>BioC_Value</v>
      </c>
      <c r="AR1162" s="420"/>
      <c r="AS1162" s="378" t="str">
        <f t="shared" ref="AS1162:AS1167" si="357">IF(AC1162=TRUE,IF(COUNTIF(MSPara_SourceStreamCategory,V1162)=0,"",INDEX(MSPara_CalcFactorsMatrix,MATCH(V1162,MSPara_SourceStreamCategory,0),MATCH(AQ1162&amp;"_"&amp;2,MSPara_CalcFactors,0))),"")</f>
        <v/>
      </c>
      <c r="AT1162" s="421"/>
      <c r="AU1162" s="380" t="str">
        <f t="shared" ref="AU1162:AU1167" si="358">IF(OR(AA1162="",AS1162=EUconst_NA),"",AS1162)</f>
        <v/>
      </c>
      <c r="AV1162" s="373">
        <f>IF(AC1162=TRUE,IF(COUNT(K1162:L1162)=0,0,IF(L1162="",K1162,L1162)),0)</f>
        <v>0</v>
      </c>
      <c r="AW1162" s="369" t="b">
        <f t="shared" si="351"/>
        <v>0</v>
      </c>
      <c r="AX1162" s="381" t="b">
        <f t="shared" si="352"/>
        <v>0</v>
      </c>
      <c r="AY1162" s="314"/>
      <c r="AZ1162" s="382" t="b">
        <f t="shared" si="353"/>
        <v>0</v>
      </c>
      <c r="BA1162" s="383" t="b">
        <f t="shared" si="354"/>
        <v>0</v>
      </c>
      <c r="BB1162" s="314"/>
      <c r="BC1162" s="369" t="b">
        <f t="shared" si="355"/>
        <v>0</v>
      </c>
      <c r="BD1162" s="369" t="b">
        <f>OR(AV1162&gt;100%,(AV1162+AV1163)&gt;100%)</f>
        <v>0</v>
      </c>
      <c r="BE1162" s="314"/>
      <c r="BF1162" s="382" t="s">
        <v>156</v>
      </c>
      <c r="BG1162" s="384" t="str">
        <f>IF(COUNTIF(AO1161:AO1162,TRUE)=0,"",BH1162*AV1169)</f>
        <v/>
      </c>
      <c r="BH1162" s="384" t="str">
        <f>IF(COUNTIF(AO1161:AO1162,TRUE)=0,"",AV1158*IF(AO1161,1,AV1160*AN1162)*AV1161*AV1164)</f>
        <v/>
      </c>
      <c r="BJ1162" s="314"/>
      <c r="BK1162" s="314"/>
      <c r="BL1162" s="314"/>
      <c r="BM1162" s="314"/>
      <c r="BN1162" s="314"/>
      <c r="BO1162" s="314"/>
      <c r="BP1162" s="314"/>
      <c r="BQ1162" s="314"/>
      <c r="BR1162" s="314"/>
      <c r="BS1162" s="314"/>
      <c r="BT1162" s="314"/>
      <c r="BU1162" s="314"/>
      <c r="BV1162" s="314"/>
      <c r="BW1162" s="314"/>
      <c r="BX1162" s="314"/>
      <c r="BY1162" s="314"/>
      <c r="BZ1162" s="314"/>
      <c r="CA1162" s="314"/>
      <c r="CB1162" s="314"/>
      <c r="CC1162" s="314"/>
      <c r="CD1162" s="314"/>
      <c r="CE1162" s="314"/>
      <c r="CF1162" s="314"/>
      <c r="CG1162" s="314"/>
      <c r="CH1162" s="314"/>
      <c r="CI1162" s="314"/>
      <c r="CJ1162" s="314"/>
      <c r="CK1162" s="314"/>
      <c r="CL1162" s="314"/>
      <c r="CM1162" s="314"/>
      <c r="CN1162" s="314"/>
      <c r="CO1162" s="314"/>
      <c r="CP1162" s="314"/>
      <c r="CQ1162" s="369" t="b">
        <f>OR(CQ1158,Y1162=EUconst_NA)</f>
        <v>0</v>
      </c>
    </row>
    <row r="1163" spans="1:95" ht="12.75" customHeight="1" thickBot="1" x14ac:dyDescent="0.3">
      <c r="A1163" s="307"/>
      <c r="B1163" s="68"/>
      <c r="C1163" s="199" t="s">
        <v>16</v>
      </c>
      <c r="D1163" s="344" t="str">
        <f>Translations!$B$368</f>
        <v>non-sust. BioF:</v>
      </c>
      <c r="E1163" s="345"/>
      <c r="F1163" s="20"/>
      <c r="G1163" s="1256" t="str">
        <f>IF(OR(ISBLANK(F1163),F1163=EUconst_NoTier),"",IF(Z1163=0,EUconst_NotApplicable,IF(ISERROR(Z1163),"",Z1163)))</f>
        <v/>
      </c>
      <c r="H1163" s="1257"/>
      <c r="I1163" s="422" t="str">
        <f t="shared" si="356"/>
        <v/>
      </c>
      <c r="J1163" s="423"/>
      <c r="K1163" s="424" t="str">
        <f>IF(L1163="",AU1163,"")</f>
        <v/>
      </c>
      <c r="L1163" s="21"/>
      <c r="M1163" s="347" t="str">
        <f>IF(AND(E1153&lt;&gt;"",OR(F1163="",COUNT(K1163:L1163)=0),Y1163&lt;&gt;EUconst_NA),EUconst_ERR_Incomplete,IF(COUNTIF(BB1163:BD1163,TRUE)&gt;0,EUconst_ERR_Inconsistent,""))</f>
        <v/>
      </c>
      <c r="N1163" s="76"/>
      <c r="O1163" s="160"/>
      <c r="P1163" s="348"/>
      <c r="Q1163" s="413"/>
      <c r="R1163" s="413"/>
      <c r="S1163" s="314"/>
      <c r="T1163" s="425" t="str">
        <f>EUconst_CNTR_BiomassContent&amp;E1153</f>
        <v>BioC_</v>
      </c>
      <c r="U1163" s="312"/>
      <c r="V1163" s="407" t="str">
        <f>V1162</f>
        <v/>
      </c>
      <c r="W1163" s="407" t="str">
        <f>IF(OR(V1162="",COUNTIF(MSPara_SourceStreamCategory,V1163)=0),"",INDEX(MSPara_IsFossil,MATCH(V1163,MSPara_SourceStreamCategory,0)))</f>
        <v/>
      </c>
      <c r="X1163" s="312"/>
      <c r="Y1163" s="426" t="str">
        <f>IF(E1153="","",IF(OR(F1163=EUconst_NA,W1163=TRUE),EUconst_NA,INDEX(EUwideConstants!$P$164:$P$200,MATCH(T1163,EUwideConstants!$S$164:$S$200,0))))</f>
        <v/>
      </c>
      <c r="Z1163" s="427" t="str">
        <f>IF(ISBLANK(F1163),"",IF(F1163=EUconst_NA,"",INDEX(EUwideConstants!$H:$O,MATCH(T1163,EUwideConstants!$S:$S,0),MATCH(F1163,CNTR_TierList,0))))</f>
        <v/>
      </c>
      <c r="AA1163" s="428" t="str">
        <f>IF(F1163=1,1,"")</f>
        <v/>
      </c>
      <c r="AB1163" s="314"/>
      <c r="AC1163" s="429" t="b">
        <f>AND(AC1158,Y1163&lt;&gt;EUconst_NA)</f>
        <v>0</v>
      </c>
      <c r="AD1163" s="314"/>
      <c r="AE1163" s="430"/>
      <c r="AF1163" s="431"/>
      <c r="AG1163" s="432"/>
      <c r="AH1163" s="433"/>
      <c r="AI1163" s="433"/>
      <c r="AJ1163" s="433"/>
      <c r="AK1163" s="434"/>
      <c r="AL1163" s="326"/>
      <c r="AM1163" s="326"/>
      <c r="AN1163" s="326"/>
      <c r="AO1163" s="326"/>
      <c r="AP1163" s="326"/>
      <c r="AQ1163" s="435" t="str">
        <f>EUconst_CNTR_BiomassContent&amp;EUconst_Value</f>
        <v>BioC_Value</v>
      </c>
      <c r="AR1163" s="430"/>
      <c r="AS1163" s="436" t="str">
        <f t="shared" si="357"/>
        <v/>
      </c>
      <c r="AT1163" s="437"/>
      <c r="AU1163" s="438" t="str">
        <f t="shared" si="358"/>
        <v/>
      </c>
      <c r="AV1163" s="429">
        <f>IF(AC1163=TRUE,IF(COUNT(K1163:L1163)=0,0,IF(L1163="",K1163,L1163)),0)</f>
        <v>0</v>
      </c>
      <c r="AW1163" s="407" t="b">
        <f t="shared" si="351"/>
        <v>0</v>
      </c>
      <c r="AX1163" s="439" t="b">
        <f t="shared" si="352"/>
        <v>0</v>
      </c>
      <c r="AY1163" s="314"/>
      <c r="AZ1163" s="408" t="b">
        <f t="shared" si="353"/>
        <v>0</v>
      </c>
      <c r="BA1163" s="440" t="b">
        <f t="shared" si="354"/>
        <v>0</v>
      </c>
      <c r="BB1163" s="314"/>
      <c r="BC1163" s="407" t="b">
        <f t="shared" si="355"/>
        <v>0</v>
      </c>
      <c r="BD1163" s="407" t="b">
        <f>OR(AV1162&gt;100%,(AV1162+AV1163)&gt;100%)</f>
        <v>0</v>
      </c>
      <c r="BE1163" s="314"/>
      <c r="BF1163" s="408" t="s">
        <v>157</v>
      </c>
      <c r="BG1163" s="409" t="str">
        <f>IF(COUNTIF(AO1161:AO1162,TRUE)=0,"",BH1163*AV1169)</f>
        <v/>
      </c>
      <c r="BH1163" s="409" t="str">
        <f>IF(COUNTIF(AO1161:AO1162,TRUE)=0,"",AV1158*IF(AO1161,1,AV1160*AN1162)*AV1161*AV1165)</f>
        <v/>
      </c>
      <c r="BJ1163" s="314"/>
      <c r="BK1163" s="314"/>
      <c r="BL1163" s="314"/>
      <c r="BM1163" s="314"/>
      <c r="BN1163" s="314"/>
      <c r="BO1163" s="314"/>
      <c r="BP1163" s="314"/>
      <c r="BQ1163" s="314"/>
      <c r="BR1163" s="314"/>
      <c r="BS1163" s="314"/>
      <c r="BT1163" s="314"/>
      <c r="BU1163" s="314"/>
      <c r="BV1163" s="314"/>
      <c r="BW1163" s="314"/>
      <c r="BX1163" s="314"/>
      <c r="BY1163" s="314"/>
      <c r="BZ1163" s="314"/>
      <c r="CA1163" s="314"/>
      <c r="CB1163" s="314"/>
      <c r="CC1163" s="314"/>
      <c r="CD1163" s="314"/>
      <c r="CE1163" s="314"/>
      <c r="CF1163" s="314"/>
      <c r="CG1163" s="314"/>
      <c r="CH1163" s="314"/>
      <c r="CI1163" s="314"/>
      <c r="CJ1163" s="314"/>
      <c r="CK1163" s="314"/>
      <c r="CL1163" s="314"/>
      <c r="CM1163" s="314"/>
      <c r="CN1163" s="314"/>
      <c r="CO1163" s="314"/>
      <c r="CP1163" s="314"/>
      <c r="CQ1163" s="407" t="b">
        <f>OR(CQ1158,Y1163=EUconst_NA)</f>
        <v>0</v>
      </c>
    </row>
    <row r="1164" spans="1:95" ht="12.75" customHeight="1" thickBot="1" x14ac:dyDescent="0.3">
      <c r="A1164" s="307"/>
      <c r="B1164" s="68"/>
      <c r="C1164" s="199" t="s">
        <v>17</v>
      </c>
      <c r="D1164" s="344" t="str">
        <f>Translations!$B$610</f>
        <v>sust. RFNBO/RCF:</v>
      </c>
      <c r="E1164" s="441"/>
      <c r="F1164" s="19" t="s">
        <v>158</v>
      </c>
      <c r="G1164" s="1261"/>
      <c r="H1164" s="1262"/>
      <c r="I1164" s="442" t="str">
        <f t="shared" si="356"/>
        <v/>
      </c>
      <c r="J1164" s="411"/>
      <c r="K1164" s="443"/>
      <c r="L1164" s="55"/>
      <c r="M1164" s="347" t="str">
        <f>IF(AND(E1153&lt;&gt;"",OR(F1164="",COUNT(L1164)=0),Y1164&lt;&gt;EUconst_NA),EUconst_ERR_Incomplete,"")</f>
        <v/>
      </c>
      <c r="N1164" s="76"/>
      <c r="O1164" s="160"/>
      <c r="P1164" s="348"/>
      <c r="Q1164" s="413"/>
      <c r="R1164" s="413"/>
      <c r="S1164" s="314"/>
      <c r="T1164" s="388" t="str">
        <f>EUconst_CNTR_RFNBOetcContent&amp;E1153</f>
        <v>RNFBOC_</v>
      </c>
      <c r="U1164" s="312"/>
      <c r="V1164" s="312"/>
      <c r="W1164" s="312"/>
      <c r="X1164" s="312"/>
      <c r="Y1164" s="380" t="str">
        <f>IF(E1153="","",IF(OR(F1164=EUconst_NA,W1164=TRUE),EUconst_NA,INDEX(EUwideConstants!$P$164:$P$200,MATCH(T1164,EUwideConstants!$S$164:$S$200,0))))</f>
        <v/>
      </c>
      <c r="Z1164" s="314"/>
      <c r="AA1164" s="314"/>
      <c r="AB1164" s="314"/>
      <c r="AC1164" s="397" t="b">
        <f>AND(AC1160,Y1164&lt;&gt;EUconst_NA)</f>
        <v>0</v>
      </c>
      <c r="AD1164" s="314"/>
      <c r="AE1164" s="415"/>
      <c r="AF1164" s="416"/>
      <c r="AG1164" s="417"/>
      <c r="AH1164" s="418"/>
      <c r="AI1164" s="418"/>
      <c r="AJ1164" s="418"/>
      <c r="AK1164" s="419"/>
      <c r="AL1164" s="326"/>
      <c r="AM1164" s="326"/>
      <c r="AN1164" s="326"/>
      <c r="AO1164" s="326"/>
      <c r="AP1164" s="326"/>
      <c r="AQ1164" s="444" t="s">
        <v>159</v>
      </c>
      <c r="AR1164" s="415"/>
      <c r="AS1164" s="445" t="str">
        <f t="shared" si="357"/>
        <v/>
      </c>
      <c r="AT1164" s="446"/>
      <c r="AU1164" s="447" t="str">
        <f t="shared" si="358"/>
        <v/>
      </c>
      <c r="AV1164" s="397">
        <f>IF(L1164&lt;&gt;0,L1164,L1164)</f>
        <v>0</v>
      </c>
      <c r="AW1164" s="398" t="b">
        <f t="shared" si="351"/>
        <v>0</v>
      </c>
      <c r="AX1164" s="448" t="b">
        <f t="shared" si="352"/>
        <v>0</v>
      </c>
      <c r="AY1164" s="314"/>
      <c r="AZ1164" s="449" t="b">
        <f t="shared" si="353"/>
        <v>0</v>
      </c>
      <c r="BA1164" s="450" t="b">
        <f t="shared" si="354"/>
        <v>0</v>
      </c>
      <c r="BB1164" s="314"/>
      <c r="BC1164" s="398" t="b">
        <f t="shared" si="355"/>
        <v>0</v>
      </c>
      <c r="BD1164" s="369" t="b">
        <f>OR(AV1164&gt;100%,(AV1164+AV1165)&gt;100%)</f>
        <v>0</v>
      </c>
      <c r="BE1164" s="314"/>
      <c r="BF1164" s="451" t="s">
        <v>160</v>
      </c>
      <c r="BG1164" s="452" t="str">
        <f>IF(COUNTIF(AO1161:AO1162,TRUE)=0,"",BH1164*AV1169)</f>
        <v/>
      </c>
      <c r="BH1164" s="452" t="str">
        <f>IF(COUNTIF(AO1161:AO1162,TRUE)=0,"",AV1158*IF(AO1161,1,AV1160*AN1162)*AV1161*AV1166)</f>
        <v/>
      </c>
      <c r="BJ1164" s="314"/>
      <c r="BK1164" s="314"/>
      <c r="BL1164" s="314"/>
      <c r="BM1164" s="314"/>
      <c r="BN1164" s="314"/>
      <c r="BO1164" s="314"/>
      <c r="BP1164" s="314"/>
      <c r="BQ1164" s="314"/>
      <c r="BR1164" s="314"/>
      <c r="BS1164" s="314"/>
      <c r="BT1164" s="314"/>
      <c r="BU1164" s="314"/>
      <c r="BV1164" s="314"/>
      <c r="BW1164" s="314"/>
      <c r="BX1164" s="314"/>
      <c r="BY1164" s="314"/>
      <c r="BZ1164" s="314"/>
      <c r="CA1164" s="314"/>
      <c r="CB1164" s="314"/>
      <c r="CC1164" s="314"/>
      <c r="CD1164" s="314"/>
      <c r="CE1164" s="314"/>
      <c r="CF1164" s="314"/>
      <c r="CG1164" s="314"/>
      <c r="CH1164" s="314"/>
      <c r="CI1164" s="314"/>
      <c r="CJ1164" s="314"/>
      <c r="CK1164" s="314"/>
      <c r="CL1164" s="314"/>
      <c r="CM1164" s="314"/>
      <c r="CN1164" s="314"/>
      <c r="CO1164" s="314"/>
      <c r="CP1164" s="314"/>
      <c r="CQ1164" s="407" t="b">
        <f>OR(CQ1158,Y1164=EUconst_NA)</f>
        <v>0</v>
      </c>
    </row>
    <row r="1165" spans="1:95" ht="12.75" customHeight="1" thickBot="1" x14ac:dyDescent="0.3">
      <c r="A1165" s="307"/>
      <c r="B1165" s="68"/>
      <c r="C1165" s="199" t="s">
        <v>161</v>
      </c>
      <c r="D1165" s="344" t="str">
        <f>Translations!$B$613</f>
        <v>non-sust. RFNBO/RCF:</v>
      </c>
      <c r="E1165" s="441"/>
      <c r="F1165" s="20" t="s">
        <v>158</v>
      </c>
      <c r="G1165" s="1261"/>
      <c r="H1165" s="1262"/>
      <c r="I1165" s="422" t="str">
        <f t="shared" si="356"/>
        <v/>
      </c>
      <c r="J1165" s="423"/>
      <c r="K1165" s="443"/>
      <c r="L1165" s="56"/>
      <c r="M1165" s="347" t="str">
        <f>IF(AND(E1153&lt;&gt;"",OR(F1165="",COUNT(L1165)=0),Y1165&lt;&gt;EUconst_NA),EUconst_ERR_Incomplete,"")</f>
        <v/>
      </c>
      <c r="N1165" s="76"/>
      <c r="O1165" s="160"/>
      <c r="P1165" s="348"/>
      <c r="Q1165" s="413"/>
      <c r="R1165" s="413"/>
      <c r="S1165" s="314"/>
      <c r="T1165" s="425" t="str">
        <f>EUconst_CNTR_RFNBOetcContent&amp;E1153</f>
        <v>RNFBOC_</v>
      </c>
      <c r="U1165" s="312"/>
      <c r="V1165" s="312"/>
      <c r="W1165" s="312"/>
      <c r="X1165" s="312"/>
      <c r="Y1165" s="438" t="str">
        <f>IF(E1153="","",IF(OR(F1165=EUconst_NA,W1165=TRUE),EUconst_NA,INDEX(EUwideConstants!$P$164:$P$200,MATCH(T1165,EUwideConstants!$S$164:$S$200,0))))</f>
        <v/>
      </c>
      <c r="Z1165" s="314"/>
      <c r="AA1165" s="314"/>
      <c r="AB1165" s="314"/>
      <c r="AC1165" s="429" t="b">
        <f>AND(AC1160,Y1165&lt;&gt;EUconst_NA)</f>
        <v>0</v>
      </c>
      <c r="AD1165" s="314"/>
      <c r="AE1165" s="430"/>
      <c r="AF1165" s="431"/>
      <c r="AG1165" s="432"/>
      <c r="AH1165" s="433"/>
      <c r="AI1165" s="433"/>
      <c r="AJ1165" s="433"/>
      <c r="AK1165" s="434"/>
      <c r="AL1165" s="326"/>
      <c r="AM1165" s="326"/>
      <c r="AN1165" s="326"/>
      <c r="AO1165" s="326"/>
      <c r="AP1165" s="326"/>
      <c r="AQ1165" s="435" t="s">
        <v>159</v>
      </c>
      <c r="AR1165" s="430"/>
      <c r="AS1165" s="436" t="str">
        <f t="shared" si="357"/>
        <v/>
      </c>
      <c r="AT1165" s="437"/>
      <c r="AU1165" s="438" t="str">
        <f t="shared" si="358"/>
        <v/>
      </c>
      <c r="AV1165" s="429">
        <f t="shared" ref="AV1165:AV1167" si="359">IF(L1165&lt;&gt;0,L1165,L1165)</f>
        <v>0</v>
      </c>
      <c r="AW1165" s="407" t="b">
        <f t="shared" si="351"/>
        <v>0</v>
      </c>
      <c r="AX1165" s="439" t="b">
        <f t="shared" si="352"/>
        <v>0</v>
      </c>
      <c r="AY1165" s="314"/>
      <c r="AZ1165" s="408" t="b">
        <f t="shared" si="353"/>
        <v>0</v>
      </c>
      <c r="BA1165" s="440" t="b">
        <f t="shared" si="354"/>
        <v>0</v>
      </c>
      <c r="BB1165" s="314"/>
      <c r="BC1165" s="407" t="b">
        <f t="shared" si="355"/>
        <v>0</v>
      </c>
      <c r="BD1165" s="407" t="b">
        <f>OR(AV1164&gt;100%,(AV1164+AV1165)&gt;100%)</f>
        <v>0</v>
      </c>
      <c r="BE1165" s="314"/>
      <c r="BF1165" s="408" t="s">
        <v>162</v>
      </c>
      <c r="BG1165" s="409" t="str">
        <f>IF(COUNTIF(AO1161:AO1162,TRUE)=0,"",BH1165*AV1169)</f>
        <v/>
      </c>
      <c r="BH1165" s="409" t="str">
        <f>IF(COUNTIF(AO1161:AO1162,TRUE)=0,"",AV1158*IF(AO1161,1,AV1160*AN1162)*AV1161*AV1167)</f>
        <v/>
      </c>
      <c r="BJ1165" s="314"/>
      <c r="BK1165" s="314"/>
      <c r="BL1165" s="314"/>
      <c r="BM1165" s="314"/>
      <c r="BN1165" s="314"/>
      <c r="BO1165" s="314"/>
      <c r="BP1165" s="314"/>
      <c r="BQ1165" s="314"/>
      <c r="BR1165" s="314"/>
      <c r="BS1165" s="314"/>
      <c r="BT1165" s="314"/>
      <c r="BU1165" s="314"/>
      <c r="BV1165" s="314"/>
      <c r="BW1165" s="314"/>
      <c r="BX1165" s="314"/>
      <c r="BY1165" s="314"/>
      <c r="BZ1165" s="314"/>
      <c r="CA1165" s="314"/>
      <c r="CB1165" s="314"/>
      <c r="CC1165" s="314"/>
      <c r="CD1165" s="314"/>
      <c r="CE1165" s="314"/>
      <c r="CF1165" s="314"/>
      <c r="CG1165" s="314"/>
      <c r="CH1165" s="314"/>
      <c r="CI1165" s="314"/>
      <c r="CJ1165" s="314"/>
      <c r="CK1165" s="314"/>
      <c r="CL1165" s="314"/>
      <c r="CM1165" s="314"/>
      <c r="CN1165" s="314"/>
      <c r="CO1165" s="314"/>
      <c r="CP1165" s="314"/>
      <c r="CQ1165" s="407" t="b">
        <f>OR(CQ1158,Y1165=EUconst_NA)</f>
        <v>0</v>
      </c>
    </row>
    <row r="1166" spans="1:95" ht="12.75" customHeight="1" thickBot="1" x14ac:dyDescent="0.3">
      <c r="A1166" s="307"/>
      <c r="B1166" s="68"/>
      <c r="C1166" s="199" t="s">
        <v>163</v>
      </c>
      <c r="D1166" s="344" t="str">
        <f>Translations!$B$615</f>
        <v>sust. SLCF:</v>
      </c>
      <c r="E1166" s="441"/>
      <c r="F1166" s="19" t="s">
        <v>158</v>
      </c>
      <c r="G1166" s="1261"/>
      <c r="H1166" s="1262"/>
      <c r="I1166" s="442" t="str">
        <f t="shared" si="356"/>
        <v/>
      </c>
      <c r="J1166" s="411"/>
      <c r="K1166" s="443"/>
      <c r="L1166" s="57"/>
      <c r="M1166" s="347" t="str">
        <f>IF(AND(E1153&lt;&gt;"",OR(F1166="",COUNT(L1166)=0),Y1166&lt;&gt;EUconst_NA),EUconst_ERR_Incomplete,"")</f>
        <v/>
      </c>
      <c r="N1166" s="76"/>
      <c r="O1166" s="160"/>
      <c r="P1166" s="348"/>
      <c r="Q1166" s="413"/>
      <c r="R1166" s="413"/>
      <c r="S1166" s="314"/>
      <c r="T1166" s="388" t="str">
        <f>EUconst_CNTR_RFNBOetcContent&amp;E1153</f>
        <v>RNFBOC_</v>
      </c>
      <c r="U1166" s="312"/>
      <c r="V1166" s="312"/>
      <c r="W1166" s="312"/>
      <c r="X1166" s="312"/>
      <c r="Y1166" s="447" t="str">
        <f>IF(E1153="","",IF(OR(F1166=EUconst_NA,W1166=TRUE),EUconst_NA,INDEX(EUwideConstants!$P$164:$P$200,MATCH(T1166,EUwideConstants!$S$164:$S$200,0))))</f>
        <v/>
      </c>
      <c r="Z1166" s="314"/>
      <c r="AA1166" s="314"/>
      <c r="AB1166" s="314"/>
      <c r="AC1166" s="397" t="b">
        <f>AND(AC1162,Y1166&lt;&gt;EUconst_NA)</f>
        <v>0</v>
      </c>
      <c r="AD1166" s="314"/>
      <c r="AE1166" s="415"/>
      <c r="AF1166" s="416"/>
      <c r="AG1166" s="417"/>
      <c r="AH1166" s="418"/>
      <c r="AI1166" s="418"/>
      <c r="AJ1166" s="418"/>
      <c r="AK1166" s="419"/>
      <c r="AL1166" s="326"/>
      <c r="AM1166" s="326"/>
      <c r="AN1166" s="326"/>
      <c r="AO1166" s="326"/>
      <c r="AP1166" s="326"/>
      <c r="AQ1166" s="444" t="s">
        <v>159</v>
      </c>
      <c r="AR1166" s="415"/>
      <c r="AS1166" s="445" t="str">
        <f t="shared" si="357"/>
        <v/>
      </c>
      <c r="AT1166" s="446"/>
      <c r="AU1166" s="447" t="str">
        <f t="shared" si="358"/>
        <v/>
      </c>
      <c r="AV1166" s="397">
        <f t="shared" si="359"/>
        <v>0</v>
      </c>
      <c r="AW1166" s="398" t="b">
        <f t="shared" si="351"/>
        <v>0</v>
      </c>
      <c r="AX1166" s="448" t="b">
        <f t="shared" si="352"/>
        <v>0</v>
      </c>
      <c r="AY1166" s="314"/>
      <c r="AZ1166" s="449" t="b">
        <f t="shared" si="353"/>
        <v>0</v>
      </c>
      <c r="BA1166" s="450" t="b">
        <f t="shared" si="354"/>
        <v>0</v>
      </c>
      <c r="BB1166" s="314"/>
      <c r="BC1166" s="398" t="b">
        <f t="shared" si="355"/>
        <v>0</v>
      </c>
      <c r="BD1166" s="369" t="b">
        <f>OR(AV1166&gt;100%,(AV1166+AV1167)&gt;100%)</f>
        <v>0</v>
      </c>
      <c r="BE1166" s="314"/>
      <c r="BF1166" s="451" t="s">
        <v>164</v>
      </c>
      <c r="BG1166" s="452">
        <f>IF(AN1158=EUconst_TJ,AV1158*(1-AV1162),IF(AN1160=EUconst_GJ,AV1158*AV1160/1000,0))-SUM(BG1167:BG1173)</f>
        <v>0</v>
      </c>
      <c r="BH1166" s="314"/>
      <c r="BI1166" s="314"/>
      <c r="BJ1166" s="314"/>
      <c r="BK1166" s="314"/>
      <c r="BL1166" s="314"/>
      <c r="BM1166" s="314"/>
      <c r="BN1166" s="314"/>
      <c r="BO1166" s="314"/>
      <c r="BP1166" s="314"/>
      <c r="BQ1166" s="314"/>
      <c r="BR1166" s="314"/>
      <c r="BS1166" s="314"/>
      <c r="BT1166" s="314"/>
      <c r="BU1166" s="314"/>
      <c r="BV1166" s="314"/>
      <c r="BW1166" s="314"/>
      <c r="BX1166" s="314"/>
      <c r="BY1166" s="314"/>
      <c r="BZ1166" s="314"/>
      <c r="CA1166" s="314"/>
      <c r="CB1166" s="314"/>
      <c r="CC1166" s="314"/>
      <c r="CD1166" s="314"/>
      <c r="CE1166" s="314"/>
      <c r="CF1166" s="314"/>
      <c r="CG1166" s="314"/>
      <c r="CH1166" s="314"/>
      <c r="CI1166" s="314"/>
      <c r="CJ1166" s="314"/>
      <c r="CK1166" s="314"/>
      <c r="CL1166" s="314"/>
      <c r="CM1166" s="314"/>
      <c r="CN1166" s="314"/>
      <c r="CO1166" s="314"/>
      <c r="CP1166" s="314"/>
      <c r="CQ1166" s="407" t="b">
        <f>OR(CQ1158,Y1166=EUconst_NA)</f>
        <v>0</v>
      </c>
    </row>
    <row r="1167" spans="1:95" ht="12.75" customHeight="1" thickBot="1" x14ac:dyDescent="0.3">
      <c r="A1167" s="307"/>
      <c r="B1167" s="68"/>
      <c r="C1167" s="199" t="s">
        <v>165</v>
      </c>
      <c r="D1167" s="344" t="str">
        <f>Translations!$B$618</f>
        <v>non-sust. SLCF:</v>
      </c>
      <c r="E1167" s="441"/>
      <c r="F1167" s="20" t="s">
        <v>158</v>
      </c>
      <c r="G1167" s="1261"/>
      <c r="H1167" s="1262"/>
      <c r="I1167" s="422" t="str">
        <f t="shared" si="356"/>
        <v/>
      </c>
      <c r="J1167" s="423"/>
      <c r="K1167" s="443"/>
      <c r="L1167" s="56"/>
      <c r="M1167" s="347" t="str">
        <f>IF(AND(E1153&lt;&gt;"",OR(F1167="",COUNT(L1167)=0),Y1167&lt;&gt;EUconst_NA),EUconst_ERR_Incomplete,"")</f>
        <v/>
      </c>
      <c r="N1167" s="76"/>
      <c r="O1167" s="160"/>
      <c r="P1167" s="348"/>
      <c r="Q1167" s="413"/>
      <c r="R1167" s="413"/>
      <c r="S1167" s="314"/>
      <c r="T1167" s="425" t="str">
        <f>EUconst_CNTR_RFNBOetcContent&amp;E1153</f>
        <v>RNFBOC_</v>
      </c>
      <c r="U1167" s="312"/>
      <c r="V1167" s="312"/>
      <c r="W1167" s="312"/>
      <c r="X1167" s="312"/>
      <c r="Y1167" s="438" t="str">
        <f>IF(E1153="","",IF(OR(F1167=EUconst_NA,W1167=TRUE),EUconst_NA,INDEX(EUwideConstants!$P$164:$P$200,MATCH(T1167,EUwideConstants!$S$164:$S$200,0))))</f>
        <v/>
      </c>
      <c r="Z1167" s="314"/>
      <c r="AA1167" s="314"/>
      <c r="AB1167" s="314"/>
      <c r="AC1167" s="429" t="b">
        <f>AND(AC1162,Y1167&lt;&gt;EUconst_NA)</f>
        <v>0</v>
      </c>
      <c r="AD1167" s="314"/>
      <c r="AE1167" s="430"/>
      <c r="AF1167" s="431"/>
      <c r="AG1167" s="432"/>
      <c r="AH1167" s="433"/>
      <c r="AI1167" s="433"/>
      <c r="AJ1167" s="433"/>
      <c r="AK1167" s="434"/>
      <c r="AL1167" s="326"/>
      <c r="AM1167" s="326"/>
      <c r="AN1167" s="326"/>
      <c r="AO1167" s="326"/>
      <c r="AP1167" s="326"/>
      <c r="AQ1167" s="435" t="s">
        <v>159</v>
      </c>
      <c r="AR1167" s="430"/>
      <c r="AS1167" s="436" t="str">
        <f t="shared" si="357"/>
        <v/>
      </c>
      <c r="AT1167" s="437"/>
      <c r="AU1167" s="438" t="str">
        <f t="shared" si="358"/>
        <v/>
      </c>
      <c r="AV1167" s="429">
        <f t="shared" si="359"/>
        <v>0</v>
      </c>
      <c r="AW1167" s="407" t="b">
        <f t="shared" si="351"/>
        <v>0</v>
      </c>
      <c r="AX1167" s="439" t="b">
        <f t="shared" si="352"/>
        <v>0</v>
      </c>
      <c r="AY1167" s="314"/>
      <c r="AZ1167" s="408" t="b">
        <f t="shared" si="353"/>
        <v>0</v>
      </c>
      <c r="BA1167" s="440" t="b">
        <f t="shared" si="354"/>
        <v>0</v>
      </c>
      <c r="BB1167" s="314"/>
      <c r="BC1167" s="407" t="b">
        <f t="shared" si="355"/>
        <v>0</v>
      </c>
      <c r="BD1167" s="407" t="b">
        <f>OR(AV1166&gt;100%,(AV1166+AV1167)&gt;100%)</f>
        <v>0</v>
      </c>
      <c r="BE1167" s="314"/>
      <c r="BF1167" s="408" t="s">
        <v>166</v>
      </c>
      <c r="BG1167" s="409" t="str">
        <f>IF(AN1158=EUconst_TJ,AV1158*AV1162,IF(AN1160=EUconst_GJ,AV1158*AV1160/1000*AV1162,""))</f>
        <v/>
      </c>
      <c r="BH1167" s="314"/>
      <c r="BI1167" s="314"/>
      <c r="BJ1167" s="314"/>
      <c r="BK1167" s="314"/>
      <c r="BL1167" s="314"/>
      <c r="BM1167" s="314"/>
      <c r="BN1167" s="314"/>
      <c r="BO1167" s="314"/>
      <c r="BP1167" s="314"/>
      <c r="BQ1167" s="314"/>
      <c r="BR1167" s="314"/>
      <c r="BS1167" s="314"/>
      <c r="BT1167" s="314"/>
      <c r="BU1167" s="314"/>
      <c r="BV1167" s="314"/>
      <c r="BW1167" s="314"/>
      <c r="BX1167" s="314"/>
      <c r="BY1167" s="314"/>
      <c r="BZ1167" s="314"/>
      <c r="CA1167" s="314"/>
      <c r="CB1167" s="314"/>
      <c r="CC1167" s="314"/>
      <c r="CD1167" s="314"/>
      <c r="CE1167" s="314"/>
      <c r="CF1167" s="314"/>
      <c r="CG1167" s="314"/>
      <c r="CH1167" s="314"/>
      <c r="CI1167" s="314"/>
      <c r="CJ1167" s="314"/>
      <c r="CK1167" s="314"/>
      <c r="CL1167" s="314"/>
      <c r="CM1167" s="314"/>
      <c r="CN1167" s="314"/>
      <c r="CO1167" s="314"/>
      <c r="CP1167" s="314"/>
      <c r="CQ1167" s="407" t="b">
        <f>OR(CQ1158,Y1167=EUconst_NA)</f>
        <v>0</v>
      </c>
    </row>
    <row r="1168" spans="1:95" ht="5.15" customHeight="1" thickBot="1" x14ac:dyDescent="0.3">
      <c r="A1168" s="307"/>
      <c r="B1168" s="68"/>
      <c r="C1168" s="68"/>
      <c r="D1168" s="205"/>
      <c r="E1168" s="76"/>
      <c r="F1168" s="76"/>
      <c r="G1168" s="76"/>
      <c r="H1168" s="76"/>
      <c r="I1168" s="76"/>
      <c r="J1168" s="76"/>
      <c r="K1168" s="76"/>
      <c r="L1168" s="76"/>
      <c r="M1168" s="453"/>
      <c r="N1168" s="76"/>
      <c r="O1168" s="160"/>
      <c r="P1168" s="109"/>
      <c r="Q1168" s="312"/>
      <c r="R1168" s="312"/>
      <c r="S1168" s="314"/>
      <c r="T1168" s="314"/>
      <c r="U1168" s="314"/>
      <c r="V1168" s="314"/>
      <c r="W1168" s="314"/>
      <c r="X1168" s="314"/>
      <c r="Y1168" s="314"/>
      <c r="Z1168" s="314"/>
      <c r="AA1168" s="314"/>
      <c r="AB1168" s="314"/>
      <c r="AC1168" s="314"/>
      <c r="AD1168" s="314"/>
      <c r="AE1168" s="314"/>
      <c r="AF1168" s="314"/>
      <c r="AG1168" s="314"/>
      <c r="AH1168" s="314"/>
      <c r="AI1168" s="314"/>
      <c r="AJ1168" s="314"/>
      <c r="AK1168" s="314"/>
      <c r="AL1168" s="314"/>
      <c r="AM1168" s="314"/>
      <c r="AN1168" s="314"/>
      <c r="AO1168" s="314"/>
      <c r="AP1168" s="314"/>
      <c r="AQ1168" s="314"/>
      <c r="AR1168" s="314"/>
      <c r="AS1168" s="314"/>
      <c r="AT1168" s="314"/>
      <c r="AU1168" s="314"/>
      <c r="AV1168" s="314"/>
      <c r="AW1168" s="314"/>
      <c r="AX1168" s="314"/>
      <c r="AY1168" s="314"/>
      <c r="AZ1168" s="314"/>
      <c r="BA1168" s="314"/>
      <c r="BB1168" s="314"/>
      <c r="BC1168" s="314"/>
      <c r="BD1168" s="314"/>
      <c r="BE1168" s="314"/>
      <c r="BF1168" s="314"/>
      <c r="BG1168" s="364"/>
      <c r="BH1168" s="314"/>
      <c r="BI1168" s="314"/>
      <c r="BJ1168" s="314"/>
      <c r="BK1168" s="314"/>
      <c r="BL1168" s="314"/>
      <c r="BM1168" s="314"/>
      <c r="BN1168" s="314"/>
      <c r="BO1168" s="314"/>
      <c r="BP1168" s="314"/>
      <c r="BQ1168" s="314"/>
      <c r="BR1168" s="314"/>
      <c r="BS1168" s="314"/>
      <c r="BT1168" s="314"/>
      <c r="BU1168" s="314"/>
      <c r="BV1168" s="314"/>
      <c r="BW1168" s="314"/>
      <c r="BX1168" s="314"/>
      <c r="BY1168" s="314"/>
      <c r="BZ1168" s="314"/>
      <c r="CA1168" s="314"/>
      <c r="CB1168" s="314"/>
      <c r="CC1168" s="314"/>
      <c r="CD1168" s="314"/>
      <c r="CE1168" s="314"/>
      <c r="CF1168" s="314"/>
      <c r="CG1168" s="314"/>
      <c r="CH1168" s="314"/>
      <c r="CI1168" s="314"/>
      <c r="CJ1168" s="314"/>
      <c r="CK1168" s="314"/>
      <c r="CL1168" s="314"/>
      <c r="CM1168" s="314"/>
      <c r="CN1168" s="314"/>
      <c r="CO1168" s="314"/>
      <c r="CP1168" s="314"/>
      <c r="CQ1168" s="314"/>
    </row>
    <row r="1169" spans="1:95" ht="12.75" customHeight="1" thickBot="1" x14ac:dyDescent="0.3">
      <c r="A1169" s="307"/>
      <c r="B1169" s="68"/>
      <c r="C1169" s="199" t="s">
        <v>167</v>
      </c>
      <c r="D1169" s="344" t="str">
        <f>Translations!$B$398</f>
        <v>Scope factor:</v>
      </c>
      <c r="E1169" s="454"/>
      <c r="F1169" s="992"/>
      <c r="G1169" s="1263"/>
      <c r="H1169" s="1264"/>
      <c r="I1169" s="455" t="s">
        <v>46</v>
      </c>
      <c r="J1169" s="456"/>
      <c r="K1169" s="457" t="str">
        <f>IF(L1169="",AU1169,"")</f>
        <v/>
      </c>
      <c r="L1169" s="16"/>
      <c r="M1169" s="458" t="str">
        <f>IF(AND(E1153&lt;&gt;"",OR(F1169="",G1169="",COUNT(K1169:L1169)=0)),EUconst_ERR_Incomplete,IF(COUNTIF(BB1169:BD1169,TRUE)&gt;0,EUconst_ERR_Inconsistent,""))</f>
        <v/>
      </c>
      <c r="N1169" s="76"/>
      <c r="O1169" s="160"/>
      <c r="P1169" s="109"/>
      <c r="Q1169" s="312"/>
      <c r="R1169" s="314"/>
      <c r="S1169" s="297"/>
      <c r="T1169" s="459" t="str">
        <f>EUconst_CNTR_ScopeFactor&amp;E1153</f>
        <v>ScopeFactor_</v>
      </c>
      <c r="U1169" s="231" t="str">
        <f>IF(F1169="","",INDEX(ScopeAddress,MATCH(F1169,ScopeTiers,0)))</f>
        <v/>
      </c>
      <c r="V1169" s="360" t="str">
        <f>V1158</f>
        <v/>
      </c>
      <c r="W1169" s="314"/>
      <c r="X1169" s="314"/>
      <c r="Y1169" s="460" t="str">
        <f>IF(E1153="","",IF(F1169=EUconst_NA,EUconst_NA,INDEX(EUwideConstants!$P$164:$P$200,MATCH(T1169,EUwideConstants!$S$164:$S$200,0))))</f>
        <v/>
      </c>
      <c r="Z1169" s="461" t="str">
        <f>IF(ISBLANK(F1169),"",IF(F1169=EUconst_NA,"",INDEX(EUwideConstants!$H:$O,MATCH(T1169,EUwideConstants!$S:$S,0),MATCH(F1169,CNTR_TierList,0))))</f>
        <v/>
      </c>
      <c r="AA1169" s="331" t="str">
        <f>IF(G1169=EUwideConstants!$A$89,1,"")</f>
        <v/>
      </c>
      <c r="AB1169" s="314"/>
      <c r="AC1169" s="331" t="b">
        <f>AND(AC1158,Y1169&lt;&gt;EUconst_NA)</f>
        <v>0</v>
      </c>
      <c r="AD1169" s="314"/>
      <c r="AE1169" s="314"/>
      <c r="AF1169" s="314"/>
      <c r="AG1169" s="319"/>
      <c r="AH1169" s="314"/>
      <c r="AI1169" s="314"/>
      <c r="AJ1169" s="314"/>
      <c r="AK1169" s="314"/>
      <c r="AL1169" s="314"/>
      <c r="AM1169" s="314"/>
      <c r="AN1169" s="314"/>
      <c r="AO1169" s="314"/>
      <c r="AP1169" s="314"/>
      <c r="AQ1169" s="314"/>
      <c r="AR1169" s="314"/>
      <c r="AS1169" s="328">
        <v>1</v>
      </c>
      <c r="AT1169" s="314"/>
      <c r="AU1169" s="319" t="str">
        <f>IF(G1169=EUwideConstants!$A$89,AS1169,"")</f>
        <v/>
      </c>
      <c r="AV1169" s="331">
        <f>IF(AC1169=TRUE,IF(COUNT(K1169:L1169)=0,0,IF(L1169="",K1169,L1169)),0)</f>
        <v>0</v>
      </c>
      <c r="AW1169" s="360" t="b">
        <f>AND(AC1169=TRUE,OR(AND(F1169&lt;&gt;"",NOT(ISNUMBER(AA1169))),L1169&lt;&gt;"",F1169="",AU1169=""))</f>
        <v>0</v>
      </c>
      <c r="AX1169" s="357" t="b">
        <f>AND(AC1169=TRUE,NOT(AW1169))</f>
        <v>0</v>
      </c>
      <c r="AY1169" s="314"/>
      <c r="AZ1169" s="361" t="b">
        <f>AND(ISNUMBER(AA1169),AU1169="")</f>
        <v>0</v>
      </c>
      <c r="BA1169" s="351" t="b">
        <f>AND(ISNUMBER(AA1169),AU1169&lt;&gt;AV1169)</f>
        <v>0</v>
      </c>
      <c r="BB1169" s="314"/>
      <c r="BC1169" s="360" t="b">
        <f>AND(F1169&lt;&gt;"",OR(COUNTIF(INDEX(ScopeMethods,F1169,),G1169)=0,AND(AA1169&lt;&gt;"",AU1169&lt;&gt;AV1169)))</f>
        <v>0</v>
      </c>
      <c r="BD1169" s="314"/>
      <c r="BE1169" s="314"/>
      <c r="BF1169" s="361" t="s">
        <v>168</v>
      </c>
      <c r="BG1169" s="362" t="str">
        <f>IF(AN1158=EUconst_TJ,AV1158*AV1164,IF(AN1160=EUconst_GJ,AV1158*AV1160/1000*AV1164,""))</f>
        <v/>
      </c>
      <c r="BH1169" s="314"/>
      <c r="BI1169" s="314"/>
      <c r="BJ1169" s="314"/>
      <c r="BK1169" s="314"/>
      <c r="BL1169" s="314"/>
      <c r="BM1169" s="314"/>
      <c r="BN1169" s="314"/>
      <c r="BO1169" s="314"/>
      <c r="BP1169" s="314"/>
      <c r="BQ1169" s="314"/>
      <c r="BR1169" s="314"/>
      <c r="BS1169" s="314"/>
      <c r="BT1169" s="314"/>
      <c r="BU1169" s="314"/>
      <c r="BV1169" s="314"/>
      <c r="BW1169" s="314"/>
      <c r="BX1169" s="314"/>
      <c r="BY1169" s="314"/>
      <c r="BZ1169" s="314"/>
      <c r="CA1169" s="314"/>
      <c r="CB1169" s="314"/>
      <c r="CC1169" s="314"/>
      <c r="CD1169" s="314"/>
      <c r="CE1169" s="314"/>
      <c r="CF1169" s="314"/>
      <c r="CG1169" s="314"/>
      <c r="CH1169" s="314"/>
      <c r="CI1169" s="314"/>
      <c r="CJ1169" s="314"/>
      <c r="CK1169" s="314"/>
      <c r="CL1169" s="314"/>
      <c r="CM1169" s="314"/>
      <c r="CN1169" s="314"/>
      <c r="CO1169" s="314"/>
      <c r="CP1169" s="314"/>
      <c r="CQ1169" s="314"/>
    </row>
    <row r="1170" spans="1:95" ht="12.75" customHeight="1" x14ac:dyDescent="0.25">
      <c r="A1170" s="307"/>
      <c r="B1170" s="68"/>
      <c r="C1170" s="68"/>
      <c r="D1170" s="68"/>
      <c r="E1170" s="68"/>
      <c r="F1170" s="68"/>
      <c r="G1170" s="1265" t="str">
        <f>IF(G1169="","",INDEX(ScopeMethodsDetails,MATCH(G1169,INDEX(ScopeMethodsDetails,,1),0),2))</f>
        <v/>
      </c>
      <c r="H1170" s="1266"/>
      <c r="I1170" s="1266"/>
      <c r="J1170" s="1266"/>
      <c r="K1170" s="1266"/>
      <c r="L1170" s="1266"/>
      <c r="M1170" s="1267"/>
      <c r="N1170" s="76"/>
      <c r="O1170" s="160"/>
      <c r="P1170" s="109"/>
      <c r="Q1170" s="312"/>
      <c r="R1170" s="312"/>
      <c r="S1170" s="314"/>
      <c r="T1170" s="314"/>
      <c r="U1170" s="314"/>
      <c r="V1170" s="314"/>
      <c r="W1170" s="314"/>
      <c r="X1170" s="314"/>
      <c r="Y1170" s="314"/>
      <c r="Z1170" s="314"/>
      <c r="AA1170" s="314"/>
      <c r="AB1170" s="314"/>
      <c r="AC1170" s="314"/>
      <c r="AD1170" s="314"/>
      <c r="AE1170" s="314"/>
      <c r="AF1170" s="314"/>
      <c r="AG1170" s="314"/>
      <c r="AH1170" s="314"/>
      <c r="AI1170" s="314"/>
      <c r="AJ1170" s="314"/>
      <c r="AK1170" s="314"/>
      <c r="AL1170" s="314"/>
      <c r="AM1170" s="314"/>
      <c r="AN1170" s="314"/>
      <c r="AO1170" s="314"/>
      <c r="AP1170" s="314"/>
      <c r="AQ1170" s="314"/>
      <c r="AR1170" s="314"/>
      <c r="AS1170" s="314"/>
      <c r="AT1170" s="314"/>
      <c r="AU1170" s="314"/>
      <c r="AV1170" s="314"/>
      <c r="AW1170" s="314"/>
      <c r="AX1170" s="314"/>
      <c r="AY1170" s="314"/>
      <c r="AZ1170" s="314"/>
      <c r="BA1170" s="314"/>
      <c r="BB1170" s="314"/>
      <c r="BC1170" s="314"/>
      <c r="BD1170" s="314"/>
      <c r="BE1170" s="314"/>
      <c r="BG1170" s="364"/>
      <c r="BH1170" s="314"/>
      <c r="BI1170" s="314"/>
      <c r="BJ1170" s="314"/>
      <c r="BK1170" s="314"/>
      <c r="BL1170" s="314"/>
      <c r="BM1170" s="314"/>
      <c r="BN1170" s="314"/>
      <c r="BO1170" s="314"/>
      <c r="BP1170" s="314"/>
      <c r="BQ1170" s="314"/>
      <c r="BR1170" s="314"/>
      <c r="BS1170" s="314"/>
      <c r="BT1170" s="314"/>
      <c r="BU1170" s="314"/>
      <c r="BV1170" s="314"/>
      <c r="BW1170" s="314"/>
      <c r="BX1170" s="314"/>
      <c r="BY1170" s="314"/>
      <c r="BZ1170" s="314"/>
      <c r="CA1170" s="314"/>
      <c r="CB1170" s="314"/>
      <c r="CC1170" s="314"/>
      <c r="CD1170" s="314"/>
      <c r="CE1170" s="314"/>
      <c r="CF1170" s="314"/>
      <c r="CG1170" s="314"/>
      <c r="CH1170" s="314"/>
      <c r="CI1170" s="314"/>
      <c r="CJ1170" s="314"/>
      <c r="CK1170" s="314"/>
      <c r="CL1170" s="314"/>
      <c r="CM1170" s="314"/>
      <c r="CN1170" s="314"/>
      <c r="CO1170" s="314"/>
      <c r="CP1170" s="314"/>
      <c r="CQ1170" s="314"/>
    </row>
    <row r="1171" spans="1:95" ht="5.15" customHeight="1" x14ac:dyDescent="0.25">
      <c r="A1171" s="307"/>
      <c r="C1171" s="76"/>
      <c r="D1171" s="76"/>
      <c r="E1171" s="76"/>
      <c r="F1171" s="76"/>
      <c r="G1171" s="76"/>
      <c r="H1171" s="76"/>
      <c r="I1171" s="76"/>
      <c r="J1171" s="76"/>
      <c r="K1171" s="76"/>
      <c r="L1171" s="76"/>
      <c r="O1171" s="160"/>
      <c r="P1171" s="109"/>
      <c r="Q1171" s="312"/>
      <c r="R1171" s="312"/>
      <c r="S1171" s="314"/>
      <c r="T1171" s="314"/>
      <c r="U1171" s="314"/>
      <c r="V1171" s="314"/>
      <c r="W1171" s="314"/>
      <c r="X1171" s="314"/>
      <c r="Y1171" s="314"/>
      <c r="Z1171" s="314"/>
      <c r="AA1171" s="314"/>
      <c r="AB1171" s="314"/>
      <c r="AC1171" s="314"/>
      <c r="AD1171" s="314"/>
      <c r="AE1171" s="314"/>
      <c r="AF1171" s="314"/>
      <c r="AG1171" s="314"/>
      <c r="AH1171" s="314"/>
      <c r="AI1171" s="314"/>
      <c r="AJ1171" s="314"/>
      <c r="AK1171" s="314"/>
      <c r="AL1171" s="314"/>
      <c r="AM1171" s="314"/>
      <c r="AN1171" s="314"/>
      <c r="AO1171" s="314"/>
      <c r="AP1171" s="314"/>
      <c r="AQ1171" s="314"/>
      <c r="AR1171" s="314"/>
      <c r="AS1171" s="314"/>
      <c r="AT1171" s="314"/>
      <c r="AU1171" s="314"/>
      <c r="AV1171" s="314"/>
      <c r="AW1171" s="314"/>
      <c r="AX1171" s="314"/>
      <c r="AY1171" s="314"/>
      <c r="AZ1171" s="314"/>
      <c r="BA1171" s="314"/>
      <c r="BB1171" s="314"/>
      <c r="BC1171" s="314"/>
      <c r="BD1171" s="314"/>
      <c r="BE1171" s="314"/>
      <c r="BG1171" s="364"/>
      <c r="BH1171" s="314"/>
      <c r="BI1171" s="314"/>
      <c r="BJ1171" s="314"/>
      <c r="BK1171" s="314"/>
      <c r="BL1171" s="314"/>
      <c r="BM1171" s="314"/>
      <c r="BN1171" s="314"/>
      <c r="BO1171" s="314"/>
      <c r="BP1171" s="314"/>
      <c r="BQ1171" s="314"/>
      <c r="BR1171" s="314"/>
      <c r="BS1171" s="314"/>
      <c r="BT1171" s="314"/>
      <c r="BU1171" s="314"/>
      <c r="BV1171" s="314"/>
      <c r="BW1171" s="314"/>
      <c r="BX1171" s="314"/>
      <c r="BY1171" s="314"/>
      <c r="BZ1171" s="314"/>
      <c r="CA1171" s="314"/>
      <c r="CB1171" s="314"/>
      <c r="CC1171" s="314"/>
      <c r="CD1171" s="314"/>
      <c r="CE1171" s="314"/>
      <c r="CF1171" s="314"/>
      <c r="CG1171" s="314"/>
      <c r="CH1171" s="314"/>
      <c r="CI1171" s="314"/>
      <c r="CJ1171" s="314"/>
      <c r="CK1171" s="314"/>
      <c r="CL1171" s="314"/>
      <c r="CM1171" s="314"/>
      <c r="CN1171" s="314"/>
      <c r="CO1171" s="314"/>
      <c r="CP1171" s="314"/>
      <c r="CQ1171" s="314"/>
    </row>
    <row r="1172" spans="1:95" ht="12.75" customHeight="1" thickBot="1" x14ac:dyDescent="0.3">
      <c r="A1172" s="307"/>
      <c r="C1172" s="76"/>
      <c r="D1172" s="76"/>
      <c r="E1172" s="76"/>
      <c r="F1172" s="76"/>
      <c r="G1172" s="1268">
        <v>1</v>
      </c>
      <c r="H1172" s="1268"/>
      <c r="I1172" s="1268">
        <v>2</v>
      </c>
      <c r="J1172" s="1268"/>
      <c r="K1172" s="1268">
        <v>3</v>
      </c>
      <c r="L1172" s="1268"/>
      <c r="O1172" s="160"/>
      <c r="P1172" s="109"/>
      <c r="Q1172" s="312"/>
      <c r="R1172" s="312"/>
      <c r="S1172" s="314"/>
      <c r="T1172" s="314"/>
      <c r="U1172" s="314"/>
      <c r="V1172" s="314"/>
      <c r="W1172" s="314"/>
      <c r="X1172" s="314"/>
      <c r="Y1172" s="314"/>
      <c r="Z1172" s="314"/>
      <c r="AA1172" s="314"/>
      <c r="AB1172" s="314"/>
      <c r="AC1172" s="314"/>
      <c r="AD1172" s="314"/>
      <c r="AE1172" s="314"/>
      <c r="AF1172" s="314"/>
      <c r="AG1172" s="314"/>
      <c r="AH1172" s="314"/>
      <c r="AI1172" s="314"/>
      <c r="AJ1172" s="314"/>
      <c r="AK1172" s="314"/>
      <c r="AL1172" s="314"/>
      <c r="AM1172" s="314"/>
      <c r="AN1172" s="314"/>
      <c r="AO1172" s="314"/>
      <c r="AP1172" s="314"/>
      <c r="AQ1172" s="314"/>
      <c r="AR1172" s="314"/>
      <c r="AS1172" s="314"/>
      <c r="AT1172" s="314"/>
      <c r="AU1172" s="314"/>
      <c r="AV1172" s="314"/>
      <c r="AW1172" s="314"/>
      <c r="AX1172" s="314"/>
      <c r="AY1172" s="314"/>
      <c r="AZ1172" s="314"/>
      <c r="BA1172" s="314"/>
      <c r="BB1172" s="314"/>
      <c r="BC1172" s="314"/>
      <c r="BD1172" s="314"/>
      <c r="BE1172" s="314"/>
      <c r="BF1172" s="314"/>
      <c r="BG1172" s="364"/>
      <c r="BH1172" s="314"/>
      <c r="BI1172" s="314"/>
      <c r="BJ1172" s="314"/>
      <c r="BK1172" s="314"/>
      <c r="BL1172" s="314"/>
      <c r="BM1172" s="314"/>
      <c r="BN1172" s="314"/>
      <c r="BO1172" s="314"/>
      <c r="BP1172" s="314"/>
      <c r="BQ1172" s="314"/>
      <c r="BR1172" s="314"/>
      <c r="BS1172" s="314"/>
      <c r="BT1172" s="314"/>
      <c r="BU1172" s="314"/>
      <c r="BV1172" s="314"/>
      <c r="BW1172" s="314"/>
      <c r="BX1172" s="314"/>
      <c r="BY1172" s="314"/>
      <c r="BZ1172" s="314"/>
      <c r="CA1172" s="314"/>
      <c r="CB1172" s="314"/>
      <c r="CC1172" s="314"/>
      <c r="CD1172" s="314"/>
      <c r="CE1172" s="314"/>
      <c r="CF1172" s="314"/>
      <c r="CG1172" s="314"/>
      <c r="CH1172" s="314"/>
      <c r="CI1172" s="314"/>
      <c r="CJ1172" s="314"/>
      <c r="CK1172" s="314"/>
      <c r="CL1172" s="314"/>
      <c r="CM1172" s="314"/>
      <c r="CN1172" s="314"/>
      <c r="CO1172" s="314"/>
      <c r="CP1172" s="314"/>
      <c r="CQ1172" s="314"/>
    </row>
    <row r="1173" spans="1:95" ht="12.75" customHeight="1" thickBot="1" x14ac:dyDescent="0.3">
      <c r="A1173" s="462"/>
      <c r="B1173" s="76"/>
      <c r="C1173" s="76"/>
      <c r="D1173" s="1246" t="str">
        <f>Translations!$B$372</f>
        <v>Consumers' CRF category:</v>
      </c>
      <c r="E1173" s="1246"/>
      <c r="F1173" s="1247"/>
      <c r="G1173" s="1248"/>
      <c r="H1173" s="1249"/>
      <c r="I1173" s="1248"/>
      <c r="J1173" s="1249"/>
      <c r="K1173" s="1248"/>
      <c r="L1173" s="1249"/>
      <c r="M1173" s="463" t="str">
        <f>IF(AND(E1152&lt;&gt;"",COUNTA(G1173:L1173)=0,AX1173=FALSE),EUconst_ERR_Incomplete,"")</f>
        <v/>
      </c>
      <c r="N1173" s="76"/>
      <c r="O1173" s="160"/>
      <c r="P1173" s="109"/>
      <c r="Q1173" s="312"/>
      <c r="R1173" s="312"/>
      <c r="S1173" s="314"/>
      <c r="T1173" s="314"/>
      <c r="U1173" s="314"/>
      <c r="V1173" s="314"/>
      <c r="W1173" s="314"/>
      <c r="X1173" s="314"/>
      <c r="Y1173" s="314"/>
      <c r="Z1173" s="314"/>
      <c r="AA1173" s="314"/>
      <c r="AB1173" s="314"/>
      <c r="AC1173" s="314"/>
      <c r="AD1173" s="314"/>
      <c r="AE1173" s="314"/>
      <c r="AF1173" s="314"/>
      <c r="AG1173" s="314"/>
      <c r="AH1173" s="314"/>
      <c r="AI1173" s="314"/>
      <c r="AJ1173" s="314"/>
      <c r="AK1173" s="314"/>
      <c r="AL1173" s="314"/>
      <c r="AM1173" s="314"/>
      <c r="AN1173" s="314"/>
      <c r="AO1173" s="314"/>
      <c r="AP1173" s="314"/>
      <c r="AQ1173" s="314"/>
      <c r="AR1173" s="314"/>
      <c r="AS1173" s="314"/>
      <c r="AT1173" s="314"/>
      <c r="AU1173" s="314"/>
      <c r="AV1173" s="314"/>
      <c r="AW1173" s="314"/>
      <c r="AX1173" s="464" t="b">
        <f>AND(AV1169&lt;&gt;"",SUM(AV1169=1))</f>
        <v>0</v>
      </c>
      <c r="AY1173" s="314"/>
      <c r="AZ1173" s="314"/>
      <c r="BA1173" s="314"/>
      <c r="BB1173" s="314"/>
      <c r="BC1173" s="314"/>
      <c r="BD1173" s="314"/>
      <c r="BE1173" s="314"/>
      <c r="BF1173" s="361" t="s">
        <v>169</v>
      </c>
      <c r="BG1173" s="362" t="str">
        <f>IF(AN1158=EUconst_TJ,AV1158*AV1166,IF(AN1160=EUconst_GJ,AV1158*AV1160/1000*AV1166,""))</f>
        <v/>
      </c>
      <c r="BH1173" s="314"/>
      <c r="BI1173" s="314"/>
      <c r="BJ1173" s="314"/>
      <c r="BK1173" s="314"/>
      <c r="BL1173" s="314"/>
      <c r="BM1173" s="314"/>
      <c r="BN1173" s="314"/>
      <c r="BO1173" s="314"/>
      <c r="BP1173" s="314"/>
      <c r="BQ1173" s="314"/>
      <c r="BR1173" s="314"/>
      <c r="BS1173" s="314"/>
      <c r="BT1173" s="314"/>
      <c r="BU1173" s="314"/>
      <c r="BV1173" s="314"/>
      <c r="BW1173" s="314"/>
      <c r="BX1173" s="314"/>
      <c r="BY1173" s="314"/>
      <c r="BZ1173" s="314"/>
      <c r="CA1173" s="314"/>
      <c r="CB1173" s="314"/>
      <c r="CC1173" s="314"/>
      <c r="CD1173" s="314"/>
      <c r="CE1173" s="314"/>
      <c r="CF1173" s="314"/>
      <c r="CG1173" s="314"/>
      <c r="CH1173" s="314"/>
      <c r="CI1173" s="314"/>
      <c r="CJ1173" s="314"/>
      <c r="CK1173" s="314"/>
      <c r="CL1173" s="314"/>
      <c r="CM1173" s="314"/>
      <c r="CN1173" s="314"/>
      <c r="CO1173" s="314"/>
      <c r="CP1173" s="314"/>
      <c r="CQ1173" s="314"/>
    </row>
    <row r="1174" spans="1:95" ht="5.15" customHeight="1" x14ac:dyDescent="0.25">
      <c r="A1174" s="307"/>
      <c r="B1174" s="68"/>
      <c r="C1174" s="68"/>
      <c r="D1174" s="68"/>
      <c r="E1174" s="68"/>
      <c r="F1174" s="68"/>
      <c r="G1174" s="76"/>
      <c r="H1174" s="76"/>
      <c r="I1174" s="76"/>
      <c r="J1174" s="76"/>
      <c r="K1174" s="76"/>
      <c r="L1174" s="76"/>
      <c r="M1174" s="76"/>
      <c r="N1174" s="76"/>
      <c r="O1174" s="160"/>
      <c r="P1174" s="109"/>
      <c r="Q1174" s="312"/>
      <c r="R1174" s="312"/>
      <c r="S1174" s="314"/>
      <c r="T1174" s="314"/>
      <c r="U1174" s="314"/>
      <c r="V1174" s="314"/>
      <c r="W1174" s="314"/>
      <c r="X1174" s="314"/>
      <c r="Y1174" s="314"/>
      <c r="Z1174" s="314"/>
      <c r="AA1174" s="314"/>
      <c r="AB1174" s="314"/>
      <c r="AC1174" s="314"/>
      <c r="AD1174" s="314"/>
      <c r="AE1174" s="314"/>
      <c r="AF1174" s="314"/>
      <c r="AG1174" s="314"/>
      <c r="AH1174" s="314"/>
      <c r="AI1174" s="314"/>
      <c r="AJ1174" s="314"/>
      <c r="AK1174" s="314"/>
      <c r="AL1174" s="314"/>
      <c r="AM1174" s="314"/>
      <c r="AN1174" s="314"/>
      <c r="AO1174" s="314"/>
      <c r="AP1174" s="314"/>
      <c r="AQ1174" s="314"/>
      <c r="AR1174" s="314"/>
      <c r="AS1174" s="314"/>
      <c r="AT1174" s="314"/>
      <c r="AU1174" s="314"/>
      <c r="AV1174" s="314"/>
      <c r="AW1174" s="314"/>
      <c r="AX1174" s="314"/>
      <c r="AY1174" s="314"/>
      <c r="AZ1174" s="314"/>
      <c r="BA1174" s="314"/>
      <c r="BB1174" s="314"/>
      <c r="BC1174" s="314"/>
      <c r="BD1174" s="314"/>
      <c r="BE1174" s="314"/>
      <c r="BF1174" s="314"/>
      <c r="BG1174" s="314"/>
      <c r="BH1174" s="314"/>
      <c r="BI1174" s="314"/>
      <c r="BJ1174" s="314"/>
      <c r="BK1174" s="314"/>
      <c r="BL1174" s="314"/>
      <c r="BM1174" s="314"/>
      <c r="BN1174" s="314"/>
      <c r="BO1174" s="314"/>
      <c r="BP1174" s="314"/>
      <c r="BQ1174" s="314"/>
      <c r="BR1174" s="314"/>
      <c r="BS1174" s="314"/>
      <c r="BT1174" s="314"/>
      <c r="BU1174" s="314"/>
      <c r="BV1174" s="314"/>
      <c r="BW1174" s="314"/>
      <c r="BX1174" s="314"/>
      <c r="BY1174" s="314"/>
      <c r="BZ1174" s="314"/>
      <c r="CA1174" s="314"/>
      <c r="CB1174" s="314"/>
      <c r="CC1174" s="314"/>
      <c r="CD1174" s="314"/>
      <c r="CE1174" s="314"/>
      <c r="CF1174" s="314"/>
      <c r="CG1174" s="314"/>
      <c r="CH1174" s="314"/>
      <c r="CI1174" s="314"/>
      <c r="CJ1174" s="314"/>
      <c r="CK1174" s="314"/>
      <c r="CL1174" s="314"/>
      <c r="CM1174" s="314"/>
      <c r="CN1174" s="314"/>
      <c r="CO1174" s="314"/>
      <c r="CP1174" s="314"/>
      <c r="CQ1174" s="314"/>
    </row>
    <row r="1175" spans="1:95" ht="12.75" customHeight="1" x14ac:dyDescent="0.25">
      <c r="A1175" s="307"/>
      <c r="B1175" s="68"/>
      <c r="C1175" s="68"/>
      <c r="D1175" s="1246" t="str">
        <f>Translations!$B$399</f>
        <v>Tiers valid from:</v>
      </c>
      <c r="E1175" s="1246"/>
      <c r="F1175" s="1247"/>
      <c r="G1175" s="8"/>
      <c r="H1175" s="199" t="str">
        <f>Translations!$B$400</f>
        <v>until:</v>
      </c>
      <c r="I1175" s="8"/>
      <c r="J1175" s="76"/>
      <c r="K1175" s="76"/>
      <c r="L1175" s="76"/>
      <c r="M1175" s="199" t="str">
        <f>Translations!$B$401</f>
        <v>ID used in the monitoring plan for this fuel stream:</v>
      </c>
      <c r="N1175" s="9"/>
      <c r="O1175" s="160"/>
      <c r="P1175" s="109"/>
      <c r="Q1175" s="312"/>
      <c r="R1175" s="312"/>
      <c r="S1175" s="465"/>
      <c r="T1175" s="314"/>
      <c r="U1175" s="314"/>
      <c r="V1175" s="314"/>
      <c r="W1175" s="314"/>
      <c r="X1175" s="314"/>
      <c r="Y1175" s="314"/>
      <c r="Z1175" s="314"/>
      <c r="AA1175" s="314"/>
      <c r="AB1175" s="314"/>
      <c r="AC1175" s="314"/>
      <c r="AD1175" s="314"/>
      <c r="AE1175" s="314"/>
      <c r="AF1175" s="314"/>
      <c r="AG1175" s="314"/>
      <c r="AH1175" s="314"/>
      <c r="AI1175" s="314"/>
      <c r="AJ1175" s="314"/>
      <c r="AK1175" s="314"/>
      <c r="AL1175" s="314"/>
      <c r="AM1175" s="314"/>
      <c r="AN1175" s="314"/>
      <c r="AO1175" s="314"/>
      <c r="AP1175" s="314"/>
      <c r="AQ1175" s="314"/>
      <c r="AR1175" s="314"/>
      <c r="AS1175" s="314"/>
      <c r="AT1175" s="314"/>
      <c r="AU1175" s="314"/>
      <c r="AV1175" s="314"/>
      <c r="AW1175" s="314"/>
      <c r="AX1175" s="314"/>
      <c r="AY1175" s="314"/>
      <c r="AZ1175" s="314"/>
      <c r="BA1175" s="314"/>
      <c r="BB1175" s="314"/>
      <c r="BC1175" s="314"/>
      <c r="BD1175" s="314"/>
      <c r="BE1175" s="314"/>
      <c r="BF1175" s="314"/>
      <c r="BG1175" s="314"/>
      <c r="BH1175" s="314"/>
      <c r="BI1175" s="314"/>
      <c r="BJ1175" s="314"/>
      <c r="BK1175" s="314"/>
      <c r="BL1175" s="314"/>
      <c r="BM1175" s="314"/>
      <c r="BN1175" s="314"/>
      <c r="BO1175" s="314"/>
      <c r="BP1175" s="314"/>
      <c r="BQ1175" s="314"/>
      <c r="BR1175" s="314"/>
      <c r="BS1175" s="314"/>
      <c r="BT1175" s="314"/>
      <c r="BU1175" s="314"/>
      <c r="BV1175" s="314"/>
      <c r="BW1175" s="314"/>
      <c r="BX1175" s="314"/>
      <c r="BY1175" s="314"/>
      <c r="BZ1175" s="314"/>
      <c r="CA1175" s="314"/>
      <c r="CB1175" s="314"/>
      <c r="CC1175" s="314"/>
      <c r="CD1175" s="314"/>
      <c r="CE1175" s="314"/>
      <c r="CF1175" s="314"/>
      <c r="CG1175" s="314"/>
      <c r="CH1175" s="314"/>
      <c r="CI1175" s="314"/>
      <c r="CJ1175" s="314"/>
      <c r="CK1175" s="314"/>
      <c r="CL1175" s="314"/>
      <c r="CM1175" s="314"/>
      <c r="CN1175" s="314"/>
      <c r="CO1175" s="314"/>
      <c r="CP1175" s="314"/>
      <c r="CQ1175" s="464" t="b">
        <f>CQ1158</f>
        <v>0</v>
      </c>
    </row>
    <row r="1176" spans="1:95" ht="5.15" customHeight="1" x14ac:dyDescent="0.25">
      <c r="A1176" s="462"/>
      <c r="B1176" s="76"/>
      <c r="C1176" s="76"/>
      <c r="D1176" s="76"/>
      <c r="E1176" s="76"/>
      <c r="F1176" s="76"/>
      <c r="G1176" s="76"/>
      <c r="H1176" s="76"/>
      <c r="I1176" s="76"/>
      <c r="J1176" s="76"/>
      <c r="K1176" s="76"/>
      <c r="L1176" s="76"/>
      <c r="M1176" s="76"/>
      <c r="N1176" s="76"/>
      <c r="O1176" s="160"/>
      <c r="P1176" s="109"/>
      <c r="Q1176" s="312"/>
      <c r="R1176" s="312"/>
      <c r="S1176" s="314"/>
      <c r="T1176" s="314"/>
      <c r="U1176" s="314"/>
      <c r="V1176" s="314"/>
      <c r="W1176" s="314"/>
      <c r="X1176" s="314"/>
      <c r="Y1176" s="314"/>
      <c r="Z1176" s="314"/>
      <c r="AA1176" s="314"/>
      <c r="AB1176" s="314"/>
      <c r="AC1176" s="314"/>
      <c r="AD1176" s="314"/>
      <c r="AE1176" s="314"/>
      <c r="AF1176" s="314"/>
      <c r="AG1176" s="314"/>
      <c r="AH1176" s="314"/>
      <c r="AI1176" s="314"/>
      <c r="AJ1176" s="314"/>
      <c r="AK1176" s="314"/>
      <c r="AL1176" s="314"/>
      <c r="AM1176" s="314"/>
      <c r="AN1176" s="314"/>
      <c r="AO1176" s="314"/>
      <c r="AP1176" s="314"/>
      <c r="AQ1176" s="314"/>
      <c r="AR1176" s="314"/>
      <c r="AS1176" s="314"/>
      <c r="AT1176" s="314"/>
      <c r="AU1176" s="314"/>
      <c r="AV1176" s="314"/>
      <c r="AW1176" s="314"/>
      <c r="AX1176" s="314"/>
      <c r="AY1176" s="314"/>
      <c r="AZ1176" s="314"/>
      <c r="BA1176" s="314"/>
      <c r="BB1176" s="314"/>
      <c r="BC1176" s="314"/>
      <c r="BD1176" s="314"/>
      <c r="BE1176" s="314"/>
      <c r="BF1176" s="314"/>
      <c r="BG1176" s="314"/>
      <c r="BH1176" s="314"/>
      <c r="BI1176" s="314"/>
      <c r="BJ1176" s="314"/>
      <c r="BK1176" s="314"/>
      <c r="BL1176" s="314"/>
      <c r="BM1176" s="314"/>
      <c r="BN1176" s="314"/>
      <c r="BO1176" s="314"/>
      <c r="BP1176" s="314"/>
      <c r="BQ1176" s="314"/>
      <c r="BR1176" s="314"/>
      <c r="BS1176" s="314"/>
      <c r="BT1176" s="314"/>
      <c r="BU1176" s="314"/>
      <c r="BV1176" s="314"/>
      <c r="BW1176" s="314"/>
      <c r="BX1176" s="314"/>
      <c r="BY1176" s="314"/>
      <c r="BZ1176" s="314"/>
      <c r="CA1176" s="314"/>
      <c r="CB1176" s="314"/>
      <c r="CC1176" s="314"/>
      <c r="CD1176" s="314"/>
      <c r="CE1176" s="314"/>
      <c r="CF1176" s="314"/>
      <c r="CG1176" s="314"/>
      <c r="CH1176" s="314"/>
      <c r="CI1176" s="314"/>
      <c r="CJ1176" s="314"/>
      <c r="CK1176" s="314"/>
      <c r="CL1176" s="314"/>
      <c r="CM1176" s="314"/>
      <c r="CN1176" s="314"/>
      <c r="CO1176" s="314"/>
      <c r="CP1176" s="314"/>
      <c r="CQ1176" s="314"/>
    </row>
    <row r="1177" spans="1:95" ht="12.75" customHeight="1" x14ac:dyDescent="0.25">
      <c r="A1177" s="462"/>
      <c r="B1177" s="76"/>
      <c r="C1177" s="76"/>
      <c r="D1177" s="115"/>
      <c r="E1177" s="85"/>
      <c r="F1177" s="466" t="str">
        <f>Translations!$B$304</f>
        <v>Comments:</v>
      </c>
      <c r="G1177" s="1250"/>
      <c r="H1177" s="1251"/>
      <c r="I1177" s="1251"/>
      <c r="J1177" s="1251"/>
      <c r="K1177" s="1251"/>
      <c r="L1177" s="1251"/>
      <c r="M1177" s="1251"/>
      <c r="N1177" s="1252"/>
      <c r="O1177" s="160"/>
      <c r="P1177" s="109"/>
      <c r="Q1177" s="312"/>
      <c r="R1177" s="312"/>
      <c r="S1177" s="314"/>
      <c r="T1177" s="314"/>
      <c r="U1177" s="314"/>
      <c r="V1177" s="314"/>
      <c r="W1177" s="314"/>
      <c r="X1177" s="314"/>
      <c r="Y1177" s="314"/>
      <c r="Z1177" s="314"/>
      <c r="AA1177" s="314"/>
      <c r="AB1177" s="314"/>
      <c r="AC1177" s="314"/>
      <c r="AD1177" s="314"/>
      <c r="AE1177" s="314"/>
      <c r="AF1177" s="314"/>
      <c r="AG1177" s="314"/>
      <c r="AH1177" s="314"/>
      <c r="AI1177" s="314"/>
      <c r="AJ1177" s="314"/>
      <c r="AK1177" s="314"/>
      <c r="AL1177" s="314"/>
      <c r="AM1177" s="314"/>
      <c r="AN1177" s="314"/>
      <c r="AO1177" s="314"/>
      <c r="AP1177" s="314"/>
      <c r="AQ1177" s="314"/>
      <c r="AR1177" s="314"/>
      <c r="AS1177" s="314"/>
      <c r="AT1177" s="314"/>
      <c r="AU1177" s="314"/>
      <c r="AV1177" s="314"/>
      <c r="AW1177" s="314"/>
      <c r="AX1177" s="314"/>
      <c r="AY1177" s="314"/>
      <c r="AZ1177" s="314"/>
      <c r="BA1177" s="314"/>
      <c r="BB1177" s="314"/>
      <c r="BC1177" s="314"/>
      <c r="BD1177" s="314"/>
      <c r="BE1177" s="314"/>
      <c r="BF1177" s="314"/>
      <c r="BG1177" s="314"/>
      <c r="BH1177" s="314"/>
      <c r="BI1177" s="314"/>
      <c r="BJ1177" s="314"/>
      <c r="BK1177" s="314"/>
      <c r="BL1177" s="314"/>
      <c r="BM1177" s="314"/>
      <c r="BN1177" s="314"/>
      <c r="BO1177" s="314"/>
      <c r="BP1177" s="314"/>
      <c r="BQ1177" s="314"/>
      <c r="BR1177" s="314"/>
      <c r="BS1177" s="314"/>
      <c r="BT1177" s="314"/>
      <c r="BU1177" s="314"/>
      <c r="BV1177" s="314"/>
      <c r="BW1177" s="314"/>
      <c r="BX1177" s="314"/>
      <c r="BY1177" s="314"/>
      <c r="BZ1177" s="314"/>
      <c r="CA1177" s="314"/>
      <c r="CB1177" s="314"/>
      <c r="CC1177" s="314"/>
      <c r="CD1177" s="314"/>
      <c r="CE1177" s="314"/>
      <c r="CF1177" s="314"/>
      <c r="CG1177" s="314"/>
      <c r="CH1177" s="314"/>
      <c r="CI1177" s="314"/>
      <c r="CJ1177" s="314"/>
      <c r="CK1177" s="314"/>
      <c r="CL1177" s="314"/>
      <c r="CM1177" s="314"/>
      <c r="CN1177" s="314"/>
      <c r="CO1177" s="314"/>
      <c r="CP1177" s="314"/>
      <c r="CQ1177" s="464" t="b">
        <f>CQ1175</f>
        <v>0</v>
      </c>
    </row>
    <row r="1178" spans="1:95" ht="12.75" customHeight="1" thickBot="1" x14ac:dyDescent="0.3">
      <c r="A1178" s="307"/>
      <c r="B1178" s="76"/>
      <c r="C1178" s="308"/>
      <c r="D1178" s="309"/>
      <c r="E1178" s="310"/>
      <c r="F1178" s="308"/>
      <c r="G1178" s="311"/>
      <c r="H1178" s="311"/>
      <c r="I1178" s="311"/>
      <c r="J1178" s="311"/>
      <c r="K1178" s="311"/>
      <c r="L1178" s="311"/>
      <c r="M1178" s="311"/>
      <c r="N1178" s="311"/>
      <c r="O1178" s="160"/>
      <c r="P1178" s="109"/>
      <c r="Q1178" s="312"/>
      <c r="R1178" s="312"/>
      <c r="S1178" s="293"/>
      <c r="T1178" s="293"/>
      <c r="U1178" s="313"/>
      <c r="V1178" s="293"/>
      <c r="W1178" s="293"/>
      <c r="X1178" s="313"/>
      <c r="Y1178" s="293"/>
      <c r="Z1178" s="293"/>
      <c r="AA1178" s="293"/>
      <c r="AB1178" s="293"/>
      <c r="AC1178" s="293"/>
      <c r="AD1178" s="293"/>
      <c r="AE1178" s="293"/>
      <c r="AF1178" s="293"/>
      <c r="AG1178" s="293"/>
      <c r="AH1178" s="293"/>
      <c r="AI1178" s="293"/>
      <c r="AJ1178" s="293"/>
      <c r="AK1178" s="293"/>
      <c r="AL1178" s="293"/>
      <c r="AM1178" s="293"/>
      <c r="AN1178" s="293"/>
      <c r="AO1178" s="293"/>
      <c r="AP1178" s="293"/>
      <c r="AQ1178" s="293"/>
      <c r="AR1178" s="293"/>
      <c r="AS1178" s="293"/>
      <c r="AT1178" s="293"/>
      <c r="AU1178" s="293"/>
      <c r="AV1178" s="293"/>
      <c r="AW1178" s="293"/>
      <c r="AX1178" s="293"/>
      <c r="AY1178" s="293"/>
      <c r="AZ1178" s="293"/>
      <c r="BA1178" s="293"/>
      <c r="BB1178" s="293"/>
      <c r="BC1178" s="293"/>
      <c r="BD1178" s="293"/>
      <c r="BE1178" s="293"/>
      <c r="BF1178" s="293"/>
      <c r="BG1178" s="293"/>
      <c r="BH1178" s="293"/>
      <c r="BI1178" s="293"/>
      <c r="BJ1178" s="293"/>
      <c r="BK1178" s="293"/>
      <c r="BL1178" s="293"/>
      <c r="BM1178" s="314"/>
      <c r="BN1178" s="314"/>
      <c r="BO1178" s="314"/>
      <c r="BP1178" s="314"/>
      <c r="BQ1178" s="314"/>
      <c r="BR1178" s="314"/>
      <c r="BS1178" s="314"/>
      <c r="BT1178" s="314"/>
      <c r="BU1178" s="293"/>
      <c r="BV1178" s="293"/>
      <c r="BW1178" s="293"/>
      <c r="BX1178" s="293"/>
      <c r="BY1178" s="293"/>
      <c r="BZ1178" s="293"/>
      <c r="CA1178" s="293"/>
      <c r="CB1178" s="293"/>
      <c r="CC1178" s="293"/>
      <c r="CD1178" s="293"/>
      <c r="CE1178" s="293"/>
      <c r="CF1178" s="293"/>
      <c r="CG1178" s="293"/>
      <c r="CH1178" s="293"/>
      <c r="CI1178" s="293"/>
      <c r="CJ1178" s="293"/>
      <c r="CK1178" s="293"/>
      <c r="CL1178" s="293"/>
      <c r="CM1178" s="293"/>
      <c r="CN1178" s="293"/>
      <c r="CO1178" s="293"/>
      <c r="CP1178" s="293"/>
      <c r="CQ1178" s="293"/>
    </row>
    <row r="1179" spans="1:95" ht="12.75" customHeight="1" thickBot="1" x14ac:dyDescent="0.3">
      <c r="A1179" s="315"/>
      <c r="B1179" s="76"/>
      <c r="C1179" s="76"/>
      <c r="D1179" s="205"/>
      <c r="E1179" s="316"/>
      <c r="F1179" s="76"/>
      <c r="G1179" s="96"/>
      <c r="H1179" s="96"/>
      <c r="I1179" s="96"/>
      <c r="J1179" s="96"/>
      <c r="K1179" s="76"/>
      <c r="L1179" s="96"/>
      <c r="M1179" s="96"/>
      <c r="N1179" s="96"/>
      <c r="O1179" s="160"/>
      <c r="P1179" s="109"/>
      <c r="Q1179" s="312"/>
      <c r="R1179" s="312"/>
      <c r="S1179" s="287"/>
      <c r="T1179" s="317" t="str">
        <f>IF(ISBLANK(E1180),"",MATCH(E1180,CNTR_SourceStreamNames,0))</f>
        <v/>
      </c>
      <c r="U1179" s="318" t="str">
        <f>IF(ISBLANK(E1180),"",INDEX(B_IdentifyFuelStreams!$D$67:$D$116,MATCH(E1180,CNTR_SourceStreamNames,0)))</f>
        <v/>
      </c>
      <c r="V1179" s="301"/>
      <c r="W1179" s="138"/>
      <c r="X1179" s="138"/>
      <c r="Y1179" s="138"/>
      <c r="Z1179" s="293"/>
      <c r="AA1179" s="293"/>
      <c r="AB1179" s="293"/>
      <c r="AC1179" s="293"/>
      <c r="AD1179" s="293"/>
      <c r="AE1179" s="293"/>
      <c r="AF1179" s="293"/>
      <c r="AG1179" s="293"/>
      <c r="AH1179" s="293"/>
      <c r="AI1179" s="293"/>
      <c r="AJ1179" s="293"/>
      <c r="AK1179" s="312"/>
      <c r="AL1179" s="293"/>
      <c r="AM1179" s="293"/>
      <c r="AN1179" s="293"/>
      <c r="AO1179" s="293"/>
      <c r="AP1179" s="293"/>
      <c r="AQ1179" s="293"/>
      <c r="AR1179" s="293"/>
      <c r="AS1179" s="293"/>
      <c r="AT1179" s="293"/>
      <c r="AU1179" s="293"/>
      <c r="AV1179" s="293"/>
      <c r="AW1179" s="293"/>
      <c r="AX1179" s="293"/>
      <c r="AY1179" s="293"/>
      <c r="AZ1179" s="293"/>
      <c r="BA1179" s="293"/>
      <c r="BB1179" s="293"/>
      <c r="BC1179" s="293"/>
      <c r="BD1179" s="293"/>
      <c r="BE1179" s="293"/>
      <c r="BF1179" s="293"/>
      <c r="BG1179" s="293"/>
      <c r="BH1179" s="293"/>
      <c r="BI1179" s="293"/>
      <c r="BJ1179" s="138"/>
      <c r="BK1179" s="138"/>
      <c r="BL1179" s="138"/>
      <c r="BM1179" s="138"/>
      <c r="BN1179" s="138"/>
      <c r="BO1179" s="138"/>
      <c r="BP1179" s="138"/>
      <c r="BQ1179" s="138"/>
      <c r="BR1179" s="138"/>
      <c r="BS1179" s="138"/>
      <c r="BT1179" s="138"/>
      <c r="BU1179" s="138"/>
      <c r="BV1179" s="138"/>
      <c r="BW1179" s="138"/>
      <c r="BX1179" s="138"/>
      <c r="BY1179" s="138"/>
      <c r="BZ1179" s="138"/>
      <c r="CA1179" s="138"/>
      <c r="CB1179" s="138"/>
      <c r="CC1179" s="138"/>
      <c r="CD1179" s="138"/>
      <c r="CE1179" s="138"/>
      <c r="CF1179" s="138"/>
      <c r="CG1179" s="138"/>
      <c r="CH1179" s="138"/>
      <c r="CI1179" s="138"/>
      <c r="CJ1179" s="138"/>
      <c r="CK1179" s="138"/>
      <c r="CL1179" s="138"/>
      <c r="CM1179" s="138"/>
      <c r="CN1179" s="138"/>
      <c r="CO1179" s="138"/>
      <c r="CP1179" s="138"/>
      <c r="CQ1179" s="319" t="s">
        <v>107</v>
      </c>
    </row>
    <row r="1180" spans="1:95" ht="15" customHeight="1" thickBot="1" x14ac:dyDescent="0.3">
      <c r="A1180" s="320">
        <f>C1180</f>
        <v>41</v>
      </c>
      <c r="B1180" s="68"/>
      <c r="C1180" s="321">
        <f>C1152+1</f>
        <v>41</v>
      </c>
      <c r="D1180" s="68"/>
      <c r="E1180" s="1269"/>
      <c r="F1180" s="1270"/>
      <c r="G1180" s="1270"/>
      <c r="H1180" s="1270"/>
      <c r="I1180" s="1270"/>
      <c r="J1180" s="1271"/>
      <c r="K1180" s="1272" t="str">
        <f>IF(INDEX(B_IdentifyFuelStreams!$K$125:$K$174,MATCH(U1179,B_IdentifyFuelStreams!$D$125:$D$174,0))&gt;0,INDEX(B_IdentifyFuelStreams!$K$125:$K$174,MATCH(U1179,B_IdentifyFuelStreams!$D$125:$D$174,0)),"")</f>
        <v/>
      </c>
      <c r="L1180" s="1273"/>
      <c r="M1180" s="316" t="str">
        <f>Translations!$B$621</f>
        <v>Emissions:</v>
      </c>
      <c r="N1180" s="322" t="str">
        <f>IF(E1181="","",BG1186)</f>
        <v/>
      </c>
      <c r="O1180" s="323" t="str">
        <f>EUconst_tCO2</f>
        <v>tCO2</v>
      </c>
      <c r="P1180" s="324" t="str">
        <f>IF(AND(E1180&lt;&gt;"",COUNTIF(P1181:$P$1649,"PRINT")=0),"PRINT","")</f>
        <v/>
      </c>
      <c r="Q1180" s="325" t="str">
        <f>EUconst_SumCO2</f>
        <v>SUM_CO2</v>
      </c>
      <c r="R1180" s="312"/>
      <c r="S1180" s="287"/>
      <c r="T1180" s="287"/>
      <c r="U1180" s="287"/>
      <c r="V1180" s="301"/>
      <c r="W1180" s="138"/>
      <c r="X1180" s="293"/>
      <c r="Y1180" s="293"/>
      <c r="Z1180" s="293"/>
      <c r="AA1180" s="293"/>
      <c r="AB1180" s="293"/>
      <c r="AC1180" s="293"/>
      <c r="AD1180" s="293"/>
      <c r="AE1180" s="293"/>
      <c r="AF1180" s="293"/>
      <c r="AG1180" s="293"/>
      <c r="AH1180" s="293"/>
      <c r="AI1180" s="326"/>
      <c r="AJ1180" s="326"/>
      <c r="AK1180" s="326"/>
      <c r="AL1180" s="326"/>
      <c r="AM1180" s="326"/>
      <c r="AN1180" s="326"/>
      <c r="AO1180" s="326"/>
      <c r="AP1180" s="326"/>
      <c r="AQ1180" s="326"/>
      <c r="AR1180" s="326"/>
      <c r="AS1180" s="326"/>
      <c r="AT1180" s="326"/>
      <c r="AU1180" s="326"/>
      <c r="AV1180" s="326"/>
      <c r="AW1180" s="326"/>
      <c r="AX1180" s="326"/>
      <c r="AY1180" s="326"/>
      <c r="AZ1180" s="326"/>
      <c r="BA1180" s="326"/>
      <c r="BB1180" s="326"/>
      <c r="BC1180" s="326"/>
      <c r="BD1180" s="326"/>
      <c r="BE1180" s="326"/>
      <c r="BF1180" s="326"/>
      <c r="BG1180" s="326"/>
      <c r="BH1180" s="326"/>
      <c r="BI1180" s="327" t="str">
        <f>IF(E1180="","",E1180)</f>
        <v/>
      </c>
      <c r="BJ1180" s="328" t="str">
        <f>IF(F1186="","",F1186)</f>
        <v/>
      </c>
      <c r="BK1180" s="329">
        <f>AV1186</f>
        <v>0</v>
      </c>
      <c r="BL1180" s="329">
        <f>IF(BK1180="","",BK1180*(1-BP1180))</f>
        <v>0</v>
      </c>
      <c r="BM1180" s="328" t="str">
        <f>AJ1186</f>
        <v/>
      </c>
      <c r="BN1180" s="328" t="str">
        <f>IF(F1197="","",F1197)</f>
        <v/>
      </c>
      <c r="BO1180" s="327" t="str">
        <f>IF(G1197="","",G1197)</f>
        <v/>
      </c>
      <c r="BP1180" s="330">
        <f>AV1197</f>
        <v>0</v>
      </c>
      <c r="BQ1180" s="328" t="str">
        <f>IF(F1189="","",F1189)</f>
        <v/>
      </c>
      <c r="BR1180" s="330">
        <f>AV1189</f>
        <v>0</v>
      </c>
      <c r="BS1180" s="330" t="str">
        <f>AJ1189</f>
        <v/>
      </c>
      <c r="BT1180" s="328" t="str">
        <f>IF(F1188="","",F1188)</f>
        <v/>
      </c>
      <c r="BU1180" s="330">
        <f>IF(F1188=EUconst_NA,"",AV1188)</f>
        <v>0</v>
      </c>
      <c r="BV1180" s="330" t="str">
        <f>AJ1188</f>
        <v/>
      </c>
      <c r="BW1180" s="328" t="str">
        <f>IF(F1190="","",F1190)</f>
        <v/>
      </c>
      <c r="BX1180" s="330">
        <f>AV1190</f>
        <v>0</v>
      </c>
      <c r="BY1180" s="328" t="str">
        <f>IF(F1191="","",F1191)</f>
        <v/>
      </c>
      <c r="BZ1180" s="330">
        <f>AV1191</f>
        <v>0</v>
      </c>
      <c r="CA1180" s="330">
        <f>AV1192</f>
        <v>0</v>
      </c>
      <c r="CB1180" s="330">
        <f>AV1193</f>
        <v>0</v>
      </c>
      <c r="CC1180" s="330">
        <f>AV1194</f>
        <v>0</v>
      </c>
      <c r="CD1180" s="330">
        <f>AV1195</f>
        <v>0</v>
      </c>
      <c r="CE1180" s="329" t="str">
        <f>BG1186</f>
        <v/>
      </c>
      <c r="CF1180" s="329" t="str">
        <f>BG1188</f>
        <v/>
      </c>
      <c r="CG1180" s="329" t="str">
        <f>BG1189</f>
        <v/>
      </c>
      <c r="CH1180" s="329" t="str">
        <f>BG1190</f>
        <v/>
      </c>
      <c r="CI1180" s="329" t="str">
        <f>BG1191</f>
        <v/>
      </c>
      <c r="CJ1180" s="329" t="str">
        <f>BG1192</f>
        <v/>
      </c>
      <c r="CK1180" s="329" t="str">
        <f>BG1193</f>
        <v/>
      </c>
      <c r="CL1180" s="329">
        <f>BG1194</f>
        <v>0</v>
      </c>
      <c r="CM1180" s="329" t="str">
        <f>BG1195</f>
        <v/>
      </c>
      <c r="CN1180" s="329" t="str">
        <f>BG1197</f>
        <v/>
      </c>
      <c r="CO1180" s="329" t="str">
        <f>BG1201</f>
        <v/>
      </c>
      <c r="CP1180" s="329" t="str">
        <f>IF(COUNTIF(AO1189:AO1190,TRUE)=0,"",BH1186)</f>
        <v/>
      </c>
      <c r="CQ1180" s="331" t="b">
        <v>0</v>
      </c>
    </row>
    <row r="1181" spans="1:95" ht="15" customHeight="1" thickBot="1" x14ac:dyDescent="0.3">
      <c r="A1181" s="307"/>
      <c r="B1181" s="68"/>
      <c r="C1181" s="68"/>
      <c r="D1181" s="68"/>
      <c r="E1181" s="1274" t="str">
        <f>IF(ISBLANK(E1180),"",IF(INDEX(B_IdentifyFuelStreams!$E$67:$E$116,MATCH(U1179,B_IdentifyFuelStreams!$D$67:$D$116,0))&gt;0,INDEX(B_IdentifyFuelStreams!$E$67:$E$116,MATCH(U1179,B_IdentifyFuelStreams!$D$67:$D$116,0)),""))</f>
        <v/>
      </c>
      <c r="F1181" s="1275"/>
      <c r="G1181" s="1275"/>
      <c r="H1181" s="1275"/>
      <c r="I1181" s="1275"/>
      <c r="J1181" s="1276"/>
      <c r="K1181" s="1272" t="str">
        <f>IF(INDEX(B_IdentifyFuelStreams!$M$125:$M$174,MATCH(U1179,B_IdentifyFuelStreams!$D$125:$D$174,0))&gt;0,INDEX(B_IdentifyFuelStreams!$M$125:$M$174,MATCH(U1179,B_IdentifyFuelStreams!$D$125:$D$174,0)),"")</f>
        <v/>
      </c>
      <c r="L1181" s="1273"/>
      <c r="M1181" s="332" t="str">
        <f>Translations!$B$622</f>
        <v>zero-rated:</v>
      </c>
      <c r="N1181" s="333" t="str">
        <f>IF(E1181="","",SUM(BG1188,BG1190,BG1192))</f>
        <v/>
      </c>
      <c r="O1181" s="334" t="str">
        <f>EUconst_tCO2</f>
        <v>tCO2</v>
      </c>
      <c r="P1181" s="109"/>
      <c r="Q1181" s="325" t="str">
        <f>EUconst_SumBioCO2</f>
        <v>SUM_bioCO2</v>
      </c>
      <c r="R1181" s="312"/>
      <c r="S1181" s="287"/>
      <c r="T1181" s="287"/>
      <c r="U1181" s="287"/>
      <c r="V1181" s="301"/>
      <c r="W1181" s="138"/>
      <c r="X1181" s="293"/>
      <c r="Y1181" s="317" t="str">
        <f>Translations!$B$143</f>
        <v>Tiers</v>
      </c>
      <c r="Z1181" s="314"/>
      <c r="AA1181" s="314"/>
      <c r="AB1181" s="314"/>
      <c r="AC1181" s="314"/>
      <c r="AD1181" s="314"/>
      <c r="AE1181" s="317" t="s">
        <v>108</v>
      </c>
      <c r="AF1181" s="293"/>
      <c r="AG1181" s="335"/>
      <c r="AH1181" s="314"/>
      <c r="AI1181" s="314"/>
      <c r="AJ1181" s="335"/>
      <c r="AK1181" s="335"/>
      <c r="AL1181" s="326"/>
      <c r="AM1181" s="326"/>
      <c r="AN1181" s="326"/>
      <c r="AO1181" s="326"/>
      <c r="AP1181" s="326"/>
      <c r="AQ1181" s="317" t="s">
        <v>109</v>
      </c>
      <c r="AR1181" s="336"/>
      <c r="AS1181" s="336"/>
      <c r="AT1181" s="314"/>
      <c r="AU1181" s="314"/>
      <c r="AV1181" s="314"/>
      <c r="AW1181" s="314"/>
      <c r="AX1181" s="314"/>
      <c r="AY1181" s="314"/>
      <c r="AZ1181" s="317" t="s">
        <v>110</v>
      </c>
      <c r="BA1181" s="314"/>
      <c r="BB1181" s="314"/>
      <c r="BC1181" s="314"/>
      <c r="BD1181" s="314"/>
      <c r="BE1181" s="314"/>
      <c r="BF1181" s="317" t="s">
        <v>111</v>
      </c>
      <c r="BG1181" s="314"/>
      <c r="BH1181" s="314"/>
      <c r="BI1181" s="317" t="s">
        <v>112</v>
      </c>
      <c r="BJ1181" s="328" t="str">
        <f>Translations!$B$376</f>
        <v>RFA Tier</v>
      </c>
      <c r="BK1181" s="328" t="str">
        <f>Translations!$B$377</f>
        <v>RFA</v>
      </c>
      <c r="BL1181" s="328" t="str">
        <f>Translations!$B$378</f>
        <v>RFA (in scope)</v>
      </c>
      <c r="BM1181" s="328" t="str">
        <f>Translations!$B$379</f>
        <v>RFA Unit</v>
      </c>
      <c r="BN1181" s="328" t="str">
        <f>Translations!$B$380</f>
        <v>SF Tier</v>
      </c>
      <c r="BO1181" s="328" t="str">
        <f>Translations!$B$380</f>
        <v>SF Tier</v>
      </c>
      <c r="BP1181" s="328" t="str">
        <f>Translations!$B$381</f>
        <v>SF</v>
      </c>
      <c r="BQ1181" s="328" t="str">
        <f>Translations!$B$382</f>
        <v>EF Tier</v>
      </c>
      <c r="BR1181" s="328" t="str">
        <f>Translations!$B$383</f>
        <v>EF</v>
      </c>
      <c r="BS1181" s="328" t="str">
        <f>Translations!$B$384</f>
        <v>EF Unit</v>
      </c>
      <c r="BT1181" s="328" t="str">
        <f>Translations!$B$385</f>
        <v>UCF Tier</v>
      </c>
      <c r="BU1181" s="328" t="str">
        <f>Translations!$B$386</f>
        <v>UCF</v>
      </c>
      <c r="BV1181" s="328" t="str">
        <f>Translations!$B$387</f>
        <v>UCF Unit</v>
      </c>
      <c r="BW1181" s="328" t="str">
        <f>Translations!$B$388</f>
        <v>Bio Tier</v>
      </c>
      <c r="BX1181" s="328" t="s">
        <v>113</v>
      </c>
      <c r="BY1181" s="328" t="str">
        <f>Translations!$B$389</f>
        <v>NonSustBio Tier</v>
      </c>
      <c r="BZ1181" s="328" t="s">
        <v>114</v>
      </c>
      <c r="CA1181" s="328" t="s">
        <v>115</v>
      </c>
      <c r="CB1181" s="328" t="s">
        <v>116</v>
      </c>
      <c r="CC1181" s="328" t="s">
        <v>117</v>
      </c>
      <c r="CD1181" s="328" t="s">
        <v>118</v>
      </c>
      <c r="CE1181" s="328" t="s">
        <v>119</v>
      </c>
      <c r="CF1181" s="328" t="s">
        <v>120</v>
      </c>
      <c r="CG1181" s="328" t="str">
        <f>Translations!$B$392</f>
        <v>CO2 non-sust</v>
      </c>
      <c r="CH1181" s="328" t="s">
        <v>121</v>
      </c>
      <c r="CI1181" s="328" t="s">
        <v>122</v>
      </c>
      <c r="CJ1181" s="328" t="s">
        <v>123</v>
      </c>
      <c r="CK1181" s="328" t="s">
        <v>124</v>
      </c>
      <c r="CL1181" s="328" t="s">
        <v>125</v>
      </c>
      <c r="CM1181" s="328" t="str">
        <f>Translations!$B$551</f>
        <v>Energy content (bio), TJ</v>
      </c>
      <c r="CN1181" s="328" t="s">
        <v>126</v>
      </c>
      <c r="CO1181" s="328" t="s">
        <v>127</v>
      </c>
      <c r="CP1181" s="328" t="s">
        <v>128</v>
      </c>
      <c r="CQ1181" s="314"/>
    </row>
    <row r="1182" spans="1:95" ht="5.15" customHeight="1" thickBot="1" x14ac:dyDescent="0.3">
      <c r="A1182" s="307"/>
      <c r="B1182" s="68"/>
      <c r="C1182" s="68"/>
      <c r="D1182" s="68"/>
      <c r="E1182" s="68"/>
      <c r="F1182" s="68"/>
      <c r="G1182" s="68"/>
      <c r="H1182" s="76"/>
      <c r="I1182" s="76"/>
      <c r="J1182" s="76"/>
      <c r="K1182" s="76"/>
      <c r="L1182" s="76"/>
      <c r="M1182" s="76"/>
      <c r="N1182" s="76"/>
      <c r="O1182" s="160"/>
      <c r="P1182" s="109"/>
      <c r="Q1182" s="312"/>
      <c r="R1182" s="312"/>
      <c r="S1182" s="287"/>
      <c r="T1182" s="287"/>
      <c r="U1182" s="287"/>
      <c r="V1182" s="301"/>
      <c r="W1182" s="314"/>
      <c r="X1182" s="314"/>
      <c r="Y1182" s="312"/>
      <c r="Z1182" s="314"/>
      <c r="AA1182" s="314"/>
      <c r="AB1182" s="314"/>
      <c r="AC1182" s="314"/>
      <c r="AD1182" s="314"/>
      <c r="AE1182" s="314"/>
      <c r="AF1182" s="293"/>
      <c r="AG1182" s="314"/>
      <c r="AH1182" s="314"/>
      <c r="AI1182" s="314"/>
      <c r="AJ1182" s="335"/>
      <c r="AK1182" s="335"/>
      <c r="AL1182" s="326"/>
      <c r="AM1182" s="326"/>
      <c r="AN1182" s="326"/>
      <c r="AO1182" s="326"/>
      <c r="AP1182" s="326"/>
      <c r="AQ1182" s="314"/>
      <c r="AR1182" s="314"/>
      <c r="AS1182" s="314"/>
      <c r="AT1182" s="314"/>
      <c r="AU1182" s="314"/>
      <c r="AV1182" s="314"/>
      <c r="AW1182" s="314"/>
      <c r="AX1182" s="314"/>
      <c r="AY1182" s="314"/>
      <c r="AZ1182" s="314"/>
      <c r="BA1182" s="314"/>
      <c r="BB1182" s="314"/>
      <c r="BC1182" s="314"/>
      <c r="BD1182" s="314"/>
      <c r="BE1182" s="314"/>
      <c r="BF1182" s="314"/>
      <c r="BG1182" s="314"/>
      <c r="BH1182" s="314"/>
      <c r="BI1182" s="314"/>
      <c r="BJ1182" s="314"/>
      <c r="BK1182" s="314"/>
      <c r="BL1182" s="314"/>
      <c r="BM1182" s="314"/>
      <c r="BN1182" s="314"/>
      <c r="BO1182" s="314"/>
      <c r="BP1182" s="314"/>
      <c r="BQ1182" s="314"/>
      <c r="BR1182" s="314"/>
      <c r="BS1182" s="314"/>
      <c r="BT1182" s="314"/>
      <c r="BU1182" s="314"/>
      <c r="BV1182" s="314"/>
      <c r="BW1182" s="314"/>
      <c r="BX1182" s="314"/>
      <c r="BY1182" s="314"/>
      <c r="BZ1182" s="314"/>
      <c r="CA1182" s="314"/>
      <c r="CB1182" s="314"/>
      <c r="CC1182" s="314"/>
      <c r="CD1182" s="314"/>
      <c r="CE1182" s="314"/>
      <c r="CF1182" s="314"/>
      <c r="CG1182" s="314"/>
      <c r="CH1182" s="314"/>
      <c r="CI1182" s="314"/>
      <c r="CJ1182" s="314"/>
      <c r="CK1182" s="314"/>
      <c r="CL1182" s="314"/>
      <c r="CM1182" s="314"/>
      <c r="CN1182" s="314"/>
      <c r="CO1182" s="314"/>
      <c r="CP1182" s="314"/>
      <c r="CQ1182" s="314"/>
    </row>
    <row r="1183" spans="1:95" ht="12.75" customHeight="1" thickBot="1" x14ac:dyDescent="0.3">
      <c r="A1183" s="307"/>
      <c r="B1183" s="68"/>
      <c r="C1183" s="68"/>
      <c r="D1183" s="68"/>
      <c r="E1183" s="1253" t="str">
        <f>IF(E1180="","",HYPERLINK("#JUMP_E_Top",EUconst_FurtherGuidancePoint1))</f>
        <v/>
      </c>
      <c r="F1183" s="1253"/>
      <c r="G1183" s="1253"/>
      <c r="H1183" s="1253"/>
      <c r="I1183" s="1253"/>
      <c r="J1183" s="1253"/>
      <c r="K1183" s="1253"/>
      <c r="L1183" s="1253"/>
      <c r="M1183" s="1253"/>
      <c r="N1183" s="76"/>
      <c r="O1183" s="160"/>
      <c r="P1183" s="109"/>
      <c r="Q1183" s="325" t="str">
        <f>EUconst_SumNonSustBioCO2</f>
        <v>SUM_bioNonSustCO2</v>
      </c>
      <c r="R1183" s="337" t="str">
        <f>IF(E1181="","",BG1189)</f>
        <v/>
      </c>
      <c r="S1183" s="287"/>
      <c r="T1183" s="287"/>
      <c r="U1183" s="287"/>
      <c r="V1183" s="314"/>
      <c r="W1183" s="314"/>
      <c r="X1183" s="314"/>
      <c r="Y1183" s="293"/>
      <c r="Z1183" s="314"/>
      <c r="AA1183" s="314"/>
      <c r="AB1183" s="314"/>
      <c r="AC1183" s="314"/>
      <c r="AD1183" s="314"/>
      <c r="AE1183" s="314"/>
      <c r="AF1183" s="293"/>
      <c r="AG1183" s="314"/>
      <c r="AH1183" s="314"/>
      <c r="AI1183" s="314"/>
      <c r="AJ1183" s="335"/>
      <c r="AK1183" s="335"/>
      <c r="AL1183" s="326"/>
      <c r="AM1183" s="326"/>
      <c r="AN1183" s="326"/>
      <c r="AO1183" s="326"/>
      <c r="AP1183" s="326"/>
      <c r="AQ1183" s="314"/>
      <c r="AR1183" s="314"/>
      <c r="AS1183" s="314"/>
      <c r="AT1183" s="314"/>
      <c r="AU1183" s="314"/>
      <c r="AV1183" s="314"/>
      <c r="AW1183" s="314"/>
      <c r="AX1183" s="314"/>
      <c r="AY1183" s="314"/>
      <c r="AZ1183" s="314"/>
      <c r="BA1183" s="314"/>
      <c r="BB1183" s="314"/>
      <c r="BC1183" s="314"/>
      <c r="BD1183" s="314"/>
      <c r="BE1183" s="314"/>
      <c r="BF1183" s="314"/>
      <c r="BG1183" s="314"/>
      <c r="BH1183" s="314"/>
      <c r="BI1183" s="317" t="s">
        <v>129</v>
      </c>
      <c r="BJ1183" s="336"/>
      <c r="BK1183" s="327" t="str">
        <f>IF(G1201="","",G1201)</f>
        <v/>
      </c>
      <c r="BL1183" s="327" t="str">
        <f>IF(I1201="","",I1201)</f>
        <v/>
      </c>
      <c r="BM1183" s="327" t="str">
        <f>IF(K1201="","",K1201)</f>
        <v/>
      </c>
      <c r="BN1183" s="314"/>
      <c r="BO1183" s="314"/>
      <c r="BP1183" s="314"/>
      <c r="BQ1183" s="314"/>
      <c r="BR1183" s="314"/>
      <c r="BS1183" s="314"/>
      <c r="BT1183" s="319"/>
      <c r="BU1183" s="314"/>
      <c r="BV1183" s="314"/>
      <c r="BW1183" s="314"/>
      <c r="BX1183" s="314"/>
      <c r="BY1183" s="314"/>
      <c r="BZ1183" s="314"/>
      <c r="CA1183" s="314"/>
      <c r="CB1183" s="314"/>
      <c r="CC1183" s="314"/>
      <c r="CD1183" s="314"/>
      <c r="CE1183" s="314"/>
      <c r="CF1183" s="314"/>
      <c r="CG1183" s="314"/>
      <c r="CH1183" s="314"/>
      <c r="CI1183" s="314"/>
      <c r="CJ1183" s="314"/>
      <c r="CK1183" s="314"/>
      <c r="CL1183" s="314"/>
      <c r="CM1183" s="314"/>
      <c r="CN1183" s="314"/>
      <c r="CO1183" s="314"/>
      <c r="CP1183" s="314"/>
      <c r="CQ1183" s="314"/>
    </row>
    <row r="1184" spans="1:95" ht="5.15" customHeight="1" thickBot="1" x14ac:dyDescent="0.3">
      <c r="A1184" s="307"/>
      <c r="B1184" s="68"/>
      <c r="C1184" s="68"/>
      <c r="D1184" s="68"/>
      <c r="E1184" s="68"/>
      <c r="F1184" s="68"/>
      <c r="G1184" s="68"/>
      <c r="H1184" s="76"/>
      <c r="I1184" s="76"/>
      <c r="J1184" s="76"/>
      <c r="K1184" s="76"/>
      <c r="L1184" s="76"/>
      <c r="M1184" s="76"/>
      <c r="N1184" s="76"/>
      <c r="O1184" s="160"/>
      <c r="P1184" s="111"/>
      <c r="Q1184" s="287"/>
      <c r="R1184" s="111"/>
      <c r="S1184" s="287"/>
      <c r="T1184" s="287"/>
      <c r="U1184" s="287"/>
      <c r="V1184" s="314"/>
      <c r="W1184" s="314"/>
      <c r="X1184" s="314"/>
      <c r="Y1184" s="312"/>
      <c r="Z1184" s="314"/>
      <c r="AA1184" s="314"/>
      <c r="AB1184" s="314"/>
      <c r="AC1184" s="314"/>
      <c r="AD1184" s="314"/>
      <c r="AE1184" s="314"/>
      <c r="AF1184" s="293"/>
      <c r="AG1184" s="314"/>
      <c r="AH1184" s="314"/>
      <c r="AI1184" s="314"/>
      <c r="AJ1184" s="335"/>
      <c r="AK1184" s="335"/>
      <c r="AL1184" s="326"/>
      <c r="AM1184" s="326"/>
      <c r="AN1184" s="326"/>
      <c r="AO1184" s="326"/>
      <c r="AP1184" s="326"/>
      <c r="AQ1184" s="314"/>
      <c r="AR1184" s="314"/>
      <c r="AS1184" s="314"/>
      <c r="AT1184" s="314"/>
      <c r="AU1184" s="314"/>
      <c r="AV1184" s="314"/>
      <c r="AW1184" s="314"/>
      <c r="AX1184" s="314"/>
      <c r="AY1184" s="314"/>
      <c r="AZ1184" s="314"/>
      <c r="BA1184" s="314"/>
      <c r="BB1184" s="314"/>
      <c r="BC1184" s="314"/>
      <c r="BD1184" s="314"/>
      <c r="BE1184" s="314"/>
      <c r="BF1184" s="314"/>
      <c r="BG1184" s="314"/>
      <c r="BH1184" s="314"/>
      <c r="BI1184" s="314"/>
      <c r="BJ1184" s="314"/>
      <c r="BK1184" s="314"/>
      <c r="BL1184" s="314"/>
      <c r="BM1184" s="314"/>
      <c r="BN1184" s="314"/>
      <c r="BO1184" s="314"/>
      <c r="BP1184" s="314"/>
      <c r="BQ1184" s="314"/>
      <c r="BR1184" s="314"/>
      <c r="BS1184" s="314"/>
      <c r="BT1184" s="314"/>
      <c r="BU1184" s="314"/>
      <c r="BV1184" s="314"/>
      <c r="BW1184" s="314"/>
      <c r="BX1184" s="314"/>
      <c r="BY1184" s="314"/>
      <c r="BZ1184" s="314"/>
      <c r="CA1184" s="314"/>
      <c r="CB1184" s="314"/>
      <c r="CC1184" s="314"/>
      <c r="CD1184" s="314"/>
      <c r="CE1184" s="314"/>
      <c r="CF1184" s="314"/>
      <c r="CG1184" s="314"/>
      <c r="CH1184" s="314"/>
      <c r="CI1184" s="314"/>
      <c r="CJ1184" s="314"/>
      <c r="CK1184" s="314"/>
      <c r="CL1184" s="314"/>
      <c r="CM1184" s="314"/>
      <c r="CN1184" s="314"/>
      <c r="CO1184" s="314"/>
      <c r="CP1184" s="314"/>
      <c r="CQ1184" s="314"/>
    </row>
    <row r="1185" spans="1:95" ht="12.75" customHeight="1" thickBot="1" x14ac:dyDescent="0.3">
      <c r="A1185" s="307"/>
      <c r="B1185" s="68"/>
      <c r="C1185" s="68"/>
      <c r="D1185" s="68"/>
      <c r="E1185" s="68"/>
      <c r="F1185" s="338" t="str">
        <f>Translations!$B$127</f>
        <v>Tier</v>
      </c>
      <c r="G1185" s="1254" t="str">
        <f>Translations!$B$393</f>
        <v>tier description</v>
      </c>
      <c r="H1185" s="1254"/>
      <c r="I1185" s="1255" t="str">
        <f>Translations!$B$394</f>
        <v>Unit</v>
      </c>
      <c r="J1185" s="1255"/>
      <c r="K1185" s="1255" t="str">
        <f>Translations!$B$395</f>
        <v>Value</v>
      </c>
      <c r="L1185" s="1255"/>
      <c r="M1185" s="205" t="str">
        <f>Translations!$B$396</f>
        <v>error</v>
      </c>
      <c r="N1185" s="76"/>
      <c r="O1185" s="160"/>
      <c r="P1185" s="339"/>
      <c r="Q1185" s="325" t="str">
        <f>EUconst_SumEnergyIN</f>
        <v>SUM_EnergyIN</v>
      </c>
      <c r="R1185" s="340" t="str">
        <f>IF(E1181="","",BG1194)</f>
        <v/>
      </c>
      <c r="S1185" s="314"/>
      <c r="T1185" s="314"/>
      <c r="U1185" s="314"/>
      <c r="V1185" s="341" t="s">
        <v>130</v>
      </c>
      <c r="W1185" s="314"/>
      <c r="X1185" s="314"/>
      <c r="Y1185" s="312" t="s">
        <v>131</v>
      </c>
      <c r="Z1185" s="312" t="s">
        <v>132</v>
      </c>
      <c r="AA1185" s="314"/>
      <c r="AB1185" s="314"/>
      <c r="AC1185" s="336" t="s">
        <v>133</v>
      </c>
      <c r="AD1185" s="314"/>
      <c r="AE1185" s="314"/>
      <c r="AF1185" s="314" t="s">
        <v>134</v>
      </c>
      <c r="AG1185" s="314" t="s">
        <v>135</v>
      </c>
      <c r="AH1185" s="312" t="s">
        <v>136</v>
      </c>
      <c r="AI1185" s="335" t="s">
        <v>137</v>
      </c>
      <c r="AJ1185" s="335" t="s">
        <v>138</v>
      </c>
      <c r="AK1185" s="342" t="s">
        <v>139</v>
      </c>
      <c r="AL1185" s="326"/>
      <c r="AM1185" s="326"/>
      <c r="AN1185" s="326"/>
      <c r="AO1185" s="326"/>
      <c r="AP1185" s="326"/>
      <c r="AQ1185" s="314"/>
      <c r="AR1185" s="314" t="s">
        <v>134</v>
      </c>
      <c r="AS1185" s="314" t="s">
        <v>135</v>
      </c>
      <c r="AT1185" s="343" t="s">
        <v>140</v>
      </c>
      <c r="AU1185" s="335" t="s">
        <v>141</v>
      </c>
      <c r="AV1185" s="335" t="s">
        <v>142</v>
      </c>
      <c r="AW1185" s="342" t="s">
        <v>139</v>
      </c>
      <c r="AX1185" s="342" t="s">
        <v>139</v>
      </c>
      <c r="AY1185" s="314"/>
      <c r="AZ1185" s="314"/>
      <c r="BA1185" s="314"/>
      <c r="BB1185" s="314" t="s">
        <v>143</v>
      </c>
      <c r="BC1185" s="314"/>
      <c r="BD1185" s="314"/>
      <c r="BE1185" s="314"/>
      <c r="BF1185" s="314"/>
      <c r="BG1185" s="319" t="s">
        <v>144</v>
      </c>
      <c r="BH1185" s="314" t="s">
        <v>145</v>
      </c>
      <c r="BI1185" s="314"/>
      <c r="BJ1185" s="314"/>
      <c r="BK1185" s="314"/>
      <c r="BL1185" s="314"/>
      <c r="BM1185" s="314"/>
      <c r="BN1185" s="314"/>
      <c r="BO1185" s="314"/>
      <c r="BP1185" s="314"/>
      <c r="BQ1185" s="314"/>
      <c r="BR1185" s="314"/>
      <c r="BS1185" s="314"/>
      <c r="BT1185" s="314"/>
      <c r="BU1185" s="314"/>
      <c r="BV1185" s="314"/>
      <c r="BW1185" s="314"/>
      <c r="BX1185" s="314"/>
      <c r="BY1185" s="314"/>
      <c r="BZ1185" s="314"/>
      <c r="CA1185" s="314"/>
      <c r="CB1185" s="314"/>
      <c r="CC1185" s="314"/>
      <c r="CD1185" s="314"/>
      <c r="CE1185" s="314"/>
      <c r="CF1185" s="314"/>
      <c r="CG1185" s="314"/>
      <c r="CH1185" s="314"/>
      <c r="CI1185" s="314"/>
      <c r="CJ1185" s="314"/>
      <c r="CK1185" s="314"/>
      <c r="CL1185" s="314"/>
      <c r="CM1185" s="314"/>
      <c r="CN1185" s="314"/>
      <c r="CO1185" s="314"/>
      <c r="CP1185" s="314"/>
      <c r="CQ1185" s="319" t="s">
        <v>107</v>
      </c>
    </row>
    <row r="1186" spans="1:95" ht="12.75" customHeight="1" thickBot="1" x14ac:dyDescent="0.3">
      <c r="A1186" s="307"/>
      <c r="B1186" s="68"/>
      <c r="C1186" s="199" t="s">
        <v>12</v>
      </c>
      <c r="D1186" s="344" t="str">
        <f>Translations!$B$356</f>
        <v>RFA:</v>
      </c>
      <c r="E1186" s="345"/>
      <c r="F1186" s="6"/>
      <c r="G1186" s="1256" t="str">
        <f>IF(OR(ISBLANK(F1186),F1186=EUconst_NoTier),"",IF(Z1186=0,EUconst_NA,IF(ISERROR(Z1186),"",Z1186)))</f>
        <v/>
      </c>
      <c r="H1186" s="1257"/>
      <c r="I1186" s="346" t="str">
        <f>IF(J1186&lt;&gt;"","",AI1186)</f>
        <v/>
      </c>
      <c r="J1186" s="7"/>
      <c r="K1186" s="1258"/>
      <c r="L1186" s="1259"/>
      <c r="M1186" s="347" t="str">
        <f>IF(AND(E1181&lt;&gt;"",OR(F1186="",COUNT(K1186)=0),Y1186&lt;&gt;EUconst_NA),EUconst_ERR_Incomplete,"")</f>
        <v/>
      </c>
      <c r="N1186" s="76"/>
      <c r="O1186" s="160"/>
      <c r="P1186" s="348"/>
      <c r="Q1186" s="325" t="str">
        <f>EUconst_SumBioEnergyIN</f>
        <v>SUM_BioEnergyIN</v>
      </c>
      <c r="R1186" s="340" t="str">
        <f>IF(E1181="","",BG1195)</f>
        <v/>
      </c>
      <c r="S1186" s="314"/>
      <c r="T1186" s="349" t="str">
        <f>EUconst_CNTR_ActivityData&amp;E1181</f>
        <v>ActivityData_</v>
      </c>
      <c r="U1186" s="312"/>
      <c r="V1186" s="349" t="str">
        <f>IF(E1180="","",INDEX(B_IdentifyFuelStreams!$I$67:$I$116,MATCH(U1179,B_IdentifyFuelStreams!$D$67:$D$116,0)))</f>
        <v/>
      </c>
      <c r="W1186" s="335" t="s">
        <v>146</v>
      </c>
      <c r="X1186" s="312"/>
      <c r="Y1186" s="350" t="str">
        <f>IF(E1181="","",INDEX(EUwideConstants!$P$164:$P$200,MATCH(T1186,EUwideConstants!$S$164:$S$200,0)))</f>
        <v/>
      </c>
      <c r="Z1186" s="351" t="str">
        <f>IF(ISBLANK(F1186),"",IF(F1186=EUconst_NA,"",INDEX(EUwideConstants!$H:$O,MATCH(T1186,EUwideConstants!$S:$S,0),MATCH(F1186,CNTR_TierList,0))))</f>
        <v/>
      </c>
      <c r="AA1186" s="352" t="s">
        <v>136</v>
      </c>
      <c r="AB1186" s="335"/>
      <c r="AC1186" s="331" t="b">
        <f>E1180&lt;&gt;""</f>
        <v>0</v>
      </c>
      <c r="AD1186" s="314"/>
      <c r="AE1186" s="353" t="str">
        <f>EUconst_CNTR_ActivityData&amp;EUconst_Unit</f>
        <v>ActivityData_Unit</v>
      </c>
      <c r="AF1186" s="354" t="str">
        <f>IF(AC1186=TRUE, IF(COUNTIF(MSPara_SourceStreamCategory,V1186)=0,"",INDEX(MSPara_CalcFactorsMatrix,MATCH(V1186,MSPara_SourceStreamCategory,0),MATCH(AE1186&amp;"_"&amp;2,MSPara_CalcFactors,0))),"")</f>
        <v/>
      </c>
      <c r="AG1186" s="355" t="str">
        <f>IF(AC1186=TRUE, IF(COUNTIF(MSPara_SourceStreamCategory,V1186)=0,"",INDEX(MSPara_CalcFactorsMatrix,MATCH(V1186,MSPara_SourceStreamCategory,0),MATCH(AE1186&amp;"_"&amp;1,MSPara_CalcFactors,0))),"")</f>
        <v/>
      </c>
      <c r="AH1186" s="331" t="str">
        <f>IF(OR(AF1186="",AF1186=EUconst_NA),IF(OR(AG1186=EUconst_NA,AG1186=""),"",AG1186),AF1186)</f>
        <v/>
      </c>
      <c r="AI1186" s="350" t="str">
        <f>IF(AC1186=TRUE,IF(AH1186="",EUconst_t,AH1186),"")</f>
        <v/>
      </c>
      <c r="AJ1186" s="356" t="str">
        <f>IF(J1186="",AI1186,J1186)</f>
        <v/>
      </c>
      <c r="AK1186" s="357" t="b">
        <f>AND(E1180&lt;&gt;"",J1186&lt;&gt;"")</f>
        <v>0</v>
      </c>
      <c r="AL1186" s="326"/>
      <c r="AM1186" s="358" t="s">
        <v>147</v>
      </c>
      <c r="AN1186" s="359" t="str">
        <f>AJ1186</f>
        <v/>
      </c>
      <c r="AO1186" s="326"/>
      <c r="AP1186" s="326"/>
      <c r="AQ1186" s="349" t="str">
        <f>EUconst_CNTR_ActivityData&amp;EUconst_Value</f>
        <v>ActivityData_Value</v>
      </c>
      <c r="AR1186" s="336"/>
      <c r="AS1186" s="336"/>
      <c r="AT1186" s="331" t="b">
        <f>AND(AND(AH1186&lt;&gt;"",AJ1186&lt;&gt;""),AJ1186=AH1186)</f>
        <v>0</v>
      </c>
      <c r="AU1186" s="314"/>
      <c r="AV1186" s="331">
        <f>IF(Y1186=EUconst_NA,0,IF(COUNT(K1186:K1186)=0,0,IF(K1186="",#REF!,K1186)))</f>
        <v>0</v>
      </c>
      <c r="AW1186" s="360" t="b">
        <f>AND(AC1186=TRUE,OR(K1186&lt;&gt;"",AU1186=""))</f>
        <v>0</v>
      </c>
      <c r="AX1186" s="360" t="b">
        <f>AND(AC1186=TRUE,NOT(AW1186))</f>
        <v>0</v>
      </c>
      <c r="AY1186" s="314"/>
      <c r="AZ1186" s="314" t="s">
        <v>148</v>
      </c>
      <c r="BA1186" s="314" t="s">
        <v>149</v>
      </c>
      <c r="BB1186" s="360"/>
      <c r="BC1186" s="314" t="s">
        <v>150</v>
      </c>
      <c r="BD1186" s="314"/>
      <c r="BE1186" s="314"/>
      <c r="BF1186" s="361" t="s">
        <v>119</v>
      </c>
      <c r="BG1186" s="362" t="str">
        <f>IF(COUNTIF(AO1189:AO1190,TRUE)=0,"",BH1186*AV1197)</f>
        <v/>
      </c>
      <c r="BH1186" s="362" t="str">
        <f>IF(COUNTIF(AO1189:AO1190,TRUE)=0,"",AV1186*IF(AO1189,1,AV1188*AN1190)*AV1189-BH1188-BH1190-BH1192)</f>
        <v/>
      </c>
      <c r="BI1186" s="314"/>
      <c r="BJ1186" s="314"/>
      <c r="BK1186" s="314"/>
      <c r="BL1186" s="314"/>
      <c r="BM1186" s="314"/>
      <c r="BN1186" s="314"/>
      <c r="BO1186" s="314"/>
      <c r="BP1186" s="314"/>
      <c r="BQ1186" s="314"/>
      <c r="BR1186" s="314"/>
      <c r="BS1186" s="314"/>
      <c r="BT1186" s="314"/>
      <c r="BU1186" s="314"/>
      <c r="BV1186" s="314"/>
      <c r="BW1186" s="314"/>
      <c r="BX1186" s="314"/>
      <c r="BY1186" s="314"/>
      <c r="BZ1186" s="314"/>
      <c r="CA1186" s="314"/>
      <c r="CB1186" s="314"/>
      <c r="CC1186" s="314"/>
      <c r="CD1186" s="314"/>
      <c r="CE1186" s="314"/>
      <c r="CF1186" s="314"/>
      <c r="CG1186" s="314"/>
      <c r="CH1186" s="314"/>
      <c r="CI1186" s="314"/>
      <c r="CJ1186" s="314"/>
      <c r="CK1186" s="314"/>
      <c r="CL1186" s="314"/>
      <c r="CM1186" s="314"/>
      <c r="CN1186" s="314"/>
      <c r="CO1186" s="314"/>
      <c r="CP1186" s="314"/>
      <c r="CQ1186" s="360" t="b">
        <v>0</v>
      </c>
    </row>
    <row r="1187" spans="1:95" ht="5.15" customHeight="1" thickBot="1" x14ac:dyDescent="0.3">
      <c r="A1187" s="307"/>
      <c r="B1187" s="68"/>
      <c r="C1187" s="199"/>
      <c r="D1187" s="202"/>
      <c r="E1187" s="76"/>
      <c r="F1187" s="76"/>
      <c r="G1187" s="76"/>
      <c r="H1187" s="76" t="str">
        <f>Translations!$B$397</f>
        <v xml:space="preserve"> </v>
      </c>
      <c r="I1187" s="162"/>
      <c r="J1187" s="162"/>
      <c r="K1187" s="76"/>
      <c r="L1187" s="76"/>
      <c r="M1187" s="363"/>
      <c r="N1187" s="76"/>
      <c r="O1187" s="160"/>
      <c r="P1187" s="109"/>
      <c r="Q1187" s="312"/>
      <c r="R1187" s="312"/>
      <c r="S1187" s="314"/>
      <c r="T1187" s="62"/>
      <c r="U1187" s="312"/>
      <c r="V1187" s="314"/>
      <c r="W1187" s="314"/>
      <c r="X1187" s="312"/>
      <c r="Y1187" s="319"/>
      <c r="Z1187" s="314"/>
      <c r="AA1187" s="314"/>
      <c r="AB1187" s="314"/>
      <c r="AC1187" s="314"/>
      <c r="AD1187" s="314"/>
      <c r="AE1187" s="314"/>
      <c r="AF1187" s="314"/>
      <c r="AG1187" s="314"/>
      <c r="AH1187" s="314"/>
      <c r="AI1187" s="314"/>
      <c r="AJ1187" s="314"/>
      <c r="AK1187" s="314"/>
      <c r="AL1187" s="326"/>
      <c r="AM1187" s="326"/>
      <c r="AN1187" s="326"/>
      <c r="AO1187" s="326"/>
      <c r="AP1187" s="326"/>
      <c r="AQ1187" s="314"/>
      <c r="AR1187" s="314"/>
      <c r="AS1187" s="314"/>
      <c r="AT1187" s="314"/>
      <c r="AU1187" s="314"/>
      <c r="AV1187" s="314"/>
      <c r="AW1187" s="314"/>
      <c r="AX1187" s="314"/>
      <c r="AY1187" s="314"/>
      <c r="AZ1187" s="314"/>
      <c r="BA1187" s="314"/>
      <c r="BB1187" s="314"/>
      <c r="BC1187" s="314"/>
      <c r="BD1187" s="314"/>
      <c r="BE1187" s="314"/>
      <c r="BF1187" s="314"/>
      <c r="BG1187" s="364"/>
      <c r="BH1187" s="364"/>
      <c r="BI1187" s="314"/>
      <c r="BJ1187" s="314"/>
      <c r="BK1187" s="314"/>
      <c r="BL1187" s="314"/>
      <c r="BM1187" s="314"/>
      <c r="BN1187" s="314"/>
      <c r="BO1187" s="314"/>
      <c r="BP1187" s="314"/>
      <c r="BQ1187" s="314"/>
      <c r="BR1187" s="314"/>
      <c r="BS1187" s="314"/>
      <c r="BT1187" s="314"/>
      <c r="BU1187" s="314"/>
      <c r="BV1187" s="314"/>
      <c r="BW1187" s="314"/>
      <c r="BX1187" s="314"/>
      <c r="BY1187" s="314"/>
      <c r="BZ1187" s="314"/>
      <c r="CA1187" s="314"/>
      <c r="CB1187" s="314"/>
      <c r="CC1187" s="314"/>
      <c r="CD1187" s="314"/>
      <c r="CE1187" s="314"/>
      <c r="CF1187" s="314"/>
      <c r="CG1187" s="314"/>
      <c r="CH1187" s="314"/>
      <c r="CI1187" s="314"/>
      <c r="CJ1187" s="314"/>
      <c r="CK1187" s="314"/>
      <c r="CL1187" s="314"/>
      <c r="CM1187" s="314"/>
      <c r="CN1187" s="314"/>
      <c r="CO1187" s="314"/>
      <c r="CP1187" s="314"/>
      <c r="CQ1187" s="319"/>
    </row>
    <row r="1188" spans="1:95" ht="12.75" customHeight="1" x14ac:dyDescent="0.25">
      <c r="A1188" s="307"/>
      <c r="B1188" s="68"/>
      <c r="C1188" s="199" t="s">
        <v>13</v>
      </c>
      <c r="D1188" s="344" t="str">
        <f>Translations!$B$360</f>
        <v>UCF:</v>
      </c>
      <c r="E1188" s="345"/>
      <c r="F1188" s="10"/>
      <c r="G1188" s="1256" t="str">
        <f>IF(OR(ISBLANK(F1188),F1188=EUconst_NoTier),"",IF(Z1188=0,EUconst_NotApplicable,IF(ISERROR(Z1188),"",Z1188)))</f>
        <v/>
      </c>
      <c r="H1188" s="1257"/>
      <c r="I1188" s="365" t="str">
        <f>IF(J1188&lt;&gt;"","",AI1188)</f>
        <v/>
      </c>
      <c r="J1188" s="11"/>
      <c r="K1188" s="366" t="str">
        <f>IF(L1188="",AU1188,"")</f>
        <v/>
      </c>
      <c r="L1188" s="23"/>
      <c r="M1188" s="347" t="str">
        <f>IF(AND(E1181&lt;&gt;"",OR(F1188="",COUNT(K1188:L1188)=0),Y1188&lt;&gt;EUconst_NA),EUconst_ERR_Incomplete,IF(COUNTIF(BB1188:BD1188,TRUE)&gt;0,EUconst_ERR_Inconsistent,""))</f>
        <v/>
      </c>
      <c r="N1188" s="367"/>
      <c r="O1188" s="160"/>
      <c r="P1188" s="109"/>
      <c r="Q1188" s="312"/>
      <c r="R1188" s="312"/>
      <c r="S1188" s="314"/>
      <c r="T1188" s="368" t="str">
        <f>EUconst_CNTR_UCF&amp;E1181</f>
        <v>UCF_</v>
      </c>
      <c r="U1188" s="312"/>
      <c r="V1188" s="369" t="str">
        <f>V1189</f>
        <v/>
      </c>
      <c r="W1188" s="314"/>
      <c r="X1188" s="312"/>
      <c r="Y1188" s="370" t="str">
        <f>IF(E1181="","",IF(OR(F1188=EUconst_NA,W1188=TRUE),EUconst_NA,INDEX(EUwideConstants!$P$164:$P$200,MATCH(T1188,EUwideConstants!$S$164:$S$200,0))))</f>
        <v/>
      </c>
      <c r="Z1188" s="371" t="str">
        <f>IF(ISBLANK(F1188),"",IF(F1188=EUconst_NA,"",INDEX(EUwideConstants!$H:$O,MATCH(T1188,EUwideConstants!$S:$S,0),MATCH(F1188,CNTR_TierList,0))))</f>
        <v/>
      </c>
      <c r="AA1188" s="372" t="str">
        <f>IF(COUNTIF(EUconst_DefaultValues,Z1188)&gt;0,MATCH(Z1188,EUconst_DefaultValues,0),"")</f>
        <v/>
      </c>
      <c r="AB1188" s="314"/>
      <c r="AC1188" s="373" t="b">
        <f>AND(AC1186,Y1188&lt;&gt;EUconst_NA)</f>
        <v>0</v>
      </c>
      <c r="AD1188" s="314"/>
      <c r="AE1188" s="353" t="str">
        <f>EUconst_CNTR_UCF&amp;EUconst_Unit</f>
        <v>UCF_Unit</v>
      </c>
      <c r="AF1188" s="374" t="str">
        <f>IF(AC1188=TRUE, IF(COUNTIF(MSPara_SourceStreamCategory,V1188)=0,"",INDEX(MSPara_CalcFactorsMatrix,MATCH(V1188,MSPara_SourceStreamCategory,0),MATCH(AE1188&amp;"_"&amp;2,MSPara_CalcFactors,0))),"")</f>
        <v/>
      </c>
      <c r="AG1188" s="375" t="str">
        <f>IF(AC1188=TRUE, IF(COUNTIF(MSPara_SourceStreamCategory,V1188)=0,"",INDEX(MSPara_CalcFactorsMatrix,MATCH(V1188,MSPara_SourceStreamCategory,0),MATCH(AE1188&amp;"_"&amp;1,MSPara_CalcFactors,0))),"")</f>
        <v/>
      </c>
      <c r="AH1188" s="373" t="str">
        <f>IF(AA1188="","",INDEX(AF1188:AG1188,3-AA1188))</f>
        <v/>
      </c>
      <c r="AI1188" s="373" t="str">
        <f>IF(AC1188=TRUE,IF(OR(AH1188="",AH1188=EUconst_NA),EUconst_GJ&amp;"/"&amp;AJ1186,AH1188),"")</f>
        <v/>
      </c>
      <c r="AJ1188" s="373" t="str">
        <f>IF(J1188="",AI1188,J1188)</f>
        <v/>
      </c>
      <c r="AK1188" s="369" t="b">
        <f>AND(E1180&lt;&gt;"",J1188&lt;&gt;"")</f>
        <v>0</v>
      </c>
      <c r="AL1188" s="326"/>
      <c r="AM1188" s="358" t="s">
        <v>151</v>
      </c>
      <c r="AN1188" s="359" t="str">
        <f>IF(AJ1188="",EUconst_NA,IF(AN1186=EUconst_TJ,EUconst_TJ,INDEX(EUwideConstants!$C$135:$G$139,MATCH(AN1186,RFAUnits,0),MATCH(AJ1188,UCFUnits,0))))</f>
        <v>n.a.</v>
      </c>
      <c r="AO1188" s="326"/>
      <c r="AP1188" s="326"/>
      <c r="AQ1188" s="376" t="str">
        <f>EUconst_CNTR_UCF&amp;EUconst_Value</f>
        <v>UCF_Value</v>
      </c>
      <c r="AR1188" s="377" t="str">
        <f>IF(AC1188=TRUE,IF(COUNTIF(MSPara_SourceStreamCategory,V1188)=0,"",INDEX(MSPara_CalcFactorsMatrix,MATCH(V1188,MSPara_SourceStreamCategory,0),MATCH(AQ1188&amp;"_"&amp;2,MSPara_CalcFactors,0))),"")</f>
        <v/>
      </c>
      <c r="AS1188" s="378" t="str">
        <f>IF(AC1188=TRUE,IF(COUNTIF(MSPara_SourceStreamCategory,V1188)=0,"",INDEX(MSPara_CalcFactorsMatrix,MATCH(V1188,MSPara_SourceStreamCategory,0),MATCH(AQ1188&amp;"_"&amp;1,MSPara_CalcFactors,0))),"")</f>
        <v/>
      </c>
      <c r="AT1188" s="379" t="b">
        <f>AND(AND(AH1188&lt;&gt;"",AJ1188&lt;&gt;""),AJ1188=AH1188)</f>
        <v>0</v>
      </c>
      <c r="AU1188" s="380" t="str">
        <f>IF(AND(AA1188&lt;&gt;"",AT1188=TRUE),IF(OR(INDEX(AR1188:AS1188,3-AA1188)=EUconst_NA,INDEX(AR1188:AS1188,3-AA1188)=0),"",INDEX(AR1188:AS1188,3-AA1188)),"")</f>
        <v/>
      </c>
      <c r="AV1188" s="373">
        <f>IF(AC1188=TRUE,IF(COUNT(K1188:L1188)=0,0,IF(L1188="",K1188,L1188)),0)</f>
        <v>0</v>
      </c>
      <c r="AW1188" s="369" t="b">
        <f t="shared" ref="AW1188:AW1195" si="360">AND(AC1188=TRUE,OR(AND(F1188&lt;&gt;"",NOT(ISNUMBER(AA1188))),L1188&lt;&gt;"",F1188="",AU1188=""))</f>
        <v>0</v>
      </c>
      <c r="AX1188" s="381" t="b">
        <f t="shared" ref="AX1188:AX1195" si="361">AND(AC1188=TRUE,NOT(AW1188))</f>
        <v>0</v>
      </c>
      <c r="AY1188" s="314"/>
      <c r="AZ1188" s="382" t="b">
        <f t="shared" ref="AZ1188:AZ1195" si="362">AND(ISNUMBER(AA1188),AU1188="")</f>
        <v>0</v>
      </c>
      <c r="BA1188" s="383" t="b">
        <f t="shared" ref="BA1188:BA1195" si="363">AND(ISNUMBER(AA1188),AU1188&lt;&gt;AV1188)</f>
        <v>0</v>
      </c>
      <c r="BB1188" s="369" t="b">
        <f>AND(E1181&lt;&gt;"",F1188&lt;&gt;EUconst_NA,AN1188=EUconst_NA)</f>
        <v>0</v>
      </c>
      <c r="BC1188" s="369" t="b">
        <f t="shared" ref="BC1188:BC1195" si="364">AND(L1188&lt;&gt;"",Y1188=EUconst_NA)</f>
        <v>0</v>
      </c>
      <c r="BD1188" s="314"/>
      <c r="BE1188" s="314"/>
      <c r="BF1188" s="382" t="s">
        <v>152</v>
      </c>
      <c r="BG1188" s="384" t="str">
        <f>IF(COUNTIF(AO1189:AO1190,TRUE)=0,"",BH1188*AV1197)</f>
        <v/>
      </c>
      <c r="BH1188" s="384" t="str">
        <f>IF(COUNTIF(AO1189:AO1190,TRUE)=0,"",AV1186*IF(AO1189,1,AV1188*AN1190)*AV1189*AV1190)</f>
        <v/>
      </c>
      <c r="BI1188" s="314"/>
      <c r="BJ1188" s="314"/>
      <c r="BK1188" s="314"/>
      <c r="BL1188" s="314"/>
      <c r="BM1188" s="314"/>
      <c r="BN1188" s="314"/>
      <c r="BO1188" s="314"/>
      <c r="BP1188" s="314"/>
      <c r="BQ1188" s="314"/>
      <c r="BR1188" s="314"/>
      <c r="BS1188" s="314"/>
      <c r="BT1188" s="314"/>
      <c r="BU1188" s="314"/>
      <c r="BV1188" s="314"/>
      <c r="BW1188" s="314"/>
      <c r="BX1188" s="314"/>
      <c r="BY1188" s="314"/>
      <c r="BZ1188" s="314"/>
      <c r="CA1188" s="314"/>
      <c r="CB1188" s="314"/>
      <c r="CC1188" s="314"/>
      <c r="CD1188" s="314"/>
      <c r="CE1188" s="314"/>
      <c r="CF1188" s="314"/>
      <c r="CG1188" s="314"/>
      <c r="CH1188" s="314"/>
      <c r="CI1188" s="314"/>
      <c r="CJ1188" s="314"/>
      <c r="CK1188" s="314"/>
      <c r="CL1188" s="314"/>
      <c r="CM1188" s="314"/>
      <c r="CN1188" s="314"/>
      <c r="CO1188" s="314"/>
      <c r="CP1188" s="314"/>
      <c r="CQ1188" s="369" t="b">
        <f>OR(CQ1186,Y1188=EUconst_NA)</f>
        <v>0</v>
      </c>
    </row>
    <row r="1189" spans="1:95" ht="12.75" customHeight="1" thickBot="1" x14ac:dyDescent="0.3">
      <c r="A1189" s="307"/>
      <c r="B1189" s="68"/>
      <c r="C1189" s="199" t="s">
        <v>14</v>
      </c>
      <c r="D1189" s="344" t="str">
        <f>Translations!$B$358</f>
        <v>(prelim) EF:</v>
      </c>
      <c r="E1189" s="345"/>
      <c r="F1189" s="59"/>
      <c r="G1189" s="1256" t="str">
        <f>IF(OR(ISBLANK(F1189),F1189=EUconst_NoTier),"",IF(Z1189=0,EUconst_NotApplicable,IF(ISERROR(Z1189),"",Z1189)))</f>
        <v/>
      </c>
      <c r="H1189" s="1260"/>
      <c r="I1189" s="385" t="str">
        <f>IF(J1189&lt;&gt;"","",AI1189)</f>
        <v/>
      </c>
      <c r="J1189" s="22"/>
      <c r="K1189" s="386" t="str">
        <f>IF(L1189="",AU1189,"")</f>
        <v/>
      </c>
      <c r="L1189" s="58"/>
      <c r="M1189" s="347" t="str">
        <f>IF(AND(E1181&lt;&gt;"",OR(F1189="",COUNT(K1189:L1189)=0),Y1189&lt;&gt;EUconst_NA),EUconst_ERR_Incomplete,IF(COUNTIF(BB1189:BD1189,TRUE)&gt;0,EUconst_ERR_Inconsistent,""))</f>
        <v/>
      </c>
      <c r="N1189" s="387"/>
      <c r="O1189" s="160"/>
      <c r="P1189" s="109"/>
      <c r="Q1189" s="312"/>
      <c r="R1189" s="312"/>
      <c r="S1189" s="314"/>
      <c r="T1189" s="388" t="str">
        <f>EUconst_CNTR_EF&amp;E1181</f>
        <v>EF_</v>
      </c>
      <c r="U1189" s="312"/>
      <c r="V1189" s="389" t="str">
        <f>V1186</f>
        <v/>
      </c>
      <c r="W1189" s="314"/>
      <c r="X1189" s="312"/>
      <c r="Y1189" s="390" t="str">
        <f>IF(E1181="","",IF(OR(F1189=EUconst_NA,W1189=TRUE),EUconst_NA,INDEX(EUwideConstants!$P$164:$P$200,MATCH(T1189,EUwideConstants!$S$164:$S$200,0))))</f>
        <v/>
      </c>
      <c r="Z1189" s="391" t="str">
        <f>IF(ISBLANK(F1189),"",IF(F1189=EUconst_NA,"",INDEX(EUwideConstants!$H:$O,MATCH(T1189,EUwideConstants!$S:$S,0),MATCH(F1189,CNTR_TierList,0))))</f>
        <v/>
      </c>
      <c r="AA1189" s="392" t="str">
        <f>IF(COUNTIF(EUconst_DefaultValues,Z1189)&gt;0,MATCH(Z1189,EUconst_DefaultValues,0),"")</f>
        <v/>
      </c>
      <c r="AB1189" s="314"/>
      <c r="AC1189" s="393" t="b">
        <f>AND(AC1186,Y1189&lt;&gt;EUconst_NA)</f>
        <v>0</v>
      </c>
      <c r="AD1189" s="314"/>
      <c r="AE1189" s="394" t="str">
        <f>EUconst_CNTR_EF&amp;EUconst_Unit</f>
        <v>EF_Unit</v>
      </c>
      <c r="AF1189" s="395" t="str">
        <f>IF(AC1189=TRUE, IF(COUNTIF(MSPara_SourceStreamCategory,V1189)=0,"",INDEX(MSPara_CalcFactorsMatrix,MATCH(V1189,MSPara_SourceStreamCategory,0),MATCH(AE1189&amp;"_"&amp;2,MSPara_CalcFactors,0))),"")</f>
        <v/>
      </c>
      <c r="AG1189" s="396" t="str">
        <f>IF(AC1189=TRUE, IF(COUNTIF(MSPara_SourceStreamCategory,V1189)=0,"",INDEX(MSPara_CalcFactorsMatrix,MATCH(V1189,MSPara_SourceStreamCategory,0),MATCH(AE1189&amp;"_"&amp;1,MSPara_CalcFactors,0))),"")</f>
        <v/>
      </c>
      <c r="AH1189" s="397" t="str">
        <f>IF(AA1189="","",INDEX(AF1189:AG1189,3-AA1189))</f>
        <v/>
      </c>
      <c r="AI1189" s="397" t="str">
        <f>IF(AC1189=TRUE,IF(OR(AH1189="",AH1189=EUconst_NA),EUconst_tCO2&amp;"/"&amp;IF(AN1188=EUconst_NA,AN1186,IF(AN1188=EUconst_GJ,EUconst_TJ,AN1188)),AH1189),"")</f>
        <v/>
      </c>
      <c r="AJ1189" s="397" t="str">
        <f>IF(J1189="",AI1189,J1189)</f>
        <v/>
      </c>
      <c r="AK1189" s="398" t="b">
        <f>AND(E1181&lt;&gt;"",J1189&lt;&gt;"")</f>
        <v>0</v>
      </c>
      <c r="AL1189" s="326"/>
      <c r="AM1189" s="358" t="s">
        <v>153</v>
      </c>
      <c r="AN1189" s="359" t="str">
        <f>IF(COUNTIF(RFAUnits,AN1186)=0,EUconst_NA,INDEX(EUwideConstants!$C$150:$H$154,MATCH(AJ1189,EFUnits,0),MATCH(AN1186,EUwideConstants!$C$149:$H$149,0)))</f>
        <v>n.a.</v>
      </c>
      <c r="AO1189" s="359" t="b">
        <f>AN1189&lt;&gt;EUconst_NA</f>
        <v>0</v>
      </c>
      <c r="AP1189" s="326"/>
      <c r="AQ1189" s="399" t="str">
        <f>EUconst_CNTR_EF&amp;EUconst_Value</f>
        <v>EF_Value</v>
      </c>
      <c r="AR1189" s="400" t="str">
        <f>IF(AC1189=TRUE,IF(COUNTIF(MSPara_SourceStreamCategory,V1189)=0,"",INDEX(MSPara_CalcFactorsMatrix,MATCH(V1189,MSPara_SourceStreamCategory,0),MATCH(AQ1189&amp;"_"&amp;2,MSPara_CalcFactors,0))),"")</f>
        <v/>
      </c>
      <c r="AS1189" s="401" t="str">
        <f>IF(AC1189=TRUE,IF(COUNTIF(MSPara_SourceStreamCategory,V1189)=0,"",INDEX(MSPara_CalcFactorsMatrix,MATCH(V1189,MSPara_SourceStreamCategory,0),MATCH(AQ1189&amp;"_"&amp;1,MSPara_CalcFactors,0))),"")</f>
        <v/>
      </c>
      <c r="AT1189" s="402" t="b">
        <f>AND(AND(AH1189&lt;&gt;"",AJ1189&lt;&gt;""),AJ1189=AH1189)</f>
        <v>0</v>
      </c>
      <c r="AU1189" s="403" t="str">
        <f>IF(AND(AA1189&lt;&gt;"",AT1189=TRUE),IF(OR(INDEX(AR1189:AS1189,3-AA1189)=EUconst_NA,INDEX(AR1189:AS1189,3-AA1189)=0),"",INDEX(AR1189:AS1189,3-AA1189)),"")</f>
        <v/>
      </c>
      <c r="AV1189" s="393">
        <f>IF(AC1189=TRUE,IF(COUNT(K1189:L1189)=0,0,IF(L1189="",K1189,L1189)),0)</f>
        <v>0</v>
      </c>
      <c r="AW1189" s="389" t="b">
        <f t="shared" si="360"/>
        <v>0</v>
      </c>
      <c r="AX1189" s="404" t="b">
        <f t="shared" si="361"/>
        <v>0</v>
      </c>
      <c r="AY1189" s="314"/>
      <c r="AZ1189" s="405" t="b">
        <f t="shared" si="362"/>
        <v>0</v>
      </c>
      <c r="BA1189" s="406" t="b">
        <f t="shared" si="363"/>
        <v>0</v>
      </c>
      <c r="BB1189" s="407" t="b">
        <f>AND(E1181&lt;&gt;"",COUNTIF(AO1189:AO1190,TRUE)=0)</f>
        <v>0</v>
      </c>
      <c r="BC1189" s="389" t="b">
        <f t="shared" si="364"/>
        <v>0</v>
      </c>
      <c r="BD1189" s="314"/>
      <c r="BE1189" s="314"/>
      <c r="BF1189" s="408" t="s">
        <v>154</v>
      </c>
      <c r="BG1189" s="409" t="str">
        <f>IF(COUNTIF(AO1189:AO1190,TRUE)=0,"",BH1189*AV1197)</f>
        <v/>
      </c>
      <c r="BH1189" s="409" t="str">
        <f>IF(COUNTIF(AO1189:AO1190,TRUE)=0,"",AV1186*IF(AO1189,1,AV1188*AN1190)*AV1189*AV1191)</f>
        <v/>
      </c>
      <c r="BI1189" s="314"/>
      <c r="BJ1189" s="314"/>
      <c r="BK1189" s="314"/>
      <c r="BL1189" s="314"/>
      <c r="BM1189" s="314"/>
      <c r="BN1189" s="314"/>
      <c r="BO1189" s="314"/>
      <c r="BP1189" s="314"/>
      <c r="BQ1189" s="314"/>
      <c r="BR1189" s="314"/>
      <c r="BS1189" s="314"/>
      <c r="BT1189" s="314"/>
      <c r="BU1189" s="314"/>
      <c r="BV1189" s="314"/>
      <c r="BW1189" s="314"/>
      <c r="BX1189" s="314"/>
      <c r="BY1189" s="314"/>
      <c r="BZ1189" s="314"/>
      <c r="CA1189" s="314"/>
      <c r="CB1189" s="314"/>
      <c r="CC1189" s="314"/>
      <c r="CD1189" s="314"/>
      <c r="CE1189" s="314"/>
      <c r="CF1189" s="314"/>
      <c r="CG1189" s="314"/>
      <c r="CH1189" s="314"/>
      <c r="CI1189" s="314"/>
      <c r="CJ1189" s="314"/>
      <c r="CK1189" s="314"/>
      <c r="CL1189" s="314"/>
      <c r="CM1189" s="314"/>
      <c r="CN1189" s="314"/>
      <c r="CO1189" s="314"/>
      <c r="CP1189" s="314"/>
      <c r="CQ1189" s="407" t="b">
        <f>OR(CQ1186,Y1189=EUconst_NA)</f>
        <v>0</v>
      </c>
    </row>
    <row r="1190" spans="1:95" ht="12.75" customHeight="1" x14ac:dyDescent="0.25">
      <c r="A1190" s="307"/>
      <c r="B1190" s="68"/>
      <c r="C1190" s="199" t="s">
        <v>15</v>
      </c>
      <c r="D1190" s="344" t="str">
        <f>Translations!$B$362</f>
        <v>BioF:</v>
      </c>
      <c r="E1190" s="345"/>
      <c r="F1190" s="10"/>
      <c r="G1190" s="1256" t="str">
        <f>IF(OR(ISBLANK(F1190),F1190=EUconst_NoTier),"",IF(Z1190=0,EUconst_NotApplicable,IF(ISERROR(Z1190),"",Z1190)))</f>
        <v/>
      </c>
      <c r="H1190" s="1257"/>
      <c r="I1190" s="410" t="str">
        <f t="shared" ref="I1190:I1195" si="365">IF(OR(AC1190=FALSE,Y1190=EUconst_NA),"","-")</f>
        <v/>
      </c>
      <c r="J1190" s="411"/>
      <c r="K1190" s="412" t="str">
        <f>IF(L1190="",AU1190,"")</f>
        <v/>
      </c>
      <c r="L1190" s="60"/>
      <c r="M1190" s="347" t="str">
        <f>IF(AND(E1181&lt;&gt;"",OR(F1190="",COUNT(K1190:L1190)=0),Y1190&lt;&gt;EUconst_NA),EUconst_ERR_Incomplete,IF(COUNTIF(BB1190:BD1190,TRUE)&gt;0,EUconst_ERR_Inconsistent,""))</f>
        <v/>
      </c>
      <c r="O1190" s="160"/>
      <c r="P1190" s="348"/>
      <c r="Q1190" s="413"/>
      <c r="R1190" s="413"/>
      <c r="S1190" s="314"/>
      <c r="T1190" s="388" t="str">
        <f>EUconst_CNTR_BiomassContent&amp;E1181</f>
        <v>BioC_</v>
      </c>
      <c r="U1190" s="312"/>
      <c r="V1190" s="369" t="str">
        <f>V1188</f>
        <v/>
      </c>
      <c r="W1190" s="369" t="str">
        <f>IF(OR(V1190="",COUNTIF(MSPara_SourceStreamCategory,V1190)=0),"",INDEX(MSPara_IsFossil,MATCH(V1190,MSPara_SourceStreamCategory,0)))</f>
        <v/>
      </c>
      <c r="X1190" s="312"/>
      <c r="Y1190" s="370" t="str">
        <f>IF(E1181="","",IF(OR(F1190=EUconst_NA,W1190=TRUE),EUconst_NA,INDEX(EUwideConstants!$P$164:$P$200,MATCH(T1190,EUwideConstants!$S$164:$S$200,0))))</f>
        <v/>
      </c>
      <c r="Z1190" s="371" t="str">
        <f>IF(ISBLANK(F1190),"",IF(F1190=EUconst_NA,"",INDEX(EUwideConstants!$H:$O,MATCH(T1190,EUwideConstants!$S:$S,0),MATCH(F1190,CNTR_TierList,0))))</f>
        <v/>
      </c>
      <c r="AA1190" s="414" t="str">
        <f>IF(F1190=1,1,"")</f>
        <v/>
      </c>
      <c r="AB1190" s="314"/>
      <c r="AC1190" s="373" t="b">
        <f>AND(AC1186,Y1190&lt;&gt;EUconst_NA)</f>
        <v>0</v>
      </c>
      <c r="AD1190" s="314"/>
      <c r="AE1190" s="415"/>
      <c r="AF1190" s="416"/>
      <c r="AG1190" s="417"/>
      <c r="AH1190" s="418"/>
      <c r="AI1190" s="418"/>
      <c r="AJ1190" s="418"/>
      <c r="AK1190" s="419"/>
      <c r="AL1190" s="326"/>
      <c r="AM1190" s="358" t="s">
        <v>155</v>
      </c>
      <c r="AN1190" s="359" t="str">
        <f>IF(AN1188=EUconst_NA,EUconst_NA,INDEX(EUwideConstants!$C$150:$H$154,MATCH(AJ1189,EFUnits,0),MATCH(AN1188,EUwideConstants!$C$149:$H$149,0)))</f>
        <v>n.a.</v>
      </c>
      <c r="AO1190" s="359" t="b">
        <f>AN1190&lt;&gt;EUconst_NA</f>
        <v>0</v>
      </c>
      <c r="AP1190" s="326"/>
      <c r="AQ1190" s="376" t="str">
        <f>EUconst_CNTR_BiomassContent&amp;EUconst_Value</f>
        <v>BioC_Value</v>
      </c>
      <c r="AR1190" s="420"/>
      <c r="AS1190" s="378" t="str">
        <f t="shared" ref="AS1190:AS1195" si="366">IF(AC1190=TRUE,IF(COUNTIF(MSPara_SourceStreamCategory,V1190)=0,"",INDEX(MSPara_CalcFactorsMatrix,MATCH(V1190,MSPara_SourceStreamCategory,0),MATCH(AQ1190&amp;"_"&amp;2,MSPara_CalcFactors,0))),"")</f>
        <v/>
      </c>
      <c r="AT1190" s="421"/>
      <c r="AU1190" s="380" t="str">
        <f t="shared" ref="AU1190:AU1195" si="367">IF(OR(AA1190="",AS1190=EUconst_NA),"",AS1190)</f>
        <v/>
      </c>
      <c r="AV1190" s="373">
        <f>IF(AC1190=TRUE,IF(COUNT(K1190:L1190)=0,0,IF(L1190="",K1190,L1190)),0)</f>
        <v>0</v>
      </c>
      <c r="AW1190" s="369" t="b">
        <f t="shared" si="360"/>
        <v>0</v>
      </c>
      <c r="AX1190" s="381" t="b">
        <f t="shared" si="361"/>
        <v>0</v>
      </c>
      <c r="AY1190" s="314"/>
      <c r="AZ1190" s="382" t="b">
        <f t="shared" si="362"/>
        <v>0</v>
      </c>
      <c r="BA1190" s="383" t="b">
        <f t="shared" si="363"/>
        <v>0</v>
      </c>
      <c r="BB1190" s="314"/>
      <c r="BC1190" s="369" t="b">
        <f t="shared" si="364"/>
        <v>0</v>
      </c>
      <c r="BD1190" s="369" t="b">
        <f>OR(AV1190&gt;100%,(AV1190+AV1191)&gt;100%)</f>
        <v>0</v>
      </c>
      <c r="BE1190" s="314"/>
      <c r="BF1190" s="382" t="s">
        <v>156</v>
      </c>
      <c r="BG1190" s="384" t="str">
        <f>IF(COUNTIF(AO1189:AO1190,TRUE)=0,"",BH1190*AV1197)</f>
        <v/>
      </c>
      <c r="BH1190" s="384" t="str">
        <f>IF(COUNTIF(AO1189:AO1190,TRUE)=0,"",AV1186*IF(AO1189,1,AV1188*AN1190)*AV1189*AV1192)</f>
        <v/>
      </c>
      <c r="BJ1190" s="314"/>
      <c r="BK1190" s="314"/>
      <c r="BL1190" s="314"/>
      <c r="BM1190" s="314"/>
      <c r="BN1190" s="314"/>
      <c r="BO1190" s="314"/>
      <c r="BP1190" s="314"/>
      <c r="BQ1190" s="314"/>
      <c r="BR1190" s="314"/>
      <c r="BS1190" s="314"/>
      <c r="BT1190" s="314"/>
      <c r="BU1190" s="314"/>
      <c r="BV1190" s="314"/>
      <c r="BW1190" s="314"/>
      <c r="BX1190" s="314"/>
      <c r="BY1190" s="314"/>
      <c r="BZ1190" s="314"/>
      <c r="CA1190" s="314"/>
      <c r="CB1190" s="314"/>
      <c r="CC1190" s="314"/>
      <c r="CD1190" s="314"/>
      <c r="CE1190" s="314"/>
      <c r="CF1190" s="314"/>
      <c r="CG1190" s="314"/>
      <c r="CH1190" s="314"/>
      <c r="CI1190" s="314"/>
      <c r="CJ1190" s="314"/>
      <c r="CK1190" s="314"/>
      <c r="CL1190" s="314"/>
      <c r="CM1190" s="314"/>
      <c r="CN1190" s="314"/>
      <c r="CO1190" s="314"/>
      <c r="CP1190" s="314"/>
      <c r="CQ1190" s="369" t="b">
        <f>OR(CQ1186,Y1190=EUconst_NA)</f>
        <v>0</v>
      </c>
    </row>
    <row r="1191" spans="1:95" ht="12.75" customHeight="1" thickBot="1" x14ac:dyDescent="0.3">
      <c r="A1191" s="307"/>
      <c r="B1191" s="68"/>
      <c r="C1191" s="199" t="s">
        <v>16</v>
      </c>
      <c r="D1191" s="344" t="str">
        <f>Translations!$B$368</f>
        <v>non-sust. BioF:</v>
      </c>
      <c r="E1191" s="345"/>
      <c r="F1191" s="20"/>
      <c r="G1191" s="1256" t="str">
        <f>IF(OR(ISBLANK(F1191),F1191=EUconst_NoTier),"",IF(Z1191=0,EUconst_NotApplicable,IF(ISERROR(Z1191),"",Z1191)))</f>
        <v/>
      </c>
      <c r="H1191" s="1257"/>
      <c r="I1191" s="422" t="str">
        <f t="shared" si="365"/>
        <v/>
      </c>
      <c r="J1191" s="423"/>
      <c r="K1191" s="424" t="str">
        <f>IF(L1191="",AU1191,"")</f>
        <v/>
      </c>
      <c r="L1191" s="21"/>
      <c r="M1191" s="347" t="str">
        <f>IF(AND(E1181&lt;&gt;"",OR(F1191="",COUNT(K1191:L1191)=0),Y1191&lt;&gt;EUconst_NA),EUconst_ERR_Incomplete,IF(COUNTIF(BB1191:BD1191,TRUE)&gt;0,EUconst_ERR_Inconsistent,""))</f>
        <v/>
      </c>
      <c r="N1191" s="76"/>
      <c r="O1191" s="160"/>
      <c r="P1191" s="348"/>
      <c r="Q1191" s="413"/>
      <c r="R1191" s="413"/>
      <c r="S1191" s="314"/>
      <c r="T1191" s="425" t="str">
        <f>EUconst_CNTR_BiomassContent&amp;E1181</f>
        <v>BioC_</v>
      </c>
      <c r="U1191" s="312"/>
      <c r="V1191" s="407" t="str">
        <f>V1190</f>
        <v/>
      </c>
      <c r="W1191" s="407" t="str">
        <f>IF(OR(V1190="",COUNTIF(MSPara_SourceStreamCategory,V1191)=0),"",INDEX(MSPara_IsFossil,MATCH(V1191,MSPara_SourceStreamCategory,0)))</f>
        <v/>
      </c>
      <c r="X1191" s="312"/>
      <c r="Y1191" s="426" t="str">
        <f>IF(E1181="","",IF(OR(F1191=EUconst_NA,W1191=TRUE),EUconst_NA,INDEX(EUwideConstants!$P$164:$P$200,MATCH(T1191,EUwideConstants!$S$164:$S$200,0))))</f>
        <v/>
      </c>
      <c r="Z1191" s="427" t="str">
        <f>IF(ISBLANK(F1191),"",IF(F1191=EUconst_NA,"",INDEX(EUwideConstants!$H:$O,MATCH(T1191,EUwideConstants!$S:$S,0),MATCH(F1191,CNTR_TierList,0))))</f>
        <v/>
      </c>
      <c r="AA1191" s="428" t="str">
        <f>IF(F1191=1,1,"")</f>
        <v/>
      </c>
      <c r="AB1191" s="314"/>
      <c r="AC1191" s="429" t="b">
        <f>AND(AC1186,Y1191&lt;&gt;EUconst_NA)</f>
        <v>0</v>
      </c>
      <c r="AD1191" s="314"/>
      <c r="AE1191" s="430"/>
      <c r="AF1191" s="431"/>
      <c r="AG1191" s="432"/>
      <c r="AH1191" s="433"/>
      <c r="AI1191" s="433"/>
      <c r="AJ1191" s="433"/>
      <c r="AK1191" s="434"/>
      <c r="AL1191" s="326"/>
      <c r="AM1191" s="326"/>
      <c r="AN1191" s="326"/>
      <c r="AO1191" s="326"/>
      <c r="AP1191" s="326"/>
      <c r="AQ1191" s="435" t="str">
        <f>EUconst_CNTR_BiomassContent&amp;EUconst_Value</f>
        <v>BioC_Value</v>
      </c>
      <c r="AR1191" s="430"/>
      <c r="AS1191" s="436" t="str">
        <f t="shared" si="366"/>
        <v/>
      </c>
      <c r="AT1191" s="437"/>
      <c r="AU1191" s="438" t="str">
        <f t="shared" si="367"/>
        <v/>
      </c>
      <c r="AV1191" s="429">
        <f>IF(AC1191=TRUE,IF(COUNT(K1191:L1191)=0,0,IF(L1191="",K1191,L1191)),0)</f>
        <v>0</v>
      </c>
      <c r="AW1191" s="407" t="b">
        <f t="shared" si="360"/>
        <v>0</v>
      </c>
      <c r="AX1191" s="439" t="b">
        <f t="shared" si="361"/>
        <v>0</v>
      </c>
      <c r="AY1191" s="314"/>
      <c r="AZ1191" s="408" t="b">
        <f t="shared" si="362"/>
        <v>0</v>
      </c>
      <c r="BA1191" s="440" t="b">
        <f t="shared" si="363"/>
        <v>0</v>
      </c>
      <c r="BB1191" s="314"/>
      <c r="BC1191" s="407" t="b">
        <f t="shared" si="364"/>
        <v>0</v>
      </c>
      <c r="BD1191" s="407" t="b">
        <f>OR(AV1190&gt;100%,(AV1190+AV1191)&gt;100%)</f>
        <v>0</v>
      </c>
      <c r="BE1191" s="314"/>
      <c r="BF1191" s="408" t="s">
        <v>157</v>
      </c>
      <c r="BG1191" s="409" t="str">
        <f>IF(COUNTIF(AO1189:AO1190,TRUE)=0,"",BH1191*AV1197)</f>
        <v/>
      </c>
      <c r="BH1191" s="409" t="str">
        <f>IF(COUNTIF(AO1189:AO1190,TRUE)=0,"",AV1186*IF(AO1189,1,AV1188*AN1190)*AV1189*AV1193)</f>
        <v/>
      </c>
      <c r="BJ1191" s="314"/>
      <c r="BK1191" s="314"/>
      <c r="BL1191" s="314"/>
      <c r="BM1191" s="314"/>
      <c r="BN1191" s="314"/>
      <c r="BO1191" s="314"/>
      <c r="BP1191" s="314"/>
      <c r="BQ1191" s="314"/>
      <c r="BR1191" s="314"/>
      <c r="BS1191" s="314"/>
      <c r="BT1191" s="314"/>
      <c r="BU1191" s="314"/>
      <c r="BV1191" s="314"/>
      <c r="BW1191" s="314"/>
      <c r="BX1191" s="314"/>
      <c r="BY1191" s="314"/>
      <c r="BZ1191" s="314"/>
      <c r="CA1191" s="314"/>
      <c r="CB1191" s="314"/>
      <c r="CC1191" s="314"/>
      <c r="CD1191" s="314"/>
      <c r="CE1191" s="314"/>
      <c r="CF1191" s="314"/>
      <c r="CG1191" s="314"/>
      <c r="CH1191" s="314"/>
      <c r="CI1191" s="314"/>
      <c r="CJ1191" s="314"/>
      <c r="CK1191" s="314"/>
      <c r="CL1191" s="314"/>
      <c r="CM1191" s="314"/>
      <c r="CN1191" s="314"/>
      <c r="CO1191" s="314"/>
      <c r="CP1191" s="314"/>
      <c r="CQ1191" s="407" t="b">
        <f>OR(CQ1186,Y1191=EUconst_NA)</f>
        <v>0</v>
      </c>
    </row>
    <row r="1192" spans="1:95" ht="12.75" customHeight="1" thickBot="1" x14ac:dyDescent="0.3">
      <c r="A1192" s="307"/>
      <c r="B1192" s="68"/>
      <c r="C1192" s="199" t="s">
        <v>17</v>
      </c>
      <c r="D1192" s="344" t="str">
        <f>Translations!$B$610</f>
        <v>sust. RFNBO/RCF:</v>
      </c>
      <c r="E1192" s="441"/>
      <c r="F1192" s="19" t="s">
        <v>158</v>
      </c>
      <c r="G1192" s="1261"/>
      <c r="H1192" s="1262"/>
      <c r="I1192" s="442" t="str">
        <f t="shared" si="365"/>
        <v/>
      </c>
      <c r="J1192" s="411"/>
      <c r="K1192" s="443"/>
      <c r="L1192" s="55"/>
      <c r="M1192" s="347" t="str">
        <f>IF(AND(E1181&lt;&gt;"",OR(F1192="",COUNT(L1192)=0),Y1192&lt;&gt;EUconst_NA),EUconst_ERR_Incomplete,"")</f>
        <v/>
      </c>
      <c r="N1192" s="76"/>
      <c r="O1192" s="160"/>
      <c r="P1192" s="348"/>
      <c r="Q1192" s="413"/>
      <c r="R1192" s="413"/>
      <c r="S1192" s="314"/>
      <c r="T1192" s="388" t="str">
        <f>EUconst_CNTR_RFNBOetcContent&amp;E1181</f>
        <v>RNFBOC_</v>
      </c>
      <c r="U1192" s="312"/>
      <c r="V1192" s="312"/>
      <c r="W1192" s="312"/>
      <c r="X1192" s="312"/>
      <c r="Y1192" s="380" t="str">
        <f>IF(E1181="","",IF(OR(F1192=EUconst_NA,W1192=TRUE),EUconst_NA,INDEX(EUwideConstants!$P$164:$P$200,MATCH(T1192,EUwideConstants!$S$164:$S$200,0))))</f>
        <v/>
      </c>
      <c r="Z1192" s="314"/>
      <c r="AA1192" s="314"/>
      <c r="AB1192" s="314"/>
      <c r="AC1192" s="397" t="b">
        <f>AND(AC1188,Y1192&lt;&gt;EUconst_NA)</f>
        <v>0</v>
      </c>
      <c r="AD1192" s="314"/>
      <c r="AE1192" s="415"/>
      <c r="AF1192" s="416"/>
      <c r="AG1192" s="417"/>
      <c r="AH1192" s="418"/>
      <c r="AI1192" s="418"/>
      <c r="AJ1192" s="418"/>
      <c r="AK1192" s="419"/>
      <c r="AL1192" s="326"/>
      <c r="AM1192" s="326"/>
      <c r="AN1192" s="326"/>
      <c r="AO1192" s="326"/>
      <c r="AP1192" s="326"/>
      <c r="AQ1192" s="444" t="s">
        <v>159</v>
      </c>
      <c r="AR1192" s="415"/>
      <c r="AS1192" s="445" t="str">
        <f t="shared" si="366"/>
        <v/>
      </c>
      <c r="AT1192" s="446"/>
      <c r="AU1192" s="447" t="str">
        <f t="shared" si="367"/>
        <v/>
      </c>
      <c r="AV1192" s="397">
        <f>IF(L1192&lt;&gt;0,L1192,L1192)</f>
        <v>0</v>
      </c>
      <c r="AW1192" s="398" t="b">
        <f t="shared" si="360"/>
        <v>0</v>
      </c>
      <c r="AX1192" s="448" t="b">
        <f t="shared" si="361"/>
        <v>0</v>
      </c>
      <c r="AY1192" s="314"/>
      <c r="AZ1192" s="449" t="b">
        <f t="shared" si="362"/>
        <v>0</v>
      </c>
      <c r="BA1192" s="450" t="b">
        <f t="shared" si="363"/>
        <v>0</v>
      </c>
      <c r="BB1192" s="314"/>
      <c r="BC1192" s="398" t="b">
        <f t="shared" si="364"/>
        <v>0</v>
      </c>
      <c r="BD1192" s="369" t="b">
        <f>OR(AV1192&gt;100%,(AV1192+AV1193)&gt;100%)</f>
        <v>0</v>
      </c>
      <c r="BE1192" s="314"/>
      <c r="BF1192" s="451" t="s">
        <v>160</v>
      </c>
      <c r="BG1192" s="452" t="str">
        <f>IF(COUNTIF(AO1189:AO1190,TRUE)=0,"",BH1192*AV1197)</f>
        <v/>
      </c>
      <c r="BH1192" s="452" t="str">
        <f>IF(COUNTIF(AO1189:AO1190,TRUE)=0,"",AV1186*IF(AO1189,1,AV1188*AN1190)*AV1189*AV1194)</f>
        <v/>
      </c>
      <c r="BJ1192" s="314"/>
      <c r="BK1192" s="314"/>
      <c r="BL1192" s="314"/>
      <c r="BM1192" s="314"/>
      <c r="BN1192" s="314"/>
      <c r="BO1192" s="314"/>
      <c r="BP1192" s="314"/>
      <c r="BQ1192" s="314"/>
      <c r="BR1192" s="314"/>
      <c r="BS1192" s="314"/>
      <c r="BT1192" s="314"/>
      <c r="BU1192" s="314"/>
      <c r="BV1192" s="314"/>
      <c r="BW1192" s="314"/>
      <c r="BX1192" s="314"/>
      <c r="BY1192" s="314"/>
      <c r="BZ1192" s="314"/>
      <c r="CA1192" s="314"/>
      <c r="CB1192" s="314"/>
      <c r="CC1192" s="314"/>
      <c r="CD1192" s="314"/>
      <c r="CE1192" s="314"/>
      <c r="CF1192" s="314"/>
      <c r="CG1192" s="314"/>
      <c r="CH1192" s="314"/>
      <c r="CI1192" s="314"/>
      <c r="CJ1192" s="314"/>
      <c r="CK1192" s="314"/>
      <c r="CL1192" s="314"/>
      <c r="CM1192" s="314"/>
      <c r="CN1192" s="314"/>
      <c r="CO1192" s="314"/>
      <c r="CP1192" s="314"/>
      <c r="CQ1192" s="407" t="b">
        <f>OR(CQ1186,Y1192=EUconst_NA)</f>
        <v>0</v>
      </c>
    </row>
    <row r="1193" spans="1:95" ht="12.75" customHeight="1" thickBot="1" x14ac:dyDescent="0.3">
      <c r="A1193" s="307"/>
      <c r="B1193" s="68"/>
      <c r="C1193" s="199" t="s">
        <v>161</v>
      </c>
      <c r="D1193" s="344" t="str">
        <f>Translations!$B$613</f>
        <v>non-sust. RFNBO/RCF:</v>
      </c>
      <c r="E1193" s="441"/>
      <c r="F1193" s="20" t="s">
        <v>158</v>
      </c>
      <c r="G1193" s="1261"/>
      <c r="H1193" s="1262"/>
      <c r="I1193" s="422" t="str">
        <f t="shared" si="365"/>
        <v/>
      </c>
      <c r="J1193" s="423"/>
      <c r="K1193" s="443"/>
      <c r="L1193" s="56"/>
      <c r="M1193" s="347" t="str">
        <f>IF(AND(E1181&lt;&gt;"",OR(F1193="",COUNT(L1193)=0),Y1193&lt;&gt;EUconst_NA),EUconst_ERR_Incomplete,"")</f>
        <v/>
      </c>
      <c r="N1193" s="76"/>
      <c r="O1193" s="160"/>
      <c r="P1193" s="348"/>
      <c r="Q1193" s="413"/>
      <c r="R1193" s="413"/>
      <c r="S1193" s="314"/>
      <c r="T1193" s="425" t="str">
        <f>EUconst_CNTR_RFNBOetcContent&amp;E1181</f>
        <v>RNFBOC_</v>
      </c>
      <c r="U1193" s="312"/>
      <c r="V1193" s="312"/>
      <c r="W1193" s="312"/>
      <c r="X1193" s="312"/>
      <c r="Y1193" s="438" t="str">
        <f>IF(E1181="","",IF(OR(F1193=EUconst_NA,W1193=TRUE),EUconst_NA,INDEX(EUwideConstants!$P$164:$P$200,MATCH(T1193,EUwideConstants!$S$164:$S$200,0))))</f>
        <v/>
      </c>
      <c r="Z1193" s="314"/>
      <c r="AA1193" s="314"/>
      <c r="AB1193" s="314"/>
      <c r="AC1193" s="429" t="b">
        <f>AND(AC1188,Y1193&lt;&gt;EUconst_NA)</f>
        <v>0</v>
      </c>
      <c r="AD1193" s="314"/>
      <c r="AE1193" s="430"/>
      <c r="AF1193" s="431"/>
      <c r="AG1193" s="432"/>
      <c r="AH1193" s="433"/>
      <c r="AI1193" s="433"/>
      <c r="AJ1193" s="433"/>
      <c r="AK1193" s="434"/>
      <c r="AL1193" s="326"/>
      <c r="AM1193" s="326"/>
      <c r="AN1193" s="326"/>
      <c r="AO1193" s="326"/>
      <c r="AP1193" s="326"/>
      <c r="AQ1193" s="435" t="s">
        <v>159</v>
      </c>
      <c r="AR1193" s="430"/>
      <c r="AS1193" s="436" t="str">
        <f t="shared" si="366"/>
        <v/>
      </c>
      <c r="AT1193" s="437"/>
      <c r="AU1193" s="438" t="str">
        <f t="shared" si="367"/>
        <v/>
      </c>
      <c r="AV1193" s="429">
        <f t="shared" ref="AV1193:AV1195" si="368">IF(L1193&lt;&gt;0,L1193,L1193)</f>
        <v>0</v>
      </c>
      <c r="AW1193" s="407" t="b">
        <f t="shared" si="360"/>
        <v>0</v>
      </c>
      <c r="AX1193" s="439" t="b">
        <f t="shared" si="361"/>
        <v>0</v>
      </c>
      <c r="AY1193" s="314"/>
      <c r="AZ1193" s="408" t="b">
        <f t="shared" si="362"/>
        <v>0</v>
      </c>
      <c r="BA1193" s="440" t="b">
        <f t="shared" si="363"/>
        <v>0</v>
      </c>
      <c r="BB1193" s="314"/>
      <c r="BC1193" s="407" t="b">
        <f t="shared" si="364"/>
        <v>0</v>
      </c>
      <c r="BD1193" s="407" t="b">
        <f>OR(AV1192&gt;100%,(AV1192+AV1193)&gt;100%)</f>
        <v>0</v>
      </c>
      <c r="BE1193" s="314"/>
      <c r="BF1193" s="408" t="s">
        <v>162</v>
      </c>
      <c r="BG1193" s="409" t="str">
        <f>IF(COUNTIF(AO1189:AO1190,TRUE)=0,"",BH1193*AV1197)</f>
        <v/>
      </c>
      <c r="BH1193" s="409" t="str">
        <f>IF(COUNTIF(AO1189:AO1190,TRUE)=0,"",AV1186*IF(AO1189,1,AV1188*AN1190)*AV1189*AV1195)</f>
        <v/>
      </c>
      <c r="BJ1193" s="314"/>
      <c r="BK1193" s="314"/>
      <c r="BL1193" s="314"/>
      <c r="BM1193" s="314"/>
      <c r="BN1193" s="314"/>
      <c r="BO1193" s="314"/>
      <c r="BP1193" s="314"/>
      <c r="BQ1193" s="314"/>
      <c r="BR1193" s="314"/>
      <c r="BS1193" s="314"/>
      <c r="BT1193" s="314"/>
      <c r="BU1193" s="314"/>
      <c r="BV1193" s="314"/>
      <c r="BW1193" s="314"/>
      <c r="BX1193" s="314"/>
      <c r="BY1193" s="314"/>
      <c r="BZ1193" s="314"/>
      <c r="CA1193" s="314"/>
      <c r="CB1193" s="314"/>
      <c r="CC1193" s="314"/>
      <c r="CD1193" s="314"/>
      <c r="CE1193" s="314"/>
      <c r="CF1193" s="314"/>
      <c r="CG1193" s="314"/>
      <c r="CH1193" s="314"/>
      <c r="CI1193" s="314"/>
      <c r="CJ1193" s="314"/>
      <c r="CK1193" s="314"/>
      <c r="CL1193" s="314"/>
      <c r="CM1193" s="314"/>
      <c r="CN1193" s="314"/>
      <c r="CO1193" s="314"/>
      <c r="CP1193" s="314"/>
      <c r="CQ1193" s="407" t="b">
        <f>OR(CQ1186,Y1193=EUconst_NA)</f>
        <v>0</v>
      </c>
    </row>
    <row r="1194" spans="1:95" ht="12.75" customHeight="1" thickBot="1" x14ac:dyDescent="0.3">
      <c r="A1194" s="307"/>
      <c r="B1194" s="68"/>
      <c r="C1194" s="199" t="s">
        <v>163</v>
      </c>
      <c r="D1194" s="344" t="str">
        <f>Translations!$B$615</f>
        <v>sust. SLCF:</v>
      </c>
      <c r="E1194" s="441"/>
      <c r="F1194" s="19" t="s">
        <v>158</v>
      </c>
      <c r="G1194" s="1261"/>
      <c r="H1194" s="1262"/>
      <c r="I1194" s="442" t="str">
        <f t="shared" si="365"/>
        <v/>
      </c>
      <c r="J1194" s="411"/>
      <c r="K1194" s="443"/>
      <c r="L1194" s="57"/>
      <c r="M1194" s="347" t="str">
        <f>IF(AND(E1181&lt;&gt;"",OR(F1194="",COUNT(L1194)=0),Y1194&lt;&gt;EUconst_NA),EUconst_ERR_Incomplete,"")</f>
        <v/>
      </c>
      <c r="N1194" s="76"/>
      <c r="O1194" s="160"/>
      <c r="P1194" s="348"/>
      <c r="Q1194" s="413"/>
      <c r="R1194" s="413"/>
      <c r="S1194" s="314"/>
      <c r="T1194" s="388" t="str">
        <f>EUconst_CNTR_RFNBOetcContent&amp;E1181</f>
        <v>RNFBOC_</v>
      </c>
      <c r="U1194" s="312"/>
      <c r="V1194" s="312"/>
      <c r="W1194" s="312"/>
      <c r="X1194" s="312"/>
      <c r="Y1194" s="447" t="str">
        <f>IF(E1181="","",IF(OR(F1194=EUconst_NA,W1194=TRUE),EUconst_NA,INDEX(EUwideConstants!$P$164:$P$200,MATCH(T1194,EUwideConstants!$S$164:$S$200,0))))</f>
        <v/>
      </c>
      <c r="Z1194" s="314"/>
      <c r="AA1194" s="314"/>
      <c r="AB1194" s="314"/>
      <c r="AC1194" s="397" t="b">
        <f>AND(AC1190,Y1194&lt;&gt;EUconst_NA)</f>
        <v>0</v>
      </c>
      <c r="AD1194" s="314"/>
      <c r="AE1194" s="415"/>
      <c r="AF1194" s="416"/>
      <c r="AG1194" s="417"/>
      <c r="AH1194" s="418"/>
      <c r="AI1194" s="418"/>
      <c r="AJ1194" s="418"/>
      <c r="AK1194" s="419"/>
      <c r="AL1194" s="326"/>
      <c r="AM1194" s="326"/>
      <c r="AN1194" s="326"/>
      <c r="AO1194" s="326"/>
      <c r="AP1194" s="326"/>
      <c r="AQ1194" s="444" t="s">
        <v>159</v>
      </c>
      <c r="AR1194" s="415"/>
      <c r="AS1194" s="445" t="str">
        <f t="shared" si="366"/>
        <v/>
      </c>
      <c r="AT1194" s="446"/>
      <c r="AU1194" s="447" t="str">
        <f t="shared" si="367"/>
        <v/>
      </c>
      <c r="AV1194" s="397">
        <f t="shared" si="368"/>
        <v>0</v>
      </c>
      <c r="AW1194" s="398" t="b">
        <f t="shared" si="360"/>
        <v>0</v>
      </c>
      <c r="AX1194" s="448" t="b">
        <f t="shared" si="361"/>
        <v>0</v>
      </c>
      <c r="AY1194" s="314"/>
      <c r="AZ1194" s="449" t="b">
        <f t="shared" si="362"/>
        <v>0</v>
      </c>
      <c r="BA1194" s="450" t="b">
        <f t="shared" si="363"/>
        <v>0</v>
      </c>
      <c r="BB1194" s="314"/>
      <c r="BC1194" s="398" t="b">
        <f t="shared" si="364"/>
        <v>0</v>
      </c>
      <c r="BD1194" s="369" t="b">
        <f>OR(AV1194&gt;100%,(AV1194+AV1195)&gt;100%)</f>
        <v>0</v>
      </c>
      <c r="BE1194" s="314"/>
      <c r="BF1194" s="451" t="s">
        <v>164</v>
      </c>
      <c r="BG1194" s="452">
        <f>IF(AN1186=EUconst_TJ,AV1186*(1-AV1190),IF(AN1188=EUconst_GJ,AV1186*AV1188/1000,0))-SUM(BG1195:BG1201)</f>
        <v>0</v>
      </c>
      <c r="BH1194" s="314"/>
      <c r="BI1194" s="314"/>
      <c r="BJ1194" s="314"/>
      <c r="BK1194" s="314"/>
      <c r="BL1194" s="314"/>
      <c r="BM1194" s="314"/>
      <c r="BN1194" s="314"/>
      <c r="BO1194" s="314"/>
      <c r="BP1194" s="314"/>
      <c r="BQ1194" s="314"/>
      <c r="BR1194" s="314"/>
      <c r="BS1194" s="314"/>
      <c r="BT1194" s="314"/>
      <c r="BU1194" s="314"/>
      <c r="BV1194" s="314"/>
      <c r="BW1194" s="314"/>
      <c r="BX1194" s="314"/>
      <c r="BY1194" s="314"/>
      <c r="BZ1194" s="314"/>
      <c r="CA1194" s="314"/>
      <c r="CB1194" s="314"/>
      <c r="CC1194" s="314"/>
      <c r="CD1194" s="314"/>
      <c r="CE1194" s="314"/>
      <c r="CF1194" s="314"/>
      <c r="CG1194" s="314"/>
      <c r="CH1194" s="314"/>
      <c r="CI1194" s="314"/>
      <c r="CJ1194" s="314"/>
      <c r="CK1194" s="314"/>
      <c r="CL1194" s="314"/>
      <c r="CM1194" s="314"/>
      <c r="CN1194" s="314"/>
      <c r="CO1194" s="314"/>
      <c r="CP1194" s="314"/>
      <c r="CQ1194" s="407" t="b">
        <f>OR(CQ1186,Y1194=EUconst_NA)</f>
        <v>0</v>
      </c>
    </row>
    <row r="1195" spans="1:95" ht="12.75" customHeight="1" thickBot="1" x14ac:dyDescent="0.3">
      <c r="A1195" s="307"/>
      <c r="B1195" s="68"/>
      <c r="C1195" s="199" t="s">
        <v>165</v>
      </c>
      <c r="D1195" s="344" t="str">
        <f>Translations!$B$618</f>
        <v>non-sust. SLCF:</v>
      </c>
      <c r="E1195" s="441"/>
      <c r="F1195" s="20" t="s">
        <v>158</v>
      </c>
      <c r="G1195" s="1261"/>
      <c r="H1195" s="1262"/>
      <c r="I1195" s="422" t="str">
        <f t="shared" si="365"/>
        <v/>
      </c>
      <c r="J1195" s="423"/>
      <c r="K1195" s="443"/>
      <c r="L1195" s="56"/>
      <c r="M1195" s="347" t="str">
        <f>IF(AND(E1181&lt;&gt;"",OR(F1195="",COUNT(L1195)=0),Y1195&lt;&gt;EUconst_NA),EUconst_ERR_Incomplete,"")</f>
        <v/>
      </c>
      <c r="N1195" s="76"/>
      <c r="O1195" s="160"/>
      <c r="P1195" s="348"/>
      <c r="Q1195" s="413"/>
      <c r="R1195" s="413"/>
      <c r="S1195" s="314"/>
      <c r="T1195" s="425" t="str">
        <f>EUconst_CNTR_RFNBOetcContent&amp;E1181</f>
        <v>RNFBOC_</v>
      </c>
      <c r="U1195" s="312"/>
      <c r="V1195" s="312"/>
      <c r="W1195" s="312"/>
      <c r="X1195" s="312"/>
      <c r="Y1195" s="438" t="str">
        <f>IF(E1181="","",IF(OR(F1195=EUconst_NA,W1195=TRUE),EUconst_NA,INDEX(EUwideConstants!$P$164:$P$200,MATCH(T1195,EUwideConstants!$S$164:$S$200,0))))</f>
        <v/>
      </c>
      <c r="Z1195" s="314"/>
      <c r="AA1195" s="314"/>
      <c r="AB1195" s="314"/>
      <c r="AC1195" s="429" t="b">
        <f>AND(AC1190,Y1195&lt;&gt;EUconst_NA)</f>
        <v>0</v>
      </c>
      <c r="AD1195" s="314"/>
      <c r="AE1195" s="430"/>
      <c r="AF1195" s="431"/>
      <c r="AG1195" s="432"/>
      <c r="AH1195" s="433"/>
      <c r="AI1195" s="433"/>
      <c r="AJ1195" s="433"/>
      <c r="AK1195" s="434"/>
      <c r="AL1195" s="326"/>
      <c r="AM1195" s="326"/>
      <c r="AN1195" s="326"/>
      <c r="AO1195" s="326"/>
      <c r="AP1195" s="326"/>
      <c r="AQ1195" s="435" t="s">
        <v>159</v>
      </c>
      <c r="AR1195" s="430"/>
      <c r="AS1195" s="436" t="str">
        <f t="shared" si="366"/>
        <v/>
      </c>
      <c r="AT1195" s="437"/>
      <c r="AU1195" s="438" t="str">
        <f t="shared" si="367"/>
        <v/>
      </c>
      <c r="AV1195" s="429">
        <f t="shared" si="368"/>
        <v>0</v>
      </c>
      <c r="AW1195" s="407" t="b">
        <f t="shared" si="360"/>
        <v>0</v>
      </c>
      <c r="AX1195" s="439" t="b">
        <f t="shared" si="361"/>
        <v>0</v>
      </c>
      <c r="AY1195" s="314"/>
      <c r="AZ1195" s="408" t="b">
        <f t="shared" si="362"/>
        <v>0</v>
      </c>
      <c r="BA1195" s="440" t="b">
        <f t="shared" si="363"/>
        <v>0</v>
      </c>
      <c r="BB1195" s="314"/>
      <c r="BC1195" s="407" t="b">
        <f t="shared" si="364"/>
        <v>0</v>
      </c>
      <c r="BD1195" s="407" t="b">
        <f>OR(AV1194&gt;100%,(AV1194+AV1195)&gt;100%)</f>
        <v>0</v>
      </c>
      <c r="BE1195" s="314"/>
      <c r="BF1195" s="408" t="s">
        <v>166</v>
      </c>
      <c r="BG1195" s="409" t="str">
        <f>IF(AN1186=EUconst_TJ,AV1186*AV1190,IF(AN1188=EUconst_GJ,AV1186*AV1188/1000*AV1190,""))</f>
        <v/>
      </c>
      <c r="BH1195" s="314"/>
      <c r="BI1195" s="314"/>
      <c r="BJ1195" s="314"/>
      <c r="BK1195" s="314"/>
      <c r="BL1195" s="314"/>
      <c r="BM1195" s="314"/>
      <c r="BN1195" s="314"/>
      <c r="BO1195" s="314"/>
      <c r="BP1195" s="314"/>
      <c r="BQ1195" s="314"/>
      <c r="BR1195" s="314"/>
      <c r="BS1195" s="314"/>
      <c r="BT1195" s="314"/>
      <c r="BU1195" s="314"/>
      <c r="BV1195" s="314"/>
      <c r="BW1195" s="314"/>
      <c r="BX1195" s="314"/>
      <c r="BY1195" s="314"/>
      <c r="BZ1195" s="314"/>
      <c r="CA1195" s="314"/>
      <c r="CB1195" s="314"/>
      <c r="CC1195" s="314"/>
      <c r="CD1195" s="314"/>
      <c r="CE1195" s="314"/>
      <c r="CF1195" s="314"/>
      <c r="CG1195" s="314"/>
      <c r="CH1195" s="314"/>
      <c r="CI1195" s="314"/>
      <c r="CJ1195" s="314"/>
      <c r="CK1195" s="314"/>
      <c r="CL1195" s="314"/>
      <c r="CM1195" s="314"/>
      <c r="CN1195" s="314"/>
      <c r="CO1195" s="314"/>
      <c r="CP1195" s="314"/>
      <c r="CQ1195" s="407" t="b">
        <f>OR(CQ1186,Y1195=EUconst_NA)</f>
        <v>0</v>
      </c>
    </row>
    <row r="1196" spans="1:95" ht="5.15" customHeight="1" thickBot="1" x14ac:dyDescent="0.3">
      <c r="A1196" s="307"/>
      <c r="B1196" s="68"/>
      <c r="C1196" s="68"/>
      <c r="D1196" s="205"/>
      <c r="E1196" s="76"/>
      <c r="F1196" s="76"/>
      <c r="G1196" s="76"/>
      <c r="H1196" s="76"/>
      <c r="I1196" s="76"/>
      <c r="J1196" s="76"/>
      <c r="K1196" s="76"/>
      <c r="L1196" s="76"/>
      <c r="M1196" s="453"/>
      <c r="N1196" s="76"/>
      <c r="O1196" s="160"/>
      <c r="P1196" s="109"/>
      <c r="Q1196" s="312"/>
      <c r="R1196" s="312"/>
      <c r="S1196" s="314"/>
      <c r="T1196" s="314"/>
      <c r="U1196" s="314"/>
      <c r="V1196" s="314"/>
      <c r="W1196" s="314"/>
      <c r="X1196" s="314"/>
      <c r="Y1196" s="314"/>
      <c r="Z1196" s="314"/>
      <c r="AA1196" s="314"/>
      <c r="AB1196" s="314"/>
      <c r="AC1196" s="314"/>
      <c r="AD1196" s="314"/>
      <c r="AE1196" s="314"/>
      <c r="AF1196" s="314"/>
      <c r="AG1196" s="314"/>
      <c r="AH1196" s="314"/>
      <c r="AI1196" s="314"/>
      <c r="AJ1196" s="314"/>
      <c r="AK1196" s="314"/>
      <c r="AL1196" s="314"/>
      <c r="AM1196" s="314"/>
      <c r="AN1196" s="314"/>
      <c r="AO1196" s="314"/>
      <c r="AP1196" s="314"/>
      <c r="AQ1196" s="314"/>
      <c r="AR1196" s="314"/>
      <c r="AS1196" s="314"/>
      <c r="AT1196" s="314"/>
      <c r="AU1196" s="314"/>
      <c r="AV1196" s="314"/>
      <c r="AW1196" s="314"/>
      <c r="AX1196" s="314"/>
      <c r="AY1196" s="314"/>
      <c r="AZ1196" s="314"/>
      <c r="BA1196" s="314"/>
      <c r="BB1196" s="314"/>
      <c r="BC1196" s="314"/>
      <c r="BD1196" s="314"/>
      <c r="BE1196" s="314"/>
      <c r="BF1196" s="314"/>
      <c r="BG1196" s="364"/>
      <c r="BH1196" s="314"/>
      <c r="BI1196" s="314"/>
      <c r="BJ1196" s="314"/>
      <c r="BK1196" s="314"/>
      <c r="BL1196" s="314"/>
      <c r="BM1196" s="314"/>
      <c r="BN1196" s="314"/>
      <c r="BO1196" s="314"/>
      <c r="BP1196" s="314"/>
      <c r="BQ1196" s="314"/>
      <c r="BR1196" s="314"/>
      <c r="BS1196" s="314"/>
      <c r="BT1196" s="314"/>
      <c r="BU1196" s="314"/>
      <c r="BV1196" s="314"/>
      <c r="BW1196" s="314"/>
      <c r="BX1196" s="314"/>
      <c r="BY1196" s="314"/>
      <c r="BZ1196" s="314"/>
      <c r="CA1196" s="314"/>
      <c r="CB1196" s="314"/>
      <c r="CC1196" s="314"/>
      <c r="CD1196" s="314"/>
      <c r="CE1196" s="314"/>
      <c r="CF1196" s="314"/>
      <c r="CG1196" s="314"/>
      <c r="CH1196" s="314"/>
      <c r="CI1196" s="314"/>
      <c r="CJ1196" s="314"/>
      <c r="CK1196" s="314"/>
      <c r="CL1196" s="314"/>
      <c r="CM1196" s="314"/>
      <c r="CN1196" s="314"/>
      <c r="CO1196" s="314"/>
      <c r="CP1196" s="314"/>
      <c r="CQ1196" s="314"/>
    </row>
    <row r="1197" spans="1:95" ht="12.75" customHeight="1" thickBot="1" x14ac:dyDescent="0.3">
      <c r="A1197" s="307"/>
      <c r="B1197" s="68"/>
      <c r="C1197" s="199" t="s">
        <v>167</v>
      </c>
      <c r="D1197" s="344" t="str">
        <f>Translations!$B$398</f>
        <v>Scope factor:</v>
      </c>
      <c r="E1197" s="454"/>
      <c r="F1197" s="992"/>
      <c r="G1197" s="1263"/>
      <c r="H1197" s="1264"/>
      <c r="I1197" s="455" t="s">
        <v>46</v>
      </c>
      <c r="J1197" s="456"/>
      <c r="K1197" s="457" t="str">
        <f>IF(L1197="",AU1197,"")</f>
        <v/>
      </c>
      <c r="L1197" s="16"/>
      <c r="M1197" s="458" t="str">
        <f>IF(AND(E1181&lt;&gt;"",OR(F1197="",G1197="",COUNT(K1197:L1197)=0)),EUconst_ERR_Incomplete,IF(COUNTIF(BB1197:BD1197,TRUE)&gt;0,EUconst_ERR_Inconsistent,""))</f>
        <v/>
      </c>
      <c r="N1197" s="76"/>
      <c r="O1197" s="160"/>
      <c r="P1197" s="109"/>
      <c r="Q1197" s="312"/>
      <c r="R1197" s="314"/>
      <c r="S1197" s="297"/>
      <c r="T1197" s="459" t="str">
        <f>EUconst_CNTR_ScopeFactor&amp;E1181</f>
        <v>ScopeFactor_</v>
      </c>
      <c r="U1197" s="231" t="str">
        <f>IF(F1197="","",INDEX(ScopeAddress,MATCH(F1197,ScopeTiers,0)))</f>
        <v/>
      </c>
      <c r="V1197" s="360" t="str">
        <f>V1186</f>
        <v/>
      </c>
      <c r="W1197" s="314"/>
      <c r="X1197" s="314"/>
      <c r="Y1197" s="460" t="str">
        <f>IF(E1181="","",IF(F1197=EUconst_NA,EUconst_NA,INDEX(EUwideConstants!$P$164:$P$200,MATCH(T1197,EUwideConstants!$S$164:$S$200,0))))</f>
        <v/>
      </c>
      <c r="Z1197" s="461" t="str">
        <f>IF(ISBLANK(F1197),"",IF(F1197=EUconst_NA,"",INDEX(EUwideConstants!$H:$O,MATCH(T1197,EUwideConstants!$S:$S,0),MATCH(F1197,CNTR_TierList,0))))</f>
        <v/>
      </c>
      <c r="AA1197" s="331" t="str">
        <f>IF(G1197=EUwideConstants!$A$89,1,"")</f>
        <v/>
      </c>
      <c r="AB1197" s="314"/>
      <c r="AC1197" s="331" t="b">
        <f>AND(AC1186,Y1197&lt;&gt;EUconst_NA)</f>
        <v>0</v>
      </c>
      <c r="AD1197" s="314"/>
      <c r="AE1197" s="314"/>
      <c r="AF1197" s="314"/>
      <c r="AG1197" s="319"/>
      <c r="AH1197" s="314"/>
      <c r="AI1197" s="314"/>
      <c r="AJ1197" s="314"/>
      <c r="AK1197" s="314"/>
      <c r="AL1197" s="314"/>
      <c r="AM1197" s="314"/>
      <c r="AN1197" s="314"/>
      <c r="AO1197" s="314"/>
      <c r="AP1197" s="314"/>
      <c r="AQ1197" s="314"/>
      <c r="AR1197" s="314"/>
      <c r="AS1197" s="328">
        <v>1</v>
      </c>
      <c r="AT1197" s="314"/>
      <c r="AU1197" s="319" t="str">
        <f>IF(G1197=EUwideConstants!$A$89,AS1197,"")</f>
        <v/>
      </c>
      <c r="AV1197" s="331">
        <f>IF(AC1197=TRUE,IF(COUNT(K1197:L1197)=0,0,IF(L1197="",K1197,L1197)),0)</f>
        <v>0</v>
      </c>
      <c r="AW1197" s="360" t="b">
        <f>AND(AC1197=TRUE,OR(AND(F1197&lt;&gt;"",NOT(ISNUMBER(AA1197))),L1197&lt;&gt;"",F1197="",AU1197=""))</f>
        <v>0</v>
      </c>
      <c r="AX1197" s="357" t="b">
        <f>AND(AC1197=TRUE,NOT(AW1197))</f>
        <v>0</v>
      </c>
      <c r="AY1197" s="314"/>
      <c r="AZ1197" s="361" t="b">
        <f>AND(ISNUMBER(AA1197),AU1197="")</f>
        <v>0</v>
      </c>
      <c r="BA1197" s="351" t="b">
        <f>AND(ISNUMBER(AA1197),AU1197&lt;&gt;AV1197)</f>
        <v>0</v>
      </c>
      <c r="BB1197" s="314"/>
      <c r="BC1197" s="360" t="b">
        <f>AND(F1197&lt;&gt;"",OR(COUNTIF(INDEX(ScopeMethods,F1197,),G1197)=0,AND(AA1197&lt;&gt;"",AU1197&lt;&gt;AV1197)))</f>
        <v>0</v>
      </c>
      <c r="BD1197" s="314"/>
      <c r="BE1197" s="314"/>
      <c r="BF1197" s="361" t="s">
        <v>168</v>
      </c>
      <c r="BG1197" s="362" t="str">
        <f>IF(AN1186=EUconst_TJ,AV1186*AV1192,IF(AN1188=EUconst_GJ,AV1186*AV1188/1000*AV1192,""))</f>
        <v/>
      </c>
      <c r="BH1197" s="314"/>
      <c r="BI1197" s="314"/>
      <c r="BJ1197" s="314"/>
      <c r="BK1197" s="314"/>
      <c r="BL1197" s="314"/>
      <c r="BM1197" s="314"/>
      <c r="BN1197" s="314"/>
      <c r="BO1197" s="314"/>
      <c r="BP1197" s="314"/>
      <c r="BQ1197" s="314"/>
      <c r="BR1197" s="314"/>
      <c r="BS1197" s="314"/>
      <c r="BT1197" s="314"/>
      <c r="BU1197" s="314"/>
      <c r="BV1197" s="314"/>
      <c r="BW1197" s="314"/>
      <c r="BX1197" s="314"/>
      <c r="BY1197" s="314"/>
      <c r="BZ1197" s="314"/>
      <c r="CA1197" s="314"/>
      <c r="CB1197" s="314"/>
      <c r="CC1197" s="314"/>
      <c r="CD1197" s="314"/>
      <c r="CE1197" s="314"/>
      <c r="CF1197" s="314"/>
      <c r="CG1197" s="314"/>
      <c r="CH1197" s="314"/>
      <c r="CI1197" s="314"/>
      <c r="CJ1197" s="314"/>
      <c r="CK1197" s="314"/>
      <c r="CL1197" s="314"/>
      <c r="CM1197" s="314"/>
      <c r="CN1197" s="314"/>
      <c r="CO1197" s="314"/>
      <c r="CP1197" s="314"/>
      <c r="CQ1197" s="314"/>
    </row>
    <row r="1198" spans="1:95" ht="12.75" customHeight="1" x14ac:dyDescent="0.25">
      <c r="A1198" s="307"/>
      <c r="B1198" s="68"/>
      <c r="C1198" s="68"/>
      <c r="D1198" s="68"/>
      <c r="E1198" s="68"/>
      <c r="F1198" s="68"/>
      <c r="G1198" s="1265" t="str">
        <f>IF(G1197="","",INDEX(ScopeMethodsDetails,MATCH(G1197,INDEX(ScopeMethodsDetails,,1),0),2))</f>
        <v/>
      </c>
      <c r="H1198" s="1266"/>
      <c r="I1198" s="1266"/>
      <c r="J1198" s="1266"/>
      <c r="K1198" s="1266"/>
      <c r="L1198" s="1266"/>
      <c r="M1198" s="1267"/>
      <c r="N1198" s="76"/>
      <c r="O1198" s="160"/>
      <c r="P1198" s="109"/>
      <c r="Q1198" s="312"/>
      <c r="R1198" s="312"/>
      <c r="S1198" s="314"/>
      <c r="T1198" s="314"/>
      <c r="U1198" s="314"/>
      <c r="V1198" s="314"/>
      <c r="W1198" s="314"/>
      <c r="X1198" s="314"/>
      <c r="Y1198" s="314"/>
      <c r="Z1198" s="314"/>
      <c r="AA1198" s="314"/>
      <c r="AB1198" s="314"/>
      <c r="AC1198" s="314"/>
      <c r="AD1198" s="314"/>
      <c r="AE1198" s="314"/>
      <c r="AF1198" s="314"/>
      <c r="AG1198" s="314"/>
      <c r="AH1198" s="314"/>
      <c r="AI1198" s="314"/>
      <c r="AJ1198" s="314"/>
      <c r="AK1198" s="314"/>
      <c r="AL1198" s="314"/>
      <c r="AM1198" s="314"/>
      <c r="AN1198" s="314"/>
      <c r="AO1198" s="314"/>
      <c r="AP1198" s="314"/>
      <c r="AQ1198" s="314"/>
      <c r="AR1198" s="314"/>
      <c r="AS1198" s="314"/>
      <c r="AT1198" s="314"/>
      <c r="AU1198" s="314"/>
      <c r="AV1198" s="314"/>
      <c r="AW1198" s="314"/>
      <c r="AX1198" s="314"/>
      <c r="AY1198" s="314"/>
      <c r="AZ1198" s="314"/>
      <c r="BA1198" s="314"/>
      <c r="BB1198" s="314"/>
      <c r="BC1198" s="314"/>
      <c r="BD1198" s="314"/>
      <c r="BE1198" s="314"/>
      <c r="BG1198" s="364"/>
      <c r="BH1198" s="314"/>
      <c r="BI1198" s="314"/>
      <c r="BJ1198" s="314"/>
      <c r="BK1198" s="314"/>
      <c r="BL1198" s="314"/>
      <c r="BM1198" s="314"/>
      <c r="BN1198" s="314"/>
      <c r="BO1198" s="314"/>
      <c r="BP1198" s="314"/>
      <c r="BQ1198" s="314"/>
      <c r="BR1198" s="314"/>
      <c r="BS1198" s="314"/>
      <c r="BT1198" s="314"/>
      <c r="BU1198" s="314"/>
      <c r="BV1198" s="314"/>
      <c r="BW1198" s="314"/>
      <c r="BX1198" s="314"/>
      <c r="BY1198" s="314"/>
      <c r="BZ1198" s="314"/>
      <c r="CA1198" s="314"/>
      <c r="CB1198" s="314"/>
      <c r="CC1198" s="314"/>
      <c r="CD1198" s="314"/>
      <c r="CE1198" s="314"/>
      <c r="CF1198" s="314"/>
      <c r="CG1198" s="314"/>
      <c r="CH1198" s="314"/>
      <c r="CI1198" s="314"/>
      <c r="CJ1198" s="314"/>
      <c r="CK1198" s="314"/>
      <c r="CL1198" s="314"/>
      <c r="CM1198" s="314"/>
      <c r="CN1198" s="314"/>
      <c r="CO1198" s="314"/>
      <c r="CP1198" s="314"/>
      <c r="CQ1198" s="314"/>
    </row>
    <row r="1199" spans="1:95" ht="5.15" customHeight="1" x14ac:dyDescent="0.25">
      <c r="A1199" s="307"/>
      <c r="C1199" s="76"/>
      <c r="D1199" s="76"/>
      <c r="E1199" s="76"/>
      <c r="F1199" s="76"/>
      <c r="G1199" s="76"/>
      <c r="H1199" s="76"/>
      <c r="I1199" s="76"/>
      <c r="J1199" s="76"/>
      <c r="K1199" s="76"/>
      <c r="L1199" s="76"/>
      <c r="O1199" s="160"/>
      <c r="P1199" s="109"/>
      <c r="Q1199" s="312"/>
      <c r="R1199" s="312"/>
      <c r="S1199" s="314"/>
      <c r="T1199" s="314"/>
      <c r="U1199" s="314"/>
      <c r="V1199" s="314"/>
      <c r="W1199" s="314"/>
      <c r="X1199" s="314"/>
      <c r="Y1199" s="314"/>
      <c r="Z1199" s="314"/>
      <c r="AA1199" s="314"/>
      <c r="AB1199" s="314"/>
      <c r="AC1199" s="314"/>
      <c r="AD1199" s="314"/>
      <c r="AE1199" s="314"/>
      <c r="AF1199" s="314"/>
      <c r="AG1199" s="314"/>
      <c r="AH1199" s="314"/>
      <c r="AI1199" s="314"/>
      <c r="AJ1199" s="314"/>
      <c r="AK1199" s="314"/>
      <c r="AL1199" s="314"/>
      <c r="AM1199" s="314"/>
      <c r="AN1199" s="314"/>
      <c r="AO1199" s="314"/>
      <c r="AP1199" s="314"/>
      <c r="AQ1199" s="314"/>
      <c r="AR1199" s="314"/>
      <c r="AS1199" s="314"/>
      <c r="AT1199" s="314"/>
      <c r="AU1199" s="314"/>
      <c r="AV1199" s="314"/>
      <c r="AW1199" s="314"/>
      <c r="AX1199" s="314"/>
      <c r="AY1199" s="314"/>
      <c r="AZ1199" s="314"/>
      <c r="BA1199" s="314"/>
      <c r="BB1199" s="314"/>
      <c r="BC1199" s="314"/>
      <c r="BD1199" s="314"/>
      <c r="BE1199" s="314"/>
      <c r="BG1199" s="364"/>
      <c r="BH1199" s="314"/>
      <c r="BI1199" s="314"/>
      <c r="BJ1199" s="314"/>
      <c r="BK1199" s="314"/>
      <c r="BL1199" s="314"/>
      <c r="BM1199" s="314"/>
      <c r="BN1199" s="314"/>
      <c r="BO1199" s="314"/>
      <c r="BP1199" s="314"/>
      <c r="BQ1199" s="314"/>
      <c r="BR1199" s="314"/>
      <c r="BS1199" s="314"/>
      <c r="BT1199" s="314"/>
      <c r="BU1199" s="314"/>
      <c r="BV1199" s="314"/>
      <c r="BW1199" s="314"/>
      <c r="BX1199" s="314"/>
      <c r="BY1199" s="314"/>
      <c r="BZ1199" s="314"/>
      <c r="CA1199" s="314"/>
      <c r="CB1199" s="314"/>
      <c r="CC1199" s="314"/>
      <c r="CD1199" s="314"/>
      <c r="CE1199" s="314"/>
      <c r="CF1199" s="314"/>
      <c r="CG1199" s="314"/>
      <c r="CH1199" s="314"/>
      <c r="CI1199" s="314"/>
      <c r="CJ1199" s="314"/>
      <c r="CK1199" s="314"/>
      <c r="CL1199" s="314"/>
      <c r="CM1199" s="314"/>
      <c r="CN1199" s="314"/>
      <c r="CO1199" s="314"/>
      <c r="CP1199" s="314"/>
      <c r="CQ1199" s="314"/>
    </row>
    <row r="1200" spans="1:95" ht="12.75" customHeight="1" thickBot="1" x14ac:dyDescent="0.3">
      <c r="A1200" s="307"/>
      <c r="C1200" s="76"/>
      <c r="D1200" s="76"/>
      <c r="E1200" s="76"/>
      <c r="F1200" s="76"/>
      <c r="G1200" s="1268">
        <v>1</v>
      </c>
      <c r="H1200" s="1268"/>
      <c r="I1200" s="1268">
        <v>2</v>
      </c>
      <c r="J1200" s="1268"/>
      <c r="K1200" s="1268">
        <v>3</v>
      </c>
      <c r="L1200" s="1268"/>
      <c r="O1200" s="160"/>
      <c r="P1200" s="109"/>
      <c r="Q1200" s="312"/>
      <c r="R1200" s="312"/>
      <c r="S1200" s="314"/>
      <c r="T1200" s="314"/>
      <c r="U1200" s="314"/>
      <c r="V1200" s="314"/>
      <c r="W1200" s="314"/>
      <c r="X1200" s="314"/>
      <c r="Y1200" s="314"/>
      <c r="Z1200" s="314"/>
      <c r="AA1200" s="314"/>
      <c r="AB1200" s="314"/>
      <c r="AC1200" s="314"/>
      <c r="AD1200" s="314"/>
      <c r="AE1200" s="314"/>
      <c r="AF1200" s="314"/>
      <c r="AG1200" s="314"/>
      <c r="AH1200" s="314"/>
      <c r="AI1200" s="314"/>
      <c r="AJ1200" s="314"/>
      <c r="AK1200" s="314"/>
      <c r="AL1200" s="314"/>
      <c r="AM1200" s="314"/>
      <c r="AN1200" s="314"/>
      <c r="AO1200" s="314"/>
      <c r="AP1200" s="314"/>
      <c r="AQ1200" s="314"/>
      <c r="AR1200" s="314"/>
      <c r="AS1200" s="314"/>
      <c r="AT1200" s="314"/>
      <c r="AU1200" s="314"/>
      <c r="AV1200" s="314"/>
      <c r="AW1200" s="314"/>
      <c r="AX1200" s="314"/>
      <c r="AY1200" s="314"/>
      <c r="AZ1200" s="314"/>
      <c r="BA1200" s="314"/>
      <c r="BB1200" s="314"/>
      <c r="BC1200" s="314"/>
      <c r="BD1200" s="314"/>
      <c r="BE1200" s="314"/>
      <c r="BF1200" s="314"/>
      <c r="BG1200" s="364"/>
      <c r="BH1200" s="314"/>
      <c r="BI1200" s="314"/>
      <c r="BJ1200" s="314"/>
      <c r="BK1200" s="314"/>
      <c r="BL1200" s="314"/>
      <c r="BM1200" s="314"/>
      <c r="BN1200" s="314"/>
      <c r="BO1200" s="314"/>
      <c r="BP1200" s="314"/>
      <c r="BQ1200" s="314"/>
      <c r="BR1200" s="314"/>
      <c r="BS1200" s="314"/>
      <c r="BT1200" s="314"/>
      <c r="BU1200" s="314"/>
      <c r="BV1200" s="314"/>
      <c r="BW1200" s="314"/>
      <c r="BX1200" s="314"/>
      <c r="BY1200" s="314"/>
      <c r="BZ1200" s="314"/>
      <c r="CA1200" s="314"/>
      <c r="CB1200" s="314"/>
      <c r="CC1200" s="314"/>
      <c r="CD1200" s="314"/>
      <c r="CE1200" s="314"/>
      <c r="CF1200" s="314"/>
      <c r="CG1200" s="314"/>
      <c r="CH1200" s="314"/>
      <c r="CI1200" s="314"/>
      <c r="CJ1200" s="314"/>
      <c r="CK1200" s="314"/>
      <c r="CL1200" s="314"/>
      <c r="CM1200" s="314"/>
      <c r="CN1200" s="314"/>
      <c r="CO1200" s="314"/>
      <c r="CP1200" s="314"/>
      <c r="CQ1200" s="314"/>
    </row>
    <row r="1201" spans="1:95" ht="12.75" customHeight="1" thickBot="1" x14ac:dyDescent="0.3">
      <c r="A1201" s="462"/>
      <c r="B1201" s="76"/>
      <c r="C1201" s="76"/>
      <c r="D1201" s="1246" t="str">
        <f>Translations!$B$372</f>
        <v>Consumers' CRF category:</v>
      </c>
      <c r="E1201" s="1246"/>
      <c r="F1201" s="1247"/>
      <c r="G1201" s="1248"/>
      <c r="H1201" s="1249"/>
      <c r="I1201" s="1248"/>
      <c r="J1201" s="1249"/>
      <c r="K1201" s="1248"/>
      <c r="L1201" s="1249"/>
      <c r="M1201" s="463" t="str">
        <f>IF(AND(E1180&lt;&gt;"",COUNTA(G1201:L1201)=0,AX1201=FALSE),EUconst_ERR_Incomplete,"")</f>
        <v/>
      </c>
      <c r="N1201" s="76"/>
      <c r="O1201" s="160"/>
      <c r="P1201" s="109"/>
      <c r="Q1201" s="312"/>
      <c r="R1201" s="312"/>
      <c r="S1201" s="314"/>
      <c r="T1201" s="314"/>
      <c r="U1201" s="314"/>
      <c r="V1201" s="314"/>
      <c r="W1201" s="314"/>
      <c r="X1201" s="314"/>
      <c r="Y1201" s="314"/>
      <c r="Z1201" s="314"/>
      <c r="AA1201" s="314"/>
      <c r="AB1201" s="314"/>
      <c r="AC1201" s="314"/>
      <c r="AD1201" s="314"/>
      <c r="AE1201" s="314"/>
      <c r="AF1201" s="314"/>
      <c r="AG1201" s="314"/>
      <c r="AH1201" s="314"/>
      <c r="AI1201" s="314"/>
      <c r="AJ1201" s="314"/>
      <c r="AK1201" s="314"/>
      <c r="AL1201" s="314"/>
      <c r="AM1201" s="314"/>
      <c r="AN1201" s="314"/>
      <c r="AO1201" s="314"/>
      <c r="AP1201" s="314"/>
      <c r="AQ1201" s="314"/>
      <c r="AR1201" s="314"/>
      <c r="AS1201" s="314"/>
      <c r="AT1201" s="314"/>
      <c r="AU1201" s="314"/>
      <c r="AV1201" s="314"/>
      <c r="AW1201" s="314"/>
      <c r="AX1201" s="464" t="b">
        <f>AND(AV1197&lt;&gt;"",SUM(AV1197=1))</f>
        <v>0</v>
      </c>
      <c r="AY1201" s="314"/>
      <c r="AZ1201" s="314"/>
      <c r="BA1201" s="314"/>
      <c r="BB1201" s="314"/>
      <c r="BC1201" s="314"/>
      <c r="BD1201" s="314"/>
      <c r="BE1201" s="314"/>
      <c r="BF1201" s="361" t="s">
        <v>169</v>
      </c>
      <c r="BG1201" s="362" t="str">
        <f>IF(AN1186=EUconst_TJ,AV1186*AV1194,IF(AN1188=EUconst_GJ,AV1186*AV1188/1000*AV1194,""))</f>
        <v/>
      </c>
      <c r="BH1201" s="314"/>
      <c r="BI1201" s="314"/>
      <c r="BJ1201" s="314"/>
      <c r="BK1201" s="314"/>
      <c r="BL1201" s="314"/>
      <c r="BM1201" s="314"/>
      <c r="BN1201" s="314"/>
      <c r="BO1201" s="314"/>
      <c r="BP1201" s="314"/>
      <c r="BQ1201" s="314"/>
      <c r="BR1201" s="314"/>
      <c r="BS1201" s="314"/>
      <c r="BT1201" s="314"/>
      <c r="BU1201" s="314"/>
      <c r="BV1201" s="314"/>
      <c r="BW1201" s="314"/>
      <c r="BX1201" s="314"/>
      <c r="BY1201" s="314"/>
      <c r="BZ1201" s="314"/>
      <c r="CA1201" s="314"/>
      <c r="CB1201" s="314"/>
      <c r="CC1201" s="314"/>
      <c r="CD1201" s="314"/>
      <c r="CE1201" s="314"/>
      <c r="CF1201" s="314"/>
      <c r="CG1201" s="314"/>
      <c r="CH1201" s="314"/>
      <c r="CI1201" s="314"/>
      <c r="CJ1201" s="314"/>
      <c r="CK1201" s="314"/>
      <c r="CL1201" s="314"/>
      <c r="CM1201" s="314"/>
      <c r="CN1201" s="314"/>
      <c r="CO1201" s="314"/>
      <c r="CP1201" s="314"/>
      <c r="CQ1201" s="314"/>
    </row>
    <row r="1202" spans="1:95" ht="5.15" customHeight="1" x14ac:dyDescent="0.25">
      <c r="A1202" s="307"/>
      <c r="B1202" s="68"/>
      <c r="C1202" s="68"/>
      <c r="D1202" s="68"/>
      <c r="E1202" s="68"/>
      <c r="F1202" s="68"/>
      <c r="G1202" s="76"/>
      <c r="H1202" s="76"/>
      <c r="I1202" s="76"/>
      <c r="J1202" s="76"/>
      <c r="K1202" s="76"/>
      <c r="L1202" s="76"/>
      <c r="M1202" s="76"/>
      <c r="N1202" s="76"/>
      <c r="O1202" s="160"/>
      <c r="P1202" s="109"/>
      <c r="Q1202" s="312"/>
      <c r="R1202" s="312"/>
      <c r="S1202" s="314"/>
      <c r="T1202" s="314"/>
      <c r="U1202" s="314"/>
      <c r="V1202" s="314"/>
      <c r="W1202" s="314"/>
      <c r="X1202" s="314"/>
      <c r="Y1202" s="314"/>
      <c r="Z1202" s="314"/>
      <c r="AA1202" s="314"/>
      <c r="AB1202" s="314"/>
      <c r="AC1202" s="314"/>
      <c r="AD1202" s="314"/>
      <c r="AE1202" s="314"/>
      <c r="AF1202" s="314"/>
      <c r="AG1202" s="314"/>
      <c r="AH1202" s="314"/>
      <c r="AI1202" s="314"/>
      <c r="AJ1202" s="314"/>
      <c r="AK1202" s="314"/>
      <c r="AL1202" s="314"/>
      <c r="AM1202" s="314"/>
      <c r="AN1202" s="314"/>
      <c r="AO1202" s="314"/>
      <c r="AP1202" s="314"/>
      <c r="AQ1202" s="314"/>
      <c r="AR1202" s="314"/>
      <c r="AS1202" s="314"/>
      <c r="AT1202" s="314"/>
      <c r="AU1202" s="314"/>
      <c r="AV1202" s="314"/>
      <c r="AW1202" s="314"/>
      <c r="AX1202" s="314"/>
      <c r="AY1202" s="314"/>
      <c r="AZ1202" s="314"/>
      <c r="BA1202" s="314"/>
      <c r="BB1202" s="314"/>
      <c r="BC1202" s="314"/>
      <c r="BD1202" s="314"/>
      <c r="BE1202" s="314"/>
      <c r="BF1202" s="314"/>
      <c r="BG1202" s="314"/>
      <c r="BH1202" s="314"/>
      <c r="BI1202" s="314"/>
      <c r="BJ1202" s="314"/>
      <c r="BK1202" s="314"/>
      <c r="BL1202" s="314"/>
      <c r="BM1202" s="314"/>
      <c r="BN1202" s="314"/>
      <c r="BO1202" s="314"/>
      <c r="BP1202" s="314"/>
      <c r="BQ1202" s="314"/>
      <c r="BR1202" s="314"/>
      <c r="BS1202" s="314"/>
      <c r="BT1202" s="314"/>
      <c r="BU1202" s="314"/>
      <c r="BV1202" s="314"/>
      <c r="BW1202" s="314"/>
      <c r="BX1202" s="314"/>
      <c r="BY1202" s="314"/>
      <c r="BZ1202" s="314"/>
      <c r="CA1202" s="314"/>
      <c r="CB1202" s="314"/>
      <c r="CC1202" s="314"/>
      <c r="CD1202" s="314"/>
      <c r="CE1202" s="314"/>
      <c r="CF1202" s="314"/>
      <c r="CG1202" s="314"/>
      <c r="CH1202" s="314"/>
      <c r="CI1202" s="314"/>
      <c r="CJ1202" s="314"/>
      <c r="CK1202" s="314"/>
      <c r="CL1202" s="314"/>
      <c r="CM1202" s="314"/>
      <c r="CN1202" s="314"/>
      <c r="CO1202" s="314"/>
      <c r="CP1202" s="314"/>
      <c r="CQ1202" s="314"/>
    </row>
    <row r="1203" spans="1:95" ht="12.75" customHeight="1" x14ac:dyDescent="0.25">
      <c r="A1203" s="307"/>
      <c r="B1203" s="68"/>
      <c r="C1203" s="68"/>
      <c r="D1203" s="1246" t="str">
        <f>Translations!$B$399</f>
        <v>Tiers valid from:</v>
      </c>
      <c r="E1203" s="1246"/>
      <c r="F1203" s="1247"/>
      <c r="G1203" s="8"/>
      <c r="H1203" s="199" t="str">
        <f>Translations!$B$400</f>
        <v>until:</v>
      </c>
      <c r="I1203" s="8"/>
      <c r="J1203" s="76"/>
      <c r="K1203" s="76"/>
      <c r="L1203" s="76"/>
      <c r="M1203" s="199" t="str">
        <f>Translations!$B$401</f>
        <v>ID used in the monitoring plan for this fuel stream:</v>
      </c>
      <c r="N1203" s="9"/>
      <c r="O1203" s="160"/>
      <c r="P1203" s="109"/>
      <c r="Q1203" s="312"/>
      <c r="R1203" s="312"/>
      <c r="S1203" s="465"/>
      <c r="T1203" s="314"/>
      <c r="U1203" s="314"/>
      <c r="V1203" s="314"/>
      <c r="W1203" s="314"/>
      <c r="X1203" s="314"/>
      <c r="Y1203" s="314"/>
      <c r="Z1203" s="314"/>
      <c r="AA1203" s="314"/>
      <c r="AB1203" s="314"/>
      <c r="AC1203" s="314"/>
      <c r="AD1203" s="314"/>
      <c r="AE1203" s="314"/>
      <c r="AF1203" s="314"/>
      <c r="AG1203" s="314"/>
      <c r="AH1203" s="314"/>
      <c r="AI1203" s="314"/>
      <c r="AJ1203" s="314"/>
      <c r="AK1203" s="314"/>
      <c r="AL1203" s="314"/>
      <c r="AM1203" s="314"/>
      <c r="AN1203" s="314"/>
      <c r="AO1203" s="314"/>
      <c r="AP1203" s="314"/>
      <c r="AQ1203" s="314"/>
      <c r="AR1203" s="314"/>
      <c r="AS1203" s="314"/>
      <c r="AT1203" s="314"/>
      <c r="AU1203" s="314"/>
      <c r="AV1203" s="314"/>
      <c r="AW1203" s="314"/>
      <c r="AX1203" s="314"/>
      <c r="AY1203" s="314"/>
      <c r="AZ1203" s="314"/>
      <c r="BA1203" s="314"/>
      <c r="BB1203" s="314"/>
      <c r="BC1203" s="314"/>
      <c r="BD1203" s="314"/>
      <c r="BE1203" s="314"/>
      <c r="BF1203" s="314"/>
      <c r="BG1203" s="314"/>
      <c r="BH1203" s="314"/>
      <c r="BI1203" s="314"/>
      <c r="BJ1203" s="314"/>
      <c r="BK1203" s="314"/>
      <c r="BL1203" s="314"/>
      <c r="BM1203" s="314"/>
      <c r="BN1203" s="314"/>
      <c r="BO1203" s="314"/>
      <c r="BP1203" s="314"/>
      <c r="BQ1203" s="314"/>
      <c r="BR1203" s="314"/>
      <c r="BS1203" s="314"/>
      <c r="BT1203" s="314"/>
      <c r="BU1203" s="314"/>
      <c r="BV1203" s="314"/>
      <c r="BW1203" s="314"/>
      <c r="BX1203" s="314"/>
      <c r="BY1203" s="314"/>
      <c r="BZ1203" s="314"/>
      <c r="CA1203" s="314"/>
      <c r="CB1203" s="314"/>
      <c r="CC1203" s="314"/>
      <c r="CD1203" s="314"/>
      <c r="CE1203" s="314"/>
      <c r="CF1203" s="314"/>
      <c r="CG1203" s="314"/>
      <c r="CH1203" s="314"/>
      <c r="CI1203" s="314"/>
      <c r="CJ1203" s="314"/>
      <c r="CK1203" s="314"/>
      <c r="CL1203" s="314"/>
      <c r="CM1203" s="314"/>
      <c r="CN1203" s="314"/>
      <c r="CO1203" s="314"/>
      <c r="CP1203" s="314"/>
      <c r="CQ1203" s="464" t="b">
        <f>CQ1186</f>
        <v>0</v>
      </c>
    </row>
    <row r="1204" spans="1:95" ht="5.15" customHeight="1" x14ac:dyDescent="0.25">
      <c r="A1204" s="462"/>
      <c r="B1204" s="76"/>
      <c r="C1204" s="76"/>
      <c r="D1204" s="76"/>
      <c r="E1204" s="76"/>
      <c r="F1204" s="76"/>
      <c r="G1204" s="76"/>
      <c r="H1204" s="76"/>
      <c r="I1204" s="76"/>
      <c r="J1204" s="76"/>
      <c r="K1204" s="76"/>
      <c r="L1204" s="76"/>
      <c r="M1204" s="76"/>
      <c r="N1204" s="76"/>
      <c r="O1204" s="160"/>
      <c r="P1204" s="109"/>
      <c r="Q1204" s="312"/>
      <c r="R1204" s="312"/>
      <c r="S1204" s="314"/>
      <c r="T1204" s="314"/>
      <c r="U1204" s="314"/>
      <c r="V1204" s="314"/>
      <c r="W1204" s="314"/>
      <c r="X1204" s="314"/>
      <c r="Y1204" s="314"/>
      <c r="Z1204" s="314"/>
      <c r="AA1204" s="314"/>
      <c r="AB1204" s="314"/>
      <c r="AC1204" s="314"/>
      <c r="AD1204" s="314"/>
      <c r="AE1204" s="314"/>
      <c r="AF1204" s="314"/>
      <c r="AG1204" s="314"/>
      <c r="AH1204" s="314"/>
      <c r="AI1204" s="314"/>
      <c r="AJ1204" s="314"/>
      <c r="AK1204" s="314"/>
      <c r="AL1204" s="314"/>
      <c r="AM1204" s="314"/>
      <c r="AN1204" s="314"/>
      <c r="AO1204" s="314"/>
      <c r="AP1204" s="314"/>
      <c r="AQ1204" s="314"/>
      <c r="AR1204" s="314"/>
      <c r="AS1204" s="314"/>
      <c r="AT1204" s="314"/>
      <c r="AU1204" s="314"/>
      <c r="AV1204" s="314"/>
      <c r="AW1204" s="314"/>
      <c r="AX1204" s="314"/>
      <c r="AY1204" s="314"/>
      <c r="AZ1204" s="314"/>
      <c r="BA1204" s="314"/>
      <c r="BB1204" s="314"/>
      <c r="BC1204" s="314"/>
      <c r="BD1204" s="314"/>
      <c r="BE1204" s="314"/>
      <c r="BF1204" s="314"/>
      <c r="BG1204" s="314"/>
      <c r="BH1204" s="314"/>
      <c r="BI1204" s="314"/>
      <c r="BJ1204" s="314"/>
      <c r="BK1204" s="314"/>
      <c r="BL1204" s="314"/>
      <c r="BM1204" s="314"/>
      <c r="BN1204" s="314"/>
      <c r="BO1204" s="314"/>
      <c r="BP1204" s="314"/>
      <c r="BQ1204" s="314"/>
      <c r="BR1204" s="314"/>
      <c r="BS1204" s="314"/>
      <c r="BT1204" s="314"/>
      <c r="BU1204" s="314"/>
      <c r="BV1204" s="314"/>
      <c r="BW1204" s="314"/>
      <c r="BX1204" s="314"/>
      <c r="BY1204" s="314"/>
      <c r="BZ1204" s="314"/>
      <c r="CA1204" s="314"/>
      <c r="CB1204" s="314"/>
      <c r="CC1204" s="314"/>
      <c r="CD1204" s="314"/>
      <c r="CE1204" s="314"/>
      <c r="CF1204" s="314"/>
      <c r="CG1204" s="314"/>
      <c r="CH1204" s="314"/>
      <c r="CI1204" s="314"/>
      <c r="CJ1204" s="314"/>
      <c r="CK1204" s="314"/>
      <c r="CL1204" s="314"/>
      <c r="CM1204" s="314"/>
      <c r="CN1204" s="314"/>
      <c r="CO1204" s="314"/>
      <c r="CP1204" s="314"/>
      <c r="CQ1204" s="314"/>
    </row>
    <row r="1205" spans="1:95" ht="12.75" customHeight="1" x14ac:dyDescent="0.25">
      <c r="A1205" s="462"/>
      <c r="B1205" s="76"/>
      <c r="C1205" s="76"/>
      <c r="D1205" s="115"/>
      <c r="E1205" s="85"/>
      <c r="F1205" s="466" t="str">
        <f>Translations!$B$304</f>
        <v>Comments:</v>
      </c>
      <c r="G1205" s="1250"/>
      <c r="H1205" s="1251"/>
      <c r="I1205" s="1251"/>
      <c r="J1205" s="1251"/>
      <c r="K1205" s="1251"/>
      <c r="L1205" s="1251"/>
      <c r="M1205" s="1251"/>
      <c r="N1205" s="1252"/>
      <c r="O1205" s="160"/>
      <c r="P1205" s="109"/>
      <c r="Q1205" s="312"/>
      <c r="R1205" s="312"/>
      <c r="S1205" s="314"/>
      <c r="T1205" s="314"/>
      <c r="U1205" s="314"/>
      <c r="V1205" s="314"/>
      <c r="W1205" s="314"/>
      <c r="X1205" s="314"/>
      <c r="Y1205" s="314"/>
      <c r="Z1205" s="314"/>
      <c r="AA1205" s="314"/>
      <c r="AB1205" s="314"/>
      <c r="AC1205" s="314"/>
      <c r="AD1205" s="314"/>
      <c r="AE1205" s="314"/>
      <c r="AF1205" s="314"/>
      <c r="AG1205" s="314"/>
      <c r="AH1205" s="314"/>
      <c r="AI1205" s="314"/>
      <c r="AJ1205" s="314"/>
      <c r="AK1205" s="314"/>
      <c r="AL1205" s="314"/>
      <c r="AM1205" s="314"/>
      <c r="AN1205" s="314"/>
      <c r="AO1205" s="314"/>
      <c r="AP1205" s="314"/>
      <c r="AQ1205" s="314"/>
      <c r="AR1205" s="314"/>
      <c r="AS1205" s="314"/>
      <c r="AT1205" s="314"/>
      <c r="AU1205" s="314"/>
      <c r="AV1205" s="314"/>
      <c r="AW1205" s="314"/>
      <c r="AX1205" s="314"/>
      <c r="AY1205" s="314"/>
      <c r="AZ1205" s="314"/>
      <c r="BA1205" s="314"/>
      <c r="BB1205" s="314"/>
      <c r="BC1205" s="314"/>
      <c r="BD1205" s="314"/>
      <c r="BE1205" s="314"/>
      <c r="BF1205" s="314"/>
      <c r="BG1205" s="314"/>
      <c r="BH1205" s="314"/>
      <c r="BI1205" s="314"/>
      <c r="BJ1205" s="314"/>
      <c r="BK1205" s="314"/>
      <c r="BL1205" s="314"/>
      <c r="BM1205" s="314"/>
      <c r="BN1205" s="314"/>
      <c r="BO1205" s="314"/>
      <c r="BP1205" s="314"/>
      <c r="BQ1205" s="314"/>
      <c r="BR1205" s="314"/>
      <c r="BS1205" s="314"/>
      <c r="BT1205" s="314"/>
      <c r="BU1205" s="314"/>
      <c r="BV1205" s="314"/>
      <c r="BW1205" s="314"/>
      <c r="BX1205" s="314"/>
      <c r="BY1205" s="314"/>
      <c r="BZ1205" s="314"/>
      <c r="CA1205" s="314"/>
      <c r="CB1205" s="314"/>
      <c r="CC1205" s="314"/>
      <c r="CD1205" s="314"/>
      <c r="CE1205" s="314"/>
      <c r="CF1205" s="314"/>
      <c r="CG1205" s="314"/>
      <c r="CH1205" s="314"/>
      <c r="CI1205" s="314"/>
      <c r="CJ1205" s="314"/>
      <c r="CK1205" s="314"/>
      <c r="CL1205" s="314"/>
      <c r="CM1205" s="314"/>
      <c r="CN1205" s="314"/>
      <c r="CO1205" s="314"/>
      <c r="CP1205" s="314"/>
      <c r="CQ1205" s="464" t="b">
        <f>CQ1203</f>
        <v>0</v>
      </c>
    </row>
    <row r="1206" spans="1:95" ht="12.75" customHeight="1" thickBot="1" x14ac:dyDescent="0.3">
      <c r="A1206" s="307"/>
      <c r="B1206" s="76"/>
      <c r="C1206" s="308"/>
      <c r="D1206" s="309"/>
      <c r="E1206" s="310"/>
      <c r="F1206" s="308"/>
      <c r="G1206" s="311"/>
      <c r="H1206" s="311"/>
      <c r="I1206" s="311"/>
      <c r="J1206" s="311"/>
      <c r="K1206" s="311"/>
      <c r="L1206" s="311"/>
      <c r="M1206" s="311"/>
      <c r="N1206" s="311"/>
      <c r="O1206" s="160"/>
      <c r="P1206" s="109"/>
      <c r="Q1206" s="312"/>
      <c r="R1206" s="312"/>
      <c r="S1206" s="293"/>
      <c r="T1206" s="293"/>
      <c r="U1206" s="313"/>
      <c r="V1206" s="293"/>
      <c r="W1206" s="293"/>
      <c r="X1206" s="313"/>
      <c r="Y1206" s="293"/>
      <c r="Z1206" s="293"/>
      <c r="AA1206" s="293"/>
      <c r="AB1206" s="293"/>
      <c r="AC1206" s="293"/>
      <c r="AD1206" s="293"/>
      <c r="AE1206" s="293"/>
      <c r="AF1206" s="293"/>
      <c r="AG1206" s="293"/>
      <c r="AH1206" s="293"/>
      <c r="AI1206" s="293"/>
      <c r="AJ1206" s="293"/>
      <c r="AK1206" s="293"/>
      <c r="AL1206" s="293"/>
      <c r="AM1206" s="293"/>
      <c r="AN1206" s="293"/>
      <c r="AO1206" s="293"/>
      <c r="AP1206" s="293"/>
      <c r="AQ1206" s="293"/>
      <c r="AR1206" s="293"/>
      <c r="AS1206" s="293"/>
      <c r="AT1206" s="293"/>
      <c r="AU1206" s="293"/>
      <c r="AV1206" s="293"/>
      <c r="AW1206" s="293"/>
      <c r="AX1206" s="293"/>
      <c r="AY1206" s="293"/>
      <c r="AZ1206" s="293"/>
      <c r="BA1206" s="293"/>
      <c r="BB1206" s="293"/>
      <c r="BC1206" s="293"/>
      <c r="BD1206" s="293"/>
      <c r="BE1206" s="293"/>
      <c r="BF1206" s="293"/>
      <c r="BG1206" s="293"/>
      <c r="BH1206" s="293"/>
      <c r="BI1206" s="293"/>
      <c r="BJ1206" s="293"/>
      <c r="BK1206" s="293"/>
      <c r="BL1206" s="293"/>
      <c r="BM1206" s="314"/>
      <c r="BN1206" s="314"/>
      <c r="BO1206" s="314"/>
      <c r="BP1206" s="314"/>
      <c r="BQ1206" s="314"/>
      <c r="BR1206" s="314"/>
      <c r="BS1206" s="314"/>
      <c r="BT1206" s="314"/>
      <c r="BU1206" s="293"/>
      <c r="BV1206" s="293"/>
      <c r="BW1206" s="293"/>
      <c r="BX1206" s="293"/>
      <c r="BY1206" s="293"/>
      <c r="BZ1206" s="293"/>
      <c r="CA1206" s="293"/>
      <c r="CB1206" s="293"/>
      <c r="CC1206" s="293"/>
      <c r="CD1206" s="293"/>
      <c r="CE1206" s="293"/>
      <c r="CF1206" s="293"/>
      <c r="CG1206" s="293"/>
      <c r="CH1206" s="293"/>
      <c r="CI1206" s="293"/>
      <c r="CJ1206" s="293"/>
      <c r="CK1206" s="293"/>
      <c r="CL1206" s="293"/>
      <c r="CM1206" s="293"/>
      <c r="CN1206" s="293"/>
      <c r="CO1206" s="293"/>
      <c r="CP1206" s="293"/>
      <c r="CQ1206" s="293"/>
    </row>
    <row r="1207" spans="1:95" ht="12.75" customHeight="1" thickBot="1" x14ac:dyDescent="0.3">
      <c r="A1207" s="315"/>
      <c r="B1207" s="76"/>
      <c r="C1207" s="76"/>
      <c r="D1207" s="205"/>
      <c r="E1207" s="316"/>
      <c r="F1207" s="76"/>
      <c r="G1207" s="96"/>
      <c r="H1207" s="96"/>
      <c r="I1207" s="96"/>
      <c r="J1207" s="96"/>
      <c r="K1207" s="76"/>
      <c r="L1207" s="96"/>
      <c r="M1207" s="96"/>
      <c r="N1207" s="96"/>
      <c r="O1207" s="160"/>
      <c r="P1207" s="109"/>
      <c r="Q1207" s="312"/>
      <c r="R1207" s="312"/>
      <c r="S1207" s="287"/>
      <c r="T1207" s="317" t="str">
        <f>IF(ISBLANK(E1208),"",MATCH(E1208,CNTR_SourceStreamNames,0))</f>
        <v/>
      </c>
      <c r="U1207" s="318" t="str">
        <f>IF(ISBLANK(E1208),"",INDEX(B_IdentifyFuelStreams!$D$67:$D$116,MATCH(E1208,CNTR_SourceStreamNames,0)))</f>
        <v/>
      </c>
      <c r="V1207" s="301"/>
      <c r="W1207" s="138"/>
      <c r="X1207" s="138"/>
      <c r="Y1207" s="138"/>
      <c r="Z1207" s="293"/>
      <c r="AA1207" s="293"/>
      <c r="AB1207" s="293"/>
      <c r="AC1207" s="293"/>
      <c r="AD1207" s="293"/>
      <c r="AE1207" s="293"/>
      <c r="AF1207" s="293"/>
      <c r="AG1207" s="293"/>
      <c r="AH1207" s="293"/>
      <c r="AI1207" s="293"/>
      <c r="AJ1207" s="293"/>
      <c r="AK1207" s="312"/>
      <c r="AL1207" s="293"/>
      <c r="AM1207" s="293"/>
      <c r="AN1207" s="293"/>
      <c r="AO1207" s="293"/>
      <c r="AP1207" s="293"/>
      <c r="AQ1207" s="293"/>
      <c r="AR1207" s="293"/>
      <c r="AS1207" s="293"/>
      <c r="AT1207" s="293"/>
      <c r="AU1207" s="293"/>
      <c r="AV1207" s="293"/>
      <c r="AW1207" s="293"/>
      <c r="AX1207" s="293"/>
      <c r="AY1207" s="293"/>
      <c r="AZ1207" s="293"/>
      <c r="BA1207" s="293"/>
      <c r="BB1207" s="293"/>
      <c r="BC1207" s="293"/>
      <c r="BD1207" s="293"/>
      <c r="BE1207" s="293"/>
      <c r="BF1207" s="293"/>
      <c r="BG1207" s="293"/>
      <c r="BH1207" s="293"/>
      <c r="BI1207" s="293"/>
      <c r="BJ1207" s="138"/>
      <c r="BK1207" s="138"/>
      <c r="BL1207" s="138"/>
      <c r="BM1207" s="138"/>
      <c r="BN1207" s="138"/>
      <c r="BO1207" s="138"/>
      <c r="BP1207" s="138"/>
      <c r="BQ1207" s="138"/>
      <c r="BR1207" s="138"/>
      <c r="BS1207" s="138"/>
      <c r="BT1207" s="138"/>
      <c r="BU1207" s="138"/>
      <c r="BV1207" s="138"/>
      <c r="BW1207" s="138"/>
      <c r="BX1207" s="138"/>
      <c r="BY1207" s="138"/>
      <c r="BZ1207" s="138"/>
      <c r="CA1207" s="138"/>
      <c r="CB1207" s="138"/>
      <c r="CC1207" s="138"/>
      <c r="CD1207" s="138"/>
      <c r="CE1207" s="138"/>
      <c r="CF1207" s="138"/>
      <c r="CG1207" s="138"/>
      <c r="CH1207" s="138"/>
      <c r="CI1207" s="138"/>
      <c r="CJ1207" s="138"/>
      <c r="CK1207" s="138"/>
      <c r="CL1207" s="138"/>
      <c r="CM1207" s="138"/>
      <c r="CN1207" s="138"/>
      <c r="CO1207" s="138"/>
      <c r="CP1207" s="138"/>
      <c r="CQ1207" s="319" t="s">
        <v>107</v>
      </c>
    </row>
    <row r="1208" spans="1:95" ht="15" customHeight="1" thickBot="1" x14ac:dyDescent="0.3">
      <c r="A1208" s="320">
        <f>C1208</f>
        <v>42</v>
      </c>
      <c r="B1208" s="68"/>
      <c r="C1208" s="321">
        <f>C1180+1</f>
        <v>42</v>
      </c>
      <c r="D1208" s="68"/>
      <c r="E1208" s="1269"/>
      <c r="F1208" s="1270"/>
      <c r="G1208" s="1270"/>
      <c r="H1208" s="1270"/>
      <c r="I1208" s="1270"/>
      <c r="J1208" s="1271"/>
      <c r="K1208" s="1272" t="str">
        <f>IF(INDEX(B_IdentifyFuelStreams!$K$125:$K$174,MATCH(U1207,B_IdentifyFuelStreams!$D$125:$D$174,0))&gt;0,INDEX(B_IdentifyFuelStreams!$K$125:$K$174,MATCH(U1207,B_IdentifyFuelStreams!$D$125:$D$174,0)),"")</f>
        <v/>
      </c>
      <c r="L1208" s="1273"/>
      <c r="M1208" s="316" t="str">
        <f>Translations!$B$621</f>
        <v>Emissions:</v>
      </c>
      <c r="N1208" s="322" t="str">
        <f>IF(E1209="","",BG1214)</f>
        <v/>
      </c>
      <c r="O1208" s="323" t="str">
        <f>EUconst_tCO2</f>
        <v>tCO2</v>
      </c>
      <c r="P1208" s="324" t="str">
        <f>IF(AND(E1208&lt;&gt;"",COUNTIF(P1209:$P$1649,"PRINT")=0),"PRINT","")</f>
        <v/>
      </c>
      <c r="Q1208" s="325" t="str">
        <f>EUconst_SumCO2</f>
        <v>SUM_CO2</v>
      </c>
      <c r="R1208" s="312"/>
      <c r="S1208" s="287"/>
      <c r="T1208" s="287"/>
      <c r="U1208" s="287"/>
      <c r="V1208" s="301"/>
      <c r="W1208" s="138"/>
      <c r="X1208" s="293"/>
      <c r="Y1208" s="293"/>
      <c r="Z1208" s="293"/>
      <c r="AA1208" s="293"/>
      <c r="AB1208" s="293"/>
      <c r="AC1208" s="293"/>
      <c r="AD1208" s="293"/>
      <c r="AE1208" s="293"/>
      <c r="AF1208" s="293"/>
      <c r="AG1208" s="293"/>
      <c r="AH1208" s="293"/>
      <c r="AI1208" s="326"/>
      <c r="AJ1208" s="326"/>
      <c r="AK1208" s="326"/>
      <c r="AL1208" s="326"/>
      <c r="AM1208" s="326"/>
      <c r="AN1208" s="326"/>
      <c r="AO1208" s="326"/>
      <c r="AP1208" s="326"/>
      <c r="AQ1208" s="326"/>
      <c r="AR1208" s="326"/>
      <c r="AS1208" s="326"/>
      <c r="AT1208" s="326"/>
      <c r="AU1208" s="326"/>
      <c r="AV1208" s="326"/>
      <c r="AW1208" s="326"/>
      <c r="AX1208" s="326"/>
      <c r="AY1208" s="326"/>
      <c r="AZ1208" s="326"/>
      <c r="BA1208" s="326"/>
      <c r="BB1208" s="326"/>
      <c r="BC1208" s="326"/>
      <c r="BD1208" s="326"/>
      <c r="BE1208" s="326"/>
      <c r="BF1208" s="326"/>
      <c r="BG1208" s="326"/>
      <c r="BH1208" s="326"/>
      <c r="BI1208" s="327" t="str">
        <f>IF(E1208="","",E1208)</f>
        <v/>
      </c>
      <c r="BJ1208" s="328" t="str">
        <f>IF(F1214="","",F1214)</f>
        <v/>
      </c>
      <c r="BK1208" s="329">
        <f>AV1214</f>
        <v>0</v>
      </c>
      <c r="BL1208" s="329">
        <f>IF(BK1208="","",BK1208*(1-BP1208))</f>
        <v>0</v>
      </c>
      <c r="BM1208" s="328" t="str">
        <f>AJ1214</f>
        <v/>
      </c>
      <c r="BN1208" s="328" t="str">
        <f>IF(F1225="","",F1225)</f>
        <v/>
      </c>
      <c r="BO1208" s="327" t="str">
        <f>IF(G1225="","",G1225)</f>
        <v/>
      </c>
      <c r="BP1208" s="330">
        <f>AV1225</f>
        <v>0</v>
      </c>
      <c r="BQ1208" s="328" t="str">
        <f>IF(F1217="","",F1217)</f>
        <v/>
      </c>
      <c r="BR1208" s="330">
        <f>AV1217</f>
        <v>0</v>
      </c>
      <c r="BS1208" s="330" t="str">
        <f>AJ1217</f>
        <v/>
      </c>
      <c r="BT1208" s="328" t="str">
        <f>IF(F1216="","",F1216)</f>
        <v/>
      </c>
      <c r="BU1208" s="330">
        <f>IF(F1216=EUconst_NA,"",AV1216)</f>
        <v>0</v>
      </c>
      <c r="BV1208" s="330" t="str">
        <f>AJ1216</f>
        <v/>
      </c>
      <c r="BW1208" s="328" t="str">
        <f>IF(F1218="","",F1218)</f>
        <v/>
      </c>
      <c r="BX1208" s="330">
        <f>AV1218</f>
        <v>0</v>
      </c>
      <c r="BY1208" s="328" t="str">
        <f>IF(F1219="","",F1219)</f>
        <v/>
      </c>
      <c r="BZ1208" s="330">
        <f>AV1219</f>
        <v>0</v>
      </c>
      <c r="CA1208" s="330">
        <f>AV1220</f>
        <v>0</v>
      </c>
      <c r="CB1208" s="330">
        <f>AV1221</f>
        <v>0</v>
      </c>
      <c r="CC1208" s="330">
        <f>AV1222</f>
        <v>0</v>
      </c>
      <c r="CD1208" s="330">
        <f>AV1223</f>
        <v>0</v>
      </c>
      <c r="CE1208" s="329" t="str">
        <f>BG1214</f>
        <v/>
      </c>
      <c r="CF1208" s="329" t="str">
        <f>BG1216</f>
        <v/>
      </c>
      <c r="CG1208" s="329" t="str">
        <f>BG1217</f>
        <v/>
      </c>
      <c r="CH1208" s="329" t="str">
        <f>BG1218</f>
        <v/>
      </c>
      <c r="CI1208" s="329" t="str">
        <f>BG1219</f>
        <v/>
      </c>
      <c r="CJ1208" s="329" t="str">
        <f>BG1220</f>
        <v/>
      </c>
      <c r="CK1208" s="329" t="str">
        <f>BG1221</f>
        <v/>
      </c>
      <c r="CL1208" s="329">
        <f>BG1222</f>
        <v>0</v>
      </c>
      <c r="CM1208" s="329" t="str">
        <f>BG1223</f>
        <v/>
      </c>
      <c r="CN1208" s="329" t="str">
        <f>BG1225</f>
        <v/>
      </c>
      <c r="CO1208" s="329" t="str">
        <f>BG1229</f>
        <v/>
      </c>
      <c r="CP1208" s="329" t="str">
        <f>IF(COUNTIF(AO1217:AO1218,TRUE)=0,"",BH1214)</f>
        <v/>
      </c>
      <c r="CQ1208" s="331" t="b">
        <v>0</v>
      </c>
    </row>
    <row r="1209" spans="1:95" ht="15" customHeight="1" thickBot="1" x14ac:dyDescent="0.3">
      <c r="A1209" s="307"/>
      <c r="B1209" s="68"/>
      <c r="C1209" s="68"/>
      <c r="D1209" s="68"/>
      <c r="E1209" s="1274" t="str">
        <f>IF(ISBLANK(E1208),"",IF(INDEX(B_IdentifyFuelStreams!$E$67:$E$116,MATCH(U1207,B_IdentifyFuelStreams!$D$67:$D$116,0))&gt;0,INDEX(B_IdentifyFuelStreams!$E$67:$E$116,MATCH(U1207,B_IdentifyFuelStreams!$D$67:$D$116,0)),""))</f>
        <v/>
      </c>
      <c r="F1209" s="1275"/>
      <c r="G1209" s="1275"/>
      <c r="H1209" s="1275"/>
      <c r="I1209" s="1275"/>
      <c r="J1209" s="1276"/>
      <c r="K1209" s="1272" t="str">
        <f>IF(INDEX(B_IdentifyFuelStreams!$M$125:$M$174,MATCH(U1207,B_IdentifyFuelStreams!$D$125:$D$174,0))&gt;0,INDEX(B_IdentifyFuelStreams!$M$125:$M$174,MATCH(U1207,B_IdentifyFuelStreams!$D$125:$D$174,0)),"")</f>
        <v/>
      </c>
      <c r="L1209" s="1273"/>
      <c r="M1209" s="332" t="str">
        <f>Translations!$B$622</f>
        <v>zero-rated:</v>
      </c>
      <c r="N1209" s="333" t="str">
        <f>IF(E1209="","",SUM(BG1216,BG1218,BG1220))</f>
        <v/>
      </c>
      <c r="O1209" s="334" t="str">
        <f>EUconst_tCO2</f>
        <v>tCO2</v>
      </c>
      <c r="P1209" s="109"/>
      <c r="Q1209" s="325" t="str">
        <f>EUconst_SumBioCO2</f>
        <v>SUM_bioCO2</v>
      </c>
      <c r="R1209" s="312"/>
      <c r="S1209" s="287"/>
      <c r="T1209" s="287"/>
      <c r="U1209" s="287"/>
      <c r="V1209" s="301"/>
      <c r="W1209" s="138"/>
      <c r="X1209" s="293"/>
      <c r="Y1209" s="317" t="str">
        <f>Translations!$B$143</f>
        <v>Tiers</v>
      </c>
      <c r="Z1209" s="314"/>
      <c r="AA1209" s="314"/>
      <c r="AB1209" s="314"/>
      <c r="AC1209" s="314"/>
      <c r="AD1209" s="314"/>
      <c r="AE1209" s="317" t="s">
        <v>108</v>
      </c>
      <c r="AF1209" s="293"/>
      <c r="AG1209" s="335"/>
      <c r="AH1209" s="314"/>
      <c r="AI1209" s="314"/>
      <c r="AJ1209" s="335"/>
      <c r="AK1209" s="335"/>
      <c r="AL1209" s="326"/>
      <c r="AM1209" s="326"/>
      <c r="AN1209" s="326"/>
      <c r="AO1209" s="326"/>
      <c r="AP1209" s="326"/>
      <c r="AQ1209" s="317" t="s">
        <v>109</v>
      </c>
      <c r="AR1209" s="336"/>
      <c r="AS1209" s="336"/>
      <c r="AT1209" s="314"/>
      <c r="AU1209" s="314"/>
      <c r="AV1209" s="314"/>
      <c r="AW1209" s="314"/>
      <c r="AX1209" s="314"/>
      <c r="AY1209" s="314"/>
      <c r="AZ1209" s="317" t="s">
        <v>110</v>
      </c>
      <c r="BA1209" s="314"/>
      <c r="BB1209" s="314"/>
      <c r="BC1209" s="314"/>
      <c r="BD1209" s="314"/>
      <c r="BE1209" s="314"/>
      <c r="BF1209" s="317" t="s">
        <v>111</v>
      </c>
      <c r="BG1209" s="314"/>
      <c r="BH1209" s="314"/>
      <c r="BI1209" s="317" t="s">
        <v>112</v>
      </c>
      <c r="BJ1209" s="328" t="str">
        <f>Translations!$B$376</f>
        <v>RFA Tier</v>
      </c>
      <c r="BK1209" s="328" t="str">
        <f>Translations!$B$377</f>
        <v>RFA</v>
      </c>
      <c r="BL1209" s="328" t="str">
        <f>Translations!$B$378</f>
        <v>RFA (in scope)</v>
      </c>
      <c r="BM1209" s="328" t="str">
        <f>Translations!$B$379</f>
        <v>RFA Unit</v>
      </c>
      <c r="BN1209" s="328" t="str">
        <f>Translations!$B$380</f>
        <v>SF Tier</v>
      </c>
      <c r="BO1209" s="328" t="str">
        <f>Translations!$B$380</f>
        <v>SF Tier</v>
      </c>
      <c r="BP1209" s="328" t="str">
        <f>Translations!$B$381</f>
        <v>SF</v>
      </c>
      <c r="BQ1209" s="328" t="str">
        <f>Translations!$B$382</f>
        <v>EF Tier</v>
      </c>
      <c r="BR1209" s="328" t="str">
        <f>Translations!$B$383</f>
        <v>EF</v>
      </c>
      <c r="BS1209" s="328" t="str">
        <f>Translations!$B$384</f>
        <v>EF Unit</v>
      </c>
      <c r="BT1209" s="328" t="str">
        <f>Translations!$B$385</f>
        <v>UCF Tier</v>
      </c>
      <c r="BU1209" s="328" t="str">
        <f>Translations!$B$386</f>
        <v>UCF</v>
      </c>
      <c r="BV1209" s="328" t="str">
        <f>Translations!$B$387</f>
        <v>UCF Unit</v>
      </c>
      <c r="BW1209" s="328" t="str">
        <f>Translations!$B$388</f>
        <v>Bio Tier</v>
      </c>
      <c r="BX1209" s="328" t="s">
        <v>113</v>
      </c>
      <c r="BY1209" s="328" t="str">
        <f>Translations!$B$389</f>
        <v>NonSustBio Tier</v>
      </c>
      <c r="BZ1209" s="328" t="s">
        <v>114</v>
      </c>
      <c r="CA1209" s="328" t="s">
        <v>115</v>
      </c>
      <c r="CB1209" s="328" t="s">
        <v>116</v>
      </c>
      <c r="CC1209" s="328" t="s">
        <v>117</v>
      </c>
      <c r="CD1209" s="328" t="s">
        <v>118</v>
      </c>
      <c r="CE1209" s="328" t="s">
        <v>119</v>
      </c>
      <c r="CF1209" s="328" t="s">
        <v>120</v>
      </c>
      <c r="CG1209" s="328" t="str">
        <f>Translations!$B$392</f>
        <v>CO2 non-sust</v>
      </c>
      <c r="CH1209" s="328" t="s">
        <v>121</v>
      </c>
      <c r="CI1209" s="328" t="s">
        <v>122</v>
      </c>
      <c r="CJ1209" s="328" t="s">
        <v>123</v>
      </c>
      <c r="CK1209" s="328" t="s">
        <v>124</v>
      </c>
      <c r="CL1209" s="328" t="s">
        <v>125</v>
      </c>
      <c r="CM1209" s="328" t="str">
        <f>Translations!$B$551</f>
        <v>Energy content (bio), TJ</v>
      </c>
      <c r="CN1209" s="328" t="s">
        <v>126</v>
      </c>
      <c r="CO1209" s="328" t="s">
        <v>127</v>
      </c>
      <c r="CP1209" s="328" t="s">
        <v>128</v>
      </c>
      <c r="CQ1209" s="314"/>
    </row>
    <row r="1210" spans="1:95" ht="5.15" customHeight="1" thickBot="1" x14ac:dyDescent="0.3">
      <c r="A1210" s="307"/>
      <c r="B1210" s="68"/>
      <c r="C1210" s="68"/>
      <c r="D1210" s="68"/>
      <c r="E1210" s="68"/>
      <c r="F1210" s="68"/>
      <c r="G1210" s="68"/>
      <c r="H1210" s="76"/>
      <c r="I1210" s="76"/>
      <c r="J1210" s="76"/>
      <c r="K1210" s="76"/>
      <c r="L1210" s="76"/>
      <c r="M1210" s="76"/>
      <c r="N1210" s="76"/>
      <c r="O1210" s="160"/>
      <c r="P1210" s="109"/>
      <c r="Q1210" s="312"/>
      <c r="R1210" s="312"/>
      <c r="S1210" s="287"/>
      <c r="T1210" s="287"/>
      <c r="U1210" s="287"/>
      <c r="V1210" s="301"/>
      <c r="W1210" s="314"/>
      <c r="X1210" s="314"/>
      <c r="Y1210" s="312"/>
      <c r="Z1210" s="314"/>
      <c r="AA1210" s="314"/>
      <c r="AB1210" s="314"/>
      <c r="AC1210" s="314"/>
      <c r="AD1210" s="314"/>
      <c r="AE1210" s="314"/>
      <c r="AF1210" s="293"/>
      <c r="AG1210" s="314"/>
      <c r="AH1210" s="314"/>
      <c r="AI1210" s="314"/>
      <c r="AJ1210" s="335"/>
      <c r="AK1210" s="335"/>
      <c r="AL1210" s="326"/>
      <c r="AM1210" s="326"/>
      <c r="AN1210" s="326"/>
      <c r="AO1210" s="326"/>
      <c r="AP1210" s="326"/>
      <c r="AQ1210" s="314"/>
      <c r="AR1210" s="314"/>
      <c r="AS1210" s="314"/>
      <c r="AT1210" s="314"/>
      <c r="AU1210" s="314"/>
      <c r="AV1210" s="314"/>
      <c r="AW1210" s="314"/>
      <c r="AX1210" s="314"/>
      <c r="AY1210" s="314"/>
      <c r="AZ1210" s="314"/>
      <c r="BA1210" s="314"/>
      <c r="BB1210" s="314"/>
      <c r="BC1210" s="314"/>
      <c r="BD1210" s="314"/>
      <c r="BE1210" s="314"/>
      <c r="BF1210" s="314"/>
      <c r="BG1210" s="314"/>
      <c r="BH1210" s="314"/>
      <c r="BI1210" s="314"/>
      <c r="BJ1210" s="314"/>
      <c r="BK1210" s="314"/>
      <c r="BL1210" s="314"/>
      <c r="BM1210" s="314"/>
      <c r="BN1210" s="314"/>
      <c r="BO1210" s="314"/>
      <c r="BP1210" s="314"/>
      <c r="BQ1210" s="314"/>
      <c r="BR1210" s="314"/>
      <c r="BS1210" s="314"/>
      <c r="BT1210" s="314"/>
      <c r="BU1210" s="314"/>
      <c r="BV1210" s="314"/>
      <c r="BW1210" s="314"/>
      <c r="BX1210" s="314"/>
      <c r="BY1210" s="314"/>
      <c r="BZ1210" s="314"/>
      <c r="CA1210" s="314"/>
      <c r="CB1210" s="314"/>
      <c r="CC1210" s="314"/>
      <c r="CD1210" s="314"/>
      <c r="CE1210" s="314"/>
      <c r="CF1210" s="314"/>
      <c r="CG1210" s="314"/>
      <c r="CH1210" s="314"/>
      <c r="CI1210" s="314"/>
      <c r="CJ1210" s="314"/>
      <c r="CK1210" s="314"/>
      <c r="CL1210" s="314"/>
      <c r="CM1210" s="314"/>
      <c r="CN1210" s="314"/>
      <c r="CO1210" s="314"/>
      <c r="CP1210" s="314"/>
      <c r="CQ1210" s="314"/>
    </row>
    <row r="1211" spans="1:95" ht="12.75" customHeight="1" thickBot="1" x14ac:dyDescent="0.3">
      <c r="A1211" s="307"/>
      <c r="B1211" s="68"/>
      <c r="C1211" s="68"/>
      <c r="D1211" s="68"/>
      <c r="E1211" s="1253" t="str">
        <f>IF(E1208="","",HYPERLINK("#JUMP_E_Top",EUconst_FurtherGuidancePoint1))</f>
        <v/>
      </c>
      <c r="F1211" s="1253"/>
      <c r="G1211" s="1253"/>
      <c r="H1211" s="1253"/>
      <c r="I1211" s="1253"/>
      <c r="J1211" s="1253"/>
      <c r="K1211" s="1253"/>
      <c r="L1211" s="1253"/>
      <c r="M1211" s="1253"/>
      <c r="N1211" s="76"/>
      <c r="O1211" s="160"/>
      <c r="P1211" s="109"/>
      <c r="Q1211" s="325" t="str">
        <f>EUconst_SumNonSustBioCO2</f>
        <v>SUM_bioNonSustCO2</v>
      </c>
      <c r="R1211" s="337" t="str">
        <f>IF(E1209="","",BG1217)</f>
        <v/>
      </c>
      <c r="S1211" s="287"/>
      <c r="T1211" s="287"/>
      <c r="U1211" s="287"/>
      <c r="V1211" s="314"/>
      <c r="W1211" s="314"/>
      <c r="X1211" s="314"/>
      <c r="Y1211" s="293"/>
      <c r="Z1211" s="314"/>
      <c r="AA1211" s="314"/>
      <c r="AB1211" s="314"/>
      <c r="AC1211" s="314"/>
      <c r="AD1211" s="314"/>
      <c r="AE1211" s="314"/>
      <c r="AF1211" s="293"/>
      <c r="AG1211" s="314"/>
      <c r="AH1211" s="314"/>
      <c r="AI1211" s="314"/>
      <c r="AJ1211" s="335"/>
      <c r="AK1211" s="335"/>
      <c r="AL1211" s="326"/>
      <c r="AM1211" s="326"/>
      <c r="AN1211" s="326"/>
      <c r="AO1211" s="326"/>
      <c r="AP1211" s="326"/>
      <c r="AQ1211" s="314"/>
      <c r="AR1211" s="314"/>
      <c r="AS1211" s="314"/>
      <c r="AT1211" s="314"/>
      <c r="AU1211" s="314"/>
      <c r="AV1211" s="314"/>
      <c r="AW1211" s="314"/>
      <c r="AX1211" s="314"/>
      <c r="AY1211" s="314"/>
      <c r="AZ1211" s="314"/>
      <c r="BA1211" s="314"/>
      <c r="BB1211" s="314"/>
      <c r="BC1211" s="314"/>
      <c r="BD1211" s="314"/>
      <c r="BE1211" s="314"/>
      <c r="BF1211" s="314"/>
      <c r="BG1211" s="314"/>
      <c r="BH1211" s="314"/>
      <c r="BI1211" s="317" t="s">
        <v>129</v>
      </c>
      <c r="BJ1211" s="336"/>
      <c r="BK1211" s="327" t="str">
        <f>IF(G1229="","",G1229)</f>
        <v/>
      </c>
      <c r="BL1211" s="327" t="str">
        <f>IF(I1229="","",I1229)</f>
        <v/>
      </c>
      <c r="BM1211" s="327" t="str">
        <f>IF(K1229="","",K1229)</f>
        <v/>
      </c>
      <c r="BN1211" s="314"/>
      <c r="BO1211" s="314"/>
      <c r="BP1211" s="314"/>
      <c r="BQ1211" s="314"/>
      <c r="BR1211" s="314"/>
      <c r="BS1211" s="314"/>
      <c r="BT1211" s="319"/>
      <c r="BU1211" s="314"/>
      <c r="BV1211" s="314"/>
      <c r="BW1211" s="314"/>
      <c r="BX1211" s="314"/>
      <c r="BY1211" s="314"/>
      <c r="BZ1211" s="314"/>
      <c r="CA1211" s="314"/>
      <c r="CB1211" s="314"/>
      <c r="CC1211" s="314"/>
      <c r="CD1211" s="314"/>
      <c r="CE1211" s="314"/>
      <c r="CF1211" s="314"/>
      <c r="CG1211" s="314"/>
      <c r="CH1211" s="314"/>
      <c r="CI1211" s="314"/>
      <c r="CJ1211" s="314"/>
      <c r="CK1211" s="314"/>
      <c r="CL1211" s="314"/>
      <c r="CM1211" s="314"/>
      <c r="CN1211" s="314"/>
      <c r="CO1211" s="314"/>
      <c r="CP1211" s="314"/>
      <c r="CQ1211" s="314"/>
    </row>
    <row r="1212" spans="1:95" ht="5.15" customHeight="1" thickBot="1" x14ac:dyDescent="0.3">
      <c r="A1212" s="307"/>
      <c r="B1212" s="68"/>
      <c r="C1212" s="68"/>
      <c r="D1212" s="68"/>
      <c r="E1212" s="68"/>
      <c r="F1212" s="68"/>
      <c r="G1212" s="68"/>
      <c r="H1212" s="76"/>
      <c r="I1212" s="76"/>
      <c r="J1212" s="76"/>
      <c r="K1212" s="76"/>
      <c r="L1212" s="76"/>
      <c r="M1212" s="76"/>
      <c r="N1212" s="76"/>
      <c r="O1212" s="160"/>
      <c r="P1212" s="111"/>
      <c r="Q1212" s="287"/>
      <c r="R1212" s="111"/>
      <c r="S1212" s="287"/>
      <c r="T1212" s="287"/>
      <c r="U1212" s="287"/>
      <c r="V1212" s="314"/>
      <c r="W1212" s="314"/>
      <c r="X1212" s="314"/>
      <c r="Y1212" s="312"/>
      <c r="Z1212" s="314"/>
      <c r="AA1212" s="314"/>
      <c r="AB1212" s="314"/>
      <c r="AC1212" s="314"/>
      <c r="AD1212" s="314"/>
      <c r="AE1212" s="314"/>
      <c r="AF1212" s="293"/>
      <c r="AG1212" s="314"/>
      <c r="AH1212" s="314"/>
      <c r="AI1212" s="314"/>
      <c r="AJ1212" s="335"/>
      <c r="AK1212" s="335"/>
      <c r="AL1212" s="326"/>
      <c r="AM1212" s="326"/>
      <c r="AN1212" s="326"/>
      <c r="AO1212" s="326"/>
      <c r="AP1212" s="326"/>
      <c r="AQ1212" s="314"/>
      <c r="AR1212" s="314"/>
      <c r="AS1212" s="314"/>
      <c r="AT1212" s="314"/>
      <c r="AU1212" s="314"/>
      <c r="AV1212" s="314"/>
      <c r="AW1212" s="314"/>
      <c r="AX1212" s="314"/>
      <c r="AY1212" s="314"/>
      <c r="AZ1212" s="314"/>
      <c r="BA1212" s="314"/>
      <c r="BB1212" s="314"/>
      <c r="BC1212" s="314"/>
      <c r="BD1212" s="314"/>
      <c r="BE1212" s="314"/>
      <c r="BF1212" s="314"/>
      <c r="BG1212" s="314"/>
      <c r="BH1212" s="314"/>
      <c r="BI1212" s="314"/>
      <c r="BJ1212" s="314"/>
      <c r="BK1212" s="314"/>
      <c r="BL1212" s="314"/>
      <c r="BM1212" s="314"/>
      <c r="BN1212" s="314"/>
      <c r="BO1212" s="314"/>
      <c r="BP1212" s="314"/>
      <c r="BQ1212" s="314"/>
      <c r="BR1212" s="314"/>
      <c r="BS1212" s="314"/>
      <c r="BT1212" s="314"/>
      <c r="BU1212" s="314"/>
      <c r="BV1212" s="314"/>
      <c r="BW1212" s="314"/>
      <c r="BX1212" s="314"/>
      <c r="BY1212" s="314"/>
      <c r="BZ1212" s="314"/>
      <c r="CA1212" s="314"/>
      <c r="CB1212" s="314"/>
      <c r="CC1212" s="314"/>
      <c r="CD1212" s="314"/>
      <c r="CE1212" s="314"/>
      <c r="CF1212" s="314"/>
      <c r="CG1212" s="314"/>
      <c r="CH1212" s="314"/>
      <c r="CI1212" s="314"/>
      <c r="CJ1212" s="314"/>
      <c r="CK1212" s="314"/>
      <c r="CL1212" s="314"/>
      <c r="CM1212" s="314"/>
      <c r="CN1212" s="314"/>
      <c r="CO1212" s="314"/>
      <c r="CP1212" s="314"/>
      <c r="CQ1212" s="314"/>
    </row>
    <row r="1213" spans="1:95" ht="12.75" customHeight="1" thickBot="1" x14ac:dyDescent="0.3">
      <c r="A1213" s="307"/>
      <c r="B1213" s="68"/>
      <c r="C1213" s="68"/>
      <c r="D1213" s="68"/>
      <c r="E1213" s="68"/>
      <c r="F1213" s="338" t="str">
        <f>Translations!$B$127</f>
        <v>Tier</v>
      </c>
      <c r="G1213" s="1254" t="str">
        <f>Translations!$B$393</f>
        <v>tier description</v>
      </c>
      <c r="H1213" s="1254"/>
      <c r="I1213" s="1255" t="str">
        <f>Translations!$B$394</f>
        <v>Unit</v>
      </c>
      <c r="J1213" s="1255"/>
      <c r="K1213" s="1255" t="str">
        <f>Translations!$B$395</f>
        <v>Value</v>
      </c>
      <c r="L1213" s="1255"/>
      <c r="M1213" s="205" t="str">
        <f>Translations!$B$396</f>
        <v>error</v>
      </c>
      <c r="N1213" s="76"/>
      <c r="O1213" s="160"/>
      <c r="P1213" s="339"/>
      <c r="Q1213" s="325" t="str">
        <f>EUconst_SumEnergyIN</f>
        <v>SUM_EnergyIN</v>
      </c>
      <c r="R1213" s="340" t="str">
        <f>IF(E1209="","",BG1222)</f>
        <v/>
      </c>
      <c r="S1213" s="314"/>
      <c r="T1213" s="314"/>
      <c r="U1213" s="314"/>
      <c r="V1213" s="341" t="s">
        <v>130</v>
      </c>
      <c r="W1213" s="314"/>
      <c r="X1213" s="314"/>
      <c r="Y1213" s="312" t="s">
        <v>131</v>
      </c>
      <c r="Z1213" s="312" t="s">
        <v>132</v>
      </c>
      <c r="AA1213" s="314"/>
      <c r="AB1213" s="314"/>
      <c r="AC1213" s="336" t="s">
        <v>133</v>
      </c>
      <c r="AD1213" s="314"/>
      <c r="AE1213" s="314"/>
      <c r="AF1213" s="314" t="s">
        <v>134</v>
      </c>
      <c r="AG1213" s="314" t="s">
        <v>135</v>
      </c>
      <c r="AH1213" s="312" t="s">
        <v>136</v>
      </c>
      <c r="AI1213" s="335" t="s">
        <v>137</v>
      </c>
      <c r="AJ1213" s="335" t="s">
        <v>138</v>
      </c>
      <c r="AK1213" s="342" t="s">
        <v>139</v>
      </c>
      <c r="AL1213" s="326"/>
      <c r="AM1213" s="326"/>
      <c r="AN1213" s="326"/>
      <c r="AO1213" s="326"/>
      <c r="AP1213" s="326"/>
      <c r="AQ1213" s="314"/>
      <c r="AR1213" s="314" t="s">
        <v>134</v>
      </c>
      <c r="AS1213" s="314" t="s">
        <v>135</v>
      </c>
      <c r="AT1213" s="343" t="s">
        <v>140</v>
      </c>
      <c r="AU1213" s="335" t="s">
        <v>141</v>
      </c>
      <c r="AV1213" s="335" t="s">
        <v>142</v>
      </c>
      <c r="AW1213" s="342" t="s">
        <v>139</v>
      </c>
      <c r="AX1213" s="342" t="s">
        <v>139</v>
      </c>
      <c r="AY1213" s="314"/>
      <c r="AZ1213" s="314"/>
      <c r="BA1213" s="314"/>
      <c r="BB1213" s="314" t="s">
        <v>143</v>
      </c>
      <c r="BC1213" s="314"/>
      <c r="BD1213" s="314"/>
      <c r="BE1213" s="314"/>
      <c r="BF1213" s="314"/>
      <c r="BG1213" s="319" t="s">
        <v>144</v>
      </c>
      <c r="BH1213" s="314" t="s">
        <v>145</v>
      </c>
      <c r="BI1213" s="314"/>
      <c r="BJ1213" s="314"/>
      <c r="BK1213" s="314"/>
      <c r="BL1213" s="314"/>
      <c r="BM1213" s="314"/>
      <c r="BN1213" s="314"/>
      <c r="BO1213" s="314"/>
      <c r="BP1213" s="314"/>
      <c r="BQ1213" s="314"/>
      <c r="BR1213" s="314"/>
      <c r="BS1213" s="314"/>
      <c r="BT1213" s="314"/>
      <c r="BU1213" s="314"/>
      <c r="BV1213" s="314"/>
      <c r="BW1213" s="314"/>
      <c r="BX1213" s="314"/>
      <c r="BY1213" s="314"/>
      <c r="BZ1213" s="314"/>
      <c r="CA1213" s="314"/>
      <c r="CB1213" s="314"/>
      <c r="CC1213" s="314"/>
      <c r="CD1213" s="314"/>
      <c r="CE1213" s="314"/>
      <c r="CF1213" s="314"/>
      <c r="CG1213" s="314"/>
      <c r="CH1213" s="314"/>
      <c r="CI1213" s="314"/>
      <c r="CJ1213" s="314"/>
      <c r="CK1213" s="314"/>
      <c r="CL1213" s="314"/>
      <c r="CM1213" s="314"/>
      <c r="CN1213" s="314"/>
      <c r="CO1213" s="314"/>
      <c r="CP1213" s="314"/>
      <c r="CQ1213" s="319" t="s">
        <v>107</v>
      </c>
    </row>
    <row r="1214" spans="1:95" ht="12.75" customHeight="1" thickBot="1" x14ac:dyDescent="0.3">
      <c r="A1214" s="307"/>
      <c r="B1214" s="68"/>
      <c r="C1214" s="199" t="s">
        <v>12</v>
      </c>
      <c r="D1214" s="344" t="str">
        <f>Translations!$B$356</f>
        <v>RFA:</v>
      </c>
      <c r="E1214" s="345"/>
      <c r="F1214" s="6"/>
      <c r="G1214" s="1256" t="str">
        <f>IF(OR(ISBLANK(F1214),F1214=EUconst_NoTier),"",IF(Z1214=0,EUconst_NA,IF(ISERROR(Z1214),"",Z1214)))</f>
        <v/>
      </c>
      <c r="H1214" s="1257"/>
      <c r="I1214" s="346" t="str">
        <f>IF(J1214&lt;&gt;"","",AI1214)</f>
        <v/>
      </c>
      <c r="J1214" s="7"/>
      <c r="K1214" s="1258"/>
      <c r="L1214" s="1259"/>
      <c r="M1214" s="347" t="str">
        <f>IF(AND(E1209&lt;&gt;"",OR(F1214="",COUNT(K1214)=0),Y1214&lt;&gt;EUconst_NA),EUconst_ERR_Incomplete,"")</f>
        <v/>
      </c>
      <c r="N1214" s="76"/>
      <c r="O1214" s="160"/>
      <c r="P1214" s="348"/>
      <c r="Q1214" s="325" t="str">
        <f>EUconst_SumBioEnergyIN</f>
        <v>SUM_BioEnergyIN</v>
      </c>
      <c r="R1214" s="340" t="str">
        <f>IF(E1209="","",BG1223)</f>
        <v/>
      </c>
      <c r="S1214" s="314"/>
      <c r="T1214" s="349" t="str">
        <f>EUconst_CNTR_ActivityData&amp;E1209</f>
        <v>ActivityData_</v>
      </c>
      <c r="U1214" s="312"/>
      <c r="V1214" s="349" t="str">
        <f>IF(E1208="","",INDEX(B_IdentifyFuelStreams!$I$67:$I$116,MATCH(U1207,B_IdentifyFuelStreams!$D$67:$D$116,0)))</f>
        <v/>
      </c>
      <c r="W1214" s="335" t="s">
        <v>146</v>
      </c>
      <c r="X1214" s="312"/>
      <c r="Y1214" s="350" t="str">
        <f>IF(E1209="","",INDEX(EUwideConstants!$P$164:$P$200,MATCH(T1214,EUwideConstants!$S$164:$S$200,0)))</f>
        <v/>
      </c>
      <c r="Z1214" s="351" t="str">
        <f>IF(ISBLANK(F1214),"",IF(F1214=EUconst_NA,"",INDEX(EUwideConstants!$H:$O,MATCH(T1214,EUwideConstants!$S:$S,0),MATCH(F1214,CNTR_TierList,0))))</f>
        <v/>
      </c>
      <c r="AA1214" s="352" t="s">
        <v>136</v>
      </c>
      <c r="AB1214" s="335"/>
      <c r="AC1214" s="331" t="b">
        <f>E1208&lt;&gt;""</f>
        <v>0</v>
      </c>
      <c r="AD1214" s="314"/>
      <c r="AE1214" s="353" t="str">
        <f>EUconst_CNTR_ActivityData&amp;EUconst_Unit</f>
        <v>ActivityData_Unit</v>
      </c>
      <c r="AF1214" s="354" t="str">
        <f>IF(AC1214=TRUE, IF(COUNTIF(MSPara_SourceStreamCategory,V1214)=0,"",INDEX(MSPara_CalcFactorsMatrix,MATCH(V1214,MSPara_SourceStreamCategory,0),MATCH(AE1214&amp;"_"&amp;2,MSPara_CalcFactors,0))),"")</f>
        <v/>
      </c>
      <c r="AG1214" s="355" t="str">
        <f>IF(AC1214=TRUE, IF(COUNTIF(MSPara_SourceStreamCategory,V1214)=0,"",INDEX(MSPara_CalcFactorsMatrix,MATCH(V1214,MSPara_SourceStreamCategory,0),MATCH(AE1214&amp;"_"&amp;1,MSPara_CalcFactors,0))),"")</f>
        <v/>
      </c>
      <c r="AH1214" s="331" t="str">
        <f>IF(OR(AF1214="",AF1214=EUconst_NA),IF(OR(AG1214=EUconst_NA,AG1214=""),"",AG1214),AF1214)</f>
        <v/>
      </c>
      <c r="AI1214" s="350" t="str">
        <f>IF(AC1214=TRUE,IF(AH1214="",EUconst_t,AH1214),"")</f>
        <v/>
      </c>
      <c r="AJ1214" s="356" t="str">
        <f>IF(J1214="",AI1214,J1214)</f>
        <v/>
      </c>
      <c r="AK1214" s="357" t="b">
        <f>AND(E1208&lt;&gt;"",J1214&lt;&gt;"")</f>
        <v>0</v>
      </c>
      <c r="AL1214" s="326"/>
      <c r="AM1214" s="358" t="s">
        <v>147</v>
      </c>
      <c r="AN1214" s="359" t="str">
        <f>AJ1214</f>
        <v/>
      </c>
      <c r="AO1214" s="326"/>
      <c r="AP1214" s="326"/>
      <c r="AQ1214" s="349" t="str">
        <f>EUconst_CNTR_ActivityData&amp;EUconst_Value</f>
        <v>ActivityData_Value</v>
      </c>
      <c r="AR1214" s="336"/>
      <c r="AS1214" s="336"/>
      <c r="AT1214" s="331" t="b">
        <f>AND(AND(AH1214&lt;&gt;"",AJ1214&lt;&gt;""),AJ1214=AH1214)</f>
        <v>0</v>
      </c>
      <c r="AU1214" s="314"/>
      <c r="AV1214" s="331">
        <f>IF(Y1214=EUconst_NA,0,IF(COUNT(K1214:K1214)=0,0,IF(K1214="",#REF!,K1214)))</f>
        <v>0</v>
      </c>
      <c r="AW1214" s="360" t="b">
        <f>AND(AC1214=TRUE,OR(K1214&lt;&gt;"",AU1214=""))</f>
        <v>0</v>
      </c>
      <c r="AX1214" s="360" t="b">
        <f>AND(AC1214=TRUE,NOT(AW1214))</f>
        <v>0</v>
      </c>
      <c r="AY1214" s="314"/>
      <c r="AZ1214" s="314" t="s">
        <v>148</v>
      </c>
      <c r="BA1214" s="314" t="s">
        <v>149</v>
      </c>
      <c r="BB1214" s="360"/>
      <c r="BC1214" s="314" t="s">
        <v>150</v>
      </c>
      <c r="BD1214" s="314"/>
      <c r="BE1214" s="314"/>
      <c r="BF1214" s="361" t="s">
        <v>119</v>
      </c>
      <c r="BG1214" s="362" t="str">
        <f>IF(COUNTIF(AO1217:AO1218,TRUE)=0,"",BH1214*AV1225)</f>
        <v/>
      </c>
      <c r="BH1214" s="362" t="str">
        <f>IF(COUNTIF(AO1217:AO1218,TRUE)=0,"",AV1214*IF(AO1217,1,AV1216*AN1218)*AV1217-BH1216-BH1218-BH1220)</f>
        <v/>
      </c>
      <c r="BI1214" s="314"/>
      <c r="BJ1214" s="314"/>
      <c r="BK1214" s="314"/>
      <c r="BL1214" s="314"/>
      <c r="BM1214" s="314"/>
      <c r="BN1214" s="314"/>
      <c r="BO1214" s="314"/>
      <c r="BP1214" s="314"/>
      <c r="BQ1214" s="314"/>
      <c r="BR1214" s="314"/>
      <c r="BS1214" s="314"/>
      <c r="BT1214" s="314"/>
      <c r="BU1214" s="314"/>
      <c r="BV1214" s="314"/>
      <c r="BW1214" s="314"/>
      <c r="BX1214" s="314"/>
      <c r="BY1214" s="314"/>
      <c r="BZ1214" s="314"/>
      <c r="CA1214" s="314"/>
      <c r="CB1214" s="314"/>
      <c r="CC1214" s="314"/>
      <c r="CD1214" s="314"/>
      <c r="CE1214" s="314"/>
      <c r="CF1214" s="314"/>
      <c r="CG1214" s="314"/>
      <c r="CH1214" s="314"/>
      <c r="CI1214" s="314"/>
      <c r="CJ1214" s="314"/>
      <c r="CK1214" s="314"/>
      <c r="CL1214" s="314"/>
      <c r="CM1214" s="314"/>
      <c r="CN1214" s="314"/>
      <c r="CO1214" s="314"/>
      <c r="CP1214" s="314"/>
      <c r="CQ1214" s="360" t="b">
        <v>0</v>
      </c>
    </row>
    <row r="1215" spans="1:95" ht="5.15" customHeight="1" thickBot="1" x14ac:dyDescent="0.3">
      <c r="A1215" s="307"/>
      <c r="B1215" s="68"/>
      <c r="C1215" s="199"/>
      <c r="D1215" s="202"/>
      <c r="E1215" s="76"/>
      <c r="F1215" s="76"/>
      <c r="G1215" s="76"/>
      <c r="H1215" s="76" t="str">
        <f>Translations!$B$397</f>
        <v xml:space="preserve"> </v>
      </c>
      <c r="I1215" s="162"/>
      <c r="J1215" s="162"/>
      <c r="K1215" s="76"/>
      <c r="L1215" s="76"/>
      <c r="M1215" s="363"/>
      <c r="N1215" s="76"/>
      <c r="O1215" s="160"/>
      <c r="P1215" s="109"/>
      <c r="Q1215" s="312"/>
      <c r="R1215" s="312"/>
      <c r="S1215" s="314"/>
      <c r="T1215" s="62"/>
      <c r="U1215" s="312"/>
      <c r="V1215" s="314"/>
      <c r="W1215" s="314"/>
      <c r="X1215" s="312"/>
      <c r="Y1215" s="319"/>
      <c r="Z1215" s="314"/>
      <c r="AA1215" s="314"/>
      <c r="AB1215" s="314"/>
      <c r="AC1215" s="314"/>
      <c r="AD1215" s="314"/>
      <c r="AE1215" s="314"/>
      <c r="AF1215" s="314"/>
      <c r="AG1215" s="314"/>
      <c r="AH1215" s="314"/>
      <c r="AI1215" s="314"/>
      <c r="AJ1215" s="314"/>
      <c r="AK1215" s="314"/>
      <c r="AL1215" s="326"/>
      <c r="AM1215" s="326"/>
      <c r="AN1215" s="326"/>
      <c r="AO1215" s="326"/>
      <c r="AP1215" s="326"/>
      <c r="AQ1215" s="314"/>
      <c r="AR1215" s="314"/>
      <c r="AS1215" s="314"/>
      <c r="AT1215" s="314"/>
      <c r="AU1215" s="314"/>
      <c r="AV1215" s="314"/>
      <c r="AW1215" s="314"/>
      <c r="AX1215" s="314"/>
      <c r="AY1215" s="314"/>
      <c r="AZ1215" s="314"/>
      <c r="BA1215" s="314"/>
      <c r="BB1215" s="314"/>
      <c r="BC1215" s="314"/>
      <c r="BD1215" s="314"/>
      <c r="BE1215" s="314"/>
      <c r="BF1215" s="314"/>
      <c r="BG1215" s="364"/>
      <c r="BH1215" s="364"/>
      <c r="BI1215" s="314"/>
      <c r="BJ1215" s="314"/>
      <c r="BK1215" s="314"/>
      <c r="BL1215" s="314"/>
      <c r="BM1215" s="314"/>
      <c r="BN1215" s="314"/>
      <c r="BO1215" s="314"/>
      <c r="BP1215" s="314"/>
      <c r="BQ1215" s="314"/>
      <c r="BR1215" s="314"/>
      <c r="BS1215" s="314"/>
      <c r="BT1215" s="314"/>
      <c r="BU1215" s="314"/>
      <c r="BV1215" s="314"/>
      <c r="BW1215" s="314"/>
      <c r="BX1215" s="314"/>
      <c r="BY1215" s="314"/>
      <c r="BZ1215" s="314"/>
      <c r="CA1215" s="314"/>
      <c r="CB1215" s="314"/>
      <c r="CC1215" s="314"/>
      <c r="CD1215" s="314"/>
      <c r="CE1215" s="314"/>
      <c r="CF1215" s="314"/>
      <c r="CG1215" s="314"/>
      <c r="CH1215" s="314"/>
      <c r="CI1215" s="314"/>
      <c r="CJ1215" s="314"/>
      <c r="CK1215" s="314"/>
      <c r="CL1215" s="314"/>
      <c r="CM1215" s="314"/>
      <c r="CN1215" s="314"/>
      <c r="CO1215" s="314"/>
      <c r="CP1215" s="314"/>
      <c r="CQ1215" s="319"/>
    </row>
    <row r="1216" spans="1:95" ht="12.75" customHeight="1" x14ac:dyDescent="0.25">
      <c r="A1216" s="307"/>
      <c r="B1216" s="68"/>
      <c r="C1216" s="199" t="s">
        <v>13</v>
      </c>
      <c r="D1216" s="344" t="str">
        <f>Translations!$B$360</f>
        <v>UCF:</v>
      </c>
      <c r="E1216" s="345"/>
      <c r="F1216" s="10"/>
      <c r="G1216" s="1256" t="str">
        <f>IF(OR(ISBLANK(F1216),F1216=EUconst_NoTier),"",IF(Z1216=0,EUconst_NotApplicable,IF(ISERROR(Z1216),"",Z1216)))</f>
        <v/>
      </c>
      <c r="H1216" s="1257"/>
      <c r="I1216" s="365" t="str">
        <f>IF(J1216&lt;&gt;"","",AI1216)</f>
        <v/>
      </c>
      <c r="J1216" s="11"/>
      <c r="K1216" s="366" t="str">
        <f>IF(L1216="",AU1216,"")</f>
        <v/>
      </c>
      <c r="L1216" s="23"/>
      <c r="M1216" s="347" t="str">
        <f>IF(AND(E1209&lt;&gt;"",OR(F1216="",COUNT(K1216:L1216)=0),Y1216&lt;&gt;EUconst_NA),EUconst_ERR_Incomplete,IF(COUNTIF(BB1216:BD1216,TRUE)&gt;0,EUconst_ERR_Inconsistent,""))</f>
        <v/>
      </c>
      <c r="N1216" s="367"/>
      <c r="O1216" s="160"/>
      <c r="P1216" s="109"/>
      <c r="Q1216" s="312"/>
      <c r="R1216" s="312"/>
      <c r="S1216" s="314"/>
      <c r="T1216" s="368" t="str">
        <f>EUconst_CNTR_UCF&amp;E1209</f>
        <v>UCF_</v>
      </c>
      <c r="U1216" s="312"/>
      <c r="V1216" s="369" t="str">
        <f>V1217</f>
        <v/>
      </c>
      <c r="W1216" s="314"/>
      <c r="X1216" s="312"/>
      <c r="Y1216" s="370" t="str">
        <f>IF(E1209="","",IF(OR(F1216=EUconst_NA,W1216=TRUE),EUconst_NA,INDEX(EUwideConstants!$P$164:$P$200,MATCH(T1216,EUwideConstants!$S$164:$S$200,0))))</f>
        <v/>
      </c>
      <c r="Z1216" s="371" t="str">
        <f>IF(ISBLANK(F1216),"",IF(F1216=EUconst_NA,"",INDEX(EUwideConstants!$H:$O,MATCH(T1216,EUwideConstants!$S:$S,0),MATCH(F1216,CNTR_TierList,0))))</f>
        <v/>
      </c>
      <c r="AA1216" s="372" t="str">
        <f>IF(COUNTIF(EUconst_DefaultValues,Z1216)&gt;0,MATCH(Z1216,EUconst_DefaultValues,0),"")</f>
        <v/>
      </c>
      <c r="AB1216" s="314"/>
      <c r="AC1216" s="373" t="b">
        <f>AND(AC1214,Y1216&lt;&gt;EUconst_NA)</f>
        <v>0</v>
      </c>
      <c r="AD1216" s="314"/>
      <c r="AE1216" s="353" t="str">
        <f>EUconst_CNTR_UCF&amp;EUconst_Unit</f>
        <v>UCF_Unit</v>
      </c>
      <c r="AF1216" s="374" t="str">
        <f>IF(AC1216=TRUE, IF(COUNTIF(MSPara_SourceStreamCategory,V1216)=0,"",INDEX(MSPara_CalcFactorsMatrix,MATCH(V1216,MSPara_SourceStreamCategory,0),MATCH(AE1216&amp;"_"&amp;2,MSPara_CalcFactors,0))),"")</f>
        <v/>
      </c>
      <c r="AG1216" s="375" t="str">
        <f>IF(AC1216=TRUE, IF(COUNTIF(MSPara_SourceStreamCategory,V1216)=0,"",INDEX(MSPara_CalcFactorsMatrix,MATCH(V1216,MSPara_SourceStreamCategory,0),MATCH(AE1216&amp;"_"&amp;1,MSPara_CalcFactors,0))),"")</f>
        <v/>
      </c>
      <c r="AH1216" s="373" t="str">
        <f>IF(AA1216="","",INDEX(AF1216:AG1216,3-AA1216))</f>
        <v/>
      </c>
      <c r="AI1216" s="373" t="str">
        <f>IF(AC1216=TRUE,IF(OR(AH1216="",AH1216=EUconst_NA),EUconst_GJ&amp;"/"&amp;AJ1214,AH1216),"")</f>
        <v/>
      </c>
      <c r="AJ1216" s="373" t="str">
        <f>IF(J1216="",AI1216,J1216)</f>
        <v/>
      </c>
      <c r="AK1216" s="369" t="b">
        <f>AND(E1208&lt;&gt;"",J1216&lt;&gt;"")</f>
        <v>0</v>
      </c>
      <c r="AL1216" s="326"/>
      <c r="AM1216" s="358" t="s">
        <v>151</v>
      </c>
      <c r="AN1216" s="359" t="str">
        <f>IF(AJ1216="",EUconst_NA,IF(AN1214=EUconst_TJ,EUconst_TJ,INDEX(EUwideConstants!$C$135:$G$139,MATCH(AN1214,RFAUnits,0),MATCH(AJ1216,UCFUnits,0))))</f>
        <v>n.a.</v>
      </c>
      <c r="AO1216" s="326"/>
      <c r="AP1216" s="326"/>
      <c r="AQ1216" s="376" t="str">
        <f>EUconst_CNTR_UCF&amp;EUconst_Value</f>
        <v>UCF_Value</v>
      </c>
      <c r="AR1216" s="377" t="str">
        <f>IF(AC1216=TRUE,IF(COUNTIF(MSPara_SourceStreamCategory,V1216)=0,"",INDEX(MSPara_CalcFactorsMatrix,MATCH(V1216,MSPara_SourceStreamCategory,0),MATCH(AQ1216&amp;"_"&amp;2,MSPara_CalcFactors,0))),"")</f>
        <v/>
      </c>
      <c r="AS1216" s="378" t="str">
        <f>IF(AC1216=TRUE,IF(COUNTIF(MSPara_SourceStreamCategory,V1216)=0,"",INDEX(MSPara_CalcFactorsMatrix,MATCH(V1216,MSPara_SourceStreamCategory,0),MATCH(AQ1216&amp;"_"&amp;1,MSPara_CalcFactors,0))),"")</f>
        <v/>
      </c>
      <c r="AT1216" s="379" t="b">
        <f>AND(AND(AH1216&lt;&gt;"",AJ1216&lt;&gt;""),AJ1216=AH1216)</f>
        <v>0</v>
      </c>
      <c r="AU1216" s="380" t="str">
        <f>IF(AND(AA1216&lt;&gt;"",AT1216=TRUE),IF(OR(INDEX(AR1216:AS1216,3-AA1216)=EUconst_NA,INDEX(AR1216:AS1216,3-AA1216)=0),"",INDEX(AR1216:AS1216,3-AA1216)),"")</f>
        <v/>
      </c>
      <c r="AV1216" s="373">
        <f>IF(AC1216=TRUE,IF(COUNT(K1216:L1216)=0,0,IF(L1216="",K1216,L1216)),0)</f>
        <v>0</v>
      </c>
      <c r="AW1216" s="369" t="b">
        <f t="shared" ref="AW1216:AW1223" si="369">AND(AC1216=TRUE,OR(AND(F1216&lt;&gt;"",NOT(ISNUMBER(AA1216))),L1216&lt;&gt;"",F1216="",AU1216=""))</f>
        <v>0</v>
      </c>
      <c r="AX1216" s="381" t="b">
        <f t="shared" ref="AX1216:AX1223" si="370">AND(AC1216=TRUE,NOT(AW1216))</f>
        <v>0</v>
      </c>
      <c r="AY1216" s="314"/>
      <c r="AZ1216" s="382" t="b">
        <f t="shared" ref="AZ1216:AZ1223" si="371">AND(ISNUMBER(AA1216),AU1216="")</f>
        <v>0</v>
      </c>
      <c r="BA1216" s="383" t="b">
        <f t="shared" ref="BA1216:BA1223" si="372">AND(ISNUMBER(AA1216),AU1216&lt;&gt;AV1216)</f>
        <v>0</v>
      </c>
      <c r="BB1216" s="369" t="b">
        <f>AND(E1209&lt;&gt;"",F1216&lt;&gt;EUconst_NA,AN1216=EUconst_NA)</f>
        <v>0</v>
      </c>
      <c r="BC1216" s="369" t="b">
        <f t="shared" ref="BC1216:BC1223" si="373">AND(L1216&lt;&gt;"",Y1216=EUconst_NA)</f>
        <v>0</v>
      </c>
      <c r="BD1216" s="314"/>
      <c r="BE1216" s="314"/>
      <c r="BF1216" s="382" t="s">
        <v>152</v>
      </c>
      <c r="BG1216" s="384" t="str">
        <f>IF(COUNTIF(AO1217:AO1218,TRUE)=0,"",BH1216*AV1225)</f>
        <v/>
      </c>
      <c r="BH1216" s="384" t="str">
        <f>IF(COUNTIF(AO1217:AO1218,TRUE)=0,"",AV1214*IF(AO1217,1,AV1216*AN1218)*AV1217*AV1218)</f>
        <v/>
      </c>
      <c r="BI1216" s="314"/>
      <c r="BJ1216" s="314"/>
      <c r="BK1216" s="314"/>
      <c r="BL1216" s="314"/>
      <c r="BM1216" s="314"/>
      <c r="BN1216" s="314"/>
      <c r="BO1216" s="314"/>
      <c r="BP1216" s="314"/>
      <c r="BQ1216" s="314"/>
      <c r="BR1216" s="314"/>
      <c r="BS1216" s="314"/>
      <c r="BT1216" s="314"/>
      <c r="BU1216" s="314"/>
      <c r="BV1216" s="314"/>
      <c r="BW1216" s="314"/>
      <c r="BX1216" s="314"/>
      <c r="BY1216" s="314"/>
      <c r="BZ1216" s="314"/>
      <c r="CA1216" s="314"/>
      <c r="CB1216" s="314"/>
      <c r="CC1216" s="314"/>
      <c r="CD1216" s="314"/>
      <c r="CE1216" s="314"/>
      <c r="CF1216" s="314"/>
      <c r="CG1216" s="314"/>
      <c r="CH1216" s="314"/>
      <c r="CI1216" s="314"/>
      <c r="CJ1216" s="314"/>
      <c r="CK1216" s="314"/>
      <c r="CL1216" s="314"/>
      <c r="CM1216" s="314"/>
      <c r="CN1216" s="314"/>
      <c r="CO1216" s="314"/>
      <c r="CP1216" s="314"/>
      <c r="CQ1216" s="369" t="b">
        <f>OR(CQ1214,Y1216=EUconst_NA)</f>
        <v>0</v>
      </c>
    </row>
    <row r="1217" spans="1:95" ht="12.75" customHeight="1" thickBot="1" x14ac:dyDescent="0.3">
      <c r="A1217" s="307"/>
      <c r="B1217" s="68"/>
      <c r="C1217" s="199" t="s">
        <v>14</v>
      </c>
      <c r="D1217" s="344" t="str">
        <f>Translations!$B$358</f>
        <v>(prelim) EF:</v>
      </c>
      <c r="E1217" s="345"/>
      <c r="F1217" s="59"/>
      <c r="G1217" s="1256" t="str">
        <f>IF(OR(ISBLANK(F1217),F1217=EUconst_NoTier),"",IF(Z1217=0,EUconst_NotApplicable,IF(ISERROR(Z1217),"",Z1217)))</f>
        <v/>
      </c>
      <c r="H1217" s="1260"/>
      <c r="I1217" s="385" t="str">
        <f>IF(J1217&lt;&gt;"","",AI1217)</f>
        <v/>
      </c>
      <c r="J1217" s="22"/>
      <c r="K1217" s="386" t="str">
        <f>IF(L1217="",AU1217,"")</f>
        <v/>
      </c>
      <c r="L1217" s="58"/>
      <c r="M1217" s="347" t="str">
        <f>IF(AND(E1209&lt;&gt;"",OR(F1217="",COUNT(K1217:L1217)=0),Y1217&lt;&gt;EUconst_NA),EUconst_ERR_Incomplete,IF(COUNTIF(BB1217:BD1217,TRUE)&gt;0,EUconst_ERR_Inconsistent,""))</f>
        <v/>
      </c>
      <c r="N1217" s="387"/>
      <c r="O1217" s="160"/>
      <c r="P1217" s="109"/>
      <c r="Q1217" s="312"/>
      <c r="R1217" s="312"/>
      <c r="S1217" s="314"/>
      <c r="T1217" s="388" t="str">
        <f>EUconst_CNTR_EF&amp;E1209</f>
        <v>EF_</v>
      </c>
      <c r="U1217" s="312"/>
      <c r="V1217" s="389" t="str">
        <f>V1214</f>
        <v/>
      </c>
      <c r="W1217" s="314"/>
      <c r="X1217" s="312"/>
      <c r="Y1217" s="390" t="str">
        <f>IF(E1209="","",IF(OR(F1217=EUconst_NA,W1217=TRUE),EUconst_NA,INDEX(EUwideConstants!$P$164:$P$200,MATCH(T1217,EUwideConstants!$S$164:$S$200,0))))</f>
        <v/>
      </c>
      <c r="Z1217" s="391" t="str">
        <f>IF(ISBLANK(F1217),"",IF(F1217=EUconst_NA,"",INDEX(EUwideConstants!$H:$O,MATCH(T1217,EUwideConstants!$S:$S,0),MATCH(F1217,CNTR_TierList,0))))</f>
        <v/>
      </c>
      <c r="AA1217" s="392" t="str">
        <f>IF(COUNTIF(EUconst_DefaultValues,Z1217)&gt;0,MATCH(Z1217,EUconst_DefaultValues,0),"")</f>
        <v/>
      </c>
      <c r="AB1217" s="314"/>
      <c r="AC1217" s="393" t="b">
        <f>AND(AC1214,Y1217&lt;&gt;EUconst_NA)</f>
        <v>0</v>
      </c>
      <c r="AD1217" s="314"/>
      <c r="AE1217" s="394" t="str">
        <f>EUconst_CNTR_EF&amp;EUconst_Unit</f>
        <v>EF_Unit</v>
      </c>
      <c r="AF1217" s="395" t="str">
        <f>IF(AC1217=TRUE, IF(COUNTIF(MSPara_SourceStreamCategory,V1217)=0,"",INDEX(MSPara_CalcFactorsMatrix,MATCH(V1217,MSPara_SourceStreamCategory,0),MATCH(AE1217&amp;"_"&amp;2,MSPara_CalcFactors,0))),"")</f>
        <v/>
      </c>
      <c r="AG1217" s="396" t="str">
        <f>IF(AC1217=TRUE, IF(COUNTIF(MSPara_SourceStreamCategory,V1217)=0,"",INDEX(MSPara_CalcFactorsMatrix,MATCH(V1217,MSPara_SourceStreamCategory,0),MATCH(AE1217&amp;"_"&amp;1,MSPara_CalcFactors,0))),"")</f>
        <v/>
      </c>
      <c r="AH1217" s="397" t="str">
        <f>IF(AA1217="","",INDEX(AF1217:AG1217,3-AA1217))</f>
        <v/>
      </c>
      <c r="AI1217" s="397" t="str">
        <f>IF(AC1217=TRUE,IF(OR(AH1217="",AH1217=EUconst_NA),EUconst_tCO2&amp;"/"&amp;IF(AN1216=EUconst_NA,AN1214,IF(AN1216=EUconst_GJ,EUconst_TJ,AN1216)),AH1217),"")</f>
        <v/>
      </c>
      <c r="AJ1217" s="397" t="str">
        <f>IF(J1217="",AI1217,J1217)</f>
        <v/>
      </c>
      <c r="AK1217" s="398" t="b">
        <f>AND(E1209&lt;&gt;"",J1217&lt;&gt;"")</f>
        <v>0</v>
      </c>
      <c r="AL1217" s="326"/>
      <c r="AM1217" s="358" t="s">
        <v>153</v>
      </c>
      <c r="AN1217" s="359" t="str">
        <f>IF(COUNTIF(RFAUnits,AN1214)=0,EUconst_NA,INDEX(EUwideConstants!$C$150:$H$154,MATCH(AJ1217,EFUnits,0),MATCH(AN1214,EUwideConstants!$C$149:$H$149,0)))</f>
        <v>n.a.</v>
      </c>
      <c r="AO1217" s="359" t="b">
        <f>AN1217&lt;&gt;EUconst_NA</f>
        <v>0</v>
      </c>
      <c r="AP1217" s="326"/>
      <c r="AQ1217" s="399" t="str">
        <f>EUconst_CNTR_EF&amp;EUconst_Value</f>
        <v>EF_Value</v>
      </c>
      <c r="AR1217" s="400" t="str">
        <f>IF(AC1217=TRUE,IF(COUNTIF(MSPara_SourceStreamCategory,V1217)=0,"",INDEX(MSPara_CalcFactorsMatrix,MATCH(V1217,MSPara_SourceStreamCategory,0),MATCH(AQ1217&amp;"_"&amp;2,MSPara_CalcFactors,0))),"")</f>
        <v/>
      </c>
      <c r="AS1217" s="401" t="str">
        <f>IF(AC1217=TRUE,IF(COUNTIF(MSPara_SourceStreamCategory,V1217)=0,"",INDEX(MSPara_CalcFactorsMatrix,MATCH(V1217,MSPara_SourceStreamCategory,0),MATCH(AQ1217&amp;"_"&amp;1,MSPara_CalcFactors,0))),"")</f>
        <v/>
      </c>
      <c r="AT1217" s="402" t="b">
        <f>AND(AND(AH1217&lt;&gt;"",AJ1217&lt;&gt;""),AJ1217=AH1217)</f>
        <v>0</v>
      </c>
      <c r="AU1217" s="403" t="str">
        <f>IF(AND(AA1217&lt;&gt;"",AT1217=TRUE),IF(OR(INDEX(AR1217:AS1217,3-AA1217)=EUconst_NA,INDEX(AR1217:AS1217,3-AA1217)=0),"",INDEX(AR1217:AS1217,3-AA1217)),"")</f>
        <v/>
      </c>
      <c r="AV1217" s="393">
        <f>IF(AC1217=TRUE,IF(COUNT(K1217:L1217)=0,0,IF(L1217="",K1217,L1217)),0)</f>
        <v>0</v>
      </c>
      <c r="AW1217" s="389" t="b">
        <f t="shared" si="369"/>
        <v>0</v>
      </c>
      <c r="AX1217" s="404" t="b">
        <f t="shared" si="370"/>
        <v>0</v>
      </c>
      <c r="AY1217" s="314"/>
      <c r="AZ1217" s="405" t="b">
        <f t="shared" si="371"/>
        <v>0</v>
      </c>
      <c r="BA1217" s="406" t="b">
        <f t="shared" si="372"/>
        <v>0</v>
      </c>
      <c r="BB1217" s="407" t="b">
        <f>AND(E1209&lt;&gt;"",COUNTIF(AO1217:AO1218,TRUE)=0)</f>
        <v>0</v>
      </c>
      <c r="BC1217" s="389" t="b">
        <f t="shared" si="373"/>
        <v>0</v>
      </c>
      <c r="BD1217" s="314"/>
      <c r="BE1217" s="314"/>
      <c r="BF1217" s="408" t="s">
        <v>154</v>
      </c>
      <c r="BG1217" s="409" t="str">
        <f>IF(COUNTIF(AO1217:AO1218,TRUE)=0,"",BH1217*AV1225)</f>
        <v/>
      </c>
      <c r="BH1217" s="409" t="str">
        <f>IF(COUNTIF(AO1217:AO1218,TRUE)=0,"",AV1214*IF(AO1217,1,AV1216*AN1218)*AV1217*AV1219)</f>
        <v/>
      </c>
      <c r="BI1217" s="314"/>
      <c r="BJ1217" s="314"/>
      <c r="BK1217" s="314"/>
      <c r="BL1217" s="314"/>
      <c r="BM1217" s="314"/>
      <c r="BN1217" s="314"/>
      <c r="BO1217" s="314"/>
      <c r="BP1217" s="314"/>
      <c r="BQ1217" s="314"/>
      <c r="BR1217" s="314"/>
      <c r="BS1217" s="314"/>
      <c r="BT1217" s="314"/>
      <c r="BU1217" s="314"/>
      <c r="BV1217" s="314"/>
      <c r="BW1217" s="314"/>
      <c r="BX1217" s="314"/>
      <c r="BY1217" s="314"/>
      <c r="BZ1217" s="314"/>
      <c r="CA1217" s="314"/>
      <c r="CB1217" s="314"/>
      <c r="CC1217" s="314"/>
      <c r="CD1217" s="314"/>
      <c r="CE1217" s="314"/>
      <c r="CF1217" s="314"/>
      <c r="CG1217" s="314"/>
      <c r="CH1217" s="314"/>
      <c r="CI1217" s="314"/>
      <c r="CJ1217" s="314"/>
      <c r="CK1217" s="314"/>
      <c r="CL1217" s="314"/>
      <c r="CM1217" s="314"/>
      <c r="CN1217" s="314"/>
      <c r="CO1217" s="314"/>
      <c r="CP1217" s="314"/>
      <c r="CQ1217" s="407" t="b">
        <f>OR(CQ1214,Y1217=EUconst_NA)</f>
        <v>0</v>
      </c>
    </row>
    <row r="1218" spans="1:95" ht="12.75" customHeight="1" x14ac:dyDescent="0.25">
      <c r="A1218" s="307"/>
      <c r="B1218" s="68"/>
      <c r="C1218" s="199" t="s">
        <v>15</v>
      </c>
      <c r="D1218" s="344" t="str">
        <f>Translations!$B$362</f>
        <v>BioF:</v>
      </c>
      <c r="E1218" s="345"/>
      <c r="F1218" s="10"/>
      <c r="G1218" s="1256" t="str">
        <f>IF(OR(ISBLANK(F1218),F1218=EUconst_NoTier),"",IF(Z1218=0,EUconst_NotApplicable,IF(ISERROR(Z1218),"",Z1218)))</f>
        <v/>
      </c>
      <c r="H1218" s="1257"/>
      <c r="I1218" s="410" t="str">
        <f t="shared" ref="I1218:I1223" si="374">IF(OR(AC1218=FALSE,Y1218=EUconst_NA),"","-")</f>
        <v/>
      </c>
      <c r="J1218" s="411"/>
      <c r="K1218" s="412" t="str">
        <f>IF(L1218="",AU1218,"")</f>
        <v/>
      </c>
      <c r="L1218" s="60"/>
      <c r="M1218" s="347" t="str">
        <f>IF(AND(E1209&lt;&gt;"",OR(F1218="",COUNT(K1218:L1218)=0),Y1218&lt;&gt;EUconst_NA),EUconst_ERR_Incomplete,IF(COUNTIF(BB1218:BD1218,TRUE)&gt;0,EUconst_ERR_Inconsistent,""))</f>
        <v/>
      </c>
      <c r="O1218" s="160"/>
      <c r="P1218" s="348"/>
      <c r="Q1218" s="413"/>
      <c r="R1218" s="413"/>
      <c r="S1218" s="314"/>
      <c r="T1218" s="388" t="str">
        <f>EUconst_CNTR_BiomassContent&amp;E1209</f>
        <v>BioC_</v>
      </c>
      <c r="U1218" s="312"/>
      <c r="V1218" s="369" t="str">
        <f>V1216</f>
        <v/>
      </c>
      <c r="W1218" s="369" t="str">
        <f>IF(OR(V1218="",COUNTIF(MSPara_SourceStreamCategory,V1218)=0),"",INDEX(MSPara_IsFossil,MATCH(V1218,MSPara_SourceStreamCategory,0)))</f>
        <v/>
      </c>
      <c r="X1218" s="312"/>
      <c r="Y1218" s="370" t="str">
        <f>IF(E1209="","",IF(OR(F1218=EUconst_NA,W1218=TRUE),EUconst_NA,INDEX(EUwideConstants!$P$164:$P$200,MATCH(T1218,EUwideConstants!$S$164:$S$200,0))))</f>
        <v/>
      </c>
      <c r="Z1218" s="371" t="str">
        <f>IF(ISBLANK(F1218),"",IF(F1218=EUconst_NA,"",INDEX(EUwideConstants!$H:$O,MATCH(T1218,EUwideConstants!$S:$S,0),MATCH(F1218,CNTR_TierList,0))))</f>
        <v/>
      </c>
      <c r="AA1218" s="414" t="str">
        <f>IF(F1218=1,1,"")</f>
        <v/>
      </c>
      <c r="AB1218" s="314"/>
      <c r="AC1218" s="373" t="b">
        <f>AND(AC1214,Y1218&lt;&gt;EUconst_NA)</f>
        <v>0</v>
      </c>
      <c r="AD1218" s="314"/>
      <c r="AE1218" s="415"/>
      <c r="AF1218" s="416"/>
      <c r="AG1218" s="417"/>
      <c r="AH1218" s="418"/>
      <c r="AI1218" s="418"/>
      <c r="AJ1218" s="418"/>
      <c r="AK1218" s="419"/>
      <c r="AL1218" s="326"/>
      <c r="AM1218" s="358" t="s">
        <v>155</v>
      </c>
      <c r="AN1218" s="359" t="str">
        <f>IF(AN1216=EUconst_NA,EUconst_NA,INDEX(EUwideConstants!$C$150:$H$154,MATCH(AJ1217,EFUnits,0),MATCH(AN1216,EUwideConstants!$C$149:$H$149,0)))</f>
        <v>n.a.</v>
      </c>
      <c r="AO1218" s="359" t="b">
        <f>AN1218&lt;&gt;EUconst_NA</f>
        <v>0</v>
      </c>
      <c r="AP1218" s="326"/>
      <c r="AQ1218" s="376" t="str">
        <f>EUconst_CNTR_BiomassContent&amp;EUconst_Value</f>
        <v>BioC_Value</v>
      </c>
      <c r="AR1218" s="420"/>
      <c r="AS1218" s="378" t="str">
        <f t="shared" ref="AS1218:AS1223" si="375">IF(AC1218=TRUE,IF(COUNTIF(MSPara_SourceStreamCategory,V1218)=0,"",INDEX(MSPara_CalcFactorsMatrix,MATCH(V1218,MSPara_SourceStreamCategory,0),MATCH(AQ1218&amp;"_"&amp;2,MSPara_CalcFactors,0))),"")</f>
        <v/>
      </c>
      <c r="AT1218" s="421"/>
      <c r="AU1218" s="380" t="str">
        <f t="shared" ref="AU1218:AU1223" si="376">IF(OR(AA1218="",AS1218=EUconst_NA),"",AS1218)</f>
        <v/>
      </c>
      <c r="AV1218" s="373">
        <f>IF(AC1218=TRUE,IF(COUNT(K1218:L1218)=0,0,IF(L1218="",K1218,L1218)),0)</f>
        <v>0</v>
      </c>
      <c r="AW1218" s="369" t="b">
        <f t="shared" si="369"/>
        <v>0</v>
      </c>
      <c r="AX1218" s="381" t="b">
        <f t="shared" si="370"/>
        <v>0</v>
      </c>
      <c r="AY1218" s="314"/>
      <c r="AZ1218" s="382" t="b">
        <f t="shared" si="371"/>
        <v>0</v>
      </c>
      <c r="BA1218" s="383" t="b">
        <f t="shared" si="372"/>
        <v>0</v>
      </c>
      <c r="BB1218" s="314"/>
      <c r="BC1218" s="369" t="b">
        <f t="shared" si="373"/>
        <v>0</v>
      </c>
      <c r="BD1218" s="369" t="b">
        <f>OR(AV1218&gt;100%,(AV1218+AV1219)&gt;100%)</f>
        <v>0</v>
      </c>
      <c r="BE1218" s="314"/>
      <c r="BF1218" s="382" t="s">
        <v>156</v>
      </c>
      <c r="BG1218" s="384" t="str">
        <f>IF(COUNTIF(AO1217:AO1218,TRUE)=0,"",BH1218*AV1225)</f>
        <v/>
      </c>
      <c r="BH1218" s="384" t="str">
        <f>IF(COUNTIF(AO1217:AO1218,TRUE)=0,"",AV1214*IF(AO1217,1,AV1216*AN1218)*AV1217*AV1220)</f>
        <v/>
      </c>
      <c r="BJ1218" s="314"/>
      <c r="BK1218" s="314"/>
      <c r="BL1218" s="314"/>
      <c r="BM1218" s="314"/>
      <c r="BN1218" s="314"/>
      <c r="BO1218" s="314"/>
      <c r="BP1218" s="314"/>
      <c r="BQ1218" s="314"/>
      <c r="BR1218" s="314"/>
      <c r="BS1218" s="314"/>
      <c r="BT1218" s="314"/>
      <c r="BU1218" s="314"/>
      <c r="BV1218" s="314"/>
      <c r="BW1218" s="314"/>
      <c r="BX1218" s="314"/>
      <c r="BY1218" s="314"/>
      <c r="BZ1218" s="314"/>
      <c r="CA1218" s="314"/>
      <c r="CB1218" s="314"/>
      <c r="CC1218" s="314"/>
      <c r="CD1218" s="314"/>
      <c r="CE1218" s="314"/>
      <c r="CF1218" s="314"/>
      <c r="CG1218" s="314"/>
      <c r="CH1218" s="314"/>
      <c r="CI1218" s="314"/>
      <c r="CJ1218" s="314"/>
      <c r="CK1218" s="314"/>
      <c r="CL1218" s="314"/>
      <c r="CM1218" s="314"/>
      <c r="CN1218" s="314"/>
      <c r="CO1218" s="314"/>
      <c r="CP1218" s="314"/>
      <c r="CQ1218" s="369" t="b">
        <f>OR(CQ1214,Y1218=EUconst_NA)</f>
        <v>0</v>
      </c>
    </row>
    <row r="1219" spans="1:95" ht="12.75" customHeight="1" thickBot="1" x14ac:dyDescent="0.3">
      <c r="A1219" s="307"/>
      <c r="B1219" s="68"/>
      <c r="C1219" s="199" t="s">
        <v>16</v>
      </c>
      <c r="D1219" s="344" t="str">
        <f>Translations!$B$368</f>
        <v>non-sust. BioF:</v>
      </c>
      <c r="E1219" s="345"/>
      <c r="F1219" s="20"/>
      <c r="G1219" s="1256" t="str">
        <f>IF(OR(ISBLANK(F1219),F1219=EUconst_NoTier),"",IF(Z1219=0,EUconst_NotApplicable,IF(ISERROR(Z1219),"",Z1219)))</f>
        <v/>
      </c>
      <c r="H1219" s="1257"/>
      <c r="I1219" s="422" t="str">
        <f t="shared" si="374"/>
        <v/>
      </c>
      <c r="J1219" s="423"/>
      <c r="K1219" s="424" t="str">
        <f>IF(L1219="",AU1219,"")</f>
        <v/>
      </c>
      <c r="L1219" s="21"/>
      <c r="M1219" s="347" t="str">
        <f>IF(AND(E1209&lt;&gt;"",OR(F1219="",COUNT(K1219:L1219)=0),Y1219&lt;&gt;EUconst_NA),EUconst_ERR_Incomplete,IF(COUNTIF(BB1219:BD1219,TRUE)&gt;0,EUconst_ERR_Inconsistent,""))</f>
        <v/>
      </c>
      <c r="N1219" s="76"/>
      <c r="O1219" s="160"/>
      <c r="P1219" s="348"/>
      <c r="Q1219" s="413"/>
      <c r="R1219" s="413"/>
      <c r="S1219" s="314"/>
      <c r="T1219" s="425" t="str">
        <f>EUconst_CNTR_BiomassContent&amp;E1209</f>
        <v>BioC_</v>
      </c>
      <c r="U1219" s="312"/>
      <c r="V1219" s="407" t="str">
        <f>V1218</f>
        <v/>
      </c>
      <c r="W1219" s="407" t="str">
        <f>IF(OR(V1218="",COUNTIF(MSPara_SourceStreamCategory,V1219)=0),"",INDEX(MSPara_IsFossil,MATCH(V1219,MSPara_SourceStreamCategory,0)))</f>
        <v/>
      </c>
      <c r="X1219" s="312"/>
      <c r="Y1219" s="426" t="str">
        <f>IF(E1209="","",IF(OR(F1219=EUconst_NA,W1219=TRUE),EUconst_NA,INDEX(EUwideConstants!$P$164:$P$200,MATCH(T1219,EUwideConstants!$S$164:$S$200,0))))</f>
        <v/>
      </c>
      <c r="Z1219" s="427" t="str">
        <f>IF(ISBLANK(F1219),"",IF(F1219=EUconst_NA,"",INDEX(EUwideConstants!$H:$O,MATCH(T1219,EUwideConstants!$S:$S,0),MATCH(F1219,CNTR_TierList,0))))</f>
        <v/>
      </c>
      <c r="AA1219" s="428" t="str">
        <f>IF(F1219=1,1,"")</f>
        <v/>
      </c>
      <c r="AB1219" s="314"/>
      <c r="AC1219" s="429" t="b">
        <f>AND(AC1214,Y1219&lt;&gt;EUconst_NA)</f>
        <v>0</v>
      </c>
      <c r="AD1219" s="314"/>
      <c r="AE1219" s="430"/>
      <c r="AF1219" s="431"/>
      <c r="AG1219" s="432"/>
      <c r="AH1219" s="433"/>
      <c r="AI1219" s="433"/>
      <c r="AJ1219" s="433"/>
      <c r="AK1219" s="434"/>
      <c r="AL1219" s="326"/>
      <c r="AM1219" s="326"/>
      <c r="AN1219" s="326"/>
      <c r="AO1219" s="326"/>
      <c r="AP1219" s="326"/>
      <c r="AQ1219" s="435" t="str">
        <f>EUconst_CNTR_BiomassContent&amp;EUconst_Value</f>
        <v>BioC_Value</v>
      </c>
      <c r="AR1219" s="430"/>
      <c r="AS1219" s="436" t="str">
        <f t="shared" si="375"/>
        <v/>
      </c>
      <c r="AT1219" s="437"/>
      <c r="AU1219" s="438" t="str">
        <f t="shared" si="376"/>
        <v/>
      </c>
      <c r="AV1219" s="429">
        <f>IF(AC1219=TRUE,IF(COUNT(K1219:L1219)=0,0,IF(L1219="",K1219,L1219)),0)</f>
        <v>0</v>
      </c>
      <c r="AW1219" s="407" t="b">
        <f t="shared" si="369"/>
        <v>0</v>
      </c>
      <c r="AX1219" s="439" t="b">
        <f t="shared" si="370"/>
        <v>0</v>
      </c>
      <c r="AY1219" s="314"/>
      <c r="AZ1219" s="408" t="b">
        <f t="shared" si="371"/>
        <v>0</v>
      </c>
      <c r="BA1219" s="440" t="b">
        <f t="shared" si="372"/>
        <v>0</v>
      </c>
      <c r="BB1219" s="314"/>
      <c r="BC1219" s="407" t="b">
        <f t="shared" si="373"/>
        <v>0</v>
      </c>
      <c r="BD1219" s="407" t="b">
        <f>OR(AV1218&gt;100%,(AV1218+AV1219)&gt;100%)</f>
        <v>0</v>
      </c>
      <c r="BE1219" s="314"/>
      <c r="BF1219" s="408" t="s">
        <v>157</v>
      </c>
      <c r="BG1219" s="409" t="str">
        <f>IF(COUNTIF(AO1217:AO1218,TRUE)=0,"",BH1219*AV1225)</f>
        <v/>
      </c>
      <c r="BH1219" s="409" t="str">
        <f>IF(COUNTIF(AO1217:AO1218,TRUE)=0,"",AV1214*IF(AO1217,1,AV1216*AN1218)*AV1217*AV1221)</f>
        <v/>
      </c>
      <c r="BJ1219" s="314"/>
      <c r="BK1219" s="314"/>
      <c r="BL1219" s="314"/>
      <c r="BM1219" s="314"/>
      <c r="BN1219" s="314"/>
      <c r="BO1219" s="314"/>
      <c r="BP1219" s="314"/>
      <c r="BQ1219" s="314"/>
      <c r="BR1219" s="314"/>
      <c r="BS1219" s="314"/>
      <c r="BT1219" s="314"/>
      <c r="BU1219" s="314"/>
      <c r="BV1219" s="314"/>
      <c r="BW1219" s="314"/>
      <c r="BX1219" s="314"/>
      <c r="BY1219" s="314"/>
      <c r="BZ1219" s="314"/>
      <c r="CA1219" s="314"/>
      <c r="CB1219" s="314"/>
      <c r="CC1219" s="314"/>
      <c r="CD1219" s="314"/>
      <c r="CE1219" s="314"/>
      <c r="CF1219" s="314"/>
      <c r="CG1219" s="314"/>
      <c r="CH1219" s="314"/>
      <c r="CI1219" s="314"/>
      <c r="CJ1219" s="314"/>
      <c r="CK1219" s="314"/>
      <c r="CL1219" s="314"/>
      <c r="CM1219" s="314"/>
      <c r="CN1219" s="314"/>
      <c r="CO1219" s="314"/>
      <c r="CP1219" s="314"/>
      <c r="CQ1219" s="407" t="b">
        <f>OR(CQ1214,Y1219=EUconst_NA)</f>
        <v>0</v>
      </c>
    </row>
    <row r="1220" spans="1:95" ht="12.75" customHeight="1" thickBot="1" x14ac:dyDescent="0.3">
      <c r="A1220" s="307"/>
      <c r="B1220" s="68"/>
      <c r="C1220" s="199" t="s">
        <v>17</v>
      </c>
      <c r="D1220" s="344" t="str">
        <f>Translations!$B$610</f>
        <v>sust. RFNBO/RCF:</v>
      </c>
      <c r="E1220" s="441"/>
      <c r="F1220" s="19" t="s">
        <v>158</v>
      </c>
      <c r="G1220" s="1261"/>
      <c r="H1220" s="1262"/>
      <c r="I1220" s="442" t="str">
        <f t="shared" si="374"/>
        <v/>
      </c>
      <c r="J1220" s="411"/>
      <c r="K1220" s="443"/>
      <c r="L1220" s="55"/>
      <c r="M1220" s="347" t="str">
        <f>IF(AND(E1209&lt;&gt;"",OR(F1220="",COUNT(L1220)=0),Y1220&lt;&gt;EUconst_NA),EUconst_ERR_Incomplete,"")</f>
        <v/>
      </c>
      <c r="N1220" s="76"/>
      <c r="O1220" s="160"/>
      <c r="P1220" s="348"/>
      <c r="Q1220" s="413"/>
      <c r="R1220" s="413"/>
      <c r="S1220" s="314"/>
      <c r="T1220" s="388" t="str">
        <f>EUconst_CNTR_RFNBOetcContent&amp;E1209</f>
        <v>RNFBOC_</v>
      </c>
      <c r="U1220" s="312"/>
      <c r="V1220" s="312"/>
      <c r="W1220" s="312"/>
      <c r="X1220" s="312"/>
      <c r="Y1220" s="380" t="str">
        <f>IF(E1209="","",IF(OR(F1220=EUconst_NA,W1220=TRUE),EUconst_NA,INDEX(EUwideConstants!$P$164:$P$200,MATCH(T1220,EUwideConstants!$S$164:$S$200,0))))</f>
        <v/>
      </c>
      <c r="Z1220" s="314"/>
      <c r="AA1220" s="314"/>
      <c r="AB1220" s="314"/>
      <c r="AC1220" s="397" t="b">
        <f>AND(AC1216,Y1220&lt;&gt;EUconst_NA)</f>
        <v>0</v>
      </c>
      <c r="AD1220" s="314"/>
      <c r="AE1220" s="415"/>
      <c r="AF1220" s="416"/>
      <c r="AG1220" s="417"/>
      <c r="AH1220" s="418"/>
      <c r="AI1220" s="418"/>
      <c r="AJ1220" s="418"/>
      <c r="AK1220" s="419"/>
      <c r="AL1220" s="326"/>
      <c r="AM1220" s="326"/>
      <c r="AN1220" s="326"/>
      <c r="AO1220" s="326"/>
      <c r="AP1220" s="326"/>
      <c r="AQ1220" s="444" t="s">
        <v>159</v>
      </c>
      <c r="AR1220" s="415"/>
      <c r="AS1220" s="445" t="str">
        <f t="shared" si="375"/>
        <v/>
      </c>
      <c r="AT1220" s="446"/>
      <c r="AU1220" s="447" t="str">
        <f t="shared" si="376"/>
        <v/>
      </c>
      <c r="AV1220" s="397">
        <f>IF(L1220&lt;&gt;0,L1220,L1220)</f>
        <v>0</v>
      </c>
      <c r="AW1220" s="398" t="b">
        <f t="shared" si="369"/>
        <v>0</v>
      </c>
      <c r="AX1220" s="448" t="b">
        <f t="shared" si="370"/>
        <v>0</v>
      </c>
      <c r="AY1220" s="314"/>
      <c r="AZ1220" s="449" t="b">
        <f t="shared" si="371"/>
        <v>0</v>
      </c>
      <c r="BA1220" s="450" t="b">
        <f t="shared" si="372"/>
        <v>0</v>
      </c>
      <c r="BB1220" s="314"/>
      <c r="BC1220" s="398" t="b">
        <f t="shared" si="373"/>
        <v>0</v>
      </c>
      <c r="BD1220" s="369" t="b">
        <f>OR(AV1220&gt;100%,(AV1220+AV1221)&gt;100%)</f>
        <v>0</v>
      </c>
      <c r="BE1220" s="314"/>
      <c r="BF1220" s="451" t="s">
        <v>160</v>
      </c>
      <c r="BG1220" s="452" t="str">
        <f>IF(COUNTIF(AO1217:AO1218,TRUE)=0,"",BH1220*AV1225)</f>
        <v/>
      </c>
      <c r="BH1220" s="452" t="str">
        <f>IF(COUNTIF(AO1217:AO1218,TRUE)=0,"",AV1214*IF(AO1217,1,AV1216*AN1218)*AV1217*AV1222)</f>
        <v/>
      </c>
      <c r="BJ1220" s="314"/>
      <c r="BK1220" s="314"/>
      <c r="BL1220" s="314"/>
      <c r="BM1220" s="314"/>
      <c r="BN1220" s="314"/>
      <c r="BO1220" s="314"/>
      <c r="BP1220" s="314"/>
      <c r="BQ1220" s="314"/>
      <c r="BR1220" s="314"/>
      <c r="BS1220" s="314"/>
      <c r="BT1220" s="314"/>
      <c r="BU1220" s="314"/>
      <c r="BV1220" s="314"/>
      <c r="BW1220" s="314"/>
      <c r="BX1220" s="314"/>
      <c r="BY1220" s="314"/>
      <c r="BZ1220" s="314"/>
      <c r="CA1220" s="314"/>
      <c r="CB1220" s="314"/>
      <c r="CC1220" s="314"/>
      <c r="CD1220" s="314"/>
      <c r="CE1220" s="314"/>
      <c r="CF1220" s="314"/>
      <c r="CG1220" s="314"/>
      <c r="CH1220" s="314"/>
      <c r="CI1220" s="314"/>
      <c r="CJ1220" s="314"/>
      <c r="CK1220" s="314"/>
      <c r="CL1220" s="314"/>
      <c r="CM1220" s="314"/>
      <c r="CN1220" s="314"/>
      <c r="CO1220" s="314"/>
      <c r="CP1220" s="314"/>
      <c r="CQ1220" s="407" t="b">
        <f>OR(CQ1214,Y1220=EUconst_NA)</f>
        <v>0</v>
      </c>
    </row>
    <row r="1221" spans="1:95" ht="12.75" customHeight="1" thickBot="1" x14ac:dyDescent="0.3">
      <c r="A1221" s="307"/>
      <c r="B1221" s="68"/>
      <c r="C1221" s="199" t="s">
        <v>161</v>
      </c>
      <c r="D1221" s="344" t="str">
        <f>Translations!$B$613</f>
        <v>non-sust. RFNBO/RCF:</v>
      </c>
      <c r="E1221" s="441"/>
      <c r="F1221" s="20" t="s">
        <v>158</v>
      </c>
      <c r="G1221" s="1261"/>
      <c r="H1221" s="1262"/>
      <c r="I1221" s="422" t="str">
        <f t="shared" si="374"/>
        <v/>
      </c>
      <c r="J1221" s="423"/>
      <c r="K1221" s="443"/>
      <c r="L1221" s="56"/>
      <c r="M1221" s="347" t="str">
        <f>IF(AND(E1209&lt;&gt;"",OR(F1221="",COUNT(L1221)=0),Y1221&lt;&gt;EUconst_NA),EUconst_ERR_Incomplete,"")</f>
        <v/>
      </c>
      <c r="N1221" s="76"/>
      <c r="O1221" s="160"/>
      <c r="P1221" s="348"/>
      <c r="Q1221" s="413"/>
      <c r="R1221" s="413"/>
      <c r="S1221" s="314"/>
      <c r="T1221" s="425" t="str">
        <f>EUconst_CNTR_RFNBOetcContent&amp;E1209</f>
        <v>RNFBOC_</v>
      </c>
      <c r="U1221" s="312"/>
      <c r="V1221" s="312"/>
      <c r="W1221" s="312"/>
      <c r="X1221" s="312"/>
      <c r="Y1221" s="438" t="str">
        <f>IF(E1209="","",IF(OR(F1221=EUconst_NA,W1221=TRUE),EUconst_NA,INDEX(EUwideConstants!$P$164:$P$200,MATCH(T1221,EUwideConstants!$S$164:$S$200,0))))</f>
        <v/>
      </c>
      <c r="Z1221" s="314"/>
      <c r="AA1221" s="314"/>
      <c r="AB1221" s="314"/>
      <c r="AC1221" s="429" t="b">
        <f>AND(AC1216,Y1221&lt;&gt;EUconst_NA)</f>
        <v>0</v>
      </c>
      <c r="AD1221" s="314"/>
      <c r="AE1221" s="430"/>
      <c r="AF1221" s="431"/>
      <c r="AG1221" s="432"/>
      <c r="AH1221" s="433"/>
      <c r="AI1221" s="433"/>
      <c r="AJ1221" s="433"/>
      <c r="AK1221" s="434"/>
      <c r="AL1221" s="326"/>
      <c r="AM1221" s="326"/>
      <c r="AN1221" s="326"/>
      <c r="AO1221" s="326"/>
      <c r="AP1221" s="326"/>
      <c r="AQ1221" s="435" t="s">
        <v>159</v>
      </c>
      <c r="AR1221" s="430"/>
      <c r="AS1221" s="436" t="str">
        <f t="shared" si="375"/>
        <v/>
      </c>
      <c r="AT1221" s="437"/>
      <c r="AU1221" s="438" t="str">
        <f t="shared" si="376"/>
        <v/>
      </c>
      <c r="AV1221" s="429">
        <f t="shared" ref="AV1221:AV1223" si="377">IF(L1221&lt;&gt;0,L1221,L1221)</f>
        <v>0</v>
      </c>
      <c r="AW1221" s="407" t="b">
        <f t="shared" si="369"/>
        <v>0</v>
      </c>
      <c r="AX1221" s="439" t="b">
        <f t="shared" si="370"/>
        <v>0</v>
      </c>
      <c r="AY1221" s="314"/>
      <c r="AZ1221" s="408" t="b">
        <f t="shared" si="371"/>
        <v>0</v>
      </c>
      <c r="BA1221" s="440" t="b">
        <f t="shared" si="372"/>
        <v>0</v>
      </c>
      <c r="BB1221" s="314"/>
      <c r="BC1221" s="407" t="b">
        <f t="shared" si="373"/>
        <v>0</v>
      </c>
      <c r="BD1221" s="407" t="b">
        <f>OR(AV1220&gt;100%,(AV1220+AV1221)&gt;100%)</f>
        <v>0</v>
      </c>
      <c r="BE1221" s="314"/>
      <c r="BF1221" s="408" t="s">
        <v>162</v>
      </c>
      <c r="BG1221" s="409" t="str">
        <f>IF(COUNTIF(AO1217:AO1218,TRUE)=0,"",BH1221*AV1225)</f>
        <v/>
      </c>
      <c r="BH1221" s="409" t="str">
        <f>IF(COUNTIF(AO1217:AO1218,TRUE)=0,"",AV1214*IF(AO1217,1,AV1216*AN1218)*AV1217*AV1223)</f>
        <v/>
      </c>
      <c r="BJ1221" s="314"/>
      <c r="BK1221" s="314"/>
      <c r="BL1221" s="314"/>
      <c r="BM1221" s="314"/>
      <c r="BN1221" s="314"/>
      <c r="BO1221" s="314"/>
      <c r="BP1221" s="314"/>
      <c r="BQ1221" s="314"/>
      <c r="BR1221" s="314"/>
      <c r="BS1221" s="314"/>
      <c r="BT1221" s="314"/>
      <c r="BU1221" s="314"/>
      <c r="BV1221" s="314"/>
      <c r="BW1221" s="314"/>
      <c r="BX1221" s="314"/>
      <c r="BY1221" s="314"/>
      <c r="BZ1221" s="314"/>
      <c r="CA1221" s="314"/>
      <c r="CB1221" s="314"/>
      <c r="CC1221" s="314"/>
      <c r="CD1221" s="314"/>
      <c r="CE1221" s="314"/>
      <c r="CF1221" s="314"/>
      <c r="CG1221" s="314"/>
      <c r="CH1221" s="314"/>
      <c r="CI1221" s="314"/>
      <c r="CJ1221" s="314"/>
      <c r="CK1221" s="314"/>
      <c r="CL1221" s="314"/>
      <c r="CM1221" s="314"/>
      <c r="CN1221" s="314"/>
      <c r="CO1221" s="314"/>
      <c r="CP1221" s="314"/>
      <c r="CQ1221" s="407" t="b">
        <f>OR(CQ1214,Y1221=EUconst_NA)</f>
        <v>0</v>
      </c>
    </row>
    <row r="1222" spans="1:95" ht="12.75" customHeight="1" thickBot="1" x14ac:dyDescent="0.3">
      <c r="A1222" s="307"/>
      <c r="B1222" s="68"/>
      <c r="C1222" s="199" t="s">
        <v>163</v>
      </c>
      <c r="D1222" s="344" t="str">
        <f>Translations!$B$615</f>
        <v>sust. SLCF:</v>
      </c>
      <c r="E1222" s="441"/>
      <c r="F1222" s="19" t="s">
        <v>158</v>
      </c>
      <c r="G1222" s="1261"/>
      <c r="H1222" s="1262"/>
      <c r="I1222" s="442" t="str">
        <f t="shared" si="374"/>
        <v/>
      </c>
      <c r="J1222" s="411"/>
      <c r="K1222" s="443"/>
      <c r="L1222" s="57"/>
      <c r="M1222" s="347" t="str">
        <f>IF(AND(E1209&lt;&gt;"",OR(F1222="",COUNT(L1222)=0),Y1222&lt;&gt;EUconst_NA),EUconst_ERR_Incomplete,"")</f>
        <v/>
      </c>
      <c r="N1222" s="76"/>
      <c r="O1222" s="160"/>
      <c r="P1222" s="348"/>
      <c r="Q1222" s="413"/>
      <c r="R1222" s="413"/>
      <c r="S1222" s="314"/>
      <c r="T1222" s="388" t="str">
        <f>EUconst_CNTR_RFNBOetcContent&amp;E1209</f>
        <v>RNFBOC_</v>
      </c>
      <c r="U1222" s="312"/>
      <c r="V1222" s="312"/>
      <c r="W1222" s="312"/>
      <c r="X1222" s="312"/>
      <c r="Y1222" s="447" t="str">
        <f>IF(E1209="","",IF(OR(F1222=EUconst_NA,W1222=TRUE),EUconst_NA,INDEX(EUwideConstants!$P$164:$P$200,MATCH(T1222,EUwideConstants!$S$164:$S$200,0))))</f>
        <v/>
      </c>
      <c r="Z1222" s="314"/>
      <c r="AA1222" s="314"/>
      <c r="AB1222" s="314"/>
      <c r="AC1222" s="397" t="b">
        <f>AND(AC1218,Y1222&lt;&gt;EUconst_NA)</f>
        <v>0</v>
      </c>
      <c r="AD1222" s="314"/>
      <c r="AE1222" s="415"/>
      <c r="AF1222" s="416"/>
      <c r="AG1222" s="417"/>
      <c r="AH1222" s="418"/>
      <c r="AI1222" s="418"/>
      <c r="AJ1222" s="418"/>
      <c r="AK1222" s="419"/>
      <c r="AL1222" s="326"/>
      <c r="AM1222" s="326"/>
      <c r="AN1222" s="326"/>
      <c r="AO1222" s="326"/>
      <c r="AP1222" s="326"/>
      <c r="AQ1222" s="444" t="s">
        <v>159</v>
      </c>
      <c r="AR1222" s="415"/>
      <c r="AS1222" s="445" t="str">
        <f t="shared" si="375"/>
        <v/>
      </c>
      <c r="AT1222" s="446"/>
      <c r="AU1222" s="447" t="str">
        <f t="shared" si="376"/>
        <v/>
      </c>
      <c r="AV1222" s="397">
        <f t="shared" si="377"/>
        <v>0</v>
      </c>
      <c r="AW1222" s="398" t="b">
        <f t="shared" si="369"/>
        <v>0</v>
      </c>
      <c r="AX1222" s="448" t="b">
        <f t="shared" si="370"/>
        <v>0</v>
      </c>
      <c r="AY1222" s="314"/>
      <c r="AZ1222" s="449" t="b">
        <f t="shared" si="371"/>
        <v>0</v>
      </c>
      <c r="BA1222" s="450" t="b">
        <f t="shared" si="372"/>
        <v>0</v>
      </c>
      <c r="BB1222" s="314"/>
      <c r="BC1222" s="398" t="b">
        <f t="shared" si="373"/>
        <v>0</v>
      </c>
      <c r="BD1222" s="369" t="b">
        <f>OR(AV1222&gt;100%,(AV1222+AV1223)&gt;100%)</f>
        <v>0</v>
      </c>
      <c r="BE1222" s="314"/>
      <c r="BF1222" s="451" t="s">
        <v>164</v>
      </c>
      <c r="BG1222" s="452">
        <f>IF(AN1214=EUconst_TJ,AV1214*(1-AV1218),IF(AN1216=EUconst_GJ,AV1214*AV1216/1000,0))-SUM(BG1223:BG1229)</f>
        <v>0</v>
      </c>
      <c r="BH1222" s="314"/>
      <c r="BI1222" s="314"/>
      <c r="BJ1222" s="314"/>
      <c r="BK1222" s="314"/>
      <c r="BL1222" s="314"/>
      <c r="BM1222" s="314"/>
      <c r="BN1222" s="314"/>
      <c r="BO1222" s="314"/>
      <c r="BP1222" s="314"/>
      <c r="BQ1222" s="314"/>
      <c r="BR1222" s="314"/>
      <c r="BS1222" s="314"/>
      <c r="BT1222" s="314"/>
      <c r="BU1222" s="314"/>
      <c r="BV1222" s="314"/>
      <c r="BW1222" s="314"/>
      <c r="BX1222" s="314"/>
      <c r="BY1222" s="314"/>
      <c r="BZ1222" s="314"/>
      <c r="CA1222" s="314"/>
      <c r="CB1222" s="314"/>
      <c r="CC1222" s="314"/>
      <c r="CD1222" s="314"/>
      <c r="CE1222" s="314"/>
      <c r="CF1222" s="314"/>
      <c r="CG1222" s="314"/>
      <c r="CH1222" s="314"/>
      <c r="CI1222" s="314"/>
      <c r="CJ1222" s="314"/>
      <c r="CK1222" s="314"/>
      <c r="CL1222" s="314"/>
      <c r="CM1222" s="314"/>
      <c r="CN1222" s="314"/>
      <c r="CO1222" s="314"/>
      <c r="CP1222" s="314"/>
      <c r="CQ1222" s="407" t="b">
        <f>OR(CQ1214,Y1222=EUconst_NA)</f>
        <v>0</v>
      </c>
    </row>
    <row r="1223" spans="1:95" ht="12.75" customHeight="1" thickBot="1" x14ac:dyDescent="0.3">
      <c r="A1223" s="307"/>
      <c r="B1223" s="68"/>
      <c r="C1223" s="199" t="s">
        <v>165</v>
      </c>
      <c r="D1223" s="344" t="str">
        <f>Translations!$B$618</f>
        <v>non-sust. SLCF:</v>
      </c>
      <c r="E1223" s="441"/>
      <c r="F1223" s="20" t="s">
        <v>158</v>
      </c>
      <c r="G1223" s="1261"/>
      <c r="H1223" s="1262"/>
      <c r="I1223" s="422" t="str">
        <f t="shared" si="374"/>
        <v/>
      </c>
      <c r="J1223" s="423"/>
      <c r="K1223" s="443"/>
      <c r="L1223" s="56"/>
      <c r="M1223" s="347" t="str">
        <f>IF(AND(E1209&lt;&gt;"",OR(F1223="",COUNT(L1223)=0),Y1223&lt;&gt;EUconst_NA),EUconst_ERR_Incomplete,"")</f>
        <v/>
      </c>
      <c r="N1223" s="76"/>
      <c r="O1223" s="160"/>
      <c r="P1223" s="348"/>
      <c r="Q1223" s="413"/>
      <c r="R1223" s="413"/>
      <c r="S1223" s="314"/>
      <c r="T1223" s="425" t="str">
        <f>EUconst_CNTR_RFNBOetcContent&amp;E1209</f>
        <v>RNFBOC_</v>
      </c>
      <c r="U1223" s="312"/>
      <c r="V1223" s="312"/>
      <c r="W1223" s="312"/>
      <c r="X1223" s="312"/>
      <c r="Y1223" s="438" t="str">
        <f>IF(E1209="","",IF(OR(F1223=EUconst_NA,W1223=TRUE),EUconst_NA,INDEX(EUwideConstants!$P$164:$P$200,MATCH(T1223,EUwideConstants!$S$164:$S$200,0))))</f>
        <v/>
      </c>
      <c r="Z1223" s="314"/>
      <c r="AA1223" s="314"/>
      <c r="AB1223" s="314"/>
      <c r="AC1223" s="429" t="b">
        <f>AND(AC1218,Y1223&lt;&gt;EUconst_NA)</f>
        <v>0</v>
      </c>
      <c r="AD1223" s="314"/>
      <c r="AE1223" s="430"/>
      <c r="AF1223" s="431"/>
      <c r="AG1223" s="432"/>
      <c r="AH1223" s="433"/>
      <c r="AI1223" s="433"/>
      <c r="AJ1223" s="433"/>
      <c r="AK1223" s="434"/>
      <c r="AL1223" s="326"/>
      <c r="AM1223" s="326"/>
      <c r="AN1223" s="326"/>
      <c r="AO1223" s="326"/>
      <c r="AP1223" s="326"/>
      <c r="AQ1223" s="435" t="s">
        <v>159</v>
      </c>
      <c r="AR1223" s="430"/>
      <c r="AS1223" s="436" t="str">
        <f t="shared" si="375"/>
        <v/>
      </c>
      <c r="AT1223" s="437"/>
      <c r="AU1223" s="438" t="str">
        <f t="shared" si="376"/>
        <v/>
      </c>
      <c r="AV1223" s="429">
        <f t="shared" si="377"/>
        <v>0</v>
      </c>
      <c r="AW1223" s="407" t="b">
        <f t="shared" si="369"/>
        <v>0</v>
      </c>
      <c r="AX1223" s="439" t="b">
        <f t="shared" si="370"/>
        <v>0</v>
      </c>
      <c r="AY1223" s="314"/>
      <c r="AZ1223" s="408" t="b">
        <f t="shared" si="371"/>
        <v>0</v>
      </c>
      <c r="BA1223" s="440" t="b">
        <f t="shared" si="372"/>
        <v>0</v>
      </c>
      <c r="BB1223" s="314"/>
      <c r="BC1223" s="407" t="b">
        <f t="shared" si="373"/>
        <v>0</v>
      </c>
      <c r="BD1223" s="407" t="b">
        <f>OR(AV1222&gt;100%,(AV1222+AV1223)&gt;100%)</f>
        <v>0</v>
      </c>
      <c r="BE1223" s="314"/>
      <c r="BF1223" s="408" t="s">
        <v>166</v>
      </c>
      <c r="BG1223" s="409" t="str">
        <f>IF(AN1214=EUconst_TJ,AV1214*AV1218,IF(AN1216=EUconst_GJ,AV1214*AV1216/1000*AV1218,""))</f>
        <v/>
      </c>
      <c r="BH1223" s="314"/>
      <c r="BI1223" s="314"/>
      <c r="BJ1223" s="314"/>
      <c r="BK1223" s="314"/>
      <c r="BL1223" s="314"/>
      <c r="BM1223" s="314"/>
      <c r="BN1223" s="314"/>
      <c r="BO1223" s="314"/>
      <c r="BP1223" s="314"/>
      <c r="BQ1223" s="314"/>
      <c r="BR1223" s="314"/>
      <c r="BS1223" s="314"/>
      <c r="BT1223" s="314"/>
      <c r="BU1223" s="314"/>
      <c r="BV1223" s="314"/>
      <c r="BW1223" s="314"/>
      <c r="BX1223" s="314"/>
      <c r="BY1223" s="314"/>
      <c r="BZ1223" s="314"/>
      <c r="CA1223" s="314"/>
      <c r="CB1223" s="314"/>
      <c r="CC1223" s="314"/>
      <c r="CD1223" s="314"/>
      <c r="CE1223" s="314"/>
      <c r="CF1223" s="314"/>
      <c r="CG1223" s="314"/>
      <c r="CH1223" s="314"/>
      <c r="CI1223" s="314"/>
      <c r="CJ1223" s="314"/>
      <c r="CK1223" s="314"/>
      <c r="CL1223" s="314"/>
      <c r="CM1223" s="314"/>
      <c r="CN1223" s="314"/>
      <c r="CO1223" s="314"/>
      <c r="CP1223" s="314"/>
      <c r="CQ1223" s="407" t="b">
        <f>OR(CQ1214,Y1223=EUconst_NA)</f>
        <v>0</v>
      </c>
    </row>
    <row r="1224" spans="1:95" ht="5.15" customHeight="1" thickBot="1" x14ac:dyDescent="0.3">
      <c r="A1224" s="307"/>
      <c r="B1224" s="68"/>
      <c r="C1224" s="68"/>
      <c r="D1224" s="205"/>
      <c r="E1224" s="76"/>
      <c r="F1224" s="76"/>
      <c r="G1224" s="76"/>
      <c r="H1224" s="76"/>
      <c r="I1224" s="76"/>
      <c r="J1224" s="76"/>
      <c r="K1224" s="76"/>
      <c r="L1224" s="76"/>
      <c r="M1224" s="453"/>
      <c r="N1224" s="76"/>
      <c r="O1224" s="160"/>
      <c r="P1224" s="109"/>
      <c r="Q1224" s="312"/>
      <c r="R1224" s="312"/>
      <c r="S1224" s="314"/>
      <c r="T1224" s="314"/>
      <c r="U1224" s="314"/>
      <c r="V1224" s="314"/>
      <c r="W1224" s="314"/>
      <c r="X1224" s="314"/>
      <c r="Y1224" s="314"/>
      <c r="Z1224" s="314"/>
      <c r="AA1224" s="314"/>
      <c r="AB1224" s="314"/>
      <c r="AC1224" s="314"/>
      <c r="AD1224" s="314"/>
      <c r="AE1224" s="314"/>
      <c r="AF1224" s="314"/>
      <c r="AG1224" s="314"/>
      <c r="AH1224" s="314"/>
      <c r="AI1224" s="314"/>
      <c r="AJ1224" s="314"/>
      <c r="AK1224" s="314"/>
      <c r="AL1224" s="314"/>
      <c r="AM1224" s="314"/>
      <c r="AN1224" s="314"/>
      <c r="AO1224" s="314"/>
      <c r="AP1224" s="314"/>
      <c r="AQ1224" s="314"/>
      <c r="AR1224" s="314"/>
      <c r="AS1224" s="314"/>
      <c r="AT1224" s="314"/>
      <c r="AU1224" s="314"/>
      <c r="AV1224" s="314"/>
      <c r="AW1224" s="314"/>
      <c r="AX1224" s="314"/>
      <c r="AY1224" s="314"/>
      <c r="AZ1224" s="314"/>
      <c r="BA1224" s="314"/>
      <c r="BB1224" s="314"/>
      <c r="BC1224" s="314"/>
      <c r="BD1224" s="314"/>
      <c r="BE1224" s="314"/>
      <c r="BF1224" s="314"/>
      <c r="BG1224" s="364"/>
      <c r="BH1224" s="314"/>
      <c r="BI1224" s="314"/>
      <c r="BJ1224" s="314"/>
      <c r="BK1224" s="314"/>
      <c r="BL1224" s="314"/>
      <c r="BM1224" s="314"/>
      <c r="BN1224" s="314"/>
      <c r="BO1224" s="314"/>
      <c r="BP1224" s="314"/>
      <c r="BQ1224" s="314"/>
      <c r="BR1224" s="314"/>
      <c r="BS1224" s="314"/>
      <c r="BT1224" s="314"/>
      <c r="BU1224" s="314"/>
      <c r="BV1224" s="314"/>
      <c r="BW1224" s="314"/>
      <c r="BX1224" s="314"/>
      <c r="BY1224" s="314"/>
      <c r="BZ1224" s="314"/>
      <c r="CA1224" s="314"/>
      <c r="CB1224" s="314"/>
      <c r="CC1224" s="314"/>
      <c r="CD1224" s="314"/>
      <c r="CE1224" s="314"/>
      <c r="CF1224" s="314"/>
      <c r="CG1224" s="314"/>
      <c r="CH1224" s="314"/>
      <c r="CI1224" s="314"/>
      <c r="CJ1224" s="314"/>
      <c r="CK1224" s="314"/>
      <c r="CL1224" s="314"/>
      <c r="CM1224" s="314"/>
      <c r="CN1224" s="314"/>
      <c r="CO1224" s="314"/>
      <c r="CP1224" s="314"/>
      <c r="CQ1224" s="314"/>
    </row>
    <row r="1225" spans="1:95" ht="12.75" customHeight="1" thickBot="1" x14ac:dyDescent="0.3">
      <c r="A1225" s="307"/>
      <c r="B1225" s="68"/>
      <c r="C1225" s="199" t="s">
        <v>167</v>
      </c>
      <c r="D1225" s="344" t="str">
        <f>Translations!$B$398</f>
        <v>Scope factor:</v>
      </c>
      <c r="E1225" s="454"/>
      <c r="F1225" s="992"/>
      <c r="G1225" s="1263"/>
      <c r="H1225" s="1264"/>
      <c r="I1225" s="455" t="s">
        <v>46</v>
      </c>
      <c r="J1225" s="456"/>
      <c r="K1225" s="457" t="str">
        <f>IF(L1225="",AU1225,"")</f>
        <v/>
      </c>
      <c r="L1225" s="16"/>
      <c r="M1225" s="458" t="str">
        <f>IF(AND(E1209&lt;&gt;"",OR(F1225="",G1225="",COUNT(K1225:L1225)=0)),EUconst_ERR_Incomplete,IF(COUNTIF(BB1225:BD1225,TRUE)&gt;0,EUconst_ERR_Inconsistent,""))</f>
        <v/>
      </c>
      <c r="N1225" s="76"/>
      <c r="O1225" s="160"/>
      <c r="P1225" s="109"/>
      <c r="Q1225" s="312"/>
      <c r="R1225" s="314"/>
      <c r="S1225" s="297"/>
      <c r="T1225" s="459" t="str">
        <f>EUconst_CNTR_ScopeFactor&amp;E1209</f>
        <v>ScopeFactor_</v>
      </c>
      <c r="U1225" s="231" t="str">
        <f>IF(F1225="","",INDEX(ScopeAddress,MATCH(F1225,ScopeTiers,0)))</f>
        <v/>
      </c>
      <c r="V1225" s="360" t="str">
        <f>V1214</f>
        <v/>
      </c>
      <c r="W1225" s="314"/>
      <c r="X1225" s="314"/>
      <c r="Y1225" s="460" t="str">
        <f>IF(E1209="","",IF(F1225=EUconst_NA,EUconst_NA,INDEX(EUwideConstants!$P$164:$P$200,MATCH(T1225,EUwideConstants!$S$164:$S$200,0))))</f>
        <v/>
      </c>
      <c r="Z1225" s="461" t="str">
        <f>IF(ISBLANK(F1225),"",IF(F1225=EUconst_NA,"",INDEX(EUwideConstants!$H:$O,MATCH(T1225,EUwideConstants!$S:$S,0),MATCH(F1225,CNTR_TierList,0))))</f>
        <v/>
      </c>
      <c r="AA1225" s="331" t="str">
        <f>IF(G1225=EUwideConstants!$A$89,1,"")</f>
        <v/>
      </c>
      <c r="AB1225" s="314"/>
      <c r="AC1225" s="331" t="b">
        <f>AND(AC1214,Y1225&lt;&gt;EUconst_NA)</f>
        <v>0</v>
      </c>
      <c r="AD1225" s="314"/>
      <c r="AE1225" s="314"/>
      <c r="AF1225" s="314"/>
      <c r="AG1225" s="319"/>
      <c r="AH1225" s="314"/>
      <c r="AI1225" s="314"/>
      <c r="AJ1225" s="314"/>
      <c r="AK1225" s="314"/>
      <c r="AL1225" s="314"/>
      <c r="AM1225" s="314"/>
      <c r="AN1225" s="314"/>
      <c r="AO1225" s="314"/>
      <c r="AP1225" s="314"/>
      <c r="AQ1225" s="314"/>
      <c r="AR1225" s="314"/>
      <c r="AS1225" s="328">
        <v>1</v>
      </c>
      <c r="AT1225" s="314"/>
      <c r="AU1225" s="319" t="str">
        <f>IF(G1225=EUwideConstants!$A$89,AS1225,"")</f>
        <v/>
      </c>
      <c r="AV1225" s="331">
        <f>IF(AC1225=TRUE,IF(COUNT(K1225:L1225)=0,0,IF(L1225="",K1225,L1225)),0)</f>
        <v>0</v>
      </c>
      <c r="AW1225" s="360" t="b">
        <f>AND(AC1225=TRUE,OR(AND(F1225&lt;&gt;"",NOT(ISNUMBER(AA1225))),L1225&lt;&gt;"",F1225="",AU1225=""))</f>
        <v>0</v>
      </c>
      <c r="AX1225" s="357" t="b">
        <f>AND(AC1225=TRUE,NOT(AW1225))</f>
        <v>0</v>
      </c>
      <c r="AY1225" s="314"/>
      <c r="AZ1225" s="361" t="b">
        <f>AND(ISNUMBER(AA1225),AU1225="")</f>
        <v>0</v>
      </c>
      <c r="BA1225" s="351" t="b">
        <f>AND(ISNUMBER(AA1225),AU1225&lt;&gt;AV1225)</f>
        <v>0</v>
      </c>
      <c r="BB1225" s="314"/>
      <c r="BC1225" s="360" t="b">
        <f>AND(F1225&lt;&gt;"",OR(COUNTIF(INDEX(ScopeMethods,F1225,),G1225)=0,AND(AA1225&lt;&gt;"",AU1225&lt;&gt;AV1225)))</f>
        <v>0</v>
      </c>
      <c r="BD1225" s="314"/>
      <c r="BE1225" s="314"/>
      <c r="BF1225" s="361" t="s">
        <v>168</v>
      </c>
      <c r="BG1225" s="362" t="str">
        <f>IF(AN1214=EUconst_TJ,AV1214*AV1220,IF(AN1216=EUconst_GJ,AV1214*AV1216/1000*AV1220,""))</f>
        <v/>
      </c>
      <c r="BH1225" s="314"/>
      <c r="BI1225" s="314"/>
      <c r="BJ1225" s="314"/>
      <c r="BK1225" s="314"/>
      <c r="BL1225" s="314"/>
      <c r="BM1225" s="314"/>
      <c r="BN1225" s="314"/>
      <c r="BO1225" s="314"/>
      <c r="BP1225" s="314"/>
      <c r="BQ1225" s="314"/>
      <c r="BR1225" s="314"/>
      <c r="BS1225" s="314"/>
      <c r="BT1225" s="314"/>
      <c r="BU1225" s="314"/>
      <c r="BV1225" s="314"/>
      <c r="BW1225" s="314"/>
      <c r="BX1225" s="314"/>
      <c r="BY1225" s="314"/>
      <c r="BZ1225" s="314"/>
      <c r="CA1225" s="314"/>
      <c r="CB1225" s="314"/>
      <c r="CC1225" s="314"/>
      <c r="CD1225" s="314"/>
      <c r="CE1225" s="314"/>
      <c r="CF1225" s="314"/>
      <c r="CG1225" s="314"/>
      <c r="CH1225" s="314"/>
      <c r="CI1225" s="314"/>
      <c r="CJ1225" s="314"/>
      <c r="CK1225" s="314"/>
      <c r="CL1225" s="314"/>
      <c r="CM1225" s="314"/>
      <c r="CN1225" s="314"/>
      <c r="CO1225" s="314"/>
      <c r="CP1225" s="314"/>
      <c r="CQ1225" s="314"/>
    </row>
    <row r="1226" spans="1:95" ht="12.75" customHeight="1" x14ac:dyDescent="0.25">
      <c r="A1226" s="307"/>
      <c r="B1226" s="68"/>
      <c r="C1226" s="68"/>
      <c r="D1226" s="68"/>
      <c r="E1226" s="68"/>
      <c r="F1226" s="68"/>
      <c r="G1226" s="1265" t="str">
        <f>IF(G1225="","",INDEX(ScopeMethodsDetails,MATCH(G1225,INDEX(ScopeMethodsDetails,,1),0),2))</f>
        <v/>
      </c>
      <c r="H1226" s="1266"/>
      <c r="I1226" s="1266"/>
      <c r="J1226" s="1266"/>
      <c r="K1226" s="1266"/>
      <c r="L1226" s="1266"/>
      <c r="M1226" s="1267"/>
      <c r="N1226" s="76"/>
      <c r="O1226" s="160"/>
      <c r="P1226" s="109"/>
      <c r="Q1226" s="312"/>
      <c r="R1226" s="312"/>
      <c r="S1226" s="314"/>
      <c r="T1226" s="314"/>
      <c r="U1226" s="314"/>
      <c r="V1226" s="314"/>
      <c r="W1226" s="314"/>
      <c r="X1226" s="314"/>
      <c r="Y1226" s="314"/>
      <c r="Z1226" s="314"/>
      <c r="AA1226" s="314"/>
      <c r="AB1226" s="314"/>
      <c r="AC1226" s="314"/>
      <c r="AD1226" s="314"/>
      <c r="AE1226" s="314"/>
      <c r="AF1226" s="314"/>
      <c r="AG1226" s="314"/>
      <c r="AH1226" s="314"/>
      <c r="AI1226" s="314"/>
      <c r="AJ1226" s="314"/>
      <c r="AK1226" s="314"/>
      <c r="AL1226" s="314"/>
      <c r="AM1226" s="314"/>
      <c r="AN1226" s="314"/>
      <c r="AO1226" s="314"/>
      <c r="AP1226" s="314"/>
      <c r="AQ1226" s="314"/>
      <c r="AR1226" s="314"/>
      <c r="AS1226" s="314"/>
      <c r="AT1226" s="314"/>
      <c r="AU1226" s="314"/>
      <c r="AV1226" s="314"/>
      <c r="AW1226" s="314"/>
      <c r="AX1226" s="314"/>
      <c r="AY1226" s="314"/>
      <c r="AZ1226" s="314"/>
      <c r="BA1226" s="314"/>
      <c r="BB1226" s="314"/>
      <c r="BC1226" s="314"/>
      <c r="BD1226" s="314"/>
      <c r="BE1226" s="314"/>
      <c r="BG1226" s="364"/>
      <c r="BH1226" s="314"/>
      <c r="BI1226" s="314"/>
      <c r="BJ1226" s="314"/>
      <c r="BK1226" s="314"/>
      <c r="BL1226" s="314"/>
      <c r="BM1226" s="314"/>
      <c r="BN1226" s="314"/>
      <c r="BO1226" s="314"/>
      <c r="BP1226" s="314"/>
      <c r="BQ1226" s="314"/>
      <c r="BR1226" s="314"/>
      <c r="BS1226" s="314"/>
      <c r="BT1226" s="314"/>
      <c r="BU1226" s="314"/>
      <c r="BV1226" s="314"/>
      <c r="BW1226" s="314"/>
      <c r="BX1226" s="314"/>
      <c r="BY1226" s="314"/>
      <c r="BZ1226" s="314"/>
      <c r="CA1226" s="314"/>
      <c r="CB1226" s="314"/>
      <c r="CC1226" s="314"/>
      <c r="CD1226" s="314"/>
      <c r="CE1226" s="314"/>
      <c r="CF1226" s="314"/>
      <c r="CG1226" s="314"/>
      <c r="CH1226" s="314"/>
      <c r="CI1226" s="314"/>
      <c r="CJ1226" s="314"/>
      <c r="CK1226" s="314"/>
      <c r="CL1226" s="314"/>
      <c r="CM1226" s="314"/>
      <c r="CN1226" s="314"/>
      <c r="CO1226" s="314"/>
      <c r="CP1226" s="314"/>
      <c r="CQ1226" s="314"/>
    </row>
    <row r="1227" spans="1:95" ht="5.15" customHeight="1" x14ac:dyDescent="0.25">
      <c r="A1227" s="307"/>
      <c r="C1227" s="76"/>
      <c r="D1227" s="76"/>
      <c r="E1227" s="76"/>
      <c r="F1227" s="76"/>
      <c r="G1227" s="76"/>
      <c r="H1227" s="76"/>
      <c r="I1227" s="76"/>
      <c r="J1227" s="76"/>
      <c r="K1227" s="76"/>
      <c r="L1227" s="76"/>
      <c r="O1227" s="160"/>
      <c r="P1227" s="109"/>
      <c r="Q1227" s="312"/>
      <c r="R1227" s="312"/>
      <c r="S1227" s="314"/>
      <c r="T1227" s="314"/>
      <c r="U1227" s="314"/>
      <c r="V1227" s="314"/>
      <c r="W1227" s="314"/>
      <c r="X1227" s="314"/>
      <c r="Y1227" s="314"/>
      <c r="Z1227" s="314"/>
      <c r="AA1227" s="314"/>
      <c r="AB1227" s="314"/>
      <c r="AC1227" s="314"/>
      <c r="AD1227" s="314"/>
      <c r="AE1227" s="314"/>
      <c r="AF1227" s="314"/>
      <c r="AG1227" s="314"/>
      <c r="AH1227" s="314"/>
      <c r="AI1227" s="314"/>
      <c r="AJ1227" s="314"/>
      <c r="AK1227" s="314"/>
      <c r="AL1227" s="314"/>
      <c r="AM1227" s="314"/>
      <c r="AN1227" s="314"/>
      <c r="AO1227" s="314"/>
      <c r="AP1227" s="314"/>
      <c r="AQ1227" s="314"/>
      <c r="AR1227" s="314"/>
      <c r="AS1227" s="314"/>
      <c r="AT1227" s="314"/>
      <c r="AU1227" s="314"/>
      <c r="AV1227" s="314"/>
      <c r="AW1227" s="314"/>
      <c r="AX1227" s="314"/>
      <c r="AY1227" s="314"/>
      <c r="AZ1227" s="314"/>
      <c r="BA1227" s="314"/>
      <c r="BB1227" s="314"/>
      <c r="BC1227" s="314"/>
      <c r="BD1227" s="314"/>
      <c r="BE1227" s="314"/>
      <c r="BG1227" s="364"/>
      <c r="BH1227" s="314"/>
      <c r="BI1227" s="314"/>
      <c r="BJ1227" s="314"/>
      <c r="BK1227" s="314"/>
      <c r="BL1227" s="314"/>
      <c r="BM1227" s="314"/>
      <c r="BN1227" s="314"/>
      <c r="BO1227" s="314"/>
      <c r="BP1227" s="314"/>
      <c r="BQ1227" s="314"/>
      <c r="BR1227" s="314"/>
      <c r="BS1227" s="314"/>
      <c r="BT1227" s="314"/>
      <c r="BU1227" s="314"/>
      <c r="BV1227" s="314"/>
      <c r="BW1227" s="314"/>
      <c r="BX1227" s="314"/>
      <c r="BY1227" s="314"/>
      <c r="BZ1227" s="314"/>
      <c r="CA1227" s="314"/>
      <c r="CB1227" s="314"/>
      <c r="CC1227" s="314"/>
      <c r="CD1227" s="314"/>
      <c r="CE1227" s="314"/>
      <c r="CF1227" s="314"/>
      <c r="CG1227" s="314"/>
      <c r="CH1227" s="314"/>
      <c r="CI1227" s="314"/>
      <c r="CJ1227" s="314"/>
      <c r="CK1227" s="314"/>
      <c r="CL1227" s="314"/>
      <c r="CM1227" s="314"/>
      <c r="CN1227" s="314"/>
      <c r="CO1227" s="314"/>
      <c r="CP1227" s="314"/>
      <c r="CQ1227" s="314"/>
    </row>
    <row r="1228" spans="1:95" ht="12.75" customHeight="1" thickBot="1" x14ac:dyDescent="0.3">
      <c r="A1228" s="307"/>
      <c r="C1228" s="76"/>
      <c r="D1228" s="76"/>
      <c r="E1228" s="76"/>
      <c r="F1228" s="76"/>
      <c r="G1228" s="1268">
        <v>1</v>
      </c>
      <c r="H1228" s="1268"/>
      <c r="I1228" s="1268">
        <v>2</v>
      </c>
      <c r="J1228" s="1268"/>
      <c r="K1228" s="1268">
        <v>3</v>
      </c>
      <c r="L1228" s="1268"/>
      <c r="O1228" s="160"/>
      <c r="P1228" s="109"/>
      <c r="Q1228" s="312"/>
      <c r="R1228" s="312"/>
      <c r="S1228" s="314"/>
      <c r="T1228" s="314"/>
      <c r="U1228" s="314"/>
      <c r="V1228" s="314"/>
      <c r="W1228" s="314"/>
      <c r="X1228" s="314"/>
      <c r="Y1228" s="314"/>
      <c r="Z1228" s="314"/>
      <c r="AA1228" s="314"/>
      <c r="AB1228" s="314"/>
      <c r="AC1228" s="314"/>
      <c r="AD1228" s="314"/>
      <c r="AE1228" s="314"/>
      <c r="AF1228" s="314"/>
      <c r="AG1228" s="314"/>
      <c r="AH1228" s="314"/>
      <c r="AI1228" s="314"/>
      <c r="AJ1228" s="314"/>
      <c r="AK1228" s="314"/>
      <c r="AL1228" s="314"/>
      <c r="AM1228" s="314"/>
      <c r="AN1228" s="314"/>
      <c r="AO1228" s="314"/>
      <c r="AP1228" s="314"/>
      <c r="AQ1228" s="314"/>
      <c r="AR1228" s="314"/>
      <c r="AS1228" s="314"/>
      <c r="AT1228" s="314"/>
      <c r="AU1228" s="314"/>
      <c r="AV1228" s="314"/>
      <c r="AW1228" s="314"/>
      <c r="AX1228" s="314"/>
      <c r="AY1228" s="314"/>
      <c r="AZ1228" s="314"/>
      <c r="BA1228" s="314"/>
      <c r="BB1228" s="314"/>
      <c r="BC1228" s="314"/>
      <c r="BD1228" s="314"/>
      <c r="BE1228" s="314"/>
      <c r="BF1228" s="314"/>
      <c r="BG1228" s="364"/>
      <c r="BH1228" s="314"/>
      <c r="BI1228" s="314"/>
      <c r="BJ1228" s="314"/>
      <c r="BK1228" s="314"/>
      <c r="BL1228" s="314"/>
      <c r="BM1228" s="314"/>
      <c r="BN1228" s="314"/>
      <c r="BO1228" s="314"/>
      <c r="BP1228" s="314"/>
      <c r="BQ1228" s="314"/>
      <c r="BR1228" s="314"/>
      <c r="BS1228" s="314"/>
      <c r="BT1228" s="314"/>
      <c r="BU1228" s="314"/>
      <c r="BV1228" s="314"/>
      <c r="BW1228" s="314"/>
      <c r="BX1228" s="314"/>
      <c r="BY1228" s="314"/>
      <c r="BZ1228" s="314"/>
      <c r="CA1228" s="314"/>
      <c r="CB1228" s="314"/>
      <c r="CC1228" s="314"/>
      <c r="CD1228" s="314"/>
      <c r="CE1228" s="314"/>
      <c r="CF1228" s="314"/>
      <c r="CG1228" s="314"/>
      <c r="CH1228" s="314"/>
      <c r="CI1228" s="314"/>
      <c r="CJ1228" s="314"/>
      <c r="CK1228" s="314"/>
      <c r="CL1228" s="314"/>
      <c r="CM1228" s="314"/>
      <c r="CN1228" s="314"/>
      <c r="CO1228" s="314"/>
      <c r="CP1228" s="314"/>
      <c r="CQ1228" s="314"/>
    </row>
    <row r="1229" spans="1:95" ht="12.75" customHeight="1" thickBot="1" x14ac:dyDescent="0.3">
      <c r="A1229" s="462"/>
      <c r="B1229" s="76"/>
      <c r="C1229" s="76"/>
      <c r="D1229" s="1246" t="str">
        <f>Translations!$B$372</f>
        <v>Consumers' CRF category:</v>
      </c>
      <c r="E1229" s="1246"/>
      <c r="F1229" s="1247"/>
      <c r="G1229" s="1248"/>
      <c r="H1229" s="1249"/>
      <c r="I1229" s="1248"/>
      <c r="J1229" s="1249"/>
      <c r="K1229" s="1248"/>
      <c r="L1229" s="1249"/>
      <c r="M1229" s="463" t="str">
        <f>IF(AND(E1208&lt;&gt;"",COUNTA(G1229:L1229)=0,AX1229=FALSE),EUconst_ERR_Incomplete,"")</f>
        <v/>
      </c>
      <c r="N1229" s="76"/>
      <c r="O1229" s="160"/>
      <c r="P1229" s="109"/>
      <c r="Q1229" s="312"/>
      <c r="R1229" s="312"/>
      <c r="S1229" s="314"/>
      <c r="T1229" s="314"/>
      <c r="U1229" s="314"/>
      <c r="V1229" s="314"/>
      <c r="W1229" s="314"/>
      <c r="X1229" s="314"/>
      <c r="Y1229" s="314"/>
      <c r="Z1229" s="314"/>
      <c r="AA1229" s="314"/>
      <c r="AB1229" s="314"/>
      <c r="AC1229" s="314"/>
      <c r="AD1229" s="314"/>
      <c r="AE1229" s="314"/>
      <c r="AF1229" s="314"/>
      <c r="AG1229" s="314"/>
      <c r="AH1229" s="314"/>
      <c r="AI1229" s="314"/>
      <c r="AJ1229" s="314"/>
      <c r="AK1229" s="314"/>
      <c r="AL1229" s="314"/>
      <c r="AM1229" s="314"/>
      <c r="AN1229" s="314"/>
      <c r="AO1229" s="314"/>
      <c r="AP1229" s="314"/>
      <c r="AQ1229" s="314"/>
      <c r="AR1229" s="314"/>
      <c r="AS1229" s="314"/>
      <c r="AT1229" s="314"/>
      <c r="AU1229" s="314"/>
      <c r="AV1229" s="314"/>
      <c r="AW1229" s="314"/>
      <c r="AX1229" s="464" t="b">
        <f>AND(AV1225&lt;&gt;"",SUM(AV1225=1))</f>
        <v>0</v>
      </c>
      <c r="AY1229" s="314"/>
      <c r="AZ1229" s="314"/>
      <c r="BA1229" s="314"/>
      <c r="BB1229" s="314"/>
      <c r="BC1229" s="314"/>
      <c r="BD1229" s="314"/>
      <c r="BE1229" s="314"/>
      <c r="BF1229" s="361" t="s">
        <v>169</v>
      </c>
      <c r="BG1229" s="362" t="str">
        <f>IF(AN1214=EUconst_TJ,AV1214*AV1222,IF(AN1216=EUconst_GJ,AV1214*AV1216/1000*AV1222,""))</f>
        <v/>
      </c>
      <c r="BH1229" s="314"/>
      <c r="BI1229" s="314"/>
      <c r="BJ1229" s="314"/>
      <c r="BK1229" s="314"/>
      <c r="BL1229" s="314"/>
      <c r="BM1229" s="314"/>
      <c r="BN1229" s="314"/>
      <c r="BO1229" s="314"/>
      <c r="BP1229" s="314"/>
      <c r="BQ1229" s="314"/>
      <c r="BR1229" s="314"/>
      <c r="BS1229" s="314"/>
      <c r="BT1229" s="314"/>
      <c r="BU1229" s="314"/>
      <c r="BV1229" s="314"/>
      <c r="BW1229" s="314"/>
      <c r="BX1229" s="314"/>
      <c r="BY1229" s="314"/>
      <c r="BZ1229" s="314"/>
      <c r="CA1229" s="314"/>
      <c r="CB1229" s="314"/>
      <c r="CC1229" s="314"/>
      <c r="CD1229" s="314"/>
      <c r="CE1229" s="314"/>
      <c r="CF1229" s="314"/>
      <c r="CG1229" s="314"/>
      <c r="CH1229" s="314"/>
      <c r="CI1229" s="314"/>
      <c r="CJ1229" s="314"/>
      <c r="CK1229" s="314"/>
      <c r="CL1229" s="314"/>
      <c r="CM1229" s="314"/>
      <c r="CN1229" s="314"/>
      <c r="CO1229" s="314"/>
      <c r="CP1229" s="314"/>
      <c r="CQ1229" s="314"/>
    </row>
    <row r="1230" spans="1:95" ht="5.15" customHeight="1" x14ac:dyDescent="0.25">
      <c r="A1230" s="307"/>
      <c r="B1230" s="68"/>
      <c r="C1230" s="68"/>
      <c r="D1230" s="68"/>
      <c r="E1230" s="68"/>
      <c r="F1230" s="68"/>
      <c r="G1230" s="76"/>
      <c r="H1230" s="76"/>
      <c r="I1230" s="76"/>
      <c r="J1230" s="76"/>
      <c r="K1230" s="76"/>
      <c r="L1230" s="76"/>
      <c r="M1230" s="76"/>
      <c r="N1230" s="76"/>
      <c r="O1230" s="160"/>
      <c r="P1230" s="109"/>
      <c r="Q1230" s="312"/>
      <c r="R1230" s="312"/>
      <c r="S1230" s="314"/>
      <c r="T1230" s="314"/>
      <c r="U1230" s="314"/>
      <c r="V1230" s="314"/>
      <c r="W1230" s="314"/>
      <c r="X1230" s="314"/>
      <c r="Y1230" s="314"/>
      <c r="Z1230" s="314"/>
      <c r="AA1230" s="314"/>
      <c r="AB1230" s="314"/>
      <c r="AC1230" s="314"/>
      <c r="AD1230" s="314"/>
      <c r="AE1230" s="314"/>
      <c r="AF1230" s="314"/>
      <c r="AG1230" s="314"/>
      <c r="AH1230" s="314"/>
      <c r="AI1230" s="314"/>
      <c r="AJ1230" s="314"/>
      <c r="AK1230" s="314"/>
      <c r="AL1230" s="314"/>
      <c r="AM1230" s="314"/>
      <c r="AN1230" s="314"/>
      <c r="AO1230" s="314"/>
      <c r="AP1230" s="314"/>
      <c r="AQ1230" s="314"/>
      <c r="AR1230" s="314"/>
      <c r="AS1230" s="314"/>
      <c r="AT1230" s="314"/>
      <c r="AU1230" s="314"/>
      <c r="AV1230" s="314"/>
      <c r="AW1230" s="314"/>
      <c r="AX1230" s="314"/>
      <c r="AY1230" s="314"/>
      <c r="AZ1230" s="314"/>
      <c r="BA1230" s="314"/>
      <c r="BB1230" s="314"/>
      <c r="BC1230" s="314"/>
      <c r="BD1230" s="314"/>
      <c r="BE1230" s="314"/>
      <c r="BF1230" s="314"/>
      <c r="BG1230" s="314"/>
      <c r="BH1230" s="314"/>
      <c r="BI1230" s="314"/>
      <c r="BJ1230" s="314"/>
      <c r="BK1230" s="314"/>
      <c r="BL1230" s="314"/>
      <c r="BM1230" s="314"/>
      <c r="BN1230" s="314"/>
      <c r="BO1230" s="314"/>
      <c r="BP1230" s="314"/>
      <c r="BQ1230" s="314"/>
      <c r="BR1230" s="314"/>
      <c r="BS1230" s="314"/>
      <c r="BT1230" s="314"/>
      <c r="BU1230" s="314"/>
      <c r="BV1230" s="314"/>
      <c r="BW1230" s="314"/>
      <c r="BX1230" s="314"/>
      <c r="BY1230" s="314"/>
      <c r="BZ1230" s="314"/>
      <c r="CA1230" s="314"/>
      <c r="CB1230" s="314"/>
      <c r="CC1230" s="314"/>
      <c r="CD1230" s="314"/>
      <c r="CE1230" s="314"/>
      <c r="CF1230" s="314"/>
      <c r="CG1230" s="314"/>
      <c r="CH1230" s="314"/>
      <c r="CI1230" s="314"/>
      <c r="CJ1230" s="314"/>
      <c r="CK1230" s="314"/>
      <c r="CL1230" s="314"/>
      <c r="CM1230" s="314"/>
      <c r="CN1230" s="314"/>
      <c r="CO1230" s="314"/>
      <c r="CP1230" s="314"/>
      <c r="CQ1230" s="314"/>
    </row>
    <row r="1231" spans="1:95" ht="12.75" customHeight="1" x14ac:dyDescent="0.25">
      <c r="A1231" s="307"/>
      <c r="B1231" s="68"/>
      <c r="C1231" s="68"/>
      <c r="D1231" s="1246" t="str">
        <f>Translations!$B$399</f>
        <v>Tiers valid from:</v>
      </c>
      <c r="E1231" s="1246"/>
      <c r="F1231" s="1247"/>
      <c r="G1231" s="8"/>
      <c r="H1231" s="199" t="str">
        <f>Translations!$B$400</f>
        <v>until:</v>
      </c>
      <c r="I1231" s="8"/>
      <c r="J1231" s="76"/>
      <c r="K1231" s="76"/>
      <c r="L1231" s="76"/>
      <c r="M1231" s="199" t="str">
        <f>Translations!$B$401</f>
        <v>ID used in the monitoring plan for this fuel stream:</v>
      </c>
      <c r="N1231" s="9"/>
      <c r="O1231" s="160"/>
      <c r="P1231" s="109"/>
      <c r="Q1231" s="312"/>
      <c r="R1231" s="312"/>
      <c r="S1231" s="465"/>
      <c r="T1231" s="314"/>
      <c r="U1231" s="314"/>
      <c r="V1231" s="314"/>
      <c r="W1231" s="314"/>
      <c r="X1231" s="314"/>
      <c r="Y1231" s="314"/>
      <c r="Z1231" s="314"/>
      <c r="AA1231" s="314"/>
      <c r="AB1231" s="314"/>
      <c r="AC1231" s="314"/>
      <c r="AD1231" s="314"/>
      <c r="AE1231" s="314"/>
      <c r="AF1231" s="314"/>
      <c r="AG1231" s="314"/>
      <c r="AH1231" s="314"/>
      <c r="AI1231" s="314"/>
      <c r="AJ1231" s="314"/>
      <c r="AK1231" s="314"/>
      <c r="AL1231" s="314"/>
      <c r="AM1231" s="314"/>
      <c r="AN1231" s="314"/>
      <c r="AO1231" s="314"/>
      <c r="AP1231" s="314"/>
      <c r="AQ1231" s="314"/>
      <c r="AR1231" s="314"/>
      <c r="AS1231" s="314"/>
      <c r="AT1231" s="314"/>
      <c r="AU1231" s="314"/>
      <c r="AV1231" s="314"/>
      <c r="AW1231" s="314"/>
      <c r="AX1231" s="314"/>
      <c r="AY1231" s="314"/>
      <c r="AZ1231" s="314"/>
      <c r="BA1231" s="314"/>
      <c r="BB1231" s="314"/>
      <c r="BC1231" s="314"/>
      <c r="BD1231" s="314"/>
      <c r="BE1231" s="314"/>
      <c r="BF1231" s="314"/>
      <c r="BG1231" s="314"/>
      <c r="BH1231" s="314"/>
      <c r="BI1231" s="314"/>
      <c r="BJ1231" s="314"/>
      <c r="BK1231" s="314"/>
      <c r="BL1231" s="314"/>
      <c r="BM1231" s="314"/>
      <c r="BN1231" s="314"/>
      <c r="BO1231" s="314"/>
      <c r="BP1231" s="314"/>
      <c r="BQ1231" s="314"/>
      <c r="BR1231" s="314"/>
      <c r="BS1231" s="314"/>
      <c r="BT1231" s="314"/>
      <c r="BU1231" s="314"/>
      <c r="BV1231" s="314"/>
      <c r="BW1231" s="314"/>
      <c r="BX1231" s="314"/>
      <c r="BY1231" s="314"/>
      <c r="BZ1231" s="314"/>
      <c r="CA1231" s="314"/>
      <c r="CB1231" s="314"/>
      <c r="CC1231" s="314"/>
      <c r="CD1231" s="314"/>
      <c r="CE1231" s="314"/>
      <c r="CF1231" s="314"/>
      <c r="CG1231" s="314"/>
      <c r="CH1231" s="314"/>
      <c r="CI1231" s="314"/>
      <c r="CJ1231" s="314"/>
      <c r="CK1231" s="314"/>
      <c r="CL1231" s="314"/>
      <c r="CM1231" s="314"/>
      <c r="CN1231" s="314"/>
      <c r="CO1231" s="314"/>
      <c r="CP1231" s="314"/>
      <c r="CQ1231" s="464" t="b">
        <f>CQ1214</f>
        <v>0</v>
      </c>
    </row>
    <row r="1232" spans="1:95" ht="5.15" customHeight="1" x14ac:dyDescent="0.25">
      <c r="A1232" s="462"/>
      <c r="B1232" s="76"/>
      <c r="C1232" s="76"/>
      <c r="D1232" s="76"/>
      <c r="E1232" s="76"/>
      <c r="F1232" s="76"/>
      <c r="G1232" s="76"/>
      <c r="H1232" s="76"/>
      <c r="I1232" s="76"/>
      <c r="J1232" s="76"/>
      <c r="K1232" s="76"/>
      <c r="L1232" s="76"/>
      <c r="M1232" s="76"/>
      <c r="N1232" s="76"/>
      <c r="O1232" s="160"/>
      <c r="P1232" s="109"/>
      <c r="Q1232" s="312"/>
      <c r="R1232" s="312"/>
      <c r="S1232" s="314"/>
      <c r="T1232" s="314"/>
      <c r="U1232" s="314"/>
      <c r="V1232" s="314"/>
      <c r="W1232" s="314"/>
      <c r="X1232" s="314"/>
      <c r="Y1232" s="314"/>
      <c r="Z1232" s="314"/>
      <c r="AA1232" s="314"/>
      <c r="AB1232" s="314"/>
      <c r="AC1232" s="314"/>
      <c r="AD1232" s="314"/>
      <c r="AE1232" s="314"/>
      <c r="AF1232" s="314"/>
      <c r="AG1232" s="314"/>
      <c r="AH1232" s="314"/>
      <c r="AI1232" s="314"/>
      <c r="AJ1232" s="314"/>
      <c r="AK1232" s="314"/>
      <c r="AL1232" s="314"/>
      <c r="AM1232" s="314"/>
      <c r="AN1232" s="314"/>
      <c r="AO1232" s="314"/>
      <c r="AP1232" s="314"/>
      <c r="AQ1232" s="314"/>
      <c r="AR1232" s="314"/>
      <c r="AS1232" s="314"/>
      <c r="AT1232" s="314"/>
      <c r="AU1232" s="314"/>
      <c r="AV1232" s="314"/>
      <c r="AW1232" s="314"/>
      <c r="AX1232" s="314"/>
      <c r="AY1232" s="314"/>
      <c r="AZ1232" s="314"/>
      <c r="BA1232" s="314"/>
      <c r="BB1232" s="314"/>
      <c r="BC1232" s="314"/>
      <c r="BD1232" s="314"/>
      <c r="BE1232" s="314"/>
      <c r="BF1232" s="314"/>
      <c r="BG1232" s="314"/>
      <c r="BH1232" s="314"/>
      <c r="BI1232" s="314"/>
      <c r="BJ1232" s="314"/>
      <c r="BK1232" s="314"/>
      <c r="BL1232" s="314"/>
      <c r="BM1232" s="314"/>
      <c r="BN1232" s="314"/>
      <c r="BO1232" s="314"/>
      <c r="BP1232" s="314"/>
      <c r="BQ1232" s="314"/>
      <c r="BR1232" s="314"/>
      <c r="BS1232" s="314"/>
      <c r="BT1232" s="314"/>
      <c r="BU1232" s="314"/>
      <c r="BV1232" s="314"/>
      <c r="BW1232" s="314"/>
      <c r="BX1232" s="314"/>
      <c r="BY1232" s="314"/>
      <c r="BZ1232" s="314"/>
      <c r="CA1232" s="314"/>
      <c r="CB1232" s="314"/>
      <c r="CC1232" s="314"/>
      <c r="CD1232" s="314"/>
      <c r="CE1232" s="314"/>
      <c r="CF1232" s="314"/>
      <c r="CG1232" s="314"/>
      <c r="CH1232" s="314"/>
      <c r="CI1232" s="314"/>
      <c r="CJ1232" s="314"/>
      <c r="CK1232" s="314"/>
      <c r="CL1232" s="314"/>
      <c r="CM1232" s="314"/>
      <c r="CN1232" s="314"/>
      <c r="CO1232" s="314"/>
      <c r="CP1232" s="314"/>
      <c r="CQ1232" s="314"/>
    </row>
    <row r="1233" spans="1:95" ht="12.75" customHeight="1" x14ac:dyDescent="0.25">
      <c r="A1233" s="462"/>
      <c r="B1233" s="76"/>
      <c r="C1233" s="76"/>
      <c r="D1233" s="115"/>
      <c r="E1233" s="85"/>
      <c r="F1233" s="466" t="str">
        <f>Translations!$B$304</f>
        <v>Comments:</v>
      </c>
      <c r="G1233" s="1250"/>
      <c r="H1233" s="1251"/>
      <c r="I1233" s="1251"/>
      <c r="J1233" s="1251"/>
      <c r="K1233" s="1251"/>
      <c r="L1233" s="1251"/>
      <c r="M1233" s="1251"/>
      <c r="N1233" s="1252"/>
      <c r="O1233" s="160"/>
      <c r="P1233" s="109"/>
      <c r="Q1233" s="312"/>
      <c r="R1233" s="312"/>
      <c r="S1233" s="314"/>
      <c r="T1233" s="314"/>
      <c r="U1233" s="314"/>
      <c r="V1233" s="314"/>
      <c r="W1233" s="314"/>
      <c r="X1233" s="314"/>
      <c r="Y1233" s="314"/>
      <c r="Z1233" s="314"/>
      <c r="AA1233" s="314"/>
      <c r="AB1233" s="314"/>
      <c r="AC1233" s="314"/>
      <c r="AD1233" s="314"/>
      <c r="AE1233" s="314"/>
      <c r="AF1233" s="314"/>
      <c r="AG1233" s="314"/>
      <c r="AH1233" s="314"/>
      <c r="AI1233" s="314"/>
      <c r="AJ1233" s="314"/>
      <c r="AK1233" s="314"/>
      <c r="AL1233" s="314"/>
      <c r="AM1233" s="314"/>
      <c r="AN1233" s="314"/>
      <c r="AO1233" s="314"/>
      <c r="AP1233" s="314"/>
      <c r="AQ1233" s="314"/>
      <c r="AR1233" s="314"/>
      <c r="AS1233" s="314"/>
      <c r="AT1233" s="314"/>
      <c r="AU1233" s="314"/>
      <c r="AV1233" s="314"/>
      <c r="AW1233" s="314"/>
      <c r="AX1233" s="314"/>
      <c r="AY1233" s="314"/>
      <c r="AZ1233" s="314"/>
      <c r="BA1233" s="314"/>
      <c r="BB1233" s="314"/>
      <c r="BC1233" s="314"/>
      <c r="BD1233" s="314"/>
      <c r="BE1233" s="314"/>
      <c r="BF1233" s="314"/>
      <c r="BG1233" s="314"/>
      <c r="BH1233" s="314"/>
      <c r="BI1233" s="314"/>
      <c r="BJ1233" s="314"/>
      <c r="BK1233" s="314"/>
      <c r="BL1233" s="314"/>
      <c r="BM1233" s="314"/>
      <c r="BN1233" s="314"/>
      <c r="BO1233" s="314"/>
      <c r="BP1233" s="314"/>
      <c r="BQ1233" s="314"/>
      <c r="BR1233" s="314"/>
      <c r="BS1233" s="314"/>
      <c r="BT1233" s="314"/>
      <c r="BU1233" s="314"/>
      <c r="BV1233" s="314"/>
      <c r="BW1233" s="314"/>
      <c r="BX1233" s="314"/>
      <c r="BY1233" s="314"/>
      <c r="BZ1233" s="314"/>
      <c r="CA1233" s="314"/>
      <c r="CB1233" s="314"/>
      <c r="CC1233" s="314"/>
      <c r="CD1233" s="314"/>
      <c r="CE1233" s="314"/>
      <c r="CF1233" s="314"/>
      <c r="CG1233" s="314"/>
      <c r="CH1233" s="314"/>
      <c r="CI1233" s="314"/>
      <c r="CJ1233" s="314"/>
      <c r="CK1233" s="314"/>
      <c r="CL1233" s="314"/>
      <c r="CM1233" s="314"/>
      <c r="CN1233" s="314"/>
      <c r="CO1233" s="314"/>
      <c r="CP1233" s="314"/>
      <c r="CQ1233" s="464" t="b">
        <f>CQ1231</f>
        <v>0</v>
      </c>
    </row>
    <row r="1234" spans="1:95" ht="12.75" customHeight="1" thickBot="1" x14ac:dyDescent="0.3">
      <c r="A1234" s="307"/>
      <c r="B1234" s="76"/>
      <c r="C1234" s="308"/>
      <c r="D1234" s="309"/>
      <c r="E1234" s="310"/>
      <c r="F1234" s="308"/>
      <c r="G1234" s="311"/>
      <c r="H1234" s="311"/>
      <c r="I1234" s="311"/>
      <c r="J1234" s="311"/>
      <c r="K1234" s="311"/>
      <c r="L1234" s="311"/>
      <c r="M1234" s="311"/>
      <c r="N1234" s="311"/>
      <c r="O1234" s="160"/>
      <c r="P1234" s="109"/>
      <c r="Q1234" s="312"/>
      <c r="R1234" s="312"/>
      <c r="S1234" s="293"/>
      <c r="T1234" s="293"/>
      <c r="U1234" s="313"/>
      <c r="V1234" s="293"/>
      <c r="W1234" s="293"/>
      <c r="X1234" s="313"/>
      <c r="Y1234" s="293"/>
      <c r="Z1234" s="293"/>
      <c r="AA1234" s="293"/>
      <c r="AB1234" s="293"/>
      <c r="AC1234" s="293"/>
      <c r="AD1234" s="293"/>
      <c r="AE1234" s="293"/>
      <c r="AF1234" s="293"/>
      <c r="AG1234" s="293"/>
      <c r="AH1234" s="293"/>
      <c r="AI1234" s="293"/>
      <c r="AJ1234" s="293"/>
      <c r="AK1234" s="293"/>
      <c r="AL1234" s="293"/>
      <c r="AM1234" s="293"/>
      <c r="AN1234" s="293"/>
      <c r="AO1234" s="293"/>
      <c r="AP1234" s="293"/>
      <c r="AQ1234" s="293"/>
      <c r="AR1234" s="293"/>
      <c r="AS1234" s="293"/>
      <c r="AT1234" s="293"/>
      <c r="AU1234" s="293"/>
      <c r="AV1234" s="293"/>
      <c r="AW1234" s="293"/>
      <c r="AX1234" s="293"/>
      <c r="AY1234" s="293"/>
      <c r="AZ1234" s="293"/>
      <c r="BA1234" s="293"/>
      <c r="BB1234" s="293"/>
      <c r="BC1234" s="293"/>
      <c r="BD1234" s="293"/>
      <c r="BE1234" s="293"/>
      <c r="BF1234" s="293"/>
      <c r="BG1234" s="293"/>
      <c r="BH1234" s="293"/>
      <c r="BI1234" s="293"/>
      <c r="BJ1234" s="293"/>
      <c r="BK1234" s="293"/>
      <c r="BL1234" s="293"/>
      <c r="BM1234" s="314"/>
      <c r="BN1234" s="314"/>
      <c r="BO1234" s="314"/>
      <c r="BP1234" s="314"/>
      <c r="BQ1234" s="314"/>
      <c r="BR1234" s="314"/>
      <c r="BS1234" s="314"/>
      <c r="BT1234" s="314"/>
      <c r="BU1234" s="293"/>
      <c r="BV1234" s="293"/>
      <c r="BW1234" s="293"/>
      <c r="BX1234" s="293"/>
      <c r="BY1234" s="293"/>
      <c r="BZ1234" s="293"/>
      <c r="CA1234" s="293"/>
      <c r="CB1234" s="293"/>
      <c r="CC1234" s="293"/>
      <c r="CD1234" s="293"/>
      <c r="CE1234" s="293"/>
      <c r="CF1234" s="293"/>
      <c r="CG1234" s="293"/>
      <c r="CH1234" s="293"/>
      <c r="CI1234" s="293"/>
      <c r="CJ1234" s="293"/>
      <c r="CK1234" s="293"/>
      <c r="CL1234" s="293"/>
      <c r="CM1234" s="293"/>
      <c r="CN1234" s="293"/>
      <c r="CO1234" s="293"/>
      <c r="CP1234" s="293"/>
      <c r="CQ1234" s="293"/>
    </row>
    <row r="1235" spans="1:95" ht="12.75" customHeight="1" thickBot="1" x14ac:dyDescent="0.3">
      <c r="A1235" s="315"/>
      <c r="B1235" s="76"/>
      <c r="C1235" s="76"/>
      <c r="D1235" s="205"/>
      <c r="E1235" s="316"/>
      <c r="F1235" s="76"/>
      <c r="G1235" s="96"/>
      <c r="H1235" s="96"/>
      <c r="I1235" s="96"/>
      <c r="J1235" s="96"/>
      <c r="K1235" s="76"/>
      <c r="L1235" s="96"/>
      <c r="M1235" s="96"/>
      <c r="N1235" s="96"/>
      <c r="O1235" s="160"/>
      <c r="P1235" s="109"/>
      <c r="Q1235" s="312"/>
      <c r="R1235" s="312"/>
      <c r="S1235" s="287"/>
      <c r="T1235" s="317" t="str">
        <f>IF(ISBLANK(E1236),"",MATCH(E1236,CNTR_SourceStreamNames,0))</f>
        <v/>
      </c>
      <c r="U1235" s="318" t="str">
        <f>IF(ISBLANK(E1236),"",INDEX(B_IdentifyFuelStreams!$D$67:$D$116,MATCH(E1236,CNTR_SourceStreamNames,0)))</f>
        <v/>
      </c>
      <c r="V1235" s="301"/>
      <c r="W1235" s="138"/>
      <c r="X1235" s="138"/>
      <c r="Y1235" s="138"/>
      <c r="Z1235" s="293"/>
      <c r="AA1235" s="293"/>
      <c r="AB1235" s="293"/>
      <c r="AC1235" s="293"/>
      <c r="AD1235" s="293"/>
      <c r="AE1235" s="293"/>
      <c r="AF1235" s="293"/>
      <c r="AG1235" s="293"/>
      <c r="AH1235" s="293"/>
      <c r="AI1235" s="293"/>
      <c r="AJ1235" s="293"/>
      <c r="AK1235" s="312"/>
      <c r="AL1235" s="293"/>
      <c r="AM1235" s="293"/>
      <c r="AN1235" s="293"/>
      <c r="AO1235" s="293"/>
      <c r="AP1235" s="293"/>
      <c r="AQ1235" s="293"/>
      <c r="AR1235" s="293"/>
      <c r="AS1235" s="293"/>
      <c r="AT1235" s="293"/>
      <c r="AU1235" s="293"/>
      <c r="AV1235" s="293"/>
      <c r="AW1235" s="293"/>
      <c r="AX1235" s="293"/>
      <c r="AY1235" s="293"/>
      <c r="AZ1235" s="293"/>
      <c r="BA1235" s="293"/>
      <c r="BB1235" s="293"/>
      <c r="BC1235" s="293"/>
      <c r="BD1235" s="293"/>
      <c r="BE1235" s="293"/>
      <c r="BF1235" s="293"/>
      <c r="BG1235" s="293"/>
      <c r="BH1235" s="293"/>
      <c r="BI1235" s="293"/>
      <c r="BJ1235" s="138"/>
      <c r="BK1235" s="138"/>
      <c r="BL1235" s="138"/>
      <c r="BM1235" s="138"/>
      <c r="BN1235" s="138"/>
      <c r="BO1235" s="138"/>
      <c r="BP1235" s="138"/>
      <c r="BQ1235" s="138"/>
      <c r="BR1235" s="138"/>
      <c r="BS1235" s="138"/>
      <c r="BT1235" s="138"/>
      <c r="BU1235" s="138"/>
      <c r="BV1235" s="138"/>
      <c r="BW1235" s="138"/>
      <c r="BX1235" s="138"/>
      <c r="BY1235" s="138"/>
      <c r="BZ1235" s="138"/>
      <c r="CA1235" s="138"/>
      <c r="CB1235" s="138"/>
      <c r="CC1235" s="138"/>
      <c r="CD1235" s="138"/>
      <c r="CE1235" s="138"/>
      <c r="CF1235" s="138"/>
      <c r="CG1235" s="138"/>
      <c r="CH1235" s="138"/>
      <c r="CI1235" s="138"/>
      <c r="CJ1235" s="138"/>
      <c r="CK1235" s="138"/>
      <c r="CL1235" s="138"/>
      <c r="CM1235" s="138"/>
      <c r="CN1235" s="138"/>
      <c r="CO1235" s="138"/>
      <c r="CP1235" s="138"/>
      <c r="CQ1235" s="319" t="s">
        <v>107</v>
      </c>
    </row>
    <row r="1236" spans="1:95" ht="15" customHeight="1" thickBot="1" x14ac:dyDescent="0.3">
      <c r="A1236" s="320">
        <f>C1236</f>
        <v>43</v>
      </c>
      <c r="B1236" s="68"/>
      <c r="C1236" s="321">
        <f>C1208+1</f>
        <v>43</v>
      </c>
      <c r="D1236" s="68"/>
      <c r="E1236" s="1269"/>
      <c r="F1236" s="1270"/>
      <c r="G1236" s="1270"/>
      <c r="H1236" s="1270"/>
      <c r="I1236" s="1270"/>
      <c r="J1236" s="1271"/>
      <c r="K1236" s="1272" t="str">
        <f>IF(INDEX(B_IdentifyFuelStreams!$K$125:$K$174,MATCH(U1235,B_IdentifyFuelStreams!$D$125:$D$174,0))&gt;0,INDEX(B_IdentifyFuelStreams!$K$125:$K$174,MATCH(U1235,B_IdentifyFuelStreams!$D$125:$D$174,0)),"")</f>
        <v/>
      </c>
      <c r="L1236" s="1273"/>
      <c r="M1236" s="316" t="str">
        <f>Translations!$B$621</f>
        <v>Emissions:</v>
      </c>
      <c r="N1236" s="322" t="str">
        <f>IF(E1237="","",BG1242)</f>
        <v/>
      </c>
      <c r="O1236" s="323" t="str">
        <f>EUconst_tCO2</f>
        <v>tCO2</v>
      </c>
      <c r="P1236" s="324" t="str">
        <f>IF(AND(E1236&lt;&gt;"",COUNTIF(P1237:$P$1649,"PRINT")=0),"PRINT","")</f>
        <v/>
      </c>
      <c r="Q1236" s="325" t="str">
        <f>EUconst_SumCO2</f>
        <v>SUM_CO2</v>
      </c>
      <c r="R1236" s="312"/>
      <c r="S1236" s="287"/>
      <c r="T1236" s="287"/>
      <c r="U1236" s="287"/>
      <c r="V1236" s="301"/>
      <c r="W1236" s="138"/>
      <c r="X1236" s="293"/>
      <c r="Y1236" s="293"/>
      <c r="Z1236" s="293"/>
      <c r="AA1236" s="293"/>
      <c r="AB1236" s="293"/>
      <c r="AC1236" s="293"/>
      <c r="AD1236" s="293"/>
      <c r="AE1236" s="293"/>
      <c r="AF1236" s="293"/>
      <c r="AG1236" s="293"/>
      <c r="AH1236" s="293"/>
      <c r="AI1236" s="326"/>
      <c r="AJ1236" s="326"/>
      <c r="AK1236" s="326"/>
      <c r="AL1236" s="326"/>
      <c r="AM1236" s="326"/>
      <c r="AN1236" s="326"/>
      <c r="AO1236" s="326"/>
      <c r="AP1236" s="326"/>
      <c r="AQ1236" s="326"/>
      <c r="AR1236" s="326"/>
      <c r="AS1236" s="326"/>
      <c r="AT1236" s="326"/>
      <c r="AU1236" s="326"/>
      <c r="AV1236" s="326"/>
      <c r="AW1236" s="326"/>
      <c r="AX1236" s="326"/>
      <c r="AY1236" s="326"/>
      <c r="AZ1236" s="326"/>
      <c r="BA1236" s="326"/>
      <c r="BB1236" s="326"/>
      <c r="BC1236" s="326"/>
      <c r="BD1236" s="326"/>
      <c r="BE1236" s="326"/>
      <c r="BF1236" s="326"/>
      <c r="BG1236" s="326"/>
      <c r="BH1236" s="326"/>
      <c r="BI1236" s="327" t="str">
        <f>IF(E1236="","",E1236)</f>
        <v/>
      </c>
      <c r="BJ1236" s="328" t="str">
        <f>IF(F1242="","",F1242)</f>
        <v/>
      </c>
      <c r="BK1236" s="329">
        <f>AV1242</f>
        <v>0</v>
      </c>
      <c r="BL1236" s="329">
        <f>IF(BK1236="","",BK1236*(1-BP1236))</f>
        <v>0</v>
      </c>
      <c r="BM1236" s="328" t="str">
        <f>AJ1242</f>
        <v/>
      </c>
      <c r="BN1236" s="328" t="str">
        <f>IF(F1253="","",F1253)</f>
        <v/>
      </c>
      <c r="BO1236" s="327" t="str">
        <f>IF(G1253="","",G1253)</f>
        <v/>
      </c>
      <c r="BP1236" s="330">
        <f>AV1253</f>
        <v>0</v>
      </c>
      <c r="BQ1236" s="328" t="str">
        <f>IF(F1245="","",F1245)</f>
        <v/>
      </c>
      <c r="BR1236" s="330">
        <f>AV1245</f>
        <v>0</v>
      </c>
      <c r="BS1236" s="330" t="str">
        <f>AJ1245</f>
        <v/>
      </c>
      <c r="BT1236" s="328" t="str">
        <f>IF(F1244="","",F1244)</f>
        <v/>
      </c>
      <c r="BU1236" s="330">
        <f>IF(F1244=EUconst_NA,"",AV1244)</f>
        <v>0</v>
      </c>
      <c r="BV1236" s="330" t="str">
        <f>AJ1244</f>
        <v/>
      </c>
      <c r="BW1236" s="328" t="str">
        <f>IF(F1246="","",F1246)</f>
        <v/>
      </c>
      <c r="BX1236" s="330">
        <f>AV1246</f>
        <v>0</v>
      </c>
      <c r="BY1236" s="328" t="str">
        <f>IF(F1247="","",F1247)</f>
        <v/>
      </c>
      <c r="BZ1236" s="330">
        <f>AV1247</f>
        <v>0</v>
      </c>
      <c r="CA1236" s="330">
        <f>AV1248</f>
        <v>0</v>
      </c>
      <c r="CB1236" s="330">
        <f>AV1249</f>
        <v>0</v>
      </c>
      <c r="CC1236" s="330">
        <f>AV1250</f>
        <v>0</v>
      </c>
      <c r="CD1236" s="330">
        <f>AV1251</f>
        <v>0</v>
      </c>
      <c r="CE1236" s="329" t="str">
        <f>BG1242</f>
        <v/>
      </c>
      <c r="CF1236" s="329" t="str">
        <f>BG1244</f>
        <v/>
      </c>
      <c r="CG1236" s="329" t="str">
        <f>BG1245</f>
        <v/>
      </c>
      <c r="CH1236" s="329" t="str">
        <f>BG1246</f>
        <v/>
      </c>
      <c r="CI1236" s="329" t="str">
        <f>BG1247</f>
        <v/>
      </c>
      <c r="CJ1236" s="329" t="str">
        <f>BG1248</f>
        <v/>
      </c>
      <c r="CK1236" s="329" t="str">
        <f>BG1249</f>
        <v/>
      </c>
      <c r="CL1236" s="329">
        <f>BG1250</f>
        <v>0</v>
      </c>
      <c r="CM1236" s="329" t="str">
        <f>BG1251</f>
        <v/>
      </c>
      <c r="CN1236" s="329" t="str">
        <f>BG1253</f>
        <v/>
      </c>
      <c r="CO1236" s="329" t="str">
        <f>BG1257</f>
        <v/>
      </c>
      <c r="CP1236" s="329" t="str">
        <f>IF(COUNTIF(AO1245:AO1246,TRUE)=0,"",BH1242)</f>
        <v/>
      </c>
      <c r="CQ1236" s="331" t="b">
        <v>0</v>
      </c>
    </row>
    <row r="1237" spans="1:95" ht="15" customHeight="1" thickBot="1" x14ac:dyDescent="0.3">
      <c r="A1237" s="307"/>
      <c r="B1237" s="68"/>
      <c r="C1237" s="68"/>
      <c r="D1237" s="68"/>
      <c r="E1237" s="1274" t="str">
        <f>IF(ISBLANK(E1236),"",IF(INDEX(B_IdentifyFuelStreams!$E$67:$E$116,MATCH(U1235,B_IdentifyFuelStreams!$D$67:$D$116,0))&gt;0,INDEX(B_IdentifyFuelStreams!$E$67:$E$116,MATCH(U1235,B_IdentifyFuelStreams!$D$67:$D$116,0)),""))</f>
        <v/>
      </c>
      <c r="F1237" s="1275"/>
      <c r="G1237" s="1275"/>
      <c r="H1237" s="1275"/>
      <c r="I1237" s="1275"/>
      <c r="J1237" s="1276"/>
      <c r="K1237" s="1272" t="str">
        <f>IF(INDEX(B_IdentifyFuelStreams!$M$125:$M$174,MATCH(U1235,B_IdentifyFuelStreams!$D$125:$D$174,0))&gt;0,INDEX(B_IdentifyFuelStreams!$M$125:$M$174,MATCH(U1235,B_IdentifyFuelStreams!$D$125:$D$174,0)),"")</f>
        <v/>
      </c>
      <c r="L1237" s="1273"/>
      <c r="M1237" s="332" t="str">
        <f>Translations!$B$622</f>
        <v>zero-rated:</v>
      </c>
      <c r="N1237" s="333" t="str">
        <f>IF(E1237="","",SUM(BG1244,BG1246,BG1248))</f>
        <v/>
      </c>
      <c r="O1237" s="334" t="str">
        <f>EUconst_tCO2</f>
        <v>tCO2</v>
      </c>
      <c r="P1237" s="109"/>
      <c r="Q1237" s="325" t="str">
        <f>EUconst_SumBioCO2</f>
        <v>SUM_bioCO2</v>
      </c>
      <c r="R1237" s="312"/>
      <c r="S1237" s="287"/>
      <c r="T1237" s="287"/>
      <c r="U1237" s="287"/>
      <c r="V1237" s="301"/>
      <c r="W1237" s="138"/>
      <c r="X1237" s="293"/>
      <c r="Y1237" s="317" t="str">
        <f>Translations!$B$143</f>
        <v>Tiers</v>
      </c>
      <c r="Z1237" s="314"/>
      <c r="AA1237" s="314"/>
      <c r="AB1237" s="314"/>
      <c r="AC1237" s="314"/>
      <c r="AD1237" s="314"/>
      <c r="AE1237" s="317" t="s">
        <v>108</v>
      </c>
      <c r="AF1237" s="293"/>
      <c r="AG1237" s="335"/>
      <c r="AH1237" s="314"/>
      <c r="AI1237" s="314"/>
      <c r="AJ1237" s="335"/>
      <c r="AK1237" s="335"/>
      <c r="AL1237" s="326"/>
      <c r="AM1237" s="326"/>
      <c r="AN1237" s="326"/>
      <c r="AO1237" s="326"/>
      <c r="AP1237" s="326"/>
      <c r="AQ1237" s="317" t="s">
        <v>109</v>
      </c>
      <c r="AR1237" s="336"/>
      <c r="AS1237" s="336"/>
      <c r="AT1237" s="314"/>
      <c r="AU1237" s="314"/>
      <c r="AV1237" s="314"/>
      <c r="AW1237" s="314"/>
      <c r="AX1237" s="314"/>
      <c r="AY1237" s="314"/>
      <c r="AZ1237" s="317" t="s">
        <v>110</v>
      </c>
      <c r="BA1237" s="314"/>
      <c r="BB1237" s="314"/>
      <c r="BC1237" s="314"/>
      <c r="BD1237" s="314"/>
      <c r="BE1237" s="314"/>
      <c r="BF1237" s="317" t="s">
        <v>111</v>
      </c>
      <c r="BG1237" s="314"/>
      <c r="BH1237" s="314"/>
      <c r="BI1237" s="317" t="s">
        <v>112</v>
      </c>
      <c r="BJ1237" s="328" t="str">
        <f>Translations!$B$376</f>
        <v>RFA Tier</v>
      </c>
      <c r="BK1237" s="328" t="str">
        <f>Translations!$B$377</f>
        <v>RFA</v>
      </c>
      <c r="BL1237" s="328" t="str">
        <f>Translations!$B$378</f>
        <v>RFA (in scope)</v>
      </c>
      <c r="BM1237" s="328" t="str">
        <f>Translations!$B$379</f>
        <v>RFA Unit</v>
      </c>
      <c r="BN1237" s="328" t="str">
        <f>Translations!$B$380</f>
        <v>SF Tier</v>
      </c>
      <c r="BO1237" s="328" t="str">
        <f>Translations!$B$380</f>
        <v>SF Tier</v>
      </c>
      <c r="BP1237" s="328" t="str">
        <f>Translations!$B$381</f>
        <v>SF</v>
      </c>
      <c r="BQ1237" s="328" t="str">
        <f>Translations!$B$382</f>
        <v>EF Tier</v>
      </c>
      <c r="BR1237" s="328" t="str">
        <f>Translations!$B$383</f>
        <v>EF</v>
      </c>
      <c r="BS1237" s="328" t="str">
        <f>Translations!$B$384</f>
        <v>EF Unit</v>
      </c>
      <c r="BT1237" s="328" t="str">
        <f>Translations!$B$385</f>
        <v>UCF Tier</v>
      </c>
      <c r="BU1237" s="328" t="str">
        <f>Translations!$B$386</f>
        <v>UCF</v>
      </c>
      <c r="BV1237" s="328" t="str">
        <f>Translations!$B$387</f>
        <v>UCF Unit</v>
      </c>
      <c r="BW1237" s="328" t="str">
        <f>Translations!$B$388</f>
        <v>Bio Tier</v>
      </c>
      <c r="BX1237" s="328" t="s">
        <v>113</v>
      </c>
      <c r="BY1237" s="328" t="str">
        <f>Translations!$B$389</f>
        <v>NonSustBio Tier</v>
      </c>
      <c r="BZ1237" s="328" t="s">
        <v>114</v>
      </c>
      <c r="CA1237" s="328" t="s">
        <v>115</v>
      </c>
      <c r="CB1237" s="328" t="s">
        <v>116</v>
      </c>
      <c r="CC1237" s="328" t="s">
        <v>117</v>
      </c>
      <c r="CD1237" s="328" t="s">
        <v>118</v>
      </c>
      <c r="CE1237" s="328" t="s">
        <v>119</v>
      </c>
      <c r="CF1237" s="328" t="s">
        <v>120</v>
      </c>
      <c r="CG1237" s="328" t="str">
        <f>Translations!$B$392</f>
        <v>CO2 non-sust</v>
      </c>
      <c r="CH1237" s="328" t="s">
        <v>121</v>
      </c>
      <c r="CI1237" s="328" t="s">
        <v>122</v>
      </c>
      <c r="CJ1237" s="328" t="s">
        <v>123</v>
      </c>
      <c r="CK1237" s="328" t="s">
        <v>124</v>
      </c>
      <c r="CL1237" s="328" t="s">
        <v>125</v>
      </c>
      <c r="CM1237" s="328" t="str">
        <f>Translations!$B$551</f>
        <v>Energy content (bio), TJ</v>
      </c>
      <c r="CN1237" s="328" t="s">
        <v>126</v>
      </c>
      <c r="CO1237" s="328" t="s">
        <v>127</v>
      </c>
      <c r="CP1237" s="328" t="s">
        <v>128</v>
      </c>
      <c r="CQ1237" s="314"/>
    </row>
    <row r="1238" spans="1:95" ht="5.15" customHeight="1" thickBot="1" x14ac:dyDescent="0.3">
      <c r="A1238" s="307"/>
      <c r="B1238" s="68"/>
      <c r="C1238" s="68"/>
      <c r="D1238" s="68"/>
      <c r="E1238" s="68"/>
      <c r="F1238" s="68"/>
      <c r="G1238" s="68"/>
      <c r="H1238" s="76"/>
      <c r="I1238" s="76"/>
      <c r="J1238" s="76"/>
      <c r="K1238" s="76"/>
      <c r="L1238" s="76"/>
      <c r="M1238" s="76"/>
      <c r="N1238" s="76"/>
      <c r="O1238" s="160"/>
      <c r="P1238" s="109"/>
      <c r="Q1238" s="312"/>
      <c r="R1238" s="312"/>
      <c r="S1238" s="287"/>
      <c r="T1238" s="287"/>
      <c r="U1238" s="287"/>
      <c r="V1238" s="301"/>
      <c r="W1238" s="314"/>
      <c r="X1238" s="314"/>
      <c r="Y1238" s="312"/>
      <c r="Z1238" s="314"/>
      <c r="AA1238" s="314"/>
      <c r="AB1238" s="314"/>
      <c r="AC1238" s="314"/>
      <c r="AD1238" s="314"/>
      <c r="AE1238" s="314"/>
      <c r="AF1238" s="293"/>
      <c r="AG1238" s="314"/>
      <c r="AH1238" s="314"/>
      <c r="AI1238" s="314"/>
      <c r="AJ1238" s="335"/>
      <c r="AK1238" s="335"/>
      <c r="AL1238" s="326"/>
      <c r="AM1238" s="326"/>
      <c r="AN1238" s="326"/>
      <c r="AO1238" s="326"/>
      <c r="AP1238" s="326"/>
      <c r="AQ1238" s="314"/>
      <c r="AR1238" s="314"/>
      <c r="AS1238" s="314"/>
      <c r="AT1238" s="314"/>
      <c r="AU1238" s="314"/>
      <c r="AV1238" s="314"/>
      <c r="AW1238" s="314"/>
      <c r="AX1238" s="314"/>
      <c r="AY1238" s="314"/>
      <c r="AZ1238" s="314"/>
      <c r="BA1238" s="314"/>
      <c r="BB1238" s="314"/>
      <c r="BC1238" s="314"/>
      <c r="BD1238" s="314"/>
      <c r="BE1238" s="314"/>
      <c r="BF1238" s="314"/>
      <c r="BG1238" s="314"/>
      <c r="BH1238" s="314"/>
      <c r="BI1238" s="314"/>
      <c r="BJ1238" s="314"/>
      <c r="BK1238" s="314"/>
      <c r="BL1238" s="314"/>
      <c r="BM1238" s="314"/>
      <c r="BN1238" s="314"/>
      <c r="BO1238" s="314"/>
      <c r="BP1238" s="314"/>
      <c r="BQ1238" s="314"/>
      <c r="BR1238" s="314"/>
      <c r="BS1238" s="314"/>
      <c r="BT1238" s="314"/>
      <c r="BU1238" s="314"/>
      <c r="BV1238" s="314"/>
      <c r="BW1238" s="314"/>
      <c r="BX1238" s="314"/>
      <c r="BY1238" s="314"/>
      <c r="BZ1238" s="314"/>
      <c r="CA1238" s="314"/>
      <c r="CB1238" s="314"/>
      <c r="CC1238" s="314"/>
      <c r="CD1238" s="314"/>
      <c r="CE1238" s="314"/>
      <c r="CF1238" s="314"/>
      <c r="CG1238" s="314"/>
      <c r="CH1238" s="314"/>
      <c r="CI1238" s="314"/>
      <c r="CJ1238" s="314"/>
      <c r="CK1238" s="314"/>
      <c r="CL1238" s="314"/>
      <c r="CM1238" s="314"/>
      <c r="CN1238" s="314"/>
      <c r="CO1238" s="314"/>
      <c r="CP1238" s="314"/>
      <c r="CQ1238" s="314"/>
    </row>
    <row r="1239" spans="1:95" ht="12.75" customHeight="1" thickBot="1" x14ac:dyDescent="0.3">
      <c r="A1239" s="307"/>
      <c r="B1239" s="68"/>
      <c r="C1239" s="68"/>
      <c r="D1239" s="68"/>
      <c r="E1239" s="1253" t="str">
        <f>IF(E1236="","",HYPERLINK("#JUMP_E_Top",EUconst_FurtherGuidancePoint1))</f>
        <v/>
      </c>
      <c r="F1239" s="1253"/>
      <c r="G1239" s="1253"/>
      <c r="H1239" s="1253"/>
      <c r="I1239" s="1253"/>
      <c r="J1239" s="1253"/>
      <c r="K1239" s="1253"/>
      <c r="L1239" s="1253"/>
      <c r="M1239" s="1253"/>
      <c r="N1239" s="76"/>
      <c r="O1239" s="160"/>
      <c r="P1239" s="109"/>
      <c r="Q1239" s="325" t="str">
        <f>EUconst_SumNonSustBioCO2</f>
        <v>SUM_bioNonSustCO2</v>
      </c>
      <c r="R1239" s="337" t="str">
        <f>IF(E1237="","",BG1245)</f>
        <v/>
      </c>
      <c r="S1239" s="287"/>
      <c r="T1239" s="287"/>
      <c r="U1239" s="287"/>
      <c r="V1239" s="314"/>
      <c r="W1239" s="314"/>
      <c r="X1239" s="314"/>
      <c r="Y1239" s="293"/>
      <c r="Z1239" s="314"/>
      <c r="AA1239" s="314"/>
      <c r="AB1239" s="314"/>
      <c r="AC1239" s="314"/>
      <c r="AD1239" s="314"/>
      <c r="AE1239" s="314"/>
      <c r="AF1239" s="293"/>
      <c r="AG1239" s="314"/>
      <c r="AH1239" s="314"/>
      <c r="AI1239" s="314"/>
      <c r="AJ1239" s="335"/>
      <c r="AK1239" s="335"/>
      <c r="AL1239" s="326"/>
      <c r="AM1239" s="326"/>
      <c r="AN1239" s="326"/>
      <c r="AO1239" s="326"/>
      <c r="AP1239" s="326"/>
      <c r="AQ1239" s="314"/>
      <c r="AR1239" s="314"/>
      <c r="AS1239" s="314"/>
      <c r="AT1239" s="314"/>
      <c r="AU1239" s="314"/>
      <c r="AV1239" s="314"/>
      <c r="AW1239" s="314"/>
      <c r="AX1239" s="314"/>
      <c r="AY1239" s="314"/>
      <c r="AZ1239" s="314"/>
      <c r="BA1239" s="314"/>
      <c r="BB1239" s="314"/>
      <c r="BC1239" s="314"/>
      <c r="BD1239" s="314"/>
      <c r="BE1239" s="314"/>
      <c r="BF1239" s="314"/>
      <c r="BG1239" s="314"/>
      <c r="BH1239" s="314"/>
      <c r="BI1239" s="317" t="s">
        <v>129</v>
      </c>
      <c r="BJ1239" s="336"/>
      <c r="BK1239" s="327" t="str">
        <f>IF(G1257="","",G1257)</f>
        <v/>
      </c>
      <c r="BL1239" s="327" t="str">
        <f>IF(I1257="","",I1257)</f>
        <v/>
      </c>
      <c r="BM1239" s="327" t="str">
        <f>IF(K1257="","",K1257)</f>
        <v/>
      </c>
      <c r="BN1239" s="314"/>
      <c r="BO1239" s="314"/>
      <c r="BP1239" s="314"/>
      <c r="BQ1239" s="314"/>
      <c r="BR1239" s="314"/>
      <c r="BS1239" s="314"/>
      <c r="BT1239" s="319"/>
      <c r="BU1239" s="314"/>
      <c r="BV1239" s="314"/>
      <c r="BW1239" s="314"/>
      <c r="BX1239" s="314"/>
      <c r="BY1239" s="314"/>
      <c r="BZ1239" s="314"/>
      <c r="CA1239" s="314"/>
      <c r="CB1239" s="314"/>
      <c r="CC1239" s="314"/>
      <c r="CD1239" s="314"/>
      <c r="CE1239" s="314"/>
      <c r="CF1239" s="314"/>
      <c r="CG1239" s="314"/>
      <c r="CH1239" s="314"/>
      <c r="CI1239" s="314"/>
      <c r="CJ1239" s="314"/>
      <c r="CK1239" s="314"/>
      <c r="CL1239" s="314"/>
      <c r="CM1239" s="314"/>
      <c r="CN1239" s="314"/>
      <c r="CO1239" s="314"/>
      <c r="CP1239" s="314"/>
      <c r="CQ1239" s="314"/>
    </row>
    <row r="1240" spans="1:95" ht="5.15" customHeight="1" thickBot="1" x14ac:dyDescent="0.3">
      <c r="A1240" s="307"/>
      <c r="B1240" s="68"/>
      <c r="C1240" s="68"/>
      <c r="D1240" s="68"/>
      <c r="E1240" s="68"/>
      <c r="F1240" s="68"/>
      <c r="G1240" s="68"/>
      <c r="H1240" s="76"/>
      <c r="I1240" s="76"/>
      <c r="J1240" s="76"/>
      <c r="K1240" s="76"/>
      <c r="L1240" s="76"/>
      <c r="M1240" s="76"/>
      <c r="N1240" s="76"/>
      <c r="O1240" s="160"/>
      <c r="P1240" s="111"/>
      <c r="Q1240" s="287"/>
      <c r="R1240" s="111"/>
      <c r="S1240" s="287"/>
      <c r="T1240" s="287"/>
      <c r="U1240" s="287"/>
      <c r="V1240" s="314"/>
      <c r="W1240" s="314"/>
      <c r="X1240" s="314"/>
      <c r="Y1240" s="312"/>
      <c r="Z1240" s="314"/>
      <c r="AA1240" s="314"/>
      <c r="AB1240" s="314"/>
      <c r="AC1240" s="314"/>
      <c r="AD1240" s="314"/>
      <c r="AE1240" s="314"/>
      <c r="AF1240" s="293"/>
      <c r="AG1240" s="314"/>
      <c r="AH1240" s="314"/>
      <c r="AI1240" s="314"/>
      <c r="AJ1240" s="335"/>
      <c r="AK1240" s="335"/>
      <c r="AL1240" s="326"/>
      <c r="AM1240" s="326"/>
      <c r="AN1240" s="326"/>
      <c r="AO1240" s="326"/>
      <c r="AP1240" s="326"/>
      <c r="AQ1240" s="314"/>
      <c r="AR1240" s="314"/>
      <c r="AS1240" s="314"/>
      <c r="AT1240" s="314"/>
      <c r="AU1240" s="314"/>
      <c r="AV1240" s="314"/>
      <c r="AW1240" s="314"/>
      <c r="AX1240" s="314"/>
      <c r="AY1240" s="314"/>
      <c r="AZ1240" s="314"/>
      <c r="BA1240" s="314"/>
      <c r="BB1240" s="314"/>
      <c r="BC1240" s="314"/>
      <c r="BD1240" s="314"/>
      <c r="BE1240" s="314"/>
      <c r="BF1240" s="314"/>
      <c r="BG1240" s="314"/>
      <c r="BH1240" s="314"/>
      <c r="BI1240" s="314"/>
      <c r="BJ1240" s="314"/>
      <c r="BK1240" s="314"/>
      <c r="BL1240" s="314"/>
      <c r="BM1240" s="314"/>
      <c r="BN1240" s="314"/>
      <c r="BO1240" s="314"/>
      <c r="BP1240" s="314"/>
      <c r="BQ1240" s="314"/>
      <c r="BR1240" s="314"/>
      <c r="BS1240" s="314"/>
      <c r="BT1240" s="314"/>
      <c r="BU1240" s="314"/>
      <c r="BV1240" s="314"/>
      <c r="BW1240" s="314"/>
      <c r="BX1240" s="314"/>
      <c r="BY1240" s="314"/>
      <c r="BZ1240" s="314"/>
      <c r="CA1240" s="314"/>
      <c r="CB1240" s="314"/>
      <c r="CC1240" s="314"/>
      <c r="CD1240" s="314"/>
      <c r="CE1240" s="314"/>
      <c r="CF1240" s="314"/>
      <c r="CG1240" s="314"/>
      <c r="CH1240" s="314"/>
      <c r="CI1240" s="314"/>
      <c r="CJ1240" s="314"/>
      <c r="CK1240" s="314"/>
      <c r="CL1240" s="314"/>
      <c r="CM1240" s="314"/>
      <c r="CN1240" s="314"/>
      <c r="CO1240" s="314"/>
      <c r="CP1240" s="314"/>
      <c r="CQ1240" s="314"/>
    </row>
    <row r="1241" spans="1:95" ht="12.75" customHeight="1" thickBot="1" x14ac:dyDescent="0.3">
      <c r="A1241" s="307"/>
      <c r="B1241" s="68"/>
      <c r="C1241" s="68"/>
      <c r="D1241" s="68"/>
      <c r="E1241" s="68"/>
      <c r="F1241" s="338" t="str">
        <f>Translations!$B$127</f>
        <v>Tier</v>
      </c>
      <c r="G1241" s="1254" t="str">
        <f>Translations!$B$393</f>
        <v>tier description</v>
      </c>
      <c r="H1241" s="1254"/>
      <c r="I1241" s="1255" t="str">
        <f>Translations!$B$394</f>
        <v>Unit</v>
      </c>
      <c r="J1241" s="1255"/>
      <c r="K1241" s="1255" t="str">
        <f>Translations!$B$395</f>
        <v>Value</v>
      </c>
      <c r="L1241" s="1255"/>
      <c r="M1241" s="205" t="str">
        <f>Translations!$B$396</f>
        <v>error</v>
      </c>
      <c r="N1241" s="76"/>
      <c r="O1241" s="160"/>
      <c r="P1241" s="339"/>
      <c r="Q1241" s="325" t="str">
        <f>EUconst_SumEnergyIN</f>
        <v>SUM_EnergyIN</v>
      </c>
      <c r="R1241" s="340" t="str">
        <f>IF(E1237="","",BG1250)</f>
        <v/>
      </c>
      <c r="S1241" s="314"/>
      <c r="T1241" s="314"/>
      <c r="U1241" s="314"/>
      <c r="V1241" s="341" t="s">
        <v>130</v>
      </c>
      <c r="W1241" s="314"/>
      <c r="X1241" s="314"/>
      <c r="Y1241" s="312" t="s">
        <v>131</v>
      </c>
      <c r="Z1241" s="312" t="s">
        <v>132</v>
      </c>
      <c r="AA1241" s="314"/>
      <c r="AB1241" s="314"/>
      <c r="AC1241" s="336" t="s">
        <v>133</v>
      </c>
      <c r="AD1241" s="314"/>
      <c r="AE1241" s="314"/>
      <c r="AF1241" s="314" t="s">
        <v>134</v>
      </c>
      <c r="AG1241" s="314" t="s">
        <v>135</v>
      </c>
      <c r="AH1241" s="312" t="s">
        <v>136</v>
      </c>
      <c r="AI1241" s="335" t="s">
        <v>137</v>
      </c>
      <c r="AJ1241" s="335" t="s">
        <v>138</v>
      </c>
      <c r="AK1241" s="342" t="s">
        <v>139</v>
      </c>
      <c r="AL1241" s="326"/>
      <c r="AM1241" s="326"/>
      <c r="AN1241" s="326"/>
      <c r="AO1241" s="326"/>
      <c r="AP1241" s="326"/>
      <c r="AQ1241" s="314"/>
      <c r="AR1241" s="314" t="s">
        <v>134</v>
      </c>
      <c r="AS1241" s="314" t="s">
        <v>135</v>
      </c>
      <c r="AT1241" s="343" t="s">
        <v>140</v>
      </c>
      <c r="AU1241" s="335" t="s">
        <v>141</v>
      </c>
      <c r="AV1241" s="335" t="s">
        <v>142</v>
      </c>
      <c r="AW1241" s="342" t="s">
        <v>139</v>
      </c>
      <c r="AX1241" s="342" t="s">
        <v>139</v>
      </c>
      <c r="AY1241" s="314"/>
      <c r="AZ1241" s="314"/>
      <c r="BA1241" s="314"/>
      <c r="BB1241" s="314" t="s">
        <v>143</v>
      </c>
      <c r="BC1241" s="314"/>
      <c r="BD1241" s="314"/>
      <c r="BE1241" s="314"/>
      <c r="BF1241" s="314"/>
      <c r="BG1241" s="319" t="s">
        <v>144</v>
      </c>
      <c r="BH1241" s="314" t="s">
        <v>145</v>
      </c>
      <c r="BI1241" s="314"/>
      <c r="BJ1241" s="314"/>
      <c r="BK1241" s="314"/>
      <c r="BL1241" s="314"/>
      <c r="BM1241" s="314"/>
      <c r="BN1241" s="314"/>
      <c r="BO1241" s="314"/>
      <c r="BP1241" s="314"/>
      <c r="BQ1241" s="314"/>
      <c r="BR1241" s="314"/>
      <c r="BS1241" s="314"/>
      <c r="BT1241" s="314"/>
      <c r="BU1241" s="314"/>
      <c r="BV1241" s="314"/>
      <c r="BW1241" s="314"/>
      <c r="BX1241" s="314"/>
      <c r="BY1241" s="314"/>
      <c r="BZ1241" s="314"/>
      <c r="CA1241" s="314"/>
      <c r="CB1241" s="314"/>
      <c r="CC1241" s="314"/>
      <c r="CD1241" s="314"/>
      <c r="CE1241" s="314"/>
      <c r="CF1241" s="314"/>
      <c r="CG1241" s="314"/>
      <c r="CH1241" s="314"/>
      <c r="CI1241" s="314"/>
      <c r="CJ1241" s="314"/>
      <c r="CK1241" s="314"/>
      <c r="CL1241" s="314"/>
      <c r="CM1241" s="314"/>
      <c r="CN1241" s="314"/>
      <c r="CO1241" s="314"/>
      <c r="CP1241" s="314"/>
      <c r="CQ1241" s="319" t="s">
        <v>107</v>
      </c>
    </row>
    <row r="1242" spans="1:95" ht="12.75" customHeight="1" thickBot="1" x14ac:dyDescent="0.3">
      <c r="A1242" s="307"/>
      <c r="B1242" s="68"/>
      <c r="C1242" s="199" t="s">
        <v>12</v>
      </c>
      <c r="D1242" s="344" t="str">
        <f>Translations!$B$356</f>
        <v>RFA:</v>
      </c>
      <c r="E1242" s="345"/>
      <c r="F1242" s="6"/>
      <c r="G1242" s="1256" t="str">
        <f>IF(OR(ISBLANK(F1242),F1242=EUconst_NoTier),"",IF(Z1242=0,EUconst_NA,IF(ISERROR(Z1242),"",Z1242)))</f>
        <v/>
      </c>
      <c r="H1242" s="1257"/>
      <c r="I1242" s="346" t="str">
        <f>IF(J1242&lt;&gt;"","",AI1242)</f>
        <v/>
      </c>
      <c r="J1242" s="7"/>
      <c r="K1242" s="1258"/>
      <c r="L1242" s="1259"/>
      <c r="M1242" s="347" t="str">
        <f>IF(AND(E1237&lt;&gt;"",OR(F1242="",COUNT(K1242)=0),Y1242&lt;&gt;EUconst_NA),EUconst_ERR_Incomplete,"")</f>
        <v/>
      </c>
      <c r="N1242" s="76"/>
      <c r="O1242" s="160"/>
      <c r="P1242" s="348"/>
      <c r="Q1242" s="325" t="str">
        <f>EUconst_SumBioEnergyIN</f>
        <v>SUM_BioEnergyIN</v>
      </c>
      <c r="R1242" s="340" t="str">
        <f>IF(E1237="","",BG1251)</f>
        <v/>
      </c>
      <c r="S1242" s="314"/>
      <c r="T1242" s="349" t="str">
        <f>EUconst_CNTR_ActivityData&amp;E1237</f>
        <v>ActivityData_</v>
      </c>
      <c r="U1242" s="312"/>
      <c r="V1242" s="349" t="str">
        <f>IF(E1236="","",INDEX(B_IdentifyFuelStreams!$I$67:$I$116,MATCH(U1235,B_IdentifyFuelStreams!$D$67:$D$116,0)))</f>
        <v/>
      </c>
      <c r="W1242" s="335" t="s">
        <v>146</v>
      </c>
      <c r="X1242" s="312"/>
      <c r="Y1242" s="350" t="str">
        <f>IF(E1237="","",INDEX(EUwideConstants!$P$164:$P$200,MATCH(T1242,EUwideConstants!$S$164:$S$200,0)))</f>
        <v/>
      </c>
      <c r="Z1242" s="351" t="str">
        <f>IF(ISBLANK(F1242),"",IF(F1242=EUconst_NA,"",INDEX(EUwideConstants!$H:$O,MATCH(T1242,EUwideConstants!$S:$S,0),MATCH(F1242,CNTR_TierList,0))))</f>
        <v/>
      </c>
      <c r="AA1242" s="352" t="s">
        <v>136</v>
      </c>
      <c r="AB1242" s="335"/>
      <c r="AC1242" s="331" t="b">
        <f>E1236&lt;&gt;""</f>
        <v>0</v>
      </c>
      <c r="AD1242" s="314"/>
      <c r="AE1242" s="353" t="str">
        <f>EUconst_CNTR_ActivityData&amp;EUconst_Unit</f>
        <v>ActivityData_Unit</v>
      </c>
      <c r="AF1242" s="354" t="str">
        <f>IF(AC1242=TRUE, IF(COUNTIF(MSPara_SourceStreamCategory,V1242)=0,"",INDEX(MSPara_CalcFactorsMatrix,MATCH(V1242,MSPara_SourceStreamCategory,0),MATCH(AE1242&amp;"_"&amp;2,MSPara_CalcFactors,0))),"")</f>
        <v/>
      </c>
      <c r="AG1242" s="355" t="str">
        <f>IF(AC1242=TRUE, IF(COUNTIF(MSPara_SourceStreamCategory,V1242)=0,"",INDEX(MSPara_CalcFactorsMatrix,MATCH(V1242,MSPara_SourceStreamCategory,0),MATCH(AE1242&amp;"_"&amp;1,MSPara_CalcFactors,0))),"")</f>
        <v/>
      </c>
      <c r="AH1242" s="331" t="str">
        <f>IF(OR(AF1242="",AF1242=EUconst_NA),IF(OR(AG1242=EUconst_NA,AG1242=""),"",AG1242),AF1242)</f>
        <v/>
      </c>
      <c r="AI1242" s="350" t="str">
        <f>IF(AC1242=TRUE,IF(AH1242="",EUconst_t,AH1242),"")</f>
        <v/>
      </c>
      <c r="AJ1242" s="356" t="str">
        <f>IF(J1242="",AI1242,J1242)</f>
        <v/>
      </c>
      <c r="AK1242" s="357" t="b">
        <f>AND(E1236&lt;&gt;"",J1242&lt;&gt;"")</f>
        <v>0</v>
      </c>
      <c r="AL1242" s="326"/>
      <c r="AM1242" s="358" t="s">
        <v>147</v>
      </c>
      <c r="AN1242" s="359" t="str">
        <f>AJ1242</f>
        <v/>
      </c>
      <c r="AO1242" s="326"/>
      <c r="AP1242" s="326"/>
      <c r="AQ1242" s="349" t="str">
        <f>EUconst_CNTR_ActivityData&amp;EUconst_Value</f>
        <v>ActivityData_Value</v>
      </c>
      <c r="AR1242" s="336"/>
      <c r="AS1242" s="336"/>
      <c r="AT1242" s="331" t="b">
        <f>AND(AND(AH1242&lt;&gt;"",AJ1242&lt;&gt;""),AJ1242=AH1242)</f>
        <v>0</v>
      </c>
      <c r="AU1242" s="314"/>
      <c r="AV1242" s="331">
        <f>IF(Y1242=EUconst_NA,0,IF(COUNT(K1242:K1242)=0,0,IF(K1242="",#REF!,K1242)))</f>
        <v>0</v>
      </c>
      <c r="AW1242" s="360" t="b">
        <f>AND(AC1242=TRUE,OR(K1242&lt;&gt;"",AU1242=""))</f>
        <v>0</v>
      </c>
      <c r="AX1242" s="360" t="b">
        <f>AND(AC1242=TRUE,NOT(AW1242))</f>
        <v>0</v>
      </c>
      <c r="AY1242" s="314"/>
      <c r="AZ1242" s="314" t="s">
        <v>148</v>
      </c>
      <c r="BA1242" s="314" t="s">
        <v>149</v>
      </c>
      <c r="BB1242" s="360"/>
      <c r="BC1242" s="314" t="s">
        <v>150</v>
      </c>
      <c r="BD1242" s="314"/>
      <c r="BE1242" s="314"/>
      <c r="BF1242" s="361" t="s">
        <v>119</v>
      </c>
      <c r="BG1242" s="362" t="str">
        <f>IF(COUNTIF(AO1245:AO1246,TRUE)=0,"",BH1242*AV1253)</f>
        <v/>
      </c>
      <c r="BH1242" s="362" t="str">
        <f>IF(COUNTIF(AO1245:AO1246,TRUE)=0,"",AV1242*IF(AO1245,1,AV1244*AN1246)*AV1245-BH1244-BH1246-BH1248)</f>
        <v/>
      </c>
      <c r="BI1242" s="314"/>
      <c r="BJ1242" s="314"/>
      <c r="BK1242" s="314"/>
      <c r="BL1242" s="314"/>
      <c r="BM1242" s="314"/>
      <c r="BN1242" s="314"/>
      <c r="BO1242" s="314"/>
      <c r="BP1242" s="314"/>
      <c r="BQ1242" s="314"/>
      <c r="BR1242" s="314"/>
      <c r="BS1242" s="314"/>
      <c r="BT1242" s="314"/>
      <c r="BU1242" s="314"/>
      <c r="BV1242" s="314"/>
      <c r="BW1242" s="314"/>
      <c r="BX1242" s="314"/>
      <c r="BY1242" s="314"/>
      <c r="BZ1242" s="314"/>
      <c r="CA1242" s="314"/>
      <c r="CB1242" s="314"/>
      <c r="CC1242" s="314"/>
      <c r="CD1242" s="314"/>
      <c r="CE1242" s="314"/>
      <c r="CF1242" s="314"/>
      <c r="CG1242" s="314"/>
      <c r="CH1242" s="314"/>
      <c r="CI1242" s="314"/>
      <c r="CJ1242" s="314"/>
      <c r="CK1242" s="314"/>
      <c r="CL1242" s="314"/>
      <c r="CM1242" s="314"/>
      <c r="CN1242" s="314"/>
      <c r="CO1242" s="314"/>
      <c r="CP1242" s="314"/>
      <c r="CQ1242" s="360" t="b">
        <v>0</v>
      </c>
    </row>
    <row r="1243" spans="1:95" ht="5.15" customHeight="1" thickBot="1" x14ac:dyDescent="0.3">
      <c r="A1243" s="307"/>
      <c r="B1243" s="68"/>
      <c r="C1243" s="199"/>
      <c r="D1243" s="202"/>
      <c r="E1243" s="76"/>
      <c r="F1243" s="76"/>
      <c r="G1243" s="76"/>
      <c r="H1243" s="76" t="str">
        <f>Translations!$B$397</f>
        <v xml:space="preserve"> </v>
      </c>
      <c r="I1243" s="162"/>
      <c r="J1243" s="162"/>
      <c r="K1243" s="76"/>
      <c r="L1243" s="76"/>
      <c r="M1243" s="363"/>
      <c r="N1243" s="76"/>
      <c r="O1243" s="160"/>
      <c r="P1243" s="109"/>
      <c r="Q1243" s="312"/>
      <c r="R1243" s="312"/>
      <c r="S1243" s="314"/>
      <c r="T1243" s="62"/>
      <c r="U1243" s="312"/>
      <c r="V1243" s="314"/>
      <c r="W1243" s="314"/>
      <c r="X1243" s="312"/>
      <c r="Y1243" s="319"/>
      <c r="Z1243" s="314"/>
      <c r="AA1243" s="314"/>
      <c r="AB1243" s="314"/>
      <c r="AC1243" s="314"/>
      <c r="AD1243" s="314"/>
      <c r="AE1243" s="314"/>
      <c r="AF1243" s="314"/>
      <c r="AG1243" s="314"/>
      <c r="AH1243" s="314"/>
      <c r="AI1243" s="314"/>
      <c r="AJ1243" s="314"/>
      <c r="AK1243" s="314"/>
      <c r="AL1243" s="326"/>
      <c r="AM1243" s="326"/>
      <c r="AN1243" s="326"/>
      <c r="AO1243" s="326"/>
      <c r="AP1243" s="326"/>
      <c r="AQ1243" s="314"/>
      <c r="AR1243" s="314"/>
      <c r="AS1243" s="314"/>
      <c r="AT1243" s="314"/>
      <c r="AU1243" s="314"/>
      <c r="AV1243" s="314"/>
      <c r="AW1243" s="314"/>
      <c r="AX1243" s="314"/>
      <c r="AY1243" s="314"/>
      <c r="AZ1243" s="314"/>
      <c r="BA1243" s="314"/>
      <c r="BB1243" s="314"/>
      <c r="BC1243" s="314"/>
      <c r="BD1243" s="314"/>
      <c r="BE1243" s="314"/>
      <c r="BF1243" s="314"/>
      <c r="BG1243" s="364"/>
      <c r="BH1243" s="364"/>
      <c r="BI1243" s="314"/>
      <c r="BJ1243" s="314"/>
      <c r="BK1243" s="314"/>
      <c r="BL1243" s="314"/>
      <c r="BM1243" s="314"/>
      <c r="BN1243" s="314"/>
      <c r="BO1243" s="314"/>
      <c r="BP1243" s="314"/>
      <c r="BQ1243" s="314"/>
      <c r="BR1243" s="314"/>
      <c r="BS1243" s="314"/>
      <c r="BT1243" s="314"/>
      <c r="BU1243" s="314"/>
      <c r="BV1243" s="314"/>
      <c r="BW1243" s="314"/>
      <c r="BX1243" s="314"/>
      <c r="BY1243" s="314"/>
      <c r="BZ1243" s="314"/>
      <c r="CA1243" s="314"/>
      <c r="CB1243" s="314"/>
      <c r="CC1243" s="314"/>
      <c r="CD1243" s="314"/>
      <c r="CE1243" s="314"/>
      <c r="CF1243" s="314"/>
      <c r="CG1243" s="314"/>
      <c r="CH1243" s="314"/>
      <c r="CI1243" s="314"/>
      <c r="CJ1243" s="314"/>
      <c r="CK1243" s="314"/>
      <c r="CL1243" s="314"/>
      <c r="CM1243" s="314"/>
      <c r="CN1243" s="314"/>
      <c r="CO1243" s="314"/>
      <c r="CP1243" s="314"/>
      <c r="CQ1243" s="319"/>
    </row>
    <row r="1244" spans="1:95" ht="12.75" customHeight="1" x14ac:dyDescent="0.25">
      <c r="A1244" s="307"/>
      <c r="B1244" s="68"/>
      <c r="C1244" s="199" t="s">
        <v>13</v>
      </c>
      <c r="D1244" s="344" t="str">
        <f>Translations!$B$360</f>
        <v>UCF:</v>
      </c>
      <c r="E1244" s="345"/>
      <c r="F1244" s="10"/>
      <c r="G1244" s="1256" t="str">
        <f>IF(OR(ISBLANK(F1244),F1244=EUconst_NoTier),"",IF(Z1244=0,EUconst_NotApplicable,IF(ISERROR(Z1244),"",Z1244)))</f>
        <v/>
      </c>
      <c r="H1244" s="1257"/>
      <c r="I1244" s="365" t="str">
        <f>IF(J1244&lt;&gt;"","",AI1244)</f>
        <v/>
      </c>
      <c r="J1244" s="11"/>
      <c r="K1244" s="366" t="str">
        <f>IF(L1244="",AU1244,"")</f>
        <v/>
      </c>
      <c r="L1244" s="23"/>
      <c r="M1244" s="347" t="str">
        <f>IF(AND(E1237&lt;&gt;"",OR(F1244="",COUNT(K1244:L1244)=0),Y1244&lt;&gt;EUconst_NA),EUconst_ERR_Incomplete,IF(COUNTIF(BB1244:BD1244,TRUE)&gt;0,EUconst_ERR_Inconsistent,""))</f>
        <v/>
      </c>
      <c r="N1244" s="367"/>
      <c r="O1244" s="160"/>
      <c r="P1244" s="109"/>
      <c r="Q1244" s="312"/>
      <c r="R1244" s="312"/>
      <c r="S1244" s="314"/>
      <c r="T1244" s="368" t="str">
        <f>EUconst_CNTR_UCF&amp;E1237</f>
        <v>UCF_</v>
      </c>
      <c r="U1244" s="312"/>
      <c r="V1244" s="369" t="str">
        <f>V1245</f>
        <v/>
      </c>
      <c r="W1244" s="314"/>
      <c r="X1244" s="312"/>
      <c r="Y1244" s="370" t="str">
        <f>IF(E1237="","",IF(OR(F1244=EUconst_NA,W1244=TRUE),EUconst_NA,INDEX(EUwideConstants!$P$164:$P$200,MATCH(T1244,EUwideConstants!$S$164:$S$200,0))))</f>
        <v/>
      </c>
      <c r="Z1244" s="371" t="str">
        <f>IF(ISBLANK(F1244),"",IF(F1244=EUconst_NA,"",INDEX(EUwideConstants!$H:$O,MATCH(T1244,EUwideConstants!$S:$S,0),MATCH(F1244,CNTR_TierList,0))))</f>
        <v/>
      </c>
      <c r="AA1244" s="372" t="str">
        <f>IF(COUNTIF(EUconst_DefaultValues,Z1244)&gt;0,MATCH(Z1244,EUconst_DefaultValues,0),"")</f>
        <v/>
      </c>
      <c r="AB1244" s="314"/>
      <c r="AC1244" s="373" t="b">
        <f>AND(AC1242,Y1244&lt;&gt;EUconst_NA)</f>
        <v>0</v>
      </c>
      <c r="AD1244" s="314"/>
      <c r="AE1244" s="353" t="str">
        <f>EUconst_CNTR_UCF&amp;EUconst_Unit</f>
        <v>UCF_Unit</v>
      </c>
      <c r="AF1244" s="374" t="str">
        <f>IF(AC1244=TRUE, IF(COUNTIF(MSPara_SourceStreamCategory,V1244)=0,"",INDEX(MSPara_CalcFactorsMatrix,MATCH(V1244,MSPara_SourceStreamCategory,0),MATCH(AE1244&amp;"_"&amp;2,MSPara_CalcFactors,0))),"")</f>
        <v/>
      </c>
      <c r="AG1244" s="375" t="str">
        <f>IF(AC1244=TRUE, IF(COUNTIF(MSPara_SourceStreamCategory,V1244)=0,"",INDEX(MSPara_CalcFactorsMatrix,MATCH(V1244,MSPara_SourceStreamCategory,0),MATCH(AE1244&amp;"_"&amp;1,MSPara_CalcFactors,0))),"")</f>
        <v/>
      </c>
      <c r="AH1244" s="373" t="str">
        <f>IF(AA1244="","",INDEX(AF1244:AG1244,3-AA1244))</f>
        <v/>
      </c>
      <c r="AI1244" s="373" t="str">
        <f>IF(AC1244=TRUE,IF(OR(AH1244="",AH1244=EUconst_NA),EUconst_GJ&amp;"/"&amp;AJ1242,AH1244),"")</f>
        <v/>
      </c>
      <c r="AJ1244" s="373" t="str">
        <f>IF(J1244="",AI1244,J1244)</f>
        <v/>
      </c>
      <c r="AK1244" s="369" t="b">
        <f>AND(E1236&lt;&gt;"",J1244&lt;&gt;"")</f>
        <v>0</v>
      </c>
      <c r="AL1244" s="326"/>
      <c r="AM1244" s="358" t="s">
        <v>151</v>
      </c>
      <c r="AN1244" s="359" t="str">
        <f>IF(AJ1244="",EUconst_NA,IF(AN1242=EUconst_TJ,EUconst_TJ,INDEX(EUwideConstants!$C$135:$G$139,MATCH(AN1242,RFAUnits,0),MATCH(AJ1244,UCFUnits,0))))</f>
        <v>n.a.</v>
      </c>
      <c r="AO1244" s="326"/>
      <c r="AP1244" s="326"/>
      <c r="AQ1244" s="376" t="str">
        <f>EUconst_CNTR_UCF&amp;EUconst_Value</f>
        <v>UCF_Value</v>
      </c>
      <c r="AR1244" s="377" t="str">
        <f>IF(AC1244=TRUE,IF(COUNTIF(MSPara_SourceStreamCategory,V1244)=0,"",INDEX(MSPara_CalcFactorsMatrix,MATCH(V1244,MSPara_SourceStreamCategory,0),MATCH(AQ1244&amp;"_"&amp;2,MSPara_CalcFactors,0))),"")</f>
        <v/>
      </c>
      <c r="AS1244" s="378" t="str">
        <f>IF(AC1244=TRUE,IF(COUNTIF(MSPara_SourceStreamCategory,V1244)=0,"",INDEX(MSPara_CalcFactorsMatrix,MATCH(V1244,MSPara_SourceStreamCategory,0),MATCH(AQ1244&amp;"_"&amp;1,MSPara_CalcFactors,0))),"")</f>
        <v/>
      </c>
      <c r="AT1244" s="379" t="b">
        <f>AND(AND(AH1244&lt;&gt;"",AJ1244&lt;&gt;""),AJ1244=AH1244)</f>
        <v>0</v>
      </c>
      <c r="AU1244" s="380" t="str">
        <f>IF(AND(AA1244&lt;&gt;"",AT1244=TRUE),IF(OR(INDEX(AR1244:AS1244,3-AA1244)=EUconst_NA,INDEX(AR1244:AS1244,3-AA1244)=0),"",INDEX(AR1244:AS1244,3-AA1244)),"")</f>
        <v/>
      </c>
      <c r="AV1244" s="373">
        <f>IF(AC1244=TRUE,IF(COUNT(K1244:L1244)=0,0,IF(L1244="",K1244,L1244)),0)</f>
        <v>0</v>
      </c>
      <c r="AW1244" s="369" t="b">
        <f t="shared" ref="AW1244:AW1251" si="378">AND(AC1244=TRUE,OR(AND(F1244&lt;&gt;"",NOT(ISNUMBER(AA1244))),L1244&lt;&gt;"",F1244="",AU1244=""))</f>
        <v>0</v>
      </c>
      <c r="AX1244" s="381" t="b">
        <f t="shared" ref="AX1244:AX1251" si="379">AND(AC1244=TRUE,NOT(AW1244))</f>
        <v>0</v>
      </c>
      <c r="AY1244" s="314"/>
      <c r="AZ1244" s="382" t="b">
        <f t="shared" ref="AZ1244:AZ1251" si="380">AND(ISNUMBER(AA1244),AU1244="")</f>
        <v>0</v>
      </c>
      <c r="BA1244" s="383" t="b">
        <f t="shared" ref="BA1244:BA1251" si="381">AND(ISNUMBER(AA1244),AU1244&lt;&gt;AV1244)</f>
        <v>0</v>
      </c>
      <c r="BB1244" s="369" t="b">
        <f>AND(E1237&lt;&gt;"",F1244&lt;&gt;EUconst_NA,AN1244=EUconst_NA)</f>
        <v>0</v>
      </c>
      <c r="BC1244" s="369" t="b">
        <f t="shared" ref="BC1244:BC1251" si="382">AND(L1244&lt;&gt;"",Y1244=EUconst_NA)</f>
        <v>0</v>
      </c>
      <c r="BD1244" s="314"/>
      <c r="BE1244" s="314"/>
      <c r="BF1244" s="382" t="s">
        <v>152</v>
      </c>
      <c r="BG1244" s="384" t="str">
        <f>IF(COUNTIF(AO1245:AO1246,TRUE)=0,"",BH1244*AV1253)</f>
        <v/>
      </c>
      <c r="BH1244" s="384" t="str">
        <f>IF(COUNTIF(AO1245:AO1246,TRUE)=0,"",AV1242*IF(AO1245,1,AV1244*AN1246)*AV1245*AV1246)</f>
        <v/>
      </c>
      <c r="BI1244" s="314"/>
      <c r="BJ1244" s="314"/>
      <c r="BK1244" s="314"/>
      <c r="BL1244" s="314"/>
      <c r="BM1244" s="314"/>
      <c r="BN1244" s="314"/>
      <c r="BO1244" s="314"/>
      <c r="BP1244" s="314"/>
      <c r="BQ1244" s="314"/>
      <c r="BR1244" s="314"/>
      <c r="BS1244" s="314"/>
      <c r="BT1244" s="314"/>
      <c r="BU1244" s="314"/>
      <c r="BV1244" s="314"/>
      <c r="BW1244" s="314"/>
      <c r="BX1244" s="314"/>
      <c r="BY1244" s="314"/>
      <c r="BZ1244" s="314"/>
      <c r="CA1244" s="314"/>
      <c r="CB1244" s="314"/>
      <c r="CC1244" s="314"/>
      <c r="CD1244" s="314"/>
      <c r="CE1244" s="314"/>
      <c r="CF1244" s="314"/>
      <c r="CG1244" s="314"/>
      <c r="CH1244" s="314"/>
      <c r="CI1244" s="314"/>
      <c r="CJ1244" s="314"/>
      <c r="CK1244" s="314"/>
      <c r="CL1244" s="314"/>
      <c r="CM1244" s="314"/>
      <c r="CN1244" s="314"/>
      <c r="CO1244" s="314"/>
      <c r="CP1244" s="314"/>
      <c r="CQ1244" s="369" t="b">
        <f>OR(CQ1242,Y1244=EUconst_NA)</f>
        <v>0</v>
      </c>
    </row>
    <row r="1245" spans="1:95" ht="12.75" customHeight="1" thickBot="1" x14ac:dyDescent="0.3">
      <c r="A1245" s="307"/>
      <c r="B1245" s="68"/>
      <c r="C1245" s="199" t="s">
        <v>14</v>
      </c>
      <c r="D1245" s="344" t="str">
        <f>Translations!$B$358</f>
        <v>(prelim) EF:</v>
      </c>
      <c r="E1245" s="345"/>
      <c r="F1245" s="59"/>
      <c r="G1245" s="1256" t="str">
        <f>IF(OR(ISBLANK(F1245),F1245=EUconst_NoTier),"",IF(Z1245=0,EUconst_NotApplicable,IF(ISERROR(Z1245),"",Z1245)))</f>
        <v/>
      </c>
      <c r="H1245" s="1260"/>
      <c r="I1245" s="385" t="str">
        <f>IF(J1245&lt;&gt;"","",AI1245)</f>
        <v/>
      </c>
      <c r="J1245" s="22"/>
      <c r="K1245" s="386" t="str">
        <f>IF(L1245="",AU1245,"")</f>
        <v/>
      </c>
      <c r="L1245" s="58"/>
      <c r="M1245" s="347" t="str">
        <f>IF(AND(E1237&lt;&gt;"",OR(F1245="",COUNT(K1245:L1245)=0),Y1245&lt;&gt;EUconst_NA),EUconst_ERR_Incomplete,IF(COUNTIF(BB1245:BD1245,TRUE)&gt;0,EUconst_ERR_Inconsistent,""))</f>
        <v/>
      </c>
      <c r="N1245" s="387"/>
      <c r="O1245" s="160"/>
      <c r="P1245" s="109"/>
      <c r="Q1245" s="312"/>
      <c r="R1245" s="312"/>
      <c r="S1245" s="314"/>
      <c r="T1245" s="388" t="str">
        <f>EUconst_CNTR_EF&amp;E1237</f>
        <v>EF_</v>
      </c>
      <c r="U1245" s="312"/>
      <c r="V1245" s="389" t="str">
        <f>V1242</f>
        <v/>
      </c>
      <c r="W1245" s="314"/>
      <c r="X1245" s="312"/>
      <c r="Y1245" s="390" t="str">
        <f>IF(E1237="","",IF(OR(F1245=EUconst_NA,W1245=TRUE),EUconst_NA,INDEX(EUwideConstants!$P$164:$P$200,MATCH(T1245,EUwideConstants!$S$164:$S$200,0))))</f>
        <v/>
      </c>
      <c r="Z1245" s="391" t="str">
        <f>IF(ISBLANK(F1245),"",IF(F1245=EUconst_NA,"",INDEX(EUwideConstants!$H:$O,MATCH(T1245,EUwideConstants!$S:$S,0),MATCH(F1245,CNTR_TierList,0))))</f>
        <v/>
      </c>
      <c r="AA1245" s="392" t="str">
        <f>IF(COUNTIF(EUconst_DefaultValues,Z1245)&gt;0,MATCH(Z1245,EUconst_DefaultValues,0),"")</f>
        <v/>
      </c>
      <c r="AB1245" s="314"/>
      <c r="AC1245" s="393" t="b">
        <f>AND(AC1242,Y1245&lt;&gt;EUconst_NA)</f>
        <v>0</v>
      </c>
      <c r="AD1245" s="314"/>
      <c r="AE1245" s="394" t="str">
        <f>EUconst_CNTR_EF&amp;EUconst_Unit</f>
        <v>EF_Unit</v>
      </c>
      <c r="AF1245" s="395" t="str">
        <f>IF(AC1245=TRUE, IF(COUNTIF(MSPara_SourceStreamCategory,V1245)=0,"",INDEX(MSPara_CalcFactorsMatrix,MATCH(V1245,MSPara_SourceStreamCategory,0),MATCH(AE1245&amp;"_"&amp;2,MSPara_CalcFactors,0))),"")</f>
        <v/>
      </c>
      <c r="AG1245" s="396" t="str">
        <f>IF(AC1245=TRUE, IF(COUNTIF(MSPara_SourceStreamCategory,V1245)=0,"",INDEX(MSPara_CalcFactorsMatrix,MATCH(V1245,MSPara_SourceStreamCategory,0),MATCH(AE1245&amp;"_"&amp;1,MSPara_CalcFactors,0))),"")</f>
        <v/>
      </c>
      <c r="AH1245" s="397" t="str">
        <f>IF(AA1245="","",INDEX(AF1245:AG1245,3-AA1245))</f>
        <v/>
      </c>
      <c r="AI1245" s="397" t="str">
        <f>IF(AC1245=TRUE,IF(OR(AH1245="",AH1245=EUconst_NA),EUconst_tCO2&amp;"/"&amp;IF(AN1244=EUconst_NA,AN1242,IF(AN1244=EUconst_GJ,EUconst_TJ,AN1244)),AH1245),"")</f>
        <v/>
      </c>
      <c r="AJ1245" s="397" t="str">
        <f>IF(J1245="",AI1245,J1245)</f>
        <v/>
      </c>
      <c r="AK1245" s="398" t="b">
        <f>AND(E1237&lt;&gt;"",J1245&lt;&gt;"")</f>
        <v>0</v>
      </c>
      <c r="AL1245" s="326"/>
      <c r="AM1245" s="358" t="s">
        <v>153</v>
      </c>
      <c r="AN1245" s="359" t="str">
        <f>IF(COUNTIF(RFAUnits,AN1242)=0,EUconst_NA,INDEX(EUwideConstants!$C$150:$H$154,MATCH(AJ1245,EFUnits,0),MATCH(AN1242,EUwideConstants!$C$149:$H$149,0)))</f>
        <v>n.a.</v>
      </c>
      <c r="AO1245" s="359" t="b">
        <f>AN1245&lt;&gt;EUconst_NA</f>
        <v>0</v>
      </c>
      <c r="AP1245" s="326"/>
      <c r="AQ1245" s="399" t="str">
        <f>EUconst_CNTR_EF&amp;EUconst_Value</f>
        <v>EF_Value</v>
      </c>
      <c r="AR1245" s="400" t="str">
        <f>IF(AC1245=TRUE,IF(COUNTIF(MSPara_SourceStreamCategory,V1245)=0,"",INDEX(MSPara_CalcFactorsMatrix,MATCH(V1245,MSPara_SourceStreamCategory,0),MATCH(AQ1245&amp;"_"&amp;2,MSPara_CalcFactors,0))),"")</f>
        <v/>
      </c>
      <c r="AS1245" s="401" t="str">
        <f>IF(AC1245=TRUE,IF(COUNTIF(MSPara_SourceStreamCategory,V1245)=0,"",INDEX(MSPara_CalcFactorsMatrix,MATCH(V1245,MSPara_SourceStreamCategory,0),MATCH(AQ1245&amp;"_"&amp;1,MSPara_CalcFactors,0))),"")</f>
        <v/>
      </c>
      <c r="AT1245" s="402" t="b">
        <f>AND(AND(AH1245&lt;&gt;"",AJ1245&lt;&gt;""),AJ1245=AH1245)</f>
        <v>0</v>
      </c>
      <c r="AU1245" s="403" t="str">
        <f>IF(AND(AA1245&lt;&gt;"",AT1245=TRUE),IF(OR(INDEX(AR1245:AS1245,3-AA1245)=EUconst_NA,INDEX(AR1245:AS1245,3-AA1245)=0),"",INDEX(AR1245:AS1245,3-AA1245)),"")</f>
        <v/>
      </c>
      <c r="AV1245" s="393">
        <f>IF(AC1245=TRUE,IF(COUNT(K1245:L1245)=0,0,IF(L1245="",K1245,L1245)),0)</f>
        <v>0</v>
      </c>
      <c r="AW1245" s="389" t="b">
        <f t="shared" si="378"/>
        <v>0</v>
      </c>
      <c r="AX1245" s="404" t="b">
        <f t="shared" si="379"/>
        <v>0</v>
      </c>
      <c r="AY1245" s="314"/>
      <c r="AZ1245" s="405" t="b">
        <f t="shared" si="380"/>
        <v>0</v>
      </c>
      <c r="BA1245" s="406" t="b">
        <f t="shared" si="381"/>
        <v>0</v>
      </c>
      <c r="BB1245" s="407" t="b">
        <f>AND(E1237&lt;&gt;"",COUNTIF(AO1245:AO1246,TRUE)=0)</f>
        <v>0</v>
      </c>
      <c r="BC1245" s="389" t="b">
        <f t="shared" si="382"/>
        <v>0</v>
      </c>
      <c r="BD1245" s="314"/>
      <c r="BE1245" s="314"/>
      <c r="BF1245" s="408" t="s">
        <v>154</v>
      </c>
      <c r="BG1245" s="409" t="str">
        <f>IF(COUNTIF(AO1245:AO1246,TRUE)=0,"",BH1245*AV1253)</f>
        <v/>
      </c>
      <c r="BH1245" s="409" t="str">
        <f>IF(COUNTIF(AO1245:AO1246,TRUE)=0,"",AV1242*IF(AO1245,1,AV1244*AN1246)*AV1245*AV1247)</f>
        <v/>
      </c>
      <c r="BI1245" s="314"/>
      <c r="BJ1245" s="314"/>
      <c r="BK1245" s="314"/>
      <c r="BL1245" s="314"/>
      <c r="BM1245" s="314"/>
      <c r="BN1245" s="314"/>
      <c r="BO1245" s="314"/>
      <c r="BP1245" s="314"/>
      <c r="BQ1245" s="314"/>
      <c r="BR1245" s="314"/>
      <c r="BS1245" s="314"/>
      <c r="BT1245" s="314"/>
      <c r="BU1245" s="314"/>
      <c r="BV1245" s="314"/>
      <c r="BW1245" s="314"/>
      <c r="BX1245" s="314"/>
      <c r="BY1245" s="314"/>
      <c r="BZ1245" s="314"/>
      <c r="CA1245" s="314"/>
      <c r="CB1245" s="314"/>
      <c r="CC1245" s="314"/>
      <c r="CD1245" s="314"/>
      <c r="CE1245" s="314"/>
      <c r="CF1245" s="314"/>
      <c r="CG1245" s="314"/>
      <c r="CH1245" s="314"/>
      <c r="CI1245" s="314"/>
      <c r="CJ1245" s="314"/>
      <c r="CK1245" s="314"/>
      <c r="CL1245" s="314"/>
      <c r="CM1245" s="314"/>
      <c r="CN1245" s="314"/>
      <c r="CO1245" s="314"/>
      <c r="CP1245" s="314"/>
      <c r="CQ1245" s="407" t="b">
        <f>OR(CQ1242,Y1245=EUconst_NA)</f>
        <v>0</v>
      </c>
    </row>
    <row r="1246" spans="1:95" ht="12.75" customHeight="1" x14ac:dyDescent="0.25">
      <c r="A1246" s="307"/>
      <c r="B1246" s="68"/>
      <c r="C1246" s="199" t="s">
        <v>15</v>
      </c>
      <c r="D1246" s="344" t="str">
        <f>Translations!$B$362</f>
        <v>BioF:</v>
      </c>
      <c r="E1246" s="345"/>
      <c r="F1246" s="10"/>
      <c r="G1246" s="1256" t="str">
        <f>IF(OR(ISBLANK(F1246),F1246=EUconst_NoTier),"",IF(Z1246=0,EUconst_NotApplicable,IF(ISERROR(Z1246),"",Z1246)))</f>
        <v/>
      </c>
      <c r="H1246" s="1257"/>
      <c r="I1246" s="410" t="str">
        <f t="shared" ref="I1246:I1251" si="383">IF(OR(AC1246=FALSE,Y1246=EUconst_NA),"","-")</f>
        <v/>
      </c>
      <c r="J1246" s="411"/>
      <c r="K1246" s="412" t="str">
        <f>IF(L1246="",AU1246,"")</f>
        <v/>
      </c>
      <c r="L1246" s="60"/>
      <c r="M1246" s="347" t="str">
        <f>IF(AND(E1237&lt;&gt;"",OR(F1246="",COUNT(K1246:L1246)=0),Y1246&lt;&gt;EUconst_NA),EUconst_ERR_Incomplete,IF(COUNTIF(BB1246:BD1246,TRUE)&gt;0,EUconst_ERR_Inconsistent,""))</f>
        <v/>
      </c>
      <c r="O1246" s="160"/>
      <c r="P1246" s="348"/>
      <c r="Q1246" s="413"/>
      <c r="R1246" s="413"/>
      <c r="S1246" s="314"/>
      <c r="T1246" s="388" t="str">
        <f>EUconst_CNTR_BiomassContent&amp;E1237</f>
        <v>BioC_</v>
      </c>
      <c r="U1246" s="312"/>
      <c r="V1246" s="369" t="str">
        <f>V1244</f>
        <v/>
      </c>
      <c r="W1246" s="369" t="str">
        <f>IF(OR(V1246="",COUNTIF(MSPara_SourceStreamCategory,V1246)=0),"",INDEX(MSPara_IsFossil,MATCH(V1246,MSPara_SourceStreamCategory,0)))</f>
        <v/>
      </c>
      <c r="X1246" s="312"/>
      <c r="Y1246" s="370" t="str">
        <f>IF(E1237="","",IF(OR(F1246=EUconst_NA,W1246=TRUE),EUconst_NA,INDEX(EUwideConstants!$P$164:$P$200,MATCH(T1246,EUwideConstants!$S$164:$S$200,0))))</f>
        <v/>
      </c>
      <c r="Z1246" s="371" t="str">
        <f>IF(ISBLANK(F1246),"",IF(F1246=EUconst_NA,"",INDEX(EUwideConstants!$H:$O,MATCH(T1246,EUwideConstants!$S:$S,0),MATCH(F1246,CNTR_TierList,0))))</f>
        <v/>
      </c>
      <c r="AA1246" s="414" t="str">
        <f>IF(F1246=1,1,"")</f>
        <v/>
      </c>
      <c r="AB1246" s="314"/>
      <c r="AC1246" s="373" t="b">
        <f>AND(AC1242,Y1246&lt;&gt;EUconst_NA)</f>
        <v>0</v>
      </c>
      <c r="AD1246" s="314"/>
      <c r="AE1246" s="415"/>
      <c r="AF1246" s="416"/>
      <c r="AG1246" s="417"/>
      <c r="AH1246" s="418"/>
      <c r="AI1246" s="418"/>
      <c r="AJ1246" s="418"/>
      <c r="AK1246" s="419"/>
      <c r="AL1246" s="326"/>
      <c r="AM1246" s="358" t="s">
        <v>155</v>
      </c>
      <c r="AN1246" s="359" t="str">
        <f>IF(AN1244=EUconst_NA,EUconst_NA,INDEX(EUwideConstants!$C$150:$H$154,MATCH(AJ1245,EFUnits,0),MATCH(AN1244,EUwideConstants!$C$149:$H$149,0)))</f>
        <v>n.a.</v>
      </c>
      <c r="AO1246" s="359" t="b">
        <f>AN1246&lt;&gt;EUconst_NA</f>
        <v>0</v>
      </c>
      <c r="AP1246" s="326"/>
      <c r="AQ1246" s="376" t="str">
        <f>EUconst_CNTR_BiomassContent&amp;EUconst_Value</f>
        <v>BioC_Value</v>
      </c>
      <c r="AR1246" s="420"/>
      <c r="AS1246" s="378" t="str">
        <f t="shared" ref="AS1246:AS1251" si="384">IF(AC1246=TRUE,IF(COUNTIF(MSPara_SourceStreamCategory,V1246)=0,"",INDEX(MSPara_CalcFactorsMatrix,MATCH(V1246,MSPara_SourceStreamCategory,0),MATCH(AQ1246&amp;"_"&amp;2,MSPara_CalcFactors,0))),"")</f>
        <v/>
      </c>
      <c r="AT1246" s="421"/>
      <c r="AU1246" s="380" t="str">
        <f t="shared" ref="AU1246:AU1251" si="385">IF(OR(AA1246="",AS1246=EUconst_NA),"",AS1246)</f>
        <v/>
      </c>
      <c r="AV1246" s="373">
        <f>IF(AC1246=TRUE,IF(COUNT(K1246:L1246)=0,0,IF(L1246="",K1246,L1246)),0)</f>
        <v>0</v>
      </c>
      <c r="AW1246" s="369" t="b">
        <f t="shared" si="378"/>
        <v>0</v>
      </c>
      <c r="AX1246" s="381" t="b">
        <f t="shared" si="379"/>
        <v>0</v>
      </c>
      <c r="AY1246" s="314"/>
      <c r="AZ1246" s="382" t="b">
        <f t="shared" si="380"/>
        <v>0</v>
      </c>
      <c r="BA1246" s="383" t="b">
        <f t="shared" si="381"/>
        <v>0</v>
      </c>
      <c r="BB1246" s="314"/>
      <c r="BC1246" s="369" t="b">
        <f t="shared" si="382"/>
        <v>0</v>
      </c>
      <c r="BD1246" s="369" t="b">
        <f>OR(AV1246&gt;100%,(AV1246+AV1247)&gt;100%)</f>
        <v>0</v>
      </c>
      <c r="BE1246" s="314"/>
      <c r="BF1246" s="382" t="s">
        <v>156</v>
      </c>
      <c r="BG1246" s="384" t="str">
        <f>IF(COUNTIF(AO1245:AO1246,TRUE)=0,"",BH1246*AV1253)</f>
        <v/>
      </c>
      <c r="BH1246" s="384" t="str">
        <f>IF(COUNTIF(AO1245:AO1246,TRUE)=0,"",AV1242*IF(AO1245,1,AV1244*AN1246)*AV1245*AV1248)</f>
        <v/>
      </c>
      <c r="BJ1246" s="314"/>
      <c r="BK1246" s="314"/>
      <c r="BL1246" s="314"/>
      <c r="BM1246" s="314"/>
      <c r="BN1246" s="314"/>
      <c r="BO1246" s="314"/>
      <c r="BP1246" s="314"/>
      <c r="BQ1246" s="314"/>
      <c r="BR1246" s="314"/>
      <c r="BS1246" s="314"/>
      <c r="BT1246" s="314"/>
      <c r="BU1246" s="314"/>
      <c r="BV1246" s="314"/>
      <c r="BW1246" s="314"/>
      <c r="BX1246" s="314"/>
      <c r="BY1246" s="314"/>
      <c r="BZ1246" s="314"/>
      <c r="CA1246" s="314"/>
      <c r="CB1246" s="314"/>
      <c r="CC1246" s="314"/>
      <c r="CD1246" s="314"/>
      <c r="CE1246" s="314"/>
      <c r="CF1246" s="314"/>
      <c r="CG1246" s="314"/>
      <c r="CH1246" s="314"/>
      <c r="CI1246" s="314"/>
      <c r="CJ1246" s="314"/>
      <c r="CK1246" s="314"/>
      <c r="CL1246" s="314"/>
      <c r="CM1246" s="314"/>
      <c r="CN1246" s="314"/>
      <c r="CO1246" s="314"/>
      <c r="CP1246" s="314"/>
      <c r="CQ1246" s="369" t="b">
        <f>OR(CQ1242,Y1246=EUconst_NA)</f>
        <v>0</v>
      </c>
    </row>
    <row r="1247" spans="1:95" ht="12.75" customHeight="1" thickBot="1" x14ac:dyDescent="0.3">
      <c r="A1247" s="307"/>
      <c r="B1247" s="68"/>
      <c r="C1247" s="199" t="s">
        <v>16</v>
      </c>
      <c r="D1247" s="344" t="str">
        <f>Translations!$B$368</f>
        <v>non-sust. BioF:</v>
      </c>
      <c r="E1247" s="345"/>
      <c r="F1247" s="20"/>
      <c r="G1247" s="1256" t="str">
        <f>IF(OR(ISBLANK(F1247),F1247=EUconst_NoTier),"",IF(Z1247=0,EUconst_NotApplicable,IF(ISERROR(Z1247),"",Z1247)))</f>
        <v/>
      </c>
      <c r="H1247" s="1257"/>
      <c r="I1247" s="422" t="str">
        <f t="shared" si="383"/>
        <v/>
      </c>
      <c r="J1247" s="423"/>
      <c r="K1247" s="424" t="str">
        <f>IF(L1247="",AU1247,"")</f>
        <v/>
      </c>
      <c r="L1247" s="21"/>
      <c r="M1247" s="347" t="str">
        <f>IF(AND(E1237&lt;&gt;"",OR(F1247="",COUNT(K1247:L1247)=0),Y1247&lt;&gt;EUconst_NA),EUconst_ERR_Incomplete,IF(COUNTIF(BB1247:BD1247,TRUE)&gt;0,EUconst_ERR_Inconsistent,""))</f>
        <v/>
      </c>
      <c r="N1247" s="76"/>
      <c r="O1247" s="160"/>
      <c r="P1247" s="348"/>
      <c r="Q1247" s="413"/>
      <c r="R1247" s="413"/>
      <c r="S1247" s="314"/>
      <c r="T1247" s="425" t="str">
        <f>EUconst_CNTR_BiomassContent&amp;E1237</f>
        <v>BioC_</v>
      </c>
      <c r="U1247" s="312"/>
      <c r="V1247" s="407" t="str">
        <f>V1246</f>
        <v/>
      </c>
      <c r="W1247" s="407" t="str">
        <f>IF(OR(V1246="",COUNTIF(MSPara_SourceStreamCategory,V1247)=0),"",INDEX(MSPara_IsFossil,MATCH(V1247,MSPara_SourceStreamCategory,0)))</f>
        <v/>
      </c>
      <c r="X1247" s="312"/>
      <c r="Y1247" s="426" t="str">
        <f>IF(E1237="","",IF(OR(F1247=EUconst_NA,W1247=TRUE),EUconst_NA,INDEX(EUwideConstants!$P$164:$P$200,MATCH(T1247,EUwideConstants!$S$164:$S$200,0))))</f>
        <v/>
      </c>
      <c r="Z1247" s="427" t="str">
        <f>IF(ISBLANK(F1247),"",IF(F1247=EUconst_NA,"",INDEX(EUwideConstants!$H:$O,MATCH(T1247,EUwideConstants!$S:$S,0),MATCH(F1247,CNTR_TierList,0))))</f>
        <v/>
      </c>
      <c r="AA1247" s="428" t="str">
        <f>IF(F1247=1,1,"")</f>
        <v/>
      </c>
      <c r="AB1247" s="314"/>
      <c r="AC1247" s="429" t="b">
        <f>AND(AC1242,Y1247&lt;&gt;EUconst_NA)</f>
        <v>0</v>
      </c>
      <c r="AD1247" s="314"/>
      <c r="AE1247" s="430"/>
      <c r="AF1247" s="431"/>
      <c r="AG1247" s="432"/>
      <c r="AH1247" s="433"/>
      <c r="AI1247" s="433"/>
      <c r="AJ1247" s="433"/>
      <c r="AK1247" s="434"/>
      <c r="AL1247" s="326"/>
      <c r="AM1247" s="326"/>
      <c r="AN1247" s="326"/>
      <c r="AO1247" s="326"/>
      <c r="AP1247" s="326"/>
      <c r="AQ1247" s="435" t="str">
        <f>EUconst_CNTR_BiomassContent&amp;EUconst_Value</f>
        <v>BioC_Value</v>
      </c>
      <c r="AR1247" s="430"/>
      <c r="AS1247" s="436" t="str">
        <f t="shared" si="384"/>
        <v/>
      </c>
      <c r="AT1247" s="437"/>
      <c r="AU1247" s="438" t="str">
        <f t="shared" si="385"/>
        <v/>
      </c>
      <c r="AV1247" s="429">
        <f>IF(AC1247=TRUE,IF(COUNT(K1247:L1247)=0,0,IF(L1247="",K1247,L1247)),0)</f>
        <v>0</v>
      </c>
      <c r="AW1247" s="407" t="b">
        <f t="shared" si="378"/>
        <v>0</v>
      </c>
      <c r="AX1247" s="439" t="b">
        <f t="shared" si="379"/>
        <v>0</v>
      </c>
      <c r="AY1247" s="314"/>
      <c r="AZ1247" s="408" t="b">
        <f t="shared" si="380"/>
        <v>0</v>
      </c>
      <c r="BA1247" s="440" t="b">
        <f t="shared" si="381"/>
        <v>0</v>
      </c>
      <c r="BB1247" s="314"/>
      <c r="BC1247" s="407" t="b">
        <f t="shared" si="382"/>
        <v>0</v>
      </c>
      <c r="BD1247" s="407" t="b">
        <f>OR(AV1246&gt;100%,(AV1246+AV1247)&gt;100%)</f>
        <v>0</v>
      </c>
      <c r="BE1247" s="314"/>
      <c r="BF1247" s="408" t="s">
        <v>157</v>
      </c>
      <c r="BG1247" s="409" t="str">
        <f>IF(COUNTIF(AO1245:AO1246,TRUE)=0,"",BH1247*AV1253)</f>
        <v/>
      </c>
      <c r="BH1247" s="409" t="str">
        <f>IF(COUNTIF(AO1245:AO1246,TRUE)=0,"",AV1242*IF(AO1245,1,AV1244*AN1246)*AV1245*AV1249)</f>
        <v/>
      </c>
      <c r="BJ1247" s="314"/>
      <c r="BK1247" s="314"/>
      <c r="BL1247" s="314"/>
      <c r="BM1247" s="314"/>
      <c r="BN1247" s="314"/>
      <c r="BO1247" s="314"/>
      <c r="BP1247" s="314"/>
      <c r="BQ1247" s="314"/>
      <c r="BR1247" s="314"/>
      <c r="BS1247" s="314"/>
      <c r="BT1247" s="314"/>
      <c r="BU1247" s="314"/>
      <c r="BV1247" s="314"/>
      <c r="BW1247" s="314"/>
      <c r="BX1247" s="314"/>
      <c r="BY1247" s="314"/>
      <c r="BZ1247" s="314"/>
      <c r="CA1247" s="314"/>
      <c r="CB1247" s="314"/>
      <c r="CC1247" s="314"/>
      <c r="CD1247" s="314"/>
      <c r="CE1247" s="314"/>
      <c r="CF1247" s="314"/>
      <c r="CG1247" s="314"/>
      <c r="CH1247" s="314"/>
      <c r="CI1247" s="314"/>
      <c r="CJ1247" s="314"/>
      <c r="CK1247" s="314"/>
      <c r="CL1247" s="314"/>
      <c r="CM1247" s="314"/>
      <c r="CN1247" s="314"/>
      <c r="CO1247" s="314"/>
      <c r="CP1247" s="314"/>
      <c r="CQ1247" s="407" t="b">
        <f>OR(CQ1242,Y1247=EUconst_NA)</f>
        <v>0</v>
      </c>
    </row>
    <row r="1248" spans="1:95" ht="12.75" customHeight="1" thickBot="1" x14ac:dyDescent="0.3">
      <c r="A1248" s="307"/>
      <c r="B1248" s="68"/>
      <c r="C1248" s="199" t="s">
        <v>17</v>
      </c>
      <c r="D1248" s="344" t="str">
        <f>Translations!$B$610</f>
        <v>sust. RFNBO/RCF:</v>
      </c>
      <c r="E1248" s="441"/>
      <c r="F1248" s="19" t="s">
        <v>158</v>
      </c>
      <c r="G1248" s="1261"/>
      <c r="H1248" s="1262"/>
      <c r="I1248" s="442" t="str">
        <f t="shared" si="383"/>
        <v/>
      </c>
      <c r="J1248" s="411"/>
      <c r="K1248" s="443"/>
      <c r="L1248" s="55"/>
      <c r="M1248" s="347" t="str">
        <f>IF(AND(E1237&lt;&gt;"",OR(F1248="",COUNT(L1248)=0),Y1248&lt;&gt;EUconst_NA),EUconst_ERR_Incomplete,"")</f>
        <v/>
      </c>
      <c r="N1248" s="76"/>
      <c r="O1248" s="160"/>
      <c r="P1248" s="348"/>
      <c r="Q1248" s="413"/>
      <c r="R1248" s="413"/>
      <c r="S1248" s="314"/>
      <c r="T1248" s="388" t="str">
        <f>EUconst_CNTR_RFNBOetcContent&amp;E1237</f>
        <v>RNFBOC_</v>
      </c>
      <c r="U1248" s="312"/>
      <c r="V1248" s="312"/>
      <c r="W1248" s="312"/>
      <c r="X1248" s="312"/>
      <c r="Y1248" s="380" t="str">
        <f>IF(E1237="","",IF(OR(F1248=EUconst_NA,W1248=TRUE),EUconst_NA,INDEX(EUwideConstants!$P$164:$P$200,MATCH(T1248,EUwideConstants!$S$164:$S$200,0))))</f>
        <v/>
      </c>
      <c r="Z1248" s="314"/>
      <c r="AA1248" s="314"/>
      <c r="AB1248" s="314"/>
      <c r="AC1248" s="397" t="b">
        <f>AND(AC1244,Y1248&lt;&gt;EUconst_NA)</f>
        <v>0</v>
      </c>
      <c r="AD1248" s="314"/>
      <c r="AE1248" s="415"/>
      <c r="AF1248" s="416"/>
      <c r="AG1248" s="417"/>
      <c r="AH1248" s="418"/>
      <c r="AI1248" s="418"/>
      <c r="AJ1248" s="418"/>
      <c r="AK1248" s="419"/>
      <c r="AL1248" s="326"/>
      <c r="AM1248" s="326"/>
      <c r="AN1248" s="326"/>
      <c r="AO1248" s="326"/>
      <c r="AP1248" s="326"/>
      <c r="AQ1248" s="444" t="s">
        <v>159</v>
      </c>
      <c r="AR1248" s="415"/>
      <c r="AS1248" s="445" t="str">
        <f t="shared" si="384"/>
        <v/>
      </c>
      <c r="AT1248" s="446"/>
      <c r="AU1248" s="447" t="str">
        <f t="shared" si="385"/>
        <v/>
      </c>
      <c r="AV1248" s="397">
        <f>IF(L1248&lt;&gt;0,L1248,L1248)</f>
        <v>0</v>
      </c>
      <c r="AW1248" s="398" t="b">
        <f t="shared" si="378"/>
        <v>0</v>
      </c>
      <c r="AX1248" s="448" t="b">
        <f t="shared" si="379"/>
        <v>0</v>
      </c>
      <c r="AY1248" s="314"/>
      <c r="AZ1248" s="449" t="b">
        <f t="shared" si="380"/>
        <v>0</v>
      </c>
      <c r="BA1248" s="450" t="b">
        <f t="shared" si="381"/>
        <v>0</v>
      </c>
      <c r="BB1248" s="314"/>
      <c r="BC1248" s="398" t="b">
        <f t="shared" si="382"/>
        <v>0</v>
      </c>
      <c r="BD1248" s="369" t="b">
        <f>OR(AV1248&gt;100%,(AV1248+AV1249)&gt;100%)</f>
        <v>0</v>
      </c>
      <c r="BE1248" s="314"/>
      <c r="BF1248" s="451" t="s">
        <v>160</v>
      </c>
      <c r="BG1248" s="452" t="str">
        <f>IF(COUNTIF(AO1245:AO1246,TRUE)=0,"",BH1248*AV1253)</f>
        <v/>
      </c>
      <c r="BH1248" s="452" t="str">
        <f>IF(COUNTIF(AO1245:AO1246,TRUE)=0,"",AV1242*IF(AO1245,1,AV1244*AN1246)*AV1245*AV1250)</f>
        <v/>
      </c>
      <c r="BJ1248" s="314"/>
      <c r="BK1248" s="314"/>
      <c r="BL1248" s="314"/>
      <c r="BM1248" s="314"/>
      <c r="BN1248" s="314"/>
      <c r="BO1248" s="314"/>
      <c r="BP1248" s="314"/>
      <c r="BQ1248" s="314"/>
      <c r="BR1248" s="314"/>
      <c r="BS1248" s="314"/>
      <c r="BT1248" s="314"/>
      <c r="BU1248" s="314"/>
      <c r="BV1248" s="314"/>
      <c r="BW1248" s="314"/>
      <c r="BX1248" s="314"/>
      <c r="BY1248" s="314"/>
      <c r="BZ1248" s="314"/>
      <c r="CA1248" s="314"/>
      <c r="CB1248" s="314"/>
      <c r="CC1248" s="314"/>
      <c r="CD1248" s="314"/>
      <c r="CE1248" s="314"/>
      <c r="CF1248" s="314"/>
      <c r="CG1248" s="314"/>
      <c r="CH1248" s="314"/>
      <c r="CI1248" s="314"/>
      <c r="CJ1248" s="314"/>
      <c r="CK1248" s="314"/>
      <c r="CL1248" s="314"/>
      <c r="CM1248" s="314"/>
      <c r="CN1248" s="314"/>
      <c r="CO1248" s="314"/>
      <c r="CP1248" s="314"/>
      <c r="CQ1248" s="407" t="b">
        <f>OR(CQ1242,Y1248=EUconst_NA)</f>
        <v>0</v>
      </c>
    </row>
    <row r="1249" spans="1:95" ht="12.75" customHeight="1" thickBot="1" x14ac:dyDescent="0.3">
      <c r="A1249" s="307"/>
      <c r="B1249" s="68"/>
      <c r="C1249" s="199" t="s">
        <v>161</v>
      </c>
      <c r="D1249" s="344" t="str">
        <f>Translations!$B$613</f>
        <v>non-sust. RFNBO/RCF:</v>
      </c>
      <c r="E1249" s="441"/>
      <c r="F1249" s="20" t="s">
        <v>158</v>
      </c>
      <c r="G1249" s="1261"/>
      <c r="H1249" s="1262"/>
      <c r="I1249" s="422" t="str">
        <f t="shared" si="383"/>
        <v/>
      </c>
      <c r="J1249" s="423"/>
      <c r="K1249" s="443"/>
      <c r="L1249" s="56"/>
      <c r="M1249" s="347" t="str">
        <f>IF(AND(E1237&lt;&gt;"",OR(F1249="",COUNT(L1249)=0),Y1249&lt;&gt;EUconst_NA),EUconst_ERR_Incomplete,"")</f>
        <v/>
      </c>
      <c r="N1249" s="76"/>
      <c r="O1249" s="160"/>
      <c r="P1249" s="348"/>
      <c r="Q1249" s="413"/>
      <c r="R1249" s="413"/>
      <c r="S1249" s="314"/>
      <c r="T1249" s="425" t="str">
        <f>EUconst_CNTR_RFNBOetcContent&amp;E1237</f>
        <v>RNFBOC_</v>
      </c>
      <c r="U1249" s="312"/>
      <c r="V1249" s="312"/>
      <c r="W1249" s="312"/>
      <c r="X1249" s="312"/>
      <c r="Y1249" s="438" t="str">
        <f>IF(E1237="","",IF(OR(F1249=EUconst_NA,W1249=TRUE),EUconst_NA,INDEX(EUwideConstants!$P$164:$P$200,MATCH(T1249,EUwideConstants!$S$164:$S$200,0))))</f>
        <v/>
      </c>
      <c r="Z1249" s="314"/>
      <c r="AA1249" s="314"/>
      <c r="AB1249" s="314"/>
      <c r="AC1249" s="429" t="b">
        <f>AND(AC1244,Y1249&lt;&gt;EUconst_NA)</f>
        <v>0</v>
      </c>
      <c r="AD1249" s="314"/>
      <c r="AE1249" s="430"/>
      <c r="AF1249" s="431"/>
      <c r="AG1249" s="432"/>
      <c r="AH1249" s="433"/>
      <c r="AI1249" s="433"/>
      <c r="AJ1249" s="433"/>
      <c r="AK1249" s="434"/>
      <c r="AL1249" s="326"/>
      <c r="AM1249" s="326"/>
      <c r="AN1249" s="326"/>
      <c r="AO1249" s="326"/>
      <c r="AP1249" s="326"/>
      <c r="AQ1249" s="435" t="s">
        <v>159</v>
      </c>
      <c r="AR1249" s="430"/>
      <c r="AS1249" s="436" t="str">
        <f t="shared" si="384"/>
        <v/>
      </c>
      <c r="AT1249" s="437"/>
      <c r="AU1249" s="438" t="str">
        <f t="shared" si="385"/>
        <v/>
      </c>
      <c r="AV1249" s="429">
        <f t="shared" ref="AV1249:AV1251" si="386">IF(L1249&lt;&gt;0,L1249,L1249)</f>
        <v>0</v>
      </c>
      <c r="AW1249" s="407" t="b">
        <f t="shared" si="378"/>
        <v>0</v>
      </c>
      <c r="AX1249" s="439" t="b">
        <f t="shared" si="379"/>
        <v>0</v>
      </c>
      <c r="AY1249" s="314"/>
      <c r="AZ1249" s="408" t="b">
        <f t="shared" si="380"/>
        <v>0</v>
      </c>
      <c r="BA1249" s="440" t="b">
        <f t="shared" si="381"/>
        <v>0</v>
      </c>
      <c r="BB1249" s="314"/>
      <c r="BC1249" s="407" t="b">
        <f t="shared" si="382"/>
        <v>0</v>
      </c>
      <c r="BD1249" s="407" t="b">
        <f>OR(AV1248&gt;100%,(AV1248+AV1249)&gt;100%)</f>
        <v>0</v>
      </c>
      <c r="BE1249" s="314"/>
      <c r="BF1249" s="408" t="s">
        <v>162</v>
      </c>
      <c r="BG1249" s="409" t="str">
        <f>IF(COUNTIF(AO1245:AO1246,TRUE)=0,"",BH1249*AV1253)</f>
        <v/>
      </c>
      <c r="BH1249" s="409" t="str">
        <f>IF(COUNTIF(AO1245:AO1246,TRUE)=0,"",AV1242*IF(AO1245,1,AV1244*AN1246)*AV1245*AV1251)</f>
        <v/>
      </c>
      <c r="BJ1249" s="314"/>
      <c r="BK1249" s="314"/>
      <c r="BL1249" s="314"/>
      <c r="BM1249" s="314"/>
      <c r="BN1249" s="314"/>
      <c r="BO1249" s="314"/>
      <c r="BP1249" s="314"/>
      <c r="BQ1249" s="314"/>
      <c r="BR1249" s="314"/>
      <c r="BS1249" s="314"/>
      <c r="BT1249" s="314"/>
      <c r="BU1249" s="314"/>
      <c r="BV1249" s="314"/>
      <c r="BW1249" s="314"/>
      <c r="BX1249" s="314"/>
      <c r="BY1249" s="314"/>
      <c r="BZ1249" s="314"/>
      <c r="CA1249" s="314"/>
      <c r="CB1249" s="314"/>
      <c r="CC1249" s="314"/>
      <c r="CD1249" s="314"/>
      <c r="CE1249" s="314"/>
      <c r="CF1249" s="314"/>
      <c r="CG1249" s="314"/>
      <c r="CH1249" s="314"/>
      <c r="CI1249" s="314"/>
      <c r="CJ1249" s="314"/>
      <c r="CK1249" s="314"/>
      <c r="CL1249" s="314"/>
      <c r="CM1249" s="314"/>
      <c r="CN1249" s="314"/>
      <c r="CO1249" s="314"/>
      <c r="CP1249" s="314"/>
      <c r="CQ1249" s="407" t="b">
        <f>OR(CQ1242,Y1249=EUconst_NA)</f>
        <v>0</v>
      </c>
    </row>
    <row r="1250" spans="1:95" ht="12.75" customHeight="1" thickBot="1" x14ac:dyDescent="0.3">
      <c r="A1250" s="307"/>
      <c r="B1250" s="68"/>
      <c r="C1250" s="199" t="s">
        <v>163</v>
      </c>
      <c r="D1250" s="344" t="str">
        <f>Translations!$B$615</f>
        <v>sust. SLCF:</v>
      </c>
      <c r="E1250" s="441"/>
      <c r="F1250" s="19" t="s">
        <v>158</v>
      </c>
      <c r="G1250" s="1261"/>
      <c r="H1250" s="1262"/>
      <c r="I1250" s="442" t="str">
        <f t="shared" si="383"/>
        <v/>
      </c>
      <c r="J1250" s="411"/>
      <c r="K1250" s="443"/>
      <c r="L1250" s="57"/>
      <c r="M1250" s="347" t="str">
        <f>IF(AND(E1237&lt;&gt;"",OR(F1250="",COUNT(L1250)=0),Y1250&lt;&gt;EUconst_NA),EUconst_ERR_Incomplete,"")</f>
        <v/>
      </c>
      <c r="N1250" s="76"/>
      <c r="O1250" s="160"/>
      <c r="P1250" s="348"/>
      <c r="Q1250" s="413"/>
      <c r="R1250" s="413"/>
      <c r="S1250" s="314"/>
      <c r="T1250" s="388" t="str">
        <f>EUconst_CNTR_RFNBOetcContent&amp;E1237</f>
        <v>RNFBOC_</v>
      </c>
      <c r="U1250" s="312"/>
      <c r="V1250" s="312"/>
      <c r="W1250" s="312"/>
      <c r="X1250" s="312"/>
      <c r="Y1250" s="447" t="str">
        <f>IF(E1237="","",IF(OR(F1250=EUconst_NA,W1250=TRUE),EUconst_NA,INDEX(EUwideConstants!$P$164:$P$200,MATCH(T1250,EUwideConstants!$S$164:$S$200,0))))</f>
        <v/>
      </c>
      <c r="Z1250" s="314"/>
      <c r="AA1250" s="314"/>
      <c r="AB1250" s="314"/>
      <c r="AC1250" s="397" t="b">
        <f>AND(AC1246,Y1250&lt;&gt;EUconst_NA)</f>
        <v>0</v>
      </c>
      <c r="AD1250" s="314"/>
      <c r="AE1250" s="415"/>
      <c r="AF1250" s="416"/>
      <c r="AG1250" s="417"/>
      <c r="AH1250" s="418"/>
      <c r="AI1250" s="418"/>
      <c r="AJ1250" s="418"/>
      <c r="AK1250" s="419"/>
      <c r="AL1250" s="326"/>
      <c r="AM1250" s="326"/>
      <c r="AN1250" s="326"/>
      <c r="AO1250" s="326"/>
      <c r="AP1250" s="326"/>
      <c r="AQ1250" s="444" t="s">
        <v>159</v>
      </c>
      <c r="AR1250" s="415"/>
      <c r="AS1250" s="445" t="str">
        <f t="shared" si="384"/>
        <v/>
      </c>
      <c r="AT1250" s="446"/>
      <c r="AU1250" s="447" t="str">
        <f t="shared" si="385"/>
        <v/>
      </c>
      <c r="AV1250" s="397">
        <f t="shared" si="386"/>
        <v>0</v>
      </c>
      <c r="AW1250" s="398" t="b">
        <f t="shared" si="378"/>
        <v>0</v>
      </c>
      <c r="AX1250" s="448" t="b">
        <f t="shared" si="379"/>
        <v>0</v>
      </c>
      <c r="AY1250" s="314"/>
      <c r="AZ1250" s="449" t="b">
        <f t="shared" si="380"/>
        <v>0</v>
      </c>
      <c r="BA1250" s="450" t="b">
        <f t="shared" si="381"/>
        <v>0</v>
      </c>
      <c r="BB1250" s="314"/>
      <c r="BC1250" s="398" t="b">
        <f t="shared" si="382"/>
        <v>0</v>
      </c>
      <c r="BD1250" s="369" t="b">
        <f>OR(AV1250&gt;100%,(AV1250+AV1251)&gt;100%)</f>
        <v>0</v>
      </c>
      <c r="BE1250" s="314"/>
      <c r="BF1250" s="451" t="s">
        <v>164</v>
      </c>
      <c r="BG1250" s="452">
        <f>IF(AN1242=EUconst_TJ,AV1242*(1-AV1246),IF(AN1244=EUconst_GJ,AV1242*AV1244/1000,0))-SUM(BG1251:BG1257)</f>
        <v>0</v>
      </c>
      <c r="BH1250" s="314"/>
      <c r="BI1250" s="314"/>
      <c r="BJ1250" s="314"/>
      <c r="BK1250" s="314"/>
      <c r="BL1250" s="314"/>
      <c r="BM1250" s="314"/>
      <c r="BN1250" s="314"/>
      <c r="BO1250" s="314"/>
      <c r="BP1250" s="314"/>
      <c r="BQ1250" s="314"/>
      <c r="BR1250" s="314"/>
      <c r="BS1250" s="314"/>
      <c r="BT1250" s="314"/>
      <c r="BU1250" s="314"/>
      <c r="BV1250" s="314"/>
      <c r="BW1250" s="314"/>
      <c r="BX1250" s="314"/>
      <c r="BY1250" s="314"/>
      <c r="BZ1250" s="314"/>
      <c r="CA1250" s="314"/>
      <c r="CB1250" s="314"/>
      <c r="CC1250" s="314"/>
      <c r="CD1250" s="314"/>
      <c r="CE1250" s="314"/>
      <c r="CF1250" s="314"/>
      <c r="CG1250" s="314"/>
      <c r="CH1250" s="314"/>
      <c r="CI1250" s="314"/>
      <c r="CJ1250" s="314"/>
      <c r="CK1250" s="314"/>
      <c r="CL1250" s="314"/>
      <c r="CM1250" s="314"/>
      <c r="CN1250" s="314"/>
      <c r="CO1250" s="314"/>
      <c r="CP1250" s="314"/>
      <c r="CQ1250" s="407" t="b">
        <f>OR(CQ1242,Y1250=EUconst_NA)</f>
        <v>0</v>
      </c>
    </row>
    <row r="1251" spans="1:95" ht="12.75" customHeight="1" thickBot="1" x14ac:dyDescent="0.3">
      <c r="A1251" s="307"/>
      <c r="B1251" s="68"/>
      <c r="C1251" s="199" t="s">
        <v>165</v>
      </c>
      <c r="D1251" s="344" t="str">
        <f>Translations!$B$618</f>
        <v>non-sust. SLCF:</v>
      </c>
      <c r="E1251" s="441"/>
      <c r="F1251" s="20" t="s">
        <v>158</v>
      </c>
      <c r="G1251" s="1261"/>
      <c r="H1251" s="1262"/>
      <c r="I1251" s="422" t="str">
        <f t="shared" si="383"/>
        <v/>
      </c>
      <c r="J1251" s="423"/>
      <c r="K1251" s="443"/>
      <c r="L1251" s="56"/>
      <c r="M1251" s="347" t="str">
        <f>IF(AND(E1237&lt;&gt;"",OR(F1251="",COUNT(L1251)=0),Y1251&lt;&gt;EUconst_NA),EUconst_ERR_Incomplete,"")</f>
        <v/>
      </c>
      <c r="N1251" s="76"/>
      <c r="O1251" s="160"/>
      <c r="P1251" s="348"/>
      <c r="Q1251" s="413"/>
      <c r="R1251" s="413"/>
      <c r="S1251" s="314"/>
      <c r="T1251" s="425" t="str">
        <f>EUconst_CNTR_RFNBOetcContent&amp;E1237</f>
        <v>RNFBOC_</v>
      </c>
      <c r="U1251" s="312"/>
      <c r="V1251" s="312"/>
      <c r="W1251" s="312"/>
      <c r="X1251" s="312"/>
      <c r="Y1251" s="438" t="str">
        <f>IF(E1237="","",IF(OR(F1251=EUconst_NA,W1251=TRUE),EUconst_NA,INDEX(EUwideConstants!$P$164:$P$200,MATCH(T1251,EUwideConstants!$S$164:$S$200,0))))</f>
        <v/>
      </c>
      <c r="Z1251" s="314"/>
      <c r="AA1251" s="314"/>
      <c r="AB1251" s="314"/>
      <c r="AC1251" s="429" t="b">
        <f>AND(AC1246,Y1251&lt;&gt;EUconst_NA)</f>
        <v>0</v>
      </c>
      <c r="AD1251" s="314"/>
      <c r="AE1251" s="430"/>
      <c r="AF1251" s="431"/>
      <c r="AG1251" s="432"/>
      <c r="AH1251" s="433"/>
      <c r="AI1251" s="433"/>
      <c r="AJ1251" s="433"/>
      <c r="AK1251" s="434"/>
      <c r="AL1251" s="326"/>
      <c r="AM1251" s="326"/>
      <c r="AN1251" s="326"/>
      <c r="AO1251" s="326"/>
      <c r="AP1251" s="326"/>
      <c r="AQ1251" s="435" t="s">
        <v>159</v>
      </c>
      <c r="AR1251" s="430"/>
      <c r="AS1251" s="436" t="str">
        <f t="shared" si="384"/>
        <v/>
      </c>
      <c r="AT1251" s="437"/>
      <c r="AU1251" s="438" t="str">
        <f t="shared" si="385"/>
        <v/>
      </c>
      <c r="AV1251" s="429">
        <f t="shared" si="386"/>
        <v>0</v>
      </c>
      <c r="AW1251" s="407" t="b">
        <f t="shared" si="378"/>
        <v>0</v>
      </c>
      <c r="AX1251" s="439" t="b">
        <f t="shared" si="379"/>
        <v>0</v>
      </c>
      <c r="AY1251" s="314"/>
      <c r="AZ1251" s="408" t="b">
        <f t="shared" si="380"/>
        <v>0</v>
      </c>
      <c r="BA1251" s="440" t="b">
        <f t="shared" si="381"/>
        <v>0</v>
      </c>
      <c r="BB1251" s="314"/>
      <c r="BC1251" s="407" t="b">
        <f t="shared" si="382"/>
        <v>0</v>
      </c>
      <c r="BD1251" s="407" t="b">
        <f>OR(AV1250&gt;100%,(AV1250+AV1251)&gt;100%)</f>
        <v>0</v>
      </c>
      <c r="BE1251" s="314"/>
      <c r="BF1251" s="408" t="s">
        <v>166</v>
      </c>
      <c r="BG1251" s="409" t="str">
        <f>IF(AN1242=EUconst_TJ,AV1242*AV1246,IF(AN1244=EUconst_GJ,AV1242*AV1244/1000*AV1246,""))</f>
        <v/>
      </c>
      <c r="BH1251" s="314"/>
      <c r="BI1251" s="314"/>
      <c r="BJ1251" s="314"/>
      <c r="BK1251" s="314"/>
      <c r="BL1251" s="314"/>
      <c r="BM1251" s="314"/>
      <c r="BN1251" s="314"/>
      <c r="BO1251" s="314"/>
      <c r="BP1251" s="314"/>
      <c r="BQ1251" s="314"/>
      <c r="BR1251" s="314"/>
      <c r="BS1251" s="314"/>
      <c r="BT1251" s="314"/>
      <c r="BU1251" s="314"/>
      <c r="BV1251" s="314"/>
      <c r="BW1251" s="314"/>
      <c r="BX1251" s="314"/>
      <c r="BY1251" s="314"/>
      <c r="BZ1251" s="314"/>
      <c r="CA1251" s="314"/>
      <c r="CB1251" s="314"/>
      <c r="CC1251" s="314"/>
      <c r="CD1251" s="314"/>
      <c r="CE1251" s="314"/>
      <c r="CF1251" s="314"/>
      <c r="CG1251" s="314"/>
      <c r="CH1251" s="314"/>
      <c r="CI1251" s="314"/>
      <c r="CJ1251" s="314"/>
      <c r="CK1251" s="314"/>
      <c r="CL1251" s="314"/>
      <c r="CM1251" s="314"/>
      <c r="CN1251" s="314"/>
      <c r="CO1251" s="314"/>
      <c r="CP1251" s="314"/>
      <c r="CQ1251" s="407" t="b">
        <f>OR(CQ1242,Y1251=EUconst_NA)</f>
        <v>0</v>
      </c>
    </row>
    <row r="1252" spans="1:95" ht="5.15" customHeight="1" thickBot="1" x14ac:dyDescent="0.3">
      <c r="A1252" s="307"/>
      <c r="B1252" s="68"/>
      <c r="C1252" s="68"/>
      <c r="D1252" s="205"/>
      <c r="E1252" s="76"/>
      <c r="F1252" s="76"/>
      <c r="G1252" s="76"/>
      <c r="H1252" s="76"/>
      <c r="I1252" s="76"/>
      <c r="J1252" s="76"/>
      <c r="K1252" s="76"/>
      <c r="L1252" s="76"/>
      <c r="M1252" s="453"/>
      <c r="N1252" s="76"/>
      <c r="O1252" s="160"/>
      <c r="P1252" s="109"/>
      <c r="Q1252" s="312"/>
      <c r="R1252" s="312"/>
      <c r="S1252" s="314"/>
      <c r="T1252" s="314"/>
      <c r="U1252" s="314"/>
      <c r="V1252" s="314"/>
      <c r="W1252" s="314"/>
      <c r="X1252" s="314"/>
      <c r="Y1252" s="314"/>
      <c r="Z1252" s="314"/>
      <c r="AA1252" s="314"/>
      <c r="AB1252" s="314"/>
      <c r="AC1252" s="314"/>
      <c r="AD1252" s="314"/>
      <c r="AE1252" s="314"/>
      <c r="AF1252" s="314"/>
      <c r="AG1252" s="314"/>
      <c r="AH1252" s="314"/>
      <c r="AI1252" s="314"/>
      <c r="AJ1252" s="314"/>
      <c r="AK1252" s="314"/>
      <c r="AL1252" s="314"/>
      <c r="AM1252" s="314"/>
      <c r="AN1252" s="314"/>
      <c r="AO1252" s="314"/>
      <c r="AP1252" s="314"/>
      <c r="AQ1252" s="314"/>
      <c r="AR1252" s="314"/>
      <c r="AS1252" s="314"/>
      <c r="AT1252" s="314"/>
      <c r="AU1252" s="314"/>
      <c r="AV1252" s="314"/>
      <c r="AW1252" s="314"/>
      <c r="AX1252" s="314"/>
      <c r="AY1252" s="314"/>
      <c r="AZ1252" s="314"/>
      <c r="BA1252" s="314"/>
      <c r="BB1252" s="314"/>
      <c r="BC1252" s="314"/>
      <c r="BD1252" s="314"/>
      <c r="BE1252" s="314"/>
      <c r="BF1252" s="314"/>
      <c r="BG1252" s="364"/>
      <c r="BH1252" s="314"/>
      <c r="BI1252" s="314"/>
      <c r="BJ1252" s="314"/>
      <c r="BK1252" s="314"/>
      <c r="BL1252" s="314"/>
      <c r="BM1252" s="314"/>
      <c r="BN1252" s="314"/>
      <c r="BO1252" s="314"/>
      <c r="BP1252" s="314"/>
      <c r="BQ1252" s="314"/>
      <c r="BR1252" s="314"/>
      <c r="BS1252" s="314"/>
      <c r="BT1252" s="314"/>
      <c r="BU1252" s="314"/>
      <c r="BV1252" s="314"/>
      <c r="BW1252" s="314"/>
      <c r="BX1252" s="314"/>
      <c r="BY1252" s="314"/>
      <c r="BZ1252" s="314"/>
      <c r="CA1252" s="314"/>
      <c r="CB1252" s="314"/>
      <c r="CC1252" s="314"/>
      <c r="CD1252" s="314"/>
      <c r="CE1252" s="314"/>
      <c r="CF1252" s="314"/>
      <c r="CG1252" s="314"/>
      <c r="CH1252" s="314"/>
      <c r="CI1252" s="314"/>
      <c r="CJ1252" s="314"/>
      <c r="CK1252" s="314"/>
      <c r="CL1252" s="314"/>
      <c r="CM1252" s="314"/>
      <c r="CN1252" s="314"/>
      <c r="CO1252" s="314"/>
      <c r="CP1252" s="314"/>
      <c r="CQ1252" s="314"/>
    </row>
    <row r="1253" spans="1:95" ht="12.75" customHeight="1" thickBot="1" x14ac:dyDescent="0.3">
      <c r="A1253" s="307"/>
      <c r="B1253" s="68"/>
      <c r="C1253" s="199" t="s">
        <v>167</v>
      </c>
      <c r="D1253" s="344" t="str">
        <f>Translations!$B$398</f>
        <v>Scope factor:</v>
      </c>
      <c r="E1253" s="454"/>
      <c r="F1253" s="992"/>
      <c r="G1253" s="1263"/>
      <c r="H1253" s="1264"/>
      <c r="I1253" s="455" t="s">
        <v>46</v>
      </c>
      <c r="J1253" s="456"/>
      <c r="K1253" s="457" t="str">
        <f>IF(L1253="",AU1253,"")</f>
        <v/>
      </c>
      <c r="L1253" s="16"/>
      <c r="M1253" s="458" t="str">
        <f>IF(AND(E1237&lt;&gt;"",OR(F1253="",G1253="",COUNT(K1253:L1253)=0)),EUconst_ERR_Incomplete,IF(COUNTIF(BB1253:BD1253,TRUE)&gt;0,EUconst_ERR_Inconsistent,""))</f>
        <v/>
      </c>
      <c r="N1253" s="76"/>
      <c r="O1253" s="160"/>
      <c r="P1253" s="109"/>
      <c r="Q1253" s="312"/>
      <c r="R1253" s="314"/>
      <c r="S1253" s="297"/>
      <c r="T1253" s="459" t="str">
        <f>EUconst_CNTR_ScopeFactor&amp;E1237</f>
        <v>ScopeFactor_</v>
      </c>
      <c r="U1253" s="231" t="str">
        <f>IF(F1253="","",INDEX(ScopeAddress,MATCH(F1253,ScopeTiers,0)))</f>
        <v/>
      </c>
      <c r="V1253" s="360" t="str">
        <f>V1242</f>
        <v/>
      </c>
      <c r="W1253" s="314"/>
      <c r="X1253" s="314"/>
      <c r="Y1253" s="460" t="str">
        <f>IF(E1237="","",IF(F1253=EUconst_NA,EUconst_NA,INDEX(EUwideConstants!$P$164:$P$200,MATCH(T1253,EUwideConstants!$S$164:$S$200,0))))</f>
        <v/>
      </c>
      <c r="Z1253" s="461" t="str">
        <f>IF(ISBLANK(F1253),"",IF(F1253=EUconst_NA,"",INDEX(EUwideConstants!$H:$O,MATCH(T1253,EUwideConstants!$S:$S,0),MATCH(F1253,CNTR_TierList,0))))</f>
        <v/>
      </c>
      <c r="AA1253" s="331" t="str">
        <f>IF(G1253=EUwideConstants!$A$89,1,"")</f>
        <v/>
      </c>
      <c r="AB1253" s="314"/>
      <c r="AC1253" s="331" t="b">
        <f>AND(AC1242,Y1253&lt;&gt;EUconst_NA)</f>
        <v>0</v>
      </c>
      <c r="AD1253" s="314"/>
      <c r="AE1253" s="314"/>
      <c r="AF1253" s="314"/>
      <c r="AG1253" s="319"/>
      <c r="AH1253" s="314"/>
      <c r="AI1253" s="314"/>
      <c r="AJ1253" s="314"/>
      <c r="AK1253" s="314"/>
      <c r="AL1253" s="314"/>
      <c r="AM1253" s="314"/>
      <c r="AN1253" s="314"/>
      <c r="AO1253" s="314"/>
      <c r="AP1253" s="314"/>
      <c r="AQ1253" s="314"/>
      <c r="AR1253" s="314"/>
      <c r="AS1253" s="328">
        <v>1</v>
      </c>
      <c r="AT1253" s="314"/>
      <c r="AU1253" s="319" t="str">
        <f>IF(G1253=EUwideConstants!$A$89,AS1253,"")</f>
        <v/>
      </c>
      <c r="AV1253" s="331">
        <f>IF(AC1253=TRUE,IF(COUNT(K1253:L1253)=0,0,IF(L1253="",K1253,L1253)),0)</f>
        <v>0</v>
      </c>
      <c r="AW1253" s="360" t="b">
        <f>AND(AC1253=TRUE,OR(AND(F1253&lt;&gt;"",NOT(ISNUMBER(AA1253))),L1253&lt;&gt;"",F1253="",AU1253=""))</f>
        <v>0</v>
      </c>
      <c r="AX1253" s="357" t="b">
        <f>AND(AC1253=TRUE,NOT(AW1253))</f>
        <v>0</v>
      </c>
      <c r="AY1253" s="314"/>
      <c r="AZ1253" s="361" t="b">
        <f>AND(ISNUMBER(AA1253),AU1253="")</f>
        <v>0</v>
      </c>
      <c r="BA1253" s="351" t="b">
        <f>AND(ISNUMBER(AA1253),AU1253&lt;&gt;AV1253)</f>
        <v>0</v>
      </c>
      <c r="BB1253" s="314"/>
      <c r="BC1253" s="360" t="b">
        <f>AND(F1253&lt;&gt;"",OR(COUNTIF(INDEX(ScopeMethods,F1253,),G1253)=0,AND(AA1253&lt;&gt;"",AU1253&lt;&gt;AV1253)))</f>
        <v>0</v>
      </c>
      <c r="BD1253" s="314"/>
      <c r="BE1253" s="314"/>
      <c r="BF1253" s="361" t="s">
        <v>168</v>
      </c>
      <c r="BG1253" s="362" t="str">
        <f>IF(AN1242=EUconst_TJ,AV1242*AV1248,IF(AN1244=EUconst_GJ,AV1242*AV1244/1000*AV1248,""))</f>
        <v/>
      </c>
      <c r="BH1253" s="314"/>
      <c r="BI1253" s="314"/>
      <c r="BJ1253" s="314"/>
      <c r="BK1253" s="314"/>
      <c r="BL1253" s="314"/>
      <c r="BM1253" s="314"/>
      <c r="BN1253" s="314"/>
      <c r="BO1253" s="314"/>
      <c r="BP1253" s="314"/>
      <c r="BQ1253" s="314"/>
      <c r="BR1253" s="314"/>
      <c r="BS1253" s="314"/>
      <c r="BT1253" s="314"/>
      <c r="BU1253" s="314"/>
      <c r="BV1253" s="314"/>
      <c r="BW1253" s="314"/>
      <c r="BX1253" s="314"/>
      <c r="BY1253" s="314"/>
      <c r="BZ1253" s="314"/>
      <c r="CA1253" s="314"/>
      <c r="CB1253" s="314"/>
      <c r="CC1253" s="314"/>
      <c r="CD1253" s="314"/>
      <c r="CE1253" s="314"/>
      <c r="CF1253" s="314"/>
      <c r="CG1253" s="314"/>
      <c r="CH1253" s="314"/>
      <c r="CI1253" s="314"/>
      <c r="CJ1253" s="314"/>
      <c r="CK1253" s="314"/>
      <c r="CL1253" s="314"/>
      <c r="CM1253" s="314"/>
      <c r="CN1253" s="314"/>
      <c r="CO1253" s="314"/>
      <c r="CP1253" s="314"/>
      <c r="CQ1253" s="314"/>
    </row>
    <row r="1254" spans="1:95" ht="12.75" customHeight="1" x14ac:dyDescent="0.25">
      <c r="A1254" s="307"/>
      <c r="B1254" s="68"/>
      <c r="C1254" s="68"/>
      <c r="D1254" s="68"/>
      <c r="E1254" s="68"/>
      <c r="F1254" s="68"/>
      <c r="G1254" s="1265" t="str">
        <f>IF(G1253="","",INDEX(ScopeMethodsDetails,MATCH(G1253,INDEX(ScopeMethodsDetails,,1),0),2))</f>
        <v/>
      </c>
      <c r="H1254" s="1266"/>
      <c r="I1254" s="1266"/>
      <c r="J1254" s="1266"/>
      <c r="K1254" s="1266"/>
      <c r="L1254" s="1266"/>
      <c r="M1254" s="1267"/>
      <c r="N1254" s="76"/>
      <c r="O1254" s="160"/>
      <c r="P1254" s="109"/>
      <c r="Q1254" s="312"/>
      <c r="R1254" s="312"/>
      <c r="S1254" s="314"/>
      <c r="T1254" s="314"/>
      <c r="U1254" s="314"/>
      <c r="V1254" s="314"/>
      <c r="W1254" s="314"/>
      <c r="X1254" s="314"/>
      <c r="Y1254" s="314"/>
      <c r="Z1254" s="314"/>
      <c r="AA1254" s="314"/>
      <c r="AB1254" s="314"/>
      <c r="AC1254" s="314"/>
      <c r="AD1254" s="314"/>
      <c r="AE1254" s="314"/>
      <c r="AF1254" s="314"/>
      <c r="AG1254" s="314"/>
      <c r="AH1254" s="314"/>
      <c r="AI1254" s="314"/>
      <c r="AJ1254" s="314"/>
      <c r="AK1254" s="314"/>
      <c r="AL1254" s="314"/>
      <c r="AM1254" s="314"/>
      <c r="AN1254" s="314"/>
      <c r="AO1254" s="314"/>
      <c r="AP1254" s="314"/>
      <c r="AQ1254" s="314"/>
      <c r="AR1254" s="314"/>
      <c r="AS1254" s="314"/>
      <c r="AT1254" s="314"/>
      <c r="AU1254" s="314"/>
      <c r="AV1254" s="314"/>
      <c r="AW1254" s="314"/>
      <c r="AX1254" s="314"/>
      <c r="AY1254" s="314"/>
      <c r="AZ1254" s="314"/>
      <c r="BA1254" s="314"/>
      <c r="BB1254" s="314"/>
      <c r="BC1254" s="314"/>
      <c r="BD1254" s="314"/>
      <c r="BE1254" s="314"/>
      <c r="BG1254" s="364"/>
      <c r="BH1254" s="314"/>
      <c r="BI1254" s="314"/>
      <c r="BJ1254" s="314"/>
      <c r="BK1254" s="314"/>
      <c r="BL1254" s="314"/>
      <c r="BM1254" s="314"/>
      <c r="BN1254" s="314"/>
      <c r="BO1254" s="314"/>
      <c r="BP1254" s="314"/>
      <c r="BQ1254" s="314"/>
      <c r="BR1254" s="314"/>
      <c r="BS1254" s="314"/>
      <c r="BT1254" s="314"/>
      <c r="BU1254" s="314"/>
      <c r="BV1254" s="314"/>
      <c r="BW1254" s="314"/>
      <c r="BX1254" s="314"/>
      <c r="BY1254" s="314"/>
      <c r="BZ1254" s="314"/>
      <c r="CA1254" s="314"/>
      <c r="CB1254" s="314"/>
      <c r="CC1254" s="314"/>
      <c r="CD1254" s="314"/>
      <c r="CE1254" s="314"/>
      <c r="CF1254" s="314"/>
      <c r="CG1254" s="314"/>
      <c r="CH1254" s="314"/>
      <c r="CI1254" s="314"/>
      <c r="CJ1254" s="314"/>
      <c r="CK1254" s="314"/>
      <c r="CL1254" s="314"/>
      <c r="CM1254" s="314"/>
      <c r="CN1254" s="314"/>
      <c r="CO1254" s="314"/>
      <c r="CP1254" s="314"/>
      <c r="CQ1254" s="314"/>
    </row>
    <row r="1255" spans="1:95" ht="5.15" customHeight="1" x14ac:dyDescent="0.25">
      <c r="A1255" s="307"/>
      <c r="C1255" s="76"/>
      <c r="D1255" s="76"/>
      <c r="E1255" s="76"/>
      <c r="F1255" s="76"/>
      <c r="G1255" s="76"/>
      <c r="H1255" s="76"/>
      <c r="I1255" s="76"/>
      <c r="J1255" s="76"/>
      <c r="K1255" s="76"/>
      <c r="L1255" s="76"/>
      <c r="O1255" s="160"/>
      <c r="P1255" s="109"/>
      <c r="Q1255" s="312"/>
      <c r="R1255" s="312"/>
      <c r="S1255" s="314"/>
      <c r="T1255" s="314"/>
      <c r="U1255" s="314"/>
      <c r="V1255" s="314"/>
      <c r="W1255" s="314"/>
      <c r="X1255" s="314"/>
      <c r="Y1255" s="314"/>
      <c r="Z1255" s="314"/>
      <c r="AA1255" s="314"/>
      <c r="AB1255" s="314"/>
      <c r="AC1255" s="314"/>
      <c r="AD1255" s="314"/>
      <c r="AE1255" s="314"/>
      <c r="AF1255" s="314"/>
      <c r="AG1255" s="314"/>
      <c r="AH1255" s="314"/>
      <c r="AI1255" s="314"/>
      <c r="AJ1255" s="314"/>
      <c r="AK1255" s="314"/>
      <c r="AL1255" s="314"/>
      <c r="AM1255" s="314"/>
      <c r="AN1255" s="314"/>
      <c r="AO1255" s="314"/>
      <c r="AP1255" s="314"/>
      <c r="AQ1255" s="314"/>
      <c r="AR1255" s="314"/>
      <c r="AS1255" s="314"/>
      <c r="AT1255" s="314"/>
      <c r="AU1255" s="314"/>
      <c r="AV1255" s="314"/>
      <c r="AW1255" s="314"/>
      <c r="AX1255" s="314"/>
      <c r="AY1255" s="314"/>
      <c r="AZ1255" s="314"/>
      <c r="BA1255" s="314"/>
      <c r="BB1255" s="314"/>
      <c r="BC1255" s="314"/>
      <c r="BD1255" s="314"/>
      <c r="BE1255" s="314"/>
      <c r="BG1255" s="364"/>
      <c r="BH1255" s="314"/>
      <c r="BI1255" s="314"/>
      <c r="BJ1255" s="314"/>
      <c r="BK1255" s="314"/>
      <c r="BL1255" s="314"/>
      <c r="BM1255" s="314"/>
      <c r="BN1255" s="314"/>
      <c r="BO1255" s="314"/>
      <c r="BP1255" s="314"/>
      <c r="BQ1255" s="314"/>
      <c r="BR1255" s="314"/>
      <c r="BS1255" s="314"/>
      <c r="BT1255" s="314"/>
      <c r="BU1255" s="314"/>
      <c r="BV1255" s="314"/>
      <c r="BW1255" s="314"/>
      <c r="BX1255" s="314"/>
      <c r="BY1255" s="314"/>
      <c r="BZ1255" s="314"/>
      <c r="CA1255" s="314"/>
      <c r="CB1255" s="314"/>
      <c r="CC1255" s="314"/>
      <c r="CD1255" s="314"/>
      <c r="CE1255" s="314"/>
      <c r="CF1255" s="314"/>
      <c r="CG1255" s="314"/>
      <c r="CH1255" s="314"/>
      <c r="CI1255" s="314"/>
      <c r="CJ1255" s="314"/>
      <c r="CK1255" s="314"/>
      <c r="CL1255" s="314"/>
      <c r="CM1255" s="314"/>
      <c r="CN1255" s="314"/>
      <c r="CO1255" s="314"/>
      <c r="CP1255" s="314"/>
      <c r="CQ1255" s="314"/>
    </row>
    <row r="1256" spans="1:95" ht="12.75" customHeight="1" thickBot="1" x14ac:dyDescent="0.3">
      <c r="A1256" s="307"/>
      <c r="C1256" s="76"/>
      <c r="D1256" s="76"/>
      <c r="E1256" s="76"/>
      <c r="F1256" s="76"/>
      <c r="G1256" s="1268">
        <v>1</v>
      </c>
      <c r="H1256" s="1268"/>
      <c r="I1256" s="1268">
        <v>2</v>
      </c>
      <c r="J1256" s="1268"/>
      <c r="K1256" s="1268">
        <v>3</v>
      </c>
      <c r="L1256" s="1268"/>
      <c r="O1256" s="160"/>
      <c r="P1256" s="109"/>
      <c r="Q1256" s="312"/>
      <c r="R1256" s="312"/>
      <c r="S1256" s="314"/>
      <c r="T1256" s="314"/>
      <c r="U1256" s="314"/>
      <c r="V1256" s="314"/>
      <c r="W1256" s="314"/>
      <c r="X1256" s="314"/>
      <c r="Y1256" s="314"/>
      <c r="Z1256" s="314"/>
      <c r="AA1256" s="314"/>
      <c r="AB1256" s="314"/>
      <c r="AC1256" s="314"/>
      <c r="AD1256" s="314"/>
      <c r="AE1256" s="314"/>
      <c r="AF1256" s="314"/>
      <c r="AG1256" s="314"/>
      <c r="AH1256" s="314"/>
      <c r="AI1256" s="314"/>
      <c r="AJ1256" s="314"/>
      <c r="AK1256" s="314"/>
      <c r="AL1256" s="314"/>
      <c r="AM1256" s="314"/>
      <c r="AN1256" s="314"/>
      <c r="AO1256" s="314"/>
      <c r="AP1256" s="314"/>
      <c r="AQ1256" s="314"/>
      <c r="AR1256" s="314"/>
      <c r="AS1256" s="314"/>
      <c r="AT1256" s="314"/>
      <c r="AU1256" s="314"/>
      <c r="AV1256" s="314"/>
      <c r="AW1256" s="314"/>
      <c r="AX1256" s="314"/>
      <c r="AY1256" s="314"/>
      <c r="AZ1256" s="314"/>
      <c r="BA1256" s="314"/>
      <c r="BB1256" s="314"/>
      <c r="BC1256" s="314"/>
      <c r="BD1256" s="314"/>
      <c r="BE1256" s="314"/>
      <c r="BF1256" s="314"/>
      <c r="BG1256" s="364"/>
      <c r="BH1256" s="314"/>
      <c r="BI1256" s="314"/>
      <c r="BJ1256" s="314"/>
      <c r="BK1256" s="314"/>
      <c r="BL1256" s="314"/>
      <c r="BM1256" s="314"/>
      <c r="BN1256" s="314"/>
      <c r="BO1256" s="314"/>
      <c r="BP1256" s="314"/>
      <c r="BQ1256" s="314"/>
      <c r="BR1256" s="314"/>
      <c r="BS1256" s="314"/>
      <c r="BT1256" s="314"/>
      <c r="BU1256" s="314"/>
      <c r="BV1256" s="314"/>
      <c r="BW1256" s="314"/>
      <c r="BX1256" s="314"/>
      <c r="BY1256" s="314"/>
      <c r="BZ1256" s="314"/>
      <c r="CA1256" s="314"/>
      <c r="CB1256" s="314"/>
      <c r="CC1256" s="314"/>
      <c r="CD1256" s="314"/>
      <c r="CE1256" s="314"/>
      <c r="CF1256" s="314"/>
      <c r="CG1256" s="314"/>
      <c r="CH1256" s="314"/>
      <c r="CI1256" s="314"/>
      <c r="CJ1256" s="314"/>
      <c r="CK1256" s="314"/>
      <c r="CL1256" s="314"/>
      <c r="CM1256" s="314"/>
      <c r="CN1256" s="314"/>
      <c r="CO1256" s="314"/>
      <c r="CP1256" s="314"/>
      <c r="CQ1256" s="314"/>
    </row>
    <row r="1257" spans="1:95" ht="12.75" customHeight="1" thickBot="1" x14ac:dyDescent="0.3">
      <c r="A1257" s="462"/>
      <c r="B1257" s="76"/>
      <c r="C1257" s="76"/>
      <c r="D1257" s="1246" t="str">
        <f>Translations!$B$372</f>
        <v>Consumers' CRF category:</v>
      </c>
      <c r="E1257" s="1246"/>
      <c r="F1257" s="1247"/>
      <c r="G1257" s="1248"/>
      <c r="H1257" s="1249"/>
      <c r="I1257" s="1248"/>
      <c r="J1257" s="1249"/>
      <c r="K1257" s="1248"/>
      <c r="L1257" s="1249"/>
      <c r="M1257" s="463" t="str">
        <f>IF(AND(E1236&lt;&gt;"",COUNTA(G1257:L1257)=0,AX1257=FALSE),EUconst_ERR_Incomplete,"")</f>
        <v/>
      </c>
      <c r="N1257" s="76"/>
      <c r="O1257" s="160"/>
      <c r="P1257" s="109"/>
      <c r="Q1257" s="312"/>
      <c r="R1257" s="312"/>
      <c r="S1257" s="314"/>
      <c r="T1257" s="314"/>
      <c r="U1257" s="314"/>
      <c r="V1257" s="314"/>
      <c r="W1257" s="314"/>
      <c r="X1257" s="314"/>
      <c r="Y1257" s="314"/>
      <c r="Z1257" s="314"/>
      <c r="AA1257" s="314"/>
      <c r="AB1257" s="314"/>
      <c r="AC1257" s="314"/>
      <c r="AD1257" s="314"/>
      <c r="AE1257" s="314"/>
      <c r="AF1257" s="314"/>
      <c r="AG1257" s="314"/>
      <c r="AH1257" s="314"/>
      <c r="AI1257" s="314"/>
      <c r="AJ1257" s="314"/>
      <c r="AK1257" s="314"/>
      <c r="AL1257" s="314"/>
      <c r="AM1257" s="314"/>
      <c r="AN1257" s="314"/>
      <c r="AO1257" s="314"/>
      <c r="AP1257" s="314"/>
      <c r="AQ1257" s="314"/>
      <c r="AR1257" s="314"/>
      <c r="AS1257" s="314"/>
      <c r="AT1257" s="314"/>
      <c r="AU1257" s="314"/>
      <c r="AV1257" s="314"/>
      <c r="AW1257" s="314"/>
      <c r="AX1257" s="464" t="b">
        <f>AND(AV1253&lt;&gt;"",SUM(AV1253=1))</f>
        <v>0</v>
      </c>
      <c r="AY1257" s="314"/>
      <c r="AZ1257" s="314"/>
      <c r="BA1257" s="314"/>
      <c r="BB1257" s="314"/>
      <c r="BC1257" s="314"/>
      <c r="BD1257" s="314"/>
      <c r="BE1257" s="314"/>
      <c r="BF1257" s="361" t="s">
        <v>169</v>
      </c>
      <c r="BG1257" s="362" t="str">
        <f>IF(AN1242=EUconst_TJ,AV1242*AV1250,IF(AN1244=EUconst_GJ,AV1242*AV1244/1000*AV1250,""))</f>
        <v/>
      </c>
      <c r="BH1257" s="314"/>
      <c r="BI1257" s="314"/>
      <c r="BJ1257" s="314"/>
      <c r="BK1257" s="314"/>
      <c r="BL1257" s="314"/>
      <c r="BM1257" s="314"/>
      <c r="BN1257" s="314"/>
      <c r="BO1257" s="314"/>
      <c r="BP1257" s="314"/>
      <c r="BQ1257" s="314"/>
      <c r="BR1257" s="314"/>
      <c r="BS1257" s="314"/>
      <c r="BT1257" s="314"/>
      <c r="BU1257" s="314"/>
      <c r="BV1257" s="314"/>
      <c r="BW1257" s="314"/>
      <c r="BX1257" s="314"/>
      <c r="BY1257" s="314"/>
      <c r="BZ1257" s="314"/>
      <c r="CA1257" s="314"/>
      <c r="CB1257" s="314"/>
      <c r="CC1257" s="314"/>
      <c r="CD1257" s="314"/>
      <c r="CE1257" s="314"/>
      <c r="CF1257" s="314"/>
      <c r="CG1257" s="314"/>
      <c r="CH1257" s="314"/>
      <c r="CI1257" s="314"/>
      <c r="CJ1257" s="314"/>
      <c r="CK1257" s="314"/>
      <c r="CL1257" s="314"/>
      <c r="CM1257" s="314"/>
      <c r="CN1257" s="314"/>
      <c r="CO1257" s="314"/>
      <c r="CP1257" s="314"/>
      <c r="CQ1257" s="314"/>
    </row>
    <row r="1258" spans="1:95" ht="5.15" customHeight="1" x14ac:dyDescent="0.25">
      <c r="A1258" s="307"/>
      <c r="B1258" s="68"/>
      <c r="C1258" s="68"/>
      <c r="D1258" s="68"/>
      <c r="E1258" s="68"/>
      <c r="F1258" s="68"/>
      <c r="G1258" s="76"/>
      <c r="H1258" s="76"/>
      <c r="I1258" s="76"/>
      <c r="J1258" s="76"/>
      <c r="K1258" s="76"/>
      <c r="L1258" s="76"/>
      <c r="M1258" s="76"/>
      <c r="N1258" s="76"/>
      <c r="O1258" s="160"/>
      <c r="P1258" s="109"/>
      <c r="Q1258" s="312"/>
      <c r="R1258" s="312"/>
      <c r="S1258" s="314"/>
      <c r="T1258" s="314"/>
      <c r="U1258" s="314"/>
      <c r="V1258" s="314"/>
      <c r="W1258" s="314"/>
      <c r="X1258" s="314"/>
      <c r="Y1258" s="314"/>
      <c r="Z1258" s="314"/>
      <c r="AA1258" s="314"/>
      <c r="AB1258" s="314"/>
      <c r="AC1258" s="314"/>
      <c r="AD1258" s="314"/>
      <c r="AE1258" s="314"/>
      <c r="AF1258" s="314"/>
      <c r="AG1258" s="314"/>
      <c r="AH1258" s="314"/>
      <c r="AI1258" s="314"/>
      <c r="AJ1258" s="314"/>
      <c r="AK1258" s="314"/>
      <c r="AL1258" s="314"/>
      <c r="AM1258" s="314"/>
      <c r="AN1258" s="314"/>
      <c r="AO1258" s="314"/>
      <c r="AP1258" s="314"/>
      <c r="AQ1258" s="314"/>
      <c r="AR1258" s="314"/>
      <c r="AS1258" s="314"/>
      <c r="AT1258" s="314"/>
      <c r="AU1258" s="314"/>
      <c r="AV1258" s="314"/>
      <c r="AW1258" s="314"/>
      <c r="AX1258" s="314"/>
      <c r="AY1258" s="314"/>
      <c r="AZ1258" s="314"/>
      <c r="BA1258" s="314"/>
      <c r="BB1258" s="314"/>
      <c r="BC1258" s="314"/>
      <c r="BD1258" s="314"/>
      <c r="BE1258" s="314"/>
      <c r="BF1258" s="314"/>
      <c r="BG1258" s="314"/>
      <c r="BH1258" s="314"/>
      <c r="BI1258" s="314"/>
      <c r="BJ1258" s="314"/>
      <c r="BK1258" s="314"/>
      <c r="BL1258" s="314"/>
      <c r="BM1258" s="314"/>
      <c r="BN1258" s="314"/>
      <c r="BO1258" s="314"/>
      <c r="BP1258" s="314"/>
      <c r="BQ1258" s="314"/>
      <c r="BR1258" s="314"/>
      <c r="BS1258" s="314"/>
      <c r="BT1258" s="314"/>
      <c r="BU1258" s="314"/>
      <c r="BV1258" s="314"/>
      <c r="BW1258" s="314"/>
      <c r="BX1258" s="314"/>
      <c r="BY1258" s="314"/>
      <c r="BZ1258" s="314"/>
      <c r="CA1258" s="314"/>
      <c r="CB1258" s="314"/>
      <c r="CC1258" s="314"/>
      <c r="CD1258" s="314"/>
      <c r="CE1258" s="314"/>
      <c r="CF1258" s="314"/>
      <c r="CG1258" s="314"/>
      <c r="CH1258" s="314"/>
      <c r="CI1258" s="314"/>
      <c r="CJ1258" s="314"/>
      <c r="CK1258" s="314"/>
      <c r="CL1258" s="314"/>
      <c r="CM1258" s="314"/>
      <c r="CN1258" s="314"/>
      <c r="CO1258" s="314"/>
      <c r="CP1258" s="314"/>
      <c r="CQ1258" s="314"/>
    </row>
    <row r="1259" spans="1:95" ht="12.75" customHeight="1" x14ac:dyDescent="0.25">
      <c r="A1259" s="307"/>
      <c r="B1259" s="68"/>
      <c r="C1259" s="68"/>
      <c r="D1259" s="1246" t="str">
        <f>Translations!$B$399</f>
        <v>Tiers valid from:</v>
      </c>
      <c r="E1259" s="1246"/>
      <c r="F1259" s="1247"/>
      <c r="G1259" s="8"/>
      <c r="H1259" s="199" t="str">
        <f>Translations!$B$400</f>
        <v>until:</v>
      </c>
      <c r="I1259" s="8"/>
      <c r="J1259" s="76"/>
      <c r="K1259" s="76"/>
      <c r="L1259" s="76"/>
      <c r="M1259" s="199" t="str">
        <f>Translations!$B$401</f>
        <v>ID used in the monitoring plan for this fuel stream:</v>
      </c>
      <c r="N1259" s="9"/>
      <c r="O1259" s="160"/>
      <c r="P1259" s="109"/>
      <c r="Q1259" s="312"/>
      <c r="R1259" s="312"/>
      <c r="S1259" s="465"/>
      <c r="T1259" s="314"/>
      <c r="U1259" s="314"/>
      <c r="V1259" s="314"/>
      <c r="W1259" s="314"/>
      <c r="X1259" s="314"/>
      <c r="Y1259" s="314"/>
      <c r="Z1259" s="314"/>
      <c r="AA1259" s="314"/>
      <c r="AB1259" s="314"/>
      <c r="AC1259" s="314"/>
      <c r="AD1259" s="314"/>
      <c r="AE1259" s="314"/>
      <c r="AF1259" s="314"/>
      <c r="AG1259" s="314"/>
      <c r="AH1259" s="314"/>
      <c r="AI1259" s="314"/>
      <c r="AJ1259" s="314"/>
      <c r="AK1259" s="314"/>
      <c r="AL1259" s="314"/>
      <c r="AM1259" s="314"/>
      <c r="AN1259" s="314"/>
      <c r="AO1259" s="314"/>
      <c r="AP1259" s="314"/>
      <c r="AQ1259" s="314"/>
      <c r="AR1259" s="314"/>
      <c r="AS1259" s="314"/>
      <c r="AT1259" s="314"/>
      <c r="AU1259" s="314"/>
      <c r="AV1259" s="314"/>
      <c r="AW1259" s="314"/>
      <c r="AX1259" s="314"/>
      <c r="AY1259" s="314"/>
      <c r="AZ1259" s="314"/>
      <c r="BA1259" s="314"/>
      <c r="BB1259" s="314"/>
      <c r="BC1259" s="314"/>
      <c r="BD1259" s="314"/>
      <c r="BE1259" s="314"/>
      <c r="BF1259" s="314"/>
      <c r="BG1259" s="314"/>
      <c r="BH1259" s="314"/>
      <c r="BI1259" s="314"/>
      <c r="BJ1259" s="314"/>
      <c r="BK1259" s="314"/>
      <c r="BL1259" s="314"/>
      <c r="BM1259" s="314"/>
      <c r="BN1259" s="314"/>
      <c r="BO1259" s="314"/>
      <c r="BP1259" s="314"/>
      <c r="BQ1259" s="314"/>
      <c r="BR1259" s="314"/>
      <c r="BS1259" s="314"/>
      <c r="BT1259" s="314"/>
      <c r="BU1259" s="314"/>
      <c r="BV1259" s="314"/>
      <c r="BW1259" s="314"/>
      <c r="BX1259" s="314"/>
      <c r="BY1259" s="314"/>
      <c r="BZ1259" s="314"/>
      <c r="CA1259" s="314"/>
      <c r="CB1259" s="314"/>
      <c r="CC1259" s="314"/>
      <c r="CD1259" s="314"/>
      <c r="CE1259" s="314"/>
      <c r="CF1259" s="314"/>
      <c r="CG1259" s="314"/>
      <c r="CH1259" s="314"/>
      <c r="CI1259" s="314"/>
      <c r="CJ1259" s="314"/>
      <c r="CK1259" s="314"/>
      <c r="CL1259" s="314"/>
      <c r="CM1259" s="314"/>
      <c r="CN1259" s="314"/>
      <c r="CO1259" s="314"/>
      <c r="CP1259" s="314"/>
      <c r="CQ1259" s="464" t="b">
        <f>CQ1242</f>
        <v>0</v>
      </c>
    </row>
    <row r="1260" spans="1:95" ht="5.15" customHeight="1" x14ac:dyDescent="0.25">
      <c r="A1260" s="462"/>
      <c r="B1260" s="76"/>
      <c r="C1260" s="76"/>
      <c r="D1260" s="76"/>
      <c r="E1260" s="76"/>
      <c r="F1260" s="76"/>
      <c r="G1260" s="76"/>
      <c r="H1260" s="76"/>
      <c r="I1260" s="76"/>
      <c r="J1260" s="76"/>
      <c r="K1260" s="76"/>
      <c r="L1260" s="76"/>
      <c r="M1260" s="76"/>
      <c r="N1260" s="76"/>
      <c r="O1260" s="160"/>
      <c r="P1260" s="109"/>
      <c r="Q1260" s="312"/>
      <c r="R1260" s="312"/>
      <c r="S1260" s="314"/>
      <c r="T1260" s="314"/>
      <c r="U1260" s="314"/>
      <c r="V1260" s="314"/>
      <c r="W1260" s="314"/>
      <c r="X1260" s="314"/>
      <c r="Y1260" s="314"/>
      <c r="Z1260" s="314"/>
      <c r="AA1260" s="314"/>
      <c r="AB1260" s="314"/>
      <c r="AC1260" s="314"/>
      <c r="AD1260" s="314"/>
      <c r="AE1260" s="314"/>
      <c r="AF1260" s="314"/>
      <c r="AG1260" s="314"/>
      <c r="AH1260" s="314"/>
      <c r="AI1260" s="314"/>
      <c r="AJ1260" s="314"/>
      <c r="AK1260" s="314"/>
      <c r="AL1260" s="314"/>
      <c r="AM1260" s="314"/>
      <c r="AN1260" s="314"/>
      <c r="AO1260" s="314"/>
      <c r="AP1260" s="314"/>
      <c r="AQ1260" s="314"/>
      <c r="AR1260" s="314"/>
      <c r="AS1260" s="314"/>
      <c r="AT1260" s="314"/>
      <c r="AU1260" s="314"/>
      <c r="AV1260" s="314"/>
      <c r="AW1260" s="314"/>
      <c r="AX1260" s="314"/>
      <c r="AY1260" s="314"/>
      <c r="AZ1260" s="314"/>
      <c r="BA1260" s="314"/>
      <c r="BB1260" s="314"/>
      <c r="BC1260" s="314"/>
      <c r="BD1260" s="314"/>
      <c r="BE1260" s="314"/>
      <c r="BF1260" s="314"/>
      <c r="BG1260" s="314"/>
      <c r="BH1260" s="314"/>
      <c r="BI1260" s="314"/>
      <c r="BJ1260" s="314"/>
      <c r="BK1260" s="314"/>
      <c r="BL1260" s="314"/>
      <c r="BM1260" s="314"/>
      <c r="BN1260" s="314"/>
      <c r="BO1260" s="314"/>
      <c r="BP1260" s="314"/>
      <c r="BQ1260" s="314"/>
      <c r="BR1260" s="314"/>
      <c r="BS1260" s="314"/>
      <c r="BT1260" s="314"/>
      <c r="BU1260" s="314"/>
      <c r="BV1260" s="314"/>
      <c r="BW1260" s="314"/>
      <c r="BX1260" s="314"/>
      <c r="BY1260" s="314"/>
      <c r="BZ1260" s="314"/>
      <c r="CA1260" s="314"/>
      <c r="CB1260" s="314"/>
      <c r="CC1260" s="314"/>
      <c r="CD1260" s="314"/>
      <c r="CE1260" s="314"/>
      <c r="CF1260" s="314"/>
      <c r="CG1260" s="314"/>
      <c r="CH1260" s="314"/>
      <c r="CI1260" s="314"/>
      <c r="CJ1260" s="314"/>
      <c r="CK1260" s="314"/>
      <c r="CL1260" s="314"/>
      <c r="CM1260" s="314"/>
      <c r="CN1260" s="314"/>
      <c r="CO1260" s="314"/>
      <c r="CP1260" s="314"/>
      <c r="CQ1260" s="314"/>
    </row>
    <row r="1261" spans="1:95" ht="12.75" customHeight="1" x14ac:dyDescent="0.25">
      <c r="A1261" s="462"/>
      <c r="B1261" s="76"/>
      <c r="C1261" s="76"/>
      <c r="D1261" s="115"/>
      <c r="E1261" s="85"/>
      <c r="F1261" s="466" t="str">
        <f>Translations!$B$304</f>
        <v>Comments:</v>
      </c>
      <c r="G1261" s="1250"/>
      <c r="H1261" s="1251"/>
      <c r="I1261" s="1251"/>
      <c r="J1261" s="1251"/>
      <c r="K1261" s="1251"/>
      <c r="L1261" s="1251"/>
      <c r="M1261" s="1251"/>
      <c r="N1261" s="1252"/>
      <c r="O1261" s="160"/>
      <c r="P1261" s="109"/>
      <c r="Q1261" s="312"/>
      <c r="R1261" s="312"/>
      <c r="S1261" s="314"/>
      <c r="T1261" s="314"/>
      <c r="U1261" s="314"/>
      <c r="V1261" s="314"/>
      <c r="W1261" s="314"/>
      <c r="X1261" s="314"/>
      <c r="Y1261" s="314"/>
      <c r="Z1261" s="314"/>
      <c r="AA1261" s="314"/>
      <c r="AB1261" s="314"/>
      <c r="AC1261" s="314"/>
      <c r="AD1261" s="314"/>
      <c r="AE1261" s="314"/>
      <c r="AF1261" s="314"/>
      <c r="AG1261" s="314"/>
      <c r="AH1261" s="314"/>
      <c r="AI1261" s="314"/>
      <c r="AJ1261" s="314"/>
      <c r="AK1261" s="314"/>
      <c r="AL1261" s="314"/>
      <c r="AM1261" s="314"/>
      <c r="AN1261" s="314"/>
      <c r="AO1261" s="314"/>
      <c r="AP1261" s="314"/>
      <c r="AQ1261" s="314"/>
      <c r="AR1261" s="314"/>
      <c r="AS1261" s="314"/>
      <c r="AT1261" s="314"/>
      <c r="AU1261" s="314"/>
      <c r="AV1261" s="314"/>
      <c r="AW1261" s="314"/>
      <c r="AX1261" s="314"/>
      <c r="AY1261" s="314"/>
      <c r="AZ1261" s="314"/>
      <c r="BA1261" s="314"/>
      <c r="BB1261" s="314"/>
      <c r="BC1261" s="314"/>
      <c r="BD1261" s="314"/>
      <c r="BE1261" s="314"/>
      <c r="BF1261" s="314"/>
      <c r="BG1261" s="314"/>
      <c r="BH1261" s="314"/>
      <c r="BI1261" s="314"/>
      <c r="BJ1261" s="314"/>
      <c r="BK1261" s="314"/>
      <c r="BL1261" s="314"/>
      <c r="BM1261" s="314"/>
      <c r="BN1261" s="314"/>
      <c r="BO1261" s="314"/>
      <c r="BP1261" s="314"/>
      <c r="BQ1261" s="314"/>
      <c r="BR1261" s="314"/>
      <c r="BS1261" s="314"/>
      <c r="BT1261" s="314"/>
      <c r="BU1261" s="314"/>
      <c r="BV1261" s="314"/>
      <c r="BW1261" s="314"/>
      <c r="BX1261" s="314"/>
      <c r="BY1261" s="314"/>
      <c r="BZ1261" s="314"/>
      <c r="CA1261" s="314"/>
      <c r="CB1261" s="314"/>
      <c r="CC1261" s="314"/>
      <c r="CD1261" s="314"/>
      <c r="CE1261" s="314"/>
      <c r="CF1261" s="314"/>
      <c r="CG1261" s="314"/>
      <c r="CH1261" s="314"/>
      <c r="CI1261" s="314"/>
      <c r="CJ1261" s="314"/>
      <c r="CK1261" s="314"/>
      <c r="CL1261" s="314"/>
      <c r="CM1261" s="314"/>
      <c r="CN1261" s="314"/>
      <c r="CO1261" s="314"/>
      <c r="CP1261" s="314"/>
      <c r="CQ1261" s="464" t="b">
        <f>CQ1259</f>
        <v>0</v>
      </c>
    </row>
    <row r="1262" spans="1:95" ht="12.75" customHeight="1" thickBot="1" x14ac:dyDescent="0.3">
      <c r="A1262" s="307"/>
      <c r="B1262" s="76"/>
      <c r="C1262" s="308"/>
      <c r="D1262" s="309"/>
      <c r="E1262" s="310"/>
      <c r="F1262" s="308"/>
      <c r="G1262" s="311"/>
      <c r="H1262" s="311"/>
      <c r="I1262" s="311"/>
      <c r="J1262" s="311"/>
      <c r="K1262" s="311"/>
      <c r="L1262" s="311"/>
      <c r="M1262" s="311"/>
      <c r="N1262" s="311"/>
      <c r="O1262" s="160"/>
      <c r="P1262" s="109"/>
      <c r="Q1262" s="312"/>
      <c r="R1262" s="312"/>
      <c r="S1262" s="293"/>
      <c r="T1262" s="293"/>
      <c r="U1262" s="313"/>
      <c r="V1262" s="293"/>
      <c r="W1262" s="293"/>
      <c r="X1262" s="313"/>
      <c r="Y1262" s="293"/>
      <c r="Z1262" s="293"/>
      <c r="AA1262" s="293"/>
      <c r="AB1262" s="293"/>
      <c r="AC1262" s="293"/>
      <c r="AD1262" s="293"/>
      <c r="AE1262" s="293"/>
      <c r="AF1262" s="293"/>
      <c r="AG1262" s="293"/>
      <c r="AH1262" s="293"/>
      <c r="AI1262" s="293"/>
      <c r="AJ1262" s="293"/>
      <c r="AK1262" s="293"/>
      <c r="AL1262" s="293"/>
      <c r="AM1262" s="293"/>
      <c r="AN1262" s="293"/>
      <c r="AO1262" s="293"/>
      <c r="AP1262" s="293"/>
      <c r="AQ1262" s="293"/>
      <c r="AR1262" s="293"/>
      <c r="AS1262" s="293"/>
      <c r="AT1262" s="293"/>
      <c r="AU1262" s="293"/>
      <c r="AV1262" s="293"/>
      <c r="AW1262" s="293"/>
      <c r="AX1262" s="293"/>
      <c r="AY1262" s="293"/>
      <c r="AZ1262" s="293"/>
      <c r="BA1262" s="293"/>
      <c r="BB1262" s="293"/>
      <c r="BC1262" s="293"/>
      <c r="BD1262" s="293"/>
      <c r="BE1262" s="293"/>
      <c r="BF1262" s="293"/>
      <c r="BG1262" s="293"/>
      <c r="BH1262" s="293"/>
      <c r="BI1262" s="293"/>
      <c r="BJ1262" s="293"/>
      <c r="BK1262" s="293"/>
      <c r="BL1262" s="293"/>
      <c r="BM1262" s="314"/>
      <c r="BN1262" s="314"/>
      <c r="BO1262" s="314"/>
      <c r="BP1262" s="314"/>
      <c r="BQ1262" s="314"/>
      <c r="BR1262" s="314"/>
      <c r="BS1262" s="314"/>
      <c r="BT1262" s="314"/>
      <c r="BU1262" s="293"/>
      <c r="BV1262" s="293"/>
      <c r="BW1262" s="293"/>
      <c r="BX1262" s="293"/>
      <c r="BY1262" s="293"/>
      <c r="BZ1262" s="293"/>
      <c r="CA1262" s="293"/>
      <c r="CB1262" s="293"/>
      <c r="CC1262" s="293"/>
      <c r="CD1262" s="293"/>
      <c r="CE1262" s="293"/>
      <c r="CF1262" s="293"/>
      <c r="CG1262" s="293"/>
      <c r="CH1262" s="293"/>
      <c r="CI1262" s="293"/>
      <c r="CJ1262" s="293"/>
      <c r="CK1262" s="293"/>
      <c r="CL1262" s="293"/>
      <c r="CM1262" s="293"/>
      <c r="CN1262" s="293"/>
      <c r="CO1262" s="293"/>
      <c r="CP1262" s="293"/>
      <c r="CQ1262" s="293"/>
    </row>
    <row r="1263" spans="1:95" ht="12.75" customHeight="1" thickBot="1" x14ac:dyDescent="0.3">
      <c r="A1263" s="315"/>
      <c r="B1263" s="76"/>
      <c r="C1263" s="76"/>
      <c r="D1263" s="205"/>
      <c r="E1263" s="316"/>
      <c r="F1263" s="76"/>
      <c r="G1263" s="96"/>
      <c r="H1263" s="96"/>
      <c r="I1263" s="96"/>
      <c r="J1263" s="96"/>
      <c r="K1263" s="76"/>
      <c r="L1263" s="96"/>
      <c r="M1263" s="96"/>
      <c r="N1263" s="96"/>
      <c r="O1263" s="160"/>
      <c r="P1263" s="109"/>
      <c r="Q1263" s="312"/>
      <c r="R1263" s="312"/>
      <c r="S1263" s="287"/>
      <c r="T1263" s="317" t="str">
        <f>IF(ISBLANK(E1264),"",MATCH(E1264,CNTR_SourceStreamNames,0))</f>
        <v/>
      </c>
      <c r="U1263" s="318" t="str">
        <f>IF(ISBLANK(E1264),"",INDEX(B_IdentifyFuelStreams!$D$67:$D$116,MATCH(E1264,CNTR_SourceStreamNames,0)))</f>
        <v/>
      </c>
      <c r="V1263" s="301"/>
      <c r="W1263" s="138"/>
      <c r="X1263" s="138"/>
      <c r="Y1263" s="138"/>
      <c r="Z1263" s="293"/>
      <c r="AA1263" s="293"/>
      <c r="AB1263" s="293"/>
      <c r="AC1263" s="293"/>
      <c r="AD1263" s="293"/>
      <c r="AE1263" s="293"/>
      <c r="AF1263" s="293"/>
      <c r="AG1263" s="293"/>
      <c r="AH1263" s="293"/>
      <c r="AI1263" s="293"/>
      <c r="AJ1263" s="293"/>
      <c r="AK1263" s="312"/>
      <c r="AL1263" s="293"/>
      <c r="AM1263" s="293"/>
      <c r="AN1263" s="293"/>
      <c r="AO1263" s="293"/>
      <c r="AP1263" s="293"/>
      <c r="AQ1263" s="293"/>
      <c r="AR1263" s="293"/>
      <c r="AS1263" s="293"/>
      <c r="AT1263" s="293"/>
      <c r="AU1263" s="293"/>
      <c r="AV1263" s="293"/>
      <c r="AW1263" s="293"/>
      <c r="AX1263" s="293"/>
      <c r="AY1263" s="293"/>
      <c r="AZ1263" s="293"/>
      <c r="BA1263" s="293"/>
      <c r="BB1263" s="293"/>
      <c r="BC1263" s="293"/>
      <c r="BD1263" s="293"/>
      <c r="BE1263" s="293"/>
      <c r="BF1263" s="293"/>
      <c r="BG1263" s="293"/>
      <c r="BH1263" s="293"/>
      <c r="BI1263" s="293"/>
      <c r="BJ1263" s="138"/>
      <c r="BK1263" s="138"/>
      <c r="BL1263" s="138"/>
      <c r="BM1263" s="138"/>
      <c r="BN1263" s="138"/>
      <c r="BO1263" s="138"/>
      <c r="BP1263" s="138"/>
      <c r="BQ1263" s="138"/>
      <c r="BR1263" s="138"/>
      <c r="BS1263" s="138"/>
      <c r="BT1263" s="138"/>
      <c r="BU1263" s="138"/>
      <c r="BV1263" s="138"/>
      <c r="BW1263" s="138"/>
      <c r="BX1263" s="138"/>
      <c r="BY1263" s="138"/>
      <c r="BZ1263" s="138"/>
      <c r="CA1263" s="138"/>
      <c r="CB1263" s="138"/>
      <c r="CC1263" s="138"/>
      <c r="CD1263" s="138"/>
      <c r="CE1263" s="138"/>
      <c r="CF1263" s="138"/>
      <c r="CG1263" s="138"/>
      <c r="CH1263" s="138"/>
      <c r="CI1263" s="138"/>
      <c r="CJ1263" s="138"/>
      <c r="CK1263" s="138"/>
      <c r="CL1263" s="138"/>
      <c r="CM1263" s="138"/>
      <c r="CN1263" s="138"/>
      <c r="CO1263" s="138"/>
      <c r="CP1263" s="138"/>
      <c r="CQ1263" s="319" t="s">
        <v>107</v>
      </c>
    </row>
    <row r="1264" spans="1:95" ht="15" customHeight="1" thickBot="1" x14ac:dyDescent="0.3">
      <c r="A1264" s="320">
        <f>C1264</f>
        <v>44</v>
      </c>
      <c r="B1264" s="68"/>
      <c r="C1264" s="321">
        <f>C1236+1</f>
        <v>44</v>
      </c>
      <c r="D1264" s="68"/>
      <c r="E1264" s="1269"/>
      <c r="F1264" s="1270"/>
      <c r="G1264" s="1270"/>
      <c r="H1264" s="1270"/>
      <c r="I1264" s="1270"/>
      <c r="J1264" s="1271"/>
      <c r="K1264" s="1272" t="str">
        <f>IF(INDEX(B_IdentifyFuelStreams!$K$125:$K$174,MATCH(U1263,B_IdentifyFuelStreams!$D$125:$D$174,0))&gt;0,INDEX(B_IdentifyFuelStreams!$K$125:$K$174,MATCH(U1263,B_IdentifyFuelStreams!$D$125:$D$174,0)),"")</f>
        <v/>
      </c>
      <c r="L1264" s="1273"/>
      <c r="M1264" s="316" t="str">
        <f>Translations!$B$621</f>
        <v>Emissions:</v>
      </c>
      <c r="N1264" s="322" t="str">
        <f>IF(E1265="","",BG1270)</f>
        <v/>
      </c>
      <c r="O1264" s="323" t="str">
        <f>EUconst_tCO2</f>
        <v>tCO2</v>
      </c>
      <c r="P1264" s="324" t="str">
        <f>IF(AND(E1264&lt;&gt;"",COUNTIF(P1265:$P$1649,"PRINT")=0),"PRINT","")</f>
        <v/>
      </c>
      <c r="Q1264" s="325" t="str">
        <f>EUconst_SumCO2</f>
        <v>SUM_CO2</v>
      </c>
      <c r="R1264" s="312"/>
      <c r="S1264" s="287"/>
      <c r="T1264" s="287"/>
      <c r="U1264" s="287"/>
      <c r="V1264" s="301"/>
      <c r="W1264" s="138"/>
      <c r="X1264" s="293"/>
      <c r="Y1264" s="293"/>
      <c r="Z1264" s="293"/>
      <c r="AA1264" s="293"/>
      <c r="AB1264" s="293"/>
      <c r="AC1264" s="293"/>
      <c r="AD1264" s="293"/>
      <c r="AE1264" s="293"/>
      <c r="AF1264" s="293"/>
      <c r="AG1264" s="293"/>
      <c r="AH1264" s="293"/>
      <c r="AI1264" s="326"/>
      <c r="AJ1264" s="326"/>
      <c r="AK1264" s="326"/>
      <c r="AL1264" s="326"/>
      <c r="AM1264" s="326"/>
      <c r="AN1264" s="326"/>
      <c r="AO1264" s="326"/>
      <c r="AP1264" s="326"/>
      <c r="AQ1264" s="326"/>
      <c r="AR1264" s="326"/>
      <c r="AS1264" s="326"/>
      <c r="AT1264" s="326"/>
      <c r="AU1264" s="326"/>
      <c r="AV1264" s="326"/>
      <c r="AW1264" s="326"/>
      <c r="AX1264" s="326"/>
      <c r="AY1264" s="326"/>
      <c r="AZ1264" s="326"/>
      <c r="BA1264" s="326"/>
      <c r="BB1264" s="326"/>
      <c r="BC1264" s="326"/>
      <c r="BD1264" s="326"/>
      <c r="BE1264" s="326"/>
      <c r="BF1264" s="326"/>
      <c r="BG1264" s="326"/>
      <c r="BH1264" s="326"/>
      <c r="BI1264" s="327" t="str">
        <f>IF(E1264="","",E1264)</f>
        <v/>
      </c>
      <c r="BJ1264" s="328" t="str">
        <f>IF(F1270="","",F1270)</f>
        <v/>
      </c>
      <c r="BK1264" s="329">
        <f>AV1270</f>
        <v>0</v>
      </c>
      <c r="BL1264" s="329">
        <f>IF(BK1264="","",BK1264*(1-BP1264))</f>
        <v>0</v>
      </c>
      <c r="BM1264" s="328" t="str">
        <f>AJ1270</f>
        <v/>
      </c>
      <c r="BN1264" s="328" t="str">
        <f>IF(F1281="","",F1281)</f>
        <v/>
      </c>
      <c r="BO1264" s="327" t="str">
        <f>IF(G1281="","",G1281)</f>
        <v/>
      </c>
      <c r="BP1264" s="330">
        <f>AV1281</f>
        <v>0</v>
      </c>
      <c r="BQ1264" s="328" t="str">
        <f>IF(F1273="","",F1273)</f>
        <v/>
      </c>
      <c r="BR1264" s="330">
        <f>AV1273</f>
        <v>0</v>
      </c>
      <c r="BS1264" s="330" t="str">
        <f>AJ1273</f>
        <v/>
      </c>
      <c r="BT1264" s="328" t="str">
        <f>IF(F1272="","",F1272)</f>
        <v/>
      </c>
      <c r="BU1264" s="330">
        <f>IF(F1272=EUconst_NA,"",AV1272)</f>
        <v>0</v>
      </c>
      <c r="BV1264" s="330" t="str">
        <f>AJ1272</f>
        <v/>
      </c>
      <c r="BW1264" s="328" t="str">
        <f>IF(F1274="","",F1274)</f>
        <v/>
      </c>
      <c r="BX1264" s="330">
        <f>AV1274</f>
        <v>0</v>
      </c>
      <c r="BY1264" s="328" t="str">
        <f>IF(F1275="","",F1275)</f>
        <v/>
      </c>
      <c r="BZ1264" s="330">
        <f>AV1275</f>
        <v>0</v>
      </c>
      <c r="CA1264" s="330">
        <f>AV1276</f>
        <v>0</v>
      </c>
      <c r="CB1264" s="330">
        <f>AV1277</f>
        <v>0</v>
      </c>
      <c r="CC1264" s="330">
        <f>AV1278</f>
        <v>0</v>
      </c>
      <c r="CD1264" s="330">
        <f>AV1279</f>
        <v>0</v>
      </c>
      <c r="CE1264" s="329" t="str">
        <f>BG1270</f>
        <v/>
      </c>
      <c r="CF1264" s="329" t="str">
        <f>BG1272</f>
        <v/>
      </c>
      <c r="CG1264" s="329" t="str">
        <f>BG1273</f>
        <v/>
      </c>
      <c r="CH1264" s="329" t="str">
        <f>BG1274</f>
        <v/>
      </c>
      <c r="CI1264" s="329" t="str">
        <f>BG1275</f>
        <v/>
      </c>
      <c r="CJ1264" s="329" t="str">
        <f>BG1276</f>
        <v/>
      </c>
      <c r="CK1264" s="329" t="str">
        <f>BG1277</f>
        <v/>
      </c>
      <c r="CL1264" s="329">
        <f>BG1278</f>
        <v>0</v>
      </c>
      <c r="CM1264" s="329" t="str">
        <f>BG1279</f>
        <v/>
      </c>
      <c r="CN1264" s="329" t="str">
        <f>BG1281</f>
        <v/>
      </c>
      <c r="CO1264" s="329" t="str">
        <f>BG1285</f>
        <v/>
      </c>
      <c r="CP1264" s="329" t="str">
        <f>IF(COUNTIF(AO1273:AO1274,TRUE)=0,"",BH1270)</f>
        <v/>
      </c>
      <c r="CQ1264" s="331" t="b">
        <v>0</v>
      </c>
    </row>
    <row r="1265" spans="1:95" ht="15" customHeight="1" thickBot="1" x14ac:dyDescent="0.3">
      <c r="A1265" s="307"/>
      <c r="B1265" s="68"/>
      <c r="C1265" s="68"/>
      <c r="D1265" s="68"/>
      <c r="E1265" s="1274" t="str">
        <f>IF(ISBLANK(E1264),"",IF(INDEX(B_IdentifyFuelStreams!$E$67:$E$116,MATCH(U1263,B_IdentifyFuelStreams!$D$67:$D$116,0))&gt;0,INDEX(B_IdentifyFuelStreams!$E$67:$E$116,MATCH(U1263,B_IdentifyFuelStreams!$D$67:$D$116,0)),""))</f>
        <v/>
      </c>
      <c r="F1265" s="1275"/>
      <c r="G1265" s="1275"/>
      <c r="H1265" s="1275"/>
      <c r="I1265" s="1275"/>
      <c r="J1265" s="1276"/>
      <c r="K1265" s="1272" t="str">
        <f>IF(INDEX(B_IdentifyFuelStreams!$M$125:$M$174,MATCH(U1263,B_IdentifyFuelStreams!$D$125:$D$174,0))&gt;0,INDEX(B_IdentifyFuelStreams!$M$125:$M$174,MATCH(U1263,B_IdentifyFuelStreams!$D$125:$D$174,0)),"")</f>
        <v/>
      </c>
      <c r="L1265" s="1273"/>
      <c r="M1265" s="332" t="str">
        <f>Translations!$B$622</f>
        <v>zero-rated:</v>
      </c>
      <c r="N1265" s="333" t="str">
        <f>IF(E1265="","",SUM(BG1272,BG1274,BG1276))</f>
        <v/>
      </c>
      <c r="O1265" s="334" t="str">
        <f>EUconst_tCO2</f>
        <v>tCO2</v>
      </c>
      <c r="P1265" s="109"/>
      <c r="Q1265" s="325" t="str">
        <f>EUconst_SumBioCO2</f>
        <v>SUM_bioCO2</v>
      </c>
      <c r="R1265" s="312"/>
      <c r="S1265" s="287"/>
      <c r="T1265" s="287"/>
      <c r="U1265" s="287"/>
      <c r="V1265" s="301"/>
      <c r="W1265" s="138"/>
      <c r="X1265" s="293"/>
      <c r="Y1265" s="317" t="str">
        <f>Translations!$B$143</f>
        <v>Tiers</v>
      </c>
      <c r="Z1265" s="314"/>
      <c r="AA1265" s="314"/>
      <c r="AB1265" s="314"/>
      <c r="AC1265" s="314"/>
      <c r="AD1265" s="314"/>
      <c r="AE1265" s="317" t="s">
        <v>108</v>
      </c>
      <c r="AF1265" s="293"/>
      <c r="AG1265" s="335"/>
      <c r="AH1265" s="314"/>
      <c r="AI1265" s="314"/>
      <c r="AJ1265" s="335"/>
      <c r="AK1265" s="335"/>
      <c r="AL1265" s="326"/>
      <c r="AM1265" s="326"/>
      <c r="AN1265" s="326"/>
      <c r="AO1265" s="326"/>
      <c r="AP1265" s="326"/>
      <c r="AQ1265" s="317" t="s">
        <v>109</v>
      </c>
      <c r="AR1265" s="336"/>
      <c r="AS1265" s="336"/>
      <c r="AT1265" s="314"/>
      <c r="AU1265" s="314"/>
      <c r="AV1265" s="314"/>
      <c r="AW1265" s="314"/>
      <c r="AX1265" s="314"/>
      <c r="AY1265" s="314"/>
      <c r="AZ1265" s="317" t="s">
        <v>110</v>
      </c>
      <c r="BA1265" s="314"/>
      <c r="BB1265" s="314"/>
      <c r="BC1265" s="314"/>
      <c r="BD1265" s="314"/>
      <c r="BE1265" s="314"/>
      <c r="BF1265" s="317" t="s">
        <v>111</v>
      </c>
      <c r="BG1265" s="314"/>
      <c r="BH1265" s="314"/>
      <c r="BI1265" s="317" t="s">
        <v>112</v>
      </c>
      <c r="BJ1265" s="328" t="str">
        <f>Translations!$B$376</f>
        <v>RFA Tier</v>
      </c>
      <c r="BK1265" s="328" t="str">
        <f>Translations!$B$377</f>
        <v>RFA</v>
      </c>
      <c r="BL1265" s="328" t="str">
        <f>Translations!$B$378</f>
        <v>RFA (in scope)</v>
      </c>
      <c r="BM1265" s="328" t="str">
        <f>Translations!$B$379</f>
        <v>RFA Unit</v>
      </c>
      <c r="BN1265" s="328" t="str">
        <f>Translations!$B$380</f>
        <v>SF Tier</v>
      </c>
      <c r="BO1265" s="328" t="str">
        <f>Translations!$B$380</f>
        <v>SF Tier</v>
      </c>
      <c r="BP1265" s="328" t="str">
        <f>Translations!$B$381</f>
        <v>SF</v>
      </c>
      <c r="BQ1265" s="328" t="str">
        <f>Translations!$B$382</f>
        <v>EF Tier</v>
      </c>
      <c r="BR1265" s="328" t="str">
        <f>Translations!$B$383</f>
        <v>EF</v>
      </c>
      <c r="BS1265" s="328" t="str">
        <f>Translations!$B$384</f>
        <v>EF Unit</v>
      </c>
      <c r="BT1265" s="328" t="str">
        <f>Translations!$B$385</f>
        <v>UCF Tier</v>
      </c>
      <c r="BU1265" s="328" t="str">
        <f>Translations!$B$386</f>
        <v>UCF</v>
      </c>
      <c r="BV1265" s="328" t="str">
        <f>Translations!$B$387</f>
        <v>UCF Unit</v>
      </c>
      <c r="BW1265" s="328" t="str">
        <f>Translations!$B$388</f>
        <v>Bio Tier</v>
      </c>
      <c r="BX1265" s="328" t="s">
        <v>113</v>
      </c>
      <c r="BY1265" s="328" t="str">
        <f>Translations!$B$389</f>
        <v>NonSustBio Tier</v>
      </c>
      <c r="BZ1265" s="328" t="s">
        <v>114</v>
      </c>
      <c r="CA1265" s="328" t="s">
        <v>115</v>
      </c>
      <c r="CB1265" s="328" t="s">
        <v>116</v>
      </c>
      <c r="CC1265" s="328" t="s">
        <v>117</v>
      </c>
      <c r="CD1265" s="328" t="s">
        <v>118</v>
      </c>
      <c r="CE1265" s="328" t="s">
        <v>119</v>
      </c>
      <c r="CF1265" s="328" t="s">
        <v>120</v>
      </c>
      <c r="CG1265" s="328" t="str">
        <f>Translations!$B$392</f>
        <v>CO2 non-sust</v>
      </c>
      <c r="CH1265" s="328" t="s">
        <v>121</v>
      </c>
      <c r="CI1265" s="328" t="s">
        <v>122</v>
      </c>
      <c r="CJ1265" s="328" t="s">
        <v>123</v>
      </c>
      <c r="CK1265" s="328" t="s">
        <v>124</v>
      </c>
      <c r="CL1265" s="328" t="s">
        <v>125</v>
      </c>
      <c r="CM1265" s="328" t="str">
        <f>Translations!$B$551</f>
        <v>Energy content (bio), TJ</v>
      </c>
      <c r="CN1265" s="328" t="s">
        <v>126</v>
      </c>
      <c r="CO1265" s="328" t="s">
        <v>127</v>
      </c>
      <c r="CP1265" s="328" t="s">
        <v>128</v>
      </c>
      <c r="CQ1265" s="314"/>
    </row>
    <row r="1266" spans="1:95" ht="5.15" customHeight="1" thickBot="1" x14ac:dyDescent="0.3">
      <c r="A1266" s="307"/>
      <c r="B1266" s="68"/>
      <c r="C1266" s="68"/>
      <c r="D1266" s="68"/>
      <c r="E1266" s="68"/>
      <c r="F1266" s="68"/>
      <c r="G1266" s="68"/>
      <c r="H1266" s="76"/>
      <c r="I1266" s="76"/>
      <c r="J1266" s="76"/>
      <c r="K1266" s="76"/>
      <c r="L1266" s="76"/>
      <c r="M1266" s="76"/>
      <c r="N1266" s="76"/>
      <c r="O1266" s="160"/>
      <c r="P1266" s="109"/>
      <c r="Q1266" s="312"/>
      <c r="R1266" s="312"/>
      <c r="S1266" s="287"/>
      <c r="T1266" s="287"/>
      <c r="U1266" s="287"/>
      <c r="V1266" s="301"/>
      <c r="W1266" s="314"/>
      <c r="X1266" s="314"/>
      <c r="Y1266" s="312"/>
      <c r="Z1266" s="314"/>
      <c r="AA1266" s="314"/>
      <c r="AB1266" s="314"/>
      <c r="AC1266" s="314"/>
      <c r="AD1266" s="314"/>
      <c r="AE1266" s="314"/>
      <c r="AF1266" s="293"/>
      <c r="AG1266" s="314"/>
      <c r="AH1266" s="314"/>
      <c r="AI1266" s="314"/>
      <c r="AJ1266" s="335"/>
      <c r="AK1266" s="335"/>
      <c r="AL1266" s="326"/>
      <c r="AM1266" s="326"/>
      <c r="AN1266" s="326"/>
      <c r="AO1266" s="326"/>
      <c r="AP1266" s="326"/>
      <c r="AQ1266" s="314"/>
      <c r="AR1266" s="314"/>
      <c r="AS1266" s="314"/>
      <c r="AT1266" s="314"/>
      <c r="AU1266" s="314"/>
      <c r="AV1266" s="314"/>
      <c r="AW1266" s="314"/>
      <c r="AX1266" s="314"/>
      <c r="AY1266" s="314"/>
      <c r="AZ1266" s="314"/>
      <c r="BA1266" s="314"/>
      <c r="BB1266" s="314"/>
      <c r="BC1266" s="314"/>
      <c r="BD1266" s="314"/>
      <c r="BE1266" s="314"/>
      <c r="BF1266" s="314"/>
      <c r="BG1266" s="314"/>
      <c r="BH1266" s="314"/>
      <c r="BI1266" s="314"/>
      <c r="BJ1266" s="314"/>
      <c r="BK1266" s="314"/>
      <c r="BL1266" s="314"/>
      <c r="BM1266" s="314"/>
      <c r="BN1266" s="314"/>
      <c r="BO1266" s="314"/>
      <c r="BP1266" s="314"/>
      <c r="BQ1266" s="314"/>
      <c r="BR1266" s="314"/>
      <c r="BS1266" s="314"/>
      <c r="BT1266" s="314"/>
      <c r="BU1266" s="314"/>
      <c r="BV1266" s="314"/>
      <c r="BW1266" s="314"/>
      <c r="BX1266" s="314"/>
      <c r="BY1266" s="314"/>
      <c r="BZ1266" s="314"/>
      <c r="CA1266" s="314"/>
      <c r="CB1266" s="314"/>
      <c r="CC1266" s="314"/>
      <c r="CD1266" s="314"/>
      <c r="CE1266" s="314"/>
      <c r="CF1266" s="314"/>
      <c r="CG1266" s="314"/>
      <c r="CH1266" s="314"/>
      <c r="CI1266" s="314"/>
      <c r="CJ1266" s="314"/>
      <c r="CK1266" s="314"/>
      <c r="CL1266" s="314"/>
      <c r="CM1266" s="314"/>
      <c r="CN1266" s="314"/>
      <c r="CO1266" s="314"/>
      <c r="CP1266" s="314"/>
      <c r="CQ1266" s="314"/>
    </row>
    <row r="1267" spans="1:95" ht="12.75" customHeight="1" thickBot="1" x14ac:dyDescent="0.3">
      <c r="A1267" s="307"/>
      <c r="B1267" s="68"/>
      <c r="C1267" s="68"/>
      <c r="D1267" s="68"/>
      <c r="E1267" s="1253" t="str">
        <f>IF(E1264="","",HYPERLINK("#JUMP_E_Top",EUconst_FurtherGuidancePoint1))</f>
        <v/>
      </c>
      <c r="F1267" s="1253"/>
      <c r="G1267" s="1253"/>
      <c r="H1267" s="1253"/>
      <c r="I1267" s="1253"/>
      <c r="J1267" s="1253"/>
      <c r="K1267" s="1253"/>
      <c r="L1267" s="1253"/>
      <c r="M1267" s="1253"/>
      <c r="N1267" s="76"/>
      <c r="O1267" s="160"/>
      <c r="P1267" s="109"/>
      <c r="Q1267" s="325" t="str">
        <f>EUconst_SumNonSustBioCO2</f>
        <v>SUM_bioNonSustCO2</v>
      </c>
      <c r="R1267" s="337" t="str">
        <f>IF(E1265="","",BG1273)</f>
        <v/>
      </c>
      <c r="S1267" s="287"/>
      <c r="T1267" s="287"/>
      <c r="U1267" s="287"/>
      <c r="V1267" s="314"/>
      <c r="W1267" s="314"/>
      <c r="X1267" s="314"/>
      <c r="Y1267" s="293"/>
      <c r="Z1267" s="314"/>
      <c r="AA1267" s="314"/>
      <c r="AB1267" s="314"/>
      <c r="AC1267" s="314"/>
      <c r="AD1267" s="314"/>
      <c r="AE1267" s="314"/>
      <c r="AF1267" s="293"/>
      <c r="AG1267" s="314"/>
      <c r="AH1267" s="314"/>
      <c r="AI1267" s="314"/>
      <c r="AJ1267" s="335"/>
      <c r="AK1267" s="335"/>
      <c r="AL1267" s="326"/>
      <c r="AM1267" s="326"/>
      <c r="AN1267" s="326"/>
      <c r="AO1267" s="326"/>
      <c r="AP1267" s="326"/>
      <c r="AQ1267" s="314"/>
      <c r="AR1267" s="314"/>
      <c r="AS1267" s="314"/>
      <c r="AT1267" s="314"/>
      <c r="AU1267" s="314"/>
      <c r="AV1267" s="314"/>
      <c r="AW1267" s="314"/>
      <c r="AX1267" s="314"/>
      <c r="AY1267" s="314"/>
      <c r="AZ1267" s="314"/>
      <c r="BA1267" s="314"/>
      <c r="BB1267" s="314"/>
      <c r="BC1267" s="314"/>
      <c r="BD1267" s="314"/>
      <c r="BE1267" s="314"/>
      <c r="BF1267" s="314"/>
      <c r="BG1267" s="314"/>
      <c r="BH1267" s="314"/>
      <c r="BI1267" s="317" t="s">
        <v>129</v>
      </c>
      <c r="BJ1267" s="336"/>
      <c r="BK1267" s="327" t="str">
        <f>IF(G1285="","",G1285)</f>
        <v/>
      </c>
      <c r="BL1267" s="327" t="str">
        <f>IF(I1285="","",I1285)</f>
        <v/>
      </c>
      <c r="BM1267" s="327" t="str">
        <f>IF(K1285="","",K1285)</f>
        <v/>
      </c>
      <c r="BN1267" s="314"/>
      <c r="BO1267" s="314"/>
      <c r="BP1267" s="314"/>
      <c r="BQ1267" s="314"/>
      <c r="BR1267" s="314"/>
      <c r="BS1267" s="314"/>
      <c r="BT1267" s="319"/>
      <c r="BU1267" s="314"/>
      <c r="BV1267" s="314"/>
      <c r="BW1267" s="314"/>
      <c r="BX1267" s="314"/>
      <c r="BY1267" s="314"/>
      <c r="BZ1267" s="314"/>
      <c r="CA1267" s="314"/>
      <c r="CB1267" s="314"/>
      <c r="CC1267" s="314"/>
      <c r="CD1267" s="314"/>
      <c r="CE1267" s="314"/>
      <c r="CF1267" s="314"/>
      <c r="CG1267" s="314"/>
      <c r="CH1267" s="314"/>
      <c r="CI1267" s="314"/>
      <c r="CJ1267" s="314"/>
      <c r="CK1267" s="314"/>
      <c r="CL1267" s="314"/>
      <c r="CM1267" s="314"/>
      <c r="CN1267" s="314"/>
      <c r="CO1267" s="314"/>
      <c r="CP1267" s="314"/>
      <c r="CQ1267" s="314"/>
    </row>
    <row r="1268" spans="1:95" ht="5.15" customHeight="1" thickBot="1" x14ac:dyDescent="0.3">
      <c r="A1268" s="307"/>
      <c r="B1268" s="68"/>
      <c r="C1268" s="68"/>
      <c r="D1268" s="68"/>
      <c r="E1268" s="68"/>
      <c r="F1268" s="68"/>
      <c r="G1268" s="68"/>
      <c r="H1268" s="76"/>
      <c r="I1268" s="76"/>
      <c r="J1268" s="76"/>
      <c r="K1268" s="76"/>
      <c r="L1268" s="76"/>
      <c r="M1268" s="76"/>
      <c r="N1268" s="76"/>
      <c r="O1268" s="160"/>
      <c r="P1268" s="111"/>
      <c r="Q1268" s="287"/>
      <c r="R1268" s="111"/>
      <c r="S1268" s="287"/>
      <c r="T1268" s="287"/>
      <c r="U1268" s="287"/>
      <c r="V1268" s="314"/>
      <c r="W1268" s="314"/>
      <c r="X1268" s="314"/>
      <c r="Y1268" s="312"/>
      <c r="Z1268" s="314"/>
      <c r="AA1268" s="314"/>
      <c r="AB1268" s="314"/>
      <c r="AC1268" s="314"/>
      <c r="AD1268" s="314"/>
      <c r="AE1268" s="314"/>
      <c r="AF1268" s="293"/>
      <c r="AG1268" s="314"/>
      <c r="AH1268" s="314"/>
      <c r="AI1268" s="314"/>
      <c r="AJ1268" s="335"/>
      <c r="AK1268" s="335"/>
      <c r="AL1268" s="326"/>
      <c r="AM1268" s="326"/>
      <c r="AN1268" s="326"/>
      <c r="AO1268" s="326"/>
      <c r="AP1268" s="326"/>
      <c r="AQ1268" s="314"/>
      <c r="AR1268" s="314"/>
      <c r="AS1268" s="314"/>
      <c r="AT1268" s="314"/>
      <c r="AU1268" s="314"/>
      <c r="AV1268" s="314"/>
      <c r="AW1268" s="314"/>
      <c r="AX1268" s="314"/>
      <c r="AY1268" s="314"/>
      <c r="AZ1268" s="314"/>
      <c r="BA1268" s="314"/>
      <c r="BB1268" s="314"/>
      <c r="BC1268" s="314"/>
      <c r="BD1268" s="314"/>
      <c r="BE1268" s="314"/>
      <c r="BF1268" s="314"/>
      <c r="BG1268" s="314"/>
      <c r="BH1268" s="314"/>
      <c r="BI1268" s="314"/>
      <c r="BJ1268" s="314"/>
      <c r="BK1268" s="314"/>
      <c r="BL1268" s="314"/>
      <c r="BM1268" s="314"/>
      <c r="BN1268" s="314"/>
      <c r="BO1268" s="314"/>
      <c r="BP1268" s="314"/>
      <c r="BQ1268" s="314"/>
      <c r="BR1268" s="314"/>
      <c r="BS1268" s="314"/>
      <c r="BT1268" s="314"/>
      <c r="BU1268" s="314"/>
      <c r="BV1268" s="314"/>
      <c r="BW1268" s="314"/>
      <c r="BX1268" s="314"/>
      <c r="BY1268" s="314"/>
      <c r="BZ1268" s="314"/>
      <c r="CA1268" s="314"/>
      <c r="CB1268" s="314"/>
      <c r="CC1268" s="314"/>
      <c r="CD1268" s="314"/>
      <c r="CE1268" s="314"/>
      <c r="CF1268" s="314"/>
      <c r="CG1268" s="314"/>
      <c r="CH1268" s="314"/>
      <c r="CI1268" s="314"/>
      <c r="CJ1268" s="314"/>
      <c r="CK1268" s="314"/>
      <c r="CL1268" s="314"/>
      <c r="CM1268" s="314"/>
      <c r="CN1268" s="314"/>
      <c r="CO1268" s="314"/>
      <c r="CP1268" s="314"/>
      <c r="CQ1268" s="314"/>
    </row>
    <row r="1269" spans="1:95" ht="12.75" customHeight="1" thickBot="1" x14ac:dyDescent="0.3">
      <c r="A1269" s="307"/>
      <c r="B1269" s="68"/>
      <c r="C1269" s="68"/>
      <c r="D1269" s="68"/>
      <c r="E1269" s="68"/>
      <c r="F1269" s="338" t="str">
        <f>Translations!$B$127</f>
        <v>Tier</v>
      </c>
      <c r="G1269" s="1254" t="str">
        <f>Translations!$B$393</f>
        <v>tier description</v>
      </c>
      <c r="H1269" s="1254"/>
      <c r="I1269" s="1255" t="str">
        <f>Translations!$B$394</f>
        <v>Unit</v>
      </c>
      <c r="J1269" s="1255"/>
      <c r="K1269" s="1255" t="str">
        <f>Translations!$B$395</f>
        <v>Value</v>
      </c>
      <c r="L1269" s="1255"/>
      <c r="M1269" s="205" t="str">
        <f>Translations!$B$396</f>
        <v>error</v>
      </c>
      <c r="N1269" s="76"/>
      <c r="O1269" s="160"/>
      <c r="P1269" s="339"/>
      <c r="Q1269" s="325" t="str">
        <f>EUconst_SumEnergyIN</f>
        <v>SUM_EnergyIN</v>
      </c>
      <c r="R1269" s="340" t="str">
        <f>IF(E1265="","",BG1278)</f>
        <v/>
      </c>
      <c r="S1269" s="314"/>
      <c r="T1269" s="314"/>
      <c r="U1269" s="314"/>
      <c r="V1269" s="341" t="s">
        <v>130</v>
      </c>
      <c r="W1269" s="314"/>
      <c r="X1269" s="314"/>
      <c r="Y1269" s="312" t="s">
        <v>131</v>
      </c>
      <c r="Z1269" s="312" t="s">
        <v>132</v>
      </c>
      <c r="AA1269" s="314"/>
      <c r="AB1269" s="314"/>
      <c r="AC1269" s="336" t="s">
        <v>133</v>
      </c>
      <c r="AD1269" s="314"/>
      <c r="AE1269" s="314"/>
      <c r="AF1269" s="314" t="s">
        <v>134</v>
      </c>
      <c r="AG1269" s="314" t="s">
        <v>135</v>
      </c>
      <c r="AH1269" s="312" t="s">
        <v>136</v>
      </c>
      <c r="AI1269" s="335" t="s">
        <v>137</v>
      </c>
      <c r="AJ1269" s="335" t="s">
        <v>138</v>
      </c>
      <c r="AK1269" s="342" t="s">
        <v>139</v>
      </c>
      <c r="AL1269" s="326"/>
      <c r="AM1269" s="326"/>
      <c r="AN1269" s="326"/>
      <c r="AO1269" s="326"/>
      <c r="AP1269" s="326"/>
      <c r="AQ1269" s="314"/>
      <c r="AR1269" s="314" t="s">
        <v>134</v>
      </c>
      <c r="AS1269" s="314" t="s">
        <v>135</v>
      </c>
      <c r="AT1269" s="343" t="s">
        <v>140</v>
      </c>
      <c r="AU1269" s="335" t="s">
        <v>141</v>
      </c>
      <c r="AV1269" s="335" t="s">
        <v>142</v>
      </c>
      <c r="AW1269" s="342" t="s">
        <v>139</v>
      </c>
      <c r="AX1269" s="342" t="s">
        <v>139</v>
      </c>
      <c r="AY1269" s="314"/>
      <c r="AZ1269" s="314"/>
      <c r="BA1269" s="314"/>
      <c r="BB1269" s="314" t="s">
        <v>143</v>
      </c>
      <c r="BC1269" s="314"/>
      <c r="BD1269" s="314"/>
      <c r="BE1269" s="314"/>
      <c r="BF1269" s="314"/>
      <c r="BG1269" s="319" t="s">
        <v>144</v>
      </c>
      <c r="BH1269" s="314" t="s">
        <v>145</v>
      </c>
      <c r="BI1269" s="314"/>
      <c r="BJ1269" s="314"/>
      <c r="BK1269" s="314"/>
      <c r="BL1269" s="314"/>
      <c r="BM1269" s="314"/>
      <c r="BN1269" s="314"/>
      <c r="BO1269" s="314"/>
      <c r="BP1269" s="314"/>
      <c r="BQ1269" s="314"/>
      <c r="BR1269" s="314"/>
      <c r="BS1269" s="314"/>
      <c r="BT1269" s="314"/>
      <c r="BU1269" s="314"/>
      <c r="BV1269" s="314"/>
      <c r="BW1269" s="314"/>
      <c r="BX1269" s="314"/>
      <c r="BY1269" s="314"/>
      <c r="BZ1269" s="314"/>
      <c r="CA1269" s="314"/>
      <c r="CB1269" s="314"/>
      <c r="CC1269" s="314"/>
      <c r="CD1269" s="314"/>
      <c r="CE1269" s="314"/>
      <c r="CF1269" s="314"/>
      <c r="CG1269" s="314"/>
      <c r="CH1269" s="314"/>
      <c r="CI1269" s="314"/>
      <c r="CJ1269" s="314"/>
      <c r="CK1269" s="314"/>
      <c r="CL1269" s="314"/>
      <c r="CM1269" s="314"/>
      <c r="CN1269" s="314"/>
      <c r="CO1269" s="314"/>
      <c r="CP1269" s="314"/>
      <c r="CQ1269" s="319" t="s">
        <v>107</v>
      </c>
    </row>
    <row r="1270" spans="1:95" ht="12.75" customHeight="1" thickBot="1" x14ac:dyDescent="0.3">
      <c r="A1270" s="307"/>
      <c r="B1270" s="68"/>
      <c r="C1270" s="199" t="s">
        <v>12</v>
      </c>
      <c r="D1270" s="344" t="str">
        <f>Translations!$B$356</f>
        <v>RFA:</v>
      </c>
      <c r="E1270" s="345"/>
      <c r="F1270" s="6"/>
      <c r="G1270" s="1256" t="str">
        <f>IF(OR(ISBLANK(F1270),F1270=EUconst_NoTier),"",IF(Z1270=0,EUconst_NA,IF(ISERROR(Z1270),"",Z1270)))</f>
        <v/>
      </c>
      <c r="H1270" s="1257"/>
      <c r="I1270" s="346" t="str">
        <f>IF(J1270&lt;&gt;"","",AI1270)</f>
        <v/>
      </c>
      <c r="J1270" s="7"/>
      <c r="K1270" s="1258"/>
      <c r="L1270" s="1259"/>
      <c r="M1270" s="347" t="str">
        <f>IF(AND(E1265&lt;&gt;"",OR(F1270="",COUNT(K1270)=0),Y1270&lt;&gt;EUconst_NA),EUconst_ERR_Incomplete,"")</f>
        <v/>
      </c>
      <c r="N1270" s="76"/>
      <c r="O1270" s="160"/>
      <c r="P1270" s="348"/>
      <c r="Q1270" s="325" t="str">
        <f>EUconst_SumBioEnergyIN</f>
        <v>SUM_BioEnergyIN</v>
      </c>
      <c r="R1270" s="340" t="str">
        <f>IF(E1265="","",BG1279)</f>
        <v/>
      </c>
      <c r="S1270" s="314"/>
      <c r="T1270" s="349" t="str">
        <f>EUconst_CNTR_ActivityData&amp;E1265</f>
        <v>ActivityData_</v>
      </c>
      <c r="U1270" s="312"/>
      <c r="V1270" s="349" t="str">
        <f>IF(E1264="","",INDEX(B_IdentifyFuelStreams!$I$67:$I$116,MATCH(U1263,B_IdentifyFuelStreams!$D$67:$D$116,0)))</f>
        <v/>
      </c>
      <c r="W1270" s="335" t="s">
        <v>146</v>
      </c>
      <c r="X1270" s="312"/>
      <c r="Y1270" s="350" t="str">
        <f>IF(E1265="","",INDEX(EUwideConstants!$P$164:$P$200,MATCH(T1270,EUwideConstants!$S$164:$S$200,0)))</f>
        <v/>
      </c>
      <c r="Z1270" s="351" t="str">
        <f>IF(ISBLANK(F1270),"",IF(F1270=EUconst_NA,"",INDEX(EUwideConstants!$H:$O,MATCH(T1270,EUwideConstants!$S:$S,0),MATCH(F1270,CNTR_TierList,0))))</f>
        <v/>
      </c>
      <c r="AA1270" s="352" t="s">
        <v>136</v>
      </c>
      <c r="AB1270" s="335"/>
      <c r="AC1270" s="331" t="b">
        <f>E1264&lt;&gt;""</f>
        <v>0</v>
      </c>
      <c r="AD1270" s="314"/>
      <c r="AE1270" s="353" t="str">
        <f>EUconst_CNTR_ActivityData&amp;EUconst_Unit</f>
        <v>ActivityData_Unit</v>
      </c>
      <c r="AF1270" s="354" t="str">
        <f>IF(AC1270=TRUE, IF(COUNTIF(MSPara_SourceStreamCategory,V1270)=0,"",INDEX(MSPara_CalcFactorsMatrix,MATCH(V1270,MSPara_SourceStreamCategory,0),MATCH(AE1270&amp;"_"&amp;2,MSPara_CalcFactors,0))),"")</f>
        <v/>
      </c>
      <c r="AG1270" s="355" t="str">
        <f>IF(AC1270=TRUE, IF(COUNTIF(MSPara_SourceStreamCategory,V1270)=0,"",INDEX(MSPara_CalcFactorsMatrix,MATCH(V1270,MSPara_SourceStreamCategory,0),MATCH(AE1270&amp;"_"&amp;1,MSPara_CalcFactors,0))),"")</f>
        <v/>
      </c>
      <c r="AH1270" s="331" t="str">
        <f>IF(OR(AF1270="",AF1270=EUconst_NA),IF(OR(AG1270=EUconst_NA,AG1270=""),"",AG1270),AF1270)</f>
        <v/>
      </c>
      <c r="AI1270" s="350" t="str">
        <f>IF(AC1270=TRUE,IF(AH1270="",EUconst_t,AH1270),"")</f>
        <v/>
      </c>
      <c r="AJ1270" s="356" t="str">
        <f>IF(J1270="",AI1270,J1270)</f>
        <v/>
      </c>
      <c r="AK1270" s="357" t="b">
        <f>AND(E1264&lt;&gt;"",J1270&lt;&gt;"")</f>
        <v>0</v>
      </c>
      <c r="AL1270" s="326"/>
      <c r="AM1270" s="358" t="s">
        <v>147</v>
      </c>
      <c r="AN1270" s="359" t="str">
        <f>AJ1270</f>
        <v/>
      </c>
      <c r="AO1270" s="326"/>
      <c r="AP1270" s="326"/>
      <c r="AQ1270" s="349" t="str">
        <f>EUconst_CNTR_ActivityData&amp;EUconst_Value</f>
        <v>ActivityData_Value</v>
      </c>
      <c r="AR1270" s="336"/>
      <c r="AS1270" s="336"/>
      <c r="AT1270" s="331" t="b">
        <f>AND(AND(AH1270&lt;&gt;"",AJ1270&lt;&gt;""),AJ1270=AH1270)</f>
        <v>0</v>
      </c>
      <c r="AU1270" s="314"/>
      <c r="AV1270" s="331">
        <f>IF(Y1270=EUconst_NA,0,IF(COUNT(K1270:K1270)=0,0,IF(K1270="",#REF!,K1270)))</f>
        <v>0</v>
      </c>
      <c r="AW1270" s="360" t="b">
        <f>AND(AC1270=TRUE,OR(K1270&lt;&gt;"",AU1270=""))</f>
        <v>0</v>
      </c>
      <c r="AX1270" s="360" t="b">
        <f>AND(AC1270=TRUE,NOT(AW1270))</f>
        <v>0</v>
      </c>
      <c r="AY1270" s="314"/>
      <c r="AZ1270" s="314" t="s">
        <v>148</v>
      </c>
      <c r="BA1270" s="314" t="s">
        <v>149</v>
      </c>
      <c r="BB1270" s="360"/>
      <c r="BC1270" s="314" t="s">
        <v>150</v>
      </c>
      <c r="BD1270" s="314"/>
      <c r="BE1270" s="314"/>
      <c r="BF1270" s="361" t="s">
        <v>119</v>
      </c>
      <c r="BG1270" s="362" t="str">
        <f>IF(COUNTIF(AO1273:AO1274,TRUE)=0,"",BH1270*AV1281)</f>
        <v/>
      </c>
      <c r="BH1270" s="362" t="str">
        <f>IF(COUNTIF(AO1273:AO1274,TRUE)=0,"",AV1270*IF(AO1273,1,AV1272*AN1274)*AV1273-BH1272-BH1274-BH1276)</f>
        <v/>
      </c>
      <c r="BI1270" s="314"/>
      <c r="BJ1270" s="314"/>
      <c r="BK1270" s="314"/>
      <c r="BL1270" s="314"/>
      <c r="BM1270" s="314"/>
      <c r="BN1270" s="314"/>
      <c r="BO1270" s="314"/>
      <c r="BP1270" s="314"/>
      <c r="BQ1270" s="314"/>
      <c r="BR1270" s="314"/>
      <c r="BS1270" s="314"/>
      <c r="BT1270" s="314"/>
      <c r="BU1270" s="314"/>
      <c r="BV1270" s="314"/>
      <c r="BW1270" s="314"/>
      <c r="BX1270" s="314"/>
      <c r="BY1270" s="314"/>
      <c r="BZ1270" s="314"/>
      <c r="CA1270" s="314"/>
      <c r="CB1270" s="314"/>
      <c r="CC1270" s="314"/>
      <c r="CD1270" s="314"/>
      <c r="CE1270" s="314"/>
      <c r="CF1270" s="314"/>
      <c r="CG1270" s="314"/>
      <c r="CH1270" s="314"/>
      <c r="CI1270" s="314"/>
      <c r="CJ1270" s="314"/>
      <c r="CK1270" s="314"/>
      <c r="CL1270" s="314"/>
      <c r="CM1270" s="314"/>
      <c r="CN1270" s="314"/>
      <c r="CO1270" s="314"/>
      <c r="CP1270" s="314"/>
      <c r="CQ1270" s="360" t="b">
        <v>0</v>
      </c>
    </row>
    <row r="1271" spans="1:95" ht="5.15" customHeight="1" thickBot="1" x14ac:dyDescent="0.3">
      <c r="A1271" s="307"/>
      <c r="B1271" s="68"/>
      <c r="C1271" s="199"/>
      <c r="D1271" s="202"/>
      <c r="E1271" s="76"/>
      <c r="F1271" s="76"/>
      <c r="G1271" s="76"/>
      <c r="H1271" s="76" t="str">
        <f>Translations!$B$397</f>
        <v xml:space="preserve"> </v>
      </c>
      <c r="I1271" s="162"/>
      <c r="J1271" s="162"/>
      <c r="K1271" s="76"/>
      <c r="L1271" s="76"/>
      <c r="M1271" s="363"/>
      <c r="N1271" s="76"/>
      <c r="O1271" s="160"/>
      <c r="P1271" s="109"/>
      <c r="Q1271" s="312"/>
      <c r="R1271" s="312"/>
      <c r="S1271" s="314"/>
      <c r="T1271" s="62"/>
      <c r="U1271" s="312"/>
      <c r="V1271" s="314"/>
      <c r="W1271" s="314"/>
      <c r="X1271" s="312"/>
      <c r="Y1271" s="319"/>
      <c r="Z1271" s="314"/>
      <c r="AA1271" s="314"/>
      <c r="AB1271" s="314"/>
      <c r="AC1271" s="314"/>
      <c r="AD1271" s="314"/>
      <c r="AE1271" s="314"/>
      <c r="AF1271" s="314"/>
      <c r="AG1271" s="314"/>
      <c r="AH1271" s="314"/>
      <c r="AI1271" s="314"/>
      <c r="AJ1271" s="314"/>
      <c r="AK1271" s="314"/>
      <c r="AL1271" s="326"/>
      <c r="AM1271" s="326"/>
      <c r="AN1271" s="326"/>
      <c r="AO1271" s="326"/>
      <c r="AP1271" s="326"/>
      <c r="AQ1271" s="314"/>
      <c r="AR1271" s="314"/>
      <c r="AS1271" s="314"/>
      <c r="AT1271" s="314"/>
      <c r="AU1271" s="314"/>
      <c r="AV1271" s="314"/>
      <c r="AW1271" s="314"/>
      <c r="AX1271" s="314"/>
      <c r="AY1271" s="314"/>
      <c r="AZ1271" s="314"/>
      <c r="BA1271" s="314"/>
      <c r="BB1271" s="314"/>
      <c r="BC1271" s="314"/>
      <c r="BD1271" s="314"/>
      <c r="BE1271" s="314"/>
      <c r="BF1271" s="314"/>
      <c r="BG1271" s="364"/>
      <c r="BH1271" s="364"/>
      <c r="BI1271" s="314"/>
      <c r="BJ1271" s="314"/>
      <c r="BK1271" s="314"/>
      <c r="BL1271" s="314"/>
      <c r="BM1271" s="314"/>
      <c r="BN1271" s="314"/>
      <c r="BO1271" s="314"/>
      <c r="BP1271" s="314"/>
      <c r="BQ1271" s="314"/>
      <c r="BR1271" s="314"/>
      <c r="BS1271" s="314"/>
      <c r="BT1271" s="314"/>
      <c r="BU1271" s="314"/>
      <c r="BV1271" s="314"/>
      <c r="BW1271" s="314"/>
      <c r="BX1271" s="314"/>
      <c r="BY1271" s="314"/>
      <c r="BZ1271" s="314"/>
      <c r="CA1271" s="314"/>
      <c r="CB1271" s="314"/>
      <c r="CC1271" s="314"/>
      <c r="CD1271" s="314"/>
      <c r="CE1271" s="314"/>
      <c r="CF1271" s="314"/>
      <c r="CG1271" s="314"/>
      <c r="CH1271" s="314"/>
      <c r="CI1271" s="314"/>
      <c r="CJ1271" s="314"/>
      <c r="CK1271" s="314"/>
      <c r="CL1271" s="314"/>
      <c r="CM1271" s="314"/>
      <c r="CN1271" s="314"/>
      <c r="CO1271" s="314"/>
      <c r="CP1271" s="314"/>
      <c r="CQ1271" s="319"/>
    </row>
    <row r="1272" spans="1:95" ht="12.75" customHeight="1" x14ac:dyDescent="0.25">
      <c r="A1272" s="307"/>
      <c r="B1272" s="68"/>
      <c r="C1272" s="199" t="s">
        <v>13</v>
      </c>
      <c r="D1272" s="344" t="str">
        <f>Translations!$B$360</f>
        <v>UCF:</v>
      </c>
      <c r="E1272" s="345"/>
      <c r="F1272" s="10"/>
      <c r="G1272" s="1256" t="str">
        <f>IF(OR(ISBLANK(F1272),F1272=EUconst_NoTier),"",IF(Z1272=0,EUconst_NotApplicable,IF(ISERROR(Z1272),"",Z1272)))</f>
        <v/>
      </c>
      <c r="H1272" s="1257"/>
      <c r="I1272" s="365" t="str">
        <f>IF(J1272&lt;&gt;"","",AI1272)</f>
        <v/>
      </c>
      <c r="J1272" s="11"/>
      <c r="K1272" s="366" t="str">
        <f>IF(L1272="",AU1272,"")</f>
        <v/>
      </c>
      <c r="L1272" s="23"/>
      <c r="M1272" s="347" t="str">
        <f>IF(AND(E1265&lt;&gt;"",OR(F1272="",COUNT(K1272:L1272)=0),Y1272&lt;&gt;EUconst_NA),EUconst_ERR_Incomplete,IF(COUNTIF(BB1272:BD1272,TRUE)&gt;0,EUconst_ERR_Inconsistent,""))</f>
        <v/>
      </c>
      <c r="N1272" s="367"/>
      <c r="O1272" s="160"/>
      <c r="P1272" s="109"/>
      <c r="Q1272" s="312"/>
      <c r="R1272" s="312"/>
      <c r="S1272" s="314"/>
      <c r="T1272" s="368" t="str">
        <f>EUconst_CNTR_UCF&amp;E1265</f>
        <v>UCF_</v>
      </c>
      <c r="U1272" s="312"/>
      <c r="V1272" s="369" t="str">
        <f>V1273</f>
        <v/>
      </c>
      <c r="W1272" s="314"/>
      <c r="X1272" s="312"/>
      <c r="Y1272" s="370" t="str">
        <f>IF(E1265="","",IF(OR(F1272=EUconst_NA,W1272=TRUE),EUconst_NA,INDEX(EUwideConstants!$P$164:$P$200,MATCH(T1272,EUwideConstants!$S$164:$S$200,0))))</f>
        <v/>
      </c>
      <c r="Z1272" s="371" t="str">
        <f>IF(ISBLANK(F1272),"",IF(F1272=EUconst_NA,"",INDEX(EUwideConstants!$H:$O,MATCH(T1272,EUwideConstants!$S:$S,0),MATCH(F1272,CNTR_TierList,0))))</f>
        <v/>
      </c>
      <c r="AA1272" s="372" t="str">
        <f>IF(COUNTIF(EUconst_DefaultValues,Z1272)&gt;0,MATCH(Z1272,EUconst_DefaultValues,0),"")</f>
        <v/>
      </c>
      <c r="AB1272" s="314"/>
      <c r="AC1272" s="373" t="b">
        <f>AND(AC1270,Y1272&lt;&gt;EUconst_NA)</f>
        <v>0</v>
      </c>
      <c r="AD1272" s="314"/>
      <c r="AE1272" s="353" t="str">
        <f>EUconst_CNTR_UCF&amp;EUconst_Unit</f>
        <v>UCF_Unit</v>
      </c>
      <c r="AF1272" s="374" t="str">
        <f>IF(AC1272=TRUE, IF(COUNTIF(MSPara_SourceStreamCategory,V1272)=0,"",INDEX(MSPara_CalcFactorsMatrix,MATCH(V1272,MSPara_SourceStreamCategory,0),MATCH(AE1272&amp;"_"&amp;2,MSPara_CalcFactors,0))),"")</f>
        <v/>
      </c>
      <c r="AG1272" s="375" t="str">
        <f>IF(AC1272=TRUE, IF(COUNTIF(MSPara_SourceStreamCategory,V1272)=0,"",INDEX(MSPara_CalcFactorsMatrix,MATCH(V1272,MSPara_SourceStreamCategory,0),MATCH(AE1272&amp;"_"&amp;1,MSPara_CalcFactors,0))),"")</f>
        <v/>
      </c>
      <c r="AH1272" s="373" t="str">
        <f>IF(AA1272="","",INDEX(AF1272:AG1272,3-AA1272))</f>
        <v/>
      </c>
      <c r="AI1272" s="373" t="str">
        <f>IF(AC1272=TRUE,IF(OR(AH1272="",AH1272=EUconst_NA),EUconst_GJ&amp;"/"&amp;AJ1270,AH1272),"")</f>
        <v/>
      </c>
      <c r="AJ1272" s="373" t="str">
        <f>IF(J1272="",AI1272,J1272)</f>
        <v/>
      </c>
      <c r="AK1272" s="369" t="b">
        <f>AND(E1264&lt;&gt;"",J1272&lt;&gt;"")</f>
        <v>0</v>
      </c>
      <c r="AL1272" s="326"/>
      <c r="AM1272" s="358" t="s">
        <v>151</v>
      </c>
      <c r="AN1272" s="359" t="str">
        <f>IF(AJ1272="",EUconst_NA,IF(AN1270=EUconst_TJ,EUconst_TJ,INDEX(EUwideConstants!$C$135:$G$139,MATCH(AN1270,RFAUnits,0),MATCH(AJ1272,UCFUnits,0))))</f>
        <v>n.a.</v>
      </c>
      <c r="AO1272" s="326"/>
      <c r="AP1272" s="326"/>
      <c r="AQ1272" s="376" t="str">
        <f>EUconst_CNTR_UCF&amp;EUconst_Value</f>
        <v>UCF_Value</v>
      </c>
      <c r="AR1272" s="377" t="str">
        <f>IF(AC1272=TRUE,IF(COUNTIF(MSPara_SourceStreamCategory,V1272)=0,"",INDEX(MSPara_CalcFactorsMatrix,MATCH(V1272,MSPara_SourceStreamCategory,0),MATCH(AQ1272&amp;"_"&amp;2,MSPara_CalcFactors,0))),"")</f>
        <v/>
      </c>
      <c r="AS1272" s="378" t="str">
        <f>IF(AC1272=TRUE,IF(COUNTIF(MSPara_SourceStreamCategory,V1272)=0,"",INDEX(MSPara_CalcFactorsMatrix,MATCH(V1272,MSPara_SourceStreamCategory,0),MATCH(AQ1272&amp;"_"&amp;1,MSPara_CalcFactors,0))),"")</f>
        <v/>
      </c>
      <c r="AT1272" s="379" t="b">
        <f>AND(AND(AH1272&lt;&gt;"",AJ1272&lt;&gt;""),AJ1272=AH1272)</f>
        <v>0</v>
      </c>
      <c r="AU1272" s="380" t="str">
        <f>IF(AND(AA1272&lt;&gt;"",AT1272=TRUE),IF(OR(INDEX(AR1272:AS1272,3-AA1272)=EUconst_NA,INDEX(AR1272:AS1272,3-AA1272)=0),"",INDEX(AR1272:AS1272,3-AA1272)),"")</f>
        <v/>
      </c>
      <c r="AV1272" s="373">
        <f>IF(AC1272=TRUE,IF(COUNT(K1272:L1272)=0,0,IF(L1272="",K1272,L1272)),0)</f>
        <v>0</v>
      </c>
      <c r="AW1272" s="369" t="b">
        <f t="shared" ref="AW1272:AW1279" si="387">AND(AC1272=TRUE,OR(AND(F1272&lt;&gt;"",NOT(ISNUMBER(AA1272))),L1272&lt;&gt;"",F1272="",AU1272=""))</f>
        <v>0</v>
      </c>
      <c r="AX1272" s="381" t="b">
        <f t="shared" ref="AX1272:AX1279" si="388">AND(AC1272=TRUE,NOT(AW1272))</f>
        <v>0</v>
      </c>
      <c r="AY1272" s="314"/>
      <c r="AZ1272" s="382" t="b">
        <f t="shared" ref="AZ1272:AZ1279" si="389">AND(ISNUMBER(AA1272),AU1272="")</f>
        <v>0</v>
      </c>
      <c r="BA1272" s="383" t="b">
        <f t="shared" ref="BA1272:BA1279" si="390">AND(ISNUMBER(AA1272),AU1272&lt;&gt;AV1272)</f>
        <v>0</v>
      </c>
      <c r="BB1272" s="369" t="b">
        <f>AND(E1265&lt;&gt;"",F1272&lt;&gt;EUconst_NA,AN1272=EUconst_NA)</f>
        <v>0</v>
      </c>
      <c r="BC1272" s="369" t="b">
        <f t="shared" ref="BC1272:BC1279" si="391">AND(L1272&lt;&gt;"",Y1272=EUconst_NA)</f>
        <v>0</v>
      </c>
      <c r="BD1272" s="314"/>
      <c r="BE1272" s="314"/>
      <c r="BF1272" s="382" t="s">
        <v>152</v>
      </c>
      <c r="BG1272" s="384" t="str">
        <f>IF(COUNTIF(AO1273:AO1274,TRUE)=0,"",BH1272*AV1281)</f>
        <v/>
      </c>
      <c r="BH1272" s="384" t="str">
        <f>IF(COUNTIF(AO1273:AO1274,TRUE)=0,"",AV1270*IF(AO1273,1,AV1272*AN1274)*AV1273*AV1274)</f>
        <v/>
      </c>
      <c r="BI1272" s="314"/>
      <c r="BJ1272" s="314"/>
      <c r="BK1272" s="314"/>
      <c r="BL1272" s="314"/>
      <c r="BM1272" s="314"/>
      <c r="BN1272" s="314"/>
      <c r="BO1272" s="314"/>
      <c r="BP1272" s="314"/>
      <c r="BQ1272" s="314"/>
      <c r="BR1272" s="314"/>
      <c r="BS1272" s="314"/>
      <c r="BT1272" s="314"/>
      <c r="BU1272" s="314"/>
      <c r="BV1272" s="314"/>
      <c r="BW1272" s="314"/>
      <c r="BX1272" s="314"/>
      <c r="BY1272" s="314"/>
      <c r="BZ1272" s="314"/>
      <c r="CA1272" s="314"/>
      <c r="CB1272" s="314"/>
      <c r="CC1272" s="314"/>
      <c r="CD1272" s="314"/>
      <c r="CE1272" s="314"/>
      <c r="CF1272" s="314"/>
      <c r="CG1272" s="314"/>
      <c r="CH1272" s="314"/>
      <c r="CI1272" s="314"/>
      <c r="CJ1272" s="314"/>
      <c r="CK1272" s="314"/>
      <c r="CL1272" s="314"/>
      <c r="CM1272" s="314"/>
      <c r="CN1272" s="314"/>
      <c r="CO1272" s="314"/>
      <c r="CP1272" s="314"/>
      <c r="CQ1272" s="369" t="b">
        <f>OR(CQ1270,Y1272=EUconst_NA)</f>
        <v>0</v>
      </c>
    </row>
    <row r="1273" spans="1:95" ht="12.75" customHeight="1" thickBot="1" x14ac:dyDescent="0.3">
      <c r="A1273" s="307"/>
      <c r="B1273" s="68"/>
      <c r="C1273" s="199" t="s">
        <v>14</v>
      </c>
      <c r="D1273" s="344" t="str">
        <f>Translations!$B$358</f>
        <v>(prelim) EF:</v>
      </c>
      <c r="E1273" s="345"/>
      <c r="F1273" s="59"/>
      <c r="G1273" s="1256" t="str">
        <f>IF(OR(ISBLANK(F1273),F1273=EUconst_NoTier),"",IF(Z1273=0,EUconst_NotApplicable,IF(ISERROR(Z1273),"",Z1273)))</f>
        <v/>
      </c>
      <c r="H1273" s="1260"/>
      <c r="I1273" s="385" t="str">
        <f>IF(J1273&lt;&gt;"","",AI1273)</f>
        <v/>
      </c>
      <c r="J1273" s="22"/>
      <c r="K1273" s="386" t="str">
        <f>IF(L1273="",AU1273,"")</f>
        <v/>
      </c>
      <c r="L1273" s="58"/>
      <c r="M1273" s="347" t="str">
        <f>IF(AND(E1265&lt;&gt;"",OR(F1273="",COUNT(K1273:L1273)=0),Y1273&lt;&gt;EUconst_NA),EUconst_ERR_Incomplete,IF(COUNTIF(BB1273:BD1273,TRUE)&gt;0,EUconst_ERR_Inconsistent,""))</f>
        <v/>
      </c>
      <c r="N1273" s="387"/>
      <c r="O1273" s="160"/>
      <c r="P1273" s="109"/>
      <c r="Q1273" s="312"/>
      <c r="R1273" s="312"/>
      <c r="S1273" s="314"/>
      <c r="T1273" s="388" t="str">
        <f>EUconst_CNTR_EF&amp;E1265</f>
        <v>EF_</v>
      </c>
      <c r="U1273" s="312"/>
      <c r="V1273" s="389" t="str">
        <f>V1270</f>
        <v/>
      </c>
      <c r="W1273" s="314"/>
      <c r="X1273" s="312"/>
      <c r="Y1273" s="390" t="str">
        <f>IF(E1265="","",IF(OR(F1273=EUconst_NA,W1273=TRUE),EUconst_NA,INDEX(EUwideConstants!$P$164:$P$200,MATCH(T1273,EUwideConstants!$S$164:$S$200,0))))</f>
        <v/>
      </c>
      <c r="Z1273" s="391" t="str">
        <f>IF(ISBLANK(F1273),"",IF(F1273=EUconst_NA,"",INDEX(EUwideConstants!$H:$O,MATCH(T1273,EUwideConstants!$S:$S,0),MATCH(F1273,CNTR_TierList,0))))</f>
        <v/>
      </c>
      <c r="AA1273" s="392" t="str">
        <f>IF(COUNTIF(EUconst_DefaultValues,Z1273)&gt;0,MATCH(Z1273,EUconst_DefaultValues,0),"")</f>
        <v/>
      </c>
      <c r="AB1273" s="314"/>
      <c r="AC1273" s="393" t="b">
        <f>AND(AC1270,Y1273&lt;&gt;EUconst_NA)</f>
        <v>0</v>
      </c>
      <c r="AD1273" s="314"/>
      <c r="AE1273" s="394" t="str">
        <f>EUconst_CNTR_EF&amp;EUconst_Unit</f>
        <v>EF_Unit</v>
      </c>
      <c r="AF1273" s="395" t="str">
        <f>IF(AC1273=TRUE, IF(COUNTIF(MSPara_SourceStreamCategory,V1273)=0,"",INDEX(MSPara_CalcFactorsMatrix,MATCH(V1273,MSPara_SourceStreamCategory,0),MATCH(AE1273&amp;"_"&amp;2,MSPara_CalcFactors,0))),"")</f>
        <v/>
      </c>
      <c r="AG1273" s="396" t="str">
        <f>IF(AC1273=TRUE, IF(COUNTIF(MSPara_SourceStreamCategory,V1273)=0,"",INDEX(MSPara_CalcFactorsMatrix,MATCH(V1273,MSPara_SourceStreamCategory,0),MATCH(AE1273&amp;"_"&amp;1,MSPara_CalcFactors,0))),"")</f>
        <v/>
      </c>
      <c r="AH1273" s="397" t="str">
        <f>IF(AA1273="","",INDEX(AF1273:AG1273,3-AA1273))</f>
        <v/>
      </c>
      <c r="AI1273" s="397" t="str">
        <f>IF(AC1273=TRUE,IF(OR(AH1273="",AH1273=EUconst_NA),EUconst_tCO2&amp;"/"&amp;IF(AN1272=EUconst_NA,AN1270,IF(AN1272=EUconst_GJ,EUconst_TJ,AN1272)),AH1273),"")</f>
        <v/>
      </c>
      <c r="AJ1273" s="397" t="str">
        <f>IF(J1273="",AI1273,J1273)</f>
        <v/>
      </c>
      <c r="AK1273" s="398" t="b">
        <f>AND(E1265&lt;&gt;"",J1273&lt;&gt;"")</f>
        <v>0</v>
      </c>
      <c r="AL1273" s="326"/>
      <c r="AM1273" s="358" t="s">
        <v>153</v>
      </c>
      <c r="AN1273" s="359" t="str">
        <f>IF(COUNTIF(RFAUnits,AN1270)=0,EUconst_NA,INDEX(EUwideConstants!$C$150:$H$154,MATCH(AJ1273,EFUnits,0),MATCH(AN1270,EUwideConstants!$C$149:$H$149,0)))</f>
        <v>n.a.</v>
      </c>
      <c r="AO1273" s="359" t="b">
        <f>AN1273&lt;&gt;EUconst_NA</f>
        <v>0</v>
      </c>
      <c r="AP1273" s="326"/>
      <c r="AQ1273" s="399" t="str">
        <f>EUconst_CNTR_EF&amp;EUconst_Value</f>
        <v>EF_Value</v>
      </c>
      <c r="AR1273" s="400" t="str">
        <f>IF(AC1273=TRUE,IF(COUNTIF(MSPara_SourceStreamCategory,V1273)=0,"",INDEX(MSPara_CalcFactorsMatrix,MATCH(V1273,MSPara_SourceStreamCategory,0),MATCH(AQ1273&amp;"_"&amp;2,MSPara_CalcFactors,0))),"")</f>
        <v/>
      </c>
      <c r="AS1273" s="401" t="str">
        <f>IF(AC1273=TRUE,IF(COUNTIF(MSPara_SourceStreamCategory,V1273)=0,"",INDEX(MSPara_CalcFactorsMatrix,MATCH(V1273,MSPara_SourceStreamCategory,0),MATCH(AQ1273&amp;"_"&amp;1,MSPara_CalcFactors,0))),"")</f>
        <v/>
      </c>
      <c r="AT1273" s="402" t="b">
        <f>AND(AND(AH1273&lt;&gt;"",AJ1273&lt;&gt;""),AJ1273=AH1273)</f>
        <v>0</v>
      </c>
      <c r="AU1273" s="403" t="str">
        <f>IF(AND(AA1273&lt;&gt;"",AT1273=TRUE),IF(OR(INDEX(AR1273:AS1273,3-AA1273)=EUconst_NA,INDEX(AR1273:AS1273,3-AA1273)=0),"",INDEX(AR1273:AS1273,3-AA1273)),"")</f>
        <v/>
      </c>
      <c r="AV1273" s="393">
        <f>IF(AC1273=TRUE,IF(COUNT(K1273:L1273)=0,0,IF(L1273="",K1273,L1273)),0)</f>
        <v>0</v>
      </c>
      <c r="AW1273" s="389" t="b">
        <f t="shared" si="387"/>
        <v>0</v>
      </c>
      <c r="AX1273" s="404" t="b">
        <f t="shared" si="388"/>
        <v>0</v>
      </c>
      <c r="AY1273" s="314"/>
      <c r="AZ1273" s="405" t="b">
        <f t="shared" si="389"/>
        <v>0</v>
      </c>
      <c r="BA1273" s="406" t="b">
        <f t="shared" si="390"/>
        <v>0</v>
      </c>
      <c r="BB1273" s="407" t="b">
        <f>AND(E1265&lt;&gt;"",COUNTIF(AO1273:AO1274,TRUE)=0)</f>
        <v>0</v>
      </c>
      <c r="BC1273" s="389" t="b">
        <f t="shared" si="391"/>
        <v>0</v>
      </c>
      <c r="BD1273" s="314"/>
      <c r="BE1273" s="314"/>
      <c r="BF1273" s="408" t="s">
        <v>154</v>
      </c>
      <c r="BG1273" s="409" t="str">
        <f>IF(COUNTIF(AO1273:AO1274,TRUE)=0,"",BH1273*AV1281)</f>
        <v/>
      </c>
      <c r="BH1273" s="409" t="str">
        <f>IF(COUNTIF(AO1273:AO1274,TRUE)=0,"",AV1270*IF(AO1273,1,AV1272*AN1274)*AV1273*AV1275)</f>
        <v/>
      </c>
      <c r="BI1273" s="314"/>
      <c r="BJ1273" s="314"/>
      <c r="BK1273" s="314"/>
      <c r="BL1273" s="314"/>
      <c r="BM1273" s="314"/>
      <c r="BN1273" s="314"/>
      <c r="BO1273" s="314"/>
      <c r="BP1273" s="314"/>
      <c r="BQ1273" s="314"/>
      <c r="BR1273" s="314"/>
      <c r="BS1273" s="314"/>
      <c r="BT1273" s="314"/>
      <c r="BU1273" s="314"/>
      <c r="BV1273" s="314"/>
      <c r="BW1273" s="314"/>
      <c r="BX1273" s="314"/>
      <c r="BY1273" s="314"/>
      <c r="BZ1273" s="314"/>
      <c r="CA1273" s="314"/>
      <c r="CB1273" s="314"/>
      <c r="CC1273" s="314"/>
      <c r="CD1273" s="314"/>
      <c r="CE1273" s="314"/>
      <c r="CF1273" s="314"/>
      <c r="CG1273" s="314"/>
      <c r="CH1273" s="314"/>
      <c r="CI1273" s="314"/>
      <c r="CJ1273" s="314"/>
      <c r="CK1273" s="314"/>
      <c r="CL1273" s="314"/>
      <c r="CM1273" s="314"/>
      <c r="CN1273" s="314"/>
      <c r="CO1273" s="314"/>
      <c r="CP1273" s="314"/>
      <c r="CQ1273" s="407" t="b">
        <f>OR(CQ1270,Y1273=EUconst_NA)</f>
        <v>0</v>
      </c>
    </row>
    <row r="1274" spans="1:95" ht="12.75" customHeight="1" x14ac:dyDescent="0.25">
      <c r="A1274" s="307"/>
      <c r="B1274" s="68"/>
      <c r="C1274" s="199" t="s">
        <v>15</v>
      </c>
      <c r="D1274" s="344" t="str">
        <f>Translations!$B$362</f>
        <v>BioF:</v>
      </c>
      <c r="E1274" s="345"/>
      <c r="F1274" s="10"/>
      <c r="G1274" s="1256" t="str">
        <f>IF(OR(ISBLANK(F1274),F1274=EUconst_NoTier),"",IF(Z1274=0,EUconst_NotApplicable,IF(ISERROR(Z1274),"",Z1274)))</f>
        <v/>
      </c>
      <c r="H1274" s="1257"/>
      <c r="I1274" s="410" t="str">
        <f t="shared" ref="I1274:I1279" si="392">IF(OR(AC1274=FALSE,Y1274=EUconst_NA),"","-")</f>
        <v/>
      </c>
      <c r="J1274" s="411"/>
      <c r="K1274" s="412" t="str">
        <f>IF(L1274="",AU1274,"")</f>
        <v/>
      </c>
      <c r="L1274" s="60"/>
      <c r="M1274" s="347" t="str">
        <f>IF(AND(E1265&lt;&gt;"",OR(F1274="",COUNT(K1274:L1274)=0),Y1274&lt;&gt;EUconst_NA),EUconst_ERR_Incomplete,IF(COUNTIF(BB1274:BD1274,TRUE)&gt;0,EUconst_ERR_Inconsistent,""))</f>
        <v/>
      </c>
      <c r="O1274" s="160"/>
      <c r="P1274" s="348"/>
      <c r="Q1274" s="413"/>
      <c r="R1274" s="413"/>
      <c r="S1274" s="314"/>
      <c r="T1274" s="388" t="str">
        <f>EUconst_CNTR_BiomassContent&amp;E1265</f>
        <v>BioC_</v>
      </c>
      <c r="U1274" s="312"/>
      <c r="V1274" s="369" t="str">
        <f>V1272</f>
        <v/>
      </c>
      <c r="W1274" s="369" t="str">
        <f>IF(OR(V1274="",COUNTIF(MSPara_SourceStreamCategory,V1274)=0),"",INDEX(MSPara_IsFossil,MATCH(V1274,MSPara_SourceStreamCategory,0)))</f>
        <v/>
      </c>
      <c r="X1274" s="312"/>
      <c r="Y1274" s="370" t="str">
        <f>IF(E1265="","",IF(OR(F1274=EUconst_NA,W1274=TRUE),EUconst_NA,INDEX(EUwideConstants!$P$164:$P$200,MATCH(T1274,EUwideConstants!$S$164:$S$200,0))))</f>
        <v/>
      </c>
      <c r="Z1274" s="371" t="str">
        <f>IF(ISBLANK(F1274),"",IF(F1274=EUconst_NA,"",INDEX(EUwideConstants!$H:$O,MATCH(T1274,EUwideConstants!$S:$S,0),MATCH(F1274,CNTR_TierList,0))))</f>
        <v/>
      </c>
      <c r="AA1274" s="414" t="str">
        <f>IF(F1274=1,1,"")</f>
        <v/>
      </c>
      <c r="AB1274" s="314"/>
      <c r="AC1274" s="373" t="b">
        <f>AND(AC1270,Y1274&lt;&gt;EUconst_NA)</f>
        <v>0</v>
      </c>
      <c r="AD1274" s="314"/>
      <c r="AE1274" s="415"/>
      <c r="AF1274" s="416"/>
      <c r="AG1274" s="417"/>
      <c r="AH1274" s="418"/>
      <c r="AI1274" s="418"/>
      <c r="AJ1274" s="418"/>
      <c r="AK1274" s="419"/>
      <c r="AL1274" s="326"/>
      <c r="AM1274" s="358" t="s">
        <v>155</v>
      </c>
      <c r="AN1274" s="359" t="str">
        <f>IF(AN1272=EUconst_NA,EUconst_NA,INDEX(EUwideConstants!$C$150:$H$154,MATCH(AJ1273,EFUnits,0),MATCH(AN1272,EUwideConstants!$C$149:$H$149,0)))</f>
        <v>n.a.</v>
      </c>
      <c r="AO1274" s="359" t="b">
        <f>AN1274&lt;&gt;EUconst_NA</f>
        <v>0</v>
      </c>
      <c r="AP1274" s="326"/>
      <c r="AQ1274" s="376" t="str">
        <f>EUconst_CNTR_BiomassContent&amp;EUconst_Value</f>
        <v>BioC_Value</v>
      </c>
      <c r="AR1274" s="420"/>
      <c r="AS1274" s="378" t="str">
        <f t="shared" ref="AS1274:AS1279" si="393">IF(AC1274=TRUE,IF(COUNTIF(MSPara_SourceStreamCategory,V1274)=0,"",INDEX(MSPara_CalcFactorsMatrix,MATCH(V1274,MSPara_SourceStreamCategory,0),MATCH(AQ1274&amp;"_"&amp;2,MSPara_CalcFactors,0))),"")</f>
        <v/>
      </c>
      <c r="AT1274" s="421"/>
      <c r="AU1274" s="380" t="str">
        <f t="shared" ref="AU1274:AU1279" si="394">IF(OR(AA1274="",AS1274=EUconst_NA),"",AS1274)</f>
        <v/>
      </c>
      <c r="AV1274" s="373">
        <f>IF(AC1274=TRUE,IF(COUNT(K1274:L1274)=0,0,IF(L1274="",K1274,L1274)),0)</f>
        <v>0</v>
      </c>
      <c r="AW1274" s="369" t="b">
        <f t="shared" si="387"/>
        <v>0</v>
      </c>
      <c r="AX1274" s="381" t="b">
        <f t="shared" si="388"/>
        <v>0</v>
      </c>
      <c r="AY1274" s="314"/>
      <c r="AZ1274" s="382" t="b">
        <f t="shared" si="389"/>
        <v>0</v>
      </c>
      <c r="BA1274" s="383" t="b">
        <f t="shared" si="390"/>
        <v>0</v>
      </c>
      <c r="BB1274" s="314"/>
      <c r="BC1274" s="369" t="b">
        <f t="shared" si="391"/>
        <v>0</v>
      </c>
      <c r="BD1274" s="369" t="b">
        <f>OR(AV1274&gt;100%,(AV1274+AV1275)&gt;100%)</f>
        <v>0</v>
      </c>
      <c r="BE1274" s="314"/>
      <c r="BF1274" s="382" t="s">
        <v>156</v>
      </c>
      <c r="BG1274" s="384" t="str">
        <f>IF(COUNTIF(AO1273:AO1274,TRUE)=0,"",BH1274*AV1281)</f>
        <v/>
      </c>
      <c r="BH1274" s="384" t="str">
        <f>IF(COUNTIF(AO1273:AO1274,TRUE)=0,"",AV1270*IF(AO1273,1,AV1272*AN1274)*AV1273*AV1276)</f>
        <v/>
      </c>
      <c r="BJ1274" s="314"/>
      <c r="BK1274" s="314"/>
      <c r="BL1274" s="314"/>
      <c r="BM1274" s="314"/>
      <c r="BN1274" s="314"/>
      <c r="BO1274" s="314"/>
      <c r="BP1274" s="314"/>
      <c r="BQ1274" s="314"/>
      <c r="BR1274" s="314"/>
      <c r="BS1274" s="314"/>
      <c r="BT1274" s="314"/>
      <c r="BU1274" s="314"/>
      <c r="BV1274" s="314"/>
      <c r="BW1274" s="314"/>
      <c r="BX1274" s="314"/>
      <c r="BY1274" s="314"/>
      <c r="BZ1274" s="314"/>
      <c r="CA1274" s="314"/>
      <c r="CB1274" s="314"/>
      <c r="CC1274" s="314"/>
      <c r="CD1274" s="314"/>
      <c r="CE1274" s="314"/>
      <c r="CF1274" s="314"/>
      <c r="CG1274" s="314"/>
      <c r="CH1274" s="314"/>
      <c r="CI1274" s="314"/>
      <c r="CJ1274" s="314"/>
      <c r="CK1274" s="314"/>
      <c r="CL1274" s="314"/>
      <c r="CM1274" s="314"/>
      <c r="CN1274" s="314"/>
      <c r="CO1274" s="314"/>
      <c r="CP1274" s="314"/>
      <c r="CQ1274" s="369" t="b">
        <f>OR(CQ1270,Y1274=EUconst_NA)</f>
        <v>0</v>
      </c>
    </row>
    <row r="1275" spans="1:95" ht="12.75" customHeight="1" thickBot="1" x14ac:dyDescent="0.3">
      <c r="A1275" s="307"/>
      <c r="B1275" s="68"/>
      <c r="C1275" s="199" t="s">
        <v>16</v>
      </c>
      <c r="D1275" s="344" t="str">
        <f>Translations!$B$368</f>
        <v>non-sust. BioF:</v>
      </c>
      <c r="E1275" s="345"/>
      <c r="F1275" s="20"/>
      <c r="G1275" s="1256" t="str">
        <f>IF(OR(ISBLANK(F1275),F1275=EUconst_NoTier),"",IF(Z1275=0,EUconst_NotApplicable,IF(ISERROR(Z1275),"",Z1275)))</f>
        <v/>
      </c>
      <c r="H1275" s="1257"/>
      <c r="I1275" s="422" t="str">
        <f t="shared" si="392"/>
        <v/>
      </c>
      <c r="J1275" s="423"/>
      <c r="K1275" s="424" t="str">
        <f>IF(L1275="",AU1275,"")</f>
        <v/>
      </c>
      <c r="L1275" s="21"/>
      <c r="M1275" s="347" t="str">
        <f>IF(AND(E1265&lt;&gt;"",OR(F1275="",COUNT(K1275:L1275)=0),Y1275&lt;&gt;EUconst_NA),EUconst_ERR_Incomplete,IF(COUNTIF(BB1275:BD1275,TRUE)&gt;0,EUconst_ERR_Inconsistent,""))</f>
        <v/>
      </c>
      <c r="N1275" s="76"/>
      <c r="O1275" s="160"/>
      <c r="P1275" s="348"/>
      <c r="Q1275" s="413"/>
      <c r="R1275" s="413"/>
      <c r="S1275" s="314"/>
      <c r="T1275" s="425" t="str">
        <f>EUconst_CNTR_BiomassContent&amp;E1265</f>
        <v>BioC_</v>
      </c>
      <c r="U1275" s="312"/>
      <c r="V1275" s="407" t="str">
        <f>V1274</f>
        <v/>
      </c>
      <c r="W1275" s="407" t="str">
        <f>IF(OR(V1274="",COUNTIF(MSPara_SourceStreamCategory,V1275)=0),"",INDEX(MSPara_IsFossil,MATCH(V1275,MSPara_SourceStreamCategory,0)))</f>
        <v/>
      </c>
      <c r="X1275" s="312"/>
      <c r="Y1275" s="426" t="str">
        <f>IF(E1265="","",IF(OR(F1275=EUconst_NA,W1275=TRUE),EUconst_NA,INDEX(EUwideConstants!$P$164:$P$200,MATCH(T1275,EUwideConstants!$S$164:$S$200,0))))</f>
        <v/>
      </c>
      <c r="Z1275" s="427" t="str">
        <f>IF(ISBLANK(F1275),"",IF(F1275=EUconst_NA,"",INDEX(EUwideConstants!$H:$O,MATCH(T1275,EUwideConstants!$S:$S,0),MATCH(F1275,CNTR_TierList,0))))</f>
        <v/>
      </c>
      <c r="AA1275" s="428" t="str">
        <f>IF(F1275=1,1,"")</f>
        <v/>
      </c>
      <c r="AB1275" s="314"/>
      <c r="AC1275" s="429" t="b">
        <f>AND(AC1270,Y1275&lt;&gt;EUconst_NA)</f>
        <v>0</v>
      </c>
      <c r="AD1275" s="314"/>
      <c r="AE1275" s="430"/>
      <c r="AF1275" s="431"/>
      <c r="AG1275" s="432"/>
      <c r="AH1275" s="433"/>
      <c r="AI1275" s="433"/>
      <c r="AJ1275" s="433"/>
      <c r="AK1275" s="434"/>
      <c r="AL1275" s="326"/>
      <c r="AM1275" s="326"/>
      <c r="AN1275" s="326"/>
      <c r="AO1275" s="326"/>
      <c r="AP1275" s="326"/>
      <c r="AQ1275" s="435" t="str">
        <f>EUconst_CNTR_BiomassContent&amp;EUconst_Value</f>
        <v>BioC_Value</v>
      </c>
      <c r="AR1275" s="430"/>
      <c r="AS1275" s="436" t="str">
        <f t="shared" si="393"/>
        <v/>
      </c>
      <c r="AT1275" s="437"/>
      <c r="AU1275" s="438" t="str">
        <f t="shared" si="394"/>
        <v/>
      </c>
      <c r="AV1275" s="429">
        <f>IF(AC1275=TRUE,IF(COUNT(K1275:L1275)=0,0,IF(L1275="",K1275,L1275)),0)</f>
        <v>0</v>
      </c>
      <c r="AW1275" s="407" t="b">
        <f t="shared" si="387"/>
        <v>0</v>
      </c>
      <c r="AX1275" s="439" t="b">
        <f t="shared" si="388"/>
        <v>0</v>
      </c>
      <c r="AY1275" s="314"/>
      <c r="AZ1275" s="408" t="b">
        <f t="shared" si="389"/>
        <v>0</v>
      </c>
      <c r="BA1275" s="440" t="b">
        <f t="shared" si="390"/>
        <v>0</v>
      </c>
      <c r="BB1275" s="314"/>
      <c r="BC1275" s="407" t="b">
        <f t="shared" si="391"/>
        <v>0</v>
      </c>
      <c r="BD1275" s="407" t="b">
        <f>OR(AV1274&gt;100%,(AV1274+AV1275)&gt;100%)</f>
        <v>0</v>
      </c>
      <c r="BE1275" s="314"/>
      <c r="BF1275" s="408" t="s">
        <v>157</v>
      </c>
      <c r="BG1275" s="409" t="str">
        <f>IF(COUNTIF(AO1273:AO1274,TRUE)=0,"",BH1275*AV1281)</f>
        <v/>
      </c>
      <c r="BH1275" s="409" t="str">
        <f>IF(COUNTIF(AO1273:AO1274,TRUE)=0,"",AV1270*IF(AO1273,1,AV1272*AN1274)*AV1273*AV1277)</f>
        <v/>
      </c>
      <c r="BJ1275" s="314"/>
      <c r="BK1275" s="314"/>
      <c r="BL1275" s="314"/>
      <c r="BM1275" s="314"/>
      <c r="BN1275" s="314"/>
      <c r="BO1275" s="314"/>
      <c r="BP1275" s="314"/>
      <c r="BQ1275" s="314"/>
      <c r="BR1275" s="314"/>
      <c r="BS1275" s="314"/>
      <c r="BT1275" s="314"/>
      <c r="BU1275" s="314"/>
      <c r="BV1275" s="314"/>
      <c r="BW1275" s="314"/>
      <c r="BX1275" s="314"/>
      <c r="BY1275" s="314"/>
      <c r="BZ1275" s="314"/>
      <c r="CA1275" s="314"/>
      <c r="CB1275" s="314"/>
      <c r="CC1275" s="314"/>
      <c r="CD1275" s="314"/>
      <c r="CE1275" s="314"/>
      <c r="CF1275" s="314"/>
      <c r="CG1275" s="314"/>
      <c r="CH1275" s="314"/>
      <c r="CI1275" s="314"/>
      <c r="CJ1275" s="314"/>
      <c r="CK1275" s="314"/>
      <c r="CL1275" s="314"/>
      <c r="CM1275" s="314"/>
      <c r="CN1275" s="314"/>
      <c r="CO1275" s="314"/>
      <c r="CP1275" s="314"/>
      <c r="CQ1275" s="407" t="b">
        <f>OR(CQ1270,Y1275=EUconst_NA)</f>
        <v>0</v>
      </c>
    </row>
    <row r="1276" spans="1:95" ht="12.75" customHeight="1" thickBot="1" x14ac:dyDescent="0.3">
      <c r="A1276" s="307"/>
      <c r="B1276" s="68"/>
      <c r="C1276" s="199" t="s">
        <v>17</v>
      </c>
      <c r="D1276" s="344" t="str">
        <f>Translations!$B$610</f>
        <v>sust. RFNBO/RCF:</v>
      </c>
      <c r="E1276" s="441"/>
      <c r="F1276" s="19" t="s">
        <v>158</v>
      </c>
      <c r="G1276" s="1261"/>
      <c r="H1276" s="1262"/>
      <c r="I1276" s="442" t="str">
        <f t="shared" si="392"/>
        <v/>
      </c>
      <c r="J1276" s="411"/>
      <c r="K1276" s="443"/>
      <c r="L1276" s="55"/>
      <c r="M1276" s="347" t="str">
        <f>IF(AND(E1265&lt;&gt;"",OR(F1276="",COUNT(L1276)=0),Y1276&lt;&gt;EUconst_NA),EUconst_ERR_Incomplete,"")</f>
        <v/>
      </c>
      <c r="N1276" s="76"/>
      <c r="O1276" s="160"/>
      <c r="P1276" s="348"/>
      <c r="Q1276" s="413"/>
      <c r="R1276" s="413"/>
      <c r="S1276" s="314"/>
      <c r="T1276" s="388" t="str">
        <f>EUconst_CNTR_RFNBOetcContent&amp;E1265</f>
        <v>RNFBOC_</v>
      </c>
      <c r="U1276" s="312"/>
      <c r="V1276" s="312"/>
      <c r="W1276" s="312"/>
      <c r="X1276" s="312"/>
      <c r="Y1276" s="380" t="str">
        <f>IF(E1265="","",IF(OR(F1276=EUconst_NA,W1276=TRUE),EUconst_NA,INDEX(EUwideConstants!$P$164:$P$200,MATCH(T1276,EUwideConstants!$S$164:$S$200,0))))</f>
        <v/>
      </c>
      <c r="Z1276" s="314"/>
      <c r="AA1276" s="314"/>
      <c r="AB1276" s="314"/>
      <c r="AC1276" s="397" t="b">
        <f>AND(AC1272,Y1276&lt;&gt;EUconst_NA)</f>
        <v>0</v>
      </c>
      <c r="AD1276" s="314"/>
      <c r="AE1276" s="415"/>
      <c r="AF1276" s="416"/>
      <c r="AG1276" s="417"/>
      <c r="AH1276" s="418"/>
      <c r="AI1276" s="418"/>
      <c r="AJ1276" s="418"/>
      <c r="AK1276" s="419"/>
      <c r="AL1276" s="326"/>
      <c r="AM1276" s="326"/>
      <c r="AN1276" s="326"/>
      <c r="AO1276" s="326"/>
      <c r="AP1276" s="326"/>
      <c r="AQ1276" s="444" t="s">
        <v>159</v>
      </c>
      <c r="AR1276" s="415"/>
      <c r="AS1276" s="445" t="str">
        <f t="shared" si="393"/>
        <v/>
      </c>
      <c r="AT1276" s="446"/>
      <c r="AU1276" s="447" t="str">
        <f t="shared" si="394"/>
        <v/>
      </c>
      <c r="AV1276" s="397">
        <f>IF(L1276&lt;&gt;0,L1276,L1276)</f>
        <v>0</v>
      </c>
      <c r="AW1276" s="398" t="b">
        <f t="shared" si="387"/>
        <v>0</v>
      </c>
      <c r="AX1276" s="448" t="b">
        <f t="shared" si="388"/>
        <v>0</v>
      </c>
      <c r="AY1276" s="314"/>
      <c r="AZ1276" s="449" t="b">
        <f t="shared" si="389"/>
        <v>0</v>
      </c>
      <c r="BA1276" s="450" t="b">
        <f t="shared" si="390"/>
        <v>0</v>
      </c>
      <c r="BB1276" s="314"/>
      <c r="BC1276" s="398" t="b">
        <f t="shared" si="391"/>
        <v>0</v>
      </c>
      <c r="BD1276" s="369" t="b">
        <f>OR(AV1276&gt;100%,(AV1276+AV1277)&gt;100%)</f>
        <v>0</v>
      </c>
      <c r="BE1276" s="314"/>
      <c r="BF1276" s="451" t="s">
        <v>160</v>
      </c>
      <c r="BG1276" s="452" t="str">
        <f>IF(COUNTIF(AO1273:AO1274,TRUE)=0,"",BH1276*AV1281)</f>
        <v/>
      </c>
      <c r="BH1276" s="452" t="str">
        <f>IF(COUNTIF(AO1273:AO1274,TRUE)=0,"",AV1270*IF(AO1273,1,AV1272*AN1274)*AV1273*AV1278)</f>
        <v/>
      </c>
      <c r="BJ1276" s="314"/>
      <c r="BK1276" s="314"/>
      <c r="BL1276" s="314"/>
      <c r="BM1276" s="314"/>
      <c r="BN1276" s="314"/>
      <c r="BO1276" s="314"/>
      <c r="BP1276" s="314"/>
      <c r="BQ1276" s="314"/>
      <c r="BR1276" s="314"/>
      <c r="BS1276" s="314"/>
      <c r="BT1276" s="314"/>
      <c r="BU1276" s="314"/>
      <c r="BV1276" s="314"/>
      <c r="BW1276" s="314"/>
      <c r="BX1276" s="314"/>
      <c r="BY1276" s="314"/>
      <c r="BZ1276" s="314"/>
      <c r="CA1276" s="314"/>
      <c r="CB1276" s="314"/>
      <c r="CC1276" s="314"/>
      <c r="CD1276" s="314"/>
      <c r="CE1276" s="314"/>
      <c r="CF1276" s="314"/>
      <c r="CG1276" s="314"/>
      <c r="CH1276" s="314"/>
      <c r="CI1276" s="314"/>
      <c r="CJ1276" s="314"/>
      <c r="CK1276" s="314"/>
      <c r="CL1276" s="314"/>
      <c r="CM1276" s="314"/>
      <c r="CN1276" s="314"/>
      <c r="CO1276" s="314"/>
      <c r="CP1276" s="314"/>
      <c r="CQ1276" s="407" t="b">
        <f>OR(CQ1270,Y1276=EUconst_NA)</f>
        <v>0</v>
      </c>
    </row>
    <row r="1277" spans="1:95" ht="12.75" customHeight="1" thickBot="1" x14ac:dyDescent="0.3">
      <c r="A1277" s="307"/>
      <c r="B1277" s="68"/>
      <c r="C1277" s="199" t="s">
        <v>161</v>
      </c>
      <c r="D1277" s="344" t="str">
        <f>Translations!$B$613</f>
        <v>non-sust. RFNBO/RCF:</v>
      </c>
      <c r="E1277" s="441"/>
      <c r="F1277" s="20" t="s">
        <v>158</v>
      </c>
      <c r="G1277" s="1261"/>
      <c r="H1277" s="1262"/>
      <c r="I1277" s="422" t="str">
        <f t="shared" si="392"/>
        <v/>
      </c>
      <c r="J1277" s="423"/>
      <c r="K1277" s="443"/>
      <c r="L1277" s="56"/>
      <c r="M1277" s="347" t="str">
        <f>IF(AND(E1265&lt;&gt;"",OR(F1277="",COUNT(L1277)=0),Y1277&lt;&gt;EUconst_NA),EUconst_ERR_Incomplete,"")</f>
        <v/>
      </c>
      <c r="N1277" s="76"/>
      <c r="O1277" s="160"/>
      <c r="P1277" s="348"/>
      <c r="Q1277" s="413"/>
      <c r="R1277" s="413"/>
      <c r="S1277" s="314"/>
      <c r="T1277" s="425" t="str">
        <f>EUconst_CNTR_RFNBOetcContent&amp;E1265</f>
        <v>RNFBOC_</v>
      </c>
      <c r="U1277" s="312"/>
      <c r="V1277" s="312"/>
      <c r="W1277" s="312"/>
      <c r="X1277" s="312"/>
      <c r="Y1277" s="438" t="str">
        <f>IF(E1265="","",IF(OR(F1277=EUconst_NA,W1277=TRUE),EUconst_NA,INDEX(EUwideConstants!$P$164:$P$200,MATCH(T1277,EUwideConstants!$S$164:$S$200,0))))</f>
        <v/>
      </c>
      <c r="Z1277" s="314"/>
      <c r="AA1277" s="314"/>
      <c r="AB1277" s="314"/>
      <c r="AC1277" s="429" t="b">
        <f>AND(AC1272,Y1277&lt;&gt;EUconst_NA)</f>
        <v>0</v>
      </c>
      <c r="AD1277" s="314"/>
      <c r="AE1277" s="430"/>
      <c r="AF1277" s="431"/>
      <c r="AG1277" s="432"/>
      <c r="AH1277" s="433"/>
      <c r="AI1277" s="433"/>
      <c r="AJ1277" s="433"/>
      <c r="AK1277" s="434"/>
      <c r="AL1277" s="326"/>
      <c r="AM1277" s="326"/>
      <c r="AN1277" s="326"/>
      <c r="AO1277" s="326"/>
      <c r="AP1277" s="326"/>
      <c r="AQ1277" s="435" t="s">
        <v>159</v>
      </c>
      <c r="AR1277" s="430"/>
      <c r="AS1277" s="436" t="str">
        <f t="shared" si="393"/>
        <v/>
      </c>
      <c r="AT1277" s="437"/>
      <c r="AU1277" s="438" t="str">
        <f t="shared" si="394"/>
        <v/>
      </c>
      <c r="AV1277" s="429">
        <f t="shared" ref="AV1277:AV1279" si="395">IF(L1277&lt;&gt;0,L1277,L1277)</f>
        <v>0</v>
      </c>
      <c r="AW1277" s="407" t="b">
        <f t="shared" si="387"/>
        <v>0</v>
      </c>
      <c r="AX1277" s="439" t="b">
        <f t="shared" si="388"/>
        <v>0</v>
      </c>
      <c r="AY1277" s="314"/>
      <c r="AZ1277" s="408" t="b">
        <f t="shared" si="389"/>
        <v>0</v>
      </c>
      <c r="BA1277" s="440" t="b">
        <f t="shared" si="390"/>
        <v>0</v>
      </c>
      <c r="BB1277" s="314"/>
      <c r="BC1277" s="407" t="b">
        <f t="shared" si="391"/>
        <v>0</v>
      </c>
      <c r="BD1277" s="407" t="b">
        <f>OR(AV1276&gt;100%,(AV1276+AV1277)&gt;100%)</f>
        <v>0</v>
      </c>
      <c r="BE1277" s="314"/>
      <c r="BF1277" s="408" t="s">
        <v>162</v>
      </c>
      <c r="BG1277" s="409" t="str">
        <f>IF(COUNTIF(AO1273:AO1274,TRUE)=0,"",BH1277*AV1281)</f>
        <v/>
      </c>
      <c r="BH1277" s="409" t="str">
        <f>IF(COUNTIF(AO1273:AO1274,TRUE)=0,"",AV1270*IF(AO1273,1,AV1272*AN1274)*AV1273*AV1279)</f>
        <v/>
      </c>
      <c r="BJ1277" s="314"/>
      <c r="BK1277" s="314"/>
      <c r="BL1277" s="314"/>
      <c r="BM1277" s="314"/>
      <c r="BN1277" s="314"/>
      <c r="BO1277" s="314"/>
      <c r="BP1277" s="314"/>
      <c r="BQ1277" s="314"/>
      <c r="BR1277" s="314"/>
      <c r="BS1277" s="314"/>
      <c r="BT1277" s="314"/>
      <c r="BU1277" s="314"/>
      <c r="BV1277" s="314"/>
      <c r="BW1277" s="314"/>
      <c r="BX1277" s="314"/>
      <c r="BY1277" s="314"/>
      <c r="BZ1277" s="314"/>
      <c r="CA1277" s="314"/>
      <c r="CB1277" s="314"/>
      <c r="CC1277" s="314"/>
      <c r="CD1277" s="314"/>
      <c r="CE1277" s="314"/>
      <c r="CF1277" s="314"/>
      <c r="CG1277" s="314"/>
      <c r="CH1277" s="314"/>
      <c r="CI1277" s="314"/>
      <c r="CJ1277" s="314"/>
      <c r="CK1277" s="314"/>
      <c r="CL1277" s="314"/>
      <c r="CM1277" s="314"/>
      <c r="CN1277" s="314"/>
      <c r="CO1277" s="314"/>
      <c r="CP1277" s="314"/>
      <c r="CQ1277" s="407" t="b">
        <f>OR(CQ1270,Y1277=EUconst_NA)</f>
        <v>0</v>
      </c>
    </row>
    <row r="1278" spans="1:95" ht="12.75" customHeight="1" thickBot="1" x14ac:dyDescent="0.3">
      <c r="A1278" s="307"/>
      <c r="B1278" s="68"/>
      <c r="C1278" s="199" t="s">
        <v>163</v>
      </c>
      <c r="D1278" s="344" t="str">
        <f>Translations!$B$615</f>
        <v>sust. SLCF:</v>
      </c>
      <c r="E1278" s="441"/>
      <c r="F1278" s="19" t="s">
        <v>158</v>
      </c>
      <c r="G1278" s="1261"/>
      <c r="H1278" s="1262"/>
      <c r="I1278" s="442" t="str">
        <f t="shared" si="392"/>
        <v/>
      </c>
      <c r="J1278" s="411"/>
      <c r="K1278" s="443"/>
      <c r="L1278" s="57"/>
      <c r="M1278" s="347" t="str">
        <f>IF(AND(E1265&lt;&gt;"",OR(F1278="",COUNT(L1278)=0),Y1278&lt;&gt;EUconst_NA),EUconst_ERR_Incomplete,"")</f>
        <v/>
      </c>
      <c r="N1278" s="76"/>
      <c r="O1278" s="160"/>
      <c r="P1278" s="348"/>
      <c r="Q1278" s="413"/>
      <c r="R1278" s="413"/>
      <c r="S1278" s="314"/>
      <c r="T1278" s="388" t="str">
        <f>EUconst_CNTR_RFNBOetcContent&amp;E1265</f>
        <v>RNFBOC_</v>
      </c>
      <c r="U1278" s="312"/>
      <c r="V1278" s="312"/>
      <c r="W1278" s="312"/>
      <c r="X1278" s="312"/>
      <c r="Y1278" s="447" t="str">
        <f>IF(E1265="","",IF(OR(F1278=EUconst_NA,W1278=TRUE),EUconst_NA,INDEX(EUwideConstants!$P$164:$P$200,MATCH(T1278,EUwideConstants!$S$164:$S$200,0))))</f>
        <v/>
      </c>
      <c r="Z1278" s="314"/>
      <c r="AA1278" s="314"/>
      <c r="AB1278" s="314"/>
      <c r="AC1278" s="397" t="b">
        <f>AND(AC1274,Y1278&lt;&gt;EUconst_NA)</f>
        <v>0</v>
      </c>
      <c r="AD1278" s="314"/>
      <c r="AE1278" s="415"/>
      <c r="AF1278" s="416"/>
      <c r="AG1278" s="417"/>
      <c r="AH1278" s="418"/>
      <c r="AI1278" s="418"/>
      <c r="AJ1278" s="418"/>
      <c r="AK1278" s="419"/>
      <c r="AL1278" s="326"/>
      <c r="AM1278" s="326"/>
      <c r="AN1278" s="326"/>
      <c r="AO1278" s="326"/>
      <c r="AP1278" s="326"/>
      <c r="AQ1278" s="444" t="s">
        <v>159</v>
      </c>
      <c r="AR1278" s="415"/>
      <c r="AS1278" s="445" t="str">
        <f t="shared" si="393"/>
        <v/>
      </c>
      <c r="AT1278" s="446"/>
      <c r="AU1278" s="447" t="str">
        <f t="shared" si="394"/>
        <v/>
      </c>
      <c r="AV1278" s="397">
        <f t="shared" si="395"/>
        <v>0</v>
      </c>
      <c r="AW1278" s="398" t="b">
        <f t="shared" si="387"/>
        <v>0</v>
      </c>
      <c r="AX1278" s="448" t="b">
        <f t="shared" si="388"/>
        <v>0</v>
      </c>
      <c r="AY1278" s="314"/>
      <c r="AZ1278" s="449" t="b">
        <f t="shared" si="389"/>
        <v>0</v>
      </c>
      <c r="BA1278" s="450" t="b">
        <f t="shared" si="390"/>
        <v>0</v>
      </c>
      <c r="BB1278" s="314"/>
      <c r="BC1278" s="398" t="b">
        <f t="shared" si="391"/>
        <v>0</v>
      </c>
      <c r="BD1278" s="369" t="b">
        <f>OR(AV1278&gt;100%,(AV1278+AV1279)&gt;100%)</f>
        <v>0</v>
      </c>
      <c r="BE1278" s="314"/>
      <c r="BF1278" s="451" t="s">
        <v>164</v>
      </c>
      <c r="BG1278" s="452">
        <f>IF(AN1270=EUconst_TJ,AV1270*(1-AV1274),IF(AN1272=EUconst_GJ,AV1270*AV1272/1000,0))-SUM(BG1279:BG1285)</f>
        <v>0</v>
      </c>
      <c r="BH1278" s="314"/>
      <c r="BI1278" s="314"/>
      <c r="BJ1278" s="314"/>
      <c r="BK1278" s="314"/>
      <c r="BL1278" s="314"/>
      <c r="BM1278" s="314"/>
      <c r="BN1278" s="314"/>
      <c r="BO1278" s="314"/>
      <c r="BP1278" s="314"/>
      <c r="BQ1278" s="314"/>
      <c r="BR1278" s="314"/>
      <c r="BS1278" s="314"/>
      <c r="BT1278" s="314"/>
      <c r="BU1278" s="314"/>
      <c r="BV1278" s="314"/>
      <c r="BW1278" s="314"/>
      <c r="BX1278" s="314"/>
      <c r="BY1278" s="314"/>
      <c r="BZ1278" s="314"/>
      <c r="CA1278" s="314"/>
      <c r="CB1278" s="314"/>
      <c r="CC1278" s="314"/>
      <c r="CD1278" s="314"/>
      <c r="CE1278" s="314"/>
      <c r="CF1278" s="314"/>
      <c r="CG1278" s="314"/>
      <c r="CH1278" s="314"/>
      <c r="CI1278" s="314"/>
      <c r="CJ1278" s="314"/>
      <c r="CK1278" s="314"/>
      <c r="CL1278" s="314"/>
      <c r="CM1278" s="314"/>
      <c r="CN1278" s="314"/>
      <c r="CO1278" s="314"/>
      <c r="CP1278" s="314"/>
      <c r="CQ1278" s="407" t="b">
        <f>OR(CQ1270,Y1278=EUconst_NA)</f>
        <v>0</v>
      </c>
    </row>
    <row r="1279" spans="1:95" ht="12.75" customHeight="1" thickBot="1" x14ac:dyDescent="0.3">
      <c r="A1279" s="307"/>
      <c r="B1279" s="68"/>
      <c r="C1279" s="199" t="s">
        <v>165</v>
      </c>
      <c r="D1279" s="344" t="str">
        <f>Translations!$B$618</f>
        <v>non-sust. SLCF:</v>
      </c>
      <c r="E1279" s="441"/>
      <c r="F1279" s="20" t="s">
        <v>158</v>
      </c>
      <c r="G1279" s="1261"/>
      <c r="H1279" s="1262"/>
      <c r="I1279" s="422" t="str">
        <f t="shared" si="392"/>
        <v/>
      </c>
      <c r="J1279" s="423"/>
      <c r="K1279" s="443"/>
      <c r="L1279" s="56"/>
      <c r="M1279" s="347" t="str">
        <f>IF(AND(E1265&lt;&gt;"",OR(F1279="",COUNT(L1279)=0),Y1279&lt;&gt;EUconst_NA),EUconst_ERR_Incomplete,"")</f>
        <v/>
      </c>
      <c r="N1279" s="76"/>
      <c r="O1279" s="160"/>
      <c r="P1279" s="348"/>
      <c r="Q1279" s="413"/>
      <c r="R1279" s="413"/>
      <c r="S1279" s="314"/>
      <c r="T1279" s="425" t="str">
        <f>EUconst_CNTR_RFNBOetcContent&amp;E1265</f>
        <v>RNFBOC_</v>
      </c>
      <c r="U1279" s="312"/>
      <c r="V1279" s="312"/>
      <c r="W1279" s="312"/>
      <c r="X1279" s="312"/>
      <c r="Y1279" s="438" t="str">
        <f>IF(E1265="","",IF(OR(F1279=EUconst_NA,W1279=TRUE),EUconst_NA,INDEX(EUwideConstants!$P$164:$P$200,MATCH(T1279,EUwideConstants!$S$164:$S$200,0))))</f>
        <v/>
      </c>
      <c r="Z1279" s="314"/>
      <c r="AA1279" s="314"/>
      <c r="AB1279" s="314"/>
      <c r="AC1279" s="429" t="b">
        <f>AND(AC1274,Y1279&lt;&gt;EUconst_NA)</f>
        <v>0</v>
      </c>
      <c r="AD1279" s="314"/>
      <c r="AE1279" s="430"/>
      <c r="AF1279" s="431"/>
      <c r="AG1279" s="432"/>
      <c r="AH1279" s="433"/>
      <c r="AI1279" s="433"/>
      <c r="AJ1279" s="433"/>
      <c r="AK1279" s="434"/>
      <c r="AL1279" s="326"/>
      <c r="AM1279" s="326"/>
      <c r="AN1279" s="326"/>
      <c r="AO1279" s="326"/>
      <c r="AP1279" s="326"/>
      <c r="AQ1279" s="435" t="s">
        <v>159</v>
      </c>
      <c r="AR1279" s="430"/>
      <c r="AS1279" s="436" t="str">
        <f t="shared" si="393"/>
        <v/>
      </c>
      <c r="AT1279" s="437"/>
      <c r="AU1279" s="438" t="str">
        <f t="shared" si="394"/>
        <v/>
      </c>
      <c r="AV1279" s="429">
        <f t="shared" si="395"/>
        <v>0</v>
      </c>
      <c r="AW1279" s="407" t="b">
        <f t="shared" si="387"/>
        <v>0</v>
      </c>
      <c r="AX1279" s="439" t="b">
        <f t="shared" si="388"/>
        <v>0</v>
      </c>
      <c r="AY1279" s="314"/>
      <c r="AZ1279" s="408" t="b">
        <f t="shared" si="389"/>
        <v>0</v>
      </c>
      <c r="BA1279" s="440" t="b">
        <f t="shared" si="390"/>
        <v>0</v>
      </c>
      <c r="BB1279" s="314"/>
      <c r="BC1279" s="407" t="b">
        <f t="shared" si="391"/>
        <v>0</v>
      </c>
      <c r="BD1279" s="407" t="b">
        <f>OR(AV1278&gt;100%,(AV1278+AV1279)&gt;100%)</f>
        <v>0</v>
      </c>
      <c r="BE1279" s="314"/>
      <c r="BF1279" s="408" t="s">
        <v>166</v>
      </c>
      <c r="BG1279" s="409" t="str">
        <f>IF(AN1270=EUconst_TJ,AV1270*AV1274,IF(AN1272=EUconst_GJ,AV1270*AV1272/1000*AV1274,""))</f>
        <v/>
      </c>
      <c r="BH1279" s="314"/>
      <c r="BI1279" s="314"/>
      <c r="BJ1279" s="314"/>
      <c r="BK1279" s="314"/>
      <c r="BL1279" s="314"/>
      <c r="BM1279" s="314"/>
      <c r="BN1279" s="314"/>
      <c r="BO1279" s="314"/>
      <c r="BP1279" s="314"/>
      <c r="BQ1279" s="314"/>
      <c r="BR1279" s="314"/>
      <c r="BS1279" s="314"/>
      <c r="BT1279" s="314"/>
      <c r="BU1279" s="314"/>
      <c r="BV1279" s="314"/>
      <c r="BW1279" s="314"/>
      <c r="BX1279" s="314"/>
      <c r="BY1279" s="314"/>
      <c r="BZ1279" s="314"/>
      <c r="CA1279" s="314"/>
      <c r="CB1279" s="314"/>
      <c r="CC1279" s="314"/>
      <c r="CD1279" s="314"/>
      <c r="CE1279" s="314"/>
      <c r="CF1279" s="314"/>
      <c r="CG1279" s="314"/>
      <c r="CH1279" s="314"/>
      <c r="CI1279" s="314"/>
      <c r="CJ1279" s="314"/>
      <c r="CK1279" s="314"/>
      <c r="CL1279" s="314"/>
      <c r="CM1279" s="314"/>
      <c r="CN1279" s="314"/>
      <c r="CO1279" s="314"/>
      <c r="CP1279" s="314"/>
      <c r="CQ1279" s="407" t="b">
        <f>OR(CQ1270,Y1279=EUconst_NA)</f>
        <v>0</v>
      </c>
    </row>
    <row r="1280" spans="1:95" ht="5.15" customHeight="1" thickBot="1" x14ac:dyDescent="0.3">
      <c r="A1280" s="307"/>
      <c r="B1280" s="68"/>
      <c r="C1280" s="68"/>
      <c r="D1280" s="205"/>
      <c r="E1280" s="76"/>
      <c r="F1280" s="76"/>
      <c r="G1280" s="76"/>
      <c r="H1280" s="76"/>
      <c r="I1280" s="76"/>
      <c r="J1280" s="76"/>
      <c r="K1280" s="76"/>
      <c r="L1280" s="76"/>
      <c r="M1280" s="453"/>
      <c r="N1280" s="76"/>
      <c r="O1280" s="160"/>
      <c r="P1280" s="109"/>
      <c r="Q1280" s="312"/>
      <c r="R1280" s="312"/>
      <c r="S1280" s="314"/>
      <c r="T1280" s="314"/>
      <c r="U1280" s="314"/>
      <c r="V1280" s="314"/>
      <c r="W1280" s="314"/>
      <c r="X1280" s="314"/>
      <c r="Y1280" s="314"/>
      <c r="Z1280" s="314"/>
      <c r="AA1280" s="314"/>
      <c r="AB1280" s="314"/>
      <c r="AC1280" s="314"/>
      <c r="AD1280" s="314"/>
      <c r="AE1280" s="314"/>
      <c r="AF1280" s="314"/>
      <c r="AG1280" s="314"/>
      <c r="AH1280" s="314"/>
      <c r="AI1280" s="314"/>
      <c r="AJ1280" s="314"/>
      <c r="AK1280" s="314"/>
      <c r="AL1280" s="314"/>
      <c r="AM1280" s="314"/>
      <c r="AN1280" s="314"/>
      <c r="AO1280" s="314"/>
      <c r="AP1280" s="314"/>
      <c r="AQ1280" s="314"/>
      <c r="AR1280" s="314"/>
      <c r="AS1280" s="314"/>
      <c r="AT1280" s="314"/>
      <c r="AU1280" s="314"/>
      <c r="AV1280" s="314"/>
      <c r="AW1280" s="314"/>
      <c r="AX1280" s="314"/>
      <c r="AY1280" s="314"/>
      <c r="AZ1280" s="314"/>
      <c r="BA1280" s="314"/>
      <c r="BB1280" s="314"/>
      <c r="BC1280" s="314"/>
      <c r="BD1280" s="314"/>
      <c r="BE1280" s="314"/>
      <c r="BF1280" s="314"/>
      <c r="BG1280" s="364"/>
      <c r="BH1280" s="314"/>
      <c r="BI1280" s="314"/>
      <c r="BJ1280" s="314"/>
      <c r="BK1280" s="314"/>
      <c r="BL1280" s="314"/>
      <c r="BM1280" s="314"/>
      <c r="BN1280" s="314"/>
      <c r="BO1280" s="314"/>
      <c r="BP1280" s="314"/>
      <c r="BQ1280" s="314"/>
      <c r="BR1280" s="314"/>
      <c r="BS1280" s="314"/>
      <c r="BT1280" s="314"/>
      <c r="BU1280" s="314"/>
      <c r="BV1280" s="314"/>
      <c r="BW1280" s="314"/>
      <c r="BX1280" s="314"/>
      <c r="BY1280" s="314"/>
      <c r="BZ1280" s="314"/>
      <c r="CA1280" s="314"/>
      <c r="CB1280" s="314"/>
      <c r="CC1280" s="314"/>
      <c r="CD1280" s="314"/>
      <c r="CE1280" s="314"/>
      <c r="CF1280" s="314"/>
      <c r="CG1280" s="314"/>
      <c r="CH1280" s="314"/>
      <c r="CI1280" s="314"/>
      <c r="CJ1280" s="314"/>
      <c r="CK1280" s="314"/>
      <c r="CL1280" s="314"/>
      <c r="CM1280" s="314"/>
      <c r="CN1280" s="314"/>
      <c r="CO1280" s="314"/>
      <c r="CP1280" s="314"/>
      <c r="CQ1280" s="314"/>
    </row>
    <row r="1281" spans="1:95" ht="12.75" customHeight="1" thickBot="1" x14ac:dyDescent="0.3">
      <c r="A1281" s="307"/>
      <c r="B1281" s="68"/>
      <c r="C1281" s="199" t="s">
        <v>167</v>
      </c>
      <c r="D1281" s="344" t="str">
        <f>Translations!$B$398</f>
        <v>Scope factor:</v>
      </c>
      <c r="E1281" s="454"/>
      <c r="F1281" s="992"/>
      <c r="G1281" s="1263"/>
      <c r="H1281" s="1264"/>
      <c r="I1281" s="455" t="s">
        <v>46</v>
      </c>
      <c r="J1281" s="456"/>
      <c r="K1281" s="457" t="str">
        <f>IF(L1281="",AU1281,"")</f>
        <v/>
      </c>
      <c r="L1281" s="16"/>
      <c r="M1281" s="458" t="str">
        <f>IF(AND(E1265&lt;&gt;"",OR(F1281="",G1281="",COUNT(K1281:L1281)=0)),EUconst_ERR_Incomplete,IF(COUNTIF(BB1281:BD1281,TRUE)&gt;0,EUconst_ERR_Inconsistent,""))</f>
        <v/>
      </c>
      <c r="N1281" s="76"/>
      <c r="O1281" s="160"/>
      <c r="P1281" s="109"/>
      <c r="Q1281" s="312"/>
      <c r="R1281" s="314"/>
      <c r="S1281" s="297"/>
      <c r="T1281" s="459" t="str">
        <f>EUconst_CNTR_ScopeFactor&amp;E1265</f>
        <v>ScopeFactor_</v>
      </c>
      <c r="U1281" s="231" t="str">
        <f>IF(F1281="","",INDEX(ScopeAddress,MATCH(F1281,ScopeTiers,0)))</f>
        <v/>
      </c>
      <c r="V1281" s="360" t="str">
        <f>V1270</f>
        <v/>
      </c>
      <c r="W1281" s="314"/>
      <c r="X1281" s="314"/>
      <c r="Y1281" s="460" t="str">
        <f>IF(E1265="","",IF(F1281=EUconst_NA,EUconst_NA,INDEX(EUwideConstants!$P$164:$P$200,MATCH(T1281,EUwideConstants!$S$164:$S$200,0))))</f>
        <v/>
      </c>
      <c r="Z1281" s="461" t="str">
        <f>IF(ISBLANK(F1281),"",IF(F1281=EUconst_NA,"",INDEX(EUwideConstants!$H:$O,MATCH(T1281,EUwideConstants!$S:$S,0),MATCH(F1281,CNTR_TierList,0))))</f>
        <v/>
      </c>
      <c r="AA1281" s="331" t="str">
        <f>IF(G1281=EUwideConstants!$A$89,1,"")</f>
        <v/>
      </c>
      <c r="AB1281" s="314"/>
      <c r="AC1281" s="331" t="b">
        <f>AND(AC1270,Y1281&lt;&gt;EUconst_NA)</f>
        <v>0</v>
      </c>
      <c r="AD1281" s="314"/>
      <c r="AE1281" s="314"/>
      <c r="AF1281" s="314"/>
      <c r="AG1281" s="319"/>
      <c r="AH1281" s="314"/>
      <c r="AI1281" s="314"/>
      <c r="AJ1281" s="314"/>
      <c r="AK1281" s="314"/>
      <c r="AL1281" s="314"/>
      <c r="AM1281" s="314"/>
      <c r="AN1281" s="314"/>
      <c r="AO1281" s="314"/>
      <c r="AP1281" s="314"/>
      <c r="AQ1281" s="314"/>
      <c r="AR1281" s="314"/>
      <c r="AS1281" s="328">
        <v>1</v>
      </c>
      <c r="AT1281" s="314"/>
      <c r="AU1281" s="319" t="str">
        <f>IF(G1281=EUwideConstants!$A$89,AS1281,"")</f>
        <v/>
      </c>
      <c r="AV1281" s="331">
        <f>IF(AC1281=TRUE,IF(COUNT(K1281:L1281)=0,0,IF(L1281="",K1281,L1281)),0)</f>
        <v>0</v>
      </c>
      <c r="AW1281" s="360" t="b">
        <f>AND(AC1281=TRUE,OR(AND(F1281&lt;&gt;"",NOT(ISNUMBER(AA1281))),L1281&lt;&gt;"",F1281="",AU1281=""))</f>
        <v>0</v>
      </c>
      <c r="AX1281" s="357" t="b">
        <f>AND(AC1281=TRUE,NOT(AW1281))</f>
        <v>0</v>
      </c>
      <c r="AY1281" s="314"/>
      <c r="AZ1281" s="361" t="b">
        <f>AND(ISNUMBER(AA1281),AU1281="")</f>
        <v>0</v>
      </c>
      <c r="BA1281" s="351" t="b">
        <f>AND(ISNUMBER(AA1281),AU1281&lt;&gt;AV1281)</f>
        <v>0</v>
      </c>
      <c r="BB1281" s="314"/>
      <c r="BC1281" s="360" t="b">
        <f>AND(F1281&lt;&gt;"",OR(COUNTIF(INDEX(ScopeMethods,F1281,),G1281)=0,AND(AA1281&lt;&gt;"",AU1281&lt;&gt;AV1281)))</f>
        <v>0</v>
      </c>
      <c r="BD1281" s="314"/>
      <c r="BE1281" s="314"/>
      <c r="BF1281" s="361" t="s">
        <v>168</v>
      </c>
      <c r="BG1281" s="362" t="str">
        <f>IF(AN1270=EUconst_TJ,AV1270*AV1276,IF(AN1272=EUconst_GJ,AV1270*AV1272/1000*AV1276,""))</f>
        <v/>
      </c>
      <c r="BH1281" s="314"/>
      <c r="BI1281" s="314"/>
      <c r="BJ1281" s="314"/>
      <c r="BK1281" s="314"/>
      <c r="BL1281" s="314"/>
      <c r="BM1281" s="314"/>
      <c r="BN1281" s="314"/>
      <c r="BO1281" s="314"/>
      <c r="BP1281" s="314"/>
      <c r="BQ1281" s="314"/>
      <c r="BR1281" s="314"/>
      <c r="BS1281" s="314"/>
      <c r="BT1281" s="314"/>
      <c r="BU1281" s="314"/>
      <c r="BV1281" s="314"/>
      <c r="BW1281" s="314"/>
      <c r="BX1281" s="314"/>
      <c r="BY1281" s="314"/>
      <c r="BZ1281" s="314"/>
      <c r="CA1281" s="314"/>
      <c r="CB1281" s="314"/>
      <c r="CC1281" s="314"/>
      <c r="CD1281" s="314"/>
      <c r="CE1281" s="314"/>
      <c r="CF1281" s="314"/>
      <c r="CG1281" s="314"/>
      <c r="CH1281" s="314"/>
      <c r="CI1281" s="314"/>
      <c r="CJ1281" s="314"/>
      <c r="CK1281" s="314"/>
      <c r="CL1281" s="314"/>
      <c r="CM1281" s="314"/>
      <c r="CN1281" s="314"/>
      <c r="CO1281" s="314"/>
      <c r="CP1281" s="314"/>
      <c r="CQ1281" s="314"/>
    </row>
    <row r="1282" spans="1:95" ht="12.75" customHeight="1" x14ac:dyDescent="0.25">
      <c r="A1282" s="307"/>
      <c r="B1282" s="68"/>
      <c r="C1282" s="68"/>
      <c r="D1282" s="68"/>
      <c r="E1282" s="68"/>
      <c r="F1282" s="68"/>
      <c r="G1282" s="1265" t="str">
        <f>IF(G1281="","",INDEX(ScopeMethodsDetails,MATCH(G1281,INDEX(ScopeMethodsDetails,,1),0),2))</f>
        <v/>
      </c>
      <c r="H1282" s="1266"/>
      <c r="I1282" s="1266"/>
      <c r="J1282" s="1266"/>
      <c r="K1282" s="1266"/>
      <c r="L1282" s="1266"/>
      <c r="M1282" s="1267"/>
      <c r="N1282" s="76"/>
      <c r="O1282" s="160"/>
      <c r="P1282" s="109"/>
      <c r="Q1282" s="312"/>
      <c r="R1282" s="312"/>
      <c r="S1282" s="314"/>
      <c r="T1282" s="314"/>
      <c r="U1282" s="314"/>
      <c r="V1282" s="314"/>
      <c r="W1282" s="314"/>
      <c r="X1282" s="314"/>
      <c r="Y1282" s="314"/>
      <c r="Z1282" s="314"/>
      <c r="AA1282" s="314"/>
      <c r="AB1282" s="314"/>
      <c r="AC1282" s="314"/>
      <c r="AD1282" s="314"/>
      <c r="AE1282" s="314"/>
      <c r="AF1282" s="314"/>
      <c r="AG1282" s="314"/>
      <c r="AH1282" s="314"/>
      <c r="AI1282" s="314"/>
      <c r="AJ1282" s="314"/>
      <c r="AK1282" s="314"/>
      <c r="AL1282" s="314"/>
      <c r="AM1282" s="314"/>
      <c r="AN1282" s="314"/>
      <c r="AO1282" s="314"/>
      <c r="AP1282" s="314"/>
      <c r="AQ1282" s="314"/>
      <c r="AR1282" s="314"/>
      <c r="AS1282" s="314"/>
      <c r="AT1282" s="314"/>
      <c r="AU1282" s="314"/>
      <c r="AV1282" s="314"/>
      <c r="AW1282" s="314"/>
      <c r="AX1282" s="314"/>
      <c r="AY1282" s="314"/>
      <c r="AZ1282" s="314"/>
      <c r="BA1282" s="314"/>
      <c r="BB1282" s="314"/>
      <c r="BC1282" s="314"/>
      <c r="BD1282" s="314"/>
      <c r="BE1282" s="314"/>
      <c r="BG1282" s="364"/>
      <c r="BH1282" s="314"/>
      <c r="BI1282" s="314"/>
      <c r="BJ1282" s="314"/>
      <c r="BK1282" s="314"/>
      <c r="BL1282" s="314"/>
      <c r="BM1282" s="314"/>
      <c r="BN1282" s="314"/>
      <c r="BO1282" s="314"/>
      <c r="BP1282" s="314"/>
      <c r="BQ1282" s="314"/>
      <c r="BR1282" s="314"/>
      <c r="BS1282" s="314"/>
      <c r="BT1282" s="314"/>
      <c r="BU1282" s="314"/>
      <c r="BV1282" s="314"/>
      <c r="BW1282" s="314"/>
      <c r="BX1282" s="314"/>
      <c r="BY1282" s="314"/>
      <c r="BZ1282" s="314"/>
      <c r="CA1282" s="314"/>
      <c r="CB1282" s="314"/>
      <c r="CC1282" s="314"/>
      <c r="CD1282" s="314"/>
      <c r="CE1282" s="314"/>
      <c r="CF1282" s="314"/>
      <c r="CG1282" s="314"/>
      <c r="CH1282" s="314"/>
      <c r="CI1282" s="314"/>
      <c r="CJ1282" s="314"/>
      <c r="CK1282" s="314"/>
      <c r="CL1282" s="314"/>
      <c r="CM1282" s="314"/>
      <c r="CN1282" s="314"/>
      <c r="CO1282" s="314"/>
      <c r="CP1282" s="314"/>
      <c r="CQ1282" s="314"/>
    </row>
    <row r="1283" spans="1:95" ht="5.15" customHeight="1" x14ac:dyDescent="0.25">
      <c r="A1283" s="307"/>
      <c r="C1283" s="76"/>
      <c r="D1283" s="76"/>
      <c r="E1283" s="76"/>
      <c r="F1283" s="76"/>
      <c r="G1283" s="76"/>
      <c r="H1283" s="76"/>
      <c r="I1283" s="76"/>
      <c r="J1283" s="76"/>
      <c r="K1283" s="76"/>
      <c r="L1283" s="76"/>
      <c r="O1283" s="160"/>
      <c r="P1283" s="109"/>
      <c r="Q1283" s="312"/>
      <c r="R1283" s="312"/>
      <c r="S1283" s="314"/>
      <c r="T1283" s="314"/>
      <c r="U1283" s="314"/>
      <c r="V1283" s="314"/>
      <c r="W1283" s="314"/>
      <c r="X1283" s="314"/>
      <c r="Y1283" s="314"/>
      <c r="Z1283" s="314"/>
      <c r="AA1283" s="314"/>
      <c r="AB1283" s="314"/>
      <c r="AC1283" s="314"/>
      <c r="AD1283" s="314"/>
      <c r="AE1283" s="314"/>
      <c r="AF1283" s="314"/>
      <c r="AG1283" s="314"/>
      <c r="AH1283" s="314"/>
      <c r="AI1283" s="314"/>
      <c r="AJ1283" s="314"/>
      <c r="AK1283" s="314"/>
      <c r="AL1283" s="314"/>
      <c r="AM1283" s="314"/>
      <c r="AN1283" s="314"/>
      <c r="AO1283" s="314"/>
      <c r="AP1283" s="314"/>
      <c r="AQ1283" s="314"/>
      <c r="AR1283" s="314"/>
      <c r="AS1283" s="314"/>
      <c r="AT1283" s="314"/>
      <c r="AU1283" s="314"/>
      <c r="AV1283" s="314"/>
      <c r="AW1283" s="314"/>
      <c r="AX1283" s="314"/>
      <c r="AY1283" s="314"/>
      <c r="AZ1283" s="314"/>
      <c r="BA1283" s="314"/>
      <c r="BB1283" s="314"/>
      <c r="BC1283" s="314"/>
      <c r="BD1283" s="314"/>
      <c r="BE1283" s="314"/>
      <c r="BG1283" s="364"/>
      <c r="BH1283" s="314"/>
      <c r="BI1283" s="314"/>
      <c r="BJ1283" s="314"/>
      <c r="BK1283" s="314"/>
      <c r="BL1283" s="314"/>
      <c r="BM1283" s="314"/>
      <c r="BN1283" s="314"/>
      <c r="BO1283" s="314"/>
      <c r="BP1283" s="314"/>
      <c r="BQ1283" s="314"/>
      <c r="BR1283" s="314"/>
      <c r="BS1283" s="314"/>
      <c r="BT1283" s="314"/>
      <c r="BU1283" s="314"/>
      <c r="BV1283" s="314"/>
      <c r="BW1283" s="314"/>
      <c r="BX1283" s="314"/>
      <c r="BY1283" s="314"/>
      <c r="BZ1283" s="314"/>
      <c r="CA1283" s="314"/>
      <c r="CB1283" s="314"/>
      <c r="CC1283" s="314"/>
      <c r="CD1283" s="314"/>
      <c r="CE1283" s="314"/>
      <c r="CF1283" s="314"/>
      <c r="CG1283" s="314"/>
      <c r="CH1283" s="314"/>
      <c r="CI1283" s="314"/>
      <c r="CJ1283" s="314"/>
      <c r="CK1283" s="314"/>
      <c r="CL1283" s="314"/>
      <c r="CM1283" s="314"/>
      <c r="CN1283" s="314"/>
      <c r="CO1283" s="314"/>
      <c r="CP1283" s="314"/>
      <c r="CQ1283" s="314"/>
    </row>
    <row r="1284" spans="1:95" ht="12.75" customHeight="1" thickBot="1" x14ac:dyDescent="0.3">
      <c r="A1284" s="307"/>
      <c r="C1284" s="76"/>
      <c r="D1284" s="76"/>
      <c r="E1284" s="76"/>
      <c r="F1284" s="76"/>
      <c r="G1284" s="1268">
        <v>1</v>
      </c>
      <c r="H1284" s="1268"/>
      <c r="I1284" s="1268">
        <v>2</v>
      </c>
      <c r="J1284" s="1268"/>
      <c r="K1284" s="1268">
        <v>3</v>
      </c>
      <c r="L1284" s="1268"/>
      <c r="O1284" s="160"/>
      <c r="P1284" s="109"/>
      <c r="Q1284" s="312"/>
      <c r="R1284" s="312"/>
      <c r="S1284" s="314"/>
      <c r="T1284" s="314"/>
      <c r="U1284" s="314"/>
      <c r="V1284" s="314"/>
      <c r="W1284" s="314"/>
      <c r="X1284" s="314"/>
      <c r="Y1284" s="314"/>
      <c r="Z1284" s="314"/>
      <c r="AA1284" s="314"/>
      <c r="AB1284" s="314"/>
      <c r="AC1284" s="314"/>
      <c r="AD1284" s="314"/>
      <c r="AE1284" s="314"/>
      <c r="AF1284" s="314"/>
      <c r="AG1284" s="314"/>
      <c r="AH1284" s="314"/>
      <c r="AI1284" s="314"/>
      <c r="AJ1284" s="314"/>
      <c r="AK1284" s="314"/>
      <c r="AL1284" s="314"/>
      <c r="AM1284" s="314"/>
      <c r="AN1284" s="314"/>
      <c r="AO1284" s="314"/>
      <c r="AP1284" s="314"/>
      <c r="AQ1284" s="314"/>
      <c r="AR1284" s="314"/>
      <c r="AS1284" s="314"/>
      <c r="AT1284" s="314"/>
      <c r="AU1284" s="314"/>
      <c r="AV1284" s="314"/>
      <c r="AW1284" s="314"/>
      <c r="AX1284" s="314"/>
      <c r="AY1284" s="314"/>
      <c r="AZ1284" s="314"/>
      <c r="BA1284" s="314"/>
      <c r="BB1284" s="314"/>
      <c r="BC1284" s="314"/>
      <c r="BD1284" s="314"/>
      <c r="BE1284" s="314"/>
      <c r="BF1284" s="314"/>
      <c r="BG1284" s="364"/>
      <c r="BH1284" s="314"/>
      <c r="BI1284" s="314"/>
      <c r="BJ1284" s="314"/>
      <c r="BK1284" s="314"/>
      <c r="BL1284" s="314"/>
      <c r="BM1284" s="314"/>
      <c r="BN1284" s="314"/>
      <c r="BO1284" s="314"/>
      <c r="BP1284" s="314"/>
      <c r="BQ1284" s="314"/>
      <c r="BR1284" s="314"/>
      <c r="BS1284" s="314"/>
      <c r="BT1284" s="314"/>
      <c r="BU1284" s="314"/>
      <c r="BV1284" s="314"/>
      <c r="BW1284" s="314"/>
      <c r="BX1284" s="314"/>
      <c r="BY1284" s="314"/>
      <c r="BZ1284" s="314"/>
      <c r="CA1284" s="314"/>
      <c r="CB1284" s="314"/>
      <c r="CC1284" s="314"/>
      <c r="CD1284" s="314"/>
      <c r="CE1284" s="314"/>
      <c r="CF1284" s="314"/>
      <c r="CG1284" s="314"/>
      <c r="CH1284" s="314"/>
      <c r="CI1284" s="314"/>
      <c r="CJ1284" s="314"/>
      <c r="CK1284" s="314"/>
      <c r="CL1284" s="314"/>
      <c r="CM1284" s="314"/>
      <c r="CN1284" s="314"/>
      <c r="CO1284" s="314"/>
      <c r="CP1284" s="314"/>
      <c r="CQ1284" s="314"/>
    </row>
    <row r="1285" spans="1:95" ht="12.75" customHeight="1" thickBot="1" x14ac:dyDescent="0.3">
      <c r="A1285" s="462"/>
      <c r="B1285" s="76"/>
      <c r="C1285" s="76"/>
      <c r="D1285" s="1246" t="str">
        <f>Translations!$B$372</f>
        <v>Consumers' CRF category:</v>
      </c>
      <c r="E1285" s="1246"/>
      <c r="F1285" s="1247"/>
      <c r="G1285" s="1248"/>
      <c r="H1285" s="1249"/>
      <c r="I1285" s="1248"/>
      <c r="J1285" s="1249"/>
      <c r="K1285" s="1248"/>
      <c r="L1285" s="1249"/>
      <c r="M1285" s="463" t="str">
        <f>IF(AND(E1264&lt;&gt;"",COUNTA(G1285:L1285)=0,AX1285=FALSE),EUconst_ERR_Incomplete,"")</f>
        <v/>
      </c>
      <c r="N1285" s="76"/>
      <c r="O1285" s="160"/>
      <c r="P1285" s="109"/>
      <c r="Q1285" s="312"/>
      <c r="R1285" s="312"/>
      <c r="S1285" s="314"/>
      <c r="T1285" s="314"/>
      <c r="U1285" s="314"/>
      <c r="V1285" s="314"/>
      <c r="W1285" s="314"/>
      <c r="X1285" s="314"/>
      <c r="Y1285" s="314"/>
      <c r="Z1285" s="314"/>
      <c r="AA1285" s="314"/>
      <c r="AB1285" s="314"/>
      <c r="AC1285" s="314"/>
      <c r="AD1285" s="314"/>
      <c r="AE1285" s="314"/>
      <c r="AF1285" s="314"/>
      <c r="AG1285" s="314"/>
      <c r="AH1285" s="314"/>
      <c r="AI1285" s="314"/>
      <c r="AJ1285" s="314"/>
      <c r="AK1285" s="314"/>
      <c r="AL1285" s="314"/>
      <c r="AM1285" s="314"/>
      <c r="AN1285" s="314"/>
      <c r="AO1285" s="314"/>
      <c r="AP1285" s="314"/>
      <c r="AQ1285" s="314"/>
      <c r="AR1285" s="314"/>
      <c r="AS1285" s="314"/>
      <c r="AT1285" s="314"/>
      <c r="AU1285" s="314"/>
      <c r="AV1285" s="314"/>
      <c r="AW1285" s="314"/>
      <c r="AX1285" s="464" t="b">
        <f>AND(AV1281&lt;&gt;"",SUM(AV1281=1))</f>
        <v>0</v>
      </c>
      <c r="AY1285" s="314"/>
      <c r="AZ1285" s="314"/>
      <c r="BA1285" s="314"/>
      <c r="BB1285" s="314"/>
      <c r="BC1285" s="314"/>
      <c r="BD1285" s="314"/>
      <c r="BE1285" s="314"/>
      <c r="BF1285" s="361" t="s">
        <v>169</v>
      </c>
      <c r="BG1285" s="362" t="str">
        <f>IF(AN1270=EUconst_TJ,AV1270*AV1278,IF(AN1272=EUconst_GJ,AV1270*AV1272/1000*AV1278,""))</f>
        <v/>
      </c>
      <c r="BH1285" s="314"/>
      <c r="BI1285" s="314"/>
      <c r="BJ1285" s="314"/>
      <c r="BK1285" s="314"/>
      <c r="BL1285" s="314"/>
      <c r="BM1285" s="314"/>
      <c r="BN1285" s="314"/>
      <c r="BO1285" s="314"/>
      <c r="BP1285" s="314"/>
      <c r="BQ1285" s="314"/>
      <c r="BR1285" s="314"/>
      <c r="BS1285" s="314"/>
      <c r="BT1285" s="314"/>
      <c r="BU1285" s="314"/>
      <c r="BV1285" s="314"/>
      <c r="BW1285" s="314"/>
      <c r="BX1285" s="314"/>
      <c r="BY1285" s="314"/>
      <c r="BZ1285" s="314"/>
      <c r="CA1285" s="314"/>
      <c r="CB1285" s="314"/>
      <c r="CC1285" s="314"/>
      <c r="CD1285" s="314"/>
      <c r="CE1285" s="314"/>
      <c r="CF1285" s="314"/>
      <c r="CG1285" s="314"/>
      <c r="CH1285" s="314"/>
      <c r="CI1285" s="314"/>
      <c r="CJ1285" s="314"/>
      <c r="CK1285" s="314"/>
      <c r="CL1285" s="314"/>
      <c r="CM1285" s="314"/>
      <c r="CN1285" s="314"/>
      <c r="CO1285" s="314"/>
      <c r="CP1285" s="314"/>
      <c r="CQ1285" s="314"/>
    </row>
    <row r="1286" spans="1:95" ht="5.15" customHeight="1" x14ac:dyDescent="0.25">
      <c r="A1286" s="307"/>
      <c r="B1286" s="68"/>
      <c r="C1286" s="68"/>
      <c r="D1286" s="68"/>
      <c r="E1286" s="68"/>
      <c r="F1286" s="68"/>
      <c r="G1286" s="76"/>
      <c r="H1286" s="76"/>
      <c r="I1286" s="76"/>
      <c r="J1286" s="76"/>
      <c r="K1286" s="76"/>
      <c r="L1286" s="76"/>
      <c r="M1286" s="76"/>
      <c r="N1286" s="76"/>
      <c r="O1286" s="160"/>
      <c r="P1286" s="109"/>
      <c r="Q1286" s="312"/>
      <c r="R1286" s="312"/>
      <c r="S1286" s="314"/>
      <c r="T1286" s="314"/>
      <c r="U1286" s="314"/>
      <c r="V1286" s="314"/>
      <c r="W1286" s="314"/>
      <c r="X1286" s="314"/>
      <c r="Y1286" s="314"/>
      <c r="Z1286" s="314"/>
      <c r="AA1286" s="314"/>
      <c r="AB1286" s="314"/>
      <c r="AC1286" s="314"/>
      <c r="AD1286" s="314"/>
      <c r="AE1286" s="314"/>
      <c r="AF1286" s="314"/>
      <c r="AG1286" s="314"/>
      <c r="AH1286" s="314"/>
      <c r="AI1286" s="314"/>
      <c r="AJ1286" s="314"/>
      <c r="AK1286" s="314"/>
      <c r="AL1286" s="314"/>
      <c r="AM1286" s="314"/>
      <c r="AN1286" s="314"/>
      <c r="AO1286" s="314"/>
      <c r="AP1286" s="314"/>
      <c r="AQ1286" s="314"/>
      <c r="AR1286" s="314"/>
      <c r="AS1286" s="314"/>
      <c r="AT1286" s="314"/>
      <c r="AU1286" s="314"/>
      <c r="AV1286" s="314"/>
      <c r="AW1286" s="314"/>
      <c r="AX1286" s="314"/>
      <c r="AY1286" s="314"/>
      <c r="AZ1286" s="314"/>
      <c r="BA1286" s="314"/>
      <c r="BB1286" s="314"/>
      <c r="BC1286" s="314"/>
      <c r="BD1286" s="314"/>
      <c r="BE1286" s="314"/>
      <c r="BF1286" s="314"/>
      <c r="BG1286" s="314"/>
      <c r="BH1286" s="314"/>
      <c r="BI1286" s="314"/>
      <c r="BJ1286" s="314"/>
      <c r="BK1286" s="314"/>
      <c r="BL1286" s="314"/>
      <c r="BM1286" s="314"/>
      <c r="BN1286" s="314"/>
      <c r="BO1286" s="314"/>
      <c r="BP1286" s="314"/>
      <c r="BQ1286" s="314"/>
      <c r="BR1286" s="314"/>
      <c r="BS1286" s="314"/>
      <c r="BT1286" s="314"/>
      <c r="BU1286" s="314"/>
      <c r="BV1286" s="314"/>
      <c r="BW1286" s="314"/>
      <c r="BX1286" s="314"/>
      <c r="BY1286" s="314"/>
      <c r="BZ1286" s="314"/>
      <c r="CA1286" s="314"/>
      <c r="CB1286" s="314"/>
      <c r="CC1286" s="314"/>
      <c r="CD1286" s="314"/>
      <c r="CE1286" s="314"/>
      <c r="CF1286" s="314"/>
      <c r="CG1286" s="314"/>
      <c r="CH1286" s="314"/>
      <c r="CI1286" s="314"/>
      <c r="CJ1286" s="314"/>
      <c r="CK1286" s="314"/>
      <c r="CL1286" s="314"/>
      <c r="CM1286" s="314"/>
      <c r="CN1286" s="314"/>
      <c r="CO1286" s="314"/>
      <c r="CP1286" s="314"/>
      <c r="CQ1286" s="314"/>
    </row>
    <row r="1287" spans="1:95" ht="12.75" customHeight="1" x14ac:dyDescent="0.25">
      <c r="A1287" s="307"/>
      <c r="B1287" s="68"/>
      <c r="C1287" s="68"/>
      <c r="D1287" s="1246" t="str">
        <f>Translations!$B$399</f>
        <v>Tiers valid from:</v>
      </c>
      <c r="E1287" s="1246"/>
      <c r="F1287" s="1247"/>
      <c r="G1287" s="8"/>
      <c r="H1287" s="199" t="str">
        <f>Translations!$B$400</f>
        <v>until:</v>
      </c>
      <c r="I1287" s="8"/>
      <c r="J1287" s="76"/>
      <c r="K1287" s="76"/>
      <c r="L1287" s="76"/>
      <c r="M1287" s="199" t="str">
        <f>Translations!$B$401</f>
        <v>ID used in the monitoring plan for this fuel stream:</v>
      </c>
      <c r="N1287" s="9"/>
      <c r="O1287" s="160"/>
      <c r="P1287" s="109"/>
      <c r="Q1287" s="312"/>
      <c r="R1287" s="312"/>
      <c r="S1287" s="465"/>
      <c r="T1287" s="314"/>
      <c r="U1287" s="314"/>
      <c r="V1287" s="314"/>
      <c r="W1287" s="314"/>
      <c r="X1287" s="314"/>
      <c r="Y1287" s="314"/>
      <c r="Z1287" s="314"/>
      <c r="AA1287" s="314"/>
      <c r="AB1287" s="314"/>
      <c r="AC1287" s="314"/>
      <c r="AD1287" s="314"/>
      <c r="AE1287" s="314"/>
      <c r="AF1287" s="314"/>
      <c r="AG1287" s="314"/>
      <c r="AH1287" s="314"/>
      <c r="AI1287" s="314"/>
      <c r="AJ1287" s="314"/>
      <c r="AK1287" s="314"/>
      <c r="AL1287" s="314"/>
      <c r="AM1287" s="314"/>
      <c r="AN1287" s="314"/>
      <c r="AO1287" s="314"/>
      <c r="AP1287" s="314"/>
      <c r="AQ1287" s="314"/>
      <c r="AR1287" s="314"/>
      <c r="AS1287" s="314"/>
      <c r="AT1287" s="314"/>
      <c r="AU1287" s="314"/>
      <c r="AV1287" s="314"/>
      <c r="AW1287" s="314"/>
      <c r="AX1287" s="314"/>
      <c r="AY1287" s="314"/>
      <c r="AZ1287" s="314"/>
      <c r="BA1287" s="314"/>
      <c r="BB1287" s="314"/>
      <c r="BC1287" s="314"/>
      <c r="BD1287" s="314"/>
      <c r="BE1287" s="314"/>
      <c r="BF1287" s="314"/>
      <c r="BG1287" s="314"/>
      <c r="BH1287" s="314"/>
      <c r="BI1287" s="314"/>
      <c r="BJ1287" s="314"/>
      <c r="BK1287" s="314"/>
      <c r="BL1287" s="314"/>
      <c r="BM1287" s="314"/>
      <c r="BN1287" s="314"/>
      <c r="BO1287" s="314"/>
      <c r="BP1287" s="314"/>
      <c r="BQ1287" s="314"/>
      <c r="BR1287" s="314"/>
      <c r="BS1287" s="314"/>
      <c r="BT1287" s="314"/>
      <c r="BU1287" s="314"/>
      <c r="BV1287" s="314"/>
      <c r="BW1287" s="314"/>
      <c r="BX1287" s="314"/>
      <c r="BY1287" s="314"/>
      <c r="BZ1287" s="314"/>
      <c r="CA1287" s="314"/>
      <c r="CB1287" s="314"/>
      <c r="CC1287" s="314"/>
      <c r="CD1287" s="314"/>
      <c r="CE1287" s="314"/>
      <c r="CF1287" s="314"/>
      <c r="CG1287" s="314"/>
      <c r="CH1287" s="314"/>
      <c r="CI1287" s="314"/>
      <c r="CJ1287" s="314"/>
      <c r="CK1287" s="314"/>
      <c r="CL1287" s="314"/>
      <c r="CM1287" s="314"/>
      <c r="CN1287" s="314"/>
      <c r="CO1287" s="314"/>
      <c r="CP1287" s="314"/>
      <c r="CQ1287" s="464" t="b">
        <f>CQ1270</f>
        <v>0</v>
      </c>
    </row>
    <row r="1288" spans="1:95" ht="5.15" customHeight="1" x14ac:dyDescent="0.25">
      <c r="A1288" s="462"/>
      <c r="B1288" s="76"/>
      <c r="C1288" s="76"/>
      <c r="D1288" s="76"/>
      <c r="E1288" s="76"/>
      <c r="F1288" s="76"/>
      <c r="G1288" s="76"/>
      <c r="H1288" s="76"/>
      <c r="I1288" s="76"/>
      <c r="J1288" s="76"/>
      <c r="K1288" s="76"/>
      <c r="L1288" s="76"/>
      <c r="M1288" s="76"/>
      <c r="N1288" s="76"/>
      <c r="O1288" s="160"/>
      <c r="P1288" s="109"/>
      <c r="Q1288" s="312"/>
      <c r="R1288" s="312"/>
      <c r="S1288" s="314"/>
      <c r="T1288" s="314"/>
      <c r="U1288" s="314"/>
      <c r="V1288" s="314"/>
      <c r="W1288" s="314"/>
      <c r="X1288" s="314"/>
      <c r="Y1288" s="314"/>
      <c r="Z1288" s="314"/>
      <c r="AA1288" s="314"/>
      <c r="AB1288" s="314"/>
      <c r="AC1288" s="314"/>
      <c r="AD1288" s="314"/>
      <c r="AE1288" s="314"/>
      <c r="AF1288" s="314"/>
      <c r="AG1288" s="314"/>
      <c r="AH1288" s="314"/>
      <c r="AI1288" s="314"/>
      <c r="AJ1288" s="314"/>
      <c r="AK1288" s="314"/>
      <c r="AL1288" s="314"/>
      <c r="AM1288" s="314"/>
      <c r="AN1288" s="314"/>
      <c r="AO1288" s="314"/>
      <c r="AP1288" s="314"/>
      <c r="AQ1288" s="314"/>
      <c r="AR1288" s="314"/>
      <c r="AS1288" s="314"/>
      <c r="AT1288" s="314"/>
      <c r="AU1288" s="314"/>
      <c r="AV1288" s="314"/>
      <c r="AW1288" s="314"/>
      <c r="AX1288" s="314"/>
      <c r="AY1288" s="314"/>
      <c r="AZ1288" s="314"/>
      <c r="BA1288" s="314"/>
      <c r="BB1288" s="314"/>
      <c r="BC1288" s="314"/>
      <c r="BD1288" s="314"/>
      <c r="BE1288" s="314"/>
      <c r="BF1288" s="314"/>
      <c r="BG1288" s="314"/>
      <c r="BH1288" s="314"/>
      <c r="BI1288" s="314"/>
      <c r="BJ1288" s="314"/>
      <c r="BK1288" s="314"/>
      <c r="BL1288" s="314"/>
      <c r="BM1288" s="314"/>
      <c r="BN1288" s="314"/>
      <c r="BO1288" s="314"/>
      <c r="BP1288" s="314"/>
      <c r="BQ1288" s="314"/>
      <c r="BR1288" s="314"/>
      <c r="BS1288" s="314"/>
      <c r="BT1288" s="314"/>
      <c r="BU1288" s="314"/>
      <c r="BV1288" s="314"/>
      <c r="BW1288" s="314"/>
      <c r="BX1288" s="314"/>
      <c r="BY1288" s="314"/>
      <c r="BZ1288" s="314"/>
      <c r="CA1288" s="314"/>
      <c r="CB1288" s="314"/>
      <c r="CC1288" s="314"/>
      <c r="CD1288" s="314"/>
      <c r="CE1288" s="314"/>
      <c r="CF1288" s="314"/>
      <c r="CG1288" s="314"/>
      <c r="CH1288" s="314"/>
      <c r="CI1288" s="314"/>
      <c r="CJ1288" s="314"/>
      <c r="CK1288" s="314"/>
      <c r="CL1288" s="314"/>
      <c r="CM1288" s="314"/>
      <c r="CN1288" s="314"/>
      <c r="CO1288" s="314"/>
      <c r="CP1288" s="314"/>
      <c r="CQ1288" s="314"/>
    </row>
    <row r="1289" spans="1:95" ht="12.75" customHeight="1" x14ac:dyDescent="0.25">
      <c r="A1289" s="462"/>
      <c r="B1289" s="76"/>
      <c r="C1289" s="76"/>
      <c r="D1289" s="115"/>
      <c r="E1289" s="85"/>
      <c r="F1289" s="466" t="str">
        <f>Translations!$B$304</f>
        <v>Comments:</v>
      </c>
      <c r="G1289" s="1250"/>
      <c r="H1289" s="1251"/>
      <c r="I1289" s="1251"/>
      <c r="J1289" s="1251"/>
      <c r="K1289" s="1251"/>
      <c r="L1289" s="1251"/>
      <c r="M1289" s="1251"/>
      <c r="N1289" s="1252"/>
      <c r="O1289" s="160"/>
      <c r="P1289" s="109"/>
      <c r="Q1289" s="312"/>
      <c r="R1289" s="312"/>
      <c r="S1289" s="314"/>
      <c r="T1289" s="314"/>
      <c r="U1289" s="314"/>
      <c r="V1289" s="314"/>
      <c r="W1289" s="314"/>
      <c r="X1289" s="314"/>
      <c r="Y1289" s="314"/>
      <c r="Z1289" s="314"/>
      <c r="AA1289" s="314"/>
      <c r="AB1289" s="314"/>
      <c r="AC1289" s="314"/>
      <c r="AD1289" s="314"/>
      <c r="AE1289" s="314"/>
      <c r="AF1289" s="314"/>
      <c r="AG1289" s="314"/>
      <c r="AH1289" s="314"/>
      <c r="AI1289" s="314"/>
      <c r="AJ1289" s="314"/>
      <c r="AK1289" s="314"/>
      <c r="AL1289" s="314"/>
      <c r="AM1289" s="314"/>
      <c r="AN1289" s="314"/>
      <c r="AO1289" s="314"/>
      <c r="AP1289" s="314"/>
      <c r="AQ1289" s="314"/>
      <c r="AR1289" s="314"/>
      <c r="AS1289" s="314"/>
      <c r="AT1289" s="314"/>
      <c r="AU1289" s="314"/>
      <c r="AV1289" s="314"/>
      <c r="AW1289" s="314"/>
      <c r="AX1289" s="314"/>
      <c r="AY1289" s="314"/>
      <c r="AZ1289" s="314"/>
      <c r="BA1289" s="314"/>
      <c r="BB1289" s="314"/>
      <c r="BC1289" s="314"/>
      <c r="BD1289" s="314"/>
      <c r="BE1289" s="314"/>
      <c r="BF1289" s="314"/>
      <c r="BG1289" s="314"/>
      <c r="BH1289" s="314"/>
      <c r="BI1289" s="314"/>
      <c r="BJ1289" s="314"/>
      <c r="BK1289" s="314"/>
      <c r="BL1289" s="314"/>
      <c r="BM1289" s="314"/>
      <c r="BN1289" s="314"/>
      <c r="BO1289" s="314"/>
      <c r="BP1289" s="314"/>
      <c r="BQ1289" s="314"/>
      <c r="BR1289" s="314"/>
      <c r="BS1289" s="314"/>
      <c r="BT1289" s="314"/>
      <c r="BU1289" s="314"/>
      <c r="BV1289" s="314"/>
      <c r="BW1289" s="314"/>
      <c r="BX1289" s="314"/>
      <c r="BY1289" s="314"/>
      <c r="BZ1289" s="314"/>
      <c r="CA1289" s="314"/>
      <c r="CB1289" s="314"/>
      <c r="CC1289" s="314"/>
      <c r="CD1289" s="314"/>
      <c r="CE1289" s="314"/>
      <c r="CF1289" s="314"/>
      <c r="CG1289" s="314"/>
      <c r="CH1289" s="314"/>
      <c r="CI1289" s="314"/>
      <c r="CJ1289" s="314"/>
      <c r="CK1289" s="314"/>
      <c r="CL1289" s="314"/>
      <c r="CM1289" s="314"/>
      <c r="CN1289" s="314"/>
      <c r="CO1289" s="314"/>
      <c r="CP1289" s="314"/>
      <c r="CQ1289" s="464" t="b">
        <f>CQ1287</f>
        <v>0</v>
      </c>
    </row>
    <row r="1290" spans="1:95" ht="12.75" customHeight="1" thickBot="1" x14ac:dyDescent="0.3">
      <c r="A1290" s="307"/>
      <c r="B1290" s="76"/>
      <c r="C1290" s="308"/>
      <c r="D1290" s="309"/>
      <c r="E1290" s="310"/>
      <c r="F1290" s="308"/>
      <c r="G1290" s="311"/>
      <c r="H1290" s="311"/>
      <c r="I1290" s="311"/>
      <c r="J1290" s="311"/>
      <c r="K1290" s="311"/>
      <c r="L1290" s="311"/>
      <c r="M1290" s="311"/>
      <c r="N1290" s="311"/>
      <c r="O1290" s="160"/>
      <c r="P1290" s="109"/>
      <c r="Q1290" s="312"/>
      <c r="R1290" s="312"/>
      <c r="S1290" s="293"/>
      <c r="T1290" s="293"/>
      <c r="U1290" s="313"/>
      <c r="V1290" s="293"/>
      <c r="W1290" s="293"/>
      <c r="X1290" s="313"/>
      <c r="Y1290" s="293"/>
      <c r="Z1290" s="293"/>
      <c r="AA1290" s="293"/>
      <c r="AB1290" s="293"/>
      <c r="AC1290" s="293"/>
      <c r="AD1290" s="293"/>
      <c r="AE1290" s="293"/>
      <c r="AF1290" s="293"/>
      <c r="AG1290" s="293"/>
      <c r="AH1290" s="293"/>
      <c r="AI1290" s="293"/>
      <c r="AJ1290" s="293"/>
      <c r="AK1290" s="293"/>
      <c r="AL1290" s="293"/>
      <c r="AM1290" s="293"/>
      <c r="AN1290" s="293"/>
      <c r="AO1290" s="293"/>
      <c r="AP1290" s="293"/>
      <c r="AQ1290" s="293"/>
      <c r="AR1290" s="293"/>
      <c r="AS1290" s="293"/>
      <c r="AT1290" s="293"/>
      <c r="AU1290" s="293"/>
      <c r="AV1290" s="293"/>
      <c r="AW1290" s="293"/>
      <c r="AX1290" s="293"/>
      <c r="AY1290" s="293"/>
      <c r="AZ1290" s="293"/>
      <c r="BA1290" s="293"/>
      <c r="BB1290" s="293"/>
      <c r="BC1290" s="293"/>
      <c r="BD1290" s="293"/>
      <c r="BE1290" s="293"/>
      <c r="BF1290" s="293"/>
      <c r="BG1290" s="293"/>
      <c r="BH1290" s="293"/>
      <c r="BI1290" s="293"/>
      <c r="BJ1290" s="293"/>
      <c r="BK1290" s="293"/>
      <c r="BL1290" s="293"/>
      <c r="BM1290" s="314"/>
      <c r="BN1290" s="314"/>
      <c r="BO1290" s="314"/>
      <c r="BP1290" s="314"/>
      <c r="BQ1290" s="314"/>
      <c r="BR1290" s="314"/>
      <c r="BS1290" s="314"/>
      <c r="BT1290" s="314"/>
      <c r="BU1290" s="293"/>
      <c r="BV1290" s="293"/>
      <c r="BW1290" s="293"/>
      <c r="BX1290" s="293"/>
      <c r="BY1290" s="293"/>
      <c r="BZ1290" s="293"/>
      <c r="CA1290" s="293"/>
      <c r="CB1290" s="293"/>
      <c r="CC1290" s="293"/>
      <c r="CD1290" s="293"/>
      <c r="CE1290" s="293"/>
      <c r="CF1290" s="293"/>
      <c r="CG1290" s="293"/>
      <c r="CH1290" s="293"/>
      <c r="CI1290" s="293"/>
      <c r="CJ1290" s="293"/>
      <c r="CK1290" s="293"/>
      <c r="CL1290" s="293"/>
      <c r="CM1290" s="293"/>
      <c r="CN1290" s="293"/>
      <c r="CO1290" s="293"/>
      <c r="CP1290" s="293"/>
      <c r="CQ1290" s="293"/>
    </row>
    <row r="1291" spans="1:95" ht="12.75" customHeight="1" thickBot="1" x14ac:dyDescent="0.3">
      <c r="A1291" s="315"/>
      <c r="B1291" s="76"/>
      <c r="C1291" s="76"/>
      <c r="D1291" s="205"/>
      <c r="E1291" s="316"/>
      <c r="F1291" s="76"/>
      <c r="G1291" s="96"/>
      <c r="H1291" s="96"/>
      <c r="I1291" s="96"/>
      <c r="J1291" s="96"/>
      <c r="K1291" s="76"/>
      <c r="L1291" s="96"/>
      <c r="M1291" s="96"/>
      <c r="N1291" s="96"/>
      <c r="O1291" s="160"/>
      <c r="P1291" s="109"/>
      <c r="Q1291" s="312"/>
      <c r="R1291" s="312"/>
      <c r="S1291" s="287"/>
      <c r="T1291" s="317" t="str">
        <f>IF(ISBLANK(E1292),"",MATCH(E1292,CNTR_SourceStreamNames,0))</f>
        <v/>
      </c>
      <c r="U1291" s="318" t="str">
        <f>IF(ISBLANK(E1292),"",INDEX(B_IdentifyFuelStreams!$D$67:$D$116,MATCH(E1292,CNTR_SourceStreamNames,0)))</f>
        <v/>
      </c>
      <c r="V1291" s="301"/>
      <c r="W1291" s="138"/>
      <c r="X1291" s="138"/>
      <c r="Y1291" s="138"/>
      <c r="Z1291" s="293"/>
      <c r="AA1291" s="293"/>
      <c r="AB1291" s="293"/>
      <c r="AC1291" s="293"/>
      <c r="AD1291" s="293"/>
      <c r="AE1291" s="293"/>
      <c r="AF1291" s="293"/>
      <c r="AG1291" s="293"/>
      <c r="AH1291" s="293"/>
      <c r="AI1291" s="293"/>
      <c r="AJ1291" s="293"/>
      <c r="AK1291" s="312"/>
      <c r="AL1291" s="293"/>
      <c r="AM1291" s="293"/>
      <c r="AN1291" s="293"/>
      <c r="AO1291" s="293"/>
      <c r="AP1291" s="293"/>
      <c r="AQ1291" s="293"/>
      <c r="AR1291" s="293"/>
      <c r="AS1291" s="293"/>
      <c r="AT1291" s="293"/>
      <c r="AU1291" s="293"/>
      <c r="AV1291" s="293"/>
      <c r="AW1291" s="293"/>
      <c r="AX1291" s="293"/>
      <c r="AY1291" s="293"/>
      <c r="AZ1291" s="293"/>
      <c r="BA1291" s="293"/>
      <c r="BB1291" s="293"/>
      <c r="BC1291" s="293"/>
      <c r="BD1291" s="293"/>
      <c r="BE1291" s="293"/>
      <c r="BF1291" s="293"/>
      <c r="BG1291" s="293"/>
      <c r="BH1291" s="293"/>
      <c r="BI1291" s="293"/>
      <c r="BJ1291" s="138"/>
      <c r="BK1291" s="138"/>
      <c r="BL1291" s="138"/>
      <c r="BM1291" s="138"/>
      <c r="BN1291" s="138"/>
      <c r="BO1291" s="138"/>
      <c r="BP1291" s="138"/>
      <c r="BQ1291" s="138"/>
      <c r="BR1291" s="138"/>
      <c r="BS1291" s="138"/>
      <c r="BT1291" s="138"/>
      <c r="BU1291" s="138"/>
      <c r="BV1291" s="138"/>
      <c r="BW1291" s="138"/>
      <c r="BX1291" s="138"/>
      <c r="BY1291" s="138"/>
      <c r="BZ1291" s="138"/>
      <c r="CA1291" s="138"/>
      <c r="CB1291" s="138"/>
      <c r="CC1291" s="138"/>
      <c r="CD1291" s="138"/>
      <c r="CE1291" s="138"/>
      <c r="CF1291" s="138"/>
      <c r="CG1291" s="138"/>
      <c r="CH1291" s="138"/>
      <c r="CI1291" s="138"/>
      <c r="CJ1291" s="138"/>
      <c r="CK1291" s="138"/>
      <c r="CL1291" s="138"/>
      <c r="CM1291" s="138"/>
      <c r="CN1291" s="138"/>
      <c r="CO1291" s="138"/>
      <c r="CP1291" s="138"/>
      <c r="CQ1291" s="319" t="s">
        <v>107</v>
      </c>
    </row>
    <row r="1292" spans="1:95" ht="15" customHeight="1" thickBot="1" x14ac:dyDescent="0.3">
      <c r="A1292" s="320">
        <f>C1292</f>
        <v>45</v>
      </c>
      <c r="B1292" s="68"/>
      <c r="C1292" s="321">
        <f>C1264+1</f>
        <v>45</v>
      </c>
      <c r="D1292" s="68"/>
      <c r="E1292" s="1269"/>
      <c r="F1292" s="1270"/>
      <c r="G1292" s="1270"/>
      <c r="H1292" s="1270"/>
      <c r="I1292" s="1270"/>
      <c r="J1292" s="1271"/>
      <c r="K1292" s="1272" t="str">
        <f>IF(INDEX(B_IdentifyFuelStreams!$K$125:$K$174,MATCH(U1291,B_IdentifyFuelStreams!$D$125:$D$174,0))&gt;0,INDEX(B_IdentifyFuelStreams!$K$125:$K$174,MATCH(U1291,B_IdentifyFuelStreams!$D$125:$D$174,0)),"")</f>
        <v/>
      </c>
      <c r="L1292" s="1273"/>
      <c r="M1292" s="316" t="str">
        <f>Translations!$B$621</f>
        <v>Emissions:</v>
      </c>
      <c r="N1292" s="322" t="str">
        <f>IF(E1293="","",BG1298)</f>
        <v/>
      </c>
      <c r="O1292" s="323" t="str">
        <f>EUconst_tCO2</f>
        <v>tCO2</v>
      </c>
      <c r="P1292" s="324" t="str">
        <f>IF(AND(E1292&lt;&gt;"",COUNTIF(P1293:$P$1649,"PRINT")=0),"PRINT","")</f>
        <v/>
      </c>
      <c r="Q1292" s="325" t="str">
        <f>EUconst_SumCO2</f>
        <v>SUM_CO2</v>
      </c>
      <c r="R1292" s="312"/>
      <c r="S1292" s="287"/>
      <c r="T1292" s="287"/>
      <c r="U1292" s="287"/>
      <c r="V1292" s="301"/>
      <c r="W1292" s="138"/>
      <c r="X1292" s="293"/>
      <c r="Y1292" s="293"/>
      <c r="Z1292" s="293"/>
      <c r="AA1292" s="293"/>
      <c r="AB1292" s="293"/>
      <c r="AC1292" s="293"/>
      <c r="AD1292" s="293"/>
      <c r="AE1292" s="293"/>
      <c r="AF1292" s="293"/>
      <c r="AG1292" s="293"/>
      <c r="AH1292" s="293"/>
      <c r="AI1292" s="326"/>
      <c r="AJ1292" s="326"/>
      <c r="AK1292" s="326"/>
      <c r="AL1292" s="326"/>
      <c r="AM1292" s="326"/>
      <c r="AN1292" s="326"/>
      <c r="AO1292" s="326"/>
      <c r="AP1292" s="326"/>
      <c r="AQ1292" s="326"/>
      <c r="AR1292" s="326"/>
      <c r="AS1292" s="326"/>
      <c r="AT1292" s="326"/>
      <c r="AU1292" s="326"/>
      <c r="AV1292" s="326"/>
      <c r="AW1292" s="326"/>
      <c r="AX1292" s="326"/>
      <c r="AY1292" s="326"/>
      <c r="AZ1292" s="326"/>
      <c r="BA1292" s="326"/>
      <c r="BB1292" s="326"/>
      <c r="BC1292" s="326"/>
      <c r="BD1292" s="326"/>
      <c r="BE1292" s="326"/>
      <c r="BF1292" s="326"/>
      <c r="BG1292" s="326"/>
      <c r="BH1292" s="326"/>
      <c r="BI1292" s="327" t="str">
        <f>IF(E1292="","",E1292)</f>
        <v/>
      </c>
      <c r="BJ1292" s="328" t="str">
        <f>IF(F1298="","",F1298)</f>
        <v/>
      </c>
      <c r="BK1292" s="329">
        <f>AV1298</f>
        <v>0</v>
      </c>
      <c r="BL1292" s="329">
        <f>IF(BK1292="","",BK1292*(1-BP1292))</f>
        <v>0</v>
      </c>
      <c r="BM1292" s="328" t="str">
        <f>AJ1298</f>
        <v/>
      </c>
      <c r="BN1292" s="328" t="str">
        <f>IF(F1309="","",F1309)</f>
        <v/>
      </c>
      <c r="BO1292" s="327" t="str">
        <f>IF(G1309="","",G1309)</f>
        <v/>
      </c>
      <c r="BP1292" s="330">
        <f>AV1309</f>
        <v>0</v>
      </c>
      <c r="BQ1292" s="328" t="str">
        <f>IF(F1301="","",F1301)</f>
        <v/>
      </c>
      <c r="BR1292" s="330">
        <f>AV1301</f>
        <v>0</v>
      </c>
      <c r="BS1292" s="330" t="str">
        <f>AJ1301</f>
        <v/>
      </c>
      <c r="BT1292" s="328" t="str">
        <f>IF(F1300="","",F1300)</f>
        <v/>
      </c>
      <c r="BU1292" s="330">
        <f>IF(F1300=EUconst_NA,"",AV1300)</f>
        <v>0</v>
      </c>
      <c r="BV1292" s="330" t="str">
        <f>AJ1300</f>
        <v/>
      </c>
      <c r="BW1292" s="328" t="str">
        <f>IF(F1302="","",F1302)</f>
        <v/>
      </c>
      <c r="BX1292" s="330">
        <f>AV1302</f>
        <v>0</v>
      </c>
      <c r="BY1292" s="328" t="str">
        <f>IF(F1303="","",F1303)</f>
        <v/>
      </c>
      <c r="BZ1292" s="330">
        <f>AV1303</f>
        <v>0</v>
      </c>
      <c r="CA1292" s="330">
        <f>AV1304</f>
        <v>0</v>
      </c>
      <c r="CB1292" s="330">
        <f>AV1305</f>
        <v>0</v>
      </c>
      <c r="CC1292" s="330">
        <f>AV1306</f>
        <v>0</v>
      </c>
      <c r="CD1292" s="330">
        <f>AV1307</f>
        <v>0</v>
      </c>
      <c r="CE1292" s="329" t="str">
        <f>BG1298</f>
        <v/>
      </c>
      <c r="CF1292" s="329" t="str">
        <f>BG1300</f>
        <v/>
      </c>
      <c r="CG1292" s="329" t="str">
        <f>BG1301</f>
        <v/>
      </c>
      <c r="CH1292" s="329" t="str">
        <f>BG1302</f>
        <v/>
      </c>
      <c r="CI1292" s="329" t="str">
        <f>BG1303</f>
        <v/>
      </c>
      <c r="CJ1292" s="329" t="str">
        <f>BG1304</f>
        <v/>
      </c>
      <c r="CK1292" s="329" t="str">
        <f>BG1305</f>
        <v/>
      </c>
      <c r="CL1292" s="329">
        <f>BG1306</f>
        <v>0</v>
      </c>
      <c r="CM1292" s="329" t="str">
        <f>BG1307</f>
        <v/>
      </c>
      <c r="CN1292" s="329" t="str">
        <f>BG1309</f>
        <v/>
      </c>
      <c r="CO1292" s="329" t="str">
        <f>BG1313</f>
        <v/>
      </c>
      <c r="CP1292" s="329" t="str">
        <f>IF(COUNTIF(AO1301:AO1302,TRUE)=0,"",BH1298)</f>
        <v/>
      </c>
      <c r="CQ1292" s="331" t="b">
        <v>0</v>
      </c>
    </row>
    <row r="1293" spans="1:95" ht="15" customHeight="1" thickBot="1" x14ac:dyDescent="0.3">
      <c r="A1293" s="307"/>
      <c r="B1293" s="68"/>
      <c r="C1293" s="68"/>
      <c r="D1293" s="68"/>
      <c r="E1293" s="1274" t="str">
        <f>IF(ISBLANK(E1292),"",IF(INDEX(B_IdentifyFuelStreams!$E$67:$E$116,MATCH(U1291,B_IdentifyFuelStreams!$D$67:$D$116,0))&gt;0,INDEX(B_IdentifyFuelStreams!$E$67:$E$116,MATCH(U1291,B_IdentifyFuelStreams!$D$67:$D$116,0)),""))</f>
        <v/>
      </c>
      <c r="F1293" s="1275"/>
      <c r="G1293" s="1275"/>
      <c r="H1293" s="1275"/>
      <c r="I1293" s="1275"/>
      <c r="J1293" s="1276"/>
      <c r="K1293" s="1272" t="str">
        <f>IF(INDEX(B_IdentifyFuelStreams!$M$125:$M$174,MATCH(U1291,B_IdentifyFuelStreams!$D$125:$D$174,0))&gt;0,INDEX(B_IdentifyFuelStreams!$M$125:$M$174,MATCH(U1291,B_IdentifyFuelStreams!$D$125:$D$174,0)),"")</f>
        <v/>
      </c>
      <c r="L1293" s="1273"/>
      <c r="M1293" s="332" t="str">
        <f>Translations!$B$622</f>
        <v>zero-rated:</v>
      </c>
      <c r="N1293" s="333" t="str">
        <f>IF(E1293="","",SUM(BG1300,BG1302,BG1304))</f>
        <v/>
      </c>
      <c r="O1293" s="334" t="str">
        <f>EUconst_tCO2</f>
        <v>tCO2</v>
      </c>
      <c r="P1293" s="109"/>
      <c r="Q1293" s="325" t="str">
        <f>EUconst_SumBioCO2</f>
        <v>SUM_bioCO2</v>
      </c>
      <c r="R1293" s="312"/>
      <c r="S1293" s="287"/>
      <c r="T1293" s="287"/>
      <c r="U1293" s="287"/>
      <c r="V1293" s="301"/>
      <c r="W1293" s="138"/>
      <c r="X1293" s="293"/>
      <c r="Y1293" s="317" t="str">
        <f>Translations!$B$143</f>
        <v>Tiers</v>
      </c>
      <c r="Z1293" s="314"/>
      <c r="AA1293" s="314"/>
      <c r="AB1293" s="314"/>
      <c r="AC1293" s="314"/>
      <c r="AD1293" s="314"/>
      <c r="AE1293" s="317" t="s">
        <v>108</v>
      </c>
      <c r="AF1293" s="293"/>
      <c r="AG1293" s="335"/>
      <c r="AH1293" s="314"/>
      <c r="AI1293" s="314"/>
      <c r="AJ1293" s="335"/>
      <c r="AK1293" s="335"/>
      <c r="AL1293" s="326"/>
      <c r="AM1293" s="326"/>
      <c r="AN1293" s="326"/>
      <c r="AO1293" s="326"/>
      <c r="AP1293" s="326"/>
      <c r="AQ1293" s="317" t="s">
        <v>109</v>
      </c>
      <c r="AR1293" s="336"/>
      <c r="AS1293" s="336"/>
      <c r="AT1293" s="314"/>
      <c r="AU1293" s="314"/>
      <c r="AV1293" s="314"/>
      <c r="AW1293" s="314"/>
      <c r="AX1293" s="314"/>
      <c r="AY1293" s="314"/>
      <c r="AZ1293" s="317" t="s">
        <v>110</v>
      </c>
      <c r="BA1293" s="314"/>
      <c r="BB1293" s="314"/>
      <c r="BC1293" s="314"/>
      <c r="BD1293" s="314"/>
      <c r="BE1293" s="314"/>
      <c r="BF1293" s="317" t="s">
        <v>111</v>
      </c>
      <c r="BG1293" s="314"/>
      <c r="BH1293" s="314"/>
      <c r="BI1293" s="317" t="s">
        <v>112</v>
      </c>
      <c r="BJ1293" s="328" t="str">
        <f>Translations!$B$376</f>
        <v>RFA Tier</v>
      </c>
      <c r="BK1293" s="328" t="str">
        <f>Translations!$B$377</f>
        <v>RFA</v>
      </c>
      <c r="BL1293" s="328" t="str">
        <f>Translations!$B$378</f>
        <v>RFA (in scope)</v>
      </c>
      <c r="BM1293" s="328" t="str">
        <f>Translations!$B$379</f>
        <v>RFA Unit</v>
      </c>
      <c r="BN1293" s="328" t="str">
        <f>Translations!$B$380</f>
        <v>SF Tier</v>
      </c>
      <c r="BO1293" s="328" t="str">
        <f>Translations!$B$380</f>
        <v>SF Tier</v>
      </c>
      <c r="BP1293" s="328" t="str">
        <f>Translations!$B$381</f>
        <v>SF</v>
      </c>
      <c r="BQ1293" s="328" t="str">
        <f>Translations!$B$382</f>
        <v>EF Tier</v>
      </c>
      <c r="BR1293" s="328" t="str">
        <f>Translations!$B$383</f>
        <v>EF</v>
      </c>
      <c r="BS1293" s="328" t="str">
        <f>Translations!$B$384</f>
        <v>EF Unit</v>
      </c>
      <c r="BT1293" s="328" t="str">
        <f>Translations!$B$385</f>
        <v>UCF Tier</v>
      </c>
      <c r="BU1293" s="328" t="str">
        <f>Translations!$B$386</f>
        <v>UCF</v>
      </c>
      <c r="BV1293" s="328" t="str">
        <f>Translations!$B$387</f>
        <v>UCF Unit</v>
      </c>
      <c r="BW1293" s="328" t="str">
        <f>Translations!$B$388</f>
        <v>Bio Tier</v>
      </c>
      <c r="BX1293" s="328" t="s">
        <v>113</v>
      </c>
      <c r="BY1293" s="328" t="str">
        <f>Translations!$B$389</f>
        <v>NonSustBio Tier</v>
      </c>
      <c r="BZ1293" s="328" t="s">
        <v>114</v>
      </c>
      <c r="CA1293" s="328" t="s">
        <v>115</v>
      </c>
      <c r="CB1293" s="328" t="s">
        <v>116</v>
      </c>
      <c r="CC1293" s="328" t="s">
        <v>117</v>
      </c>
      <c r="CD1293" s="328" t="s">
        <v>118</v>
      </c>
      <c r="CE1293" s="328" t="s">
        <v>119</v>
      </c>
      <c r="CF1293" s="328" t="s">
        <v>120</v>
      </c>
      <c r="CG1293" s="328" t="str">
        <f>Translations!$B$392</f>
        <v>CO2 non-sust</v>
      </c>
      <c r="CH1293" s="328" t="s">
        <v>121</v>
      </c>
      <c r="CI1293" s="328" t="s">
        <v>122</v>
      </c>
      <c r="CJ1293" s="328" t="s">
        <v>123</v>
      </c>
      <c r="CK1293" s="328" t="s">
        <v>124</v>
      </c>
      <c r="CL1293" s="328" t="s">
        <v>125</v>
      </c>
      <c r="CM1293" s="328" t="str">
        <f>Translations!$B$551</f>
        <v>Energy content (bio), TJ</v>
      </c>
      <c r="CN1293" s="328" t="s">
        <v>126</v>
      </c>
      <c r="CO1293" s="328" t="s">
        <v>127</v>
      </c>
      <c r="CP1293" s="328" t="s">
        <v>128</v>
      </c>
      <c r="CQ1293" s="314"/>
    </row>
    <row r="1294" spans="1:95" ht="5.15" customHeight="1" thickBot="1" x14ac:dyDescent="0.3">
      <c r="A1294" s="307"/>
      <c r="B1294" s="68"/>
      <c r="C1294" s="68"/>
      <c r="D1294" s="68"/>
      <c r="E1294" s="68"/>
      <c r="F1294" s="68"/>
      <c r="G1294" s="68"/>
      <c r="H1294" s="76"/>
      <c r="I1294" s="76"/>
      <c r="J1294" s="76"/>
      <c r="K1294" s="76"/>
      <c r="L1294" s="76"/>
      <c r="M1294" s="76"/>
      <c r="N1294" s="76"/>
      <c r="O1294" s="160"/>
      <c r="P1294" s="109"/>
      <c r="Q1294" s="312"/>
      <c r="R1294" s="312"/>
      <c r="S1294" s="287"/>
      <c r="T1294" s="287"/>
      <c r="U1294" s="287"/>
      <c r="V1294" s="301"/>
      <c r="W1294" s="314"/>
      <c r="X1294" s="314"/>
      <c r="Y1294" s="312"/>
      <c r="Z1294" s="314"/>
      <c r="AA1294" s="314"/>
      <c r="AB1294" s="314"/>
      <c r="AC1294" s="314"/>
      <c r="AD1294" s="314"/>
      <c r="AE1294" s="314"/>
      <c r="AF1294" s="293"/>
      <c r="AG1294" s="314"/>
      <c r="AH1294" s="314"/>
      <c r="AI1294" s="314"/>
      <c r="AJ1294" s="335"/>
      <c r="AK1294" s="335"/>
      <c r="AL1294" s="326"/>
      <c r="AM1294" s="326"/>
      <c r="AN1294" s="326"/>
      <c r="AO1294" s="326"/>
      <c r="AP1294" s="326"/>
      <c r="AQ1294" s="314"/>
      <c r="AR1294" s="314"/>
      <c r="AS1294" s="314"/>
      <c r="AT1294" s="314"/>
      <c r="AU1294" s="314"/>
      <c r="AV1294" s="314"/>
      <c r="AW1294" s="314"/>
      <c r="AX1294" s="314"/>
      <c r="AY1294" s="314"/>
      <c r="AZ1294" s="314"/>
      <c r="BA1294" s="314"/>
      <c r="BB1294" s="314"/>
      <c r="BC1294" s="314"/>
      <c r="BD1294" s="314"/>
      <c r="BE1294" s="314"/>
      <c r="BF1294" s="314"/>
      <c r="BG1294" s="314"/>
      <c r="BH1294" s="314"/>
      <c r="BI1294" s="314"/>
      <c r="BJ1294" s="314"/>
      <c r="BK1294" s="314"/>
      <c r="BL1294" s="314"/>
      <c r="BM1294" s="314"/>
      <c r="BN1294" s="314"/>
      <c r="BO1294" s="314"/>
      <c r="BP1294" s="314"/>
      <c r="BQ1294" s="314"/>
      <c r="BR1294" s="314"/>
      <c r="BS1294" s="314"/>
      <c r="BT1294" s="314"/>
      <c r="BU1294" s="314"/>
      <c r="BV1294" s="314"/>
      <c r="BW1294" s="314"/>
      <c r="BX1294" s="314"/>
      <c r="BY1294" s="314"/>
      <c r="BZ1294" s="314"/>
      <c r="CA1294" s="314"/>
      <c r="CB1294" s="314"/>
      <c r="CC1294" s="314"/>
      <c r="CD1294" s="314"/>
      <c r="CE1294" s="314"/>
      <c r="CF1294" s="314"/>
      <c r="CG1294" s="314"/>
      <c r="CH1294" s="314"/>
      <c r="CI1294" s="314"/>
      <c r="CJ1294" s="314"/>
      <c r="CK1294" s="314"/>
      <c r="CL1294" s="314"/>
      <c r="CM1294" s="314"/>
      <c r="CN1294" s="314"/>
      <c r="CO1294" s="314"/>
      <c r="CP1294" s="314"/>
      <c r="CQ1294" s="314"/>
    </row>
    <row r="1295" spans="1:95" ht="12.75" customHeight="1" thickBot="1" x14ac:dyDescent="0.3">
      <c r="A1295" s="307"/>
      <c r="B1295" s="68"/>
      <c r="C1295" s="68"/>
      <c r="D1295" s="68"/>
      <c r="E1295" s="1253" t="str">
        <f>IF(E1292="","",HYPERLINK("#JUMP_E_Top",EUconst_FurtherGuidancePoint1))</f>
        <v/>
      </c>
      <c r="F1295" s="1253"/>
      <c r="G1295" s="1253"/>
      <c r="H1295" s="1253"/>
      <c r="I1295" s="1253"/>
      <c r="J1295" s="1253"/>
      <c r="K1295" s="1253"/>
      <c r="L1295" s="1253"/>
      <c r="M1295" s="1253"/>
      <c r="N1295" s="76"/>
      <c r="O1295" s="160"/>
      <c r="P1295" s="109"/>
      <c r="Q1295" s="325" t="str">
        <f>EUconst_SumNonSustBioCO2</f>
        <v>SUM_bioNonSustCO2</v>
      </c>
      <c r="R1295" s="337" t="str">
        <f>IF(E1293="","",BG1301)</f>
        <v/>
      </c>
      <c r="S1295" s="287"/>
      <c r="T1295" s="287"/>
      <c r="U1295" s="287"/>
      <c r="V1295" s="314"/>
      <c r="W1295" s="314"/>
      <c r="X1295" s="314"/>
      <c r="Y1295" s="293"/>
      <c r="Z1295" s="314"/>
      <c r="AA1295" s="314"/>
      <c r="AB1295" s="314"/>
      <c r="AC1295" s="314"/>
      <c r="AD1295" s="314"/>
      <c r="AE1295" s="314"/>
      <c r="AF1295" s="293"/>
      <c r="AG1295" s="314"/>
      <c r="AH1295" s="314"/>
      <c r="AI1295" s="314"/>
      <c r="AJ1295" s="335"/>
      <c r="AK1295" s="335"/>
      <c r="AL1295" s="326"/>
      <c r="AM1295" s="326"/>
      <c r="AN1295" s="326"/>
      <c r="AO1295" s="326"/>
      <c r="AP1295" s="326"/>
      <c r="AQ1295" s="314"/>
      <c r="AR1295" s="314"/>
      <c r="AS1295" s="314"/>
      <c r="AT1295" s="314"/>
      <c r="AU1295" s="314"/>
      <c r="AV1295" s="314"/>
      <c r="AW1295" s="314"/>
      <c r="AX1295" s="314"/>
      <c r="AY1295" s="314"/>
      <c r="AZ1295" s="314"/>
      <c r="BA1295" s="314"/>
      <c r="BB1295" s="314"/>
      <c r="BC1295" s="314"/>
      <c r="BD1295" s="314"/>
      <c r="BE1295" s="314"/>
      <c r="BF1295" s="314"/>
      <c r="BG1295" s="314"/>
      <c r="BH1295" s="314"/>
      <c r="BI1295" s="317" t="s">
        <v>129</v>
      </c>
      <c r="BJ1295" s="336"/>
      <c r="BK1295" s="327" t="str">
        <f>IF(G1313="","",G1313)</f>
        <v/>
      </c>
      <c r="BL1295" s="327" t="str">
        <f>IF(I1313="","",I1313)</f>
        <v/>
      </c>
      <c r="BM1295" s="327" t="str">
        <f>IF(K1313="","",K1313)</f>
        <v/>
      </c>
      <c r="BN1295" s="314"/>
      <c r="BO1295" s="314"/>
      <c r="BP1295" s="314"/>
      <c r="BQ1295" s="314"/>
      <c r="BR1295" s="314"/>
      <c r="BS1295" s="314"/>
      <c r="BT1295" s="319"/>
      <c r="BU1295" s="314"/>
      <c r="BV1295" s="314"/>
      <c r="BW1295" s="314"/>
      <c r="BX1295" s="314"/>
      <c r="BY1295" s="314"/>
      <c r="BZ1295" s="314"/>
      <c r="CA1295" s="314"/>
      <c r="CB1295" s="314"/>
      <c r="CC1295" s="314"/>
      <c r="CD1295" s="314"/>
      <c r="CE1295" s="314"/>
      <c r="CF1295" s="314"/>
      <c r="CG1295" s="314"/>
      <c r="CH1295" s="314"/>
      <c r="CI1295" s="314"/>
      <c r="CJ1295" s="314"/>
      <c r="CK1295" s="314"/>
      <c r="CL1295" s="314"/>
      <c r="CM1295" s="314"/>
      <c r="CN1295" s="314"/>
      <c r="CO1295" s="314"/>
      <c r="CP1295" s="314"/>
      <c r="CQ1295" s="314"/>
    </row>
    <row r="1296" spans="1:95" ht="5.15" customHeight="1" thickBot="1" x14ac:dyDescent="0.3">
      <c r="A1296" s="307"/>
      <c r="B1296" s="68"/>
      <c r="C1296" s="68"/>
      <c r="D1296" s="68"/>
      <c r="E1296" s="68"/>
      <c r="F1296" s="68"/>
      <c r="G1296" s="68"/>
      <c r="H1296" s="76"/>
      <c r="I1296" s="76"/>
      <c r="J1296" s="76"/>
      <c r="K1296" s="76"/>
      <c r="L1296" s="76"/>
      <c r="M1296" s="76"/>
      <c r="N1296" s="76"/>
      <c r="O1296" s="160"/>
      <c r="P1296" s="111"/>
      <c r="Q1296" s="287"/>
      <c r="R1296" s="111"/>
      <c r="S1296" s="287"/>
      <c r="T1296" s="287"/>
      <c r="U1296" s="287"/>
      <c r="V1296" s="314"/>
      <c r="W1296" s="314"/>
      <c r="X1296" s="314"/>
      <c r="Y1296" s="312"/>
      <c r="Z1296" s="314"/>
      <c r="AA1296" s="314"/>
      <c r="AB1296" s="314"/>
      <c r="AC1296" s="314"/>
      <c r="AD1296" s="314"/>
      <c r="AE1296" s="314"/>
      <c r="AF1296" s="293"/>
      <c r="AG1296" s="314"/>
      <c r="AH1296" s="314"/>
      <c r="AI1296" s="314"/>
      <c r="AJ1296" s="335"/>
      <c r="AK1296" s="335"/>
      <c r="AL1296" s="326"/>
      <c r="AM1296" s="326"/>
      <c r="AN1296" s="326"/>
      <c r="AO1296" s="326"/>
      <c r="AP1296" s="326"/>
      <c r="AQ1296" s="314"/>
      <c r="AR1296" s="314"/>
      <c r="AS1296" s="314"/>
      <c r="AT1296" s="314"/>
      <c r="AU1296" s="314"/>
      <c r="AV1296" s="314"/>
      <c r="AW1296" s="314"/>
      <c r="AX1296" s="314"/>
      <c r="AY1296" s="314"/>
      <c r="AZ1296" s="314"/>
      <c r="BA1296" s="314"/>
      <c r="BB1296" s="314"/>
      <c r="BC1296" s="314"/>
      <c r="BD1296" s="314"/>
      <c r="BE1296" s="314"/>
      <c r="BF1296" s="314"/>
      <c r="BG1296" s="314"/>
      <c r="BH1296" s="314"/>
      <c r="BI1296" s="314"/>
      <c r="BJ1296" s="314"/>
      <c r="BK1296" s="314"/>
      <c r="BL1296" s="314"/>
      <c r="BM1296" s="314"/>
      <c r="BN1296" s="314"/>
      <c r="BO1296" s="314"/>
      <c r="BP1296" s="314"/>
      <c r="BQ1296" s="314"/>
      <c r="BR1296" s="314"/>
      <c r="BS1296" s="314"/>
      <c r="BT1296" s="314"/>
      <c r="BU1296" s="314"/>
      <c r="BV1296" s="314"/>
      <c r="BW1296" s="314"/>
      <c r="BX1296" s="314"/>
      <c r="BY1296" s="314"/>
      <c r="BZ1296" s="314"/>
      <c r="CA1296" s="314"/>
      <c r="CB1296" s="314"/>
      <c r="CC1296" s="314"/>
      <c r="CD1296" s="314"/>
      <c r="CE1296" s="314"/>
      <c r="CF1296" s="314"/>
      <c r="CG1296" s="314"/>
      <c r="CH1296" s="314"/>
      <c r="CI1296" s="314"/>
      <c r="CJ1296" s="314"/>
      <c r="CK1296" s="314"/>
      <c r="CL1296" s="314"/>
      <c r="CM1296" s="314"/>
      <c r="CN1296" s="314"/>
      <c r="CO1296" s="314"/>
      <c r="CP1296" s="314"/>
      <c r="CQ1296" s="314"/>
    </row>
    <row r="1297" spans="1:95" ht="12.75" customHeight="1" thickBot="1" x14ac:dyDescent="0.3">
      <c r="A1297" s="307"/>
      <c r="B1297" s="68"/>
      <c r="C1297" s="68"/>
      <c r="D1297" s="68"/>
      <c r="E1297" s="68"/>
      <c r="F1297" s="338" t="str">
        <f>Translations!$B$127</f>
        <v>Tier</v>
      </c>
      <c r="G1297" s="1254" t="str">
        <f>Translations!$B$393</f>
        <v>tier description</v>
      </c>
      <c r="H1297" s="1254"/>
      <c r="I1297" s="1255" t="str">
        <f>Translations!$B$394</f>
        <v>Unit</v>
      </c>
      <c r="J1297" s="1255"/>
      <c r="K1297" s="1255" t="str">
        <f>Translations!$B$395</f>
        <v>Value</v>
      </c>
      <c r="L1297" s="1255"/>
      <c r="M1297" s="205" t="str">
        <f>Translations!$B$396</f>
        <v>error</v>
      </c>
      <c r="N1297" s="76"/>
      <c r="O1297" s="160"/>
      <c r="P1297" s="339"/>
      <c r="Q1297" s="325" t="str">
        <f>EUconst_SumEnergyIN</f>
        <v>SUM_EnergyIN</v>
      </c>
      <c r="R1297" s="340" t="str">
        <f>IF(E1293="","",BG1306)</f>
        <v/>
      </c>
      <c r="S1297" s="314"/>
      <c r="T1297" s="314"/>
      <c r="U1297" s="314"/>
      <c r="V1297" s="341" t="s">
        <v>130</v>
      </c>
      <c r="W1297" s="314"/>
      <c r="X1297" s="314"/>
      <c r="Y1297" s="312" t="s">
        <v>131</v>
      </c>
      <c r="Z1297" s="312" t="s">
        <v>132</v>
      </c>
      <c r="AA1297" s="314"/>
      <c r="AB1297" s="314"/>
      <c r="AC1297" s="336" t="s">
        <v>133</v>
      </c>
      <c r="AD1297" s="314"/>
      <c r="AE1297" s="314"/>
      <c r="AF1297" s="314" t="s">
        <v>134</v>
      </c>
      <c r="AG1297" s="314" t="s">
        <v>135</v>
      </c>
      <c r="AH1297" s="312" t="s">
        <v>136</v>
      </c>
      <c r="AI1297" s="335" t="s">
        <v>137</v>
      </c>
      <c r="AJ1297" s="335" t="s">
        <v>138</v>
      </c>
      <c r="AK1297" s="342" t="s">
        <v>139</v>
      </c>
      <c r="AL1297" s="326"/>
      <c r="AM1297" s="326"/>
      <c r="AN1297" s="326"/>
      <c r="AO1297" s="326"/>
      <c r="AP1297" s="326"/>
      <c r="AQ1297" s="314"/>
      <c r="AR1297" s="314" t="s">
        <v>134</v>
      </c>
      <c r="AS1297" s="314" t="s">
        <v>135</v>
      </c>
      <c r="AT1297" s="343" t="s">
        <v>140</v>
      </c>
      <c r="AU1297" s="335" t="s">
        <v>141</v>
      </c>
      <c r="AV1297" s="335" t="s">
        <v>142</v>
      </c>
      <c r="AW1297" s="342" t="s">
        <v>139</v>
      </c>
      <c r="AX1297" s="342" t="s">
        <v>139</v>
      </c>
      <c r="AY1297" s="314"/>
      <c r="AZ1297" s="314"/>
      <c r="BA1297" s="314"/>
      <c r="BB1297" s="314" t="s">
        <v>143</v>
      </c>
      <c r="BC1297" s="314"/>
      <c r="BD1297" s="314"/>
      <c r="BE1297" s="314"/>
      <c r="BF1297" s="314"/>
      <c r="BG1297" s="319" t="s">
        <v>144</v>
      </c>
      <c r="BH1297" s="314" t="s">
        <v>145</v>
      </c>
      <c r="BI1297" s="314"/>
      <c r="BJ1297" s="314"/>
      <c r="BK1297" s="314"/>
      <c r="BL1297" s="314"/>
      <c r="BM1297" s="314"/>
      <c r="BN1297" s="314"/>
      <c r="BO1297" s="314"/>
      <c r="BP1297" s="314"/>
      <c r="BQ1297" s="314"/>
      <c r="BR1297" s="314"/>
      <c r="BS1297" s="314"/>
      <c r="BT1297" s="314"/>
      <c r="BU1297" s="314"/>
      <c r="BV1297" s="314"/>
      <c r="BW1297" s="314"/>
      <c r="BX1297" s="314"/>
      <c r="BY1297" s="314"/>
      <c r="BZ1297" s="314"/>
      <c r="CA1297" s="314"/>
      <c r="CB1297" s="314"/>
      <c r="CC1297" s="314"/>
      <c r="CD1297" s="314"/>
      <c r="CE1297" s="314"/>
      <c r="CF1297" s="314"/>
      <c r="CG1297" s="314"/>
      <c r="CH1297" s="314"/>
      <c r="CI1297" s="314"/>
      <c r="CJ1297" s="314"/>
      <c r="CK1297" s="314"/>
      <c r="CL1297" s="314"/>
      <c r="CM1297" s="314"/>
      <c r="CN1297" s="314"/>
      <c r="CO1297" s="314"/>
      <c r="CP1297" s="314"/>
      <c r="CQ1297" s="319" t="s">
        <v>107</v>
      </c>
    </row>
    <row r="1298" spans="1:95" ht="12.75" customHeight="1" thickBot="1" x14ac:dyDescent="0.3">
      <c r="A1298" s="307"/>
      <c r="B1298" s="68"/>
      <c r="C1298" s="199" t="s">
        <v>12</v>
      </c>
      <c r="D1298" s="344" t="str">
        <f>Translations!$B$356</f>
        <v>RFA:</v>
      </c>
      <c r="E1298" s="345"/>
      <c r="F1298" s="6"/>
      <c r="G1298" s="1256" t="str">
        <f>IF(OR(ISBLANK(F1298),F1298=EUconst_NoTier),"",IF(Z1298=0,EUconst_NA,IF(ISERROR(Z1298),"",Z1298)))</f>
        <v/>
      </c>
      <c r="H1298" s="1257"/>
      <c r="I1298" s="346" t="str">
        <f>IF(J1298&lt;&gt;"","",AI1298)</f>
        <v/>
      </c>
      <c r="J1298" s="7"/>
      <c r="K1298" s="1258"/>
      <c r="L1298" s="1259"/>
      <c r="M1298" s="347" t="str">
        <f>IF(AND(E1293&lt;&gt;"",OR(F1298="",COUNT(K1298)=0),Y1298&lt;&gt;EUconst_NA),EUconst_ERR_Incomplete,"")</f>
        <v/>
      </c>
      <c r="N1298" s="76"/>
      <c r="O1298" s="160"/>
      <c r="P1298" s="348"/>
      <c r="Q1298" s="325" t="str">
        <f>EUconst_SumBioEnergyIN</f>
        <v>SUM_BioEnergyIN</v>
      </c>
      <c r="R1298" s="340" t="str">
        <f>IF(E1293="","",BG1307)</f>
        <v/>
      </c>
      <c r="S1298" s="314"/>
      <c r="T1298" s="349" t="str">
        <f>EUconst_CNTR_ActivityData&amp;E1293</f>
        <v>ActivityData_</v>
      </c>
      <c r="U1298" s="312"/>
      <c r="V1298" s="349" t="str">
        <f>IF(E1292="","",INDEX(B_IdentifyFuelStreams!$I$67:$I$116,MATCH(U1291,B_IdentifyFuelStreams!$D$67:$D$116,0)))</f>
        <v/>
      </c>
      <c r="W1298" s="335" t="s">
        <v>146</v>
      </c>
      <c r="X1298" s="312"/>
      <c r="Y1298" s="350" t="str">
        <f>IF(E1293="","",INDEX(EUwideConstants!$P$164:$P$200,MATCH(T1298,EUwideConstants!$S$164:$S$200,0)))</f>
        <v/>
      </c>
      <c r="Z1298" s="351" t="str">
        <f>IF(ISBLANK(F1298),"",IF(F1298=EUconst_NA,"",INDEX(EUwideConstants!$H:$O,MATCH(T1298,EUwideConstants!$S:$S,0),MATCH(F1298,CNTR_TierList,0))))</f>
        <v/>
      </c>
      <c r="AA1298" s="352" t="s">
        <v>136</v>
      </c>
      <c r="AB1298" s="335"/>
      <c r="AC1298" s="331" t="b">
        <f>E1292&lt;&gt;""</f>
        <v>0</v>
      </c>
      <c r="AD1298" s="314"/>
      <c r="AE1298" s="353" t="str">
        <f>EUconst_CNTR_ActivityData&amp;EUconst_Unit</f>
        <v>ActivityData_Unit</v>
      </c>
      <c r="AF1298" s="354" t="str">
        <f>IF(AC1298=TRUE, IF(COUNTIF(MSPara_SourceStreamCategory,V1298)=0,"",INDEX(MSPara_CalcFactorsMatrix,MATCH(V1298,MSPara_SourceStreamCategory,0),MATCH(AE1298&amp;"_"&amp;2,MSPara_CalcFactors,0))),"")</f>
        <v/>
      </c>
      <c r="AG1298" s="355" t="str">
        <f>IF(AC1298=TRUE, IF(COUNTIF(MSPara_SourceStreamCategory,V1298)=0,"",INDEX(MSPara_CalcFactorsMatrix,MATCH(V1298,MSPara_SourceStreamCategory,0),MATCH(AE1298&amp;"_"&amp;1,MSPara_CalcFactors,0))),"")</f>
        <v/>
      </c>
      <c r="AH1298" s="331" t="str">
        <f>IF(OR(AF1298="",AF1298=EUconst_NA),IF(OR(AG1298=EUconst_NA,AG1298=""),"",AG1298),AF1298)</f>
        <v/>
      </c>
      <c r="AI1298" s="350" t="str">
        <f>IF(AC1298=TRUE,IF(AH1298="",EUconst_t,AH1298),"")</f>
        <v/>
      </c>
      <c r="AJ1298" s="356" t="str">
        <f>IF(J1298="",AI1298,J1298)</f>
        <v/>
      </c>
      <c r="AK1298" s="357" t="b">
        <f>AND(E1292&lt;&gt;"",J1298&lt;&gt;"")</f>
        <v>0</v>
      </c>
      <c r="AL1298" s="326"/>
      <c r="AM1298" s="358" t="s">
        <v>147</v>
      </c>
      <c r="AN1298" s="359" t="str">
        <f>AJ1298</f>
        <v/>
      </c>
      <c r="AO1298" s="326"/>
      <c r="AP1298" s="326"/>
      <c r="AQ1298" s="349" t="str">
        <f>EUconst_CNTR_ActivityData&amp;EUconst_Value</f>
        <v>ActivityData_Value</v>
      </c>
      <c r="AR1298" s="336"/>
      <c r="AS1298" s="336"/>
      <c r="AT1298" s="331" t="b">
        <f>AND(AND(AH1298&lt;&gt;"",AJ1298&lt;&gt;""),AJ1298=AH1298)</f>
        <v>0</v>
      </c>
      <c r="AU1298" s="314"/>
      <c r="AV1298" s="331">
        <f>IF(Y1298=EUconst_NA,0,IF(COUNT(K1298:K1298)=0,0,IF(K1298="",#REF!,K1298)))</f>
        <v>0</v>
      </c>
      <c r="AW1298" s="360" t="b">
        <f>AND(AC1298=TRUE,OR(K1298&lt;&gt;"",AU1298=""))</f>
        <v>0</v>
      </c>
      <c r="AX1298" s="360" t="b">
        <f>AND(AC1298=TRUE,NOT(AW1298))</f>
        <v>0</v>
      </c>
      <c r="AY1298" s="314"/>
      <c r="AZ1298" s="314" t="s">
        <v>148</v>
      </c>
      <c r="BA1298" s="314" t="s">
        <v>149</v>
      </c>
      <c r="BB1298" s="360"/>
      <c r="BC1298" s="314" t="s">
        <v>150</v>
      </c>
      <c r="BD1298" s="314"/>
      <c r="BE1298" s="314"/>
      <c r="BF1298" s="361" t="s">
        <v>119</v>
      </c>
      <c r="BG1298" s="362" t="str">
        <f>IF(COUNTIF(AO1301:AO1302,TRUE)=0,"",BH1298*AV1309)</f>
        <v/>
      </c>
      <c r="BH1298" s="362" t="str">
        <f>IF(COUNTIF(AO1301:AO1302,TRUE)=0,"",AV1298*IF(AO1301,1,AV1300*AN1302)*AV1301-BH1300-BH1302-BH1304)</f>
        <v/>
      </c>
      <c r="BI1298" s="314"/>
      <c r="BJ1298" s="314"/>
      <c r="BK1298" s="314"/>
      <c r="BL1298" s="314"/>
      <c r="BM1298" s="314"/>
      <c r="BN1298" s="314"/>
      <c r="BO1298" s="314"/>
      <c r="BP1298" s="314"/>
      <c r="BQ1298" s="314"/>
      <c r="BR1298" s="314"/>
      <c r="BS1298" s="314"/>
      <c r="BT1298" s="314"/>
      <c r="BU1298" s="314"/>
      <c r="BV1298" s="314"/>
      <c r="BW1298" s="314"/>
      <c r="BX1298" s="314"/>
      <c r="BY1298" s="314"/>
      <c r="BZ1298" s="314"/>
      <c r="CA1298" s="314"/>
      <c r="CB1298" s="314"/>
      <c r="CC1298" s="314"/>
      <c r="CD1298" s="314"/>
      <c r="CE1298" s="314"/>
      <c r="CF1298" s="314"/>
      <c r="CG1298" s="314"/>
      <c r="CH1298" s="314"/>
      <c r="CI1298" s="314"/>
      <c r="CJ1298" s="314"/>
      <c r="CK1298" s="314"/>
      <c r="CL1298" s="314"/>
      <c r="CM1298" s="314"/>
      <c r="CN1298" s="314"/>
      <c r="CO1298" s="314"/>
      <c r="CP1298" s="314"/>
      <c r="CQ1298" s="360" t="b">
        <v>0</v>
      </c>
    </row>
    <row r="1299" spans="1:95" ht="5.15" customHeight="1" thickBot="1" x14ac:dyDescent="0.3">
      <c r="A1299" s="307"/>
      <c r="B1299" s="68"/>
      <c r="C1299" s="199"/>
      <c r="D1299" s="202"/>
      <c r="E1299" s="76"/>
      <c r="F1299" s="76"/>
      <c r="G1299" s="76"/>
      <c r="H1299" s="76" t="str">
        <f>Translations!$B$397</f>
        <v xml:space="preserve"> </v>
      </c>
      <c r="I1299" s="162"/>
      <c r="J1299" s="162"/>
      <c r="K1299" s="76"/>
      <c r="L1299" s="76"/>
      <c r="M1299" s="363"/>
      <c r="N1299" s="76"/>
      <c r="O1299" s="160"/>
      <c r="P1299" s="109"/>
      <c r="Q1299" s="312"/>
      <c r="R1299" s="312"/>
      <c r="S1299" s="314"/>
      <c r="T1299" s="62"/>
      <c r="U1299" s="312"/>
      <c r="V1299" s="314"/>
      <c r="W1299" s="314"/>
      <c r="X1299" s="312"/>
      <c r="Y1299" s="319"/>
      <c r="Z1299" s="314"/>
      <c r="AA1299" s="314"/>
      <c r="AB1299" s="314"/>
      <c r="AC1299" s="314"/>
      <c r="AD1299" s="314"/>
      <c r="AE1299" s="314"/>
      <c r="AF1299" s="314"/>
      <c r="AG1299" s="314"/>
      <c r="AH1299" s="314"/>
      <c r="AI1299" s="314"/>
      <c r="AJ1299" s="314"/>
      <c r="AK1299" s="314"/>
      <c r="AL1299" s="326"/>
      <c r="AM1299" s="326"/>
      <c r="AN1299" s="326"/>
      <c r="AO1299" s="326"/>
      <c r="AP1299" s="326"/>
      <c r="AQ1299" s="314"/>
      <c r="AR1299" s="314"/>
      <c r="AS1299" s="314"/>
      <c r="AT1299" s="314"/>
      <c r="AU1299" s="314"/>
      <c r="AV1299" s="314"/>
      <c r="AW1299" s="314"/>
      <c r="AX1299" s="314"/>
      <c r="AY1299" s="314"/>
      <c r="AZ1299" s="314"/>
      <c r="BA1299" s="314"/>
      <c r="BB1299" s="314"/>
      <c r="BC1299" s="314"/>
      <c r="BD1299" s="314"/>
      <c r="BE1299" s="314"/>
      <c r="BF1299" s="314"/>
      <c r="BG1299" s="364"/>
      <c r="BH1299" s="364"/>
      <c r="BI1299" s="314"/>
      <c r="BJ1299" s="314"/>
      <c r="BK1299" s="314"/>
      <c r="BL1299" s="314"/>
      <c r="BM1299" s="314"/>
      <c r="BN1299" s="314"/>
      <c r="BO1299" s="314"/>
      <c r="BP1299" s="314"/>
      <c r="BQ1299" s="314"/>
      <c r="BR1299" s="314"/>
      <c r="BS1299" s="314"/>
      <c r="BT1299" s="314"/>
      <c r="BU1299" s="314"/>
      <c r="BV1299" s="314"/>
      <c r="BW1299" s="314"/>
      <c r="BX1299" s="314"/>
      <c r="BY1299" s="314"/>
      <c r="BZ1299" s="314"/>
      <c r="CA1299" s="314"/>
      <c r="CB1299" s="314"/>
      <c r="CC1299" s="314"/>
      <c r="CD1299" s="314"/>
      <c r="CE1299" s="314"/>
      <c r="CF1299" s="314"/>
      <c r="CG1299" s="314"/>
      <c r="CH1299" s="314"/>
      <c r="CI1299" s="314"/>
      <c r="CJ1299" s="314"/>
      <c r="CK1299" s="314"/>
      <c r="CL1299" s="314"/>
      <c r="CM1299" s="314"/>
      <c r="CN1299" s="314"/>
      <c r="CO1299" s="314"/>
      <c r="CP1299" s="314"/>
      <c r="CQ1299" s="319"/>
    </row>
    <row r="1300" spans="1:95" ht="12.75" customHeight="1" x14ac:dyDescent="0.25">
      <c r="A1300" s="307"/>
      <c r="B1300" s="68"/>
      <c r="C1300" s="199" t="s">
        <v>13</v>
      </c>
      <c r="D1300" s="344" t="str">
        <f>Translations!$B$360</f>
        <v>UCF:</v>
      </c>
      <c r="E1300" s="345"/>
      <c r="F1300" s="10"/>
      <c r="G1300" s="1256" t="str">
        <f>IF(OR(ISBLANK(F1300),F1300=EUconst_NoTier),"",IF(Z1300=0,EUconst_NotApplicable,IF(ISERROR(Z1300),"",Z1300)))</f>
        <v/>
      </c>
      <c r="H1300" s="1257"/>
      <c r="I1300" s="365" t="str">
        <f>IF(J1300&lt;&gt;"","",AI1300)</f>
        <v/>
      </c>
      <c r="J1300" s="11"/>
      <c r="K1300" s="366" t="str">
        <f>IF(L1300="",AU1300,"")</f>
        <v/>
      </c>
      <c r="L1300" s="23"/>
      <c r="M1300" s="347" t="str">
        <f>IF(AND(E1293&lt;&gt;"",OR(F1300="",COUNT(K1300:L1300)=0),Y1300&lt;&gt;EUconst_NA),EUconst_ERR_Incomplete,IF(COUNTIF(BB1300:BD1300,TRUE)&gt;0,EUconst_ERR_Inconsistent,""))</f>
        <v/>
      </c>
      <c r="N1300" s="367"/>
      <c r="O1300" s="160"/>
      <c r="P1300" s="109"/>
      <c r="Q1300" s="312"/>
      <c r="R1300" s="312"/>
      <c r="S1300" s="314"/>
      <c r="T1300" s="368" t="str">
        <f>EUconst_CNTR_UCF&amp;E1293</f>
        <v>UCF_</v>
      </c>
      <c r="U1300" s="312"/>
      <c r="V1300" s="369" t="str">
        <f>V1301</f>
        <v/>
      </c>
      <c r="W1300" s="314"/>
      <c r="X1300" s="312"/>
      <c r="Y1300" s="370" t="str">
        <f>IF(E1293="","",IF(OR(F1300=EUconst_NA,W1300=TRUE),EUconst_NA,INDEX(EUwideConstants!$P$164:$P$200,MATCH(T1300,EUwideConstants!$S$164:$S$200,0))))</f>
        <v/>
      </c>
      <c r="Z1300" s="371" t="str">
        <f>IF(ISBLANK(F1300),"",IF(F1300=EUconst_NA,"",INDEX(EUwideConstants!$H:$O,MATCH(T1300,EUwideConstants!$S:$S,0),MATCH(F1300,CNTR_TierList,0))))</f>
        <v/>
      </c>
      <c r="AA1300" s="372" t="str">
        <f>IF(COUNTIF(EUconst_DefaultValues,Z1300)&gt;0,MATCH(Z1300,EUconst_DefaultValues,0),"")</f>
        <v/>
      </c>
      <c r="AB1300" s="314"/>
      <c r="AC1300" s="373" t="b">
        <f>AND(AC1298,Y1300&lt;&gt;EUconst_NA)</f>
        <v>0</v>
      </c>
      <c r="AD1300" s="314"/>
      <c r="AE1300" s="353" t="str">
        <f>EUconst_CNTR_UCF&amp;EUconst_Unit</f>
        <v>UCF_Unit</v>
      </c>
      <c r="AF1300" s="374" t="str">
        <f>IF(AC1300=TRUE, IF(COUNTIF(MSPara_SourceStreamCategory,V1300)=0,"",INDEX(MSPara_CalcFactorsMatrix,MATCH(V1300,MSPara_SourceStreamCategory,0),MATCH(AE1300&amp;"_"&amp;2,MSPara_CalcFactors,0))),"")</f>
        <v/>
      </c>
      <c r="AG1300" s="375" t="str">
        <f>IF(AC1300=TRUE, IF(COUNTIF(MSPara_SourceStreamCategory,V1300)=0,"",INDEX(MSPara_CalcFactorsMatrix,MATCH(V1300,MSPara_SourceStreamCategory,0),MATCH(AE1300&amp;"_"&amp;1,MSPara_CalcFactors,0))),"")</f>
        <v/>
      </c>
      <c r="AH1300" s="373" t="str">
        <f>IF(AA1300="","",INDEX(AF1300:AG1300,3-AA1300))</f>
        <v/>
      </c>
      <c r="AI1300" s="373" t="str">
        <f>IF(AC1300=TRUE,IF(OR(AH1300="",AH1300=EUconst_NA),EUconst_GJ&amp;"/"&amp;AJ1298,AH1300),"")</f>
        <v/>
      </c>
      <c r="AJ1300" s="373" t="str">
        <f>IF(J1300="",AI1300,J1300)</f>
        <v/>
      </c>
      <c r="AK1300" s="369" t="b">
        <f>AND(E1292&lt;&gt;"",J1300&lt;&gt;"")</f>
        <v>0</v>
      </c>
      <c r="AL1300" s="326"/>
      <c r="AM1300" s="358" t="s">
        <v>151</v>
      </c>
      <c r="AN1300" s="359" t="str">
        <f>IF(AJ1300="",EUconst_NA,IF(AN1298=EUconst_TJ,EUconst_TJ,INDEX(EUwideConstants!$C$135:$G$139,MATCH(AN1298,RFAUnits,0),MATCH(AJ1300,UCFUnits,0))))</f>
        <v>n.a.</v>
      </c>
      <c r="AO1300" s="326"/>
      <c r="AP1300" s="326"/>
      <c r="AQ1300" s="376" t="str">
        <f>EUconst_CNTR_UCF&amp;EUconst_Value</f>
        <v>UCF_Value</v>
      </c>
      <c r="AR1300" s="377" t="str">
        <f>IF(AC1300=TRUE,IF(COUNTIF(MSPara_SourceStreamCategory,V1300)=0,"",INDEX(MSPara_CalcFactorsMatrix,MATCH(V1300,MSPara_SourceStreamCategory,0),MATCH(AQ1300&amp;"_"&amp;2,MSPara_CalcFactors,0))),"")</f>
        <v/>
      </c>
      <c r="AS1300" s="378" t="str">
        <f>IF(AC1300=TRUE,IF(COUNTIF(MSPara_SourceStreamCategory,V1300)=0,"",INDEX(MSPara_CalcFactorsMatrix,MATCH(V1300,MSPara_SourceStreamCategory,0),MATCH(AQ1300&amp;"_"&amp;1,MSPara_CalcFactors,0))),"")</f>
        <v/>
      </c>
      <c r="AT1300" s="379" t="b">
        <f>AND(AND(AH1300&lt;&gt;"",AJ1300&lt;&gt;""),AJ1300=AH1300)</f>
        <v>0</v>
      </c>
      <c r="AU1300" s="380" t="str">
        <f>IF(AND(AA1300&lt;&gt;"",AT1300=TRUE),IF(OR(INDEX(AR1300:AS1300,3-AA1300)=EUconst_NA,INDEX(AR1300:AS1300,3-AA1300)=0),"",INDEX(AR1300:AS1300,3-AA1300)),"")</f>
        <v/>
      </c>
      <c r="AV1300" s="373">
        <f>IF(AC1300=TRUE,IF(COUNT(K1300:L1300)=0,0,IF(L1300="",K1300,L1300)),0)</f>
        <v>0</v>
      </c>
      <c r="AW1300" s="369" t="b">
        <f t="shared" ref="AW1300:AW1307" si="396">AND(AC1300=TRUE,OR(AND(F1300&lt;&gt;"",NOT(ISNUMBER(AA1300))),L1300&lt;&gt;"",F1300="",AU1300=""))</f>
        <v>0</v>
      </c>
      <c r="AX1300" s="381" t="b">
        <f t="shared" ref="AX1300:AX1307" si="397">AND(AC1300=TRUE,NOT(AW1300))</f>
        <v>0</v>
      </c>
      <c r="AY1300" s="314"/>
      <c r="AZ1300" s="382" t="b">
        <f t="shared" ref="AZ1300:AZ1307" si="398">AND(ISNUMBER(AA1300),AU1300="")</f>
        <v>0</v>
      </c>
      <c r="BA1300" s="383" t="b">
        <f t="shared" ref="BA1300:BA1307" si="399">AND(ISNUMBER(AA1300),AU1300&lt;&gt;AV1300)</f>
        <v>0</v>
      </c>
      <c r="BB1300" s="369" t="b">
        <f>AND(E1293&lt;&gt;"",F1300&lt;&gt;EUconst_NA,AN1300=EUconst_NA)</f>
        <v>0</v>
      </c>
      <c r="BC1300" s="369" t="b">
        <f t="shared" ref="BC1300:BC1307" si="400">AND(L1300&lt;&gt;"",Y1300=EUconst_NA)</f>
        <v>0</v>
      </c>
      <c r="BD1300" s="314"/>
      <c r="BE1300" s="314"/>
      <c r="BF1300" s="382" t="s">
        <v>152</v>
      </c>
      <c r="BG1300" s="384" t="str">
        <f>IF(COUNTIF(AO1301:AO1302,TRUE)=0,"",BH1300*AV1309)</f>
        <v/>
      </c>
      <c r="BH1300" s="384" t="str">
        <f>IF(COUNTIF(AO1301:AO1302,TRUE)=0,"",AV1298*IF(AO1301,1,AV1300*AN1302)*AV1301*AV1302)</f>
        <v/>
      </c>
      <c r="BI1300" s="314"/>
      <c r="BJ1300" s="314"/>
      <c r="BK1300" s="314"/>
      <c r="BL1300" s="314"/>
      <c r="BM1300" s="314"/>
      <c r="BN1300" s="314"/>
      <c r="BO1300" s="314"/>
      <c r="BP1300" s="314"/>
      <c r="BQ1300" s="314"/>
      <c r="BR1300" s="314"/>
      <c r="BS1300" s="314"/>
      <c r="BT1300" s="314"/>
      <c r="BU1300" s="314"/>
      <c r="BV1300" s="314"/>
      <c r="BW1300" s="314"/>
      <c r="BX1300" s="314"/>
      <c r="BY1300" s="314"/>
      <c r="BZ1300" s="314"/>
      <c r="CA1300" s="314"/>
      <c r="CB1300" s="314"/>
      <c r="CC1300" s="314"/>
      <c r="CD1300" s="314"/>
      <c r="CE1300" s="314"/>
      <c r="CF1300" s="314"/>
      <c r="CG1300" s="314"/>
      <c r="CH1300" s="314"/>
      <c r="CI1300" s="314"/>
      <c r="CJ1300" s="314"/>
      <c r="CK1300" s="314"/>
      <c r="CL1300" s="314"/>
      <c r="CM1300" s="314"/>
      <c r="CN1300" s="314"/>
      <c r="CO1300" s="314"/>
      <c r="CP1300" s="314"/>
      <c r="CQ1300" s="369" t="b">
        <f>OR(CQ1298,Y1300=EUconst_NA)</f>
        <v>0</v>
      </c>
    </row>
    <row r="1301" spans="1:95" ht="12.75" customHeight="1" thickBot="1" x14ac:dyDescent="0.3">
      <c r="A1301" s="307"/>
      <c r="B1301" s="68"/>
      <c r="C1301" s="199" t="s">
        <v>14</v>
      </c>
      <c r="D1301" s="344" t="str">
        <f>Translations!$B$358</f>
        <v>(prelim) EF:</v>
      </c>
      <c r="E1301" s="345"/>
      <c r="F1301" s="59"/>
      <c r="G1301" s="1256" t="str">
        <f>IF(OR(ISBLANK(F1301),F1301=EUconst_NoTier),"",IF(Z1301=0,EUconst_NotApplicable,IF(ISERROR(Z1301),"",Z1301)))</f>
        <v/>
      </c>
      <c r="H1301" s="1260"/>
      <c r="I1301" s="385" t="str">
        <f>IF(J1301&lt;&gt;"","",AI1301)</f>
        <v/>
      </c>
      <c r="J1301" s="22"/>
      <c r="K1301" s="386" t="str">
        <f>IF(L1301="",AU1301,"")</f>
        <v/>
      </c>
      <c r="L1301" s="58"/>
      <c r="M1301" s="347" t="str">
        <f>IF(AND(E1293&lt;&gt;"",OR(F1301="",COUNT(K1301:L1301)=0),Y1301&lt;&gt;EUconst_NA),EUconst_ERR_Incomplete,IF(COUNTIF(BB1301:BD1301,TRUE)&gt;0,EUconst_ERR_Inconsistent,""))</f>
        <v/>
      </c>
      <c r="N1301" s="387"/>
      <c r="O1301" s="160"/>
      <c r="P1301" s="109"/>
      <c r="Q1301" s="312"/>
      <c r="R1301" s="312"/>
      <c r="S1301" s="314"/>
      <c r="T1301" s="388" t="str">
        <f>EUconst_CNTR_EF&amp;E1293</f>
        <v>EF_</v>
      </c>
      <c r="U1301" s="312"/>
      <c r="V1301" s="389" t="str">
        <f>V1298</f>
        <v/>
      </c>
      <c r="W1301" s="314"/>
      <c r="X1301" s="312"/>
      <c r="Y1301" s="390" t="str">
        <f>IF(E1293="","",IF(OR(F1301=EUconst_NA,W1301=TRUE),EUconst_NA,INDEX(EUwideConstants!$P$164:$P$200,MATCH(T1301,EUwideConstants!$S$164:$S$200,0))))</f>
        <v/>
      </c>
      <c r="Z1301" s="391" t="str">
        <f>IF(ISBLANK(F1301),"",IF(F1301=EUconst_NA,"",INDEX(EUwideConstants!$H:$O,MATCH(T1301,EUwideConstants!$S:$S,0),MATCH(F1301,CNTR_TierList,0))))</f>
        <v/>
      </c>
      <c r="AA1301" s="392" t="str">
        <f>IF(COUNTIF(EUconst_DefaultValues,Z1301)&gt;0,MATCH(Z1301,EUconst_DefaultValues,0),"")</f>
        <v/>
      </c>
      <c r="AB1301" s="314"/>
      <c r="AC1301" s="393" t="b">
        <f>AND(AC1298,Y1301&lt;&gt;EUconst_NA)</f>
        <v>0</v>
      </c>
      <c r="AD1301" s="314"/>
      <c r="AE1301" s="394" t="str">
        <f>EUconst_CNTR_EF&amp;EUconst_Unit</f>
        <v>EF_Unit</v>
      </c>
      <c r="AF1301" s="395" t="str">
        <f>IF(AC1301=TRUE, IF(COUNTIF(MSPara_SourceStreamCategory,V1301)=0,"",INDEX(MSPara_CalcFactorsMatrix,MATCH(V1301,MSPara_SourceStreamCategory,0),MATCH(AE1301&amp;"_"&amp;2,MSPara_CalcFactors,0))),"")</f>
        <v/>
      </c>
      <c r="AG1301" s="396" t="str">
        <f>IF(AC1301=TRUE, IF(COUNTIF(MSPara_SourceStreamCategory,V1301)=0,"",INDEX(MSPara_CalcFactorsMatrix,MATCH(V1301,MSPara_SourceStreamCategory,0),MATCH(AE1301&amp;"_"&amp;1,MSPara_CalcFactors,0))),"")</f>
        <v/>
      </c>
      <c r="AH1301" s="397" t="str">
        <f>IF(AA1301="","",INDEX(AF1301:AG1301,3-AA1301))</f>
        <v/>
      </c>
      <c r="AI1301" s="397" t="str">
        <f>IF(AC1301=TRUE,IF(OR(AH1301="",AH1301=EUconst_NA),EUconst_tCO2&amp;"/"&amp;IF(AN1300=EUconst_NA,AN1298,IF(AN1300=EUconst_GJ,EUconst_TJ,AN1300)),AH1301),"")</f>
        <v/>
      </c>
      <c r="AJ1301" s="397" t="str">
        <f>IF(J1301="",AI1301,J1301)</f>
        <v/>
      </c>
      <c r="AK1301" s="398" t="b">
        <f>AND(E1293&lt;&gt;"",J1301&lt;&gt;"")</f>
        <v>0</v>
      </c>
      <c r="AL1301" s="326"/>
      <c r="AM1301" s="358" t="s">
        <v>153</v>
      </c>
      <c r="AN1301" s="359" t="str">
        <f>IF(COUNTIF(RFAUnits,AN1298)=0,EUconst_NA,INDEX(EUwideConstants!$C$150:$H$154,MATCH(AJ1301,EFUnits,0),MATCH(AN1298,EUwideConstants!$C$149:$H$149,0)))</f>
        <v>n.a.</v>
      </c>
      <c r="AO1301" s="359" t="b">
        <f>AN1301&lt;&gt;EUconst_NA</f>
        <v>0</v>
      </c>
      <c r="AP1301" s="326"/>
      <c r="AQ1301" s="399" t="str">
        <f>EUconst_CNTR_EF&amp;EUconst_Value</f>
        <v>EF_Value</v>
      </c>
      <c r="AR1301" s="400" t="str">
        <f>IF(AC1301=TRUE,IF(COUNTIF(MSPara_SourceStreamCategory,V1301)=0,"",INDEX(MSPara_CalcFactorsMatrix,MATCH(V1301,MSPara_SourceStreamCategory,0),MATCH(AQ1301&amp;"_"&amp;2,MSPara_CalcFactors,0))),"")</f>
        <v/>
      </c>
      <c r="AS1301" s="401" t="str">
        <f>IF(AC1301=TRUE,IF(COUNTIF(MSPara_SourceStreamCategory,V1301)=0,"",INDEX(MSPara_CalcFactorsMatrix,MATCH(V1301,MSPara_SourceStreamCategory,0),MATCH(AQ1301&amp;"_"&amp;1,MSPara_CalcFactors,0))),"")</f>
        <v/>
      </c>
      <c r="AT1301" s="402" t="b">
        <f>AND(AND(AH1301&lt;&gt;"",AJ1301&lt;&gt;""),AJ1301=AH1301)</f>
        <v>0</v>
      </c>
      <c r="AU1301" s="403" t="str">
        <f>IF(AND(AA1301&lt;&gt;"",AT1301=TRUE),IF(OR(INDEX(AR1301:AS1301,3-AA1301)=EUconst_NA,INDEX(AR1301:AS1301,3-AA1301)=0),"",INDEX(AR1301:AS1301,3-AA1301)),"")</f>
        <v/>
      </c>
      <c r="AV1301" s="393">
        <f>IF(AC1301=TRUE,IF(COUNT(K1301:L1301)=0,0,IF(L1301="",K1301,L1301)),0)</f>
        <v>0</v>
      </c>
      <c r="AW1301" s="389" t="b">
        <f t="shared" si="396"/>
        <v>0</v>
      </c>
      <c r="AX1301" s="404" t="b">
        <f t="shared" si="397"/>
        <v>0</v>
      </c>
      <c r="AY1301" s="314"/>
      <c r="AZ1301" s="405" t="b">
        <f t="shared" si="398"/>
        <v>0</v>
      </c>
      <c r="BA1301" s="406" t="b">
        <f t="shared" si="399"/>
        <v>0</v>
      </c>
      <c r="BB1301" s="407" t="b">
        <f>AND(E1293&lt;&gt;"",COUNTIF(AO1301:AO1302,TRUE)=0)</f>
        <v>0</v>
      </c>
      <c r="BC1301" s="389" t="b">
        <f t="shared" si="400"/>
        <v>0</v>
      </c>
      <c r="BD1301" s="314"/>
      <c r="BE1301" s="314"/>
      <c r="BF1301" s="408" t="s">
        <v>154</v>
      </c>
      <c r="BG1301" s="409" t="str">
        <f>IF(COUNTIF(AO1301:AO1302,TRUE)=0,"",BH1301*AV1309)</f>
        <v/>
      </c>
      <c r="BH1301" s="409" t="str">
        <f>IF(COUNTIF(AO1301:AO1302,TRUE)=0,"",AV1298*IF(AO1301,1,AV1300*AN1302)*AV1301*AV1303)</f>
        <v/>
      </c>
      <c r="BI1301" s="314"/>
      <c r="BJ1301" s="314"/>
      <c r="BK1301" s="314"/>
      <c r="BL1301" s="314"/>
      <c r="BM1301" s="314"/>
      <c r="BN1301" s="314"/>
      <c r="BO1301" s="314"/>
      <c r="BP1301" s="314"/>
      <c r="BQ1301" s="314"/>
      <c r="BR1301" s="314"/>
      <c r="BS1301" s="314"/>
      <c r="BT1301" s="314"/>
      <c r="BU1301" s="314"/>
      <c r="BV1301" s="314"/>
      <c r="BW1301" s="314"/>
      <c r="BX1301" s="314"/>
      <c r="BY1301" s="314"/>
      <c r="BZ1301" s="314"/>
      <c r="CA1301" s="314"/>
      <c r="CB1301" s="314"/>
      <c r="CC1301" s="314"/>
      <c r="CD1301" s="314"/>
      <c r="CE1301" s="314"/>
      <c r="CF1301" s="314"/>
      <c r="CG1301" s="314"/>
      <c r="CH1301" s="314"/>
      <c r="CI1301" s="314"/>
      <c r="CJ1301" s="314"/>
      <c r="CK1301" s="314"/>
      <c r="CL1301" s="314"/>
      <c r="CM1301" s="314"/>
      <c r="CN1301" s="314"/>
      <c r="CO1301" s="314"/>
      <c r="CP1301" s="314"/>
      <c r="CQ1301" s="407" t="b">
        <f>OR(CQ1298,Y1301=EUconst_NA)</f>
        <v>0</v>
      </c>
    </row>
    <row r="1302" spans="1:95" ht="12.75" customHeight="1" x14ac:dyDescent="0.25">
      <c r="A1302" s="307"/>
      <c r="B1302" s="68"/>
      <c r="C1302" s="199" t="s">
        <v>15</v>
      </c>
      <c r="D1302" s="344" t="str">
        <f>Translations!$B$362</f>
        <v>BioF:</v>
      </c>
      <c r="E1302" s="345"/>
      <c r="F1302" s="10"/>
      <c r="G1302" s="1256" t="str">
        <f>IF(OR(ISBLANK(F1302),F1302=EUconst_NoTier),"",IF(Z1302=0,EUconst_NotApplicable,IF(ISERROR(Z1302),"",Z1302)))</f>
        <v/>
      </c>
      <c r="H1302" s="1257"/>
      <c r="I1302" s="410" t="str">
        <f t="shared" ref="I1302:I1307" si="401">IF(OR(AC1302=FALSE,Y1302=EUconst_NA),"","-")</f>
        <v/>
      </c>
      <c r="J1302" s="411"/>
      <c r="K1302" s="412" t="str">
        <f>IF(L1302="",AU1302,"")</f>
        <v/>
      </c>
      <c r="L1302" s="60"/>
      <c r="M1302" s="347" t="str">
        <f>IF(AND(E1293&lt;&gt;"",OR(F1302="",COUNT(K1302:L1302)=0),Y1302&lt;&gt;EUconst_NA),EUconst_ERR_Incomplete,IF(COUNTIF(BB1302:BD1302,TRUE)&gt;0,EUconst_ERR_Inconsistent,""))</f>
        <v/>
      </c>
      <c r="O1302" s="160"/>
      <c r="P1302" s="348"/>
      <c r="Q1302" s="413"/>
      <c r="R1302" s="413"/>
      <c r="S1302" s="314"/>
      <c r="T1302" s="388" t="str">
        <f>EUconst_CNTR_BiomassContent&amp;E1293</f>
        <v>BioC_</v>
      </c>
      <c r="U1302" s="312"/>
      <c r="V1302" s="369" t="str">
        <f>V1300</f>
        <v/>
      </c>
      <c r="W1302" s="369" t="str">
        <f>IF(OR(V1302="",COUNTIF(MSPara_SourceStreamCategory,V1302)=0),"",INDEX(MSPara_IsFossil,MATCH(V1302,MSPara_SourceStreamCategory,0)))</f>
        <v/>
      </c>
      <c r="X1302" s="312"/>
      <c r="Y1302" s="370" t="str">
        <f>IF(E1293="","",IF(OR(F1302=EUconst_NA,W1302=TRUE),EUconst_NA,INDEX(EUwideConstants!$P$164:$P$200,MATCH(T1302,EUwideConstants!$S$164:$S$200,0))))</f>
        <v/>
      </c>
      <c r="Z1302" s="371" t="str">
        <f>IF(ISBLANK(F1302),"",IF(F1302=EUconst_NA,"",INDEX(EUwideConstants!$H:$O,MATCH(T1302,EUwideConstants!$S:$S,0),MATCH(F1302,CNTR_TierList,0))))</f>
        <v/>
      </c>
      <c r="AA1302" s="414" t="str">
        <f>IF(F1302=1,1,"")</f>
        <v/>
      </c>
      <c r="AB1302" s="314"/>
      <c r="AC1302" s="373" t="b">
        <f>AND(AC1298,Y1302&lt;&gt;EUconst_NA)</f>
        <v>0</v>
      </c>
      <c r="AD1302" s="314"/>
      <c r="AE1302" s="415"/>
      <c r="AF1302" s="416"/>
      <c r="AG1302" s="417"/>
      <c r="AH1302" s="418"/>
      <c r="AI1302" s="418"/>
      <c r="AJ1302" s="418"/>
      <c r="AK1302" s="419"/>
      <c r="AL1302" s="326"/>
      <c r="AM1302" s="358" t="s">
        <v>155</v>
      </c>
      <c r="AN1302" s="359" t="str">
        <f>IF(AN1300=EUconst_NA,EUconst_NA,INDEX(EUwideConstants!$C$150:$H$154,MATCH(AJ1301,EFUnits,0),MATCH(AN1300,EUwideConstants!$C$149:$H$149,0)))</f>
        <v>n.a.</v>
      </c>
      <c r="AO1302" s="359" t="b">
        <f>AN1302&lt;&gt;EUconst_NA</f>
        <v>0</v>
      </c>
      <c r="AP1302" s="326"/>
      <c r="AQ1302" s="376" t="str">
        <f>EUconst_CNTR_BiomassContent&amp;EUconst_Value</f>
        <v>BioC_Value</v>
      </c>
      <c r="AR1302" s="420"/>
      <c r="AS1302" s="378" t="str">
        <f t="shared" ref="AS1302:AS1307" si="402">IF(AC1302=TRUE,IF(COUNTIF(MSPara_SourceStreamCategory,V1302)=0,"",INDEX(MSPara_CalcFactorsMatrix,MATCH(V1302,MSPara_SourceStreamCategory,0),MATCH(AQ1302&amp;"_"&amp;2,MSPara_CalcFactors,0))),"")</f>
        <v/>
      </c>
      <c r="AT1302" s="421"/>
      <c r="AU1302" s="380" t="str">
        <f t="shared" ref="AU1302:AU1307" si="403">IF(OR(AA1302="",AS1302=EUconst_NA),"",AS1302)</f>
        <v/>
      </c>
      <c r="AV1302" s="373">
        <f>IF(AC1302=TRUE,IF(COUNT(K1302:L1302)=0,0,IF(L1302="",K1302,L1302)),0)</f>
        <v>0</v>
      </c>
      <c r="AW1302" s="369" t="b">
        <f t="shared" si="396"/>
        <v>0</v>
      </c>
      <c r="AX1302" s="381" t="b">
        <f t="shared" si="397"/>
        <v>0</v>
      </c>
      <c r="AY1302" s="314"/>
      <c r="AZ1302" s="382" t="b">
        <f t="shared" si="398"/>
        <v>0</v>
      </c>
      <c r="BA1302" s="383" t="b">
        <f t="shared" si="399"/>
        <v>0</v>
      </c>
      <c r="BB1302" s="314"/>
      <c r="BC1302" s="369" t="b">
        <f t="shared" si="400"/>
        <v>0</v>
      </c>
      <c r="BD1302" s="369" t="b">
        <f>OR(AV1302&gt;100%,(AV1302+AV1303)&gt;100%)</f>
        <v>0</v>
      </c>
      <c r="BE1302" s="314"/>
      <c r="BF1302" s="382" t="s">
        <v>156</v>
      </c>
      <c r="BG1302" s="384" t="str">
        <f>IF(COUNTIF(AO1301:AO1302,TRUE)=0,"",BH1302*AV1309)</f>
        <v/>
      </c>
      <c r="BH1302" s="384" t="str">
        <f>IF(COUNTIF(AO1301:AO1302,TRUE)=0,"",AV1298*IF(AO1301,1,AV1300*AN1302)*AV1301*AV1304)</f>
        <v/>
      </c>
      <c r="BJ1302" s="314"/>
      <c r="BK1302" s="314"/>
      <c r="BL1302" s="314"/>
      <c r="BM1302" s="314"/>
      <c r="BN1302" s="314"/>
      <c r="BO1302" s="314"/>
      <c r="BP1302" s="314"/>
      <c r="BQ1302" s="314"/>
      <c r="BR1302" s="314"/>
      <c r="BS1302" s="314"/>
      <c r="BT1302" s="314"/>
      <c r="BU1302" s="314"/>
      <c r="BV1302" s="314"/>
      <c r="BW1302" s="314"/>
      <c r="BX1302" s="314"/>
      <c r="BY1302" s="314"/>
      <c r="BZ1302" s="314"/>
      <c r="CA1302" s="314"/>
      <c r="CB1302" s="314"/>
      <c r="CC1302" s="314"/>
      <c r="CD1302" s="314"/>
      <c r="CE1302" s="314"/>
      <c r="CF1302" s="314"/>
      <c r="CG1302" s="314"/>
      <c r="CH1302" s="314"/>
      <c r="CI1302" s="314"/>
      <c r="CJ1302" s="314"/>
      <c r="CK1302" s="314"/>
      <c r="CL1302" s="314"/>
      <c r="CM1302" s="314"/>
      <c r="CN1302" s="314"/>
      <c r="CO1302" s="314"/>
      <c r="CP1302" s="314"/>
      <c r="CQ1302" s="369" t="b">
        <f>OR(CQ1298,Y1302=EUconst_NA)</f>
        <v>0</v>
      </c>
    </row>
    <row r="1303" spans="1:95" ht="12.75" customHeight="1" thickBot="1" x14ac:dyDescent="0.3">
      <c r="A1303" s="307"/>
      <c r="B1303" s="68"/>
      <c r="C1303" s="199" t="s">
        <v>16</v>
      </c>
      <c r="D1303" s="344" t="str">
        <f>Translations!$B$368</f>
        <v>non-sust. BioF:</v>
      </c>
      <c r="E1303" s="345"/>
      <c r="F1303" s="20"/>
      <c r="G1303" s="1256" t="str">
        <f>IF(OR(ISBLANK(F1303),F1303=EUconst_NoTier),"",IF(Z1303=0,EUconst_NotApplicable,IF(ISERROR(Z1303),"",Z1303)))</f>
        <v/>
      </c>
      <c r="H1303" s="1257"/>
      <c r="I1303" s="422" t="str">
        <f t="shared" si="401"/>
        <v/>
      </c>
      <c r="J1303" s="423"/>
      <c r="K1303" s="424" t="str">
        <f>IF(L1303="",AU1303,"")</f>
        <v/>
      </c>
      <c r="L1303" s="21"/>
      <c r="M1303" s="347" t="str">
        <f>IF(AND(E1293&lt;&gt;"",OR(F1303="",COUNT(K1303:L1303)=0),Y1303&lt;&gt;EUconst_NA),EUconst_ERR_Incomplete,IF(COUNTIF(BB1303:BD1303,TRUE)&gt;0,EUconst_ERR_Inconsistent,""))</f>
        <v/>
      </c>
      <c r="N1303" s="76"/>
      <c r="O1303" s="160"/>
      <c r="P1303" s="348"/>
      <c r="Q1303" s="413"/>
      <c r="R1303" s="413"/>
      <c r="S1303" s="314"/>
      <c r="T1303" s="425" t="str">
        <f>EUconst_CNTR_BiomassContent&amp;E1293</f>
        <v>BioC_</v>
      </c>
      <c r="U1303" s="312"/>
      <c r="V1303" s="407" t="str">
        <f>V1302</f>
        <v/>
      </c>
      <c r="W1303" s="407" t="str">
        <f>IF(OR(V1302="",COUNTIF(MSPara_SourceStreamCategory,V1303)=0),"",INDEX(MSPara_IsFossil,MATCH(V1303,MSPara_SourceStreamCategory,0)))</f>
        <v/>
      </c>
      <c r="X1303" s="312"/>
      <c r="Y1303" s="426" t="str">
        <f>IF(E1293="","",IF(OR(F1303=EUconst_NA,W1303=TRUE),EUconst_NA,INDEX(EUwideConstants!$P$164:$P$200,MATCH(T1303,EUwideConstants!$S$164:$S$200,0))))</f>
        <v/>
      </c>
      <c r="Z1303" s="427" t="str">
        <f>IF(ISBLANK(F1303),"",IF(F1303=EUconst_NA,"",INDEX(EUwideConstants!$H:$O,MATCH(T1303,EUwideConstants!$S:$S,0),MATCH(F1303,CNTR_TierList,0))))</f>
        <v/>
      </c>
      <c r="AA1303" s="428" t="str">
        <f>IF(F1303=1,1,"")</f>
        <v/>
      </c>
      <c r="AB1303" s="314"/>
      <c r="AC1303" s="429" t="b">
        <f>AND(AC1298,Y1303&lt;&gt;EUconst_NA)</f>
        <v>0</v>
      </c>
      <c r="AD1303" s="314"/>
      <c r="AE1303" s="430"/>
      <c r="AF1303" s="431"/>
      <c r="AG1303" s="432"/>
      <c r="AH1303" s="433"/>
      <c r="AI1303" s="433"/>
      <c r="AJ1303" s="433"/>
      <c r="AK1303" s="434"/>
      <c r="AL1303" s="326"/>
      <c r="AM1303" s="326"/>
      <c r="AN1303" s="326"/>
      <c r="AO1303" s="326"/>
      <c r="AP1303" s="326"/>
      <c r="AQ1303" s="435" t="str">
        <f>EUconst_CNTR_BiomassContent&amp;EUconst_Value</f>
        <v>BioC_Value</v>
      </c>
      <c r="AR1303" s="430"/>
      <c r="AS1303" s="436" t="str">
        <f t="shared" si="402"/>
        <v/>
      </c>
      <c r="AT1303" s="437"/>
      <c r="AU1303" s="438" t="str">
        <f t="shared" si="403"/>
        <v/>
      </c>
      <c r="AV1303" s="429">
        <f>IF(AC1303=TRUE,IF(COUNT(K1303:L1303)=0,0,IF(L1303="",K1303,L1303)),0)</f>
        <v>0</v>
      </c>
      <c r="AW1303" s="407" t="b">
        <f t="shared" si="396"/>
        <v>0</v>
      </c>
      <c r="AX1303" s="439" t="b">
        <f t="shared" si="397"/>
        <v>0</v>
      </c>
      <c r="AY1303" s="314"/>
      <c r="AZ1303" s="408" t="b">
        <f t="shared" si="398"/>
        <v>0</v>
      </c>
      <c r="BA1303" s="440" t="b">
        <f t="shared" si="399"/>
        <v>0</v>
      </c>
      <c r="BB1303" s="314"/>
      <c r="BC1303" s="407" t="b">
        <f t="shared" si="400"/>
        <v>0</v>
      </c>
      <c r="BD1303" s="407" t="b">
        <f>OR(AV1302&gt;100%,(AV1302+AV1303)&gt;100%)</f>
        <v>0</v>
      </c>
      <c r="BE1303" s="314"/>
      <c r="BF1303" s="408" t="s">
        <v>157</v>
      </c>
      <c r="BG1303" s="409" t="str">
        <f>IF(COUNTIF(AO1301:AO1302,TRUE)=0,"",BH1303*AV1309)</f>
        <v/>
      </c>
      <c r="BH1303" s="409" t="str">
        <f>IF(COUNTIF(AO1301:AO1302,TRUE)=0,"",AV1298*IF(AO1301,1,AV1300*AN1302)*AV1301*AV1305)</f>
        <v/>
      </c>
      <c r="BJ1303" s="314"/>
      <c r="BK1303" s="314"/>
      <c r="BL1303" s="314"/>
      <c r="BM1303" s="314"/>
      <c r="BN1303" s="314"/>
      <c r="BO1303" s="314"/>
      <c r="BP1303" s="314"/>
      <c r="BQ1303" s="314"/>
      <c r="BR1303" s="314"/>
      <c r="BS1303" s="314"/>
      <c r="BT1303" s="314"/>
      <c r="BU1303" s="314"/>
      <c r="BV1303" s="314"/>
      <c r="BW1303" s="314"/>
      <c r="BX1303" s="314"/>
      <c r="BY1303" s="314"/>
      <c r="BZ1303" s="314"/>
      <c r="CA1303" s="314"/>
      <c r="CB1303" s="314"/>
      <c r="CC1303" s="314"/>
      <c r="CD1303" s="314"/>
      <c r="CE1303" s="314"/>
      <c r="CF1303" s="314"/>
      <c r="CG1303" s="314"/>
      <c r="CH1303" s="314"/>
      <c r="CI1303" s="314"/>
      <c r="CJ1303" s="314"/>
      <c r="CK1303" s="314"/>
      <c r="CL1303" s="314"/>
      <c r="CM1303" s="314"/>
      <c r="CN1303" s="314"/>
      <c r="CO1303" s="314"/>
      <c r="CP1303" s="314"/>
      <c r="CQ1303" s="407" t="b">
        <f>OR(CQ1298,Y1303=EUconst_NA)</f>
        <v>0</v>
      </c>
    </row>
    <row r="1304" spans="1:95" ht="12.75" customHeight="1" thickBot="1" x14ac:dyDescent="0.3">
      <c r="A1304" s="307"/>
      <c r="B1304" s="68"/>
      <c r="C1304" s="199" t="s">
        <v>17</v>
      </c>
      <c r="D1304" s="344" t="str">
        <f>Translations!$B$610</f>
        <v>sust. RFNBO/RCF:</v>
      </c>
      <c r="E1304" s="441"/>
      <c r="F1304" s="19" t="s">
        <v>158</v>
      </c>
      <c r="G1304" s="1261"/>
      <c r="H1304" s="1262"/>
      <c r="I1304" s="442" t="str">
        <f t="shared" si="401"/>
        <v/>
      </c>
      <c r="J1304" s="411"/>
      <c r="K1304" s="443"/>
      <c r="L1304" s="55"/>
      <c r="M1304" s="347" t="str">
        <f>IF(AND(E1293&lt;&gt;"",OR(F1304="",COUNT(L1304)=0),Y1304&lt;&gt;EUconst_NA),EUconst_ERR_Incomplete,"")</f>
        <v/>
      </c>
      <c r="N1304" s="76"/>
      <c r="O1304" s="160"/>
      <c r="P1304" s="348"/>
      <c r="Q1304" s="413"/>
      <c r="R1304" s="413"/>
      <c r="S1304" s="314"/>
      <c r="T1304" s="388" t="str">
        <f>EUconst_CNTR_RFNBOetcContent&amp;E1293</f>
        <v>RNFBOC_</v>
      </c>
      <c r="U1304" s="312"/>
      <c r="V1304" s="312"/>
      <c r="W1304" s="312"/>
      <c r="X1304" s="312"/>
      <c r="Y1304" s="380" t="str">
        <f>IF(E1293="","",IF(OR(F1304=EUconst_NA,W1304=TRUE),EUconst_NA,INDEX(EUwideConstants!$P$164:$P$200,MATCH(T1304,EUwideConstants!$S$164:$S$200,0))))</f>
        <v/>
      </c>
      <c r="Z1304" s="314"/>
      <c r="AA1304" s="314"/>
      <c r="AB1304" s="314"/>
      <c r="AC1304" s="397" t="b">
        <f>AND(AC1300,Y1304&lt;&gt;EUconst_NA)</f>
        <v>0</v>
      </c>
      <c r="AD1304" s="314"/>
      <c r="AE1304" s="415"/>
      <c r="AF1304" s="416"/>
      <c r="AG1304" s="417"/>
      <c r="AH1304" s="418"/>
      <c r="AI1304" s="418"/>
      <c r="AJ1304" s="418"/>
      <c r="AK1304" s="419"/>
      <c r="AL1304" s="326"/>
      <c r="AM1304" s="326"/>
      <c r="AN1304" s="326"/>
      <c r="AO1304" s="326"/>
      <c r="AP1304" s="326"/>
      <c r="AQ1304" s="444" t="s">
        <v>159</v>
      </c>
      <c r="AR1304" s="415"/>
      <c r="AS1304" s="445" t="str">
        <f t="shared" si="402"/>
        <v/>
      </c>
      <c r="AT1304" s="446"/>
      <c r="AU1304" s="447" t="str">
        <f t="shared" si="403"/>
        <v/>
      </c>
      <c r="AV1304" s="397">
        <f>IF(L1304&lt;&gt;0,L1304,L1304)</f>
        <v>0</v>
      </c>
      <c r="AW1304" s="398" t="b">
        <f t="shared" si="396"/>
        <v>0</v>
      </c>
      <c r="AX1304" s="448" t="b">
        <f t="shared" si="397"/>
        <v>0</v>
      </c>
      <c r="AY1304" s="314"/>
      <c r="AZ1304" s="449" t="b">
        <f t="shared" si="398"/>
        <v>0</v>
      </c>
      <c r="BA1304" s="450" t="b">
        <f t="shared" si="399"/>
        <v>0</v>
      </c>
      <c r="BB1304" s="314"/>
      <c r="BC1304" s="398" t="b">
        <f t="shared" si="400"/>
        <v>0</v>
      </c>
      <c r="BD1304" s="369" t="b">
        <f>OR(AV1304&gt;100%,(AV1304+AV1305)&gt;100%)</f>
        <v>0</v>
      </c>
      <c r="BE1304" s="314"/>
      <c r="BF1304" s="451" t="s">
        <v>160</v>
      </c>
      <c r="BG1304" s="452" t="str">
        <f>IF(COUNTIF(AO1301:AO1302,TRUE)=0,"",BH1304*AV1309)</f>
        <v/>
      </c>
      <c r="BH1304" s="452" t="str">
        <f>IF(COUNTIF(AO1301:AO1302,TRUE)=0,"",AV1298*IF(AO1301,1,AV1300*AN1302)*AV1301*AV1306)</f>
        <v/>
      </c>
      <c r="BJ1304" s="314"/>
      <c r="BK1304" s="314"/>
      <c r="BL1304" s="314"/>
      <c r="BM1304" s="314"/>
      <c r="BN1304" s="314"/>
      <c r="BO1304" s="314"/>
      <c r="BP1304" s="314"/>
      <c r="BQ1304" s="314"/>
      <c r="BR1304" s="314"/>
      <c r="BS1304" s="314"/>
      <c r="BT1304" s="314"/>
      <c r="BU1304" s="314"/>
      <c r="BV1304" s="314"/>
      <c r="BW1304" s="314"/>
      <c r="BX1304" s="314"/>
      <c r="BY1304" s="314"/>
      <c r="BZ1304" s="314"/>
      <c r="CA1304" s="314"/>
      <c r="CB1304" s="314"/>
      <c r="CC1304" s="314"/>
      <c r="CD1304" s="314"/>
      <c r="CE1304" s="314"/>
      <c r="CF1304" s="314"/>
      <c r="CG1304" s="314"/>
      <c r="CH1304" s="314"/>
      <c r="CI1304" s="314"/>
      <c r="CJ1304" s="314"/>
      <c r="CK1304" s="314"/>
      <c r="CL1304" s="314"/>
      <c r="CM1304" s="314"/>
      <c r="CN1304" s="314"/>
      <c r="CO1304" s="314"/>
      <c r="CP1304" s="314"/>
      <c r="CQ1304" s="407" t="b">
        <f>OR(CQ1298,Y1304=EUconst_NA)</f>
        <v>0</v>
      </c>
    </row>
    <row r="1305" spans="1:95" ht="12.75" customHeight="1" thickBot="1" x14ac:dyDescent="0.3">
      <c r="A1305" s="307"/>
      <c r="B1305" s="68"/>
      <c r="C1305" s="199" t="s">
        <v>161</v>
      </c>
      <c r="D1305" s="344" t="str">
        <f>Translations!$B$613</f>
        <v>non-sust. RFNBO/RCF:</v>
      </c>
      <c r="E1305" s="441"/>
      <c r="F1305" s="20" t="s">
        <v>158</v>
      </c>
      <c r="G1305" s="1261"/>
      <c r="H1305" s="1262"/>
      <c r="I1305" s="422" t="str">
        <f t="shared" si="401"/>
        <v/>
      </c>
      <c r="J1305" s="423"/>
      <c r="K1305" s="443"/>
      <c r="L1305" s="56"/>
      <c r="M1305" s="347" t="str">
        <f>IF(AND(E1293&lt;&gt;"",OR(F1305="",COUNT(L1305)=0),Y1305&lt;&gt;EUconst_NA),EUconst_ERR_Incomplete,"")</f>
        <v/>
      </c>
      <c r="N1305" s="76"/>
      <c r="O1305" s="160"/>
      <c r="P1305" s="348"/>
      <c r="Q1305" s="413"/>
      <c r="R1305" s="413"/>
      <c r="S1305" s="314"/>
      <c r="T1305" s="425" t="str">
        <f>EUconst_CNTR_RFNBOetcContent&amp;E1293</f>
        <v>RNFBOC_</v>
      </c>
      <c r="U1305" s="312"/>
      <c r="V1305" s="312"/>
      <c r="W1305" s="312"/>
      <c r="X1305" s="312"/>
      <c r="Y1305" s="438" t="str">
        <f>IF(E1293="","",IF(OR(F1305=EUconst_NA,W1305=TRUE),EUconst_NA,INDEX(EUwideConstants!$P$164:$P$200,MATCH(T1305,EUwideConstants!$S$164:$S$200,0))))</f>
        <v/>
      </c>
      <c r="Z1305" s="314"/>
      <c r="AA1305" s="314"/>
      <c r="AB1305" s="314"/>
      <c r="AC1305" s="429" t="b">
        <f>AND(AC1300,Y1305&lt;&gt;EUconst_NA)</f>
        <v>0</v>
      </c>
      <c r="AD1305" s="314"/>
      <c r="AE1305" s="430"/>
      <c r="AF1305" s="431"/>
      <c r="AG1305" s="432"/>
      <c r="AH1305" s="433"/>
      <c r="AI1305" s="433"/>
      <c r="AJ1305" s="433"/>
      <c r="AK1305" s="434"/>
      <c r="AL1305" s="326"/>
      <c r="AM1305" s="326"/>
      <c r="AN1305" s="326"/>
      <c r="AO1305" s="326"/>
      <c r="AP1305" s="326"/>
      <c r="AQ1305" s="435" t="s">
        <v>159</v>
      </c>
      <c r="AR1305" s="430"/>
      <c r="AS1305" s="436" t="str">
        <f t="shared" si="402"/>
        <v/>
      </c>
      <c r="AT1305" s="437"/>
      <c r="AU1305" s="438" t="str">
        <f t="shared" si="403"/>
        <v/>
      </c>
      <c r="AV1305" s="429">
        <f t="shared" ref="AV1305:AV1307" si="404">IF(L1305&lt;&gt;0,L1305,L1305)</f>
        <v>0</v>
      </c>
      <c r="AW1305" s="407" t="b">
        <f t="shared" si="396"/>
        <v>0</v>
      </c>
      <c r="AX1305" s="439" t="b">
        <f t="shared" si="397"/>
        <v>0</v>
      </c>
      <c r="AY1305" s="314"/>
      <c r="AZ1305" s="408" t="b">
        <f t="shared" si="398"/>
        <v>0</v>
      </c>
      <c r="BA1305" s="440" t="b">
        <f t="shared" si="399"/>
        <v>0</v>
      </c>
      <c r="BB1305" s="314"/>
      <c r="BC1305" s="407" t="b">
        <f t="shared" si="400"/>
        <v>0</v>
      </c>
      <c r="BD1305" s="407" t="b">
        <f>OR(AV1304&gt;100%,(AV1304+AV1305)&gt;100%)</f>
        <v>0</v>
      </c>
      <c r="BE1305" s="314"/>
      <c r="BF1305" s="408" t="s">
        <v>162</v>
      </c>
      <c r="BG1305" s="409" t="str">
        <f>IF(COUNTIF(AO1301:AO1302,TRUE)=0,"",BH1305*AV1309)</f>
        <v/>
      </c>
      <c r="BH1305" s="409" t="str">
        <f>IF(COUNTIF(AO1301:AO1302,TRUE)=0,"",AV1298*IF(AO1301,1,AV1300*AN1302)*AV1301*AV1307)</f>
        <v/>
      </c>
      <c r="BJ1305" s="314"/>
      <c r="BK1305" s="314"/>
      <c r="BL1305" s="314"/>
      <c r="BM1305" s="314"/>
      <c r="BN1305" s="314"/>
      <c r="BO1305" s="314"/>
      <c r="BP1305" s="314"/>
      <c r="BQ1305" s="314"/>
      <c r="BR1305" s="314"/>
      <c r="BS1305" s="314"/>
      <c r="BT1305" s="314"/>
      <c r="BU1305" s="314"/>
      <c r="BV1305" s="314"/>
      <c r="BW1305" s="314"/>
      <c r="BX1305" s="314"/>
      <c r="BY1305" s="314"/>
      <c r="BZ1305" s="314"/>
      <c r="CA1305" s="314"/>
      <c r="CB1305" s="314"/>
      <c r="CC1305" s="314"/>
      <c r="CD1305" s="314"/>
      <c r="CE1305" s="314"/>
      <c r="CF1305" s="314"/>
      <c r="CG1305" s="314"/>
      <c r="CH1305" s="314"/>
      <c r="CI1305" s="314"/>
      <c r="CJ1305" s="314"/>
      <c r="CK1305" s="314"/>
      <c r="CL1305" s="314"/>
      <c r="CM1305" s="314"/>
      <c r="CN1305" s="314"/>
      <c r="CO1305" s="314"/>
      <c r="CP1305" s="314"/>
      <c r="CQ1305" s="407" t="b">
        <f>OR(CQ1298,Y1305=EUconst_NA)</f>
        <v>0</v>
      </c>
    </row>
    <row r="1306" spans="1:95" ht="12.75" customHeight="1" thickBot="1" x14ac:dyDescent="0.3">
      <c r="A1306" s="307"/>
      <c r="B1306" s="68"/>
      <c r="C1306" s="199" t="s">
        <v>163</v>
      </c>
      <c r="D1306" s="344" t="str">
        <f>Translations!$B$615</f>
        <v>sust. SLCF:</v>
      </c>
      <c r="E1306" s="441"/>
      <c r="F1306" s="19" t="s">
        <v>158</v>
      </c>
      <c r="G1306" s="1261"/>
      <c r="H1306" s="1262"/>
      <c r="I1306" s="442" t="str">
        <f t="shared" si="401"/>
        <v/>
      </c>
      <c r="J1306" s="411"/>
      <c r="K1306" s="443"/>
      <c r="L1306" s="57"/>
      <c r="M1306" s="347" t="str">
        <f>IF(AND(E1293&lt;&gt;"",OR(F1306="",COUNT(L1306)=0),Y1306&lt;&gt;EUconst_NA),EUconst_ERR_Incomplete,"")</f>
        <v/>
      </c>
      <c r="N1306" s="76"/>
      <c r="O1306" s="160"/>
      <c r="P1306" s="348"/>
      <c r="Q1306" s="413"/>
      <c r="R1306" s="413"/>
      <c r="S1306" s="314"/>
      <c r="T1306" s="388" t="str">
        <f>EUconst_CNTR_RFNBOetcContent&amp;E1293</f>
        <v>RNFBOC_</v>
      </c>
      <c r="U1306" s="312"/>
      <c r="V1306" s="312"/>
      <c r="W1306" s="312"/>
      <c r="X1306" s="312"/>
      <c r="Y1306" s="447" t="str">
        <f>IF(E1293="","",IF(OR(F1306=EUconst_NA,W1306=TRUE),EUconst_NA,INDEX(EUwideConstants!$P$164:$P$200,MATCH(T1306,EUwideConstants!$S$164:$S$200,0))))</f>
        <v/>
      </c>
      <c r="Z1306" s="314"/>
      <c r="AA1306" s="314"/>
      <c r="AB1306" s="314"/>
      <c r="AC1306" s="397" t="b">
        <f>AND(AC1302,Y1306&lt;&gt;EUconst_NA)</f>
        <v>0</v>
      </c>
      <c r="AD1306" s="314"/>
      <c r="AE1306" s="415"/>
      <c r="AF1306" s="416"/>
      <c r="AG1306" s="417"/>
      <c r="AH1306" s="418"/>
      <c r="AI1306" s="418"/>
      <c r="AJ1306" s="418"/>
      <c r="AK1306" s="419"/>
      <c r="AL1306" s="326"/>
      <c r="AM1306" s="326"/>
      <c r="AN1306" s="326"/>
      <c r="AO1306" s="326"/>
      <c r="AP1306" s="326"/>
      <c r="AQ1306" s="444" t="s">
        <v>159</v>
      </c>
      <c r="AR1306" s="415"/>
      <c r="AS1306" s="445" t="str">
        <f t="shared" si="402"/>
        <v/>
      </c>
      <c r="AT1306" s="446"/>
      <c r="AU1306" s="447" t="str">
        <f t="shared" si="403"/>
        <v/>
      </c>
      <c r="AV1306" s="397">
        <f t="shared" si="404"/>
        <v>0</v>
      </c>
      <c r="AW1306" s="398" t="b">
        <f t="shared" si="396"/>
        <v>0</v>
      </c>
      <c r="AX1306" s="448" t="b">
        <f t="shared" si="397"/>
        <v>0</v>
      </c>
      <c r="AY1306" s="314"/>
      <c r="AZ1306" s="449" t="b">
        <f t="shared" si="398"/>
        <v>0</v>
      </c>
      <c r="BA1306" s="450" t="b">
        <f t="shared" si="399"/>
        <v>0</v>
      </c>
      <c r="BB1306" s="314"/>
      <c r="BC1306" s="398" t="b">
        <f t="shared" si="400"/>
        <v>0</v>
      </c>
      <c r="BD1306" s="369" t="b">
        <f>OR(AV1306&gt;100%,(AV1306+AV1307)&gt;100%)</f>
        <v>0</v>
      </c>
      <c r="BE1306" s="314"/>
      <c r="BF1306" s="451" t="s">
        <v>164</v>
      </c>
      <c r="BG1306" s="452">
        <f>IF(AN1298=EUconst_TJ,AV1298*(1-AV1302),IF(AN1300=EUconst_GJ,AV1298*AV1300/1000,0))-SUM(BG1307:BG1313)</f>
        <v>0</v>
      </c>
      <c r="BH1306" s="314"/>
      <c r="BI1306" s="314"/>
      <c r="BJ1306" s="314"/>
      <c r="BK1306" s="314"/>
      <c r="BL1306" s="314"/>
      <c r="BM1306" s="314"/>
      <c r="BN1306" s="314"/>
      <c r="BO1306" s="314"/>
      <c r="BP1306" s="314"/>
      <c r="BQ1306" s="314"/>
      <c r="BR1306" s="314"/>
      <c r="BS1306" s="314"/>
      <c r="BT1306" s="314"/>
      <c r="BU1306" s="314"/>
      <c r="BV1306" s="314"/>
      <c r="BW1306" s="314"/>
      <c r="BX1306" s="314"/>
      <c r="BY1306" s="314"/>
      <c r="BZ1306" s="314"/>
      <c r="CA1306" s="314"/>
      <c r="CB1306" s="314"/>
      <c r="CC1306" s="314"/>
      <c r="CD1306" s="314"/>
      <c r="CE1306" s="314"/>
      <c r="CF1306" s="314"/>
      <c r="CG1306" s="314"/>
      <c r="CH1306" s="314"/>
      <c r="CI1306" s="314"/>
      <c r="CJ1306" s="314"/>
      <c r="CK1306" s="314"/>
      <c r="CL1306" s="314"/>
      <c r="CM1306" s="314"/>
      <c r="CN1306" s="314"/>
      <c r="CO1306" s="314"/>
      <c r="CP1306" s="314"/>
      <c r="CQ1306" s="407" t="b">
        <f>OR(CQ1298,Y1306=EUconst_NA)</f>
        <v>0</v>
      </c>
    </row>
    <row r="1307" spans="1:95" ht="12.75" customHeight="1" thickBot="1" x14ac:dyDescent="0.3">
      <c r="A1307" s="307"/>
      <c r="B1307" s="68"/>
      <c r="C1307" s="199" t="s">
        <v>165</v>
      </c>
      <c r="D1307" s="344" t="str">
        <f>Translations!$B$618</f>
        <v>non-sust. SLCF:</v>
      </c>
      <c r="E1307" s="441"/>
      <c r="F1307" s="20" t="s">
        <v>158</v>
      </c>
      <c r="G1307" s="1261"/>
      <c r="H1307" s="1262"/>
      <c r="I1307" s="422" t="str">
        <f t="shared" si="401"/>
        <v/>
      </c>
      <c r="J1307" s="423"/>
      <c r="K1307" s="443"/>
      <c r="L1307" s="56"/>
      <c r="M1307" s="347" t="str">
        <f>IF(AND(E1293&lt;&gt;"",OR(F1307="",COUNT(L1307)=0),Y1307&lt;&gt;EUconst_NA),EUconst_ERR_Incomplete,"")</f>
        <v/>
      </c>
      <c r="N1307" s="76"/>
      <c r="O1307" s="160"/>
      <c r="P1307" s="348"/>
      <c r="Q1307" s="413"/>
      <c r="R1307" s="413"/>
      <c r="S1307" s="314"/>
      <c r="T1307" s="425" t="str">
        <f>EUconst_CNTR_RFNBOetcContent&amp;E1293</f>
        <v>RNFBOC_</v>
      </c>
      <c r="U1307" s="312"/>
      <c r="V1307" s="312"/>
      <c r="W1307" s="312"/>
      <c r="X1307" s="312"/>
      <c r="Y1307" s="438" t="str">
        <f>IF(E1293="","",IF(OR(F1307=EUconst_NA,W1307=TRUE),EUconst_NA,INDEX(EUwideConstants!$P$164:$P$200,MATCH(T1307,EUwideConstants!$S$164:$S$200,0))))</f>
        <v/>
      </c>
      <c r="Z1307" s="314"/>
      <c r="AA1307" s="314"/>
      <c r="AB1307" s="314"/>
      <c r="AC1307" s="429" t="b">
        <f>AND(AC1302,Y1307&lt;&gt;EUconst_NA)</f>
        <v>0</v>
      </c>
      <c r="AD1307" s="314"/>
      <c r="AE1307" s="430"/>
      <c r="AF1307" s="431"/>
      <c r="AG1307" s="432"/>
      <c r="AH1307" s="433"/>
      <c r="AI1307" s="433"/>
      <c r="AJ1307" s="433"/>
      <c r="AK1307" s="434"/>
      <c r="AL1307" s="326"/>
      <c r="AM1307" s="326"/>
      <c r="AN1307" s="326"/>
      <c r="AO1307" s="326"/>
      <c r="AP1307" s="326"/>
      <c r="AQ1307" s="435" t="s">
        <v>159</v>
      </c>
      <c r="AR1307" s="430"/>
      <c r="AS1307" s="436" t="str">
        <f t="shared" si="402"/>
        <v/>
      </c>
      <c r="AT1307" s="437"/>
      <c r="AU1307" s="438" t="str">
        <f t="shared" si="403"/>
        <v/>
      </c>
      <c r="AV1307" s="429">
        <f t="shared" si="404"/>
        <v>0</v>
      </c>
      <c r="AW1307" s="407" t="b">
        <f t="shared" si="396"/>
        <v>0</v>
      </c>
      <c r="AX1307" s="439" t="b">
        <f t="shared" si="397"/>
        <v>0</v>
      </c>
      <c r="AY1307" s="314"/>
      <c r="AZ1307" s="408" t="b">
        <f t="shared" si="398"/>
        <v>0</v>
      </c>
      <c r="BA1307" s="440" t="b">
        <f t="shared" si="399"/>
        <v>0</v>
      </c>
      <c r="BB1307" s="314"/>
      <c r="BC1307" s="407" t="b">
        <f t="shared" si="400"/>
        <v>0</v>
      </c>
      <c r="BD1307" s="407" t="b">
        <f>OR(AV1306&gt;100%,(AV1306+AV1307)&gt;100%)</f>
        <v>0</v>
      </c>
      <c r="BE1307" s="314"/>
      <c r="BF1307" s="408" t="s">
        <v>166</v>
      </c>
      <c r="BG1307" s="409" t="str">
        <f>IF(AN1298=EUconst_TJ,AV1298*AV1302,IF(AN1300=EUconst_GJ,AV1298*AV1300/1000*AV1302,""))</f>
        <v/>
      </c>
      <c r="BH1307" s="314"/>
      <c r="BI1307" s="314"/>
      <c r="BJ1307" s="314"/>
      <c r="BK1307" s="314"/>
      <c r="BL1307" s="314"/>
      <c r="BM1307" s="314"/>
      <c r="BN1307" s="314"/>
      <c r="BO1307" s="314"/>
      <c r="BP1307" s="314"/>
      <c r="BQ1307" s="314"/>
      <c r="BR1307" s="314"/>
      <c r="BS1307" s="314"/>
      <c r="BT1307" s="314"/>
      <c r="BU1307" s="314"/>
      <c r="BV1307" s="314"/>
      <c r="BW1307" s="314"/>
      <c r="BX1307" s="314"/>
      <c r="BY1307" s="314"/>
      <c r="BZ1307" s="314"/>
      <c r="CA1307" s="314"/>
      <c r="CB1307" s="314"/>
      <c r="CC1307" s="314"/>
      <c r="CD1307" s="314"/>
      <c r="CE1307" s="314"/>
      <c r="CF1307" s="314"/>
      <c r="CG1307" s="314"/>
      <c r="CH1307" s="314"/>
      <c r="CI1307" s="314"/>
      <c r="CJ1307" s="314"/>
      <c r="CK1307" s="314"/>
      <c r="CL1307" s="314"/>
      <c r="CM1307" s="314"/>
      <c r="CN1307" s="314"/>
      <c r="CO1307" s="314"/>
      <c r="CP1307" s="314"/>
      <c r="CQ1307" s="407" t="b">
        <f>OR(CQ1298,Y1307=EUconst_NA)</f>
        <v>0</v>
      </c>
    </row>
    <row r="1308" spans="1:95" ht="5.15" customHeight="1" thickBot="1" x14ac:dyDescent="0.3">
      <c r="A1308" s="307"/>
      <c r="B1308" s="68"/>
      <c r="C1308" s="68"/>
      <c r="D1308" s="205"/>
      <c r="E1308" s="76"/>
      <c r="F1308" s="76"/>
      <c r="G1308" s="76"/>
      <c r="H1308" s="76"/>
      <c r="I1308" s="76"/>
      <c r="J1308" s="76"/>
      <c r="K1308" s="76"/>
      <c r="L1308" s="76"/>
      <c r="M1308" s="453"/>
      <c r="N1308" s="76"/>
      <c r="O1308" s="160"/>
      <c r="P1308" s="109"/>
      <c r="Q1308" s="312"/>
      <c r="R1308" s="312"/>
      <c r="S1308" s="314"/>
      <c r="T1308" s="314"/>
      <c r="U1308" s="314"/>
      <c r="V1308" s="314"/>
      <c r="W1308" s="314"/>
      <c r="X1308" s="314"/>
      <c r="Y1308" s="314"/>
      <c r="Z1308" s="314"/>
      <c r="AA1308" s="314"/>
      <c r="AB1308" s="314"/>
      <c r="AC1308" s="314"/>
      <c r="AD1308" s="314"/>
      <c r="AE1308" s="314"/>
      <c r="AF1308" s="314"/>
      <c r="AG1308" s="314"/>
      <c r="AH1308" s="314"/>
      <c r="AI1308" s="314"/>
      <c r="AJ1308" s="314"/>
      <c r="AK1308" s="314"/>
      <c r="AL1308" s="314"/>
      <c r="AM1308" s="314"/>
      <c r="AN1308" s="314"/>
      <c r="AO1308" s="314"/>
      <c r="AP1308" s="314"/>
      <c r="AQ1308" s="314"/>
      <c r="AR1308" s="314"/>
      <c r="AS1308" s="314"/>
      <c r="AT1308" s="314"/>
      <c r="AU1308" s="314"/>
      <c r="AV1308" s="314"/>
      <c r="AW1308" s="314"/>
      <c r="AX1308" s="314"/>
      <c r="AY1308" s="314"/>
      <c r="AZ1308" s="314"/>
      <c r="BA1308" s="314"/>
      <c r="BB1308" s="314"/>
      <c r="BC1308" s="314"/>
      <c r="BD1308" s="314"/>
      <c r="BE1308" s="314"/>
      <c r="BF1308" s="314"/>
      <c r="BG1308" s="364"/>
      <c r="BH1308" s="314"/>
      <c r="BI1308" s="314"/>
      <c r="BJ1308" s="314"/>
      <c r="BK1308" s="314"/>
      <c r="BL1308" s="314"/>
      <c r="BM1308" s="314"/>
      <c r="BN1308" s="314"/>
      <c r="BO1308" s="314"/>
      <c r="BP1308" s="314"/>
      <c r="BQ1308" s="314"/>
      <c r="BR1308" s="314"/>
      <c r="BS1308" s="314"/>
      <c r="BT1308" s="314"/>
      <c r="BU1308" s="314"/>
      <c r="BV1308" s="314"/>
      <c r="BW1308" s="314"/>
      <c r="BX1308" s="314"/>
      <c r="BY1308" s="314"/>
      <c r="BZ1308" s="314"/>
      <c r="CA1308" s="314"/>
      <c r="CB1308" s="314"/>
      <c r="CC1308" s="314"/>
      <c r="CD1308" s="314"/>
      <c r="CE1308" s="314"/>
      <c r="CF1308" s="314"/>
      <c r="CG1308" s="314"/>
      <c r="CH1308" s="314"/>
      <c r="CI1308" s="314"/>
      <c r="CJ1308" s="314"/>
      <c r="CK1308" s="314"/>
      <c r="CL1308" s="314"/>
      <c r="CM1308" s="314"/>
      <c r="CN1308" s="314"/>
      <c r="CO1308" s="314"/>
      <c r="CP1308" s="314"/>
      <c r="CQ1308" s="314"/>
    </row>
    <row r="1309" spans="1:95" ht="12.75" customHeight="1" thickBot="1" x14ac:dyDescent="0.3">
      <c r="A1309" s="307"/>
      <c r="B1309" s="68"/>
      <c r="C1309" s="199" t="s">
        <v>167</v>
      </c>
      <c r="D1309" s="344" t="str">
        <f>Translations!$B$398</f>
        <v>Scope factor:</v>
      </c>
      <c r="E1309" s="454"/>
      <c r="F1309" s="992"/>
      <c r="G1309" s="1263"/>
      <c r="H1309" s="1264"/>
      <c r="I1309" s="455" t="s">
        <v>46</v>
      </c>
      <c r="J1309" s="456"/>
      <c r="K1309" s="457" t="str">
        <f>IF(L1309="",AU1309,"")</f>
        <v/>
      </c>
      <c r="L1309" s="16"/>
      <c r="M1309" s="458" t="str">
        <f>IF(AND(E1293&lt;&gt;"",OR(F1309="",G1309="",COUNT(K1309:L1309)=0)),EUconst_ERR_Incomplete,IF(COUNTIF(BB1309:BD1309,TRUE)&gt;0,EUconst_ERR_Inconsistent,""))</f>
        <v/>
      </c>
      <c r="N1309" s="76"/>
      <c r="O1309" s="160"/>
      <c r="P1309" s="109"/>
      <c r="Q1309" s="312"/>
      <c r="R1309" s="314"/>
      <c r="S1309" s="297"/>
      <c r="T1309" s="459" t="str">
        <f>EUconst_CNTR_ScopeFactor&amp;E1293</f>
        <v>ScopeFactor_</v>
      </c>
      <c r="U1309" s="231" t="str">
        <f>IF(F1309="","",INDEX(ScopeAddress,MATCH(F1309,ScopeTiers,0)))</f>
        <v/>
      </c>
      <c r="V1309" s="360" t="str">
        <f>V1298</f>
        <v/>
      </c>
      <c r="W1309" s="314"/>
      <c r="X1309" s="314"/>
      <c r="Y1309" s="460" t="str">
        <f>IF(E1293="","",IF(F1309=EUconst_NA,EUconst_NA,INDEX(EUwideConstants!$P$164:$P$200,MATCH(T1309,EUwideConstants!$S$164:$S$200,0))))</f>
        <v/>
      </c>
      <c r="Z1309" s="461" t="str">
        <f>IF(ISBLANK(F1309),"",IF(F1309=EUconst_NA,"",INDEX(EUwideConstants!$H:$O,MATCH(T1309,EUwideConstants!$S:$S,0),MATCH(F1309,CNTR_TierList,0))))</f>
        <v/>
      </c>
      <c r="AA1309" s="331" t="str">
        <f>IF(G1309=EUwideConstants!$A$89,1,"")</f>
        <v/>
      </c>
      <c r="AB1309" s="314"/>
      <c r="AC1309" s="331" t="b">
        <f>AND(AC1298,Y1309&lt;&gt;EUconst_NA)</f>
        <v>0</v>
      </c>
      <c r="AD1309" s="314"/>
      <c r="AE1309" s="314"/>
      <c r="AF1309" s="314"/>
      <c r="AG1309" s="319"/>
      <c r="AH1309" s="314"/>
      <c r="AI1309" s="314"/>
      <c r="AJ1309" s="314"/>
      <c r="AK1309" s="314"/>
      <c r="AL1309" s="314"/>
      <c r="AM1309" s="314"/>
      <c r="AN1309" s="314"/>
      <c r="AO1309" s="314"/>
      <c r="AP1309" s="314"/>
      <c r="AQ1309" s="314"/>
      <c r="AR1309" s="314"/>
      <c r="AS1309" s="328">
        <v>1</v>
      </c>
      <c r="AT1309" s="314"/>
      <c r="AU1309" s="319" t="str">
        <f>IF(G1309=EUwideConstants!$A$89,AS1309,"")</f>
        <v/>
      </c>
      <c r="AV1309" s="331">
        <f>IF(AC1309=TRUE,IF(COUNT(K1309:L1309)=0,0,IF(L1309="",K1309,L1309)),0)</f>
        <v>0</v>
      </c>
      <c r="AW1309" s="360" t="b">
        <f>AND(AC1309=TRUE,OR(AND(F1309&lt;&gt;"",NOT(ISNUMBER(AA1309))),L1309&lt;&gt;"",F1309="",AU1309=""))</f>
        <v>0</v>
      </c>
      <c r="AX1309" s="357" t="b">
        <f>AND(AC1309=TRUE,NOT(AW1309))</f>
        <v>0</v>
      </c>
      <c r="AY1309" s="314"/>
      <c r="AZ1309" s="361" t="b">
        <f>AND(ISNUMBER(AA1309),AU1309="")</f>
        <v>0</v>
      </c>
      <c r="BA1309" s="351" t="b">
        <f>AND(ISNUMBER(AA1309),AU1309&lt;&gt;AV1309)</f>
        <v>0</v>
      </c>
      <c r="BB1309" s="314"/>
      <c r="BC1309" s="360" t="b">
        <f>AND(F1309&lt;&gt;"",OR(COUNTIF(INDEX(ScopeMethods,F1309,),G1309)=0,AND(AA1309&lt;&gt;"",AU1309&lt;&gt;AV1309)))</f>
        <v>0</v>
      </c>
      <c r="BD1309" s="314"/>
      <c r="BE1309" s="314"/>
      <c r="BF1309" s="361" t="s">
        <v>168</v>
      </c>
      <c r="BG1309" s="362" t="str">
        <f>IF(AN1298=EUconst_TJ,AV1298*AV1304,IF(AN1300=EUconst_GJ,AV1298*AV1300/1000*AV1304,""))</f>
        <v/>
      </c>
      <c r="BH1309" s="314"/>
      <c r="BI1309" s="314"/>
      <c r="BJ1309" s="314"/>
      <c r="BK1309" s="314"/>
      <c r="BL1309" s="314"/>
      <c r="BM1309" s="314"/>
      <c r="BN1309" s="314"/>
      <c r="BO1309" s="314"/>
      <c r="BP1309" s="314"/>
      <c r="BQ1309" s="314"/>
      <c r="BR1309" s="314"/>
      <c r="BS1309" s="314"/>
      <c r="BT1309" s="314"/>
      <c r="BU1309" s="314"/>
      <c r="BV1309" s="314"/>
      <c r="BW1309" s="314"/>
      <c r="BX1309" s="314"/>
      <c r="BY1309" s="314"/>
      <c r="BZ1309" s="314"/>
      <c r="CA1309" s="314"/>
      <c r="CB1309" s="314"/>
      <c r="CC1309" s="314"/>
      <c r="CD1309" s="314"/>
      <c r="CE1309" s="314"/>
      <c r="CF1309" s="314"/>
      <c r="CG1309" s="314"/>
      <c r="CH1309" s="314"/>
      <c r="CI1309" s="314"/>
      <c r="CJ1309" s="314"/>
      <c r="CK1309" s="314"/>
      <c r="CL1309" s="314"/>
      <c r="CM1309" s="314"/>
      <c r="CN1309" s="314"/>
      <c r="CO1309" s="314"/>
      <c r="CP1309" s="314"/>
      <c r="CQ1309" s="314"/>
    </row>
    <row r="1310" spans="1:95" ht="12.75" customHeight="1" x14ac:dyDescent="0.25">
      <c r="A1310" s="307"/>
      <c r="B1310" s="68"/>
      <c r="C1310" s="68"/>
      <c r="D1310" s="68"/>
      <c r="E1310" s="68"/>
      <c r="F1310" s="68"/>
      <c r="G1310" s="1265" t="str">
        <f>IF(G1309="","",INDEX(ScopeMethodsDetails,MATCH(G1309,INDEX(ScopeMethodsDetails,,1),0),2))</f>
        <v/>
      </c>
      <c r="H1310" s="1266"/>
      <c r="I1310" s="1266"/>
      <c r="J1310" s="1266"/>
      <c r="K1310" s="1266"/>
      <c r="L1310" s="1266"/>
      <c r="M1310" s="1267"/>
      <c r="N1310" s="76"/>
      <c r="O1310" s="160"/>
      <c r="P1310" s="109"/>
      <c r="Q1310" s="312"/>
      <c r="R1310" s="312"/>
      <c r="S1310" s="314"/>
      <c r="T1310" s="314"/>
      <c r="U1310" s="314"/>
      <c r="V1310" s="314"/>
      <c r="W1310" s="314"/>
      <c r="X1310" s="314"/>
      <c r="Y1310" s="314"/>
      <c r="Z1310" s="314"/>
      <c r="AA1310" s="314"/>
      <c r="AB1310" s="314"/>
      <c r="AC1310" s="314"/>
      <c r="AD1310" s="314"/>
      <c r="AE1310" s="314"/>
      <c r="AF1310" s="314"/>
      <c r="AG1310" s="314"/>
      <c r="AH1310" s="314"/>
      <c r="AI1310" s="314"/>
      <c r="AJ1310" s="314"/>
      <c r="AK1310" s="314"/>
      <c r="AL1310" s="314"/>
      <c r="AM1310" s="314"/>
      <c r="AN1310" s="314"/>
      <c r="AO1310" s="314"/>
      <c r="AP1310" s="314"/>
      <c r="AQ1310" s="314"/>
      <c r="AR1310" s="314"/>
      <c r="AS1310" s="314"/>
      <c r="AT1310" s="314"/>
      <c r="AU1310" s="314"/>
      <c r="AV1310" s="314"/>
      <c r="AW1310" s="314"/>
      <c r="AX1310" s="314"/>
      <c r="AY1310" s="314"/>
      <c r="AZ1310" s="314"/>
      <c r="BA1310" s="314"/>
      <c r="BB1310" s="314"/>
      <c r="BC1310" s="314"/>
      <c r="BD1310" s="314"/>
      <c r="BE1310" s="314"/>
      <c r="BG1310" s="364"/>
      <c r="BH1310" s="314"/>
      <c r="BI1310" s="314"/>
      <c r="BJ1310" s="314"/>
      <c r="BK1310" s="314"/>
      <c r="BL1310" s="314"/>
      <c r="BM1310" s="314"/>
      <c r="BN1310" s="314"/>
      <c r="BO1310" s="314"/>
      <c r="BP1310" s="314"/>
      <c r="BQ1310" s="314"/>
      <c r="BR1310" s="314"/>
      <c r="BS1310" s="314"/>
      <c r="BT1310" s="314"/>
      <c r="BU1310" s="314"/>
      <c r="BV1310" s="314"/>
      <c r="BW1310" s="314"/>
      <c r="BX1310" s="314"/>
      <c r="BY1310" s="314"/>
      <c r="BZ1310" s="314"/>
      <c r="CA1310" s="314"/>
      <c r="CB1310" s="314"/>
      <c r="CC1310" s="314"/>
      <c r="CD1310" s="314"/>
      <c r="CE1310" s="314"/>
      <c r="CF1310" s="314"/>
      <c r="CG1310" s="314"/>
      <c r="CH1310" s="314"/>
      <c r="CI1310" s="314"/>
      <c r="CJ1310" s="314"/>
      <c r="CK1310" s="314"/>
      <c r="CL1310" s="314"/>
      <c r="CM1310" s="314"/>
      <c r="CN1310" s="314"/>
      <c r="CO1310" s="314"/>
      <c r="CP1310" s="314"/>
      <c r="CQ1310" s="314"/>
    </row>
    <row r="1311" spans="1:95" ht="5.15" customHeight="1" x14ac:dyDescent="0.25">
      <c r="A1311" s="307"/>
      <c r="C1311" s="76"/>
      <c r="D1311" s="76"/>
      <c r="E1311" s="76"/>
      <c r="F1311" s="76"/>
      <c r="G1311" s="76"/>
      <c r="H1311" s="76"/>
      <c r="I1311" s="76"/>
      <c r="J1311" s="76"/>
      <c r="K1311" s="76"/>
      <c r="L1311" s="76"/>
      <c r="O1311" s="160"/>
      <c r="P1311" s="109"/>
      <c r="Q1311" s="312"/>
      <c r="R1311" s="312"/>
      <c r="S1311" s="314"/>
      <c r="T1311" s="314"/>
      <c r="U1311" s="314"/>
      <c r="V1311" s="314"/>
      <c r="W1311" s="314"/>
      <c r="X1311" s="314"/>
      <c r="Y1311" s="314"/>
      <c r="Z1311" s="314"/>
      <c r="AA1311" s="314"/>
      <c r="AB1311" s="314"/>
      <c r="AC1311" s="314"/>
      <c r="AD1311" s="314"/>
      <c r="AE1311" s="314"/>
      <c r="AF1311" s="314"/>
      <c r="AG1311" s="314"/>
      <c r="AH1311" s="314"/>
      <c r="AI1311" s="314"/>
      <c r="AJ1311" s="314"/>
      <c r="AK1311" s="314"/>
      <c r="AL1311" s="314"/>
      <c r="AM1311" s="314"/>
      <c r="AN1311" s="314"/>
      <c r="AO1311" s="314"/>
      <c r="AP1311" s="314"/>
      <c r="AQ1311" s="314"/>
      <c r="AR1311" s="314"/>
      <c r="AS1311" s="314"/>
      <c r="AT1311" s="314"/>
      <c r="AU1311" s="314"/>
      <c r="AV1311" s="314"/>
      <c r="AW1311" s="314"/>
      <c r="AX1311" s="314"/>
      <c r="AY1311" s="314"/>
      <c r="AZ1311" s="314"/>
      <c r="BA1311" s="314"/>
      <c r="BB1311" s="314"/>
      <c r="BC1311" s="314"/>
      <c r="BD1311" s="314"/>
      <c r="BE1311" s="314"/>
      <c r="BG1311" s="364"/>
      <c r="BH1311" s="314"/>
      <c r="BI1311" s="314"/>
      <c r="BJ1311" s="314"/>
      <c r="BK1311" s="314"/>
      <c r="BL1311" s="314"/>
      <c r="BM1311" s="314"/>
      <c r="BN1311" s="314"/>
      <c r="BO1311" s="314"/>
      <c r="BP1311" s="314"/>
      <c r="BQ1311" s="314"/>
      <c r="BR1311" s="314"/>
      <c r="BS1311" s="314"/>
      <c r="BT1311" s="314"/>
      <c r="BU1311" s="314"/>
      <c r="BV1311" s="314"/>
      <c r="BW1311" s="314"/>
      <c r="BX1311" s="314"/>
      <c r="BY1311" s="314"/>
      <c r="BZ1311" s="314"/>
      <c r="CA1311" s="314"/>
      <c r="CB1311" s="314"/>
      <c r="CC1311" s="314"/>
      <c r="CD1311" s="314"/>
      <c r="CE1311" s="314"/>
      <c r="CF1311" s="314"/>
      <c r="CG1311" s="314"/>
      <c r="CH1311" s="314"/>
      <c r="CI1311" s="314"/>
      <c r="CJ1311" s="314"/>
      <c r="CK1311" s="314"/>
      <c r="CL1311" s="314"/>
      <c r="CM1311" s="314"/>
      <c r="CN1311" s="314"/>
      <c r="CO1311" s="314"/>
      <c r="CP1311" s="314"/>
      <c r="CQ1311" s="314"/>
    </row>
    <row r="1312" spans="1:95" ht="12.75" customHeight="1" thickBot="1" x14ac:dyDescent="0.3">
      <c r="A1312" s="307"/>
      <c r="C1312" s="76"/>
      <c r="D1312" s="76"/>
      <c r="E1312" s="76"/>
      <c r="F1312" s="76"/>
      <c r="G1312" s="1268">
        <v>1</v>
      </c>
      <c r="H1312" s="1268"/>
      <c r="I1312" s="1268">
        <v>2</v>
      </c>
      <c r="J1312" s="1268"/>
      <c r="K1312" s="1268">
        <v>3</v>
      </c>
      <c r="L1312" s="1268"/>
      <c r="O1312" s="160"/>
      <c r="P1312" s="109"/>
      <c r="Q1312" s="312"/>
      <c r="R1312" s="312"/>
      <c r="S1312" s="314"/>
      <c r="T1312" s="314"/>
      <c r="U1312" s="314"/>
      <c r="V1312" s="314"/>
      <c r="W1312" s="314"/>
      <c r="X1312" s="314"/>
      <c r="Y1312" s="314"/>
      <c r="Z1312" s="314"/>
      <c r="AA1312" s="314"/>
      <c r="AB1312" s="314"/>
      <c r="AC1312" s="314"/>
      <c r="AD1312" s="314"/>
      <c r="AE1312" s="314"/>
      <c r="AF1312" s="314"/>
      <c r="AG1312" s="314"/>
      <c r="AH1312" s="314"/>
      <c r="AI1312" s="314"/>
      <c r="AJ1312" s="314"/>
      <c r="AK1312" s="314"/>
      <c r="AL1312" s="314"/>
      <c r="AM1312" s="314"/>
      <c r="AN1312" s="314"/>
      <c r="AO1312" s="314"/>
      <c r="AP1312" s="314"/>
      <c r="AQ1312" s="314"/>
      <c r="AR1312" s="314"/>
      <c r="AS1312" s="314"/>
      <c r="AT1312" s="314"/>
      <c r="AU1312" s="314"/>
      <c r="AV1312" s="314"/>
      <c r="AW1312" s="314"/>
      <c r="AX1312" s="314"/>
      <c r="AY1312" s="314"/>
      <c r="AZ1312" s="314"/>
      <c r="BA1312" s="314"/>
      <c r="BB1312" s="314"/>
      <c r="BC1312" s="314"/>
      <c r="BD1312" s="314"/>
      <c r="BE1312" s="314"/>
      <c r="BF1312" s="314"/>
      <c r="BG1312" s="364"/>
      <c r="BH1312" s="314"/>
      <c r="BI1312" s="314"/>
      <c r="BJ1312" s="314"/>
      <c r="BK1312" s="314"/>
      <c r="BL1312" s="314"/>
      <c r="BM1312" s="314"/>
      <c r="BN1312" s="314"/>
      <c r="BO1312" s="314"/>
      <c r="BP1312" s="314"/>
      <c r="BQ1312" s="314"/>
      <c r="BR1312" s="314"/>
      <c r="BS1312" s="314"/>
      <c r="BT1312" s="314"/>
      <c r="BU1312" s="314"/>
      <c r="BV1312" s="314"/>
      <c r="BW1312" s="314"/>
      <c r="BX1312" s="314"/>
      <c r="BY1312" s="314"/>
      <c r="BZ1312" s="314"/>
      <c r="CA1312" s="314"/>
      <c r="CB1312" s="314"/>
      <c r="CC1312" s="314"/>
      <c r="CD1312" s="314"/>
      <c r="CE1312" s="314"/>
      <c r="CF1312" s="314"/>
      <c r="CG1312" s="314"/>
      <c r="CH1312" s="314"/>
      <c r="CI1312" s="314"/>
      <c r="CJ1312" s="314"/>
      <c r="CK1312" s="314"/>
      <c r="CL1312" s="314"/>
      <c r="CM1312" s="314"/>
      <c r="CN1312" s="314"/>
      <c r="CO1312" s="314"/>
      <c r="CP1312" s="314"/>
      <c r="CQ1312" s="314"/>
    </row>
    <row r="1313" spans="1:95" ht="12.75" customHeight="1" thickBot="1" x14ac:dyDescent="0.3">
      <c r="A1313" s="462"/>
      <c r="B1313" s="76"/>
      <c r="C1313" s="76"/>
      <c r="D1313" s="1246" t="str">
        <f>Translations!$B$372</f>
        <v>Consumers' CRF category:</v>
      </c>
      <c r="E1313" s="1246"/>
      <c r="F1313" s="1247"/>
      <c r="G1313" s="1248"/>
      <c r="H1313" s="1249"/>
      <c r="I1313" s="1248"/>
      <c r="J1313" s="1249"/>
      <c r="K1313" s="1248"/>
      <c r="L1313" s="1249"/>
      <c r="M1313" s="463" t="str">
        <f>IF(AND(E1292&lt;&gt;"",COUNTA(G1313:L1313)=0,AX1313=FALSE),EUconst_ERR_Incomplete,"")</f>
        <v/>
      </c>
      <c r="N1313" s="76"/>
      <c r="O1313" s="160"/>
      <c r="P1313" s="109"/>
      <c r="Q1313" s="312"/>
      <c r="R1313" s="312"/>
      <c r="S1313" s="314"/>
      <c r="T1313" s="314"/>
      <c r="U1313" s="314"/>
      <c r="V1313" s="314"/>
      <c r="W1313" s="314"/>
      <c r="X1313" s="314"/>
      <c r="Y1313" s="314"/>
      <c r="Z1313" s="314"/>
      <c r="AA1313" s="314"/>
      <c r="AB1313" s="314"/>
      <c r="AC1313" s="314"/>
      <c r="AD1313" s="314"/>
      <c r="AE1313" s="314"/>
      <c r="AF1313" s="314"/>
      <c r="AG1313" s="314"/>
      <c r="AH1313" s="314"/>
      <c r="AI1313" s="314"/>
      <c r="AJ1313" s="314"/>
      <c r="AK1313" s="314"/>
      <c r="AL1313" s="314"/>
      <c r="AM1313" s="314"/>
      <c r="AN1313" s="314"/>
      <c r="AO1313" s="314"/>
      <c r="AP1313" s="314"/>
      <c r="AQ1313" s="314"/>
      <c r="AR1313" s="314"/>
      <c r="AS1313" s="314"/>
      <c r="AT1313" s="314"/>
      <c r="AU1313" s="314"/>
      <c r="AV1313" s="314"/>
      <c r="AW1313" s="314"/>
      <c r="AX1313" s="464" t="b">
        <f>AND(AV1309&lt;&gt;"",SUM(AV1309=1))</f>
        <v>0</v>
      </c>
      <c r="AY1313" s="314"/>
      <c r="AZ1313" s="314"/>
      <c r="BA1313" s="314"/>
      <c r="BB1313" s="314"/>
      <c r="BC1313" s="314"/>
      <c r="BD1313" s="314"/>
      <c r="BE1313" s="314"/>
      <c r="BF1313" s="361" t="s">
        <v>169</v>
      </c>
      <c r="BG1313" s="362" t="str">
        <f>IF(AN1298=EUconst_TJ,AV1298*AV1306,IF(AN1300=EUconst_GJ,AV1298*AV1300/1000*AV1306,""))</f>
        <v/>
      </c>
      <c r="BH1313" s="314"/>
      <c r="BI1313" s="314"/>
      <c r="BJ1313" s="314"/>
      <c r="BK1313" s="314"/>
      <c r="BL1313" s="314"/>
      <c r="BM1313" s="314"/>
      <c r="BN1313" s="314"/>
      <c r="BO1313" s="314"/>
      <c r="BP1313" s="314"/>
      <c r="BQ1313" s="314"/>
      <c r="BR1313" s="314"/>
      <c r="BS1313" s="314"/>
      <c r="BT1313" s="314"/>
      <c r="BU1313" s="314"/>
      <c r="BV1313" s="314"/>
      <c r="BW1313" s="314"/>
      <c r="BX1313" s="314"/>
      <c r="BY1313" s="314"/>
      <c r="BZ1313" s="314"/>
      <c r="CA1313" s="314"/>
      <c r="CB1313" s="314"/>
      <c r="CC1313" s="314"/>
      <c r="CD1313" s="314"/>
      <c r="CE1313" s="314"/>
      <c r="CF1313" s="314"/>
      <c r="CG1313" s="314"/>
      <c r="CH1313" s="314"/>
      <c r="CI1313" s="314"/>
      <c r="CJ1313" s="314"/>
      <c r="CK1313" s="314"/>
      <c r="CL1313" s="314"/>
      <c r="CM1313" s="314"/>
      <c r="CN1313" s="314"/>
      <c r="CO1313" s="314"/>
      <c r="CP1313" s="314"/>
      <c r="CQ1313" s="314"/>
    </row>
    <row r="1314" spans="1:95" ht="5.15" customHeight="1" x14ac:dyDescent="0.25">
      <c r="A1314" s="307"/>
      <c r="B1314" s="68"/>
      <c r="C1314" s="68"/>
      <c r="D1314" s="68"/>
      <c r="E1314" s="68"/>
      <c r="F1314" s="68"/>
      <c r="G1314" s="76"/>
      <c r="H1314" s="76"/>
      <c r="I1314" s="76"/>
      <c r="J1314" s="76"/>
      <c r="K1314" s="76"/>
      <c r="L1314" s="76"/>
      <c r="M1314" s="76"/>
      <c r="N1314" s="76"/>
      <c r="O1314" s="160"/>
      <c r="P1314" s="109"/>
      <c r="Q1314" s="312"/>
      <c r="R1314" s="312"/>
      <c r="S1314" s="314"/>
      <c r="T1314" s="314"/>
      <c r="U1314" s="314"/>
      <c r="V1314" s="314"/>
      <c r="W1314" s="314"/>
      <c r="X1314" s="314"/>
      <c r="Y1314" s="314"/>
      <c r="Z1314" s="314"/>
      <c r="AA1314" s="314"/>
      <c r="AB1314" s="314"/>
      <c r="AC1314" s="314"/>
      <c r="AD1314" s="314"/>
      <c r="AE1314" s="314"/>
      <c r="AF1314" s="314"/>
      <c r="AG1314" s="314"/>
      <c r="AH1314" s="314"/>
      <c r="AI1314" s="314"/>
      <c r="AJ1314" s="314"/>
      <c r="AK1314" s="314"/>
      <c r="AL1314" s="314"/>
      <c r="AM1314" s="314"/>
      <c r="AN1314" s="314"/>
      <c r="AO1314" s="314"/>
      <c r="AP1314" s="314"/>
      <c r="AQ1314" s="314"/>
      <c r="AR1314" s="314"/>
      <c r="AS1314" s="314"/>
      <c r="AT1314" s="314"/>
      <c r="AU1314" s="314"/>
      <c r="AV1314" s="314"/>
      <c r="AW1314" s="314"/>
      <c r="AX1314" s="314"/>
      <c r="AY1314" s="314"/>
      <c r="AZ1314" s="314"/>
      <c r="BA1314" s="314"/>
      <c r="BB1314" s="314"/>
      <c r="BC1314" s="314"/>
      <c r="BD1314" s="314"/>
      <c r="BE1314" s="314"/>
      <c r="BF1314" s="314"/>
      <c r="BG1314" s="314"/>
      <c r="BH1314" s="314"/>
      <c r="BI1314" s="314"/>
      <c r="BJ1314" s="314"/>
      <c r="BK1314" s="314"/>
      <c r="BL1314" s="314"/>
      <c r="BM1314" s="314"/>
      <c r="BN1314" s="314"/>
      <c r="BO1314" s="314"/>
      <c r="BP1314" s="314"/>
      <c r="BQ1314" s="314"/>
      <c r="BR1314" s="314"/>
      <c r="BS1314" s="314"/>
      <c r="BT1314" s="314"/>
      <c r="BU1314" s="314"/>
      <c r="BV1314" s="314"/>
      <c r="BW1314" s="314"/>
      <c r="BX1314" s="314"/>
      <c r="BY1314" s="314"/>
      <c r="BZ1314" s="314"/>
      <c r="CA1314" s="314"/>
      <c r="CB1314" s="314"/>
      <c r="CC1314" s="314"/>
      <c r="CD1314" s="314"/>
      <c r="CE1314" s="314"/>
      <c r="CF1314" s="314"/>
      <c r="CG1314" s="314"/>
      <c r="CH1314" s="314"/>
      <c r="CI1314" s="314"/>
      <c r="CJ1314" s="314"/>
      <c r="CK1314" s="314"/>
      <c r="CL1314" s="314"/>
      <c r="CM1314" s="314"/>
      <c r="CN1314" s="314"/>
      <c r="CO1314" s="314"/>
      <c r="CP1314" s="314"/>
      <c r="CQ1314" s="314"/>
    </row>
    <row r="1315" spans="1:95" ht="12.75" customHeight="1" x14ac:dyDescent="0.25">
      <c r="A1315" s="307"/>
      <c r="B1315" s="68"/>
      <c r="C1315" s="68"/>
      <c r="D1315" s="1246" t="str">
        <f>Translations!$B$399</f>
        <v>Tiers valid from:</v>
      </c>
      <c r="E1315" s="1246"/>
      <c r="F1315" s="1247"/>
      <c r="G1315" s="8"/>
      <c r="H1315" s="199" t="str">
        <f>Translations!$B$400</f>
        <v>until:</v>
      </c>
      <c r="I1315" s="8"/>
      <c r="J1315" s="76"/>
      <c r="K1315" s="76"/>
      <c r="L1315" s="76"/>
      <c r="M1315" s="199" t="str">
        <f>Translations!$B$401</f>
        <v>ID used in the monitoring plan for this fuel stream:</v>
      </c>
      <c r="N1315" s="9"/>
      <c r="O1315" s="160"/>
      <c r="P1315" s="109"/>
      <c r="Q1315" s="312"/>
      <c r="R1315" s="312"/>
      <c r="S1315" s="465"/>
      <c r="T1315" s="314"/>
      <c r="U1315" s="314"/>
      <c r="V1315" s="314"/>
      <c r="W1315" s="314"/>
      <c r="X1315" s="314"/>
      <c r="Y1315" s="314"/>
      <c r="Z1315" s="314"/>
      <c r="AA1315" s="314"/>
      <c r="AB1315" s="314"/>
      <c r="AC1315" s="314"/>
      <c r="AD1315" s="314"/>
      <c r="AE1315" s="314"/>
      <c r="AF1315" s="314"/>
      <c r="AG1315" s="314"/>
      <c r="AH1315" s="314"/>
      <c r="AI1315" s="314"/>
      <c r="AJ1315" s="314"/>
      <c r="AK1315" s="314"/>
      <c r="AL1315" s="314"/>
      <c r="AM1315" s="314"/>
      <c r="AN1315" s="314"/>
      <c r="AO1315" s="314"/>
      <c r="AP1315" s="314"/>
      <c r="AQ1315" s="314"/>
      <c r="AR1315" s="314"/>
      <c r="AS1315" s="314"/>
      <c r="AT1315" s="314"/>
      <c r="AU1315" s="314"/>
      <c r="AV1315" s="314"/>
      <c r="AW1315" s="314"/>
      <c r="AX1315" s="314"/>
      <c r="AY1315" s="314"/>
      <c r="AZ1315" s="314"/>
      <c r="BA1315" s="314"/>
      <c r="BB1315" s="314"/>
      <c r="BC1315" s="314"/>
      <c r="BD1315" s="314"/>
      <c r="BE1315" s="314"/>
      <c r="BF1315" s="314"/>
      <c r="BG1315" s="314"/>
      <c r="BH1315" s="314"/>
      <c r="BI1315" s="314"/>
      <c r="BJ1315" s="314"/>
      <c r="BK1315" s="314"/>
      <c r="BL1315" s="314"/>
      <c r="BM1315" s="314"/>
      <c r="BN1315" s="314"/>
      <c r="BO1315" s="314"/>
      <c r="BP1315" s="314"/>
      <c r="BQ1315" s="314"/>
      <c r="BR1315" s="314"/>
      <c r="BS1315" s="314"/>
      <c r="BT1315" s="314"/>
      <c r="BU1315" s="314"/>
      <c r="BV1315" s="314"/>
      <c r="BW1315" s="314"/>
      <c r="BX1315" s="314"/>
      <c r="BY1315" s="314"/>
      <c r="BZ1315" s="314"/>
      <c r="CA1315" s="314"/>
      <c r="CB1315" s="314"/>
      <c r="CC1315" s="314"/>
      <c r="CD1315" s="314"/>
      <c r="CE1315" s="314"/>
      <c r="CF1315" s="314"/>
      <c r="CG1315" s="314"/>
      <c r="CH1315" s="314"/>
      <c r="CI1315" s="314"/>
      <c r="CJ1315" s="314"/>
      <c r="CK1315" s="314"/>
      <c r="CL1315" s="314"/>
      <c r="CM1315" s="314"/>
      <c r="CN1315" s="314"/>
      <c r="CO1315" s="314"/>
      <c r="CP1315" s="314"/>
      <c r="CQ1315" s="464" t="b">
        <f>CQ1298</f>
        <v>0</v>
      </c>
    </row>
    <row r="1316" spans="1:95" ht="5.15" customHeight="1" x14ac:dyDescent="0.25">
      <c r="A1316" s="462"/>
      <c r="B1316" s="76"/>
      <c r="C1316" s="76"/>
      <c r="D1316" s="76"/>
      <c r="E1316" s="76"/>
      <c r="F1316" s="76"/>
      <c r="G1316" s="76"/>
      <c r="H1316" s="76"/>
      <c r="I1316" s="76"/>
      <c r="J1316" s="76"/>
      <c r="K1316" s="76"/>
      <c r="L1316" s="76"/>
      <c r="M1316" s="76"/>
      <c r="N1316" s="76"/>
      <c r="O1316" s="160"/>
      <c r="P1316" s="109"/>
      <c r="Q1316" s="312"/>
      <c r="R1316" s="312"/>
      <c r="S1316" s="314"/>
      <c r="T1316" s="314"/>
      <c r="U1316" s="314"/>
      <c r="V1316" s="314"/>
      <c r="W1316" s="314"/>
      <c r="X1316" s="314"/>
      <c r="Y1316" s="314"/>
      <c r="Z1316" s="314"/>
      <c r="AA1316" s="314"/>
      <c r="AB1316" s="314"/>
      <c r="AC1316" s="314"/>
      <c r="AD1316" s="314"/>
      <c r="AE1316" s="314"/>
      <c r="AF1316" s="314"/>
      <c r="AG1316" s="314"/>
      <c r="AH1316" s="314"/>
      <c r="AI1316" s="314"/>
      <c r="AJ1316" s="314"/>
      <c r="AK1316" s="314"/>
      <c r="AL1316" s="314"/>
      <c r="AM1316" s="314"/>
      <c r="AN1316" s="314"/>
      <c r="AO1316" s="314"/>
      <c r="AP1316" s="314"/>
      <c r="AQ1316" s="314"/>
      <c r="AR1316" s="314"/>
      <c r="AS1316" s="314"/>
      <c r="AT1316" s="314"/>
      <c r="AU1316" s="314"/>
      <c r="AV1316" s="314"/>
      <c r="AW1316" s="314"/>
      <c r="AX1316" s="314"/>
      <c r="AY1316" s="314"/>
      <c r="AZ1316" s="314"/>
      <c r="BA1316" s="314"/>
      <c r="BB1316" s="314"/>
      <c r="BC1316" s="314"/>
      <c r="BD1316" s="314"/>
      <c r="BE1316" s="314"/>
      <c r="BF1316" s="314"/>
      <c r="BG1316" s="314"/>
      <c r="BH1316" s="314"/>
      <c r="BI1316" s="314"/>
      <c r="BJ1316" s="314"/>
      <c r="BK1316" s="314"/>
      <c r="BL1316" s="314"/>
      <c r="BM1316" s="314"/>
      <c r="BN1316" s="314"/>
      <c r="BO1316" s="314"/>
      <c r="BP1316" s="314"/>
      <c r="BQ1316" s="314"/>
      <c r="BR1316" s="314"/>
      <c r="BS1316" s="314"/>
      <c r="BT1316" s="314"/>
      <c r="BU1316" s="314"/>
      <c r="BV1316" s="314"/>
      <c r="BW1316" s="314"/>
      <c r="BX1316" s="314"/>
      <c r="BY1316" s="314"/>
      <c r="BZ1316" s="314"/>
      <c r="CA1316" s="314"/>
      <c r="CB1316" s="314"/>
      <c r="CC1316" s="314"/>
      <c r="CD1316" s="314"/>
      <c r="CE1316" s="314"/>
      <c r="CF1316" s="314"/>
      <c r="CG1316" s="314"/>
      <c r="CH1316" s="314"/>
      <c r="CI1316" s="314"/>
      <c r="CJ1316" s="314"/>
      <c r="CK1316" s="314"/>
      <c r="CL1316" s="314"/>
      <c r="CM1316" s="314"/>
      <c r="CN1316" s="314"/>
      <c r="CO1316" s="314"/>
      <c r="CP1316" s="314"/>
      <c r="CQ1316" s="314"/>
    </row>
    <row r="1317" spans="1:95" ht="12.75" customHeight="1" x14ac:dyDescent="0.25">
      <c r="A1317" s="462"/>
      <c r="B1317" s="76"/>
      <c r="C1317" s="76"/>
      <c r="D1317" s="115"/>
      <c r="E1317" s="85"/>
      <c r="F1317" s="466" t="str">
        <f>Translations!$B$304</f>
        <v>Comments:</v>
      </c>
      <c r="G1317" s="1250"/>
      <c r="H1317" s="1251"/>
      <c r="I1317" s="1251"/>
      <c r="J1317" s="1251"/>
      <c r="K1317" s="1251"/>
      <c r="L1317" s="1251"/>
      <c r="M1317" s="1251"/>
      <c r="N1317" s="1252"/>
      <c r="O1317" s="160"/>
      <c r="P1317" s="109"/>
      <c r="Q1317" s="312"/>
      <c r="R1317" s="312"/>
      <c r="S1317" s="314"/>
      <c r="T1317" s="314"/>
      <c r="U1317" s="314"/>
      <c r="V1317" s="314"/>
      <c r="W1317" s="314"/>
      <c r="X1317" s="314"/>
      <c r="Y1317" s="314"/>
      <c r="Z1317" s="314"/>
      <c r="AA1317" s="314"/>
      <c r="AB1317" s="314"/>
      <c r="AC1317" s="314"/>
      <c r="AD1317" s="314"/>
      <c r="AE1317" s="314"/>
      <c r="AF1317" s="314"/>
      <c r="AG1317" s="314"/>
      <c r="AH1317" s="314"/>
      <c r="AI1317" s="314"/>
      <c r="AJ1317" s="314"/>
      <c r="AK1317" s="314"/>
      <c r="AL1317" s="314"/>
      <c r="AM1317" s="314"/>
      <c r="AN1317" s="314"/>
      <c r="AO1317" s="314"/>
      <c r="AP1317" s="314"/>
      <c r="AQ1317" s="314"/>
      <c r="AR1317" s="314"/>
      <c r="AS1317" s="314"/>
      <c r="AT1317" s="314"/>
      <c r="AU1317" s="314"/>
      <c r="AV1317" s="314"/>
      <c r="AW1317" s="314"/>
      <c r="AX1317" s="314"/>
      <c r="AY1317" s="314"/>
      <c r="AZ1317" s="314"/>
      <c r="BA1317" s="314"/>
      <c r="BB1317" s="314"/>
      <c r="BC1317" s="314"/>
      <c r="BD1317" s="314"/>
      <c r="BE1317" s="314"/>
      <c r="BF1317" s="314"/>
      <c r="BG1317" s="314"/>
      <c r="BH1317" s="314"/>
      <c r="BI1317" s="314"/>
      <c r="BJ1317" s="314"/>
      <c r="BK1317" s="314"/>
      <c r="BL1317" s="314"/>
      <c r="BM1317" s="314"/>
      <c r="BN1317" s="314"/>
      <c r="BO1317" s="314"/>
      <c r="BP1317" s="314"/>
      <c r="BQ1317" s="314"/>
      <c r="BR1317" s="314"/>
      <c r="BS1317" s="314"/>
      <c r="BT1317" s="314"/>
      <c r="BU1317" s="314"/>
      <c r="BV1317" s="314"/>
      <c r="BW1317" s="314"/>
      <c r="BX1317" s="314"/>
      <c r="BY1317" s="314"/>
      <c r="BZ1317" s="314"/>
      <c r="CA1317" s="314"/>
      <c r="CB1317" s="314"/>
      <c r="CC1317" s="314"/>
      <c r="CD1317" s="314"/>
      <c r="CE1317" s="314"/>
      <c r="CF1317" s="314"/>
      <c r="CG1317" s="314"/>
      <c r="CH1317" s="314"/>
      <c r="CI1317" s="314"/>
      <c r="CJ1317" s="314"/>
      <c r="CK1317" s="314"/>
      <c r="CL1317" s="314"/>
      <c r="CM1317" s="314"/>
      <c r="CN1317" s="314"/>
      <c r="CO1317" s="314"/>
      <c r="CP1317" s="314"/>
      <c r="CQ1317" s="464" t="b">
        <f>CQ1315</f>
        <v>0</v>
      </c>
    </row>
    <row r="1318" spans="1:95" ht="12.75" customHeight="1" thickBot="1" x14ac:dyDescent="0.3">
      <c r="A1318" s="307"/>
      <c r="B1318" s="76"/>
      <c r="C1318" s="308"/>
      <c r="D1318" s="309"/>
      <c r="E1318" s="310"/>
      <c r="F1318" s="308"/>
      <c r="G1318" s="311"/>
      <c r="H1318" s="311"/>
      <c r="I1318" s="311"/>
      <c r="J1318" s="311"/>
      <c r="K1318" s="311"/>
      <c r="L1318" s="311"/>
      <c r="M1318" s="311"/>
      <c r="N1318" s="311"/>
      <c r="O1318" s="160"/>
      <c r="P1318" s="109"/>
      <c r="Q1318" s="312"/>
      <c r="R1318" s="312"/>
      <c r="S1318" s="293"/>
      <c r="T1318" s="293"/>
      <c r="U1318" s="313"/>
      <c r="V1318" s="293"/>
      <c r="W1318" s="293"/>
      <c r="X1318" s="313"/>
      <c r="Y1318" s="293"/>
      <c r="Z1318" s="293"/>
      <c r="AA1318" s="293"/>
      <c r="AB1318" s="293"/>
      <c r="AC1318" s="293"/>
      <c r="AD1318" s="293"/>
      <c r="AE1318" s="293"/>
      <c r="AF1318" s="293"/>
      <c r="AG1318" s="293"/>
      <c r="AH1318" s="293"/>
      <c r="AI1318" s="293"/>
      <c r="AJ1318" s="293"/>
      <c r="AK1318" s="293"/>
      <c r="AL1318" s="293"/>
      <c r="AM1318" s="293"/>
      <c r="AN1318" s="293"/>
      <c r="AO1318" s="293"/>
      <c r="AP1318" s="293"/>
      <c r="AQ1318" s="293"/>
      <c r="AR1318" s="293"/>
      <c r="AS1318" s="293"/>
      <c r="AT1318" s="293"/>
      <c r="AU1318" s="293"/>
      <c r="AV1318" s="293"/>
      <c r="AW1318" s="293"/>
      <c r="AX1318" s="293"/>
      <c r="AY1318" s="293"/>
      <c r="AZ1318" s="293"/>
      <c r="BA1318" s="293"/>
      <c r="BB1318" s="293"/>
      <c r="BC1318" s="293"/>
      <c r="BD1318" s="293"/>
      <c r="BE1318" s="293"/>
      <c r="BF1318" s="293"/>
      <c r="BG1318" s="293"/>
      <c r="BH1318" s="293"/>
      <c r="BI1318" s="293"/>
      <c r="BJ1318" s="293"/>
      <c r="BK1318" s="293"/>
      <c r="BL1318" s="293"/>
      <c r="BM1318" s="314"/>
      <c r="BN1318" s="314"/>
      <c r="BO1318" s="314"/>
      <c r="BP1318" s="314"/>
      <c r="BQ1318" s="314"/>
      <c r="BR1318" s="314"/>
      <c r="BS1318" s="314"/>
      <c r="BT1318" s="314"/>
      <c r="BU1318" s="293"/>
      <c r="BV1318" s="293"/>
      <c r="BW1318" s="293"/>
      <c r="BX1318" s="293"/>
      <c r="BY1318" s="293"/>
      <c r="BZ1318" s="293"/>
      <c r="CA1318" s="293"/>
      <c r="CB1318" s="293"/>
      <c r="CC1318" s="293"/>
      <c r="CD1318" s="293"/>
      <c r="CE1318" s="293"/>
      <c r="CF1318" s="293"/>
      <c r="CG1318" s="293"/>
      <c r="CH1318" s="293"/>
      <c r="CI1318" s="293"/>
      <c r="CJ1318" s="293"/>
      <c r="CK1318" s="293"/>
      <c r="CL1318" s="293"/>
      <c r="CM1318" s="293"/>
      <c r="CN1318" s="293"/>
      <c r="CO1318" s="293"/>
      <c r="CP1318" s="293"/>
      <c r="CQ1318" s="293"/>
    </row>
    <row r="1319" spans="1:95" ht="12.75" customHeight="1" thickBot="1" x14ac:dyDescent="0.3">
      <c r="A1319" s="315"/>
      <c r="B1319" s="76"/>
      <c r="C1319" s="76"/>
      <c r="D1319" s="205"/>
      <c r="E1319" s="316"/>
      <c r="F1319" s="76"/>
      <c r="G1319" s="96"/>
      <c r="H1319" s="96"/>
      <c r="I1319" s="96"/>
      <c r="J1319" s="96"/>
      <c r="K1319" s="76"/>
      <c r="L1319" s="96"/>
      <c r="M1319" s="96"/>
      <c r="N1319" s="96"/>
      <c r="O1319" s="160"/>
      <c r="P1319" s="109"/>
      <c r="Q1319" s="312"/>
      <c r="R1319" s="312"/>
      <c r="S1319" s="287"/>
      <c r="T1319" s="317" t="str">
        <f>IF(ISBLANK(E1320),"",MATCH(E1320,CNTR_SourceStreamNames,0))</f>
        <v/>
      </c>
      <c r="U1319" s="318" t="str">
        <f>IF(ISBLANK(E1320),"",INDEX(B_IdentifyFuelStreams!$D$67:$D$116,MATCH(E1320,CNTR_SourceStreamNames,0)))</f>
        <v/>
      </c>
      <c r="V1319" s="301"/>
      <c r="W1319" s="138"/>
      <c r="X1319" s="138"/>
      <c r="Y1319" s="138"/>
      <c r="Z1319" s="293"/>
      <c r="AA1319" s="293"/>
      <c r="AB1319" s="293"/>
      <c r="AC1319" s="293"/>
      <c r="AD1319" s="293"/>
      <c r="AE1319" s="293"/>
      <c r="AF1319" s="293"/>
      <c r="AG1319" s="293"/>
      <c r="AH1319" s="293"/>
      <c r="AI1319" s="293"/>
      <c r="AJ1319" s="293"/>
      <c r="AK1319" s="312"/>
      <c r="AL1319" s="293"/>
      <c r="AM1319" s="293"/>
      <c r="AN1319" s="293"/>
      <c r="AO1319" s="293"/>
      <c r="AP1319" s="293"/>
      <c r="AQ1319" s="293"/>
      <c r="AR1319" s="293"/>
      <c r="AS1319" s="293"/>
      <c r="AT1319" s="293"/>
      <c r="AU1319" s="293"/>
      <c r="AV1319" s="293"/>
      <c r="AW1319" s="293"/>
      <c r="AX1319" s="293"/>
      <c r="AY1319" s="293"/>
      <c r="AZ1319" s="293"/>
      <c r="BA1319" s="293"/>
      <c r="BB1319" s="293"/>
      <c r="BC1319" s="293"/>
      <c r="BD1319" s="293"/>
      <c r="BE1319" s="293"/>
      <c r="BF1319" s="293"/>
      <c r="BG1319" s="293"/>
      <c r="BH1319" s="293"/>
      <c r="BI1319" s="293"/>
      <c r="BJ1319" s="138"/>
      <c r="BK1319" s="138"/>
      <c r="BL1319" s="138"/>
      <c r="BM1319" s="138"/>
      <c r="BN1319" s="138"/>
      <c r="BO1319" s="138"/>
      <c r="BP1319" s="138"/>
      <c r="BQ1319" s="138"/>
      <c r="BR1319" s="138"/>
      <c r="BS1319" s="138"/>
      <c r="BT1319" s="138"/>
      <c r="BU1319" s="138"/>
      <c r="BV1319" s="138"/>
      <c r="BW1319" s="138"/>
      <c r="BX1319" s="138"/>
      <c r="BY1319" s="138"/>
      <c r="BZ1319" s="138"/>
      <c r="CA1319" s="138"/>
      <c r="CB1319" s="138"/>
      <c r="CC1319" s="138"/>
      <c r="CD1319" s="138"/>
      <c r="CE1319" s="138"/>
      <c r="CF1319" s="138"/>
      <c r="CG1319" s="138"/>
      <c r="CH1319" s="138"/>
      <c r="CI1319" s="138"/>
      <c r="CJ1319" s="138"/>
      <c r="CK1319" s="138"/>
      <c r="CL1319" s="138"/>
      <c r="CM1319" s="138"/>
      <c r="CN1319" s="138"/>
      <c r="CO1319" s="138"/>
      <c r="CP1319" s="138"/>
      <c r="CQ1319" s="319" t="s">
        <v>107</v>
      </c>
    </row>
    <row r="1320" spans="1:95" ht="15" customHeight="1" thickBot="1" x14ac:dyDescent="0.3">
      <c r="A1320" s="320">
        <f>C1320</f>
        <v>46</v>
      </c>
      <c r="B1320" s="68"/>
      <c r="C1320" s="321">
        <f>C1292+1</f>
        <v>46</v>
      </c>
      <c r="D1320" s="68"/>
      <c r="E1320" s="1269"/>
      <c r="F1320" s="1270"/>
      <c r="G1320" s="1270"/>
      <c r="H1320" s="1270"/>
      <c r="I1320" s="1270"/>
      <c r="J1320" s="1271"/>
      <c r="K1320" s="1272" t="str">
        <f>IF(INDEX(B_IdentifyFuelStreams!$K$125:$K$174,MATCH(U1319,B_IdentifyFuelStreams!$D$125:$D$174,0))&gt;0,INDEX(B_IdentifyFuelStreams!$K$125:$K$174,MATCH(U1319,B_IdentifyFuelStreams!$D$125:$D$174,0)),"")</f>
        <v/>
      </c>
      <c r="L1320" s="1273"/>
      <c r="M1320" s="316" t="str">
        <f>Translations!$B$621</f>
        <v>Emissions:</v>
      </c>
      <c r="N1320" s="322" t="str">
        <f>IF(E1321="","",BG1326)</f>
        <v/>
      </c>
      <c r="O1320" s="323" t="str">
        <f>EUconst_tCO2</f>
        <v>tCO2</v>
      </c>
      <c r="P1320" s="324" t="str">
        <f>IF(AND(E1320&lt;&gt;"",COUNTIF(P1321:$P$1649,"PRINT")=0),"PRINT","")</f>
        <v/>
      </c>
      <c r="Q1320" s="325" t="str">
        <f>EUconst_SumCO2</f>
        <v>SUM_CO2</v>
      </c>
      <c r="R1320" s="312"/>
      <c r="S1320" s="287"/>
      <c r="T1320" s="287"/>
      <c r="U1320" s="287"/>
      <c r="V1320" s="301"/>
      <c r="W1320" s="138"/>
      <c r="X1320" s="293"/>
      <c r="Y1320" s="293"/>
      <c r="Z1320" s="293"/>
      <c r="AA1320" s="293"/>
      <c r="AB1320" s="293"/>
      <c r="AC1320" s="293"/>
      <c r="AD1320" s="293"/>
      <c r="AE1320" s="293"/>
      <c r="AF1320" s="293"/>
      <c r="AG1320" s="293"/>
      <c r="AH1320" s="293"/>
      <c r="AI1320" s="326"/>
      <c r="AJ1320" s="326"/>
      <c r="AK1320" s="326"/>
      <c r="AL1320" s="326"/>
      <c r="AM1320" s="326"/>
      <c r="AN1320" s="326"/>
      <c r="AO1320" s="326"/>
      <c r="AP1320" s="326"/>
      <c r="AQ1320" s="326"/>
      <c r="AR1320" s="326"/>
      <c r="AS1320" s="326"/>
      <c r="AT1320" s="326"/>
      <c r="AU1320" s="326"/>
      <c r="AV1320" s="326"/>
      <c r="AW1320" s="326"/>
      <c r="AX1320" s="326"/>
      <c r="AY1320" s="326"/>
      <c r="AZ1320" s="326"/>
      <c r="BA1320" s="326"/>
      <c r="BB1320" s="326"/>
      <c r="BC1320" s="326"/>
      <c r="BD1320" s="326"/>
      <c r="BE1320" s="326"/>
      <c r="BF1320" s="326"/>
      <c r="BG1320" s="326"/>
      <c r="BH1320" s="326"/>
      <c r="BI1320" s="327" t="str">
        <f>IF(E1320="","",E1320)</f>
        <v/>
      </c>
      <c r="BJ1320" s="328" t="str">
        <f>IF(F1326="","",F1326)</f>
        <v/>
      </c>
      <c r="BK1320" s="329">
        <f>AV1326</f>
        <v>0</v>
      </c>
      <c r="BL1320" s="329">
        <f>IF(BK1320="","",BK1320*(1-BP1320))</f>
        <v>0</v>
      </c>
      <c r="BM1320" s="328" t="str">
        <f>AJ1326</f>
        <v/>
      </c>
      <c r="BN1320" s="328" t="str">
        <f>IF(F1337="","",F1337)</f>
        <v/>
      </c>
      <c r="BO1320" s="327" t="str">
        <f>IF(G1337="","",G1337)</f>
        <v/>
      </c>
      <c r="BP1320" s="330">
        <f>AV1337</f>
        <v>0</v>
      </c>
      <c r="BQ1320" s="328" t="str">
        <f>IF(F1329="","",F1329)</f>
        <v/>
      </c>
      <c r="BR1320" s="330">
        <f>AV1329</f>
        <v>0</v>
      </c>
      <c r="BS1320" s="330" t="str">
        <f>AJ1329</f>
        <v/>
      </c>
      <c r="BT1320" s="328" t="str">
        <f>IF(F1328="","",F1328)</f>
        <v/>
      </c>
      <c r="BU1320" s="330">
        <f>IF(F1328=EUconst_NA,"",AV1328)</f>
        <v>0</v>
      </c>
      <c r="BV1320" s="330" t="str">
        <f>AJ1328</f>
        <v/>
      </c>
      <c r="BW1320" s="328" t="str">
        <f>IF(F1330="","",F1330)</f>
        <v/>
      </c>
      <c r="BX1320" s="330">
        <f>AV1330</f>
        <v>0</v>
      </c>
      <c r="BY1320" s="328" t="str">
        <f>IF(F1331="","",F1331)</f>
        <v/>
      </c>
      <c r="BZ1320" s="330">
        <f>AV1331</f>
        <v>0</v>
      </c>
      <c r="CA1320" s="330">
        <f>AV1332</f>
        <v>0</v>
      </c>
      <c r="CB1320" s="330">
        <f>AV1333</f>
        <v>0</v>
      </c>
      <c r="CC1320" s="330">
        <f>AV1334</f>
        <v>0</v>
      </c>
      <c r="CD1320" s="330">
        <f>AV1335</f>
        <v>0</v>
      </c>
      <c r="CE1320" s="329" t="str">
        <f>BG1326</f>
        <v/>
      </c>
      <c r="CF1320" s="329" t="str">
        <f>BG1328</f>
        <v/>
      </c>
      <c r="CG1320" s="329" t="str">
        <f>BG1329</f>
        <v/>
      </c>
      <c r="CH1320" s="329" t="str">
        <f>BG1330</f>
        <v/>
      </c>
      <c r="CI1320" s="329" t="str">
        <f>BG1331</f>
        <v/>
      </c>
      <c r="CJ1320" s="329" t="str">
        <f>BG1332</f>
        <v/>
      </c>
      <c r="CK1320" s="329" t="str">
        <f>BG1333</f>
        <v/>
      </c>
      <c r="CL1320" s="329">
        <f>BG1334</f>
        <v>0</v>
      </c>
      <c r="CM1320" s="329" t="str">
        <f>BG1335</f>
        <v/>
      </c>
      <c r="CN1320" s="329" t="str">
        <f>BG1337</f>
        <v/>
      </c>
      <c r="CO1320" s="329" t="str">
        <f>BG1341</f>
        <v/>
      </c>
      <c r="CP1320" s="329" t="str">
        <f>IF(COUNTIF(AO1329:AO1330,TRUE)=0,"",BH1326)</f>
        <v/>
      </c>
      <c r="CQ1320" s="331" t="b">
        <v>0</v>
      </c>
    </row>
    <row r="1321" spans="1:95" ht="15" customHeight="1" thickBot="1" x14ac:dyDescent="0.3">
      <c r="A1321" s="307"/>
      <c r="B1321" s="68"/>
      <c r="C1321" s="68"/>
      <c r="D1321" s="68"/>
      <c r="E1321" s="1274" t="str">
        <f>IF(ISBLANK(E1320),"",IF(INDEX(B_IdentifyFuelStreams!$E$67:$E$116,MATCH(U1319,B_IdentifyFuelStreams!$D$67:$D$116,0))&gt;0,INDEX(B_IdentifyFuelStreams!$E$67:$E$116,MATCH(U1319,B_IdentifyFuelStreams!$D$67:$D$116,0)),""))</f>
        <v/>
      </c>
      <c r="F1321" s="1275"/>
      <c r="G1321" s="1275"/>
      <c r="H1321" s="1275"/>
      <c r="I1321" s="1275"/>
      <c r="J1321" s="1276"/>
      <c r="K1321" s="1272" t="str">
        <f>IF(INDEX(B_IdentifyFuelStreams!$M$125:$M$174,MATCH(U1319,B_IdentifyFuelStreams!$D$125:$D$174,0))&gt;0,INDEX(B_IdentifyFuelStreams!$M$125:$M$174,MATCH(U1319,B_IdentifyFuelStreams!$D$125:$D$174,0)),"")</f>
        <v/>
      </c>
      <c r="L1321" s="1273"/>
      <c r="M1321" s="332" t="str">
        <f>Translations!$B$622</f>
        <v>zero-rated:</v>
      </c>
      <c r="N1321" s="333" t="str">
        <f>IF(E1321="","",SUM(BG1328,BG1330,BG1332))</f>
        <v/>
      </c>
      <c r="O1321" s="334" t="str">
        <f>EUconst_tCO2</f>
        <v>tCO2</v>
      </c>
      <c r="P1321" s="109"/>
      <c r="Q1321" s="325" t="str">
        <f>EUconst_SumBioCO2</f>
        <v>SUM_bioCO2</v>
      </c>
      <c r="R1321" s="312"/>
      <c r="S1321" s="287"/>
      <c r="T1321" s="287"/>
      <c r="U1321" s="287"/>
      <c r="V1321" s="301"/>
      <c r="W1321" s="138"/>
      <c r="X1321" s="293"/>
      <c r="Y1321" s="317" t="str">
        <f>Translations!$B$143</f>
        <v>Tiers</v>
      </c>
      <c r="Z1321" s="314"/>
      <c r="AA1321" s="314"/>
      <c r="AB1321" s="314"/>
      <c r="AC1321" s="314"/>
      <c r="AD1321" s="314"/>
      <c r="AE1321" s="317" t="s">
        <v>108</v>
      </c>
      <c r="AF1321" s="293"/>
      <c r="AG1321" s="335"/>
      <c r="AH1321" s="314"/>
      <c r="AI1321" s="314"/>
      <c r="AJ1321" s="335"/>
      <c r="AK1321" s="335"/>
      <c r="AL1321" s="326"/>
      <c r="AM1321" s="326"/>
      <c r="AN1321" s="326"/>
      <c r="AO1321" s="326"/>
      <c r="AP1321" s="326"/>
      <c r="AQ1321" s="317" t="s">
        <v>109</v>
      </c>
      <c r="AR1321" s="336"/>
      <c r="AS1321" s="336"/>
      <c r="AT1321" s="314"/>
      <c r="AU1321" s="314"/>
      <c r="AV1321" s="314"/>
      <c r="AW1321" s="314"/>
      <c r="AX1321" s="314"/>
      <c r="AY1321" s="314"/>
      <c r="AZ1321" s="317" t="s">
        <v>110</v>
      </c>
      <c r="BA1321" s="314"/>
      <c r="BB1321" s="314"/>
      <c r="BC1321" s="314"/>
      <c r="BD1321" s="314"/>
      <c r="BE1321" s="314"/>
      <c r="BF1321" s="317" t="s">
        <v>111</v>
      </c>
      <c r="BG1321" s="314"/>
      <c r="BH1321" s="314"/>
      <c r="BI1321" s="317" t="s">
        <v>112</v>
      </c>
      <c r="BJ1321" s="328" t="str">
        <f>Translations!$B$376</f>
        <v>RFA Tier</v>
      </c>
      <c r="BK1321" s="328" t="str">
        <f>Translations!$B$377</f>
        <v>RFA</v>
      </c>
      <c r="BL1321" s="328" t="str">
        <f>Translations!$B$378</f>
        <v>RFA (in scope)</v>
      </c>
      <c r="BM1321" s="328" t="str">
        <f>Translations!$B$379</f>
        <v>RFA Unit</v>
      </c>
      <c r="BN1321" s="328" t="str">
        <f>Translations!$B$380</f>
        <v>SF Tier</v>
      </c>
      <c r="BO1321" s="328" t="str">
        <f>Translations!$B$380</f>
        <v>SF Tier</v>
      </c>
      <c r="BP1321" s="328" t="str">
        <f>Translations!$B$381</f>
        <v>SF</v>
      </c>
      <c r="BQ1321" s="328" t="str">
        <f>Translations!$B$382</f>
        <v>EF Tier</v>
      </c>
      <c r="BR1321" s="328" t="str">
        <f>Translations!$B$383</f>
        <v>EF</v>
      </c>
      <c r="BS1321" s="328" t="str">
        <f>Translations!$B$384</f>
        <v>EF Unit</v>
      </c>
      <c r="BT1321" s="328" t="str">
        <f>Translations!$B$385</f>
        <v>UCF Tier</v>
      </c>
      <c r="BU1321" s="328" t="str">
        <f>Translations!$B$386</f>
        <v>UCF</v>
      </c>
      <c r="BV1321" s="328" t="str">
        <f>Translations!$B$387</f>
        <v>UCF Unit</v>
      </c>
      <c r="BW1321" s="328" t="str">
        <f>Translations!$B$388</f>
        <v>Bio Tier</v>
      </c>
      <c r="BX1321" s="328" t="s">
        <v>113</v>
      </c>
      <c r="BY1321" s="328" t="str">
        <f>Translations!$B$389</f>
        <v>NonSustBio Tier</v>
      </c>
      <c r="BZ1321" s="328" t="s">
        <v>114</v>
      </c>
      <c r="CA1321" s="328" t="s">
        <v>115</v>
      </c>
      <c r="CB1321" s="328" t="s">
        <v>116</v>
      </c>
      <c r="CC1321" s="328" t="s">
        <v>117</v>
      </c>
      <c r="CD1321" s="328" t="s">
        <v>118</v>
      </c>
      <c r="CE1321" s="328" t="s">
        <v>119</v>
      </c>
      <c r="CF1321" s="328" t="s">
        <v>120</v>
      </c>
      <c r="CG1321" s="328" t="str">
        <f>Translations!$B$392</f>
        <v>CO2 non-sust</v>
      </c>
      <c r="CH1321" s="328" t="s">
        <v>121</v>
      </c>
      <c r="CI1321" s="328" t="s">
        <v>122</v>
      </c>
      <c r="CJ1321" s="328" t="s">
        <v>123</v>
      </c>
      <c r="CK1321" s="328" t="s">
        <v>124</v>
      </c>
      <c r="CL1321" s="328" t="s">
        <v>125</v>
      </c>
      <c r="CM1321" s="328" t="str">
        <f>Translations!$B$551</f>
        <v>Energy content (bio), TJ</v>
      </c>
      <c r="CN1321" s="328" t="s">
        <v>126</v>
      </c>
      <c r="CO1321" s="328" t="s">
        <v>127</v>
      </c>
      <c r="CP1321" s="328" t="s">
        <v>128</v>
      </c>
      <c r="CQ1321" s="314"/>
    </row>
    <row r="1322" spans="1:95" ht="5.15" customHeight="1" thickBot="1" x14ac:dyDescent="0.3">
      <c r="A1322" s="307"/>
      <c r="B1322" s="68"/>
      <c r="C1322" s="68"/>
      <c r="D1322" s="68"/>
      <c r="E1322" s="68"/>
      <c r="F1322" s="68"/>
      <c r="G1322" s="68"/>
      <c r="H1322" s="76"/>
      <c r="I1322" s="76"/>
      <c r="J1322" s="76"/>
      <c r="K1322" s="76"/>
      <c r="L1322" s="76"/>
      <c r="M1322" s="76"/>
      <c r="N1322" s="76"/>
      <c r="O1322" s="160"/>
      <c r="P1322" s="109"/>
      <c r="Q1322" s="312"/>
      <c r="R1322" s="312"/>
      <c r="S1322" s="287"/>
      <c r="T1322" s="287"/>
      <c r="U1322" s="287"/>
      <c r="V1322" s="301"/>
      <c r="W1322" s="314"/>
      <c r="X1322" s="314"/>
      <c r="Y1322" s="312"/>
      <c r="Z1322" s="314"/>
      <c r="AA1322" s="314"/>
      <c r="AB1322" s="314"/>
      <c r="AC1322" s="314"/>
      <c r="AD1322" s="314"/>
      <c r="AE1322" s="314"/>
      <c r="AF1322" s="293"/>
      <c r="AG1322" s="314"/>
      <c r="AH1322" s="314"/>
      <c r="AI1322" s="314"/>
      <c r="AJ1322" s="335"/>
      <c r="AK1322" s="335"/>
      <c r="AL1322" s="326"/>
      <c r="AM1322" s="326"/>
      <c r="AN1322" s="326"/>
      <c r="AO1322" s="326"/>
      <c r="AP1322" s="326"/>
      <c r="AQ1322" s="314"/>
      <c r="AR1322" s="314"/>
      <c r="AS1322" s="314"/>
      <c r="AT1322" s="314"/>
      <c r="AU1322" s="314"/>
      <c r="AV1322" s="314"/>
      <c r="AW1322" s="314"/>
      <c r="AX1322" s="314"/>
      <c r="AY1322" s="314"/>
      <c r="AZ1322" s="314"/>
      <c r="BA1322" s="314"/>
      <c r="BB1322" s="314"/>
      <c r="BC1322" s="314"/>
      <c r="BD1322" s="314"/>
      <c r="BE1322" s="314"/>
      <c r="BF1322" s="314"/>
      <c r="BG1322" s="314"/>
      <c r="BH1322" s="314"/>
      <c r="BI1322" s="314"/>
      <c r="BJ1322" s="314"/>
      <c r="BK1322" s="314"/>
      <c r="BL1322" s="314"/>
      <c r="BM1322" s="314"/>
      <c r="BN1322" s="314"/>
      <c r="BO1322" s="314"/>
      <c r="BP1322" s="314"/>
      <c r="BQ1322" s="314"/>
      <c r="BR1322" s="314"/>
      <c r="BS1322" s="314"/>
      <c r="BT1322" s="314"/>
      <c r="BU1322" s="314"/>
      <c r="BV1322" s="314"/>
      <c r="BW1322" s="314"/>
      <c r="BX1322" s="314"/>
      <c r="BY1322" s="314"/>
      <c r="BZ1322" s="314"/>
      <c r="CA1322" s="314"/>
      <c r="CB1322" s="314"/>
      <c r="CC1322" s="314"/>
      <c r="CD1322" s="314"/>
      <c r="CE1322" s="314"/>
      <c r="CF1322" s="314"/>
      <c r="CG1322" s="314"/>
      <c r="CH1322" s="314"/>
      <c r="CI1322" s="314"/>
      <c r="CJ1322" s="314"/>
      <c r="CK1322" s="314"/>
      <c r="CL1322" s="314"/>
      <c r="CM1322" s="314"/>
      <c r="CN1322" s="314"/>
      <c r="CO1322" s="314"/>
      <c r="CP1322" s="314"/>
      <c r="CQ1322" s="314"/>
    </row>
    <row r="1323" spans="1:95" ht="12.75" customHeight="1" thickBot="1" x14ac:dyDescent="0.3">
      <c r="A1323" s="307"/>
      <c r="B1323" s="68"/>
      <c r="C1323" s="68"/>
      <c r="D1323" s="68"/>
      <c r="E1323" s="1253" t="str">
        <f>IF(E1320="","",HYPERLINK("#JUMP_E_Top",EUconst_FurtherGuidancePoint1))</f>
        <v/>
      </c>
      <c r="F1323" s="1253"/>
      <c r="G1323" s="1253"/>
      <c r="H1323" s="1253"/>
      <c r="I1323" s="1253"/>
      <c r="J1323" s="1253"/>
      <c r="K1323" s="1253"/>
      <c r="L1323" s="1253"/>
      <c r="M1323" s="1253"/>
      <c r="N1323" s="76"/>
      <c r="O1323" s="160"/>
      <c r="P1323" s="109"/>
      <c r="Q1323" s="325" t="str">
        <f>EUconst_SumNonSustBioCO2</f>
        <v>SUM_bioNonSustCO2</v>
      </c>
      <c r="R1323" s="337" t="str">
        <f>IF(E1321="","",BG1329)</f>
        <v/>
      </c>
      <c r="S1323" s="287"/>
      <c r="T1323" s="287"/>
      <c r="U1323" s="287"/>
      <c r="V1323" s="314"/>
      <c r="W1323" s="314"/>
      <c r="X1323" s="314"/>
      <c r="Y1323" s="293"/>
      <c r="Z1323" s="314"/>
      <c r="AA1323" s="314"/>
      <c r="AB1323" s="314"/>
      <c r="AC1323" s="314"/>
      <c r="AD1323" s="314"/>
      <c r="AE1323" s="314"/>
      <c r="AF1323" s="293"/>
      <c r="AG1323" s="314"/>
      <c r="AH1323" s="314"/>
      <c r="AI1323" s="314"/>
      <c r="AJ1323" s="335"/>
      <c r="AK1323" s="335"/>
      <c r="AL1323" s="326"/>
      <c r="AM1323" s="326"/>
      <c r="AN1323" s="326"/>
      <c r="AO1323" s="326"/>
      <c r="AP1323" s="326"/>
      <c r="AQ1323" s="314"/>
      <c r="AR1323" s="314"/>
      <c r="AS1323" s="314"/>
      <c r="AT1323" s="314"/>
      <c r="AU1323" s="314"/>
      <c r="AV1323" s="314"/>
      <c r="AW1323" s="314"/>
      <c r="AX1323" s="314"/>
      <c r="AY1323" s="314"/>
      <c r="AZ1323" s="314"/>
      <c r="BA1323" s="314"/>
      <c r="BB1323" s="314"/>
      <c r="BC1323" s="314"/>
      <c r="BD1323" s="314"/>
      <c r="BE1323" s="314"/>
      <c r="BF1323" s="314"/>
      <c r="BG1323" s="314"/>
      <c r="BH1323" s="314"/>
      <c r="BI1323" s="317" t="s">
        <v>129</v>
      </c>
      <c r="BJ1323" s="336"/>
      <c r="BK1323" s="327" t="str">
        <f>IF(G1341="","",G1341)</f>
        <v/>
      </c>
      <c r="BL1323" s="327" t="str">
        <f>IF(I1341="","",I1341)</f>
        <v/>
      </c>
      <c r="BM1323" s="327" t="str">
        <f>IF(K1341="","",K1341)</f>
        <v/>
      </c>
      <c r="BN1323" s="314"/>
      <c r="BO1323" s="314"/>
      <c r="BP1323" s="314"/>
      <c r="BQ1323" s="314"/>
      <c r="BR1323" s="314"/>
      <c r="BS1323" s="314"/>
      <c r="BT1323" s="319"/>
      <c r="BU1323" s="314"/>
      <c r="BV1323" s="314"/>
      <c r="BW1323" s="314"/>
      <c r="BX1323" s="314"/>
      <c r="BY1323" s="314"/>
      <c r="BZ1323" s="314"/>
      <c r="CA1323" s="314"/>
      <c r="CB1323" s="314"/>
      <c r="CC1323" s="314"/>
      <c r="CD1323" s="314"/>
      <c r="CE1323" s="314"/>
      <c r="CF1323" s="314"/>
      <c r="CG1323" s="314"/>
      <c r="CH1323" s="314"/>
      <c r="CI1323" s="314"/>
      <c r="CJ1323" s="314"/>
      <c r="CK1323" s="314"/>
      <c r="CL1323" s="314"/>
      <c r="CM1323" s="314"/>
      <c r="CN1323" s="314"/>
      <c r="CO1323" s="314"/>
      <c r="CP1323" s="314"/>
      <c r="CQ1323" s="314"/>
    </row>
    <row r="1324" spans="1:95" ht="5.15" customHeight="1" thickBot="1" x14ac:dyDescent="0.3">
      <c r="A1324" s="307"/>
      <c r="B1324" s="68"/>
      <c r="C1324" s="68"/>
      <c r="D1324" s="68"/>
      <c r="E1324" s="68"/>
      <c r="F1324" s="68"/>
      <c r="G1324" s="68"/>
      <c r="H1324" s="76"/>
      <c r="I1324" s="76"/>
      <c r="J1324" s="76"/>
      <c r="K1324" s="76"/>
      <c r="L1324" s="76"/>
      <c r="M1324" s="76"/>
      <c r="N1324" s="76"/>
      <c r="O1324" s="160"/>
      <c r="P1324" s="111"/>
      <c r="Q1324" s="287"/>
      <c r="R1324" s="111"/>
      <c r="S1324" s="287"/>
      <c r="T1324" s="287"/>
      <c r="U1324" s="287"/>
      <c r="V1324" s="314"/>
      <c r="W1324" s="314"/>
      <c r="X1324" s="314"/>
      <c r="Y1324" s="312"/>
      <c r="Z1324" s="314"/>
      <c r="AA1324" s="314"/>
      <c r="AB1324" s="314"/>
      <c r="AC1324" s="314"/>
      <c r="AD1324" s="314"/>
      <c r="AE1324" s="314"/>
      <c r="AF1324" s="293"/>
      <c r="AG1324" s="314"/>
      <c r="AH1324" s="314"/>
      <c r="AI1324" s="314"/>
      <c r="AJ1324" s="335"/>
      <c r="AK1324" s="335"/>
      <c r="AL1324" s="326"/>
      <c r="AM1324" s="326"/>
      <c r="AN1324" s="326"/>
      <c r="AO1324" s="326"/>
      <c r="AP1324" s="326"/>
      <c r="AQ1324" s="314"/>
      <c r="AR1324" s="314"/>
      <c r="AS1324" s="314"/>
      <c r="AT1324" s="314"/>
      <c r="AU1324" s="314"/>
      <c r="AV1324" s="314"/>
      <c r="AW1324" s="314"/>
      <c r="AX1324" s="314"/>
      <c r="AY1324" s="314"/>
      <c r="AZ1324" s="314"/>
      <c r="BA1324" s="314"/>
      <c r="BB1324" s="314"/>
      <c r="BC1324" s="314"/>
      <c r="BD1324" s="314"/>
      <c r="BE1324" s="314"/>
      <c r="BF1324" s="314"/>
      <c r="BG1324" s="314"/>
      <c r="BH1324" s="314"/>
      <c r="BI1324" s="314"/>
      <c r="BJ1324" s="314"/>
      <c r="BK1324" s="314"/>
      <c r="BL1324" s="314"/>
      <c r="BM1324" s="314"/>
      <c r="BN1324" s="314"/>
      <c r="BO1324" s="314"/>
      <c r="BP1324" s="314"/>
      <c r="BQ1324" s="314"/>
      <c r="BR1324" s="314"/>
      <c r="BS1324" s="314"/>
      <c r="BT1324" s="314"/>
      <c r="BU1324" s="314"/>
      <c r="BV1324" s="314"/>
      <c r="BW1324" s="314"/>
      <c r="BX1324" s="314"/>
      <c r="BY1324" s="314"/>
      <c r="BZ1324" s="314"/>
      <c r="CA1324" s="314"/>
      <c r="CB1324" s="314"/>
      <c r="CC1324" s="314"/>
      <c r="CD1324" s="314"/>
      <c r="CE1324" s="314"/>
      <c r="CF1324" s="314"/>
      <c r="CG1324" s="314"/>
      <c r="CH1324" s="314"/>
      <c r="CI1324" s="314"/>
      <c r="CJ1324" s="314"/>
      <c r="CK1324" s="314"/>
      <c r="CL1324" s="314"/>
      <c r="CM1324" s="314"/>
      <c r="CN1324" s="314"/>
      <c r="CO1324" s="314"/>
      <c r="CP1324" s="314"/>
      <c r="CQ1324" s="314"/>
    </row>
    <row r="1325" spans="1:95" ht="12.75" customHeight="1" thickBot="1" x14ac:dyDescent="0.3">
      <c r="A1325" s="307"/>
      <c r="B1325" s="68"/>
      <c r="C1325" s="68"/>
      <c r="D1325" s="68"/>
      <c r="E1325" s="68"/>
      <c r="F1325" s="338" t="str">
        <f>Translations!$B$127</f>
        <v>Tier</v>
      </c>
      <c r="G1325" s="1254" t="str">
        <f>Translations!$B$393</f>
        <v>tier description</v>
      </c>
      <c r="H1325" s="1254"/>
      <c r="I1325" s="1255" t="str">
        <f>Translations!$B$394</f>
        <v>Unit</v>
      </c>
      <c r="J1325" s="1255"/>
      <c r="K1325" s="1255" t="str">
        <f>Translations!$B$395</f>
        <v>Value</v>
      </c>
      <c r="L1325" s="1255"/>
      <c r="M1325" s="205" t="str">
        <f>Translations!$B$396</f>
        <v>error</v>
      </c>
      <c r="N1325" s="76"/>
      <c r="O1325" s="160"/>
      <c r="P1325" s="339"/>
      <c r="Q1325" s="325" t="str">
        <f>EUconst_SumEnergyIN</f>
        <v>SUM_EnergyIN</v>
      </c>
      <c r="R1325" s="340" t="str">
        <f>IF(E1321="","",BG1334)</f>
        <v/>
      </c>
      <c r="S1325" s="314"/>
      <c r="T1325" s="314"/>
      <c r="U1325" s="314"/>
      <c r="V1325" s="341" t="s">
        <v>130</v>
      </c>
      <c r="W1325" s="314"/>
      <c r="X1325" s="314"/>
      <c r="Y1325" s="312" t="s">
        <v>131</v>
      </c>
      <c r="Z1325" s="312" t="s">
        <v>132</v>
      </c>
      <c r="AA1325" s="314"/>
      <c r="AB1325" s="314"/>
      <c r="AC1325" s="336" t="s">
        <v>133</v>
      </c>
      <c r="AD1325" s="314"/>
      <c r="AE1325" s="314"/>
      <c r="AF1325" s="314" t="s">
        <v>134</v>
      </c>
      <c r="AG1325" s="314" t="s">
        <v>135</v>
      </c>
      <c r="AH1325" s="312" t="s">
        <v>136</v>
      </c>
      <c r="AI1325" s="335" t="s">
        <v>137</v>
      </c>
      <c r="AJ1325" s="335" t="s">
        <v>138</v>
      </c>
      <c r="AK1325" s="342" t="s">
        <v>139</v>
      </c>
      <c r="AL1325" s="326"/>
      <c r="AM1325" s="326"/>
      <c r="AN1325" s="326"/>
      <c r="AO1325" s="326"/>
      <c r="AP1325" s="326"/>
      <c r="AQ1325" s="314"/>
      <c r="AR1325" s="314" t="s">
        <v>134</v>
      </c>
      <c r="AS1325" s="314" t="s">
        <v>135</v>
      </c>
      <c r="AT1325" s="343" t="s">
        <v>140</v>
      </c>
      <c r="AU1325" s="335" t="s">
        <v>141</v>
      </c>
      <c r="AV1325" s="335" t="s">
        <v>142</v>
      </c>
      <c r="AW1325" s="342" t="s">
        <v>139</v>
      </c>
      <c r="AX1325" s="342" t="s">
        <v>139</v>
      </c>
      <c r="AY1325" s="314"/>
      <c r="AZ1325" s="314"/>
      <c r="BA1325" s="314"/>
      <c r="BB1325" s="314" t="s">
        <v>143</v>
      </c>
      <c r="BC1325" s="314"/>
      <c r="BD1325" s="314"/>
      <c r="BE1325" s="314"/>
      <c r="BF1325" s="314"/>
      <c r="BG1325" s="319" t="s">
        <v>144</v>
      </c>
      <c r="BH1325" s="314" t="s">
        <v>145</v>
      </c>
      <c r="BI1325" s="314"/>
      <c r="BJ1325" s="314"/>
      <c r="BK1325" s="314"/>
      <c r="BL1325" s="314"/>
      <c r="BM1325" s="314"/>
      <c r="BN1325" s="314"/>
      <c r="BO1325" s="314"/>
      <c r="BP1325" s="314"/>
      <c r="BQ1325" s="314"/>
      <c r="BR1325" s="314"/>
      <c r="BS1325" s="314"/>
      <c r="BT1325" s="314"/>
      <c r="BU1325" s="314"/>
      <c r="BV1325" s="314"/>
      <c r="BW1325" s="314"/>
      <c r="BX1325" s="314"/>
      <c r="BY1325" s="314"/>
      <c r="BZ1325" s="314"/>
      <c r="CA1325" s="314"/>
      <c r="CB1325" s="314"/>
      <c r="CC1325" s="314"/>
      <c r="CD1325" s="314"/>
      <c r="CE1325" s="314"/>
      <c r="CF1325" s="314"/>
      <c r="CG1325" s="314"/>
      <c r="CH1325" s="314"/>
      <c r="CI1325" s="314"/>
      <c r="CJ1325" s="314"/>
      <c r="CK1325" s="314"/>
      <c r="CL1325" s="314"/>
      <c r="CM1325" s="314"/>
      <c r="CN1325" s="314"/>
      <c r="CO1325" s="314"/>
      <c r="CP1325" s="314"/>
      <c r="CQ1325" s="319" t="s">
        <v>107</v>
      </c>
    </row>
    <row r="1326" spans="1:95" ht="12.75" customHeight="1" thickBot="1" x14ac:dyDescent="0.3">
      <c r="A1326" s="307"/>
      <c r="B1326" s="68"/>
      <c r="C1326" s="199" t="s">
        <v>12</v>
      </c>
      <c r="D1326" s="344" t="str">
        <f>Translations!$B$356</f>
        <v>RFA:</v>
      </c>
      <c r="E1326" s="345"/>
      <c r="F1326" s="6"/>
      <c r="G1326" s="1256" t="str">
        <f>IF(OR(ISBLANK(F1326),F1326=EUconst_NoTier),"",IF(Z1326=0,EUconst_NA,IF(ISERROR(Z1326),"",Z1326)))</f>
        <v/>
      </c>
      <c r="H1326" s="1257"/>
      <c r="I1326" s="346" t="str">
        <f>IF(J1326&lt;&gt;"","",AI1326)</f>
        <v/>
      </c>
      <c r="J1326" s="7"/>
      <c r="K1326" s="1258"/>
      <c r="L1326" s="1259"/>
      <c r="M1326" s="347" t="str">
        <f>IF(AND(E1321&lt;&gt;"",OR(F1326="",COUNT(K1326)=0),Y1326&lt;&gt;EUconst_NA),EUconst_ERR_Incomplete,"")</f>
        <v/>
      </c>
      <c r="N1326" s="76"/>
      <c r="O1326" s="160"/>
      <c r="P1326" s="348"/>
      <c r="Q1326" s="325" t="str">
        <f>EUconst_SumBioEnergyIN</f>
        <v>SUM_BioEnergyIN</v>
      </c>
      <c r="R1326" s="340" t="str">
        <f>IF(E1321="","",BG1335)</f>
        <v/>
      </c>
      <c r="S1326" s="314"/>
      <c r="T1326" s="349" t="str">
        <f>EUconst_CNTR_ActivityData&amp;E1321</f>
        <v>ActivityData_</v>
      </c>
      <c r="U1326" s="312"/>
      <c r="V1326" s="349" t="str">
        <f>IF(E1320="","",INDEX(B_IdentifyFuelStreams!$I$67:$I$116,MATCH(U1319,B_IdentifyFuelStreams!$D$67:$D$116,0)))</f>
        <v/>
      </c>
      <c r="W1326" s="335" t="s">
        <v>146</v>
      </c>
      <c r="X1326" s="312"/>
      <c r="Y1326" s="350" t="str">
        <f>IF(E1321="","",INDEX(EUwideConstants!$P$164:$P$200,MATCH(T1326,EUwideConstants!$S$164:$S$200,0)))</f>
        <v/>
      </c>
      <c r="Z1326" s="351" t="str">
        <f>IF(ISBLANK(F1326),"",IF(F1326=EUconst_NA,"",INDEX(EUwideConstants!$H:$O,MATCH(T1326,EUwideConstants!$S:$S,0),MATCH(F1326,CNTR_TierList,0))))</f>
        <v/>
      </c>
      <c r="AA1326" s="352" t="s">
        <v>136</v>
      </c>
      <c r="AB1326" s="335"/>
      <c r="AC1326" s="331" t="b">
        <f>E1320&lt;&gt;""</f>
        <v>0</v>
      </c>
      <c r="AD1326" s="314"/>
      <c r="AE1326" s="353" t="str">
        <f>EUconst_CNTR_ActivityData&amp;EUconst_Unit</f>
        <v>ActivityData_Unit</v>
      </c>
      <c r="AF1326" s="354" t="str">
        <f>IF(AC1326=TRUE, IF(COUNTIF(MSPara_SourceStreamCategory,V1326)=0,"",INDEX(MSPara_CalcFactorsMatrix,MATCH(V1326,MSPara_SourceStreamCategory,0),MATCH(AE1326&amp;"_"&amp;2,MSPara_CalcFactors,0))),"")</f>
        <v/>
      </c>
      <c r="AG1326" s="355" t="str">
        <f>IF(AC1326=TRUE, IF(COUNTIF(MSPara_SourceStreamCategory,V1326)=0,"",INDEX(MSPara_CalcFactorsMatrix,MATCH(V1326,MSPara_SourceStreamCategory,0),MATCH(AE1326&amp;"_"&amp;1,MSPara_CalcFactors,0))),"")</f>
        <v/>
      </c>
      <c r="AH1326" s="331" t="str">
        <f>IF(OR(AF1326="",AF1326=EUconst_NA),IF(OR(AG1326=EUconst_NA,AG1326=""),"",AG1326),AF1326)</f>
        <v/>
      </c>
      <c r="AI1326" s="350" t="str">
        <f>IF(AC1326=TRUE,IF(AH1326="",EUconst_t,AH1326),"")</f>
        <v/>
      </c>
      <c r="AJ1326" s="356" t="str">
        <f>IF(J1326="",AI1326,J1326)</f>
        <v/>
      </c>
      <c r="AK1326" s="357" t="b">
        <f>AND(E1320&lt;&gt;"",J1326&lt;&gt;"")</f>
        <v>0</v>
      </c>
      <c r="AL1326" s="326"/>
      <c r="AM1326" s="358" t="s">
        <v>147</v>
      </c>
      <c r="AN1326" s="359" t="str">
        <f>AJ1326</f>
        <v/>
      </c>
      <c r="AO1326" s="326"/>
      <c r="AP1326" s="326"/>
      <c r="AQ1326" s="349" t="str">
        <f>EUconst_CNTR_ActivityData&amp;EUconst_Value</f>
        <v>ActivityData_Value</v>
      </c>
      <c r="AR1326" s="336"/>
      <c r="AS1326" s="336"/>
      <c r="AT1326" s="331" t="b">
        <f>AND(AND(AH1326&lt;&gt;"",AJ1326&lt;&gt;""),AJ1326=AH1326)</f>
        <v>0</v>
      </c>
      <c r="AU1326" s="314"/>
      <c r="AV1326" s="331">
        <f>IF(Y1326=EUconst_NA,0,IF(COUNT(K1326:K1326)=0,0,IF(K1326="",#REF!,K1326)))</f>
        <v>0</v>
      </c>
      <c r="AW1326" s="360" t="b">
        <f>AND(AC1326=TRUE,OR(K1326&lt;&gt;"",AU1326=""))</f>
        <v>0</v>
      </c>
      <c r="AX1326" s="360" t="b">
        <f>AND(AC1326=TRUE,NOT(AW1326))</f>
        <v>0</v>
      </c>
      <c r="AY1326" s="314"/>
      <c r="AZ1326" s="314" t="s">
        <v>148</v>
      </c>
      <c r="BA1326" s="314" t="s">
        <v>149</v>
      </c>
      <c r="BB1326" s="360"/>
      <c r="BC1326" s="314" t="s">
        <v>150</v>
      </c>
      <c r="BD1326" s="314"/>
      <c r="BE1326" s="314"/>
      <c r="BF1326" s="361" t="s">
        <v>119</v>
      </c>
      <c r="BG1326" s="362" t="str">
        <f>IF(COUNTIF(AO1329:AO1330,TRUE)=0,"",BH1326*AV1337)</f>
        <v/>
      </c>
      <c r="BH1326" s="362" t="str">
        <f>IF(COUNTIF(AO1329:AO1330,TRUE)=0,"",AV1326*IF(AO1329,1,AV1328*AN1330)*AV1329-BH1328-BH1330-BH1332)</f>
        <v/>
      </c>
      <c r="BI1326" s="314"/>
      <c r="BJ1326" s="314"/>
      <c r="BK1326" s="314"/>
      <c r="BL1326" s="314"/>
      <c r="BM1326" s="314"/>
      <c r="BN1326" s="314"/>
      <c r="BO1326" s="314"/>
      <c r="BP1326" s="314"/>
      <c r="BQ1326" s="314"/>
      <c r="BR1326" s="314"/>
      <c r="BS1326" s="314"/>
      <c r="BT1326" s="314"/>
      <c r="BU1326" s="314"/>
      <c r="BV1326" s="314"/>
      <c r="BW1326" s="314"/>
      <c r="BX1326" s="314"/>
      <c r="BY1326" s="314"/>
      <c r="BZ1326" s="314"/>
      <c r="CA1326" s="314"/>
      <c r="CB1326" s="314"/>
      <c r="CC1326" s="314"/>
      <c r="CD1326" s="314"/>
      <c r="CE1326" s="314"/>
      <c r="CF1326" s="314"/>
      <c r="CG1326" s="314"/>
      <c r="CH1326" s="314"/>
      <c r="CI1326" s="314"/>
      <c r="CJ1326" s="314"/>
      <c r="CK1326" s="314"/>
      <c r="CL1326" s="314"/>
      <c r="CM1326" s="314"/>
      <c r="CN1326" s="314"/>
      <c r="CO1326" s="314"/>
      <c r="CP1326" s="314"/>
      <c r="CQ1326" s="360" t="b">
        <v>0</v>
      </c>
    </row>
    <row r="1327" spans="1:95" ht="5.15" customHeight="1" thickBot="1" x14ac:dyDescent="0.3">
      <c r="A1327" s="307"/>
      <c r="B1327" s="68"/>
      <c r="C1327" s="199"/>
      <c r="D1327" s="202"/>
      <c r="E1327" s="76"/>
      <c r="F1327" s="76"/>
      <c r="G1327" s="76"/>
      <c r="H1327" s="76" t="str">
        <f>Translations!$B$397</f>
        <v xml:space="preserve"> </v>
      </c>
      <c r="I1327" s="162"/>
      <c r="J1327" s="162"/>
      <c r="K1327" s="76"/>
      <c r="L1327" s="76"/>
      <c r="M1327" s="363"/>
      <c r="N1327" s="76"/>
      <c r="O1327" s="160"/>
      <c r="P1327" s="109"/>
      <c r="Q1327" s="312"/>
      <c r="R1327" s="312"/>
      <c r="S1327" s="314"/>
      <c r="T1327" s="62"/>
      <c r="U1327" s="312"/>
      <c r="V1327" s="314"/>
      <c r="W1327" s="314"/>
      <c r="X1327" s="312"/>
      <c r="Y1327" s="319"/>
      <c r="Z1327" s="314"/>
      <c r="AA1327" s="314"/>
      <c r="AB1327" s="314"/>
      <c r="AC1327" s="314"/>
      <c r="AD1327" s="314"/>
      <c r="AE1327" s="314"/>
      <c r="AF1327" s="314"/>
      <c r="AG1327" s="314"/>
      <c r="AH1327" s="314"/>
      <c r="AI1327" s="314"/>
      <c r="AJ1327" s="314"/>
      <c r="AK1327" s="314"/>
      <c r="AL1327" s="326"/>
      <c r="AM1327" s="326"/>
      <c r="AN1327" s="326"/>
      <c r="AO1327" s="326"/>
      <c r="AP1327" s="326"/>
      <c r="AQ1327" s="314"/>
      <c r="AR1327" s="314"/>
      <c r="AS1327" s="314"/>
      <c r="AT1327" s="314"/>
      <c r="AU1327" s="314"/>
      <c r="AV1327" s="314"/>
      <c r="AW1327" s="314"/>
      <c r="AX1327" s="314"/>
      <c r="AY1327" s="314"/>
      <c r="AZ1327" s="314"/>
      <c r="BA1327" s="314"/>
      <c r="BB1327" s="314"/>
      <c r="BC1327" s="314"/>
      <c r="BD1327" s="314"/>
      <c r="BE1327" s="314"/>
      <c r="BF1327" s="314"/>
      <c r="BG1327" s="364"/>
      <c r="BH1327" s="364"/>
      <c r="BI1327" s="314"/>
      <c r="BJ1327" s="314"/>
      <c r="BK1327" s="314"/>
      <c r="BL1327" s="314"/>
      <c r="BM1327" s="314"/>
      <c r="BN1327" s="314"/>
      <c r="BO1327" s="314"/>
      <c r="BP1327" s="314"/>
      <c r="BQ1327" s="314"/>
      <c r="BR1327" s="314"/>
      <c r="BS1327" s="314"/>
      <c r="BT1327" s="314"/>
      <c r="BU1327" s="314"/>
      <c r="BV1327" s="314"/>
      <c r="BW1327" s="314"/>
      <c r="BX1327" s="314"/>
      <c r="BY1327" s="314"/>
      <c r="BZ1327" s="314"/>
      <c r="CA1327" s="314"/>
      <c r="CB1327" s="314"/>
      <c r="CC1327" s="314"/>
      <c r="CD1327" s="314"/>
      <c r="CE1327" s="314"/>
      <c r="CF1327" s="314"/>
      <c r="CG1327" s="314"/>
      <c r="CH1327" s="314"/>
      <c r="CI1327" s="314"/>
      <c r="CJ1327" s="314"/>
      <c r="CK1327" s="314"/>
      <c r="CL1327" s="314"/>
      <c r="CM1327" s="314"/>
      <c r="CN1327" s="314"/>
      <c r="CO1327" s="314"/>
      <c r="CP1327" s="314"/>
      <c r="CQ1327" s="319"/>
    </row>
    <row r="1328" spans="1:95" ht="12.75" customHeight="1" x14ac:dyDescent="0.25">
      <c r="A1328" s="307"/>
      <c r="B1328" s="68"/>
      <c r="C1328" s="199" t="s">
        <v>13</v>
      </c>
      <c r="D1328" s="344" t="str">
        <f>Translations!$B$360</f>
        <v>UCF:</v>
      </c>
      <c r="E1328" s="345"/>
      <c r="F1328" s="10"/>
      <c r="G1328" s="1256" t="str">
        <f>IF(OR(ISBLANK(F1328),F1328=EUconst_NoTier),"",IF(Z1328=0,EUconst_NotApplicable,IF(ISERROR(Z1328),"",Z1328)))</f>
        <v/>
      </c>
      <c r="H1328" s="1257"/>
      <c r="I1328" s="365" t="str">
        <f>IF(J1328&lt;&gt;"","",AI1328)</f>
        <v/>
      </c>
      <c r="J1328" s="11"/>
      <c r="K1328" s="366" t="str">
        <f>IF(L1328="",AU1328,"")</f>
        <v/>
      </c>
      <c r="L1328" s="23"/>
      <c r="M1328" s="347" t="str">
        <f>IF(AND(E1321&lt;&gt;"",OR(F1328="",COUNT(K1328:L1328)=0),Y1328&lt;&gt;EUconst_NA),EUconst_ERR_Incomplete,IF(COUNTIF(BB1328:BD1328,TRUE)&gt;0,EUconst_ERR_Inconsistent,""))</f>
        <v/>
      </c>
      <c r="N1328" s="367"/>
      <c r="O1328" s="160"/>
      <c r="P1328" s="109"/>
      <c r="Q1328" s="312"/>
      <c r="R1328" s="312"/>
      <c r="S1328" s="314"/>
      <c r="T1328" s="368" t="str">
        <f>EUconst_CNTR_UCF&amp;E1321</f>
        <v>UCF_</v>
      </c>
      <c r="U1328" s="312"/>
      <c r="V1328" s="369" t="str">
        <f>V1329</f>
        <v/>
      </c>
      <c r="W1328" s="314"/>
      <c r="X1328" s="312"/>
      <c r="Y1328" s="370" t="str">
        <f>IF(E1321="","",IF(OR(F1328=EUconst_NA,W1328=TRUE),EUconst_NA,INDEX(EUwideConstants!$P$164:$P$200,MATCH(T1328,EUwideConstants!$S$164:$S$200,0))))</f>
        <v/>
      </c>
      <c r="Z1328" s="371" t="str">
        <f>IF(ISBLANK(F1328),"",IF(F1328=EUconst_NA,"",INDEX(EUwideConstants!$H:$O,MATCH(T1328,EUwideConstants!$S:$S,0),MATCH(F1328,CNTR_TierList,0))))</f>
        <v/>
      </c>
      <c r="AA1328" s="372" t="str">
        <f>IF(COUNTIF(EUconst_DefaultValues,Z1328)&gt;0,MATCH(Z1328,EUconst_DefaultValues,0),"")</f>
        <v/>
      </c>
      <c r="AB1328" s="314"/>
      <c r="AC1328" s="373" t="b">
        <f>AND(AC1326,Y1328&lt;&gt;EUconst_NA)</f>
        <v>0</v>
      </c>
      <c r="AD1328" s="314"/>
      <c r="AE1328" s="353" t="str">
        <f>EUconst_CNTR_UCF&amp;EUconst_Unit</f>
        <v>UCF_Unit</v>
      </c>
      <c r="AF1328" s="374" t="str">
        <f>IF(AC1328=TRUE, IF(COUNTIF(MSPara_SourceStreamCategory,V1328)=0,"",INDEX(MSPara_CalcFactorsMatrix,MATCH(V1328,MSPara_SourceStreamCategory,0),MATCH(AE1328&amp;"_"&amp;2,MSPara_CalcFactors,0))),"")</f>
        <v/>
      </c>
      <c r="AG1328" s="375" t="str">
        <f>IF(AC1328=TRUE, IF(COUNTIF(MSPara_SourceStreamCategory,V1328)=0,"",INDEX(MSPara_CalcFactorsMatrix,MATCH(V1328,MSPara_SourceStreamCategory,0),MATCH(AE1328&amp;"_"&amp;1,MSPara_CalcFactors,0))),"")</f>
        <v/>
      </c>
      <c r="AH1328" s="373" t="str">
        <f>IF(AA1328="","",INDEX(AF1328:AG1328,3-AA1328))</f>
        <v/>
      </c>
      <c r="AI1328" s="373" t="str">
        <f>IF(AC1328=TRUE,IF(OR(AH1328="",AH1328=EUconst_NA),EUconst_GJ&amp;"/"&amp;AJ1326,AH1328),"")</f>
        <v/>
      </c>
      <c r="AJ1328" s="373" t="str">
        <f>IF(J1328="",AI1328,J1328)</f>
        <v/>
      </c>
      <c r="AK1328" s="369" t="b">
        <f>AND(E1320&lt;&gt;"",J1328&lt;&gt;"")</f>
        <v>0</v>
      </c>
      <c r="AL1328" s="326"/>
      <c r="AM1328" s="358" t="s">
        <v>151</v>
      </c>
      <c r="AN1328" s="359" t="str">
        <f>IF(AJ1328="",EUconst_NA,IF(AN1326=EUconst_TJ,EUconst_TJ,INDEX(EUwideConstants!$C$135:$G$139,MATCH(AN1326,RFAUnits,0),MATCH(AJ1328,UCFUnits,0))))</f>
        <v>n.a.</v>
      </c>
      <c r="AO1328" s="326"/>
      <c r="AP1328" s="326"/>
      <c r="AQ1328" s="376" t="str">
        <f>EUconst_CNTR_UCF&amp;EUconst_Value</f>
        <v>UCF_Value</v>
      </c>
      <c r="AR1328" s="377" t="str">
        <f>IF(AC1328=TRUE,IF(COUNTIF(MSPara_SourceStreamCategory,V1328)=0,"",INDEX(MSPara_CalcFactorsMatrix,MATCH(V1328,MSPara_SourceStreamCategory,0),MATCH(AQ1328&amp;"_"&amp;2,MSPara_CalcFactors,0))),"")</f>
        <v/>
      </c>
      <c r="AS1328" s="378" t="str">
        <f>IF(AC1328=TRUE,IF(COUNTIF(MSPara_SourceStreamCategory,V1328)=0,"",INDEX(MSPara_CalcFactorsMatrix,MATCH(V1328,MSPara_SourceStreamCategory,0),MATCH(AQ1328&amp;"_"&amp;1,MSPara_CalcFactors,0))),"")</f>
        <v/>
      </c>
      <c r="AT1328" s="379" t="b">
        <f>AND(AND(AH1328&lt;&gt;"",AJ1328&lt;&gt;""),AJ1328=AH1328)</f>
        <v>0</v>
      </c>
      <c r="AU1328" s="380" t="str">
        <f>IF(AND(AA1328&lt;&gt;"",AT1328=TRUE),IF(OR(INDEX(AR1328:AS1328,3-AA1328)=EUconst_NA,INDEX(AR1328:AS1328,3-AA1328)=0),"",INDEX(AR1328:AS1328,3-AA1328)),"")</f>
        <v/>
      </c>
      <c r="AV1328" s="373">
        <f>IF(AC1328=TRUE,IF(COUNT(K1328:L1328)=0,0,IF(L1328="",K1328,L1328)),0)</f>
        <v>0</v>
      </c>
      <c r="AW1328" s="369" t="b">
        <f t="shared" ref="AW1328:AW1335" si="405">AND(AC1328=TRUE,OR(AND(F1328&lt;&gt;"",NOT(ISNUMBER(AA1328))),L1328&lt;&gt;"",F1328="",AU1328=""))</f>
        <v>0</v>
      </c>
      <c r="AX1328" s="381" t="b">
        <f t="shared" ref="AX1328:AX1335" si="406">AND(AC1328=TRUE,NOT(AW1328))</f>
        <v>0</v>
      </c>
      <c r="AY1328" s="314"/>
      <c r="AZ1328" s="382" t="b">
        <f t="shared" ref="AZ1328:AZ1335" si="407">AND(ISNUMBER(AA1328),AU1328="")</f>
        <v>0</v>
      </c>
      <c r="BA1328" s="383" t="b">
        <f t="shared" ref="BA1328:BA1335" si="408">AND(ISNUMBER(AA1328),AU1328&lt;&gt;AV1328)</f>
        <v>0</v>
      </c>
      <c r="BB1328" s="369" t="b">
        <f>AND(E1321&lt;&gt;"",F1328&lt;&gt;EUconst_NA,AN1328=EUconst_NA)</f>
        <v>0</v>
      </c>
      <c r="BC1328" s="369" t="b">
        <f t="shared" ref="BC1328:BC1335" si="409">AND(L1328&lt;&gt;"",Y1328=EUconst_NA)</f>
        <v>0</v>
      </c>
      <c r="BD1328" s="314"/>
      <c r="BE1328" s="314"/>
      <c r="BF1328" s="382" t="s">
        <v>152</v>
      </c>
      <c r="BG1328" s="384" t="str">
        <f>IF(COUNTIF(AO1329:AO1330,TRUE)=0,"",BH1328*AV1337)</f>
        <v/>
      </c>
      <c r="BH1328" s="384" t="str">
        <f>IF(COUNTIF(AO1329:AO1330,TRUE)=0,"",AV1326*IF(AO1329,1,AV1328*AN1330)*AV1329*AV1330)</f>
        <v/>
      </c>
      <c r="BI1328" s="314"/>
      <c r="BJ1328" s="314"/>
      <c r="BK1328" s="314"/>
      <c r="BL1328" s="314"/>
      <c r="BM1328" s="314"/>
      <c r="BN1328" s="314"/>
      <c r="BO1328" s="314"/>
      <c r="BP1328" s="314"/>
      <c r="BQ1328" s="314"/>
      <c r="BR1328" s="314"/>
      <c r="BS1328" s="314"/>
      <c r="BT1328" s="314"/>
      <c r="BU1328" s="314"/>
      <c r="BV1328" s="314"/>
      <c r="BW1328" s="314"/>
      <c r="BX1328" s="314"/>
      <c r="BY1328" s="314"/>
      <c r="BZ1328" s="314"/>
      <c r="CA1328" s="314"/>
      <c r="CB1328" s="314"/>
      <c r="CC1328" s="314"/>
      <c r="CD1328" s="314"/>
      <c r="CE1328" s="314"/>
      <c r="CF1328" s="314"/>
      <c r="CG1328" s="314"/>
      <c r="CH1328" s="314"/>
      <c r="CI1328" s="314"/>
      <c r="CJ1328" s="314"/>
      <c r="CK1328" s="314"/>
      <c r="CL1328" s="314"/>
      <c r="CM1328" s="314"/>
      <c r="CN1328" s="314"/>
      <c r="CO1328" s="314"/>
      <c r="CP1328" s="314"/>
      <c r="CQ1328" s="369" t="b">
        <f>OR(CQ1326,Y1328=EUconst_NA)</f>
        <v>0</v>
      </c>
    </row>
    <row r="1329" spans="1:95" ht="12.75" customHeight="1" thickBot="1" x14ac:dyDescent="0.3">
      <c r="A1329" s="307"/>
      <c r="B1329" s="68"/>
      <c r="C1329" s="199" t="s">
        <v>14</v>
      </c>
      <c r="D1329" s="344" t="str">
        <f>Translations!$B$358</f>
        <v>(prelim) EF:</v>
      </c>
      <c r="E1329" s="345"/>
      <c r="F1329" s="59"/>
      <c r="G1329" s="1256" t="str">
        <f>IF(OR(ISBLANK(F1329),F1329=EUconst_NoTier),"",IF(Z1329=0,EUconst_NotApplicable,IF(ISERROR(Z1329),"",Z1329)))</f>
        <v/>
      </c>
      <c r="H1329" s="1260"/>
      <c r="I1329" s="385" t="str">
        <f>IF(J1329&lt;&gt;"","",AI1329)</f>
        <v/>
      </c>
      <c r="J1329" s="22"/>
      <c r="K1329" s="386" t="str">
        <f>IF(L1329="",AU1329,"")</f>
        <v/>
      </c>
      <c r="L1329" s="58"/>
      <c r="M1329" s="347" t="str">
        <f>IF(AND(E1321&lt;&gt;"",OR(F1329="",COUNT(K1329:L1329)=0),Y1329&lt;&gt;EUconst_NA),EUconst_ERR_Incomplete,IF(COUNTIF(BB1329:BD1329,TRUE)&gt;0,EUconst_ERR_Inconsistent,""))</f>
        <v/>
      </c>
      <c r="N1329" s="387"/>
      <c r="O1329" s="160"/>
      <c r="P1329" s="109"/>
      <c r="Q1329" s="312"/>
      <c r="R1329" s="312"/>
      <c r="S1329" s="314"/>
      <c r="T1329" s="388" t="str">
        <f>EUconst_CNTR_EF&amp;E1321</f>
        <v>EF_</v>
      </c>
      <c r="U1329" s="312"/>
      <c r="V1329" s="389" t="str">
        <f>V1326</f>
        <v/>
      </c>
      <c r="W1329" s="314"/>
      <c r="X1329" s="312"/>
      <c r="Y1329" s="390" t="str">
        <f>IF(E1321="","",IF(OR(F1329=EUconst_NA,W1329=TRUE),EUconst_NA,INDEX(EUwideConstants!$P$164:$P$200,MATCH(T1329,EUwideConstants!$S$164:$S$200,0))))</f>
        <v/>
      </c>
      <c r="Z1329" s="391" t="str">
        <f>IF(ISBLANK(F1329),"",IF(F1329=EUconst_NA,"",INDEX(EUwideConstants!$H:$O,MATCH(T1329,EUwideConstants!$S:$S,0),MATCH(F1329,CNTR_TierList,0))))</f>
        <v/>
      </c>
      <c r="AA1329" s="392" t="str">
        <f>IF(COUNTIF(EUconst_DefaultValues,Z1329)&gt;0,MATCH(Z1329,EUconst_DefaultValues,0),"")</f>
        <v/>
      </c>
      <c r="AB1329" s="314"/>
      <c r="AC1329" s="393" t="b">
        <f>AND(AC1326,Y1329&lt;&gt;EUconst_NA)</f>
        <v>0</v>
      </c>
      <c r="AD1329" s="314"/>
      <c r="AE1329" s="394" t="str">
        <f>EUconst_CNTR_EF&amp;EUconst_Unit</f>
        <v>EF_Unit</v>
      </c>
      <c r="AF1329" s="395" t="str">
        <f>IF(AC1329=TRUE, IF(COUNTIF(MSPara_SourceStreamCategory,V1329)=0,"",INDEX(MSPara_CalcFactorsMatrix,MATCH(V1329,MSPara_SourceStreamCategory,0),MATCH(AE1329&amp;"_"&amp;2,MSPara_CalcFactors,0))),"")</f>
        <v/>
      </c>
      <c r="AG1329" s="396" t="str">
        <f>IF(AC1329=TRUE, IF(COUNTIF(MSPara_SourceStreamCategory,V1329)=0,"",INDEX(MSPara_CalcFactorsMatrix,MATCH(V1329,MSPara_SourceStreamCategory,0),MATCH(AE1329&amp;"_"&amp;1,MSPara_CalcFactors,0))),"")</f>
        <v/>
      </c>
      <c r="AH1329" s="397" t="str">
        <f>IF(AA1329="","",INDEX(AF1329:AG1329,3-AA1329))</f>
        <v/>
      </c>
      <c r="AI1329" s="397" t="str">
        <f>IF(AC1329=TRUE,IF(OR(AH1329="",AH1329=EUconst_NA),EUconst_tCO2&amp;"/"&amp;IF(AN1328=EUconst_NA,AN1326,IF(AN1328=EUconst_GJ,EUconst_TJ,AN1328)),AH1329),"")</f>
        <v/>
      </c>
      <c r="AJ1329" s="397" t="str">
        <f>IF(J1329="",AI1329,J1329)</f>
        <v/>
      </c>
      <c r="AK1329" s="398" t="b">
        <f>AND(E1321&lt;&gt;"",J1329&lt;&gt;"")</f>
        <v>0</v>
      </c>
      <c r="AL1329" s="326"/>
      <c r="AM1329" s="358" t="s">
        <v>153</v>
      </c>
      <c r="AN1329" s="359" t="str">
        <f>IF(COUNTIF(RFAUnits,AN1326)=0,EUconst_NA,INDEX(EUwideConstants!$C$150:$H$154,MATCH(AJ1329,EFUnits,0),MATCH(AN1326,EUwideConstants!$C$149:$H$149,0)))</f>
        <v>n.a.</v>
      </c>
      <c r="AO1329" s="359" t="b">
        <f>AN1329&lt;&gt;EUconst_NA</f>
        <v>0</v>
      </c>
      <c r="AP1329" s="326"/>
      <c r="AQ1329" s="399" t="str">
        <f>EUconst_CNTR_EF&amp;EUconst_Value</f>
        <v>EF_Value</v>
      </c>
      <c r="AR1329" s="400" t="str">
        <f>IF(AC1329=TRUE,IF(COUNTIF(MSPara_SourceStreamCategory,V1329)=0,"",INDEX(MSPara_CalcFactorsMatrix,MATCH(V1329,MSPara_SourceStreamCategory,0),MATCH(AQ1329&amp;"_"&amp;2,MSPara_CalcFactors,0))),"")</f>
        <v/>
      </c>
      <c r="AS1329" s="401" t="str">
        <f>IF(AC1329=TRUE,IF(COUNTIF(MSPara_SourceStreamCategory,V1329)=0,"",INDEX(MSPara_CalcFactorsMatrix,MATCH(V1329,MSPara_SourceStreamCategory,0),MATCH(AQ1329&amp;"_"&amp;1,MSPara_CalcFactors,0))),"")</f>
        <v/>
      </c>
      <c r="AT1329" s="402" t="b">
        <f>AND(AND(AH1329&lt;&gt;"",AJ1329&lt;&gt;""),AJ1329=AH1329)</f>
        <v>0</v>
      </c>
      <c r="AU1329" s="403" t="str">
        <f>IF(AND(AA1329&lt;&gt;"",AT1329=TRUE),IF(OR(INDEX(AR1329:AS1329,3-AA1329)=EUconst_NA,INDEX(AR1329:AS1329,3-AA1329)=0),"",INDEX(AR1329:AS1329,3-AA1329)),"")</f>
        <v/>
      </c>
      <c r="AV1329" s="393">
        <f>IF(AC1329=TRUE,IF(COUNT(K1329:L1329)=0,0,IF(L1329="",K1329,L1329)),0)</f>
        <v>0</v>
      </c>
      <c r="AW1329" s="389" t="b">
        <f t="shared" si="405"/>
        <v>0</v>
      </c>
      <c r="AX1329" s="404" t="b">
        <f t="shared" si="406"/>
        <v>0</v>
      </c>
      <c r="AY1329" s="314"/>
      <c r="AZ1329" s="405" t="b">
        <f t="shared" si="407"/>
        <v>0</v>
      </c>
      <c r="BA1329" s="406" t="b">
        <f t="shared" si="408"/>
        <v>0</v>
      </c>
      <c r="BB1329" s="407" t="b">
        <f>AND(E1321&lt;&gt;"",COUNTIF(AO1329:AO1330,TRUE)=0)</f>
        <v>0</v>
      </c>
      <c r="BC1329" s="389" t="b">
        <f t="shared" si="409"/>
        <v>0</v>
      </c>
      <c r="BD1329" s="314"/>
      <c r="BE1329" s="314"/>
      <c r="BF1329" s="408" t="s">
        <v>154</v>
      </c>
      <c r="BG1329" s="409" t="str">
        <f>IF(COUNTIF(AO1329:AO1330,TRUE)=0,"",BH1329*AV1337)</f>
        <v/>
      </c>
      <c r="BH1329" s="409" t="str">
        <f>IF(COUNTIF(AO1329:AO1330,TRUE)=0,"",AV1326*IF(AO1329,1,AV1328*AN1330)*AV1329*AV1331)</f>
        <v/>
      </c>
      <c r="BI1329" s="314"/>
      <c r="BJ1329" s="314"/>
      <c r="BK1329" s="314"/>
      <c r="BL1329" s="314"/>
      <c r="BM1329" s="314"/>
      <c r="BN1329" s="314"/>
      <c r="BO1329" s="314"/>
      <c r="BP1329" s="314"/>
      <c r="BQ1329" s="314"/>
      <c r="BR1329" s="314"/>
      <c r="BS1329" s="314"/>
      <c r="BT1329" s="314"/>
      <c r="BU1329" s="314"/>
      <c r="BV1329" s="314"/>
      <c r="BW1329" s="314"/>
      <c r="BX1329" s="314"/>
      <c r="BY1329" s="314"/>
      <c r="BZ1329" s="314"/>
      <c r="CA1329" s="314"/>
      <c r="CB1329" s="314"/>
      <c r="CC1329" s="314"/>
      <c r="CD1329" s="314"/>
      <c r="CE1329" s="314"/>
      <c r="CF1329" s="314"/>
      <c r="CG1329" s="314"/>
      <c r="CH1329" s="314"/>
      <c r="CI1329" s="314"/>
      <c r="CJ1329" s="314"/>
      <c r="CK1329" s="314"/>
      <c r="CL1329" s="314"/>
      <c r="CM1329" s="314"/>
      <c r="CN1329" s="314"/>
      <c r="CO1329" s="314"/>
      <c r="CP1329" s="314"/>
      <c r="CQ1329" s="407" t="b">
        <f>OR(CQ1326,Y1329=EUconst_NA)</f>
        <v>0</v>
      </c>
    </row>
    <row r="1330" spans="1:95" ht="12.75" customHeight="1" x14ac:dyDescent="0.25">
      <c r="A1330" s="307"/>
      <c r="B1330" s="68"/>
      <c r="C1330" s="199" t="s">
        <v>15</v>
      </c>
      <c r="D1330" s="344" t="str">
        <f>Translations!$B$362</f>
        <v>BioF:</v>
      </c>
      <c r="E1330" s="345"/>
      <c r="F1330" s="10"/>
      <c r="G1330" s="1256" t="str">
        <f>IF(OR(ISBLANK(F1330),F1330=EUconst_NoTier),"",IF(Z1330=0,EUconst_NotApplicable,IF(ISERROR(Z1330),"",Z1330)))</f>
        <v/>
      </c>
      <c r="H1330" s="1257"/>
      <c r="I1330" s="410" t="str">
        <f t="shared" ref="I1330:I1335" si="410">IF(OR(AC1330=FALSE,Y1330=EUconst_NA),"","-")</f>
        <v/>
      </c>
      <c r="J1330" s="411"/>
      <c r="K1330" s="412" t="str">
        <f>IF(L1330="",AU1330,"")</f>
        <v/>
      </c>
      <c r="L1330" s="60"/>
      <c r="M1330" s="347" t="str">
        <f>IF(AND(E1321&lt;&gt;"",OR(F1330="",COUNT(K1330:L1330)=0),Y1330&lt;&gt;EUconst_NA),EUconst_ERR_Incomplete,IF(COUNTIF(BB1330:BD1330,TRUE)&gt;0,EUconst_ERR_Inconsistent,""))</f>
        <v/>
      </c>
      <c r="O1330" s="160"/>
      <c r="P1330" s="348"/>
      <c r="Q1330" s="413"/>
      <c r="R1330" s="413"/>
      <c r="S1330" s="314"/>
      <c r="T1330" s="388" t="str">
        <f>EUconst_CNTR_BiomassContent&amp;E1321</f>
        <v>BioC_</v>
      </c>
      <c r="U1330" s="312"/>
      <c r="V1330" s="369" t="str">
        <f>V1328</f>
        <v/>
      </c>
      <c r="W1330" s="369" t="str">
        <f>IF(OR(V1330="",COUNTIF(MSPara_SourceStreamCategory,V1330)=0),"",INDEX(MSPara_IsFossil,MATCH(V1330,MSPara_SourceStreamCategory,0)))</f>
        <v/>
      </c>
      <c r="X1330" s="312"/>
      <c r="Y1330" s="370" t="str">
        <f>IF(E1321="","",IF(OR(F1330=EUconst_NA,W1330=TRUE),EUconst_NA,INDEX(EUwideConstants!$P$164:$P$200,MATCH(T1330,EUwideConstants!$S$164:$S$200,0))))</f>
        <v/>
      </c>
      <c r="Z1330" s="371" t="str">
        <f>IF(ISBLANK(F1330),"",IF(F1330=EUconst_NA,"",INDEX(EUwideConstants!$H:$O,MATCH(T1330,EUwideConstants!$S:$S,0),MATCH(F1330,CNTR_TierList,0))))</f>
        <v/>
      </c>
      <c r="AA1330" s="414" t="str">
        <f>IF(F1330=1,1,"")</f>
        <v/>
      </c>
      <c r="AB1330" s="314"/>
      <c r="AC1330" s="373" t="b">
        <f>AND(AC1326,Y1330&lt;&gt;EUconst_NA)</f>
        <v>0</v>
      </c>
      <c r="AD1330" s="314"/>
      <c r="AE1330" s="415"/>
      <c r="AF1330" s="416"/>
      <c r="AG1330" s="417"/>
      <c r="AH1330" s="418"/>
      <c r="AI1330" s="418"/>
      <c r="AJ1330" s="418"/>
      <c r="AK1330" s="419"/>
      <c r="AL1330" s="326"/>
      <c r="AM1330" s="358" t="s">
        <v>155</v>
      </c>
      <c r="AN1330" s="359" t="str">
        <f>IF(AN1328=EUconst_NA,EUconst_NA,INDEX(EUwideConstants!$C$150:$H$154,MATCH(AJ1329,EFUnits,0),MATCH(AN1328,EUwideConstants!$C$149:$H$149,0)))</f>
        <v>n.a.</v>
      </c>
      <c r="AO1330" s="359" t="b">
        <f>AN1330&lt;&gt;EUconst_NA</f>
        <v>0</v>
      </c>
      <c r="AP1330" s="326"/>
      <c r="AQ1330" s="376" t="str">
        <f>EUconst_CNTR_BiomassContent&amp;EUconst_Value</f>
        <v>BioC_Value</v>
      </c>
      <c r="AR1330" s="420"/>
      <c r="AS1330" s="378" t="str">
        <f t="shared" ref="AS1330:AS1335" si="411">IF(AC1330=TRUE,IF(COUNTIF(MSPara_SourceStreamCategory,V1330)=0,"",INDEX(MSPara_CalcFactorsMatrix,MATCH(V1330,MSPara_SourceStreamCategory,0),MATCH(AQ1330&amp;"_"&amp;2,MSPara_CalcFactors,0))),"")</f>
        <v/>
      </c>
      <c r="AT1330" s="421"/>
      <c r="AU1330" s="380" t="str">
        <f t="shared" ref="AU1330:AU1335" si="412">IF(OR(AA1330="",AS1330=EUconst_NA),"",AS1330)</f>
        <v/>
      </c>
      <c r="AV1330" s="373">
        <f>IF(AC1330=TRUE,IF(COUNT(K1330:L1330)=0,0,IF(L1330="",K1330,L1330)),0)</f>
        <v>0</v>
      </c>
      <c r="AW1330" s="369" t="b">
        <f t="shared" si="405"/>
        <v>0</v>
      </c>
      <c r="AX1330" s="381" t="b">
        <f t="shared" si="406"/>
        <v>0</v>
      </c>
      <c r="AY1330" s="314"/>
      <c r="AZ1330" s="382" t="b">
        <f t="shared" si="407"/>
        <v>0</v>
      </c>
      <c r="BA1330" s="383" t="b">
        <f t="shared" si="408"/>
        <v>0</v>
      </c>
      <c r="BB1330" s="314"/>
      <c r="BC1330" s="369" t="b">
        <f t="shared" si="409"/>
        <v>0</v>
      </c>
      <c r="BD1330" s="369" t="b">
        <f>OR(AV1330&gt;100%,(AV1330+AV1331)&gt;100%)</f>
        <v>0</v>
      </c>
      <c r="BE1330" s="314"/>
      <c r="BF1330" s="382" t="s">
        <v>156</v>
      </c>
      <c r="BG1330" s="384" t="str">
        <f>IF(COUNTIF(AO1329:AO1330,TRUE)=0,"",BH1330*AV1337)</f>
        <v/>
      </c>
      <c r="BH1330" s="384" t="str">
        <f>IF(COUNTIF(AO1329:AO1330,TRUE)=0,"",AV1326*IF(AO1329,1,AV1328*AN1330)*AV1329*AV1332)</f>
        <v/>
      </c>
      <c r="BJ1330" s="314"/>
      <c r="BK1330" s="314"/>
      <c r="BL1330" s="314"/>
      <c r="BM1330" s="314"/>
      <c r="BN1330" s="314"/>
      <c r="BO1330" s="314"/>
      <c r="BP1330" s="314"/>
      <c r="BQ1330" s="314"/>
      <c r="BR1330" s="314"/>
      <c r="BS1330" s="314"/>
      <c r="BT1330" s="314"/>
      <c r="BU1330" s="314"/>
      <c r="BV1330" s="314"/>
      <c r="BW1330" s="314"/>
      <c r="BX1330" s="314"/>
      <c r="BY1330" s="314"/>
      <c r="BZ1330" s="314"/>
      <c r="CA1330" s="314"/>
      <c r="CB1330" s="314"/>
      <c r="CC1330" s="314"/>
      <c r="CD1330" s="314"/>
      <c r="CE1330" s="314"/>
      <c r="CF1330" s="314"/>
      <c r="CG1330" s="314"/>
      <c r="CH1330" s="314"/>
      <c r="CI1330" s="314"/>
      <c r="CJ1330" s="314"/>
      <c r="CK1330" s="314"/>
      <c r="CL1330" s="314"/>
      <c r="CM1330" s="314"/>
      <c r="CN1330" s="314"/>
      <c r="CO1330" s="314"/>
      <c r="CP1330" s="314"/>
      <c r="CQ1330" s="369" t="b">
        <f>OR(CQ1326,Y1330=EUconst_NA)</f>
        <v>0</v>
      </c>
    </row>
    <row r="1331" spans="1:95" ht="12.75" customHeight="1" thickBot="1" x14ac:dyDescent="0.3">
      <c r="A1331" s="307"/>
      <c r="B1331" s="68"/>
      <c r="C1331" s="199" t="s">
        <v>16</v>
      </c>
      <c r="D1331" s="344" t="str">
        <f>Translations!$B$368</f>
        <v>non-sust. BioF:</v>
      </c>
      <c r="E1331" s="345"/>
      <c r="F1331" s="20"/>
      <c r="G1331" s="1256" t="str">
        <f>IF(OR(ISBLANK(F1331),F1331=EUconst_NoTier),"",IF(Z1331=0,EUconst_NotApplicable,IF(ISERROR(Z1331),"",Z1331)))</f>
        <v/>
      </c>
      <c r="H1331" s="1257"/>
      <c r="I1331" s="422" t="str">
        <f t="shared" si="410"/>
        <v/>
      </c>
      <c r="J1331" s="423"/>
      <c r="K1331" s="424" t="str">
        <f>IF(L1331="",AU1331,"")</f>
        <v/>
      </c>
      <c r="L1331" s="21"/>
      <c r="M1331" s="347" t="str">
        <f>IF(AND(E1321&lt;&gt;"",OR(F1331="",COUNT(K1331:L1331)=0),Y1331&lt;&gt;EUconst_NA),EUconst_ERR_Incomplete,IF(COUNTIF(BB1331:BD1331,TRUE)&gt;0,EUconst_ERR_Inconsistent,""))</f>
        <v/>
      </c>
      <c r="N1331" s="76"/>
      <c r="O1331" s="160"/>
      <c r="P1331" s="348"/>
      <c r="Q1331" s="413"/>
      <c r="R1331" s="413"/>
      <c r="S1331" s="314"/>
      <c r="T1331" s="425" t="str">
        <f>EUconst_CNTR_BiomassContent&amp;E1321</f>
        <v>BioC_</v>
      </c>
      <c r="U1331" s="312"/>
      <c r="V1331" s="407" t="str">
        <f>V1330</f>
        <v/>
      </c>
      <c r="W1331" s="407" t="str">
        <f>IF(OR(V1330="",COUNTIF(MSPara_SourceStreamCategory,V1331)=0),"",INDEX(MSPara_IsFossil,MATCH(V1331,MSPara_SourceStreamCategory,0)))</f>
        <v/>
      </c>
      <c r="X1331" s="312"/>
      <c r="Y1331" s="426" t="str">
        <f>IF(E1321="","",IF(OR(F1331=EUconst_NA,W1331=TRUE),EUconst_NA,INDEX(EUwideConstants!$P$164:$P$200,MATCH(T1331,EUwideConstants!$S$164:$S$200,0))))</f>
        <v/>
      </c>
      <c r="Z1331" s="427" t="str">
        <f>IF(ISBLANK(F1331),"",IF(F1331=EUconst_NA,"",INDEX(EUwideConstants!$H:$O,MATCH(T1331,EUwideConstants!$S:$S,0),MATCH(F1331,CNTR_TierList,0))))</f>
        <v/>
      </c>
      <c r="AA1331" s="428" t="str">
        <f>IF(F1331=1,1,"")</f>
        <v/>
      </c>
      <c r="AB1331" s="314"/>
      <c r="AC1331" s="429" t="b">
        <f>AND(AC1326,Y1331&lt;&gt;EUconst_NA)</f>
        <v>0</v>
      </c>
      <c r="AD1331" s="314"/>
      <c r="AE1331" s="430"/>
      <c r="AF1331" s="431"/>
      <c r="AG1331" s="432"/>
      <c r="AH1331" s="433"/>
      <c r="AI1331" s="433"/>
      <c r="AJ1331" s="433"/>
      <c r="AK1331" s="434"/>
      <c r="AL1331" s="326"/>
      <c r="AM1331" s="326"/>
      <c r="AN1331" s="326"/>
      <c r="AO1331" s="326"/>
      <c r="AP1331" s="326"/>
      <c r="AQ1331" s="435" t="str">
        <f>EUconst_CNTR_BiomassContent&amp;EUconst_Value</f>
        <v>BioC_Value</v>
      </c>
      <c r="AR1331" s="430"/>
      <c r="AS1331" s="436" t="str">
        <f t="shared" si="411"/>
        <v/>
      </c>
      <c r="AT1331" s="437"/>
      <c r="AU1331" s="438" t="str">
        <f t="shared" si="412"/>
        <v/>
      </c>
      <c r="AV1331" s="429">
        <f>IF(AC1331=TRUE,IF(COUNT(K1331:L1331)=0,0,IF(L1331="",K1331,L1331)),0)</f>
        <v>0</v>
      </c>
      <c r="AW1331" s="407" t="b">
        <f t="shared" si="405"/>
        <v>0</v>
      </c>
      <c r="AX1331" s="439" t="b">
        <f t="shared" si="406"/>
        <v>0</v>
      </c>
      <c r="AY1331" s="314"/>
      <c r="AZ1331" s="408" t="b">
        <f t="shared" si="407"/>
        <v>0</v>
      </c>
      <c r="BA1331" s="440" t="b">
        <f t="shared" si="408"/>
        <v>0</v>
      </c>
      <c r="BB1331" s="314"/>
      <c r="BC1331" s="407" t="b">
        <f t="shared" si="409"/>
        <v>0</v>
      </c>
      <c r="BD1331" s="407" t="b">
        <f>OR(AV1330&gt;100%,(AV1330+AV1331)&gt;100%)</f>
        <v>0</v>
      </c>
      <c r="BE1331" s="314"/>
      <c r="BF1331" s="408" t="s">
        <v>157</v>
      </c>
      <c r="BG1331" s="409" t="str">
        <f>IF(COUNTIF(AO1329:AO1330,TRUE)=0,"",BH1331*AV1337)</f>
        <v/>
      </c>
      <c r="BH1331" s="409" t="str">
        <f>IF(COUNTIF(AO1329:AO1330,TRUE)=0,"",AV1326*IF(AO1329,1,AV1328*AN1330)*AV1329*AV1333)</f>
        <v/>
      </c>
      <c r="BJ1331" s="314"/>
      <c r="BK1331" s="314"/>
      <c r="BL1331" s="314"/>
      <c r="BM1331" s="314"/>
      <c r="BN1331" s="314"/>
      <c r="BO1331" s="314"/>
      <c r="BP1331" s="314"/>
      <c r="BQ1331" s="314"/>
      <c r="BR1331" s="314"/>
      <c r="BS1331" s="314"/>
      <c r="BT1331" s="314"/>
      <c r="BU1331" s="314"/>
      <c r="BV1331" s="314"/>
      <c r="BW1331" s="314"/>
      <c r="BX1331" s="314"/>
      <c r="BY1331" s="314"/>
      <c r="BZ1331" s="314"/>
      <c r="CA1331" s="314"/>
      <c r="CB1331" s="314"/>
      <c r="CC1331" s="314"/>
      <c r="CD1331" s="314"/>
      <c r="CE1331" s="314"/>
      <c r="CF1331" s="314"/>
      <c r="CG1331" s="314"/>
      <c r="CH1331" s="314"/>
      <c r="CI1331" s="314"/>
      <c r="CJ1331" s="314"/>
      <c r="CK1331" s="314"/>
      <c r="CL1331" s="314"/>
      <c r="CM1331" s="314"/>
      <c r="CN1331" s="314"/>
      <c r="CO1331" s="314"/>
      <c r="CP1331" s="314"/>
      <c r="CQ1331" s="407" t="b">
        <f>OR(CQ1326,Y1331=EUconst_NA)</f>
        <v>0</v>
      </c>
    </row>
    <row r="1332" spans="1:95" ht="12.75" customHeight="1" thickBot="1" x14ac:dyDescent="0.3">
      <c r="A1332" s="307"/>
      <c r="B1332" s="68"/>
      <c r="C1332" s="199" t="s">
        <v>17</v>
      </c>
      <c r="D1332" s="344" t="str">
        <f>Translations!$B$610</f>
        <v>sust. RFNBO/RCF:</v>
      </c>
      <c r="E1332" s="441"/>
      <c r="F1332" s="19" t="s">
        <v>158</v>
      </c>
      <c r="G1332" s="1261"/>
      <c r="H1332" s="1262"/>
      <c r="I1332" s="442" t="str">
        <f t="shared" si="410"/>
        <v/>
      </c>
      <c r="J1332" s="411"/>
      <c r="K1332" s="443"/>
      <c r="L1332" s="55"/>
      <c r="M1332" s="347" t="str">
        <f>IF(AND(E1321&lt;&gt;"",OR(F1332="",COUNT(L1332)=0),Y1332&lt;&gt;EUconst_NA),EUconst_ERR_Incomplete,"")</f>
        <v/>
      </c>
      <c r="N1332" s="76"/>
      <c r="O1332" s="160"/>
      <c r="P1332" s="348"/>
      <c r="Q1332" s="413"/>
      <c r="R1332" s="413"/>
      <c r="S1332" s="314"/>
      <c r="T1332" s="388" t="str">
        <f>EUconst_CNTR_RFNBOetcContent&amp;E1321</f>
        <v>RNFBOC_</v>
      </c>
      <c r="U1332" s="312"/>
      <c r="V1332" s="312"/>
      <c r="W1332" s="312"/>
      <c r="X1332" s="312"/>
      <c r="Y1332" s="380" t="str">
        <f>IF(E1321="","",IF(OR(F1332=EUconst_NA,W1332=TRUE),EUconst_NA,INDEX(EUwideConstants!$P$164:$P$200,MATCH(T1332,EUwideConstants!$S$164:$S$200,0))))</f>
        <v/>
      </c>
      <c r="Z1332" s="314"/>
      <c r="AA1332" s="314"/>
      <c r="AB1332" s="314"/>
      <c r="AC1332" s="397" t="b">
        <f>AND(AC1328,Y1332&lt;&gt;EUconst_NA)</f>
        <v>0</v>
      </c>
      <c r="AD1332" s="314"/>
      <c r="AE1332" s="415"/>
      <c r="AF1332" s="416"/>
      <c r="AG1332" s="417"/>
      <c r="AH1332" s="418"/>
      <c r="AI1332" s="418"/>
      <c r="AJ1332" s="418"/>
      <c r="AK1332" s="419"/>
      <c r="AL1332" s="326"/>
      <c r="AM1332" s="326"/>
      <c r="AN1332" s="326"/>
      <c r="AO1332" s="326"/>
      <c r="AP1332" s="326"/>
      <c r="AQ1332" s="444" t="s">
        <v>159</v>
      </c>
      <c r="AR1332" s="415"/>
      <c r="AS1332" s="445" t="str">
        <f t="shared" si="411"/>
        <v/>
      </c>
      <c r="AT1332" s="446"/>
      <c r="AU1332" s="447" t="str">
        <f t="shared" si="412"/>
        <v/>
      </c>
      <c r="AV1332" s="397">
        <f>IF(L1332&lt;&gt;0,L1332,L1332)</f>
        <v>0</v>
      </c>
      <c r="AW1332" s="398" t="b">
        <f t="shared" si="405"/>
        <v>0</v>
      </c>
      <c r="AX1332" s="448" t="b">
        <f t="shared" si="406"/>
        <v>0</v>
      </c>
      <c r="AY1332" s="314"/>
      <c r="AZ1332" s="449" t="b">
        <f t="shared" si="407"/>
        <v>0</v>
      </c>
      <c r="BA1332" s="450" t="b">
        <f t="shared" si="408"/>
        <v>0</v>
      </c>
      <c r="BB1332" s="314"/>
      <c r="BC1332" s="398" t="b">
        <f t="shared" si="409"/>
        <v>0</v>
      </c>
      <c r="BD1332" s="369" t="b">
        <f>OR(AV1332&gt;100%,(AV1332+AV1333)&gt;100%)</f>
        <v>0</v>
      </c>
      <c r="BE1332" s="314"/>
      <c r="BF1332" s="451" t="s">
        <v>160</v>
      </c>
      <c r="BG1332" s="452" t="str">
        <f>IF(COUNTIF(AO1329:AO1330,TRUE)=0,"",BH1332*AV1337)</f>
        <v/>
      </c>
      <c r="BH1332" s="452" t="str">
        <f>IF(COUNTIF(AO1329:AO1330,TRUE)=0,"",AV1326*IF(AO1329,1,AV1328*AN1330)*AV1329*AV1334)</f>
        <v/>
      </c>
      <c r="BJ1332" s="314"/>
      <c r="BK1332" s="314"/>
      <c r="BL1332" s="314"/>
      <c r="BM1332" s="314"/>
      <c r="BN1332" s="314"/>
      <c r="BO1332" s="314"/>
      <c r="BP1332" s="314"/>
      <c r="BQ1332" s="314"/>
      <c r="BR1332" s="314"/>
      <c r="BS1332" s="314"/>
      <c r="BT1332" s="314"/>
      <c r="BU1332" s="314"/>
      <c r="BV1332" s="314"/>
      <c r="BW1332" s="314"/>
      <c r="BX1332" s="314"/>
      <c r="BY1332" s="314"/>
      <c r="BZ1332" s="314"/>
      <c r="CA1332" s="314"/>
      <c r="CB1332" s="314"/>
      <c r="CC1332" s="314"/>
      <c r="CD1332" s="314"/>
      <c r="CE1332" s="314"/>
      <c r="CF1332" s="314"/>
      <c r="CG1332" s="314"/>
      <c r="CH1332" s="314"/>
      <c r="CI1332" s="314"/>
      <c r="CJ1332" s="314"/>
      <c r="CK1332" s="314"/>
      <c r="CL1332" s="314"/>
      <c r="CM1332" s="314"/>
      <c r="CN1332" s="314"/>
      <c r="CO1332" s="314"/>
      <c r="CP1332" s="314"/>
      <c r="CQ1332" s="407" t="b">
        <f>OR(CQ1326,Y1332=EUconst_NA)</f>
        <v>0</v>
      </c>
    </row>
    <row r="1333" spans="1:95" ht="12.75" customHeight="1" thickBot="1" x14ac:dyDescent="0.3">
      <c r="A1333" s="307"/>
      <c r="B1333" s="68"/>
      <c r="C1333" s="199" t="s">
        <v>161</v>
      </c>
      <c r="D1333" s="344" t="str">
        <f>Translations!$B$613</f>
        <v>non-sust. RFNBO/RCF:</v>
      </c>
      <c r="E1333" s="441"/>
      <c r="F1333" s="20" t="s">
        <v>158</v>
      </c>
      <c r="G1333" s="1261"/>
      <c r="H1333" s="1262"/>
      <c r="I1333" s="422" t="str">
        <f t="shared" si="410"/>
        <v/>
      </c>
      <c r="J1333" s="423"/>
      <c r="K1333" s="443"/>
      <c r="L1333" s="56"/>
      <c r="M1333" s="347" t="str">
        <f>IF(AND(E1321&lt;&gt;"",OR(F1333="",COUNT(L1333)=0),Y1333&lt;&gt;EUconst_NA),EUconst_ERR_Incomplete,"")</f>
        <v/>
      </c>
      <c r="N1333" s="76"/>
      <c r="O1333" s="160"/>
      <c r="P1333" s="348"/>
      <c r="Q1333" s="413"/>
      <c r="R1333" s="413"/>
      <c r="S1333" s="314"/>
      <c r="T1333" s="425" t="str">
        <f>EUconst_CNTR_RFNBOetcContent&amp;E1321</f>
        <v>RNFBOC_</v>
      </c>
      <c r="U1333" s="312"/>
      <c r="V1333" s="312"/>
      <c r="W1333" s="312"/>
      <c r="X1333" s="312"/>
      <c r="Y1333" s="438" t="str">
        <f>IF(E1321="","",IF(OR(F1333=EUconst_NA,W1333=TRUE),EUconst_NA,INDEX(EUwideConstants!$P$164:$P$200,MATCH(T1333,EUwideConstants!$S$164:$S$200,0))))</f>
        <v/>
      </c>
      <c r="Z1333" s="314"/>
      <c r="AA1333" s="314"/>
      <c r="AB1333" s="314"/>
      <c r="AC1333" s="429" t="b">
        <f>AND(AC1328,Y1333&lt;&gt;EUconst_NA)</f>
        <v>0</v>
      </c>
      <c r="AD1333" s="314"/>
      <c r="AE1333" s="430"/>
      <c r="AF1333" s="431"/>
      <c r="AG1333" s="432"/>
      <c r="AH1333" s="433"/>
      <c r="AI1333" s="433"/>
      <c r="AJ1333" s="433"/>
      <c r="AK1333" s="434"/>
      <c r="AL1333" s="326"/>
      <c r="AM1333" s="326"/>
      <c r="AN1333" s="326"/>
      <c r="AO1333" s="326"/>
      <c r="AP1333" s="326"/>
      <c r="AQ1333" s="435" t="s">
        <v>159</v>
      </c>
      <c r="AR1333" s="430"/>
      <c r="AS1333" s="436" t="str">
        <f t="shared" si="411"/>
        <v/>
      </c>
      <c r="AT1333" s="437"/>
      <c r="AU1333" s="438" t="str">
        <f t="shared" si="412"/>
        <v/>
      </c>
      <c r="AV1333" s="429">
        <f t="shared" ref="AV1333:AV1335" si="413">IF(L1333&lt;&gt;0,L1333,L1333)</f>
        <v>0</v>
      </c>
      <c r="AW1333" s="407" t="b">
        <f t="shared" si="405"/>
        <v>0</v>
      </c>
      <c r="AX1333" s="439" t="b">
        <f t="shared" si="406"/>
        <v>0</v>
      </c>
      <c r="AY1333" s="314"/>
      <c r="AZ1333" s="408" t="b">
        <f t="shared" si="407"/>
        <v>0</v>
      </c>
      <c r="BA1333" s="440" t="b">
        <f t="shared" si="408"/>
        <v>0</v>
      </c>
      <c r="BB1333" s="314"/>
      <c r="BC1333" s="407" t="b">
        <f t="shared" si="409"/>
        <v>0</v>
      </c>
      <c r="BD1333" s="407" t="b">
        <f>OR(AV1332&gt;100%,(AV1332+AV1333)&gt;100%)</f>
        <v>0</v>
      </c>
      <c r="BE1333" s="314"/>
      <c r="BF1333" s="408" t="s">
        <v>162</v>
      </c>
      <c r="BG1333" s="409" t="str">
        <f>IF(COUNTIF(AO1329:AO1330,TRUE)=0,"",BH1333*AV1337)</f>
        <v/>
      </c>
      <c r="BH1333" s="409" t="str">
        <f>IF(COUNTIF(AO1329:AO1330,TRUE)=0,"",AV1326*IF(AO1329,1,AV1328*AN1330)*AV1329*AV1335)</f>
        <v/>
      </c>
      <c r="BJ1333" s="314"/>
      <c r="BK1333" s="314"/>
      <c r="BL1333" s="314"/>
      <c r="BM1333" s="314"/>
      <c r="BN1333" s="314"/>
      <c r="BO1333" s="314"/>
      <c r="BP1333" s="314"/>
      <c r="BQ1333" s="314"/>
      <c r="BR1333" s="314"/>
      <c r="BS1333" s="314"/>
      <c r="BT1333" s="314"/>
      <c r="BU1333" s="314"/>
      <c r="BV1333" s="314"/>
      <c r="BW1333" s="314"/>
      <c r="BX1333" s="314"/>
      <c r="BY1333" s="314"/>
      <c r="BZ1333" s="314"/>
      <c r="CA1333" s="314"/>
      <c r="CB1333" s="314"/>
      <c r="CC1333" s="314"/>
      <c r="CD1333" s="314"/>
      <c r="CE1333" s="314"/>
      <c r="CF1333" s="314"/>
      <c r="CG1333" s="314"/>
      <c r="CH1333" s="314"/>
      <c r="CI1333" s="314"/>
      <c r="CJ1333" s="314"/>
      <c r="CK1333" s="314"/>
      <c r="CL1333" s="314"/>
      <c r="CM1333" s="314"/>
      <c r="CN1333" s="314"/>
      <c r="CO1333" s="314"/>
      <c r="CP1333" s="314"/>
      <c r="CQ1333" s="407" t="b">
        <f>OR(CQ1326,Y1333=EUconst_NA)</f>
        <v>0</v>
      </c>
    </row>
    <row r="1334" spans="1:95" ht="12.75" customHeight="1" thickBot="1" x14ac:dyDescent="0.3">
      <c r="A1334" s="307"/>
      <c r="B1334" s="68"/>
      <c r="C1334" s="199" t="s">
        <v>163</v>
      </c>
      <c r="D1334" s="344" t="str">
        <f>Translations!$B$615</f>
        <v>sust. SLCF:</v>
      </c>
      <c r="E1334" s="441"/>
      <c r="F1334" s="19" t="s">
        <v>158</v>
      </c>
      <c r="G1334" s="1261"/>
      <c r="H1334" s="1262"/>
      <c r="I1334" s="442" t="str">
        <f t="shared" si="410"/>
        <v/>
      </c>
      <c r="J1334" s="411"/>
      <c r="K1334" s="443"/>
      <c r="L1334" s="57"/>
      <c r="M1334" s="347" t="str">
        <f>IF(AND(E1321&lt;&gt;"",OR(F1334="",COUNT(L1334)=0),Y1334&lt;&gt;EUconst_NA),EUconst_ERR_Incomplete,"")</f>
        <v/>
      </c>
      <c r="N1334" s="76"/>
      <c r="O1334" s="160"/>
      <c r="P1334" s="348"/>
      <c r="Q1334" s="413"/>
      <c r="R1334" s="413"/>
      <c r="S1334" s="314"/>
      <c r="T1334" s="388" t="str">
        <f>EUconst_CNTR_RFNBOetcContent&amp;E1321</f>
        <v>RNFBOC_</v>
      </c>
      <c r="U1334" s="312"/>
      <c r="V1334" s="312"/>
      <c r="W1334" s="312"/>
      <c r="X1334" s="312"/>
      <c r="Y1334" s="447" t="str">
        <f>IF(E1321="","",IF(OR(F1334=EUconst_NA,W1334=TRUE),EUconst_NA,INDEX(EUwideConstants!$P$164:$P$200,MATCH(T1334,EUwideConstants!$S$164:$S$200,0))))</f>
        <v/>
      </c>
      <c r="Z1334" s="314"/>
      <c r="AA1334" s="314"/>
      <c r="AB1334" s="314"/>
      <c r="AC1334" s="397" t="b">
        <f>AND(AC1330,Y1334&lt;&gt;EUconst_NA)</f>
        <v>0</v>
      </c>
      <c r="AD1334" s="314"/>
      <c r="AE1334" s="415"/>
      <c r="AF1334" s="416"/>
      <c r="AG1334" s="417"/>
      <c r="AH1334" s="418"/>
      <c r="AI1334" s="418"/>
      <c r="AJ1334" s="418"/>
      <c r="AK1334" s="419"/>
      <c r="AL1334" s="326"/>
      <c r="AM1334" s="326"/>
      <c r="AN1334" s="326"/>
      <c r="AO1334" s="326"/>
      <c r="AP1334" s="326"/>
      <c r="AQ1334" s="444" t="s">
        <v>159</v>
      </c>
      <c r="AR1334" s="415"/>
      <c r="AS1334" s="445" t="str">
        <f t="shared" si="411"/>
        <v/>
      </c>
      <c r="AT1334" s="446"/>
      <c r="AU1334" s="447" t="str">
        <f t="shared" si="412"/>
        <v/>
      </c>
      <c r="AV1334" s="397">
        <f t="shared" si="413"/>
        <v>0</v>
      </c>
      <c r="AW1334" s="398" t="b">
        <f t="shared" si="405"/>
        <v>0</v>
      </c>
      <c r="AX1334" s="448" t="b">
        <f t="shared" si="406"/>
        <v>0</v>
      </c>
      <c r="AY1334" s="314"/>
      <c r="AZ1334" s="449" t="b">
        <f t="shared" si="407"/>
        <v>0</v>
      </c>
      <c r="BA1334" s="450" t="b">
        <f t="shared" si="408"/>
        <v>0</v>
      </c>
      <c r="BB1334" s="314"/>
      <c r="BC1334" s="398" t="b">
        <f t="shared" si="409"/>
        <v>0</v>
      </c>
      <c r="BD1334" s="369" t="b">
        <f>OR(AV1334&gt;100%,(AV1334+AV1335)&gt;100%)</f>
        <v>0</v>
      </c>
      <c r="BE1334" s="314"/>
      <c r="BF1334" s="451" t="s">
        <v>164</v>
      </c>
      <c r="BG1334" s="452">
        <f>IF(AN1326=EUconst_TJ,AV1326*(1-AV1330),IF(AN1328=EUconst_GJ,AV1326*AV1328/1000,0))-SUM(BG1335:BG1341)</f>
        <v>0</v>
      </c>
      <c r="BH1334" s="314"/>
      <c r="BI1334" s="314"/>
      <c r="BJ1334" s="314"/>
      <c r="BK1334" s="314"/>
      <c r="BL1334" s="314"/>
      <c r="BM1334" s="314"/>
      <c r="BN1334" s="314"/>
      <c r="BO1334" s="314"/>
      <c r="BP1334" s="314"/>
      <c r="BQ1334" s="314"/>
      <c r="BR1334" s="314"/>
      <c r="BS1334" s="314"/>
      <c r="BT1334" s="314"/>
      <c r="BU1334" s="314"/>
      <c r="BV1334" s="314"/>
      <c r="BW1334" s="314"/>
      <c r="BX1334" s="314"/>
      <c r="BY1334" s="314"/>
      <c r="BZ1334" s="314"/>
      <c r="CA1334" s="314"/>
      <c r="CB1334" s="314"/>
      <c r="CC1334" s="314"/>
      <c r="CD1334" s="314"/>
      <c r="CE1334" s="314"/>
      <c r="CF1334" s="314"/>
      <c r="CG1334" s="314"/>
      <c r="CH1334" s="314"/>
      <c r="CI1334" s="314"/>
      <c r="CJ1334" s="314"/>
      <c r="CK1334" s="314"/>
      <c r="CL1334" s="314"/>
      <c r="CM1334" s="314"/>
      <c r="CN1334" s="314"/>
      <c r="CO1334" s="314"/>
      <c r="CP1334" s="314"/>
      <c r="CQ1334" s="407" t="b">
        <f>OR(CQ1326,Y1334=EUconst_NA)</f>
        <v>0</v>
      </c>
    </row>
    <row r="1335" spans="1:95" ht="12.75" customHeight="1" thickBot="1" x14ac:dyDescent="0.3">
      <c r="A1335" s="307"/>
      <c r="B1335" s="68"/>
      <c r="C1335" s="199" t="s">
        <v>165</v>
      </c>
      <c r="D1335" s="344" t="str">
        <f>Translations!$B$618</f>
        <v>non-sust. SLCF:</v>
      </c>
      <c r="E1335" s="441"/>
      <c r="F1335" s="20" t="s">
        <v>158</v>
      </c>
      <c r="G1335" s="1261"/>
      <c r="H1335" s="1262"/>
      <c r="I1335" s="422" t="str">
        <f t="shared" si="410"/>
        <v/>
      </c>
      <c r="J1335" s="423"/>
      <c r="K1335" s="443"/>
      <c r="L1335" s="56"/>
      <c r="M1335" s="347" t="str">
        <f>IF(AND(E1321&lt;&gt;"",OR(F1335="",COUNT(L1335)=0),Y1335&lt;&gt;EUconst_NA),EUconst_ERR_Incomplete,"")</f>
        <v/>
      </c>
      <c r="N1335" s="76"/>
      <c r="O1335" s="160"/>
      <c r="P1335" s="348"/>
      <c r="Q1335" s="413"/>
      <c r="R1335" s="413"/>
      <c r="S1335" s="314"/>
      <c r="T1335" s="425" t="str">
        <f>EUconst_CNTR_RFNBOetcContent&amp;E1321</f>
        <v>RNFBOC_</v>
      </c>
      <c r="U1335" s="312"/>
      <c r="V1335" s="312"/>
      <c r="W1335" s="312"/>
      <c r="X1335" s="312"/>
      <c r="Y1335" s="438" t="str">
        <f>IF(E1321="","",IF(OR(F1335=EUconst_NA,W1335=TRUE),EUconst_NA,INDEX(EUwideConstants!$P$164:$P$200,MATCH(T1335,EUwideConstants!$S$164:$S$200,0))))</f>
        <v/>
      </c>
      <c r="Z1335" s="314"/>
      <c r="AA1335" s="314"/>
      <c r="AB1335" s="314"/>
      <c r="AC1335" s="429" t="b">
        <f>AND(AC1330,Y1335&lt;&gt;EUconst_NA)</f>
        <v>0</v>
      </c>
      <c r="AD1335" s="314"/>
      <c r="AE1335" s="430"/>
      <c r="AF1335" s="431"/>
      <c r="AG1335" s="432"/>
      <c r="AH1335" s="433"/>
      <c r="AI1335" s="433"/>
      <c r="AJ1335" s="433"/>
      <c r="AK1335" s="434"/>
      <c r="AL1335" s="326"/>
      <c r="AM1335" s="326"/>
      <c r="AN1335" s="326"/>
      <c r="AO1335" s="326"/>
      <c r="AP1335" s="326"/>
      <c r="AQ1335" s="435" t="s">
        <v>159</v>
      </c>
      <c r="AR1335" s="430"/>
      <c r="AS1335" s="436" t="str">
        <f t="shared" si="411"/>
        <v/>
      </c>
      <c r="AT1335" s="437"/>
      <c r="AU1335" s="438" t="str">
        <f t="shared" si="412"/>
        <v/>
      </c>
      <c r="AV1335" s="429">
        <f t="shared" si="413"/>
        <v>0</v>
      </c>
      <c r="AW1335" s="407" t="b">
        <f t="shared" si="405"/>
        <v>0</v>
      </c>
      <c r="AX1335" s="439" t="b">
        <f t="shared" si="406"/>
        <v>0</v>
      </c>
      <c r="AY1335" s="314"/>
      <c r="AZ1335" s="408" t="b">
        <f t="shared" si="407"/>
        <v>0</v>
      </c>
      <c r="BA1335" s="440" t="b">
        <f t="shared" si="408"/>
        <v>0</v>
      </c>
      <c r="BB1335" s="314"/>
      <c r="BC1335" s="407" t="b">
        <f t="shared" si="409"/>
        <v>0</v>
      </c>
      <c r="BD1335" s="407" t="b">
        <f>OR(AV1334&gt;100%,(AV1334+AV1335)&gt;100%)</f>
        <v>0</v>
      </c>
      <c r="BE1335" s="314"/>
      <c r="BF1335" s="408" t="s">
        <v>166</v>
      </c>
      <c r="BG1335" s="409" t="str">
        <f>IF(AN1326=EUconst_TJ,AV1326*AV1330,IF(AN1328=EUconst_GJ,AV1326*AV1328/1000*AV1330,""))</f>
        <v/>
      </c>
      <c r="BH1335" s="314"/>
      <c r="BI1335" s="314"/>
      <c r="BJ1335" s="314"/>
      <c r="BK1335" s="314"/>
      <c r="BL1335" s="314"/>
      <c r="BM1335" s="314"/>
      <c r="BN1335" s="314"/>
      <c r="BO1335" s="314"/>
      <c r="BP1335" s="314"/>
      <c r="BQ1335" s="314"/>
      <c r="BR1335" s="314"/>
      <c r="BS1335" s="314"/>
      <c r="BT1335" s="314"/>
      <c r="BU1335" s="314"/>
      <c r="BV1335" s="314"/>
      <c r="BW1335" s="314"/>
      <c r="BX1335" s="314"/>
      <c r="BY1335" s="314"/>
      <c r="BZ1335" s="314"/>
      <c r="CA1335" s="314"/>
      <c r="CB1335" s="314"/>
      <c r="CC1335" s="314"/>
      <c r="CD1335" s="314"/>
      <c r="CE1335" s="314"/>
      <c r="CF1335" s="314"/>
      <c r="CG1335" s="314"/>
      <c r="CH1335" s="314"/>
      <c r="CI1335" s="314"/>
      <c r="CJ1335" s="314"/>
      <c r="CK1335" s="314"/>
      <c r="CL1335" s="314"/>
      <c r="CM1335" s="314"/>
      <c r="CN1335" s="314"/>
      <c r="CO1335" s="314"/>
      <c r="CP1335" s="314"/>
      <c r="CQ1335" s="407" t="b">
        <f>OR(CQ1326,Y1335=EUconst_NA)</f>
        <v>0</v>
      </c>
    </row>
    <row r="1336" spans="1:95" ht="5.15" customHeight="1" thickBot="1" x14ac:dyDescent="0.3">
      <c r="A1336" s="307"/>
      <c r="B1336" s="68"/>
      <c r="C1336" s="68"/>
      <c r="D1336" s="205"/>
      <c r="E1336" s="76"/>
      <c r="F1336" s="76"/>
      <c r="G1336" s="76"/>
      <c r="H1336" s="76"/>
      <c r="I1336" s="76"/>
      <c r="J1336" s="76"/>
      <c r="K1336" s="76"/>
      <c r="L1336" s="76"/>
      <c r="M1336" s="453"/>
      <c r="N1336" s="76"/>
      <c r="O1336" s="160"/>
      <c r="P1336" s="109"/>
      <c r="Q1336" s="312"/>
      <c r="R1336" s="312"/>
      <c r="S1336" s="314"/>
      <c r="T1336" s="314"/>
      <c r="U1336" s="314"/>
      <c r="V1336" s="314"/>
      <c r="W1336" s="314"/>
      <c r="X1336" s="314"/>
      <c r="Y1336" s="314"/>
      <c r="Z1336" s="314"/>
      <c r="AA1336" s="314"/>
      <c r="AB1336" s="314"/>
      <c r="AC1336" s="314"/>
      <c r="AD1336" s="314"/>
      <c r="AE1336" s="314"/>
      <c r="AF1336" s="314"/>
      <c r="AG1336" s="314"/>
      <c r="AH1336" s="314"/>
      <c r="AI1336" s="314"/>
      <c r="AJ1336" s="314"/>
      <c r="AK1336" s="314"/>
      <c r="AL1336" s="314"/>
      <c r="AM1336" s="314"/>
      <c r="AN1336" s="314"/>
      <c r="AO1336" s="314"/>
      <c r="AP1336" s="314"/>
      <c r="AQ1336" s="314"/>
      <c r="AR1336" s="314"/>
      <c r="AS1336" s="314"/>
      <c r="AT1336" s="314"/>
      <c r="AU1336" s="314"/>
      <c r="AV1336" s="314"/>
      <c r="AW1336" s="314"/>
      <c r="AX1336" s="314"/>
      <c r="AY1336" s="314"/>
      <c r="AZ1336" s="314"/>
      <c r="BA1336" s="314"/>
      <c r="BB1336" s="314"/>
      <c r="BC1336" s="314"/>
      <c r="BD1336" s="314"/>
      <c r="BE1336" s="314"/>
      <c r="BF1336" s="314"/>
      <c r="BG1336" s="364"/>
      <c r="BH1336" s="314"/>
      <c r="BI1336" s="314"/>
      <c r="BJ1336" s="314"/>
      <c r="BK1336" s="314"/>
      <c r="BL1336" s="314"/>
      <c r="BM1336" s="314"/>
      <c r="BN1336" s="314"/>
      <c r="BO1336" s="314"/>
      <c r="BP1336" s="314"/>
      <c r="BQ1336" s="314"/>
      <c r="BR1336" s="314"/>
      <c r="BS1336" s="314"/>
      <c r="BT1336" s="314"/>
      <c r="BU1336" s="314"/>
      <c r="BV1336" s="314"/>
      <c r="BW1336" s="314"/>
      <c r="BX1336" s="314"/>
      <c r="BY1336" s="314"/>
      <c r="BZ1336" s="314"/>
      <c r="CA1336" s="314"/>
      <c r="CB1336" s="314"/>
      <c r="CC1336" s="314"/>
      <c r="CD1336" s="314"/>
      <c r="CE1336" s="314"/>
      <c r="CF1336" s="314"/>
      <c r="CG1336" s="314"/>
      <c r="CH1336" s="314"/>
      <c r="CI1336" s="314"/>
      <c r="CJ1336" s="314"/>
      <c r="CK1336" s="314"/>
      <c r="CL1336" s="314"/>
      <c r="CM1336" s="314"/>
      <c r="CN1336" s="314"/>
      <c r="CO1336" s="314"/>
      <c r="CP1336" s="314"/>
      <c r="CQ1336" s="314"/>
    </row>
    <row r="1337" spans="1:95" ht="12.75" customHeight="1" thickBot="1" x14ac:dyDescent="0.3">
      <c r="A1337" s="307"/>
      <c r="B1337" s="68"/>
      <c r="C1337" s="199" t="s">
        <v>167</v>
      </c>
      <c r="D1337" s="344" t="str">
        <f>Translations!$B$398</f>
        <v>Scope factor:</v>
      </c>
      <c r="E1337" s="454"/>
      <c r="F1337" s="992"/>
      <c r="G1337" s="1263"/>
      <c r="H1337" s="1264"/>
      <c r="I1337" s="455" t="s">
        <v>46</v>
      </c>
      <c r="J1337" s="456"/>
      <c r="K1337" s="457" t="str">
        <f>IF(L1337="",AU1337,"")</f>
        <v/>
      </c>
      <c r="L1337" s="16"/>
      <c r="M1337" s="458" t="str">
        <f>IF(AND(E1321&lt;&gt;"",OR(F1337="",G1337="",COUNT(K1337:L1337)=0)),EUconst_ERR_Incomplete,IF(COUNTIF(BB1337:BD1337,TRUE)&gt;0,EUconst_ERR_Inconsistent,""))</f>
        <v/>
      </c>
      <c r="N1337" s="76"/>
      <c r="O1337" s="160"/>
      <c r="P1337" s="109"/>
      <c r="Q1337" s="312"/>
      <c r="R1337" s="314"/>
      <c r="S1337" s="297"/>
      <c r="T1337" s="459" t="str">
        <f>EUconst_CNTR_ScopeFactor&amp;E1321</f>
        <v>ScopeFactor_</v>
      </c>
      <c r="U1337" s="231" t="str">
        <f>IF(F1337="","",INDEX(ScopeAddress,MATCH(F1337,ScopeTiers,0)))</f>
        <v/>
      </c>
      <c r="V1337" s="360" t="str">
        <f>V1326</f>
        <v/>
      </c>
      <c r="W1337" s="314"/>
      <c r="X1337" s="314"/>
      <c r="Y1337" s="460" t="str">
        <f>IF(E1321="","",IF(F1337=EUconst_NA,EUconst_NA,INDEX(EUwideConstants!$P$164:$P$200,MATCH(T1337,EUwideConstants!$S$164:$S$200,0))))</f>
        <v/>
      </c>
      <c r="Z1337" s="461" t="str">
        <f>IF(ISBLANK(F1337),"",IF(F1337=EUconst_NA,"",INDEX(EUwideConstants!$H:$O,MATCH(T1337,EUwideConstants!$S:$S,0),MATCH(F1337,CNTR_TierList,0))))</f>
        <v/>
      </c>
      <c r="AA1337" s="331" t="str">
        <f>IF(G1337=EUwideConstants!$A$89,1,"")</f>
        <v/>
      </c>
      <c r="AB1337" s="314"/>
      <c r="AC1337" s="331" t="b">
        <f>AND(AC1326,Y1337&lt;&gt;EUconst_NA)</f>
        <v>0</v>
      </c>
      <c r="AD1337" s="314"/>
      <c r="AE1337" s="314"/>
      <c r="AF1337" s="314"/>
      <c r="AG1337" s="319"/>
      <c r="AH1337" s="314"/>
      <c r="AI1337" s="314"/>
      <c r="AJ1337" s="314"/>
      <c r="AK1337" s="314"/>
      <c r="AL1337" s="314"/>
      <c r="AM1337" s="314"/>
      <c r="AN1337" s="314"/>
      <c r="AO1337" s="314"/>
      <c r="AP1337" s="314"/>
      <c r="AQ1337" s="314"/>
      <c r="AR1337" s="314"/>
      <c r="AS1337" s="328">
        <v>1</v>
      </c>
      <c r="AT1337" s="314"/>
      <c r="AU1337" s="319" t="str">
        <f>IF(G1337=EUwideConstants!$A$89,AS1337,"")</f>
        <v/>
      </c>
      <c r="AV1337" s="331">
        <f>IF(AC1337=TRUE,IF(COUNT(K1337:L1337)=0,0,IF(L1337="",K1337,L1337)),0)</f>
        <v>0</v>
      </c>
      <c r="AW1337" s="360" t="b">
        <f>AND(AC1337=TRUE,OR(AND(F1337&lt;&gt;"",NOT(ISNUMBER(AA1337))),L1337&lt;&gt;"",F1337="",AU1337=""))</f>
        <v>0</v>
      </c>
      <c r="AX1337" s="357" t="b">
        <f>AND(AC1337=TRUE,NOT(AW1337))</f>
        <v>0</v>
      </c>
      <c r="AY1337" s="314"/>
      <c r="AZ1337" s="361" t="b">
        <f>AND(ISNUMBER(AA1337),AU1337="")</f>
        <v>0</v>
      </c>
      <c r="BA1337" s="351" t="b">
        <f>AND(ISNUMBER(AA1337),AU1337&lt;&gt;AV1337)</f>
        <v>0</v>
      </c>
      <c r="BB1337" s="314"/>
      <c r="BC1337" s="360" t="b">
        <f>AND(F1337&lt;&gt;"",OR(COUNTIF(INDEX(ScopeMethods,F1337,),G1337)=0,AND(AA1337&lt;&gt;"",AU1337&lt;&gt;AV1337)))</f>
        <v>0</v>
      </c>
      <c r="BD1337" s="314"/>
      <c r="BE1337" s="314"/>
      <c r="BF1337" s="361" t="s">
        <v>168</v>
      </c>
      <c r="BG1337" s="362" t="str">
        <f>IF(AN1326=EUconst_TJ,AV1326*AV1332,IF(AN1328=EUconst_GJ,AV1326*AV1328/1000*AV1332,""))</f>
        <v/>
      </c>
      <c r="BH1337" s="314"/>
      <c r="BI1337" s="314"/>
      <c r="BJ1337" s="314"/>
      <c r="BK1337" s="314"/>
      <c r="BL1337" s="314"/>
      <c r="BM1337" s="314"/>
      <c r="BN1337" s="314"/>
      <c r="BO1337" s="314"/>
      <c r="BP1337" s="314"/>
      <c r="BQ1337" s="314"/>
      <c r="BR1337" s="314"/>
      <c r="BS1337" s="314"/>
      <c r="BT1337" s="314"/>
      <c r="BU1337" s="314"/>
      <c r="BV1337" s="314"/>
      <c r="BW1337" s="314"/>
      <c r="BX1337" s="314"/>
      <c r="BY1337" s="314"/>
      <c r="BZ1337" s="314"/>
      <c r="CA1337" s="314"/>
      <c r="CB1337" s="314"/>
      <c r="CC1337" s="314"/>
      <c r="CD1337" s="314"/>
      <c r="CE1337" s="314"/>
      <c r="CF1337" s="314"/>
      <c r="CG1337" s="314"/>
      <c r="CH1337" s="314"/>
      <c r="CI1337" s="314"/>
      <c r="CJ1337" s="314"/>
      <c r="CK1337" s="314"/>
      <c r="CL1337" s="314"/>
      <c r="CM1337" s="314"/>
      <c r="CN1337" s="314"/>
      <c r="CO1337" s="314"/>
      <c r="CP1337" s="314"/>
      <c r="CQ1337" s="314"/>
    </row>
    <row r="1338" spans="1:95" ht="12.75" customHeight="1" x14ac:dyDescent="0.25">
      <c r="A1338" s="307"/>
      <c r="B1338" s="68"/>
      <c r="C1338" s="68"/>
      <c r="D1338" s="68"/>
      <c r="E1338" s="68"/>
      <c r="F1338" s="68"/>
      <c r="G1338" s="1265" t="str">
        <f>IF(G1337="","",INDEX(ScopeMethodsDetails,MATCH(G1337,INDEX(ScopeMethodsDetails,,1),0),2))</f>
        <v/>
      </c>
      <c r="H1338" s="1266"/>
      <c r="I1338" s="1266"/>
      <c r="J1338" s="1266"/>
      <c r="K1338" s="1266"/>
      <c r="L1338" s="1266"/>
      <c r="M1338" s="1267"/>
      <c r="N1338" s="76"/>
      <c r="O1338" s="160"/>
      <c r="P1338" s="109"/>
      <c r="Q1338" s="312"/>
      <c r="R1338" s="312"/>
      <c r="S1338" s="314"/>
      <c r="T1338" s="314"/>
      <c r="U1338" s="314"/>
      <c r="V1338" s="314"/>
      <c r="W1338" s="314"/>
      <c r="X1338" s="314"/>
      <c r="Y1338" s="314"/>
      <c r="Z1338" s="314"/>
      <c r="AA1338" s="314"/>
      <c r="AB1338" s="314"/>
      <c r="AC1338" s="314"/>
      <c r="AD1338" s="314"/>
      <c r="AE1338" s="314"/>
      <c r="AF1338" s="314"/>
      <c r="AG1338" s="314"/>
      <c r="AH1338" s="314"/>
      <c r="AI1338" s="314"/>
      <c r="AJ1338" s="314"/>
      <c r="AK1338" s="314"/>
      <c r="AL1338" s="314"/>
      <c r="AM1338" s="314"/>
      <c r="AN1338" s="314"/>
      <c r="AO1338" s="314"/>
      <c r="AP1338" s="314"/>
      <c r="AQ1338" s="314"/>
      <c r="AR1338" s="314"/>
      <c r="AS1338" s="314"/>
      <c r="AT1338" s="314"/>
      <c r="AU1338" s="314"/>
      <c r="AV1338" s="314"/>
      <c r="AW1338" s="314"/>
      <c r="AX1338" s="314"/>
      <c r="AY1338" s="314"/>
      <c r="AZ1338" s="314"/>
      <c r="BA1338" s="314"/>
      <c r="BB1338" s="314"/>
      <c r="BC1338" s="314"/>
      <c r="BD1338" s="314"/>
      <c r="BE1338" s="314"/>
      <c r="BG1338" s="364"/>
      <c r="BH1338" s="314"/>
      <c r="BI1338" s="314"/>
      <c r="BJ1338" s="314"/>
      <c r="BK1338" s="314"/>
      <c r="BL1338" s="314"/>
      <c r="BM1338" s="314"/>
      <c r="BN1338" s="314"/>
      <c r="BO1338" s="314"/>
      <c r="BP1338" s="314"/>
      <c r="BQ1338" s="314"/>
      <c r="BR1338" s="314"/>
      <c r="BS1338" s="314"/>
      <c r="BT1338" s="314"/>
      <c r="BU1338" s="314"/>
      <c r="BV1338" s="314"/>
      <c r="BW1338" s="314"/>
      <c r="BX1338" s="314"/>
      <c r="BY1338" s="314"/>
      <c r="BZ1338" s="314"/>
      <c r="CA1338" s="314"/>
      <c r="CB1338" s="314"/>
      <c r="CC1338" s="314"/>
      <c r="CD1338" s="314"/>
      <c r="CE1338" s="314"/>
      <c r="CF1338" s="314"/>
      <c r="CG1338" s="314"/>
      <c r="CH1338" s="314"/>
      <c r="CI1338" s="314"/>
      <c r="CJ1338" s="314"/>
      <c r="CK1338" s="314"/>
      <c r="CL1338" s="314"/>
      <c r="CM1338" s="314"/>
      <c r="CN1338" s="314"/>
      <c r="CO1338" s="314"/>
      <c r="CP1338" s="314"/>
      <c r="CQ1338" s="314"/>
    </row>
    <row r="1339" spans="1:95" ht="5.15" customHeight="1" x14ac:dyDescent="0.25">
      <c r="A1339" s="307"/>
      <c r="C1339" s="76"/>
      <c r="D1339" s="76"/>
      <c r="E1339" s="76"/>
      <c r="F1339" s="76"/>
      <c r="G1339" s="76"/>
      <c r="H1339" s="76"/>
      <c r="I1339" s="76"/>
      <c r="J1339" s="76"/>
      <c r="K1339" s="76"/>
      <c r="L1339" s="76"/>
      <c r="O1339" s="160"/>
      <c r="P1339" s="109"/>
      <c r="Q1339" s="312"/>
      <c r="R1339" s="312"/>
      <c r="S1339" s="314"/>
      <c r="T1339" s="314"/>
      <c r="U1339" s="314"/>
      <c r="V1339" s="314"/>
      <c r="W1339" s="314"/>
      <c r="X1339" s="314"/>
      <c r="Y1339" s="314"/>
      <c r="Z1339" s="314"/>
      <c r="AA1339" s="314"/>
      <c r="AB1339" s="314"/>
      <c r="AC1339" s="314"/>
      <c r="AD1339" s="314"/>
      <c r="AE1339" s="314"/>
      <c r="AF1339" s="314"/>
      <c r="AG1339" s="314"/>
      <c r="AH1339" s="314"/>
      <c r="AI1339" s="314"/>
      <c r="AJ1339" s="314"/>
      <c r="AK1339" s="314"/>
      <c r="AL1339" s="314"/>
      <c r="AM1339" s="314"/>
      <c r="AN1339" s="314"/>
      <c r="AO1339" s="314"/>
      <c r="AP1339" s="314"/>
      <c r="AQ1339" s="314"/>
      <c r="AR1339" s="314"/>
      <c r="AS1339" s="314"/>
      <c r="AT1339" s="314"/>
      <c r="AU1339" s="314"/>
      <c r="AV1339" s="314"/>
      <c r="AW1339" s="314"/>
      <c r="AX1339" s="314"/>
      <c r="AY1339" s="314"/>
      <c r="AZ1339" s="314"/>
      <c r="BA1339" s="314"/>
      <c r="BB1339" s="314"/>
      <c r="BC1339" s="314"/>
      <c r="BD1339" s="314"/>
      <c r="BE1339" s="314"/>
      <c r="BG1339" s="364"/>
      <c r="BH1339" s="314"/>
      <c r="BI1339" s="314"/>
      <c r="BJ1339" s="314"/>
      <c r="BK1339" s="314"/>
      <c r="BL1339" s="314"/>
      <c r="BM1339" s="314"/>
      <c r="BN1339" s="314"/>
      <c r="BO1339" s="314"/>
      <c r="BP1339" s="314"/>
      <c r="BQ1339" s="314"/>
      <c r="BR1339" s="314"/>
      <c r="BS1339" s="314"/>
      <c r="BT1339" s="314"/>
      <c r="BU1339" s="314"/>
      <c r="BV1339" s="314"/>
      <c r="BW1339" s="314"/>
      <c r="BX1339" s="314"/>
      <c r="BY1339" s="314"/>
      <c r="BZ1339" s="314"/>
      <c r="CA1339" s="314"/>
      <c r="CB1339" s="314"/>
      <c r="CC1339" s="314"/>
      <c r="CD1339" s="314"/>
      <c r="CE1339" s="314"/>
      <c r="CF1339" s="314"/>
      <c r="CG1339" s="314"/>
      <c r="CH1339" s="314"/>
      <c r="CI1339" s="314"/>
      <c r="CJ1339" s="314"/>
      <c r="CK1339" s="314"/>
      <c r="CL1339" s="314"/>
      <c r="CM1339" s="314"/>
      <c r="CN1339" s="314"/>
      <c r="CO1339" s="314"/>
      <c r="CP1339" s="314"/>
      <c r="CQ1339" s="314"/>
    </row>
    <row r="1340" spans="1:95" ht="12.75" customHeight="1" thickBot="1" x14ac:dyDescent="0.3">
      <c r="A1340" s="307"/>
      <c r="C1340" s="76"/>
      <c r="D1340" s="76"/>
      <c r="E1340" s="76"/>
      <c r="F1340" s="76"/>
      <c r="G1340" s="1268">
        <v>1</v>
      </c>
      <c r="H1340" s="1268"/>
      <c r="I1340" s="1268">
        <v>2</v>
      </c>
      <c r="J1340" s="1268"/>
      <c r="K1340" s="1268">
        <v>3</v>
      </c>
      <c r="L1340" s="1268"/>
      <c r="O1340" s="160"/>
      <c r="P1340" s="109"/>
      <c r="Q1340" s="312"/>
      <c r="R1340" s="312"/>
      <c r="S1340" s="314"/>
      <c r="T1340" s="314"/>
      <c r="U1340" s="314"/>
      <c r="V1340" s="314"/>
      <c r="W1340" s="314"/>
      <c r="X1340" s="314"/>
      <c r="Y1340" s="314"/>
      <c r="Z1340" s="314"/>
      <c r="AA1340" s="314"/>
      <c r="AB1340" s="314"/>
      <c r="AC1340" s="314"/>
      <c r="AD1340" s="314"/>
      <c r="AE1340" s="314"/>
      <c r="AF1340" s="314"/>
      <c r="AG1340" s="314"/>
      <c r="AH1340" s="314"/>
      <c r="AI1340" s="314"/>
      <c r="AJ1340" s="314"/>
      <c r="AK1340" s="314"/>
      <c r="AL1340" s="314"/>
      <c r="AM1340" s="314"/>
      <c r="AN1340" s="314"/>
      <c r="AO1340" s="314"/>
      <c r="AP1340" s="314"/>
      <c r="AQ1340" s="314"/>
      <c r="AR1340" s="314"/>
      <c r="AS1340" s="314"/>
      <c r="AT1340" s="314"/>
      <c r="AU1340" s="314"/>
      <c r="AV1340" s="314"/>
      <c r="AW1340" s="314"/>
      <c r="AX1340" s="314"/>
      <c r="AY1340" s="314"/>
      <c r="AZ1340" s="314"/>
      <c r="BA1340" s="314"/>
      <c r="BB1340" s="314"/>
      <c r="BC1340" s="314"/>
      <c r="BD1340" s="314"/>
      <c r="BE1340" s="314"/>
      <c r="BF1340" s="314"/>
      <c r="BG1340" s="364"/>
      <c r="BH1340" s="314"/>
      <c r="BI1340" s="314"/>
      <c r="BJ1340" s="314"/>
      <c r="BK1340" s="314"/>
      <c r="BL1340" s="314"/>
      <c r="BM1340" s="314"/>
      <c r="BN1340" s="314"/>
      <c r="BO1340" s="314"/>
      <c r="BP1340" s="314"/>
      <c r="BQ1340" s="314"/>
      <c r="BR1340" s="314"/>
      <c r="BS1340" s="314"/>
      <c r="BT1340" s="314"/>
      <c r="BU1340" s="314"/>
      <c r="BV1340" s="314"/>
      <c r="BW1340" s="314"/>
      <c r="BX1340" s="314"/>
      <c r="BY1340" s="314"/>
      <c r="BZ1340" s="314"/>
      <c r="CA1340" s="314"/>
      <c r="CB1340" s="314"/>
      <c r="CC1340" s="314"/>
      <c r="CD1340" s="314"/>
      <c r="CE1340" s="314"/>
      <c r="CF1340" s="314"/>
      <c r="CG1340" s="314"/>
      <c r="CH1340" s="314"/>
      <c r="CI1340" s="314"/>
      <c r="CJ1340" s="314"/>
      <c r="CK1340" s="314"/>
      <c r="CL1340" s="314"/>
      <c r="CM1340" s="314"/>
      <c r="CN1340" s="314"/>
      <c r="CO1340" s="314"/>
      <c r="CP1340" s="314"/>
      <c r="CQ1340" s="314"/>
    </row>
    <row r="1341" spans="1:95" ht="12.75" customHeight="1" thickBot="1" x14ac:dyDescent="0.3">
      <c r="A1341" s="462"/>
      <c r="B1341" s="76"/>
      <c r="C1341" s="76"/>
      <c r="D1341" s="1246" t="str">
        <f>Translations!$B$372</f>
        <v>Consumers' CRF category:</v>
      </c>
      <c r="E1341" s="1246"/>
      <c r="F1341" s="1247"/>
      <c r="G1341" s="1248"/>
      <c r="H1341" s="1249"/>
      <c r="I1341" s="1248"/>
      <c r="J1341" s="1249"/>
      <c r="K1341" s="1248"/>
      <c r="L1341" s="1249"/>
      <c r="M1341" s="463" t="str">
        <f>IF(AND(E1320&lt;&gt;"",COUNTA(G1341:L1341)=0,AX1341=FALSE),EUconst_ERR_Incomplete,"")</f>
        <v/>
      </c>
      <c r="N1341" s="76"/>
      <c r="O1341" s="160"/>
      <c r="P1341" s="109"/>
      <c r="Q1341" s="312"/>
      <c r="R1341" s="312"/>
      <c r="S1341" s="314"/>
      <c r="T1341" s="314"/>
      <c r="U1341" s="314"/>
      <c r="V1341" s="314"/>
      <c r="W1341" s="314"/>
      <c r="X1341" s="314"/>
      <c r="Y1341" s="314"/>
      <c r="Z1341" s="314"/>
      <c r="AA1341" s="314"/>
      <c r="AB1341" s="314"/>
      <c r="AC1341" s="314"/>
      <c r="AD1341" s="314"/>
      <c r="AE1341" s="314"/>
      <c r="AF1341" s="314"/>
      <c r="AG1341" s="314"/>
      <c r="AH1341" s="314"/>
      <c r="AI1341" s="314"/>
      <c r="AJ1341" s="314"/>
      <c r="AK1341" s="314"/>
      <c r="AL1341" s="314"/>
      <c r="AM1341" s="314"/>
      <c r="AN1341" s="314"/>
      <c r="AO1341" s="314"/>
      <c r="AP1341" s="314"/>
      <c r="AQ1341" s="314"/>
      <c r="AR1341" s="314"/>
      <c r="AS1341" s="314"/>
      <c r="AT1341" s="314"/>
      <c r="AU1341" s="314"/>
      <c r="AV1341" s="314"/>
      <c r="AW1341" s="314"/>
      <c r="AX1341" s="464" t="b">
        <f>AND(AV1337&lt;&gt;"",SUM(AV1337=1))</f>
        <v>0</v>
      </c>
      <c r="AY1341" s="314"/>
      <c r="AZ1341" s="314"/>
      <c r="BA1341" s="314"/>
      <c r="BB1341" s="314"/>
      <c r="BC1341" s="314"/>
      <c r="BD1341" s="314"/>
      <c r="BE1341" s="314"/>
      <c r="BF1341" s="361" t="s">
        <v>169</v>
      </c>
      <c r="BG1341" s="362" t="str">
        <f>IF(AN1326=EUconst_TJ,AV1326*AV1334,IF(AN1328=EUconst_GJ,AV1326*AV1328/1000*AV1334,""))</f>
        <v/>
      </c>
      <c r="BH1341" s="314"/>
      <c r="BI1341" s="314"/>
      <c r="BJ1341" s="314"/>
      <c r="BK1341" s="314"/>
      <c r="BL1341" s="314"/>
      <c r="BM1341" s="314"/>
      <c r="BN1341" s="314"/>
      <c r="BO1341" s="314"/>
      <c r="BP1341" s="314"/>
      <c r="BQ1341" s="314"/>
      <c r="BR1341" s="314"/>
      <c r="BS1341" s="314"/>
      <c r="BT1341" s="314"/>
      <c r="BU1341" s="314"/>
      <c r="BV1341" s="314"/>
      <c r="BW1341" s="314"/>
      <c r="BX1341" s="314"/>
      <c r="BY1341" s="314"/>
      <c r="BZ1341" s="314"/>
      <c r="CA1341" s="314"/>
      <c r="CB1341" s="314"/>
      <c r="CC1341" s="314"/>
      <c r="CD1341" s="314"/>
      <c r="CE1341" s="314"/>
      <c r="CF1341" s="314"/>
      <c r="CG1341" s="314"/>
      <c r="CH1341" s="314"/>
      <c r="CI1341" s="314"/>
      <c r="CJ1341" s="314"/>
      <c r="CK1341" s="314"/>
      <c r="CL1341" s="314"/>
      <c r="CM1341" s="314"/>
      <c r="CN1341" s="314"/>
      <c r="CO1341" s="314"/>
      <c r="CP1341" s="314"/>
      <c r="CQ1341" s="314"/>
    </row>
    <row r="1342" spans="1:95" ht="5.15" customHeight="1" x14ac:dyDescent="0.25">
      <c r="A1342" s="307"/>
      <c r="B1342" s="68"/>
      <c r="C1342" s="68"/>
      <c r="D1342" s="68"/>
      <c r="E1342" s="68"/>
      <c r="F1342" s="68"/>
      <c r="G1342" s="76"/>
      <c r="H1342" s="76"/>
      <c r="I1342" s="76"/>
      <c r="J1342" s="76"/>
      <c r="K1342" s="76"/>
      <c r="L1342" s="76"/>
      <c r="M1342" s="76"/>
      <c r="N1342" s="76"/>
      <c r="O1342" s="160"/>
      <c r="P1342" s="109"/>
      <c r="Q1342" s="312"/>
      <c r="R1342" s="312"/>
      <c r="S1342" s="314"/>
      <c r="T1342" s="314"/>
      <c r="U1342" s="314"/>
      <c r="V1342" s="314"/>
      <c r="W1342" s="314"/>
      <c r="X1342" s="314"/>
      <c r="Y1342" s="314"/>
      <c r="Z1342" s="314"/>
      <c r="AA1342" s="314"/>
      <c r="AB1342" s="314"/>
      <c r="AC1342" s="314"/>
      <c r="AD1342" s="314"/>
      <c r="AE1342" s="314"/>
      <c r="AF1342" s="314"/>
      <c r="AG1342" s="314"/>
      <c r="AH1342" s="314"/>
      <c r="AI1342" s="314"/>
      <c r="AJ1342" s="314"/>
      <c r="AK1342" s="314"/>
      <c r="AL1342" s="314"/>
      <c r="AM1342" s="314"/>
      <c r="AN1342" s="314"/>
      <c r="AO1342" s="314"/>
      <c r="AP1342" s="314"/>
      <c r="AQ1342" s="314"/>
      <c r="AR1342" s="314"/>
      <c r="AS1342" s="314"/>
      <c r="AT1342" s="314"/>
      <c r="AU1342" s="314"/>
      <c r="AV1342" s="314"/>
      <c r="AW1342" s="314"/>
      <c r="AX1342" s="314"/>
      <c r="AY1342" s="314"/>
      <c r="AZ1342" s="314"/>
      <c r="BA1342" s="314"/>
      <c r="BB1342" s="314"/>
      <c r="BC1342" s="314"/>
      <c r="BD1342" s="314"/>
      <c r="BE1342" s="314"/>
      <c r="BF1342" s="314"/>
      <c r="BG1342" s="314"/>
      <c r="BH1342" s="314"/>
      <c r="BI1342" s="314"/>
      <c r="BJ1342" s="314"/>
      <c r="BK1342" s="314"/>
      <c r="BL1342" s="314"/>
      <c r="BM1342" s="314"/>
      <c r="BN1342" s="314"/>
      <c r="BO1342" s="314"/>
      <c r="BP1342" s="314"/>
      <c r="BQ1342" s="314"/>
      <c r="BR1342" s="314"/>
      <c r="BS1342" s="314"/>
      <c r="BT1342" s="314"/>
      <c r="BU1342" s="314"/>
      <c r="BV1342" s="314"/>
      <c r="BW1342" s="314"/>
      <c r="BX1342" s="314"/>
      <c r="BY1342" s="314"/>
      <c r="BZ1342" s="314"/>
      <c r="CA1342" s="314"/>
      <c r="CB1342" s="314"/>
      <c r="CC1342" s="314"/>
      <c r="CD1342" s="314"/>
      <c r="CE1342" s="314"/>
      <c r="CF1342" s="314"/>
      <c r="CG1342" s="314"/>
      <c r="CH1342" s="314"/>
      <c r="CI1342" s="314"/>
      <c r="CJ1342" s="314"/>
      <c r="CK1342" s="314"/>
      <c r="CL1342" s="314"/>
      <c r="CM1342" s="314"/>
      <c r="CN1342" s="314"/>
      <c r="CO1342" s="314"/>
      <c r="CP1342" s="314"/>
      <c r="CQ1342" s="314"/>
    </row>
    <row r="1343" spans="1:95" ht="12.75" customHeight="1" x14ac:dyDescent="0.25">
      <c r="A1343" s="307"/>
      <c r="B1343" s="68"/>
      <c r="C1343" s="68"/>
      <c r="D1343" s="1246" t="str">
        <f>Translations!$B$399</f>
        <v>Tiers valid from:</v>
      </c>
      <c r="E1343" s="1246"/>
      <c r="F1343" s="1247"/>
      <c r="G1343" s="8"/>
      <c r="H1343" s="199" t="str">
        <f>Translations!$B$400</f>
        <v>until:</v>
      </c>
      <c r="I1343" s="8"/>
      <c r="J1343" s="76"/>
      <c r="K1343" s="76"/>
      <c r="L1343" s="76"/>
      <c r="M1343" s="199" t="str">
        <f>Translations!$B$401</f>
        <v>ID used in the monitoring plan for this fuel stream:</v>
      </c>
      <c r="N1343" s="9"/>
      <c r="O1343" s="160"/>
      <c r="P1343" s="109"/>
      <c r="Q1343" s="312"/>
      <c r="R1343" s="312"/>
      <c r="S1343" s="465"/>
      <c r="T1343" s="314"/>
      <c r="U1343" s="314"/>
      <c r="V1343" s="314"/>
      <c r="W1343" s="314"/>
      <c r="X1343" s="314"/>
      <c r="Y1343" s="314"/>
      <c r="Z1343" s="314"/>
      <c r="AA1343" s="314"/>
      <c r="AB1343" s="314"/>
      <c r="AC1343" s="314"/>
      <c r="AD1343" s="314"/>
      <c r="AE1343" s="314"/>
      <c r="AF1343" s="314"/>
      <c r="AG1343" s="314"/>
      <c r="AH1343" s="314"/>
      <c r="AI1343" s="314"/>
      <c r="AJ1343" s="314"/>
      <c r="AK1343" s="314"/>
      <c r="AL1343" s="314"/>
      <c r="AM1343" s="314"/>
      <c r="AN1343" s="314"/>
      <c r="AO1343" s="314"/>
      <c r="AP1343" s="314"/>
      <c r="AQ1343" s="314"/>
      <c r="AR1343" s="314"/>
      <c r="AS1343" s="314"/>
      <c r="AT1343" s="314"/>
      <c r="AU1343" s="314"/>
      <c r="AV1343" s="314"/>
      <c r="AW1343" s="314"/>
      <c r="AX1343" s="314"/>
      <c r="AY1343" s="314"/>
      <c r="AZ1343" s="314"/>
      <c r="BA1343" s="314"/>
      <c r="BB1343" s="314"/>
      <c r="BC1343" s="314"/>
      <c r="BD1343" s="314"/>
      <c r="BE1343" s="314"/>
      <c r="BF1343" s="314"/>
      <c r="BG1343" s="314"/>
      <c r="BH1343" s="314"/>
      <c r="BI1343" s="314"/>
      <c r="BJ1343" s="314"/>
      <c r="BK1343" s="314"/>
      <c r="BL1343" s="314"/>
      <c r="BM1343" s="314"/>
      <c r="BN1343" s="314"/>
      <c r="BO1343" s="314"/>
      <c r="BP1343" s="314"/>
      <c r="BQ1343" s="314"/>
      <c r="BR1343" s="314"/>
      <c r="BS1343" s="314"/>
      <c r="BT1343" s="314"/>
      <c r="BU1343" s="314"/>
      <c r="BV1343" s="314"/>
      <c r="BW1343" s="314"/>
      <c r="BX1343" s="314"/>
      <c r="BY1343" s="314"/>
      <c r="BZ1343" s="314"/>
      <c r="CA1343" s="314"/>
      <c r="CB1343" s="314"/>
      <c r="CC1343" s="314"/>
      <c r="CD1343" s="314"/>
      <c r="CE1343" s="314"/>
      <c r="CF1343" s="314"/>
      <c r="CG1343" s="314"/>
      <c r="CH1343" s="314"/>
      <c r="CI1343" s="314"/>
      <c r="CJ1343" s="314"/>
      <c r="CK1343" s="314"/>
      <c r="CL1343" s="314"/>
      <c r="CM1343" s="314"/>
      <c r="CN1343" s="314"/>
      <c r="CO1343" s="314"/>
      <c r="CP1343" s="314"/>
      <c r="CQ1343" s="464" t="b">
        <f>CQ1326</f>
        <v>0</v>
      </c>
    </row>
    <row r="1344" spans="1:95" ht="5.15" customHeight="1" x14ac:dyDescent="0.25">
      <c r="A1344" s="462"/>
      <c r="B1344" s="76"/>
      <c r="C1344" s="76"/>
      <c r="D1344" s="76"/>
      <c r="E1344" s="76"/>
      <c r="F1344" s="76"/>
      <c r="G1344" s="76"/>
      <c r="H1344" s="76"/>
      <c r="I1344" s="76"/>
      <c r="J1344" s="76"/>
      <c r="K1344" s="76"/>
      <c r="L1344" s="76"/>
      <c r="M1344" s="76"/>
      <c r="N1344" s="76"/>
      <c r="O1344" s="160"/>
      <c r="P1344" s="109"/>
      <c r="Q1344" s="312"/>
      <c r="R1344" s="312"/>
      <c r="S1344" s="314"/>
      <c r="T1344" s="314"/>
      <c r="U1344" s="314"/>
      <c r="V1344" s="314"/>
      <c r="W1344" s="314"/>
      <c r="X1344" s="314"/>
      <c r="Y1344" s="314"/>
      <c r="Z1344" s="314"/>
      <c r="AA1344" s="314"/>
      <c r="AB1344" s="314"/>
      <c r="AC1344" s="314"/>
      <c r="AD1344" s="314"/>
      <c r="AE1344" s="314"/>
      <c r="AF1344" s="314"/>
      <c r="AG1344" s="314"/>
      <c r="AH1344" s="314"/>
      <c r="AI1344" s="314"/>
      <c r="AJ1344" s="314"/>
      <c r="AK1344" s="314"/>
      <c r="AL1344" s="314"/>
      <c r="AM1344" s="314"/>
      <c r="AN1344" s="314"/>
      <c r="AO1344" s="314"/>
      <c r="AP1344" s="314"/>
      <c r="AQ1344" s="314"/>
      <c r="AR1344" s="314"/>
      <c r="AS1344" s="314"/>
      <c r="AT1344" s="314"/>
      <c r="AU1344" s="314"/>
      <c r="AV1344" s="314"/>
      <c r="AW1344" s="314"/>
      <c r="AX1344" s="314"/>
      <c r="AY1344" s="314"/>
      <c r="AZ1344" s="314"/>
      <c r="BA1344" s="314"/>
      <c r="BB1344" s="314"/>
      <c r="BC1344" s="314"/>
      <c r="BD1344" s="314"/>
      <c r="BE1344" s="314"/>
      <c r="BF1344" s="314"/>
      <c r="BG1344" s="314"/>
      <c r="BH1344" s="314"/>
      <c r="BI1344" s="314"/>
      <c r="BJ1344" s="314"/>
      <c r="BK1344" s="314"/>
      <c r="BL1344" s="314"/>
      <c r="BM1344" s="314"/>
      <c r="BN1344" s="314"/>
      <c r="BO1344" s="314"/>
      <c r="BP1344" s="314"/>
      <c r="BQ1344" s="314"/>
      <c r="BR1344" s="314"/>
      <c r="BS1344" s="314"/>
      <c r="BT1344" s="314"/>
      <c r="BU1344" s="314"/>
      <c r="BV1344" s="314"/>
      <c r="BW1344" s="314"/>
      <c r="BX1344" s="314"/>
      <c r="BY1344" s="314"/>
      <c r="BZ1344" s="314"/>
      <c r="CA1344" s="314"/>
      <c r="CB1344" s="314"/>
      <c r="CC1344" s="314"/>
      <c r="CD1344" s="314"/>
      <c r="CE1344" s="314"/>
      <c r="CF1344" s="314"/>
      <c r="CG1344" s="314"/>
      <c r="CH1344" s="314"/>
      <c r="CI1344" s="314"/>
      <c r="CJ1344" s="314"/>
      <c r="CK1344" s="314"/>
      <c r="CL1344" s="314"/>
      <c r="CM1344" s="314"/>
      <c r="CN1344" s="314"/>
      <c r="CO1344" s="314"/>
      <c r="CP1344" s="314"/>
      <c r="CQ1344" s="314"/>
    </row>
    <row r="1345" spans="1:95" ht="12.75" customHeight="1" x14ac:dyDescent="0.25">
      <c r="A1345" s="462"/>
      <c r="B1345" s="76"/>
      <c r="C1345" s="76"/>
      <c r="D1345" s="115"/>
      <c r="E1345" s="85"/>
      <c r="F1345" s="466" t="str">
        <f>Translations!$B$304</f>
        <v>Comments:</v>
      </c>
      <c r="G1345" s="1250"/>
      <c r="H1345" s="1251"/>
      <c r="I1345" s="1251"/>
      <c r="J1345" s="1251"/>
      <c r="K1345" s="1251"/>
      <c r="L1345" s="1251"/>
      <c r="M1345" s="1251"/>
      <c r="N1345" s="1252"/>
      <c r="O1345" s="160"/>
      <c r="P1345" s="109"/>
      <c r="Q1345" s="312"/>
      <c r="R1345" s="312"/>
      <c r="S1345" s="314"/>
      <c r="T1345" s="314"/>
      <c r="U1345" s="314"/>
      <c r="V1345" s="314"/>
      <c r="W1345" s="314"/>
      <c r="X1345" s="314"/>
      <c r="Y1345" s="314"/>
      <c r="Z1345" s="314"/>
      <c r="AA1345" s="314"/>
      <c r="AB1345" s="314"/>
      <c r="AC1345" s="314"/>
      <c r="AD1345" s="314"/>
      <c r="AE1345" s="314"/>
      <c r="AF1345" s="314"/>
      <c r="AG1345" s="314"/>
      <c r="AH1345" s="314"/>
      <c r="AI1345" s="314"/>
      <c r="AJ1345" s="314"/>
      <c r="AK1345" s="314"/>
      <c r="AL1345" s="314"/>
      <c r="AM1345" s="314"/>
      <c r="AN1345" s="314"/>
      <c r="AO1345" s="314"/>
      <c r="AP1345" s="314"/>
      <c r="AQ1345" s="314"/>
      <c r="AR1345" s="314"/>
      <c r="AS1345" s="314"/>
      <c r="AT1345" s="314"/>
      <c r="AU1345" s="314"/>
      <c r="AV1345" s="314"/>
      <c r="AW1345" s="314"/>
      <c r="AX1345" s="314"/>
      <c r="AY1345" s="314"/>
      <c r="AZ1345" s="314"/>
      <c r="BA1345" s="314"/>
      <c r="BB1345" s="314"/>
      <c r="BC1345" s="314"/>
      <c r="BD1345" s="314"/>
      <c r="BE1345" s="314"/>
      <c r="BF1345" s="314"/>
      <c r="BG1345" s="314"/>
      <c r="BH1345" s="314"/>
      <c r="BI1345" s="314"/>
      <c r="BJ1345" s="314"/>
      <c r="BK1345" s="314"/>
      <c r="BL1345" s="314"/>
      <c r="BM1345" s="314"/>
      <c r="BN1345" s="314"/>
      <c r="BO1345" s="314"/>
      <c r="BP1345" s="314"/>
      <c r="BQ1345" s="314"/>
      <c r="BR1345" s="314"/>
      <c r="BS1345" s="314"/>
      <c r="BT1345" s="314"/>
      <c r="BU1345" s="314"/>
      <c r="BV1345" s="314"/>
      <c r="BW1345" s="314"/>
      <c r="BX1345" s="314"/>
      <c r="BY1345" s="314"/>
      <c r="BZ1345" s="314"/>
      <c r="CA1345" s="314"/>
      <c r="CB1345" s="314"/>
      <c r="CC1345" s="314"/>
      <c r="CD1345" s="314"/>
      <c r="CE1345" s="314"/>
      <c r="CF1345" s="314"/>
      <c r="CG1345" s="314"/>
      <c r="CH1345" s="314"/>
      <c r="CI1345" s="314"/>
      <c r="CJ1345" s="314"/>
      <c r="CK1345" s="314"/>
      <c r="CL1345" s="314"/>
      <c r="CM1345" s="314"/>
      <c r="CN1345" s="314"/>
      <c r="CO1345" s="314"/>
      <c r="CP1345" s="314"/>
      <c r="CQ1345" s="464" t="b">
        <f>CQ1343</f>
        <v>0</v>
      </c>
    </row>
    <row r="1346" spans="1:95" ht="12.75" customHeight="1" thickBot="1" x14ac:dyDescent="0.3">
      <c r="A1346" s="307"/>
      <c r="B1346" s="76"/>
      <c r="C1346" s="308"/>
      <c r="D1346" s="309"/>
      <c r="E1346" s="310"/>
      <c r="F1346" s="308"/>
      <c r="G1346" s="311"/>
      <c r="H1346" s="311"/>
      <c r="I1346" s="311"/>
      <c r="J1346" s="311"/>
      <c r="K1346" s="311"/>
      <c r="L1346" s="311"/>
      <c r="M1346" s="311"/>
      <c r="N1346" s="311"/>
      <c r="O1346" s="160"/>
      <c r="P1346" s="109"/>
      <c r="Q1346" s="312"/>
      <c r="R1346" s="312"/>
      <c r="S1346" s="293"/>
      <c r="T1346" s="293"/>
      <c r="U1346" s="313"/>
      <c r="V1346" s="293"/>
      <c r="W1346" s="293"/>
      <c r="X1346" s="313"/>
      <c r="Y1346" s="293"/>
      <c r="Z1346" s="293"/>
      <c r="AA1346" s="293"/>
      <c r="AB1346" s="293"/>
      <c r="AC1346" s="293"/>
      <c r="AD1346" s="293"/>
      <c r="AE1346" s="293"/>
      <c r="AF1346" s="293"/>
      <c r="AG1346" s="293"/>
      <c r="AH1346" s="293"/>
      <c r="AI1346" s="293"/>
      <c r="AJ1346" s="293"/>
      <c r="AK1346" s="293"/>
      <c r="AL1346" s="293"/>
      <c r="AM1346" s="293"/>
      <c r="AN1346" s="293"/>
      <c r="AO1346" s="293"/>
      <c r="AP1346" s="293"/>
      <c r="AQ1346" s="293"/>
      <c r="AR1346" s="293"/>
      <c r="AS1346" s="293"/>
      <c r="AT1346" s="293"/>
      <c r="AU1346" s="293"/>
      <c r="AV1346" s="293"/>
      <c r="AW1346" s="293"/>
      <c r="AX1346" s="293"/>
      <c r="AY1346" s="293"/>
      <c r="AZ1346" s="293"/>
      <c r="BA1346" s="293"/>
      <c r="BB1346" s="293"/>
      <c r="BC1346" s="293"/>
      <c r="BD1346" s="293"/>
      <c r="BE1346" s="293"/>
      <c r="BF1346" s="293"/>
      <c r="BG1346" s="293"/>
      <c r="BH1346" s="293"/>
      <c r="BI1346" s="293"/>
      <c r="BJ1346" s="293"/>
      <c r="BK1346" s="293"/>
      <c r="BL1346" s="293"/>
      <c r="BM1346" s="314"/>
      <c r="BN1346" s="314"/>
      <c r="BO1346" s="314"/>
      <c r="BP1346" s="314"/>
      <c r="BQ1346" s="314"/>
      <c r="BR1346" s="314"/>
      <c r="BS1346" s="314"/>
      <c r="BT1346" s="314"/>
      <c r="BU1346" s="293"/>
      <c r="BV1346" s="293"/>
      <c r="BW1346" s="293"/>
      <c r="BX1346" s="293"/>
      <c r="BY1346" s="293"/>
      <c r="BZ1346" s="293"/>
      <c r="CA1346" s="293"/>
      <c r="CB1346" s="293"/>
      <c r="CC1346" s="293"/>
      <c r="CD1346" s="293"/>
      <c r="CE1346" s="293"/>
      <c r="CF1346" s="293"/>
      <c r="CG1346" s="293"/>
      <c r="CH1346" s="293"/>
      <c r="CI1346" s="293"/>
      <c r="CJ1346" s="293"/>
      <c r="CK1346" s="293"/>
      <c r="CL1346" s="293"/>
      <c r="CM1346" s="293"/>
      <c r="CN1346" s="293"/>
      <c r="CO1346" s="293"/>
      <c r="CP1346" s="293"/>
      <c r="CQ1346" s="293"/>
    </row>
    <row r="1347" spans="1:95" ht="12.75" customHeight="1" thickBot="1" x14ac:dyDescent="0.3">
      <c r="A1347" s="315"/>
      <c r="B1347" s="76"/>
      <c r="C1347" s="76"/>
      <c r="D1347" s="205"/>
      <c r="E1347" s="316"/>
      <c r="F1347" s="76"/>
      <c r="G1347" s="96"/>
      <c r="H1347" s="96"/>
      <c r="I1347" s="96"/>
      <c r="J1347" s="96"/>
      <c r="K1347" s="76"/>
      <c r="L1347" s="96"/>
      <c r="M1347" s="96"/>
      <c r="N1347" s="96"/>
      <c r="O1347" s="160"/>
      <c r="P1347" s="109"/>
      <c r="Q1347" s="312"/>
      <c r="R1347" s="312"/>
      <c r="S1347" s="287"/>
      <c r="T1347" s="317" t="str">
        <f>IF(ISBLANK(E1348),"",MATCH(E1348,CNTR_SourceStreamNames,0))</f>
        <v/>
      </c>
      <c r="U1347" s="318" t="str">
        <f>IF(ISBLANK(E1348),"",INDEX(B_IdentifyFuelStreams!$D$67:$D$116,MATCH(E1348,CNTR_SourceStreamNames,0)))</f>
        <v/>
      </c>
      <c r="V1347" s="301"/>
      <c r="W1347" s="138"/>
      <c r="X1347" s="138"/>
      <c r="Y1347" s="138"/>
      <c r="Z1347" s="293"/>
      <c r="AA1347" s="293"/>
      <c r="AB1347" s="293"/>
      <c r="AC1347" s="293"/>
      <c r="AD1347" s="293"/>
      <c r="AE1347" s="293"/>
      <c r="AF1347" s="293"/>
      <c r="AG1347" s="293"/>
      <c r="AH1347" s="293"/>
      <c r="AI1347" s="293"/>
      <c r="AJ1347" s="293"/>
      <c r="AK1347" s="312"/>
      <c r="AL1347" s="293"/>
      <c r="AM1347" s="293"/>
      <c r="AN1347" s="293"/>
      <c r="AO1347" s="293"/>
      <c r="AP1347" s="293"/>
      <c r="AQ1347" s="293"/>
      <c r="AR1347" s="293"/>
      <c r="AS1347" s="293"/>
      <c r="AT1347" s="293"/>
      <c r="AU1347" s="293"/>
      <c r="AV1347" s="293"/>
      <c r="AW1347" s="293"/>
      <c r="AX1347" s="293"/>
      <c r="AY1347" s="293"/>
      <c r="AZ1347" s="293"/>
      <c r="BA1347" s="293"/>
      <c r="BB1347" s="293"/>
      <c r="BC1347" s="293"/>
      <c r="BD1347" s="293"/>
      <c r="BE1347" s="293"/>
      <c r="BF1347" s="293"/>
      <c r="BG1347" s="293"/>
      <c r="BH1347" s="293"/>
      <c r="BI1347" s="293"/>
      <c r="BJ1347" s="138"/>
      <c r="BK1347" s="138"/>
      <c r="BL1347" s="138"/>
      <c r="BM1347" s="138"/>
      <c r="BN1347" s="138"/>
      <c r="BO1347" s="138"/>
      <c r="BP1347" s="138"/>
      <c r="BQ1347" s="138"/>
      <c r="BR1347" s="138"/>
      <c r="BS1347" s="138"/>
      <c r="BT1347" s="138"/>
      <c r="BU1347" s="138"/>
      <c r="BV1347" s="138"/>
      <c r="BW1347" s="138"/>
      <c r="BX1347" s="138"/>
      <c r="BY1347" s="138"/>
      <c r="BZ1347" s="138"/>
      <c r="CA1347" s="138"/>
      <c r="CB1347" s="138"/>
      <c r="CC1347" s="138"/>
      <c r="CD1347" s="138"/>
      <c r="CE1347" s="138"/>
      <c r="CF1347" s="138"/>
      <c r="CG1347" s="138"/>
      <c r="CH1347" s="138"/>
      <c r="CI1347" s="138"/>
      <c r="CJ1347" s="138"/>
      <c r="CK1347" s="138"/>
      <c r="CL1347" s="138"/>
      <c r="CM1347" s="138"/>
      <c r="CN1347" s="138"/>
      <c r="CO1347" s="138"/>
      <c r="CP1347" s="138"/>
      <c r="CQ1347" s="319" t="s">
        <v>107</v>
      </c>
    </row>
    <row r="1348" spans="1:95" ht="15" customHeight="1" thickBot="1" x14ac:dyDescent="0.3">
      <c r="A1348" s="320">
        <f>C1348</f>
        <v>47</v>
      </c>
      <c r="B1348" s="68"/>
      <c r="C1348" s="321">
        <f>C1320+1</f>
        <v>47</v>
      </c>
      <c r="D1348" s="68"/>
      <c r="E1348" s="1269"/>
      <c r="F1348" s="1270"/>
      <c r="G1348" s="1270"/>
      <c r="H1348" s="1270"/>
      <c r="I1348" s="1270"/>
      <c r="J1348" s="1271"/>
      <c r="K1348" s="1272" t="str">
        <f>IF(INDEX(B_IdentifyFuelStreams!$K$125:$K$174,MATCH(U1347,B_IdentifyFuelStreams!$D$125:$D$174,0))&gt;0,INDEX(B_IdentifyFuelStreams!$K$125:$K$174,MATCH(U1347,B_IdentifyFuelStreams!$D$125:$D$174,0)),"")</f>
        <v/>
      </c>
      <c r="L1348" s="1273"/>
      <c r="M1348" s="316" t="str">
        <f>Translations!$B$621</f>
        <v>Emissions:</v>
      </c>
      <c r="N1348" s="322" t="str">
        <f>IF(E1349="","",BG1354)</f>
        <v/>
      </c>
      <c r="O1348" s="323" t="str">
        <f>EUconst_tCO2</f>
        <v>tCO2</v>
      </c>
      <c r="P1348" s="324" t="str">
        <f>IF(AND(E1348&lt;&gt;"",COUNTIF(P1349:$P$1649,"PRINT")=0),"PRINT","")</f>
        <v/>
      </c>
      <c r="Q1348" s="325" t="str">
        <f>EUconst_SumCO2</f>
        <v>SUM_CO2</v>
      </c>
      <c r="R1348" s="312"/>
      <c r="S1348" s="287"/>
      <c r="T1348" s="287"/>
      <c r="U1348" s="287"/>
      <c r="V1348" s="301"/>
      <c r="W1348" s="138"/>
      <c r="X1348" s="293"/>
      <c r="Y1348" s="293"/>
      <c r="Z1348" s="293"/>
      <c r="AA1348" s="293"/>
      <c r="AB1348" s="293"/>
      <c r="AC1348" s="293"/>
      <c r="AD1348" s="293"/>
      <c r="AE1348" s="293"/>
      <c r="AF1348" s="293"/>
      <c r="AG1348" s="293"/>
      <c r="AH1348" s="293"/>
      <c r="AI1348" s="326"/>
      <c r="AJ1348" s="326"/>
      <c r="AK1348" s="326"/>
      <c r="AL1348" s="326"/>
      <c r="AM1348" s="326"/>
      <c r="AN1348" s="326"/>
      <c r="AO1348" s="326"/>
      <c r="AP1348" s="326"/>
      <c r="AQ1348" s="326"/>
      <c r="AR1348" s="326"/>
      <c r="AS1348" s="326"/>
      <c r="AT1348" s="326"/>
      <c r="AU1348" s="326"/>
      <c r="AV1348" s="326"/>
      <c r="AW1348" s="326"/>
      <c r="AX1348" s="326"/>
      <c r="AY1348" s="326"/>
      <c r="AZ1348" s="326"/>
      <c r="BA1348" s="326"/>
      <c r="BB1348" s="326"/>
      <c r="BC1348" s="326"/>
      <c r="BD1348" s="326"/>
      <c r="BE1348" s="326"/>
      <c r="BF1348" s="326"/>
      <c r="BG1348" s="326"/>
      <c r="BH1348" s="326"/>
      <c r="BI1348" s="327" t="str">
        <f>IF(E1348="","",E1348)</f>
        <v/>
      </c>
      <c r="BJ1348" s="328" t="str">
        <f>IF(F1354="","",F1354)</f>
        <v/>
      </c>
      <c r="BK1348" s="329">
        <f>AV1354</f>
        <v>0</v>
      </c>
      <c r="BL1348" s="329">
        <f>IF(BK1348="","",BK1348*(1-BP1348))</f>
        <v>0</v>
      </c>
      <c r="BM1348" s="328" t="str">
        <f>AJ1354</f>
        <v/>
      </c>
      <c r="BN1348" s="328" t="str">
        <f>IF(F1365="","",F1365)</f>
        <v/>
      </c>
      <c r="BO1348" s="327" t="str">
        <f>IF(G1365="","",G1365)</f>
        <v/>
      </c>
      <c r="BP1348" s="330">
        <f>AV1365</f>
        <v>0</v>
      </c>
      <c r="BQ1348" s="328" t="str">
        <f>IF(F1357="","",F1357)</f>
        <v/>
      </c>
      <c r="BR1348" s="330">
        <f>AV1357</f>
        <v>0</v>
      </c>
      <c r="BS1348" s="330" t="str">
        <f>AJ1357</f>
        <v/>
      </c>
      <c r="BT1348" s="328" t="str">
        <f>IF(F1356="","",F1356)</f>
        <v/>
      </c>
      <c r="BU1348" s="330">
        <f>IF(F1356=EUconst_NA,"",AV1356)</f>
        <v>0</v>
      </c>
      <c r="BV1348" s="330" t="str">
        <f>AJ1356</f>
        <v/>
      </c>
      <c r="BW1348" s="328" t="str">
        <f>IF(F1358="","",F1358)</f>
        <v/>
      </c>
      <c r="BX1348" s="330">
        <f>AV1358</f>
        <v>0</v>
      </c>
      <c r="BY1348" s="328" t="str">
        <f>IF(F1359="","",F1359)</f>
        <v/>
      </c>
      <c r="BZ1348" s="330">
        <f>AV1359</f>
        <v>0</v>
      </c>
      <c r="CA1348" s="330">
        <f>AV1360</f>
        <v>0</v>
      </c>
      <c r="CB1348" s="330">
        <f>AV1361</f>
        <v>0</v>
      </c>
      <c r="CC1348" s="330">
        <f>AV1362</f>
        <v>0</v>
      </c>
      <c r="CD1348" s="330">
        <f>AV1363</f>
        <v>0</v>
      </c>
      <c r="CE1348" s="329" t="str">
        <f>BG1354</f>
        <v/>
      </c>
      <c r="CF1348" s="329" t="str">
        <f>BG1356</f>
        <v/>
      </c>
      <c r="CG1348" s="329" t="str">
        <f>BG1357</f>
        <v/>
      </c>
      <c r="CH1348" s="329" t="str">
        <f>BG1358</f>
        <v/>
      </c>
      <c r="CI1348" s="329" t="str">
        <f>BG1359</f>
        <v/>
      </c>
      <c r="CJ1348" s="329" t="str">
        <f>BG1360</f>
        <v/>
      </c>
      <c r="CK1348" s="329" t="str">
        <f>BG1361</f>
        <v/>
      </c>
      <c r="CL1348" s="329">
        <f>BG1362</f>
        <v>0</v>
      </c>
      <c r="CM1348" s="329" t="str">
        <f>BG1363</f>
        <v/>
      </c>
      <c r="CN1348" s="329" t="str">
        <f>BG1365</f>
        <v/>
      </c>
      <c r="CO1348" s="329" t="str">
        <f>BG1369</f>
        <v/>
      </c>
      <c r="CP1348" s="329" t="str">
        <f>IF(COUNTIF(AO1357:AO1358,TRUE)=0,"",BH1354)</f>
        <v/>
      </c>
      <c r="CQ1348" s="331" t="b">
        <v>0</v>
      </c>
    </row>
    <row r="1349" spans="1:95" ht="15" customHeight="1" thickBot="1" x14ac:dyDescent="0.3">
      <c r="A1349" s="307"/>
      <c r="B1349" s="68"/>
      <c r="C1349" s="68"/>
      <c r="D1349" s="68"/>
      <c r="E1349" s="1274" t="str">
        <f>IF(ISBLANK(E1348),"",IF(INDEX(B_IdentifyFuelStreams!$E$67:$E$116,MATCH(U1347,B_IdentifyFuelStreams!$D$67:$D$116,0))&gt;0,INDEX(B_IdentifyFuelStreams!$E$67:$E$116,MATCH(U1347,B_IdentifyFuelStreams!$D$67:$D$116,0)),""))</f>
        <v/>
      </c>
      <c r="F1349" s="1275"/>
      <c r="G1349" s="1275"/>
      <c r="H1349" s="1275"/>
      <c r="I1349" s="1275"/>
      <c r="J1349" s="1276"/>
      <c r="K1349" s="1272" t="str">
        <f>IF(INDEX(B_IdentifyFuelStreams!$M$125:$M$174,MATCH(U1347,B_IdentifyFuelStreams!$D$125:$D$174,0))&gt;0,INDEX(B_IdentifyFuelStreams!$M$125:$M$174,MATCH(U1347,B_IdentifyFuelStreams!$D$125:$D$174,0)),"")</f>
        <v/>
      </c>
      <c r="L1349" s="1273"/>
      <c r="M1349" s="332" t="str">
        <f>Translations!$B$622</f>
        <v>zero-rated:</v>
      </c>
      <c r="N1349" s="333" t="str">
        <f>IF(E1349="","",SUM(BG1356,BG1358,BG1360))</f>
        <v/>
      </c>
      <c r="O1349" s="334" t="str">
        <f>EUconst_tCO2</f>
        <v>tCO2</v>
      </c>
      <c r="P1349" s="109"/>
      <c r="Q1349" s="325" t="str">
        <f>EUconst_SumBioCO2</f>
        <v>SUM_bioCO2</v>
      </c>
      <c r="R1349" s="312"/>
      <c r="S1349" s="287"/>
      <c r="T1349" s="287"/>
      <c r="U1349" s="287"/>
      <c r="V1349" s="301"/>
      <c r="W1349" s="138"/>
      <c r="X1349" s="293"/>
      <c r="Y1349" s="317" t="str">
        <f>Translations!$B$143</f>
        <v>Tiers</v>
      </c>
      <c r="Z1349" s="314"/>
      <c r="AA1349" s="314"/>
      <c r="AB1349" s="314"/>
      <c r="AC1349" s="314"/>
      <c r="AD1349" s="314"/>
      <c r="AE1349" s="317" t="s">
        <v>108</v>
      </c>
      <c r="AF1349" s="293"/>
      <c r="AG1349" s="335"/>
      <c r="AH1349" s="314"/>
      <c r="AI1349" s="314"/>
      <c r="AJ1349" s="335"/>
      <c r="AK1349" s="335"/>
      <c r="AL1349" s="326"/>
      <c r="AM1349" s="326"/>
      <c r="AN1349" s="326"/>
      <c r="AO1349" s="326"/>
      <c r="AP1349" s="326"/>
      <c r="AQ1349" s="317" t="s">
        <v>109</v>
      </c>
      <c r="AR1349" s="336"/>
      <c r="AS1349" s="336"/>
      <c r="AT1349" s="314"/>
      <c r="AU1349" s="314"/>
      <c r="AV1349" s="314"/>
      <c r="AW1349" s="314"/>
      <c r="AX1349" s="314"/>
      <c r="AY1349" s="314"/>
      <c r="AZ1349" s="317" t="s">
        <v>110</v>
      </c>
      <c r="BA1349" s="314"/>
      <c r="BB1349" s="314"/>
      <c r="BC1349" s="314"/>
      <c r="BD1349" s="314"/>
      <c r="BE1349" s="314"/>
      <c r="BF1349" s="317" t="s">
        <v>111</v>
      </c>
      <c r="BG1349" s="314"/>
      <c r="BH1349" s="314"/>
      <c r="BI1349" s="317" t="s">
        <v>112</v>
      </c>
      <c r="BJ1349" s="328" t="str">
        <f>Translations!$B$376</f>
        <v>RFA Tier</v>
      </c>
      <c r="BK1349" s="328" t="str">
        <f>Translations!$B$377</f>
        <v>RFA</v>
      </c>
      <c r="BL1349" s="328" t="str">
        <f>Translations!$B$378</f>
        <v>RFA (in scope)</v>
      </c>
      <c r="BM1349" s="328" t="str">
        <f>Translations!$B$379</f>
        <v>RFA Unit</v>
      </c>
      <c r="BN1349" s="328" t="str">
        <f>Translations!$B$380</f>
        <v>SF Tier</v>
      </c>
      <c r="BO1349" s="328" t="str">
        <f>Translations!$B$380</f>
        <v>SF Tier</v>
      </c>
      <c r="BP1349" s="328" t="str">
        <f>Translations!$B$381</f>
        <v>SF</v>
      </c>
      <c r="BQ1349" s="328" t="str">
        <f>Translations!$B$382</f>
        <v>EF Tier</v>
      </c>
      <c r="BR1349" s="328" t="str">
        <f>Translations!$B$383</f>
        <v>EF</v>
      </c>
      <c r="BS1349" s="328" t="str">
        <f>Translations!$B$384</f>
        <v>EF Unit</v>
      </c>
      <c r="BT1349" s="328" t="str">
        <f>Translations!$B$385</f>
        <v>UCF Tier</v>
      </c>
      <c r="BU1349" s="328" t="str">
        <f>Translations!$B$386</f>
        <v>UCF</v>
      </c>
      <c r="BV1349" s="328" t="str">
        <f>Translations!$B$387</f>
        <v>UCF Unit</v>
      </c>
      <c r="BW1349" s="328" t="str">
        <f>Translations!$B$388</f>
        <v>Bio Tier</v>
      </c>
      <c r="BX1349" s="328" t="s">
        <v>113</v>
      </c>
      <c r="BY1349" s="328" t="str">
        <f>Translations!$B$389</f>
        <v>NonSustBio Tier</v>
      </c>
      <c r="BZ1349" s="328" t="s">
        <v>114</v>
      </c>
      <c r="CA1349" s="328" t="s">
        <v>115</v>
      </c>
      <c r="CB1349" s="328" t="s">
        <v>116</v>
      </c>
      <c r="CC1349" s="328" t="s">
        <v>117</v>
      </c>
      <c r="CD1349" s="328" t="s">
        <v>118</v>
      </c>
      <c r="CE1349" s="328" t="s">
        <v>119</v>
      </c>
      <c r="CF1349" s="328" t="s">
        <v>120</v>
      </c>
      <c r="CG1349" s="328" t="str">
        <f>Translations!$B$392</f>
        <v>CO2 non-sust</v>
      </c>
      <c r="CH1349" s="328" t="s">
        <v>121</v>
      </c>
      <c r="CI1349" s="328" t="s">
        <v>122</v>
      </c>
      <c r="CJ1349" s="328" t="s">
        <v>123</v>
      </c>
      <c r="CK1349" s="328" t="s">
        <v>124</v>
      </c>
      <c r="CL1349" s="328" t="s">
        <v>125</v>
      </c>
      <c r="CM1349" s="328" t="str">
        <f>Translations!$B$551</f>
        <v>Energy content (bio), TJ</v>
      </c>
      <c r="CN1349" s="328" t="s">
        <v>126</v>
      </c>
      <c r="CO1349" s="328" t="s">
        <v>127</v>
      </c>
      <c r="CP1349" s="328" t="s">
        <v>128</v>
      </c>
      <c r="CQ1349" s="314"/>
    </row>
    <row r="1350" spans="1:95" ht="5.15" customHeight="1" thickBot="1" x14ac:dyDescent="0.3">
      <c r="A1350" s="307"/>
      <c r="B1350" s="68"/>
      <c r="C1350" s="68"/>
      <c r="D1350" s="68"/>
      <c r="E1350" s="68"/>
      <c r="F1350" s="68"/>
      <c r="G1350" s="68"/>
      <c r="H1350" s="76"/>
      <c r="I1350" s="76"/>
      <c r="J1350" s="76"/>
      <c r="K1350" s="76"/>
      <c r="L1350" s="76"/>
      <c r="M1350" s="76"/>
      <c r="N1350" s="76"/>
      <c r="O1350" s="160"/>
      <c r="P1350" s="109"/>
      <c r="Q1350" s="312"/>
      <c r="R1350" s="312"/>
      <c r="S1350" s="287"/>
      <c r="T1350" s="287"/>
      <c r="U1350" s="287"/>
      <c r="V1350" s="301"/>
      <c r="W1350" s="314"/>
      <c r="X1350" s="314"/>
      <c r="Y1350" s="312"/>
      <c r="Z1350" s="314"/>
      <c r="AA1350" s="314"/>
      <c r="AB1350" s="314"/>
      <c r="AC1350" s="314"/>
      <c r="AD1350" s="314"/>
      <c r="AE1350" s="314"/>
      <c r="AF1350" s="293"/>
      <c r="AG1350" s="314"/>
      <c r="AH1350" s="314"/>
      <c r="AI1350" s="314"/>
      <c r="AJ1350" s="335"/>
      <c r="AK1350" s="335"/>
      <c r="AL1350" s="326"/>
      <c r="AM1350" s="326"/>
      <c r="AN1350" s="326"/>
      <c r="AO1350" s="326"/>
      <c r="AP1350" s="326"/>
      <c r="AQ1350" s="314"/>
      <c r="AR1350" s="314"/>
      <c r="AS1350" s="314"/>
      <c r="AT1350" s="314"/>
      <c r="AU1350" s="314"/>
      <c r="AV1350" s="314"/>
      <c r="AW1350" s="314"/>
      <c r="AX1350" s="314"/>
      <c r="AY1350" s="314"/>
      <c r="AZ1350" s="314"/>
      <c r="BA1350" s="314"/>
      <c r="BB1350" s="314"/>
      <c r="BC1350" s="314"/>
      <c r="BD1350" s="314"/>
      <c r="BE1350" s="314"/>
      <c r="BF1350" s="314"/>
      <c r="BG1350" s="314"/>
      <c r="BH1350" s="314"/>
      <c r="BI1350" s="314"/>
      <c r="BJ1350" s="314"/>
      <c r="BK1350" s="314"/>
      <c r="BL1350" s="314"/>
      <c r="BM1350" s="314"/>
      <c r="BN1350" s="314"/>
      <c r="BO1350" s="314"/>
      <c r="BP1350" s="314"/>
      <c r="BQ1350" s="314"/>
      <c r="BR1350" s="314"/>
      <c r="BS1350" s="314"/>
      <c r="BT1350" s="314"/>
      <c r="BU1350" s="314"/>
      <c r="BV1350" s="314"/>
      <c r="BW1350" s="314"/>
      <c r="BX1350" s="314"/>
      <c r="BY1350" s="314"/>
      <c r="BZ1350" s="314"/>
      <c r="CA1350" s="314"/>
      <c r="CB1350" s="314"/>
      <c r="CC1350" s="314"/>
      <c r="CD1350" s="314"/>
      <c r="CE1350" s="314"/>
      <c r="CF1350" s="314"/>
      <c r="CG1350" s="314"/>
      <c r="CH1350" s="314"/>
      <c r="CI1350" s="314"/>
      <c r="CJ1350" s="314"/>
      <c r="CK1350" s="314"/>
      <c r="CL1350" s="314"/>
      <c r="CM1350" s="314"/>
      <c r="CN1350" s="314"/>
      <c r="CO1350" s="314"/>
      <c r="CP1350" s="314"/>
      <c r="CQ1350" s="314"/>
    </row>
    <row r="1351" spans="1:95" ht="12.75" customHeight="1" thickBot="1" x14ac:dyDescent="0.3">
      <c r="A1351" s="307"/>
      <c r="B1351" s="68"/>
      <c r="C1351" s="68"/>
      <c r="D1351" s="68"/>
      <c r="E1351" s="1253" t="str">
        <f>IF(E1348="","",HYPERLINK("#JUMP_E_Top",EUconst_FurtherGuidancePoint1))</f>
        <v/>
      </c>
      <c r="F1351" s="1253"/>
      <c r="G1351" s="1253"/>
      <c r="H1351" s="1253"/>
      <c r="I1351" s="1253"/>
      <c r="J1351" s="1253"/>
      <c r="K1351" s="1253"/>
      <c r="L1351" s="1253"/>
      <c r="M1351" s="1253"/>
      <c r="N1351" s="76"/>
      <c r="O1351" s="160"/>
      <c r="P1351" s="109"/>
      <c r="Q1351" s="325" t="str">
        <f>EUconst_SumNonSustBioCO2</f>
        <v>SUM_bioNonSustCO2</v>
      </c>
      <c r="R1351" s="337" t="str">
        <f>IF(E1349="","",BG1357)</f>
        <v/>
      </c>
      <c r="S1351" s="287"/>
      <c r="T1351" s="287"/>
      <c r="U1351" s="287"/>
      <c r="V1351" s="314"/>
      <c r="W1351" s="314"/>
      <c r="X1351" s="314"/>
      <c r="Y1351" s="293"/>
      <c r="Z1351" s="314"/>
      <c r="AA1351" s="314"/>
      <c r="AB1351" s="314"/>
      <c r="AC1351" s="314"/>
      <c r="AD1351" s="314"/>
      <c r="AE1351" s="314"/>
      <c r="AF1351" s="293"/>
      <c r="AG1351" s="314"/>
      <c r="AH1351" s="314"/>
      <c r="AI1351" s="314"/>
      <c r="AJ1351" s="335"/>
      <c r="AK1351" s="335"/>
      <c r="AL1351" s="326"/>
      <c r="AM1351" s="326"/>
      <c r="AN1351" s="326"/>
      <c r="AO1351" s="326"/>
      <c r="AP1351" s="326"/>
      <c r="AQ1351" s="314"/>
      <c r="AR1351" s="314"/>
      <c r="AS1351" s="314"/>
      <c r="AT1351" s="314"/>
      <c r="AU1351" s="314"/>
      <c r="AV1351" s="314"/>
      <c r="AW1351" s="314"/>
      <c r="AX1351" s="314"/>
      <c r="AY1351" s="314"/>
      <c r="AZ1351" s="314"/>
      <c r="BA1351" s="314"/>
      <c r="BB1351" s="314"/>
      <c r="BC1351" s="314"/>
      <c r="BD1351" s="314"/>
      <c r="BE1351" s="314"/>
      <c r="BF1351" s="314"/>
      <c r="BG1351" s="314"/>
      <c r="BH1351" s="314"/>
      <c r="BI1351" s="317" t="s">
        <v>129</v>
      </c>
      <c r="BJ1351" s="336"/>
      <c r="BK1351" s="327" t="str">
        <f>IF(G1369="","",G1369)</f>
        <v/>
      </c>
      <c r="BL1351" s="327" t="str">
        <f>IF(I1369="","",I1369)</f>
        <v/>
      </c>
      <c r="BM1351" s="327" t="str">
        <f>IF(K1369="","",K1369)</f>
        <v/>
      </c>
      <c r="BN1351" s="314"/>
      <c r="BO1351" s="314"/>
      <c r="BP1351" s="314"/>
      <c r="BQ1351" s="314"/>
      <c r="BR1351" s="314"/>
      <c r="BS1351" s="314"/>
      <c r="BT1351" s="319"/>
      <c r="BU1351" s="314"/>
      <c r="BV1351" s="314"/>
      <c r="BW1351" s="314"/>
      <c r="BX1351" s="314"/>
      <c r="BY1351" s="314"/>
      <c r="BZ1351" s="314"/>
      <c r="CA1351" s="314"/>
      <c r="CB1351" s="314"/>
      <c r="CC1351" s="314"/>
      <c r="CD1351" s="314"/>
      <c r="CE1351" s="314"/>
      <c r="CF1351" s="314"/>
      <c r="CG1351" s="314"/>
      <c r="CH1351" s="314"/>
      <c r="CI1351" s="314"/>
      <c r="CJ1351" s="314"/>
      <c r="CK1351" s="314"/>
      <c r="CL1351" s="314"/>
      <c r="CM1351" s="314"/>
      <c r="CN1351" s="314"/>
      <c r="CO1351" s="314"/>
      <c r="CP1351" s="314"/>
      <c r="CQ1351" s="314"/>
    </row>
    <row r="1352" spans="1:95" ht="5.15" customHeight="1" thickBot="1" x14ac:dyDescent="0.3">
      <c r="A1352" s="307"/>
      <c r="B1352" s="68"/>
      <c r="C1352" s="68"/>
      <c r="D1352" s="68"/>
      <c r="E1352" s="68"/>
      <c r="F1352" s="68"/>
      <c r="G1352" s="68"/>
      <c r="H1352" s="76"/>
      <c r="I1352" s="76"/>
      <c r="J1352" s="76"/>
      <c r="K1352" s="76"/>
      <c r="L1352" s="76"/>
      <c r="M1352" s="76"/>
      <c r="N1352" s="76"/>
      <c r="O1352" s="160"/>
      <c r="P1352" s="111"/>
      <c r="Q1352" s="287"/>
      <c r="R1352" s="111"/>
      <c r="S1352" s="287"/>
      <c r="T1352" s="287"/>
      <c r="U1352" s="287"/>
      <c r="V1352" s="314"/>
      <c r="W1352" s="314"/>
      <c r="X1352" s="314"/>
      <c r="Y1352" s="312"/>
      <c r="Z1352" s="314"/>
      <c r="AA1352" s="314"/>
      <c r="AB1352" s="314"/>
      <c r="AC1352" s="314"/>
      <c r="AD1352" s="314"/>
      <c r="AE1352" s="314"/>
      <c r="AF1352" s="293"/>
      <c r="AG1352" s="314"/>
      <c r="AH1352" s="314"/>
      <c r="AI1352" s="314"/>
      <c r="AJ1352" s="335"/>
      <c r="AK1352" s="335"/>
      <c r="AL1352" s="326"/>
      <c r="AM1352" s="326"/>
      <c r="AN1352" s="326"/>
      <c r="AO1352" s="326"/>
      <c r="AP1352" s="326"/>
      <c r="AQ1352" s="314"/>
      <c r="AR1352" s="314"/>
      <c r="AS1352" s="314"/>
      <c r="AT1352" s="314"/>
      <c r="AU1352" s="314"/>
      <c r="AV1352" s="314"/>
      <c r="AW1352" s="314"/>
      <c r="AX1352" s="314"/>
      <c r="AY1352" s="314"/>
      <c r="AZ1352" s="314"/>
      <c r="BA1352" s="314"/>
      <c r="BB1352" s="314"/>
      <c r="BC1352" s="314"/>
      <c r="BD1352" s="314"/>
      <c r="BE1352" s="314"/>
      <c r="BF1352" s="314"/>
      <c r="BG1352" s="314"/>
      <c r="BH1352" s="314"/>
      <c r="BI1352" s="314"/>
      <c r="BJ1352" s="314"/>
      <c r="BK1352" s="314"/>
      <c r="BL1352" s="314"/>
      <c r="BM1352" s="314"/>
      <c r="BN1352" s="314"/>
      <c r="BO1352" s="314"/>
      <c r="BP1352" s="314"/>
      <c r="BQ1352" s="314"/>
      <c r="BR1352" s="314"/>
      <c r="BS1352" s="314"/>
      <c r="BT1352" s="314"/>
      <c r="BU1352" s="314"/>
      <c r="BV1352" s="314"/>
      <c r="BW1352" s="314"/>
      <c r="BX1352" s="314"/>
      <c r="BY1352" s="314"/>
      <c r="BZ1352" s="314"/>
      <c r="CA1352" s="314"/>
      <c r="CB1352" s="314"/>
      <c r="CC1352" s="314"/>
      <c r="CD1352" s="314"/>
      <c r="CE1352" s="314"/>
      <c r="CF1352" s="314"/>
      <c r="CG1352" s="314"/>
      <c r="CH1352" s="314"/>
      <c r="CI1352" s="314"/>
      <c r="CJ1352" s="314"/>
      <c r="CK1352" s="314"/>
      <c r="CL1352" s="314"/>
      <c r="CM1352" s="314"/>
      <c r="CN1352" s="314"/>
      <c r="CO1352" s="314"/>
      <c r="CP1352" s="314"/>
      <c r="CQ1352" s="314"/>
    </row>
    <row r="1353" spans="1:95" ht="12.75" customHeight="1" thickBot="1" x14ac:dyDescent="0.3">
      <c r="A1353" s="307"/>
      <c r="B1353" s="68"/>
      <c r="C1353" s="68"/>
      <c r="D1353" s="68"/>
      <c r="E1353" s="68"/>
      <c r="F1353" s="338" t="str">
        <f>Translations!$B$127</f>
        <v>Tier</v>
      </c>
      <c r="G1353" s="1254" t="str">
        <f>Translations!$B$393</f>
        <v>tier description</v>
      </c>
      <c r="H1353" s="1254"/>
      <c r="I1353" s="1255" t="str">
        <f>Translations!$B$394</f>
        <v>Unit</v>
      </c>
      <c r="J1353" s="1255"/>
      <c r="K1353" s="1255" t="str">
        <f>Translations!$B$395</f>
        <v>Value</v>
      </c>
      <c r="L1353" s="1255"/>
      <c r="M1353" s="205" t="str">
        <f>Translations!$B$396</f>
        <v>error</v>
      </c>
      <c r="N1353" s="76"/>
      <c r="O1353" s="160"/>
      <c r="P1353" s="339"/>
      <c r="Q1353" s="325" t="str">
        <f>EUconst_SumEnergyIN</f>
        <v>SUM_EnergyIN</v>
      </c>
      <c r="R1353" s="340" t="str">
        <f>IF(E1349="","",BG1362)</f>
        <v/>
      </c>
      <c r="S1353" s="314"/>
      <c r="T1353" s="314"/>
      <c r="U1353" s="314"/>
      <c r="V1353" s="341" t="s">
        <v>130</v>
      </c>
      <c r="W1353" s="314"/>
      <c r="X1353" s="314"/>
      <c r="Y1353" s="312" t="s">
        <v>131</v>
      </c>
      <c r="Z1353" s="312" t="s">
        <v>132</v>
      </c>
      <c r="AA1353" s="314"/>
      <c r="AB1353" s="314"/>
      <c r="AC1353" s="336" t="s">
        <v>133</v>
      </c>
      <c r="AD1353" s="314"/>
      <c r="AE1353" s="314"/>
      <c r="AF1353" s="314" t="s">
        <v>134</v>
      </c>
      <c r="AG1353" s="314" t="s">
        <v>135</v>
      </c>
      <c r="AH1353" s="312" t="s">
        <v>136</v>
      </c>
      <c r="AI1353" s="335" t="s">
        <v>137</v>
      </c>
      <c r="AJ1353" s="335" t="s">
        <v>138</v>
      </c>
      <c r="AK1353" s="342" t="s">
        <v>139</v>
      </c>
      <c r="AL1353" s="326"/>
      <c r="AM1353" s="326"/>
      <c r="AN1353" s="326"/>
      <c r="AO1353" s="326"/>
      <c r="AP1353" s="326"/>
      <c r="AQ1353" s="314"/>
      <c r="AR1353" s="314" t="s">
        <v>134</v>
      </c>
      <c r="AS1353" s="314" t="s">
        <v>135</v>
      </c>
      <c r="AT1353" s="343" t="s">
        <v>140</v>
      </c>
      <c r="AU1353" s="335" t="s">
        <v>141</v>
      </c>
      <c r="AV1353" s="335" t="s">
        <v>142</v>
      </c>
      <c r="AW1353" s="342" t="s">
        <v>139</v>
      </c>
      <c r="AX1353" s="342" t="s">
        <v>139</v>
      </c>
      <c r="AY1353" s="314"/>
      <c r="AZ1353" s="314"/>
      <c r="BA1353" s="314"/>
      <c r="BB1353" s="314" t="s">
        <v>143</v>
      </c>
      <c r="BC1353" s="314"/>
      <c r="BD1353" s="314"/>
      <c r="BE1353" s="314"/>
      <c r="BF1353" s="314"/>
      <c r="BG1353" s="319" t="s">
        <v>144</v>
      </c>
      <c r="BH1353" s="314" t="s">
        <v>145</v>
      </c>
      <c r="BI1353" s="314"/>
      <c r="BJ1353" s="314"/>
      <c r="BK1353" s="314"/>
      <c r="BL1353" s="314"/>
      <c r="BM1353" s="314"/>
      <c r="BN1353" s="314"/>
      <c r="BO1353" s="314"/>
      <c r="BP1353" s="314"/>
      <c r="BQ1353" s="314"/>
      <c r="BR1353" s="314"/>
      <c r="BS1353" s="314"/>
      <c r="BT1353" s="314"/>
      <c r="BU1353" s="314"/>
      <c r="BV1353" s="314"/>
      <c r="BW1353" s="314"/>
      <c r="BX1353" s="314"/>
      <c r="BY1353" s="314"/>
      <c r="BZ1353" s="314"/>
      <c r="CA1353" s="314"/>
      <c r="CB1353" s="314"/>
      <c r="CC1353" s="314"/>
      <c r="CD1353" s="314"/>
      <c r="CE1353" s="314"/>
      <c r="CF1353" s="314"/>
      <c r="CG1353" s="314"/>
      <c r="CH1353" s="314"/>
      <c r="CI1353" s="314"/>
      <c r="CJ1353" s="314"/>
      <c r="CK1353" s="314"/>
      <c r="CL1353" s="314"/>
      <c r="CM1353" s="314"/>
      <c r="CN1353" s="314"/>
      <c r="CO1353" s="314"/>
      <c r="CP1353" s="314"/>
      <c r="CQ1353" s="319" t="s">
        <v>107</v>
      </c>
    </row>
    <row r="1354" spans="1:95" ht="12.75" customHeight="1" thickBot="1" x14ac:dyDescent="0.3">
      <c r="A1354" s="307"/>
      <c r="B1354" s="68"/>
      <c r="C1354" s="199" t="s">
        <v>12</v>
      </c>
      <c r="D1354" s="344" t="str">
        <f>Translations!$B$356</f>
        <v>RFA:</v>
      </c>
      <c r="E1354" s="345"/>
      <c r="F1354" s="6"/>
      <c r="G1354" s="1256" t="str">
        <f>IF(OR(ISBLANK(F1354),F1354=EUconst_NoTier),"",IF(Z1354=0,EUconst_NA,IF(ISERROR(Z1354),"",Z1354)))</f>
        <v/>
      </c>
      <c r="H1354" s="1257"/>
      <c r="I1354" s="346" t="str">
        <f>IF(J1354&lt;&gt;"","",AI1354)</f>
        <v/>
      </c>
      <c r="J1354" s="7"/>
      <c r="K1354" s="1258"/>
      <c r="L1354" s="1259"/>
      <c r="M1354" s="347" t="str">
        <f>IF(AND(E1349&lt;&gt;"",OR(F1354="",COUNT(K1354)=0),Y1354&lt;&gt;EUconst_NA),EUconst_ERR_Incomplete,"")</f>
        <v/>
      </c>
      <c r="N1354" s="76"/>
      <c r="O1354" s="160"/>
      <c r="P1354" s="348"/>
      <c r="Q1354" s="325" t="str">
        <f>EUconst_SumBioEnergyIN</f>
        <v>SUM_BioEnergyIN</v>
      </c>
      <c r="R1354" s="340" t="str">
        <f>IF(E1349="","",BG1363)</f>
        <v/>
      </c>
      <c r="S1354" s="314"/>
      <c r="T1354" s="349" t="str">
        <f>EUconst_CNTR_ActivityData&amp;E1349</f>
        <v>ActivityData_</v>
      </c>
      <c r="U1354" s="312"/>
      <c r="V1354" s="349" t="str">
        <f>IF(E1348="","",INDEX(B_IdentifyFuelStreams!$I$67:$I$116,MATCH(U1347,B_IdentifyFuelStreams!$D$67:$D$116,0)))</f>
        <v/>
      </c>
      <c r="W1354" s="335" t="s">
        <v>146</v>
      </c>
      <c r="X1354" s="312"/>
      <c r="Y1354" s="350" t="str">
        <f>IF(E1349="","",INDEX(EUwideConstants!$P$164:$P$200,MATCH(T1354,EUwideConstants!$S$164:$S$200,0)))</f>
        <v/>
      </c>
      <c r="Z1354" s="351" t="str">
        <f>IF(ISBLANK(F1354),"",IF(F1354=EUconst_NA,"",INDEX(EUwideConstants!$H:$O,MATCH(T1354,EUwideConstants!$S:$S,0),MATCH(F1354,CNTR_TierList,0))))</f>
        <v/>
      </c>
      <c r="AA1354" s="352" t="s">
        <v>136</v>
      </c>
      <c r="AB1354" s="335"/>
      <c r="AC1354" s="331" t="b">
        <f>E1348&lt;&gt;""</f>
        <v>0</v>
      </c>
      <c r="AD1354" s="314"/>
      <c r="AE1354" s="353" t="str">
        <f>EUconst_CNTR_ActivityData&amp;EUconst_Unit</f>
        <v>ActivityData_Unit</v>
      </c>
      <c r="AF1354" s="354" t="str">
        <f>IF(AC1354=TRUE, IF(COUNTIF(MSPara_SourceStreamCategory,V1354)=0,"",INDEX(MSPara_CalcFactorsMatrix,MATCH(V1354,MSPara_SourceStreamCategory,0),MATCH(AE1354&amp;"_"&amp;2,MSPara_CalcFactors,0))),"")</f>
        <v/>
      </c>
      <c r="AG1354" s="355" t="str">
        <f>IF(AC1354=TRUE, IF(COUNTIF(MSPara_SourceStreamCategory,V1354)=0,"",INDEX(MSPara_CalcFactorsMatrix,MATCH(V1354,MSPara_SourceStreamCategory,0),MATCH(AE1354&amp;"_"&amp;1,MSPara_CalcFactors,0))),"")</f>
        <v/>
      </c>
      <c r="AH1354" s="331" t="str">
        <f>IF(OR(AF1354="",AF1354=EUconst_NA),IF(OR(AG1354=EUconst_NA,AG1354=""),"",AG1354),AF1354)</f>
        <v/>
      </c>
      <c r="AI1354" s="350" t="str">
        <f>IF(AC1354=TRUE,IF(AH1354="",EUconst_t,AH1354),"")</f>
        <v/>
      </c>
      <c r="AJ1354" s="356" t="str">
        <f>IF(J1354="",AI1354,J1354)</f>
        <v/>
      </c>
      <c r="AK1354" s="357" t="b">
        <f>AND(E1348&lt;&gt;"",J1354&lt;&gt;"")</f>
        <v>0</v>
      </c>
      <c r="AL1354" s="326"/>
      <c r="AM1354" s="358" t="s">
        <v>147</v>
      </c>
      <c r="AN1354" s="359" t="str">
        <f>AJ1354</f>
        <v/>
      </c>
      <c r="AO1354" s="326"/>
      <c r="AP1354" s="326"/>
      <c r="AQ1354" s="349" t="str">
        <f>EUconst_CNTR_ActivityData&amp;EUconst_Value</f>
        <v>ActivityData_Value</v>
      </c>
      <c r="AR1354" s="336"/>
      <c r="AS1354" s="336"/>
      <c r="AT1354" s="331" t="b">
        <f>AND(AND(AH1354&lt;&gt;"",AJ1354&lt;&gt;""),AJ1354=AH1354)</f>
        <v>0</v>
      </c>
      <c r="AU1354" s="314"/>
      <c r="AV1354" s="331">
        <f>IF(Y1354=EUconst_NA,0,IF(COUNT(K1354:K1354)=0,0,IF(K1354="",#REF!,K1354)))</f>
        <v>0</v>
      </c>
      <c r="AW1354" s="360" t="b">
        <f>AND(AC1354=TRUE,OR(K1354&lt;&gt;"",AU1354=""))</f>
        <v>0</v>
      </c>
      <c r="AX1354" s="360" t="b">
        <f>AND(AC1354=TRUE,NOT(AW1354))</f>
        <v>0</v>
      </c>
      <c r="AY1354" s="314"/>
      <c r="AZ1354" s="314" t="s">
        <v>148</v>
      </c>
      <c r="BA1354" s="314" t="s">
        <v>149</v>
      </c>
      <c r="BB1354" s="360"/>
      <c r="BC1354" s="314" t="s">
        <v>150</v>
      </c>
      <c r="BD1354" s="314"/>
      <c r="BE1354" s="314"/>
      <c r="BF1354" s="361" t="s">
        <v>119</v>
      </c>
      <c r="BG1354" s="362" t="str">
        <f>IF(COUNTIF(AO1357:AO1358,TRUE)=0,"",BH1354*AV1365)</f>
        <v/>
      </c>
      <c r="BH1354" s="362" t="str">
        <f>IF(COUNTIF(AO1357:AO1358,TRUE)=0,"",AV1354*IF(AO1357,1,AV1356*AN1358)*AV1357-BH1356-BH1358-BH1360)</f>
        <v/>
      </c>
      <c r="BI1354" s="314"/>
      <c r="BJ1354" s="314"/>
      <c r="BK1354" s="314"/>
      <c r="BL1354" s="314"/>
      <c r="BM1354" s="314"/>
      <c r="BN1354" s="314"/>
      <c r="BO1354" s="314"/>
      <c r="BP1354" s="314"/>
      <c r="BQ1354" s="314"/>
      <c r="BR1354" s="314"/>
      <c r="BS1354" s="314"/>
      <c r="BT1354" s="314"/>
      <c r="BU1354" s="314"/>
      <c r="BV1354" s="314"/>
      <c r="BW1354" s="314"/>
      <c r="BX1354" s="314"/>
      <c r="BY1354" s="314"/>
      <c r="BZ1354" s="314"/>
      <c r="CA1354" s="314"/>
      <c r="CB1354" s="314"/>
      <c r="CC1354" s="314"/>
      <c r="CD1354" s="314"/>
      <c r="CE1354" s="314"/>
      <c r="CF1354" s="314"/>
      <c r="CG1354" s="314"/>
      <c r="CH1354" s="314"/>
      <c r="CI1354" s="314"/>
      <c r="CJ1354" s="314"/>
      <c r="CK1354" s="314"/>
      <c r="CL1354" s="314"/>
      <c r="CM1354" s="314"/>
      <c r="CN1354" s="314"/>
      <c r="CO1354" s="314"/>
      <c r="CP1354" s="314"/>
      <c r="CQ1354" s="360" t="b">
        <v>0</v>
      </c>
    </row>
    <row r="1355" spans="1:95" ht="5.15" customHeight="1" thickBot="1" x14ac:dyDescent="0.3">
      <c r="A1355" s="307"/>
      <c r="B1355" s="68"/>
      <c r="C1355" s="199"/>
      <c r="D1355" s="202"/>
      <c r="E1355" s="76"/>
      <c r="F1355" s="76"/>
      <c r="G1355" s="76"/>
      <c r="H1355" s="76" t="str">
        <f>Translations!$B$397</f>
        <v xml:space="preserve"> </v>
      </c>
      <c r="I1355" s="162"/>
      <c r="J1355" s="162"/>
      <c r="K1355" s="76"/>
      <c r="L1355" s="76"/>
      <c r="M1355" s="363"/>
      <c r="N1355" s="76"/>
      <c r="O1355" s="160"/>
      <c r="P1355" s="109"/>
      <c r="Q1355" s="312"/>
      <c r="R1355" s="312"/>
      <c r="S1355" s="314"/>
      <c r="T1355" s="62"/>
      <c r="U1355" s="312"/>
      <c r="V1355" s="314"/>
      <c r="W1355" s="314"/>
      <c r="X1355" s="312"/>
      <c r="Y1355" s="319"/>
      <c r="Z1355" s="314"/>
      <c r="AA1355" s="314"/>
      <c r="AB1355" s="314"/>
      <c r="AC1355" s="314"/>
      <c r="AD1355" s="314"/>
      <c r="AE1355" s="314"/>
      <c r="AF1355" s="314"/>
      <c r="AG1355" s="314"/>
      <c r="AH1355" s="314"/>
      <c r="AI1355" s="314"/>
      <c r="AJ1355" s="314"/>
      <c r="AK1355" s="314"/>
      <c r="AL1355" s="326"/>
      <c r="AM1355" s="326"/>
      <c r="AN1355" s="326"/>
      <c r="AO1355" s="326"/>
      <c r="AP1355" s="326"/>
      <c r="AQ1355" s="314"/>
      <c r="AR1355" s="314"/>
      <c r="AS1355" s="314"/>
      <c r="AT1355" s="314"/>
      <c r="AU1355" s="314"/>
      <c r="AV1355" s="314"/>
      <c r="AW1355" s="314"/>
      <c r="AX1355" s="314"/>
      <c r="AY1355" s="314"/>
      <c r="AZ1355" s="314"/>
      <c r="BA1355" s="314"/>
      <c r="BB1355" s="314"/>
      <c r="BC1355" s="314"/>
      <c r="BD1355" s="314"/>
      <c r="BE1355" s="314"/>
      <c r="BF1355" s="314"/>
      <c r="BG1355" s="364"/>
      <c r="BH1355" s="364"/>
      <c r="BI1355" s="314"/>
      <c r="BJ1355" s="314"/>
      <c r="BK1355" s="314"/>
      <c r="BL1355" s="314"/>
      <c r="BM1355" s="314"/>
      <c r="BN1355" s="314"/>
      <c r="BO1355" s="314"/>
      <c r="BP1355" s="314"/>
      <c r="BQ1355" s="314"/>
      <c r="BR1355" s="314"/>
      <c r="BS1355" s="314"/>
      <c r="BT1355" s="314"/>
      <c r="BU1355" s="314"/>
      <c r="BV1355" s="314"/>
      <c r="BW1355" s="314"/>
      <c r="BX1355" s="314"/>
      <c r="BY1355" s="314"/>
      <c r="BZ1355" s="314"/>
      <c r="CA1355" s="314"/>
      <c r="CB1355" s="314"/>
      <c r="CC1355" s="314"/>
      <c r="CD1355" s="314"/>
      <c r="CE1355" s="314"/>
      <c r="CF1355" s="314"/>
      <c r="CG1355" s="314"/>
      <c r="CH1355" s="314"/>
      <c r="CI1355" s="314"/>
      <c r="CJ1355" s="314"/>
      <c r="CK1355" s="314"/>
      <c r="CL1355" s="314"/>
      <c r="CM1355" s="314"/>
      <c r="CN1355" s="314"/>
      <c r="CO1355" s="314"/>
      <c r="CP1355" s="314"/>
      <c r="CQ1355" s="319"/>
    </row>
    <row r="1356" spans="1:95" ht="12.75" customHeight="1" x14ac:dyDescent="0.25">
      <c r="A1356" s="307"/>
      <c r="B1356" s="68"/>
      <c r="C1356" s="199" t="s">
        <v>13</v>
      </c>
      <c r="D1356" s="344" t="str">
        <f>Translations!$B$360</f>
        <v>UCF:</v>
      </c>
      <c r="E1356" s="345"/>
      <c r="F1356" s="10"/>
      <c r="G1356" s="1256" t="str">
        <f>IF(OR(ISBLANK(F1356),F1356=EUconst_NoTier),"",IF(Z1356=0,EUconst_NotApplicable,IF(ISERROR(Z1356),"",Z1356)))</f>
        <v/>
      </c>
      <c r="H1356" s="1257"/>
      <c r="I1356" s="365" t="str">
        <f>IF(J1356&lt;&gt;"","",AI1356)</f>
        <v/>
      </c>
      <c r="J1356" s="11"/>
      <c r="K1356" s="366" t="str">
        <f>IF(L1356="",AU1356,"")</f>
        <v/>
      </c>
      <c r="L1356" s="23"/>
      <c r="M1356" s="347" t="str">
        <f>IF(AND(E1349&lt;&gt;"",OR(F1356="",COUNT(K1356:L1356)=0),Y1356&lt;&gt;EUconst_NA),EUconst_ERR_Incomplete,IF(COUNTIF(BB1356:BD1356,TRUE)&gt;0,EUconst_ERR_Inconsistent,""))</f>
        <v/>
      </c>
      <c r="N1356" s="367"/>
      <c r="O1356" s="160"/>
      <c r="P1356" s="109"/>
      <c r="Q1356" s="312"/>
      <c r="R1356" s="312"/>
      <c r="S1356" s="314"/>
      <c r="T1356" s="368" t="str">
        <f>EUconst_CNTR_UCF&amp;E1349</f>
        <v>UCF_</v>
      </c>
      <c r="U1356" s="312"/>
      <c r="V1356" s="369" t="str">
        <f>V1357</f>
        <v/>
      </c>
      <c r="W1356" s="314"/>
      <c r="X1356" s="312"/>
      <c r="Y1356" s="370" t="str">
        <f>IF(E1349="","",IF(OR(F1356=EUconst_NA,W1356=TRUE),EUconst_NA,INDEX(EUwideConstants!$P$164:$P$200,MATCH(T1356,EUwideConstants!$S$164:$S$200,0))))</f>
        <v/>
      </c>
      <c r="Z1356" s="371" t="str">
        <f>IF(ISBLANK(F1356),"",IF(F1356=EUconst_NA,"",INDEX(EUwideConstants!$H:$O,MATCH(T1356,EUwideConstants!$S:$S,0),MATCH(F1356,CNTR_TierList,0))))</f>
        <v/>
      </c>
      <c r="AA1356" s="372" t="str">
        <f>IF(COUNTIF(EUconst_DefaultValues,Z1356)&gt;0,MATCH(Z1356,EUconst_DefaultValues,0),"")</f>
        <v/>
      </c>
      <c r="AB1356" s="314"/>
      <c r="AC1356" s="373" t="b">
        <f>AND(AC1354,Y1356&lt;&gt;EUconst_NA)</f>
        <v>0</v>
      </c>
      <c r="AD1356" s="314"/>
      <c r="AE1356" s="353" t="str">
        <f>EUconst_CNTR_UCF&amp;EUconst_Unit</f>
        <v>UCF_Unit</v>
      </c>
      <c r="AF1356" s="374" t="str">
        <f>IF(AC1356=TRUE, IF(COUNTIF(MSPara_SourceStreamCategory,V1356)=0,"",INDEX(MSPara_CalcFactorsMatrix,MATCH(V1356,MSPara_SourceStreamCategory,0),MATCH(AE1356&amp;"_"&amp;2,MSPara_CalcFactors,0))),"")</f>
        <v/>
      </c>
      <c r="AG1356" s="375" t="str">
        <f>IF(AC1356=TRUE, IF(COUNTIF(MSPara_SourceStreamCategory,V1356)=0,"",INDEX(MSPara_CalcFactorsMatrix,MATCH(V1356,MSPara_SourceStreamCategory,0),MATCH(AE1356&amp;"_"&amp;1,MSPara_CalcFactors,0))),"")</f>
        <v/>
      </c>
      <c r="AH1356" s="373" t="str">
        <f>IF(AA1356="","",INDEX(AF1356:AG1356,3-AA1356))</f>
        <v/>
      </c>
      <c r="AI1356" s="373" t="str">
        <f>IF(AC1356=TRUE,IF(OR(AH1356="",AH1356=EUconst_NA),EUconst_GJ&amp;"/"&amp;AJ1354,AH1356),"")</f>
        <v/>
      </c>
      <c r="AJ1356" s="373" t="str">
        <f>IF(J1356="",AI1356,J1356)</f>
        <v/>
      </c>
      <c r="AK1356" s="369" t="b">
        <f>AND(E1348&lt;&gt;"",J1356&lt;&gt;"")</f>
        <v>0</v>
      </c>
      <c r="AL1356" s="326"/>
      <c r="AM1356" s="358" t="s">
        <v>151</v>
      </c>
      <c r="AN1356" s="359" t="str">
        <f>IF(AJ1356="",EUconst_NA,IF(AN1354=EUconst_TJ,EUconst_TJ,INDEX(EUwideConstants!$C$135:$G$139,MATCH(AN1354,RFAUnits,0),MATCH(AJ1356,UCFUnits,0))))</f>
        <v>n.a.</v>
      </c>
      <c r="AO1356" s="326"/>
      <c r="AP1356" s="326"/>
      <c r="AQ1356" s="376" t="str">
        <f>EUconst_CNTR_UCF&amp;EUconst_Value</f>
        <v>UCF_Value</v>
      </c>
      <c r="AR1356" s="377" t="str">
        <f>IF(AC1356=TRUE,IF(COUNTIF(MSPara_SourceStreamCategory,V1356)=0,"",INDEX(MSPara_CalcFactorsMatrix,MATCH(V1356,MSPara_SourceStreamCategory,0),MATCH(AQ1356&amp;"_"&amp;2,MSPara_CalcFactors,0))),"")</f>
        <v/>
      </c>
      <c r="AS1356" s="378" t="str">
        <f>IF(AC1356=TRUE,IF(COUNTIF(MSPara_SourceStreamCategory,V1356)=0,"",INDEX(MSPara_CalcFactorsMatrix,MATCH(V1356,MSPara_SourceStreamCategory,0),MATCH(AQ1356&amp;"_"&amp;1,MSPara_CalcFactors,0))),"")</f>
        <v/>
      </c>
      <c r="AT1356" s="379" t="b">
        <f>AND(AND(AH1356&lt;&gt;"",AJ1356&lt;&gt;""),AJ1356=AH1356)</f>
        <v>0</v>
      </c>
      <c r="AU1356" s="380" t="str">
        <f>IF(AND(AA1356&lt;&gt;"",AT1356=TRUE),IF(OR(INDEX(AR1356:AS1356,3-AA1356)=EUconst_NA,INDEX(AR1356:AS1356,3-AA1356)=0),"",INDEX(AR1356:AS1356,3-AA1356)),"")</f>
        <v/>
      </c>
      <c r="AV1356" s="373">
        <f>IF(AC1356=TRUE,IF(COUNT(K1356:L1356)=0,0,IF(L1356="",K1356,L1356)),0)</f>
        <v>0</v>
      </c>
      <c r="AW1356" s="369" t="b">
        <f t="shared" ref="AW1356:AW1363" si="414">AND(AC1356=TRUE,OR(AND(F1356&lt;&gt;"",NOT(ISNUMBER(AA1356))),L1356&lt;&gt;"",F1356="",AU1356=""))</f>
        <v>0</v>
      </c>
      <c r="AX1356" s="381" t="b">
        <f t="shared" ref="AX1356:AX1363" si="415">AND(AC1356=TRUE,NOT(AW1356))</f>
        <v>0</v>
      </c>
      <c r="AY1356" s="314"/>
      <c r="AZ1356" s="382" t="b">
        <f t="shared" ref="AZ1356:AZ1363" si="416">AND(ISNUMBER(AA1356),AU1356="")</f>
        <v>0</v>
      </c>
      <c r="BA1356" s="383" t="b">
        <f t="shared" ref="BA1356:BA1363" si="417">AND(ISNUMBER(AA1356),AU1356&lt;&gt;AV1356)</f>
        <v>0</v>
      </c>
      <c r="BB1356" s="369" t="b">
        <f>AND(E1349&lt;&gt;"",F1356&lt;&gt;EUconst_NA,AN1356=EUconst_NA)</f>
        <v>0</v>
      </c>
      <c r="BC1356" s="369" t="b">
        <f t="shared" ref="BC1356:BC1363" si="418">AND(L1356&lt;&gt;"",Y1356=EUconst_NA)</f>
        <v>0</v>
      </c>
      <c r="BD1356" s="314"/>
      <c r="BE1356" s="314"/>
      <c r="BF1356" s="382" t="s">
        <v>152</v>
      </c>
      <c r="BG1356" s="384" t="str">
        <f>IF(COUNTIF(AO1357:AO1358,TRUE)=0,"",BH1356*AV1365)</f>
        <v/>
      </c>
      <c r="BH1356" s="384" t="str">
        <f>IF(COUNTIF(AO1357:AO1358,TRUE)=0,"",AV1354*IF(AO1357,1,AV1356*AN1358)*AV1357*AV1358)</f>
        <v/>
      </c>
      <c r="BI1356" s="314"/>
      <c r="BJ1356" s="314"/>
      <c r="BK1356" s="314"/>
      <c r="BL1356" s="314"/>
      <c r="BM1356" s="314"/>
      <c r="BN1356" s="314"/>
      <c r="BO1356" s="314"/>
      <c r="BP1356" s="314"/>
      <c r="BQ1356" s="314"/>
      <c r="BR1356" s="314"/>
      <c r="BS1356" s="314"/>
      <c r="BT1356" s="314"/>
      <c r="BU1356" s="314"/>
      <c r="BV1356" s="314"/>
      <c r="BW1356" s="314"/>
      <c r="BX1356" s="314"/>
      <c r="BY1356" s="314"/>
      <c r="BZ1356" s="314"/>
      <c r="CA1356" s="314"/>
      <c r="CB1356" s="314"/>
      <c r="CC1356" s="314"/>
      <c r="CD1356" s="314"/>
      <c r="CE1356" s="314"/>
      <c r="CF1356" s="314"/>
      <c r="CG1356" s="314"/>
      <c r="CH1356" s="314"/>
      <c r="CI1356" s="314"/>
      <c r="CJ1356" s="314"/>
      <c r="CK1356" s="314"/>
      <c r="CL1356" s="314"/>
      <c r="CM1356" s="314"/>
      <c r="CN1356" s="314"/>
      <c r="CO1356" s="314"/>
      <c r="CP1356" s="314"/>
      <c r="CQ1356" s="369" t="b">
        <f>OR(CQ1354,Y1356=EUconst_NA)</f>
        <v>0</v>
      </c>
    </row>
    <row r="1357" spans="1:95" ht="12.75" customHeight="1" thickBot="1" x14ac:dyDescent="0.3">
      <c r="A1357" s="307"/>
      <c r="B1357" s="68"/>
      <c r="C1357" s="199" t="s">
        <v>14</v>
      </c>
      <c r="D1357" s="344" t="str">
        <f>Translations!$B$358</f>
        <v>(prelim) EF:</v>
      </c>
      <c r="E1357" s="345"/>
      <c r="F1357" s="59"/>
      <c r="G1357" s="1256" t="str">
        <f>IF(OR(ISBLANK(F1357),F1357=EUconst_NoTier),"",IF(Z1357=0,EUconst_NotApplicable,IF(ISERROR(Z1357),"",Z1357)))</f>
        <v/>
      </c>
      <c r="H1357" s="1260"/>
      <c r="I1357" s="385" t="str">
        <f>IF(J1357&lt;&gt;"","",AI1357)</f>
        <v/>
      </c>
      <c r="J1357" s="22"/>
      <c r="K1357" s="386" t="str">
        <f>IF(L1357="",AU1357,"")</f>
        <v/>
      </c>
      <c r="L1357" s="58"/>
      <c r="M1357" s="347" t="str">
        <f>IF(AND(E1349&lt;&gt;"",OR(F1357="",COUNT(K1357:L1357)=0),Y1357&lt;&gt;EUconst_NA),EUconst_ERR_Incomplete,IF(COUNTIF(BB1357:BD1357,TRUE)&gt;0,EUconst_ERR_Inconsistent,""))</f>
        <v/>
      </c>
      <c r="N1357" s="387"/>
      <c r="O1357" s="160"/>
      <c r="P1357" s="109"/>
      <c r="Q1357" s="312"/>
      <c r="R1357" s="312"/>
      <c r="S1357" s="314"/>
      <c r="T1357" s="388" t="str">
        <f>EUconst_CNTR_EF&amp;E1349</f>
        <v>EF_</v>
      </c>
      <c r="U1357" s="312"/>
      <c r="V1357" s="389" t="str">
        <f>V1354</f>
        <v/>
      </c>
      <c r="W1357" s="314"/>
      <c r="X1357" s="312"/>
      <c r="Y1357" s="390" t="str">
        <f>IF(E1349="","",IF(OR(F1357=EUconst_NA,W1357=TRUE),EUconst_NA,INDEX(EUwideConstants!$P$164:$P$200,MATCH(T1357,EUwideConstants!$S$164:$S$200,0))))</f>
        <v/>
      </c>
      <c r="Z1357" s="391" t="str">
        <f>IF(ISBLANK(F1357),"",IF(F1357=EUconst_NA,"",INDEX(EUwideConstants!$H:$O,MATCH(T1357,EUwideConstants!$S:$S,0),MATCH(F1357,CNTR_TierList,0))))</f>
        <v/>
      </c>
      <c r="AA1357" s="392" t="str">
        <f>IF(COUNTIF(EUconst_DefaultValues,Z1357)&gt;0,MATCH(Z1357,EUconst_DefaultValues,0),"")</f>
        <v/>
      </c>
      <c r="AB1357" s="314"/>
      <c r="AC1357" s="393" t="b">
        <f>AND(AC1354,Y1357&lt;&gt;EUconst_NA)</f>
        <v>0</v>
      </c>
      <c r="AD1357" s="314"/>
      <c r="AE1357" s="394" t="str">
        <f>EUconst_CNTR_EF&amp;EUconst_Unit</f>
        <v>EF_Unit</v>
      </c>
      <c r="AF1357" s="395" t="str">
        <f>IF(AC1357=TRUE, IF(COUNTIF(MSPara_SourceStreamCategory,V1357)=0,"",INDEX(MSPara_CalcFactorsMatrix,MATCH(V1357,MSPara_SourceStreamCategory,0),MATCH(AE1357&amp;"_"&amp;2,MSPara_CalcFactors,0))),"")</f>
        <v/>
      </c>
      <c r="AG1357" s="396" t="str">
        <f>IF(AC1357=TRUE, IF(COUNTIF(MSPara_SourceStreamCategory,V1357)=0,"",INDEX(MSPara_CalcFactorsMatrix,MATCH(V1357,MSPara_SourceStreamCategory,0),MATCH(AE1357&amp;"_"&amp;1,MSPara_CalcFactors,0))),"")</f>
        <v/>
      </c>
      <c r="AH1357" s="397" t="str">
        <f>IF(AA1357="","",INDEX(AF1357:AG1357,3-AA1357))</f>
        <v/>
      </c>
      <c r="AI1357" s="397" t="str">
        <f>IF(AC1357=TRUE,IF(OR(AH1357="",AH1357=EUconst_NA),EUconst_tCO2&amp;"/"&amp;IF(AN1356=EUconst_NA,AN1354,IF(AN1356=EUconst_GJ,EUconst_TJ,AN1356)),AH1357),"")</f>
        <v/>
      </c>
      <c r="AJ1357" s="397" t="str">
        <f>IF(J1357="",AI1357,J1357)</f>
        <v/>
      </c>
      <c r="AK1357" s="398" t="b">
        <f>AND(E1349&lt;&gt;"",J1357&lt;&gt;"")</f>
        <v>0</v>
      </c>
      <c r="AL1357" s="326"/>
      <c r="AM1357" s="358" t="s">
        <v>153</v>
      </c>
      <c r="AN1357" s="359" t="str">
        <f>IF(COUNTIF(RFAUnits,AN1354)=0,EUconst_NA,INDEX(EUwideConstants!$C$150:$H$154,MATCH(AJ1357,EFUnits,0),MATCH(AN1354,EUwideConstants!$C$149:$H$149,0)))</f>
        <v>n.a.</v>
      </c>
      <c r="AO1357" s="359" t="b">
        <f>AN1357&lt;&gt;EUconst_NA</f>
        <v>0</v>
      </c>
      <c r="AP1357" s="326"/>
      <c r="AQ1357" s="399" t="str">
        <f>EUconst_CNTR_EF&amp;EUconst_Value</f>
        <v>EF_Value</v>
      </c>
      <c r="AR1357" s="400" t="str">
        <f>IF(AC1357=TRUE,IF(COUNTIF(MSPara_SourceStreamCategory,V1357)=0,"",INDEX(MSPara_CalcFactorsMatrix,MATCH(V1357,MSPara_SourceStreamCategory,0),MATCH(AQ1357&amp;"_"&amp;2,MSPara_CalcFactors,0))),"")</f>
        <v/>
      </c>
      <c r="AS1357" s="401" t="str">
        <f>IF(AC1357=TRUE,IF(COUNTIF(MSPara_SourceStreamCategory,V1357)=0,"",INDEX(MSPara_CalcFactorsMatrix,MATCH(V1357,MSPara_SourceStreamCategory,0),MATCH(AQ1357&amp;"_"&amp;1,MSPara_CalcFactors,0))),"")</f>
        <v/>
      </c>
      <c r="AT1357" s="402" t="b">
        <f>AND(AND(AH1357&lt;&gt;"",AJ1357&lt;&gt;""),AJ1357=AH1357)</f>
        <v>0</v>
      </c>
      <c r="AU1357" s="403" t="str">
        <f>IF(AND(AA1357&lt;&gt;"",AT1357=TRUE),IF(OR(INDEX(AR1357:AS1357,3-AA1357)=EUconst_NA,INDEX(AR1357:AS1357,3-AA1357)=0),"",INDEX(AR1357:AS1357,3-AA1357)),"")</f>
        <v/>
      </c>
      <c r="AV1357" s="393">
        <f>IF(AC1357=TRUE,IF(COUNT(K1357:L1357)=0,0,IF(L1357="",K1357,L1357)),0)</f>
        <v>0</v>
      </c>
      <c r="AW1357" s="389" t="b">
        <f t="shared" si="414"/>
        <v>0</v>
      </c>
      <c r="AX1357" s="404" t="b">
        <f t="shared" si="415"/>
        <v>0</v>
      </c>
      <c r="AY1357" s="314"/>
      <c r="AZ1357" s="405" t="b">
        <f t="shared" si="416"/>
        <v>0</v>
      </c>
      <c r="BA1357" s="406" t="b">
        <f t="shared" si="417"/>
        <v>0</v>
      </c>
      <c r="BB1357" s="407" t="b">
        <f>AND(E1349&lt;&gt;"",COUNTIF(AO1357:AO1358,TRUE)=0)</f>
        <v>0</v>
      </c>
      <c r="BC1357" s="389" t="b">
        <f t="shared" si="418"/>
        <v>0</v>
      </c>
      <c r="BD1357" s="314"/>
      <c r="BE1357" s="314"/>
      <c r="BF1357" s="408" t="s">
        <v>154</v>
      </c>
      <c r="BG1357" s="409" t="str">
        <f>IF(COUNTIF(AO1357:AO1358,TRUE)=0,"",BH1357*AV1365)</f>
        <v/>
      </c>
      <c r="BH1357" s="409" t="str">
        <f>IF(COUNTIF(AO1357:AO1358,TRUE)=0,"",AV1354*IF(AO1357,1,AV1356*AN1358)*AV1357*AV1359)</f>
        <v/>
      </c>
      <c r="BI1357" s="314"/>
      <c r="BJ1357" s="314"/>
      <c r="BK1357" s="314"/>
      <c r="BL1357" s="314"/>
      <c r="BM1357" s="314"/>
      <c r="BN1357" s="314"/>
      <c r="BO1357" s="314"/>
      <c r="BP1357" s="314"/>
      <c r="BQ1357" s="314"/>
      <c r="BR1357" s="314"/>
      <c r="BS1357" s="314"/>
      <c r="BT1357" s="314"/>
      <c r="BU1357" s="314"/>
      <c r="BV1357" s="314"/>
      <c r="BW1357" s="314"/>
      <c r="BX1357" s="314"/>
      <c r="BY1357" s="314"/>
      <c r="BZ1357" s="314"/>
      <c r="CA1357" s="314"/>
      <c r="CB1357" s="314"/>
      <c r="CC1357" s="314"/>
      <c r="CD1357" s="314"/>
      <c r="CE1357" s="314"/>
      <c r="CF1357" s="314"/>
      <c r="CG1357" s="314"/>
      <c r="CH1357" s="314"/>
      <c r="CI1357" s="314"/>
      <c r="CJ1357" s="314"/>
      <c r="CK1357" s="314"/>
      <c r="CL1357" s="314"/>
      <c r="CM1357" s="314"/>
      <c r="CN1357" s="314"/>
      <c r="CO1357" s="314"/>
      <c r="CP1357" s="314"/>
      <c r="CQ1357" s="407" t="b">
        <f>OR(CQ1354,Y1357=EUconst_NA)</f>
        <v>0</v>
      </c>
    </row>
    <row r="1358" spans="1:95" ht="12.75" customHeight="1" x14ac:dyDescent="0.25">
      <c r="A1358" s="307"/>
      <c r="B1358" s="68"/>
      <c r="C1358" s="199" t="s">
        <v>15</v>
      </c>
      <c r="D1358" s="344" t="str">
        <f>Translations!$B$362</f>
        <v>BioF:</v>
      </c>
      <c r="E1358" s="345"/>
      <c r="F1358" s="10"/>
      <c r="G1358" s="1256" t="str">
        <f>IF(OR(ISBLANK(F1358),F1358=EUconst_NoTier),"",IF(Z1358=0,EUconst_NotApplicable,IF(ISERROR(Z1358),"",Z1358)))</f>
        <v/>
      </c>
      <c r="H1358" s="1257"/>
      <c r="I1358" s="410" t="str">
        <f t="shared" ref="I1358:I1363" si="419">IF(OR(AC1358=FALSE,Y1358=EUconst_NA),"","-")</f>
        <v/>
      </c>
      <c r="J1358" s="411"/>
      <c r="K1358" s="412" t="str">
        <f>IF(L1358="",AU1358,"")</f>
        <v/>
      </c>
      <c r="L1358" s="60"/>
      <c r="M1358" s="347" t="str">
        <f>IF(AND(E1349&lt;&gt;"",OR(F1358="",COUNT(K1358:L1358)=0),Y1358&lt;&gt;EUconst_NA),EUconst_ERR_Incomplete,IF(COUNTIF(BB1358:BD1358,TRUE)&gt;0,EUconst_ERR_Inconsistent,""))</f>
        <v/>
      </c>
      <c r="O1358" s="160"/>
      <c r="P1358" s="348"/>
      <c r="Q1358" s="413"/>
      <c r="R1358" s="413"/>
      <c r="S1358" s="314"/>
      <c r="T1358" s="388" t="str">
        <f>EUconst_CNTR_BiomassContent&amp;E1349</f>
        <v>BioC_</v>
      </c>
      <c r="U1358" s="312"/>
      <c r="V1358" s="369" t="str">
        <f>V1356</f>
        <v/>
      </c>
      <c r="W1358" s="369" t="str">
        <f>IF(OR(V1358="",COUNTIF(MSPara_SourceStreamCategory,V1358)=0),"",INDEX(MSPara_IsFossil,MATCH(V1358,MSPara_SourceStreamCategory,0)))</f>
        <v/>
      </c>
      <c r="X1358" s="312"/>
      <c r="Y1358" s="370" t="str">
        <f>IF(E1349="","",IF(OR(F1358=EUconst_NA,W1358=TRUE),EUconst_NA,INDEX(EUwideConstants!$P$164:$P$200,MATCH(T1358,EUwideConstants!$S$164:$S$200,0))))</f>
        <v/>
      </c>
      <c r="Z1358" s="371" t="str">
        <f>IF(ISBLANK(F1358),"",IF(F1358=EUconst_NA,"",INDEX(EUwideConstants!$H:$O,MATCH(T1358,EUwideConstants!$S:$S,0),MATCH(F1358,CNTR_TierList,0))))</f>
        <v/>
      </c>
      <c r="AA1358" s="414" t="str">
        <f>IF(F1358=1,1,"")</f>
        <v/>
      </c>
      <c r="AB1358" s="314"/>
      <c r="AC1358" s="373" t="b">
        <f>AND(AC1354,Y1358&lt;&gt;EUconst_NA)</f>
        <v>0</v>
      </c>
      <c r="AD1358" s="314"/>
      <c r="AE1358" s="415"/>
      <c r="AF1358" s="416"/>
      <c r="AG1358" s="417"/>
      <c r="AH1358" s="418"/>
      <c r="AI1358" s="418"/>
      <c r="AJ1358" s="418"/>
      <c r="AK1358" s="419"/>
      <c r="AL1358" s="326"/>
      <c r="AM1358" s="358" t="s">
        <v>155</v>
      </c>
      <c r="AN1358" s="359" t="str">
        <f>IF(AN1356=EUconst_NA,EUconst_NA,INDEX(EUwideConstants!$C$150:$H$154,MATCH(AJ1357,EFUnits,0),MATCH(AN1356,EUwideConstants!$C$149:$H$149,0)))</f>
        <v>n.a.</v>
      </c>
      <c r="AO1358" s="359" t="b">
        <f>AN1358&lt;&gt;EUconst_NA</f>
        <v>0</v>
      </c>
      <c r="AP1358" s="326"/>
      <c r="AQ1358" s="376" t="str">
        <f>EUconst_CNTR_BiomassContent&amp;EUconst_Value</f>
        <v>BioC_Value</v>
      </c>
      <c r="AR1358" s="420"/>
      <c r="AS1358" s="378" t="str">
        <f t="shared" ref="AS1358:AS1363" si="420">IF(AC1358=TRUE,IF(COUNTIF(MSPara_SourceStreamCategory,V1358)=0,"",INDEX(MSPara_CalcFactorsMatrix,MATCH(V1358,MSPara_SourceStreamCategory,0),MATCH(AQ1358&amp;"_"&amp;2,MSPara_CalcFactors,0))),"")</f>
        <v/>
      </c>
      <c r="AT1358" s="421"/>
      <c r="AU1358" s="380" t="str">
        <f t="shared" ref="AU1358:AU1363" si="421">IF(OR(AA1358="",AS1358=EUconst_NA),"",AS1358)</f>
        <v/>
      </c>
      <c r="AV1358" s="373">
        <f>IF(AC1358=TRUE,IF(COUNT(K1358:L1358)=0,0,IF(L1358="",K1358,L1358)),0)</f>
        <v>0</v>
      </c>
      <c r="AW1358" s="369" t="b">
        <f t="shared" si="414"/>
        <v>0</v>
      </c>
      <c r="AX1358" s="381" t="b">
        <f t="shared" si="415"/>
        <v>0</v>
      </c>
      <c r="AY1358" s="314"/>
      <c r="AZ1358" s="382" t="b">
        <f t="shared" si="416"/>
        <v>0</v>
      </c>
      <c r="BA1358" s="383" t="b">
        <f t="shared" si="417"/>
        <v>0</v>
      </c>
      <c r="BB1358" s="314"/>
      <c r="BC1358" s="369" t="b">
        <f t="shared" si="418"/>
        <v>0</v>
      </c>
      <c r="BD1358" s="369" t="b">
        <f>OR(AV1358&gt;100%,(AV1358+AV1359)&gt;100%)</f>
        <v>0</v>
      </c>
      <c r="BE1358" s="314"/>
      <c r="BF1358" s="382" t="s">
        <v>156</v>
      </c>
      <c r="BG1358" s="384" t="str">
        <f>IF(COUNTIF(AO1357:AO1358,TRUE)=0,"",BH1358*AV1365)</f>
        <v/>
      </c>
      <c r="BH1358" s="384" t="str">
        <f>IF(COUNTIF(AO1357:AO1358,TRUE)=0,"",AV1354*IF(AO1357,1,AV1356*AN1358)*AV1357*AV1360)</f>
        <v/>
      </c>
      <c r="BJ1358" s="314"/>
      <c r="BK1358" s="314"/>
      <c r="BL1358" s="314"/>
      <c r="BM1358" s="314"/>
      <c r="BN1358" s="314"/>
      <c r="BO1358" s="314"/>
      <c r="BP1358" s="314"/>
      <c r="BQ1358" s="314"/>
      <c r="BR1358" s="314"/>
      <c r="BS1358" s="314"/>
      <c r="BT1358" s="314"/>
      <c r="BU1358" s="314"/>
      <c r="BV1358" s="314"/>
      <c r="BW1358" s="314"/>
      <c r="BX1358" s="314"/>
      <c r="BY1358" s="314"/>
      <c r="BZ1358" s="314"/>
      <c r="CA1358" s="314"/>
      <c r="CB1358" s="314"/>
      <c r="CC1358" s="314"/>
      <c r="CD1358" s="314"/>
      <c r="CE1358" s="314"/>
      <c r="CF1358" s="314"/>
      <c r="CG1358" s="314"/>
      <c r="CH1358" s="314"/>
      <c r="CI1358" s="314"/>
      <c r="CJ1358" s="314"/>
      <c r="CK1358" s="314"/>
      <c r="CL1358" s="314"/>
      <c r="CM1358" s="314"/>
      <c r="CN1358" s="314"/>
      <c r="CO1358" s="314"/>
      <c r="CP1358" s="314"/>
      <c r="CQ1358" s="369" t="b">
        <f>OR(CQ1354,Y1358=EUconst_NA)</f>
        <v>0</v>
      </c>
    </row>
    <row r="1359" spans="1:95" ht="12.75" customHeight="1" thickBot="1" x14ac:dyDescent="0.3">
      <c r="A1359" s="307"/>
      <c r="B1359" s="68"/>
      <c r="C1359" s="199" t="s">
        <v>16</v>
      </c>
      <c r="D1359" s="344" t="str">
        <f>Translations!$B$368</f>
        <v>non-sust. BioF:</v>
      </c>
      <c r="E1359" s="345"/>
      <c r="F1359" s="20"/>
      <c r="G1359" s="1256" t="str">
        <f>IF(OR(ISBLANK(F1359),F1359=EUconst_NoTier),"",IF(Z1359=0,EUconst_NotApplicable,IF(ISERROR(Z1359),"",Z1359)))</f>
        <v/>
      </c>
      <c r="H1359" s="1257"/>
      <c r="I1359" s="422" t="str">
        <f t="shared" si="419"/>
        <v/>
      </c>
      <c r="J1359" s="423"/>
      <c r="K1359" s="424" t="str">
        <f>IF(L1359="",AU1359,"")</f>
        <v/>
      </c>
      <c r="L1359" s="21"/>
      <c r="M1359" s="347" t="str">
        <f>IF(AND(E1349&lt;&gt;"",OR(F1359="",COUNT(K1359:L1359)=0),Y1359&lt;&gt;EUconst_NA),EUconst_ERR_Incomplete,IF(COUNTIF(BB1359:BD1359,TRUE)&gt;0,EUconst_ERR_Inconsistent,""))</f>
        <v/>
      </c>
      <c r="N1359" s="76"/>
      <c r="O1359" s="160"/>
      <c r="P1359" s="348"/>
      <c r="Q1359" s="413"/>
      <c r="R1359" s="413"/>
      <c r="S1359" s="314"/>
      <c r="T1359" s="425" t="str">
        <f>EUconst_CNTR_BiomassContent&amp;E1349</f>
        <v>BioC_</v>
      </c>
      <c r="U1359" s="312"/>
      <c r="V1359" s="407" t="str">
        <f>V1358</f>
        <v/>
      </c>
      <c r="W1359" s="407" t="str">
        <f>IF(OR(V1358="",COUNTIF(MSPara_SourceStreamCategory,V1359)=0),"",INDEX(MSPara_IsFossil,MATCH(V1359,MSPara_SourceStreamCategory,0)))</f>
        <v/>
      </c>
      <c r="X1359" s="312"/>
      <c r="Y1359" s="426" t="str">
        <f>IF(E1349="","",IF(OR(F1359=EUconst_NA,W1359=TRUE),EUconst_NA,INDEX(EUwideConstants!$P$164:$P$200,MATCH(T1359,EUwideConstants!$S$164:$S$200,0))))</f>
        <v/>
      </c>
      <c r="Z1359" s="427" t="str">
        <f>IF(ISBLANK(F1359),"",IF(F1359=EUconst_NA,"",INDEX(EUwideConstants!$H:$O,MATCH(T1359,EUwideConstants!$S:$S,0),MATCH(F1359,CNTR_TierList,0))))</f>
        <v/>
      </c>
      <c r="AA1359" s="428" t="str">
        <f>IF(F1359=1,1,"")</f>
        <v/>
      </c>
      <c r="AB1359" s="314"/>
      <c r="AC1359" s="429" t="b">
        <f>AND(AC1354,Y1359&lt;&gt;EUconst_NA)</f>
        <v>0</v>
      </c>
      <c r="AD1359" s="314"/>
      <c r="AE1359" s="430"/>
      <c r="AF1359" s="431"/>
      <c r="AG1359" s="432"/>
      <c r="AH1359" s="433"/>
      <c r="AI1359" s="433"/>
      <c r="AJ1359" s="433"/>
      <c r="AK1359" s="434"/>
      <c r="AL1359" s="326"/>
      <c r="AM1359" s="326"/>
      <c r="AN1359" s="326"/>
      <c r="AO1359" s="326"/>
      <c r="AP1359" s="326"/>
      <c r="AQ1359" s="435" t="str">
        <f>EUconst_CNTR_BiomassContent&amp;EUconst_Value</f>
        <v>BioC_Value</v>
      </c>
      <c r="AR1359" s="430"/>
      <c r="AS1359" s="436" t="str">
        <f t="shared" si="420"/>
        <v/>
      </c>
      <c r="AT1359" s="437"/>
      <c r="AU1359" s="438" t="str">
        <f t="shared" si="421"/>
        <v/>
      </c>
      <c r="AV1359" s="429">
        <f>IF(AC1359=TRUE,IF(COUNT(K1359:L1359)=0,0,IF(L1359="",K1359,L1359)),0)</f>
        <v>0</v>
      </c>
      <c r="AW1359" s="407" t="b">
        <f t="shared" si="414"/>
        <v>0</v>
      </c>
      <c r="AX1359" s="439" t="b">
        <f t="shared" si="415"/>
        <v>0</v>
      </c>
      <c r="AY1359" s="314"/>
      <c r="AZ1359" s="408" t="b">
        <f t="shared" si="416"/>
        <v>0</v>
      </c>
      <c r="BA1359" s="440" t="b">
        <f t="shared" si="417"/>
        <v>0</v>
      </c>
      <c r="BB1359" s="314"/>
      <c r="BC1359" s="407" t="b">
        <f t="shared" si="418"/>
        <v>0</v>
      </c>
      <c r="BD1359" s="407" t="b">
        <f>OR(AV1358&gt;100%,(AV1358+AV1359)&gt;100%)</f>
        <v>0</v>
      </c>
      <c r="BE1359" s="314"/>
      <c r="BF1359" s="408" t="s">
        <v>157</v>
      </c>
      <c r="BG1359" s="409" t="str">
        <f>IF(COUNTIF(AO1357:AO1358,TRUE)=0,"",BH1359*AV1365)</f>
        <v/>
      </c>
      <c r="BH1359" s="409" t="str">
        <f>IF(COUNTIF(AO1357:AO1358,TRUE)=0,"",AV1354*IF(AO1357,1,AV1356*AN1358)*AV1357*AV1361)</f>
        <v/>
      </c>
      <c r="BJ1359" s="314"/>
      <c r="BK1359" s="314"/>
      <c r="BL1359" s="314"/>
      <c r="BM1359" s="314"/>
      <c r="BN1359" s="314"/>
      <c r="BO1359" s="314"/>
      <c r="BP1359" s="314"/>
      <c r="BQ1359" s="314"/>
      <c r="BR1359" s="314"/>
      <c r="BS1359" s="314"/>
      <c r="BT1359" s="314"/>
      <c r="BU1359" s="314"/>
      <c r="BV1359" s="314"/>
      <c r="BW1359" s="314"/>
      <c r="BX1359" s="314"/>
      <c r="BY1359" s="314"/>
      <c r="BZ1359" s="314"/>
      <c r="CA1359" s="314"/>
      <c r="CB1359" s="314"/>
      <c r="CC1359" s="314"/>
      <c r="CD1359" s="314"/>
      <c r="CE1359" s="314"/>
      <c r="CF1359" s="314"/>
      <c r="CG1359" s="314"/>
      <c r="CH1359" s="314"/>
      <c r="CI1359" s="314"/>
      <c r="CJ1359" s="314"/>
      <c r="CK1359" s="314"/>
      <c r="CL1359" s="314"/>
      <c r="CM1359" s="314"/>
      <c r="CN1359" s="314"/>
      <c r="CO1359" s="314"/>
      <c r="CP1359" s="314"/>
      <c r="CQ1359" s="407" t="b">
        <f>OR(CQ1354,Y1359=EUconst_NA)</f>
        <v>0</v>
      </c>
    </row>
    <row r="1360" spans="1:95" ht="12.75" customHeight="1" thickBot="1" x14ac:dyDescent="0.3">
      <c r="A1360" s="307"/>
      <c r="B1360" s="68"/>
      <c r="C1360" s="199" t="s">
        <v>17</v>
      </c>
      <c r="D1360" s="344" t="str">
        <f>Translations!$B$610</f>
        <v>sust. RFNBO/RCF:</v>
      </c>
      <c r="E1360" s="441"/>
      <c r="F1360" s="19" t="s">
        <v>158</v>
      </c>
      <c r="G1360" s="1261"/>
      <c r="H1360" s="1262"/>
      <c r="I1360" s="442" t="str">
        <f t="shared" si="419"/>
        <v/>
      </c>
      <c r="J1360" s="411"/>
      <c r="K1360" s="443"/>
      <c r="L1360" s="55"/>
      <c r="M1360" s="347" t="str">
        <f>IF(AND(E1349&lt;&gt;"",OR(F1360="",COUNT(L1360)=0),Y1360&lt;&gt;EUconst_NA),EUconst_ERR_Incomplete,"")</f>
        <v/>
      </c>
      <c r="N1360" s="76"/>
      <c r="O1360" s="160"/>
      <c r="P1360" s="348"/>
      <c r="Q1360" s="413"/>
      <c r="R1360" s="413"/>
      <c r="S1360" s="314"/>
      <c r="T1360" s="388" t="str">
        <f>EUconst_CNTR_RFNBOetcContent&amp;E1349</f>
        <v>RNFBOC_</v>
      </c>
      <c r="U1360" s="312"/>
      <c r="V1360" s="312"/>
      <c r="W1360" s="312"/>
      <c r="X1360" s="312"/>
      <c r="Y1360" s="380" t="str">
        <f>IF(E1349="","",IF(OR(F1360=EUconst_NA,W1360=TRUE),EUconst_NA,INDEX(EUwideConstants!$P$164:$P$200,MATCH(T1360,EUwideConstants!$S$164:$S$200,0))))</f>
        <v/>
      </c>
      <c r="Z1360" s="314"/>
      <c r="AA1360" s="314"/>
      <c r="AB1360" s="314"/>
      <c r="AC1360" s="397" t="b">
        <f>AND(AC1356,Y1360&lt;&gt;EUconst_NA)</f>
        <v>0</v>
      </c>
      <c r="AD1360" s="314"/>
      <c r="AE1360" s="415"/>
      <c r="AF1360" s="416"/>
      <c r="AG1360" s="417"/>
      <c r="AH1360" s="418"/>
      <c r="AI1360" s="418"/>
      <c r="AJ1360" s="418"/>
      <c r="AK1360" s="419"/>
      <c r="AL1360" s="326"/>
      <c r="AM1360" s="326"/>
      <c r="AN1360" s="326"/>
      <c r="AO1360" s="326"/>
      <c r="AP1360" s="326"/>
      <c r="AQ1360" s="444" t="s">
        <v>159</v>
      </c>
      <c r="AR1360" s="415"/>
      <c r="AS1360" s="445" t="str">
        <f t="shared" si="420"/>
        <v/>
      </c>
      <c r="AT1360" s="446"/>
      <c r="AU1360" s="447" t="str">
        <f t="shared" si="421"/>
        <v/>
      </c>
      <c r="AV1360" s="397">
        <f>IF(L1360&lt;&gt;0,L1360,L1360)</f>
        <v>0</v>
      </c>
      <c r="AW1360" s="398" t="b">
        <f t="shared" si="414"/>
        <v>0</v>
      </c>
      <c r="AX1360" s="448" t="b">
        <f t="shared" si="415"/>
        <v>0</v>
      </c>
      <c r="AY1360" s="314"/>
      <c r="AZ1360" s="449" t="b">
        <f t="shared" si="416"/>
        <v>0</v>
      </c>
      <c r="BA1360" s="450" t="b">
        <f t="shared" si="417"/>
        <v>0</v>
      </c>
      <c r="BB1360" s="314"/>
      <c r="BC1360" s="398" t="b">
        <f t="shared" si="418"/>
        <v>0</v>
      </c>
      <c r="BD1360" s="369" t="b">
        <f>OR(AV1360&gt;100%,(AV1360+AV1361)&gt;100%)</f>
        <v>0</v>
      </c>
      <c r="BE1360" s="314"/>
      <c r="BF1360" s="451" t="s">
        <v>160</v>
      </c>
      <c r="BG1360" s="452" t="str">
        <f>IF(COUNTIF(AO1357:AO1358,TRUE)=0,"",BH1360*AV1365)</f>
        <v/>
      </c>
      <c r="BH1360" s="452" t="str">
        <f>IF(COUNTIF(AO1357:AO1358,TRUE)=0,"",AV1354*IF(AO1357,1,AV1356*AN1358)*AV1357*AV1362)</f>
        <v/>
      </c>
      <c r="BJ1360" s="314"/>
      <c r="BK1360" s="314"/>
      <c r="BL1360" s="314"/>
      <c r="BM1360" s="314"/>
      <c r="BN1360" s="314"/>
      <c r="BO1360" s="314"/>
      <c r="BP1360" s="314"/>
      <c r="BQ1360" s="314"/>
      <c r="BR1360" s="314"/>
      <c r="BS1360" s="314"/>
      <c r="BT1360" s="314"/>
      <c r="BU1360" s="314"/>
      <c r="BV1360" s="314"/>
      <c r="BW1360" s="314"/>
      <c r="BX1360" s="314"/>
      <c r="BY1360" s="314"/>
      <c r="BZ1360" s="314"/>
      <c r="CA1360" s="314"/>
      <c r="CB1360" s="314"/>
      <c r="CC1360" s="314"/>
      <c r="CD1360" s="314"/>
      <c r="CE1360" s="314"/>
      <c r="CF1360" s="314"/>
      <c r="CG1360" s="314"/>
      <c r="CH1360" s="314"/>
      <c r="CI1360" s="314"/>
      <c r="CJ1360" s="314"/>
      <c r="CK1360" s="314"/>
      <c r="CL1360" s="314"/>
      <c r="CM1360" s="314"/>
      <c r="CN1360" s="314"/>
      <c r="CO1360" s="314"/>
      <c r="CP1360" s="314"/>
      <c r="CQ1360" s="407" t="b">
        <f>OR(CQ1354,Y1360=EUconst_NA)</f>
        <v>0</v>
      </c>
    </row>
    <row r="1361" spans="1:95" ht="12.75" customHeight="1" thickBot="1" x14ac:dyDescent="0.3">
      <c r="A1361" s="307"/>
      <c r="B1361" s="68"/>
      <c r="C1361" s="199" t="s">
        <v>161</v>
      </c>
      <c r="D1361" s="344" t="str">
        <f>Translations!$B$613</f>
        <v>non-sust. RFNBO/RCF:</v>
      </c>
      <c r="E1361" s="441"/>
      <c r="F1361" s="20" t="s">
        <v>158</v>
      </c>
      <c r="G1361" s="1261"/>
      <c r="H1361" s="1262"/>
      <c r="I1361" s="422" t="str">
        <f t="shared" si="419"/>
        <v/>
      </c>
      <c r="J1361" s="423"/>
      <c r="K1361" s="443"/>
      <c r="L1361" s="56"/>
      <c r="M1361" s="347" t="str">
        <f>IF(AND(E1349&lt;&gt;"",OR(F1361="",COUNT(L1361)=0),Y1361&lt;&gt;EUconst_NA),EUconst_ERR_Incomplete,"")</f>
        <v/>
      </c>
      <c r="N1361" s="76"/>
      <c r="O1361" s="160"/>
      <c r="P1361" s="348"/>
      <c r="Q1361" s="413"/>
      <c r="R1361" s="413"/>
      <c r="S1361" s="314"/>
      <c r="T1361" s="425" t="str">
        <f>EUconst_CNTR_RFNBOetcContent&amp;E1349</f>
        <v>RNFBOC_</v>
      </c>
      <c r="U1361" s="312"/>
      <c r="V1361" s="312"/>
      <c r="W1361" s="312"/>
      <c r="X1361" s="312"/>
      <c r="Y1361" s="438" t="str">
        <f>IF(E1349="","",IF(OR(F1361=EUconst_NA,W1361=TRUE),EUconst_NA,INDEX(EUwideConstants!$P$164:$P$200,MATCH(T1361,EUwideConstants!$S$164:$S$200,0))))</f>
        <v/>
      </c>
      <c r="Z1361" s="314"/>
      <c r="AA1361" s="314"/>
      <c r="AB1361" s="314"/>
      <c r="AC1361" s="429" t="b">
        <f>AND(AC1356,Y1361&lt;&gt;EUconst_NA)</f>
        <v>0</v>
      </c>
      <c r="AD1361" s="314"/>
      <c r="AE1361" s="430"/>
      <c r="AF1361" s="431"/>
      <c r="AG1361" s="432"/>
      <c r="AH1361" s="433"/>
      <c r="AI1361" s="433"/>
      <c r="AJ1361" s="433"/>
      <c r="AK1361" s="434"/>
      <c r="AL1361" s="326"/>
      <c r="AM1361" s="326"/>
      <c r="AN1361" s="326"/>
      <c r="AO1361" s="326"/>
      <c r="AP1361" s="326"/>
      <c r="AQ1361" s="435" t="s">
        <v>159</v>
      </c>
      <c r="AR1361" s="430"/>
      <c r="AS1361" s="436" t="str">
        <f t="shared" si="420"/>
        <v/>
      </c>
      <c r="AT1361" s="437"/>
      <c r="AU1361" s="438" t="str">
        <f t="shared" si="421"/>
        <v/>
      </c>
      <c r="AV1361" s="429">
        <f t="shared" ref="AV1361:AV1363" si="422">IF(L1361&lt;&gt;0,L1361,L1361)</f>
        <v>0</v>
      </c>
      <c r="AW1361" s="407" t="b">
        <f t="shared" si="414"/>
        <v>0</v>
      </c>
      <c r="AX1361" s="439" t="b">
        <f t="shared" si="415"/>
        <v>0</v>
      </c>
      <c r="AY1361" s="314"/>
      <c r="AZ1361" s="408" t="b">
        <f t="shared" si="416"/>
        <v>0</v>
      </c>
      <c r="BA1361" s="440" t="b">
        <f t="shared" si="417"/>
        <v>0</v>
      </c>
      <c r="BB1361" s="314"/>
      <c r="BC1361" s="407" t="b">
        <f t="shared" si="418"/>
        <v>0</v>
      </c>
      <c r="BD1361" s="407" t="b">
        <f>OR(AV1360&gt;100%,(AV1360+AV1361)&gt;100%)</f>
        <v>0</v>
      </c>
      <c r="BE1361" s="314"/>
      <c r="BF1361" s="408" t="s">
        <v>162</v>
      </c>
      <c r="BG1361" s="409" t="str">
        <f>IF(COUNTIF(AO1357:AO1358,TRUE)=0,"",BH1361*AV1365)</f>
        <v/>
      </c>
      <c r="BH1361" s="409" t="str">
        <f>IF(COUNTIF(AO1357:AO1358,TRUE)=0,"",AV1354*IF(AO1357,1,AV1356*AN1358)*AV1357*AV1363)</f>
        <v/>
      </c>
      <c r="BJ1361" s="314"/>
      <c r="BK1361" s="314"/>
      <c r="BL1361" s="314"/>
      <c r="BM1361" s="314"/>
      <c r="BN1361" s="314"/>
      <c r="BO1361" s="314"/>
      <c r="BP1361" s="314"/>
      <c r="BQ1361" s="314"/>
      <c r="BR1361" s="314"/>
      <c r="BS1361" s="314"/>
      <c r="BT1361" s="314"/>
      <c r="BU1361" s="314"/>
      <c r="BV1361" s="314"/>
      <c r="BW1361" s="314"/>
      <c r="BX1361" s="314"/>
      <c r="BY1361" s="314"/>
      <c r="BZ1361" s="314"/>
      <c r="CA1361" s="314"/>
      <c r="CB1361" s="314"/>
      <c r="CC1361" s="314"/>
      <c r="CD1361" s="314"/>
      <c r="CE1361" s="314"/>
      <c r="CF1361" s="314"/>
      <c r="CG1361" s="314"/>
      <c r="CH1361" s="314"/>
      <c r="CI1361" s="314"/>
      <c r="CJ1361" s="314"/>
      <c r="CK1361" s="314"/>
      <c r="CL1361" s="314"/>
      <c r="CM1361" s="314"/>
      <c r="CN1361" s="314"/>
      <c r="CO1361" s="314"/>
      <c r="CP1361" s="314"/>
      <c r="CQ1361" s="407" t="b">
        <f>OR(CQ1354,Y1361=EUconst_NA)</f>
        <v>0</v>
      </c>
    </row>
    <row r="1362" spans="1:95" ht="12.75" customHeight="1" thickBot="1" x14ac:dyDescent="0.3">
      <c r="A1362" s="307"/>
      <c r="B1362" s="68"/>
      <c r="C1362" s="199" t="s">
        <v>163</v>
      </c>
      <c r="D1362" s="344" t="str">
        <f>Translations!$B$615</f>
        <v>sust. SLCF:</v>
      </c>
      <c r="E1362" s="441"/>
      <c r="F1362" s="19" t="s">
        <v>158</v>
      </c>
      <c r="G1362" s="1261"/>
      <c r="H1362" s="1262"/>
      <c r="I1362" s="442" t="str">
        <f t="shared" si="419"/>
        <v/>
      </c>
      <c r="J1362" s="411"/>
      <c r="K1362" s="443"/>
      <c r="L1362" s="57"/>
      <c r="M1362" s="347" t="str">
        <f>IF(AND(E1349&lt;&gt;"",OR(F1362="",COUNT(L1362)=0),Y1362&lt;&gt;EUconst_NA),EUconst_ERR_Incomplete,"")</f>
        <v/>
      </c>
      <c r="N1362" s="76"/>
      <c r="O1362" s="160"/>
      <c r="P1362" s="348"/>
      <c r="Q1362" s="413"/>
      <c r="R1362" s="413"/>
      <c r="S1362" s="314"/>
      <c r="T1362" s="388" t="str">
        <f>EUconst_CNTR_RFNBOetcContent&amp;E1349</f>
        <v>RNFBOC_</v>
      </c>
      <c r="U1362" s="312"/>
      <c r="V1362" s="312"/>
      <c r="W1362" s="312"/>
      <c r="X1362" s="312"/>
      <c r="Y1362" s="447" t="str">
        <f>IF(E1349="","",IF(OR(F1362=EUconst_NA,W1362=TRUE),EUconst_NA,INDEX(EUwideConstants!$P$164:$P$200,MATCH(T1362,EUwideConstants!$S$164:$S$200,0))))</f>
        <v/>
      </c>
      <c r="Z1362" s="314"/>
      <c r="AA1362" s="314"/>
      <c r="AB1362" s="314"/>
      <c r="AC1362" s="397" t="b">
        <f>AND(AC1358,Y1362&lt;&gt;EUconst_NA)</f>
        <v>0</v>
      </c>
      <c r="AD1362" s="314"/>
      <c r="AE1362" s="415"/>
      <c r="AF1362" s="416"/>
      <c r="AG1362" s="417"/>
      <c r="AH1362" s="418"/>
      <c r="AI1362" s="418"/>
      <c r="AJ1362" s="418"/>
      <c r="AK1362" s="419"/>
      <c r="AL1362" s="326"/>
      <c r="AM1362" s="326"/>
      <c r="AN1362" s="326"/>
      <c r="AO1362" s="326"/>
      <c r="AP1362" s="326"/>
      <c r="AQ1362" s="444" t="s">
        <v>159</v>
      </c>
      <c r="AR1362" s="415"/>
      <c r="AS1362" s="445" t="str">
        <f t="shared" si="420"/>
        <v/>
      </c>
      <c r="AT1362" s="446"/>
      <c r="AU1362" s="447" t="str">
        <f t="shared" si="421"/>
        <v/>
      </c>
      <c r="AV1362" s="397">
        <f t="shared" si="422"/>
        <v>0</v>
      </c>
      <c r="AW1362" s="398" t="b">
        <f t="shared" si="414"/>
        <v>0</v>
      </c>
      <c r="AX1362" s="448" t="b">
        <f t="shared" si="415"/>
        <v>0</v>
      </c>
      <c r="AY1362" s="314"/>
      <c r="AZ1362" s="449" t="b">
        <f t="shared" si="416"/>
        <v>0</v>
      </c>
      <c r="BA1362" s="450" t="b">
        <f t="shared" si="417"/>
        <v>0</v>
      </c>
      <c r="BB1362" s="314"/>
      <c r="BC1362" s="398" t="b">
        <f t="shared" si="418"/>
        <v>0</v>
      </c>
      <c r="BD1362" s="369" t="b">
        <f>OR(AV1362&gt;100%,(AV1362+AV1363)&gt;100%)</f>
        <v>0</v>
      </c>
      <c r="BE1362" s="314"/>
      <c r="BF1362" s="451" t="s">
        <v>164</v>
      </c>
      <c r="BG1362" s="452">
        <f>IF(AN1354=EUconst_TJ,AV1354*(1-AV1358),IF(AN1356=EUconst_GJ,AV1354*AV1356/1000,0))-SUM(BG1363:BG1369)</f>
        <v>0</v>
      </c>
      <c r="BH1362" s="314"/>
      <c r="BI1362" s="314"/>
      <c r="BJ1362" s="314"/>
      <c r="BK1362" s="314"/>
      <c r="BL1362" s="314"/>
      <c r="BM1362" s="314"/>
      <c r="BN1362" s="314"/>
      <c r="BO1362" s="314"/>
      <c r="BP1362" s="314"/>
      <c r="BQ1362" s="314"/>
      <c r="BR1362" s="314"/>
      <c r="BS1362" s="314"/>
      <c r="BT1362" s="314"/>
      <c r="BU1362" s="314"/>
      <c r="BV1362" s="314"/>
      <c r="BW1362" s="314"/>
      <c r="BX1362" s="314"/>
      <c r="BY1362" s="314"/>
      <c r="BZ1362" s="314"/>
      <c r="CA1362" s="314"/>
      <c r="CB1362" s="314"/>
      <c r="CC1362" s="314"/>
      <c r="CD1362" s="314"/>
      <c r="CE1362" s="314"/>
      <c r="CF1362" s="314"/>
      <c r="CG1362" s="314"/>
      <c r="CH1362" s="314"/>
      <c r="CI1362" s="314"/>
      <c r="CJ1362" s="314"/>
      <c r="CK1362" s="314"/>
      <c r="CL1362" s="314"/>
      <c r="CM1362" s="314"/>
      <c r="CN1362" s="314"/>
      <c r="CO1362" s="314"/>
      <c r="CP1362" s="314"/>
      <c r="CQ1362" s="407" t="b">
        <f>OR(CQ1354,Y1362=EUconst_NA)</f>
        <v>0</v>
      </c>
    </row>
    <row r="1363" spans="1:95" ht="12.75" customHeight="1" thickBot="1" x14ac:dyDescent="0.3">
      <c r="A1363" s="307"/>
      <c r="B1363" s="68"/>
      <c r="C1363" s="199" t="s">
        <v>165</v>
      </c>
      <c r="D1363" s="344" t="str">
        <f>Translations!$B$618</f>
        <v>non-sust. SLCF:</v>
      </c>
      <c r="E1363" s="441"/>
      <c r="F1363" s="20" t="s">
        <v>158</v>
      </c>
      <c r="G1363" s="1261"/>
      <c r="H1363" s="1262"/>
      <c r="I1363" s="422" t="str">
        <f t="shared" si="419"/>
        <v/>
      </c>
      <c r="J1363" s="423"/>
      <c r="K1363" s="443"/>
      <c r="L1363" s="56"/>
      <c r="M1363" s="347" t="str">
        <f>IF(AND(E1349&lt;&gt;"",OR(F1363="",COUNT(L1363)=0),Y1363&lt;&gt;EUconst_NA),EUconst_ERR_Incomplete,"")</f>
        <v/>
      </c>
      <c r="N1363" s="76"/>
      <c r="O1363" s="160"/>
      <c r="P1363" s="348"/>
      <c r="Q1363" s="413"/>
      <c r="R1363" s="413"/>
      <c r="S1363" s="314"/>
      <c r="T1363" s="425" t="str">
        <f>EUconst_CNTR_RFNBOetcContent&amp;E1349</f>
        <v>RNFBOC_</v>
      </c>
      <c r="U1363" s="312"/>
      <c r="V1363" s="312"/>
      <c r="W1363" s="312"/>
      <c r="X1363" s="312"/>
      <c r="Y1363" s="438" t="str">
        <f>IF(E1349="","",IF(OR(F1363=EUconst_NA,W1363=TRUE),EUconst_NA,INDEX(EUwideConstants!$P$164:$P$200,MATCH(T1363,EUwideConstants!$S$164:$S$200,0))))</f>
        <v/>
      </c>
      <c r="Z1363" s="314"/>
      <c r="AA1363" s="314"/>
      <c r="AB1363" s="314"/>
      <c r="AC1363" s="429" t="b">
        <f>AND(AC1358,Y1363&lt;&gt;EUconst_NA)</f>
        <v>0</v>
      </c>
      <c r="AD1363" s="314"/>
      <c r="AE1363" s="430"/>
      <c r="AF1363" s="431"/>
      <c r="AG1363" s="432"/>
      <c r="AH1363" s="433"/>
      <c r="AI1363" s="433"/>
      <c r="AJ1363" s="433"/>
      <c r="AK1363" s="434"/>
      <c r="AL1363" s="326"/>
      <c r="AM1363" s="326"/>
      <c r="AN1363" s="326"/>
      <c r="AO1363" s="326"/>
      <c r="AP1363" s="326"/>
      <c r="AQ1363" s="435" t="s">
        <v>159</v>
      </c>
      <c r="AR1363" s="430"/>
      <c r="AS1363" s="436" t="str">
        <f t="shared" si="420"/>
        <v/>
      </c>
      <c r="AT1363" s="437"/>
      <c r="AU1363" s="438" t="str">
        <f t="shared" si="421"/>
        <v/>
      </c>
      <c r="AV1363" s="429">
        <f t="shared" si="422"/>
        <v>0</v>
      </c>
      <c r="AW1363" s="407" t="b">
        <f t="shared" si="414"/>
        <v>0</v>
      </c>
      <c r="AX1363" s="439" t="b">
        <f t="shared" si="415"/>
        <v>0</v>
      </c>
      <c r="AY1363" s="314"/>
      <c r="AZ1363" s="408" t="b">
        <f t="shared" si="416"/>
        <v>0</v>
      </c>
      <c r="BA1363" s="440" t="b">
        <f t="shared" si="417"/>
        <v>0</v>
      </c>
      <c r="BB1363" s="314"/>
      <c r="BC1363" s="407" t="b">
        <f t="shared" si="418"/>
        <v>0</v>
      </c>
      <c r="BD1363" s="407" t="b">
        <f>OR(AV1362&gt;100%,(AV1362+AV1363)&gt;100%)</f>
        <v>0</v>
      </c>
      <c r="BE1363" s="314"/>
      <c r="BF1363" s="408" t="s">
        <v>166</v>
      </c>
      <c r="BG1363" s="409" t="str">
        <f>IF(AN1354=EUconst_TJ,AV1354*AV1358,IF(AN1356=EUconst_GJ,AV1354*AV1356/1000*AV1358,""))</f>
        <v/>
      </c>
      <c r="BH1363" s="314"/>
      <c r="BI1363" s="314"/>
      <c r="BJ1363" s="314"/>
      <c r="BK1363" s="314"/>
      <c r="BL1363" s="314"/>
      <c r="BM1363" s="314"/>
      <c r="BN1363" s="314"/>
      <c r="BO1363" s="314"/>
      <c r="BP1363" s="314"/>
      <c r="BQ1363" s="314"/>
      <c r="BR1363" s="314"/>
      <c r="BS1363" s="314"/>
      <c r="BT1363" s="314"/>
      <c r="BU1363" s="314"/>
      <c r="BV1363" s="314"/>
      <c r="BW1363" s="314"/>
      <c r="BX1363" s="314"/>
      <c r="BY1363" s="314"/>
      <c r="BZ1363" s="314"/>
      <c r="CA1363" s="314"/>
      <c r="CB1363" s="314"/>
      <c r="CC1363" s="314"/>
      <c r="CD1363" s="314"/>
      <c r="CE1363" s="314"/>
      <c r="CF1363" s="314"/>
      <c r="CG1363" s="314"/>
      <c r="CH1363" s="314"/>
      <c r="CI1363" s="314"/>
      <c r="CJ1363" s="314"/>
      <c r="CK1363" s="314"/>
      <c r="CL1363" s="314"/>
      <c r="CM1363" s="314"/>
      <c r="CN1363" s="314"/>
      <c r="CO1363" s="314"/>
      <c r="CP1363" s="314"/>
      <c r="CQ1363" s="407" t="b">
        <f>OR(CQ1354,Y1363=EUconst_NA)</f>
        <v>0</v>
      </c>
    </row>
    <row r="1364" spans="1:95" ht="5.15" customHeight="1" thickBot="1" x14ac:dyDescent="0.3">
      <c r="A1364" s="307"/>
      <c r="B1364" s="68"/>
      <c r="C1364" s="68"/>
      <c r="D1364" s="205"/>
      <c r="E1364" s="76"/>
      <c r="F1364" s="76"/>
      <c r="G1364" s="76"/>
      <c r="H1364" s="76"/>
      <c r="I1364" s="76"/>
      <c r="J1364" s="76"/>
      <c r="K1364" s="76"/>
      <c r="L1364" s="76"/>
      <c r="M1364" s="453"/>
      <c r="N1364" s="76"/>
      <c r="O1364" s="160"/>
      <c r="P1364" s="109"/>
      <c r="Q1364" s="312"/>
      <c r="R1364" s="312"/>
      <c r="S1364" s="314"/>
      <c r="T1364" s="314"/>
      <c r="U1364" s="314"/>
      <c r="V1364" s="314"/>
      <c r="W1364" s="314"/>
      <c r="X1364" s="314"/>
      <c r="Y1364" s="314"/>
      <c r="Z1364" s="314"/>
      <c r="AA1364" s="314"/>
      <c r="AB1364" s="314"/>
      <c r="AC1364" s="314"/>
      <c r="AD1364" s="314"/>
      <c r="AE1364" s="314"/>
      <c r="AF1364" s="314"/>
      <c r="AG1364" s="314"/>
      <c r="AH1364" s="314"/>
      <c r="AI1364" s="314"/>
      <c r="AJ1364" s="314"/>
      <c r="AK1364" s="314"/>
      <c r="AL1364" s="314"/>
      <c r="AM1364" s="314"/>
      <c r="AN1364" s="314"/>
      <c r="AO1364" s="314"/>
      <c r="AP1364" s="314"/>
      <c r="AQ1364" s="314"/>
      <c r="AR1364" s="314"/>
      <c r="AS1364" s="314"/>
      <c r="AT1364" s="314"/>
      <c r="AU1364" s="314"/>
      <c r="AV1364" s="314"/>
      <c r="AW1364" s="314"/>
      <c r="AX1364" s="314"/>
      <c r="AY1364" s="314"/>
      <c r="AZ1364" s="314"/>
      <c r="BA1364" s="314"/>
      <c r="BB1364" s="314"/>
      <c r="BC1364" s="314"/>
      <c r="BD1364" s="314"/>
      <c r="BE1364" s="314"/>
      <c r="BF1364" s="314"/>
      <c r="BG1364" s="364"/>
      <c r="BH1364" s="314"/>
      <c r="BI1364" s="314"/>
      <c r="BJ1364" s="314"/>
      <c r="BK1364" s="314"/>
      <c r="BL1364" s="314"/>
      <c r="BM1364" s="314"/>
      <c r="BN1364" s="314"/>
      <c r="BO1364" s="314"/>
      <c r="BP1364" s="314"/>
      <c r="BQ1364" s="314"/>
      <c r="BR1364" s="314"/>
      <c r="BS1364" s="314"/>
      <c r="BT1364" s="314"/>
      <c r="BU1364" s="314"/>
      <c r="BV1364" s="314"/>
      <c r="BW1364" s="314"/>
      <c r="BX1364" s="314"/>
      <c r="BY1364" s="314"/>
      <c r="BZ1364" s="314"/>
      <c r="CA1364" s="314"/>
      <c r="CB1364" s="314"/>
      <c r="CC1364" s="314"/>
      <c r="CD1364" s="314"/>
      <c r="CE1364" s="314"/>
      <c r="CF1364" s="314"/>
      <c r="CG1364" s="314"/>
      <c r="CH1364" s="314"/>
      <c r="CI1364" s="314"/>
      <c r="CJ1364" s="314"/>
      <c r="CK1364" s="314"/>
      <c r="CL1364" s="314"/>
      <c r="CM1364" s="314"/>
      <c r="CN1364" s="314"/>
      <c r="CO1364" s="314"/>
      <c r="CP1364" s="314"/>
      <c r="CQ1364" s="314"/>
    </row>
    <row r="1365" spans="1:95" ht="12.75" customHeight="1" thickBot="1" x14ac:dyDescent="0.3">
      <c r="A1365" s="307"/>
      <c r="B1365" s="68"/>
      <c r="C1365" s="199" t="s">
        <v>167</v>
      </c>
      <c r="D1365" s="344" t="str">
        <f>Translations!$B$398</f>
        <v>Scope factor:</v>
      </c>
      <c r="E1365" s="454"/>
      <c r="F1365" s="992"/>
      <c r="G1365" s="1263"/>
      <c r="H1365" s="1264"/>
      <c r="I1365" s="455" t="s">
        <v>46</v>
      </c>
      <c r="J1365" s="456"/>
      <c r="K1365" s="457" t="str">
        <f>IF(L1365="",AU1365,"")</f>
        <v/>
      </c>
      <c r="L1365" s="16"/>
      <c r="M1365" s="458" t="str">
        <f>IF(AND(E1349&lt;&gt;"",OR(F1365="",G1365="",COUNT(K1365:L1365)=0)),EUconst_ERR_Incomplete,IF(COUNTIF(BB1365:BD1365,TRUE)&gt;0,EUconst_ERR_Inconsistent,""))</f>
        <v/>
      </c>
      <c r="N1365" s="76"/>
      <c r="O1365" s="160"/>
      <c r="P1365" s="109"/>
      <c r="Q1365" s="312"/>
      <c r="R1365" s="314"/>
      <c r="S1365" s="297"/>
      <c r="T1365" s="459" t="str">
        <f>EUconst_CNTR_ScopeFactor&amp;E1349</f>
        <v>ScopeFactor_</v>
      </c>
      <c r="U1365" s="231" t="str">
        <f>IF(F1365="","",INDEX(ScopeAddress,MATCH(F1365,ScopeTiers,0)))</f>
        <v/>
      </c>
      <c r="V1365" s="360" t="str">
        <f>V1354</f>
        <v/>
      </c>
      <c r="W1365" s="314"/>
      <c r="X1365" s="314"/>
      <c r="Y1365" s="460" t="str">
        <f>IF(E1349="","",IF(F1365=EUconst_NA,EUconst_NA,INDEX(EUwideConstants!$P$164:$P$200,MATCH(T1365,EUwideConstants!$S$164:$S$200,0))))</f>
        <v/>
      </c>
      <c r="Z1365" s="461" t="str">
        <f>IF(ISBLANK(F1365),"",IF(F1365=EUconst_NA,"",INDEX(EUwideConstants!$H:$O,MATCH(T1365,EUwideConstants!$S:$S,0),MATCH(F1365,CNTR_TierList,0))))</f>
        <v/>
      </c>
      <c r="AA1365" s="331" t="str">
        <f>IF(G1365=EUwideConstants!$A$89,1,"")</f>
        <v/>
      </c>
      <c r="AB1365" s="314"/>
      <c r="AC1365" s="331" t="b">
        <f>AND(AC1354,Y1365&lt;&gt;EUconst_NA)</f>
        <v>0</v>
      </c>
      <c r="AD1365" s="314"/>
      <c r="AE1365" s="314"/>
      <c r="AF1365" s="314"/>
      <c r="AG1365" s="319"/>
      <c r="AH1365" s="314"/>
      <c r="AI1365" s="314"/>
      <c r="AJ1365" s="314"/>
      <c r="AK1365" s="314"/>
      <c r="AL1365" s="314"/>
      <c r="AM1365" s="314"/>
      <c r="AN1365" s="314"/>
      <c r="AO1365" s="314"/>
      <c r="AP1365" s="314"/>
      <c r="AQ1365" s="314"/>
      <c r="AR1365" s="314"/>
      <c r="AS1365" s="328">
        <v>1</v>
      </c>
      <c r="AT1365" s="314"/>
      <c r="AU1365" s="319" t="str">
        <f>IF(G1365=EUwideConstants!$A$89,AS1365,"")</f>
        <v/>
      </c>
      <c r="AV1365" s="331">
        <f>IF(AC1365=TRUE,IF(COUNT(K1365:L1365)=0,0,IF(L1365="",K1365,L1365)),0)</f>
        <v>0</v>
      </c>
      <c r="AW1365" s="360" t="b">
        <f>AND(AC1365=TRUE,OR(AND(F1365&lt;&gt;"",NOT(ISNUMBER(AA1365))),L1365&lt;&gt;"",F1365="",AU1365=""))</f>
        <v>0</v>
      </c>
      <c r="AX1365" s="357" t="b">
        <f>AND(AC1365=TRUE,NOT(AW1365))</f>
        <v>0</v>
      </c>
      <c r="AY1365" s="314"/>
      <c r="AZ1365" s="361" t="b">
        <f>AND(ISNUMBER(AA1365),AU1365="")</f>
        <v>0</v>
      </c>
      <c r="BA1365" s="351" t="b">
        <f>AND(ISNUMBER(AA1365),AU1365&lt;&gt;AV1365)</f>
        <v>0</v>
      </c>
      <c r="BB1365" s="314"/>
      <c r="BC1365" s="360" t="b">
        <f>AND(F1365&lt;&gt;"",OR(COUNTIF(INDEX(ScopeMethods,F1365,),G1365)=0,AND(AA1365&lt;&gt;"",AU1365&lt;&gt;AV1365)))</f>
        <v>0</v>
      </c>
      <c r="BD1365" s="314"/>
      <c r="BE1365" s="314"/>
      <c r="BF1365" s="361" t="s">
        <v>168</v>
      </c>
      <c r="BG1365" s="362" t="str">
        <f>IF(AN1354=EUconst_TJ,AV1354*AV1360,IF(AN1356=EUconst_GJ,AV1354*AV1356/1000*AV1360,""))</f>
        <v/>
      </c>
      <c r="BH1365" s="314"/>
      <c r="BI1365" s="314"/>
      <c r="BJ1365" s="314"/>
      <c r="BK1365" s="314"/>
      <c r="BL1365" s="314"/>
      <c r="BM1365" s="314"/>
      <c r="BN1365" s="314"/>
      <c r="BO1365" s="314"/>
      <c r="BP1365" s="314"/>
      <c r="BQ1365" s="314"/>
      <c r="BR1365" s="314"/>
      <c r="BS1365" s="314"/>
      <c r="BT1365" s="314"/>
      <c r="BU1365" s="314"/>
      <c r="BV1365" s="314"/>
      <c r="BW1365" s="314"/>
      <c r="BX1365" s="314"/>
      <c r="BY1365" s="314"/>
      <c r="BZ1365" s="314"/>
      <c r="CA1365" s="314"/>
      <c r="CB1365" s="314"/>
      <c r="CC1365" s="314"/>
      <c r="CD1365" s="314"/>
      <c r="CE1365" s="314"/>
      <c r="CF1365" s="314"/>
      <c r="CG1365" s="314"/>
      <c r="CH1365" s="314"/>
      <c r="CI1365" s="314"/>
      <c r="CJ1365" s="314"/>
      <c r="CK1365" s="314"/>
      <c r="CL1365" s="314"/>
      <c r="CM1365" s="314"/>
      <c r="CN1365" s="314"/>
      <c r="CO1365" s="314"/>
      <c r="CP1365" s="314"/>
      <c r="CQ1365" s="314"/>
    </row>
    <row r="1366" spans="1:95" ht="12.75" customHeight="1" x14ac:dyDescent="0.25">
      <c r="A1366" s="307"/>
      <c r="B1366" s="68"/>
      <c r="C1366" s="68"/>
      <c r="D1366" s="68"/>
      <c r="E1366" s="68"/>
      <c r="F1366" s="68"/>
      <c r="G1366" s="1265" t="str">
        <f>IF(G1365="","",INDEX(ScopeMethodsDetails,MATCH(G1365,INDEX(ScopeMethodsDetails,,1),0),2))</f>
        <v/>
      </c>
      <c r="H1366" s="1266"/>
      <c r="I1366" s="1266"/>
      <c r="J1366" s="1266"/>
      <c r="K1366" s="1266"/>
      <c r="L1366" s="1266"/>
      <c r="M1366" s="1267"/>
      <c r="N1366" s="76"/>
      <c r="O1366" s="160"/>
      <c r="P1366" s="109"/>
      <c r="Q1366" s="312"/>
      <c r="R1366" s="312"/>
      <c r="S1366" s="314"/>
      <c r="T1366" s="314"/>
      <c r="U1366" s="314"/>
      <c r="V1366" s="314"/>
      <c r="W1366" s="314"/>
      <c r="X1366" s="314"/>
      <c r="Y1366" s="314"/>
      <c r="Z1366" s="314"/>
      <c r="AA1366" s="314"/>
      <c r="AB1366" s="314"/>
      <c r="AC1366" s="314"/>
      <c r="AD1366" s="314"/>
      <c r="AE1366" s="314"/>
      <c r="AF1366" s="314"/>
      <c r="AG1366" s="314"/>
      <c r="AH1366" s="314"/>
      <c r="AI1366" s="314"/>
      <c r="AJ1366" s="314"/>
      <c r="AK1366" s="314"/>
      <c r="AL1366" s="314"/>
      <c r="AM1366" s="314"/>
      <c r="AN1366" s="314"/>
      <c r="AO1366" s="314"/>
      <c r="AP1366" s="314"/>
      <c r="AQ1366" s="314"/>
      <c r="AR1366" s="314"/>
      <c r="AS1366" s="314"/>
      <c r="AT1366" s="314"/>
      <c r="AU1366" s="314"/>
      <c r="AV1366" s="314"/>
      <c r="AW1366" s="314"/>
      <c r="AX1366" s="314"/>
      <c r="AY1366" s="314"/>
      <c r="AZ1366" s="314"/>
      <c r="BA1366" s="314"/>
      <c r="BB1366" s="314"/>
      <c r="BC1366" s="314"/>
      <c r="BD1366" s="314"/>
      <c r="BE1366" s="314"/>
      <c r="BG1366" s="364"/>
      <c r="BH1366" s="314"/>
      <c r="BI1366" s="314"/>
      <c r="BJ1366" s="314"/>
      <c r="BK1366" s="314"/>
      <c r="BL1366" s="314"/>
      <c r="BM1366" s="314"/>
      <c r="BN1366" s="314"/>
      <c r="BO1366" s="314"/>
      <c r="BP1366" s="314"/>
      <c r="BQ1366" s="314"/>
      <c r="BR1366" s="314"/>
      <c r="BS1366" s="314"/>
      <c r="BT1366" s="314"/>
      <c r="BU1366" s="314"/>
      <c r="BV1366" s="314"/>
      <c r="BW1366" s="314"/>
      <c r="BX1366" s="314"/>
      <c r="BY1366" s="314"/>
      <c r="BZ1366" s="314"/>
      <c r="CA1366" s="314"/>
      <c r="CB1366" s="314"/>
      <c r="CC1366" s="314"/>
      <c r="CD1366" s="314"/>
      <c r="CE1366" s="314"/>
      <c r="CF1366" s="314"/>
      <c r="CG1366" s="314"/>
      <c r="CH1366" s="314"/>
      <c r="CI1366" s="314"/>
      <c r="CJ1366" s="314"/>
      <c r="CK1366" s="314"/>
      <c r="CL1366" s="314"/>
      <c r="CM1366" s="314"/>
      <c r="CN1366" s="314"/>
      <c r="CO1366" s="314"/>
      <c r="CP1366" s="314"/>
      <c r="CQ1366" s="314"/>
    </row>
    <row r="1367" spans="1:95" ht="5.15" customHeight="1" x14ac:dyDescent="0.25">
      <c r="A1367" s="307"/>
      <c r="C1367" s="76"/>
      <c r="D1367" s="76"/>
      <c r="E1367" s="76"/>
      <c r="F1367" s="76"/>
      <c r="G1367" s="76"/>
      <c r="H1367" s="76"/>
      <c r="I1367" s="76"/>
      <c r="J1367" s="76"/>
      <c r="K1367" s="76"/>
      <c r="L1367" s="76"/>
      <c r="O1367" s="160"/>
      <c r="P1367" s="109"/>
      <c r="Q1367" s="312"/>
      <c r="R1367" s="312"/>
      <c r="S1367" s="314"/>
      <c r="T1367" s="314"/>
      <c r="U1367" s="314"/>
      <c r="V1367" s="314"/>
      <c r="W1367" s="314"/>
      <c r="X1367" s="314"/>
      <c r="Y1367" s="314"/>
      <c r="Z1367" s="314"/>
      <c r="AA1367" s="314"/>
      <c r="AB1367" s="314"/>
      <c r="AC1367" s="314"/>
      <c r="AD1367" s="314"/>
      <c r="AE1367" s="314"/>
      <c r="AF1367" s="314"/>
      <c r="AG1367" s="314"/>
      <c r="AH1367" s="314"/>
      <c r="AI1367" s="314"/>
      <c r="AJ1367" s="314"/>
      <c r="AK1367" s="314"/>
      <c r="AL1367" s="314"/>
      <c r="AM1367" s="314"/>
      <c r="AN1367" s="314"/>
      <c r="AO1367" s="314"/>
      <c r="AP1367" s="314"/>
      <c r="AQ1367" s="314"/>
      <c r="AR1367" s="314"/>
      <c r="AS1367" s="314"/>
      <c r="AT1367" s="314"/>
      <c r="AU1367" s="314"/>
      <c r="AV1367" s="314"/>
      <c r="AW1367" s="314"/>
      <c r="AX1367" s="314"/>
      <c r="AY1367" s="314"/>
      <c r="AZ1367" s="314"/>
      <c r="BA1367" s="314"/>
      <c r="BB1367" s="314"/>
      <c r="BC1367" s="314"/>
      <c r="BD1367" s="314"/>
      <c r="BE1367" s="314"/>
      <c r="BG1367" s="364"/>
      <c r="BH1367" s="314"/>
      <c r="BI1367" s="314"/>
      <c r="BJ1367" s="314"/>
      <c r="BK1367" s="314"/>
      <c r="BL1367" s="314"/>
      <c r="BM1367" s="314"/>
      <c r="BN1367" s="314"/>
      <c r="BO1367" s="314"/>
      <c r="BP1367" s="314"/>
      <c r="BQ1367" s="314"/>
      <c r="BR1367" s="314"/>
      <c r="BS1367" s="314"/>
      <c r="BT1367" s="314"/>
      <c r="BU1367" s="314"/>
      <c r="BV1367" s="314"/>
      <c r="BW1367" s="314"/>
      <c r="BX1367" s="314"/>
      <c r="BY1367" s="314"/>
      <c r="BZ1367" s="314"/>
      <c r="CA1367" s="314"/>
      <c r="CB1367" s="314"/>
      <c r="CC1367" s="314"/>
      <c r="CD1367" s="314"/>
      <c r="CE1367" s="314"/>
      <c r="CF1367" s="314"/>
      <c r="CG1367" s="314"/>
      <c r="CH1367" s="314"/>
      <c r="CI1367" s="314"/>
      <c r="CJ1367" s="314"/>
      <c r="CK1367" s="314"/>
      <c r="CL1367" s="314"/>
      <c r="CM1367" s="314"/>
      <c r="CN1367" s="314"/>
      <c r="CO1367" s="314"/>
      <c r="CP1367" s="314"/>
      <c r="CQ1367" s="314"/>
    </row>
    <row r="1368" spans="1:95" ht="12.75" customHeight="1" thickBot="1" x14ac:dyDescent="0.3">
      <c r="A1368" s="307"/>
      <c r="C1368" s="76"/>
      <c r="D1368" s="76"/>
      <c r="E1368" s="76"/>
      <c r="F1368" s="76"/>
      <c r="G1368" s="1268">
        <v>1</v>
      </c>
      <c r="H1368" s="1268"/>
      <c r="I1368" s="1268">
        <v>2</v>
      </c>
      <c r="J1368" s="1268"/>
      <c r="K1368" s="1268">
        <v>3</v>
      </c>
      <c r="L1368" s="1268"/>
      <c r="O1368" s="160"/>
      <c r="P1368" s="109"/>
      <c r="Q1368" s="312"/>
      <c r="R1368" s="312"/>
      <c r="S1368" s="314"/>
      <c r="T1368" s="314"/>
      <c r="U1368" s="314"/>
      <c r="V1368" s="314"/>
      <c r="W1368" s="314"/>
      <c r="X1368" s="314"/>
      <c r="Y1368" s="314"/>
      <c r="Z1368" s="314"/>
      <c r="AA1368" s="314"/>
      <c r="AB1368" s="314"/>
      <c r="AC1368" s="314"/>
      <c r="AD1368" s="314"/>
      <c r="AE1368" s="314"/>
      <c r="AF1368" s="314"/>
      <c r="AG1368" s="314"/>
      <c r="AH1368" s="314"/>
      <c r="AI1368" s="314"/>
      <c r="AJ1368" s="314"/>
      <c r="AK1368" s="314"/>
      <c r="AL1368" s="314"/>
      <c r="AM1368" s="314"/>
      <c r="AN1368" s="314"/>
      <c r="AO1368" s="314"/>
      <c r="AP1368" s="314"/>
      <c r="AQ1368" s="314"/>
      <c r="AR1368" s="314"/>
      <c r="AS1368" s="314"/>
      <c r="AT1368" s="314"/>
      <c r="AU1368" s="314"/>
      <c r="AV1368" s="314"/>
      <c r="AW1368" s="314"/>
      <c r="AX1368" s="314"/>
      <c r="AY1368" s="314"/>
      <c r="AZ1368" s="314"/>
      <c r="BA1368" s="314"/>
      <c r="BB1368" s="314"/>
      <c r="BC1368" s="314"/>
      <c r="BD1368" s="314"/>
      <c r="BE1368" s="314"/>
      <c r="BF1368" s="314"/>
      <c r="BG1368" s="364"/>
      <c r="BH1368" s="314"/>
      <c r="BI1368" s="314"/>
      <c r="BJ1368" s="314"/>
      <c r="BK1368" s="314"/>
      <c r="BL1368" s="314"/>
      <c r="BM1368" s="314"/>
      <c r="BN1368" s="314"/>
      <c r="BO1368" s="314"/>
      <c r="BP1368" s="314"/>
      <c r="BQ1368" s="314"/>
      <c r="BR1368" s="314"/>
      <c r="BS1368" s="314"/>
      <c r="BT1368" s="314"/>
      <c r="BU1368" s="314"/>
      <c r="BV1368" s="314"/>
      <c r="BW1368" s="314"/>
      <c r="BX1368" s="314"/>
      <c r="BY1368" s="314"/>
      <c r="BZ1368" s="314"/>
      <c r="CA1368" s="314"/>
      <c r="CB1368" s="314"/>
      <c r="CC1368" s="314"/>
      <c r="CD1368" s="314"/>
      <c r="CE1368" s="314"/>
      <c r="CF1368" s="314"/>
      <c r="CG1368" s="314"/>
      <c r="CH1368" s="314"/>
      <c r="CI1368" s="314"/>
      <c r="CJ1368" s="314"/>
      <c r="CK1368" s="314"/>
      <c r="CL1368" s="314"/>
      <c r="CM1368" s="314"/>
      <c r="CN1368" s="314"/>
      <c r="CO1368" s="314"/>
      <c r="CP1368" s="314"/>
      <c r="CQ1368" s="314"/>
    </row>
    <row r="1369" spans="1:95" ht="12.75" customHeight="1" thickBot="1" x14ac:dyDescent="0.3">
      <c r="A1369" s="462"/>
      <c r="B1369" s="76"/>
      <c r="C1369" s="76"/>
      <c r="D1369" s="1246" t="str">
        <f>Translations!$B$372</f>
        <v>Consumers' CRF category:</v>
      </c>
      <c r="E1369" s="1246"/>
      <c r="F1369" s="1247"/>
      <c r="G1369" s="1248"/>
      <c r="H1369" s="1249"/>
      <c r="I1369" s="1248"/>
      <c r="J1369" s="1249"/>
      <c r="K1369" s="1248"/>
      <c r="L1369" s="1249"/>
      <c r="M1369" s="463" t="str">
        <f>IF(AND(E1348&lt;&gt;"",COUNTA(G1369:L1369)=0,AX1369=FALSE),EUconst_ERR_Incomplete,"")</f>
        <v/>
      </c>
      <c r="N1369" s="76"/>
      <c r="O1369" s="160"/>
      <c r="P1369" s="109"/>
      <c r="Q1369" s="312"/>
      <c r="R1369" s="312"/>
      <c r="S1369" s="314"/>
      <c r="T1369" s="314"/>
      <c r="U1369" s="314"/>
      <c r="V1369" s="314"/>
      <c r="W1369" s="314"/>
      <c r="X1369" s="314"/>
      <c r="Y1369" s="314"/>
      <c r="Z1369" s="314"/>
      <c r="AA1369" s="314"/>
      <c r="AB1369" s="314"/>
      <c r="AC1369" s="314"/>
      <c r="AD1369" s="314"/>
      <c r="AE1369" s="314"/>
      <c r="AF1369" s="314"/>
      <c r="AG1369" s="314"/>
      <c r="AH1369" s="314"/>
      <c r="AI1369" s="314"/>
      <c r="AJ1369" s="314"/>
      <c r="AK1369" s="314"/>
      <c r="AL1369" s="314"/>
      <c r="AM1369" s="314"/>
      <c r="AN1369" s="314"/>
      <c r="AO1369" s="314"/>
      <c r="AP1369" s="314"/>
      <c r="AQ1369" s="314"/>
      <c r="AR1369" s="314"/>
      <c r="AS1369" s="314"/>
      <c r="AT1369" s="314"/>
      <c r="AU1369" s="314"/>
      <c r="AV1369" s="314"/>
      <c r="AW1369" s="314"/>
      <c r="AX1369" s="464" t="b">
        <f>AND(AV1365&lt;&gt;"",SUM(AV1365=1))</f>
        <v>0</v>
      </c>
      <c r="AY1369" s="314"/>
      <c r="AZ1369" s="314"/>
      <c r="BA1369" s="314"/>
      <c r="BB1369" s="314"/>
      <c r="BC1369" s="314"/>
      <c r="BD1369" s="314"/>
      <c r="BE1369" s="314"/>
      <c r="BF1369" s="361" t="s">
        <v>169</v>
      </c>
      <c r="BG1369" s="362" t="str">
        <f>IF(AN1354=EUconst_TJ,AV1354*AV1362,IF(AN1356=EUconst_GJ,AV1354*AV1356/1000*AV1362,""))</f>
        <v/>
      </c>
      <c r="BH1369" s="314"/>
      <c r="BI1369" s="314"/>
      <c r="BJ1369" s="314"/>
      <c r="BK1369" s="314"/>
      <c r="BL1369" s="314"/>
      <c r="BM1369" s="314"/>
      <c r="BN1369" s="314"/>
      <c r="BO1369" s="314"/>
      <c r="BP1369" s="314"/>
      <c r="BQ1369" s="314"/>
      <c r="BR1369" s="314"/>
      <c r="BS1369" s="314"/>
      <c r="BT1369" s="314"/>
      <c r="BU1369" s="314"/>
      <c r="BV1369" s="314"/>
      <c r="BW1369" s="314"/>
      <c r="BX1369" s="314"/>
      <c r="BY1369" s="314"/>
      <c r="BZ1369" s="314"/>
      <c r="CA1369" s="314"/>
      <c r="CB1369" s="314"/>
      <c r="CC1369" s="314"/>
      <c r="CD1369" s="314"/>
      <c r="CE1369" s="314"/>
      <c r="CF1369" s="314"/>
      <c r="CG1369" s="314"/>
      <c r="CH1369" s="314"/>
      <c r="CI1369" s="314"/>
      <c r="CJ1369" s="314"/>
      <c r="CK1369" s="314"/>
      <c r="CL1369" s="314"/>
      <c r="CM1369" s="314"/>
      <c r="CN1369" s="314"/>
      <c r="CO1369" s="314"/>
      <c r="CP1369" s="314"/>
      <c r="CQ1369" s="314"/>
    </row>
    <row r="1370" spans="1:95" ht="5.15" customHeight="1" x14ac:dyDescent="0.25">
      <c r="A1370" s="307"/>
      <c r="B1370" s="68"/>
      <c r="C1370" s="68"/>
      <c r="D1370" s="68"/>
      <c r="E1370" s="68"/>
      <c r="F1370" s="68"/>
      <c r="G1370" s="76"/>
      <c r="H1370" s="76"/>
      <c r="I1370" s="76"/>
      <c r="J1370" s="76"/>
      <c r="K1370" s="76"/>
      <c r="L1370" s="76"/>
      <c r="M1370" s="76"/>
      <c r="N1370" s="76"/>
      <c r="O1370" s="160"/>
      <c r="P1370" s="109"/>
      <c r="Q1370" s="312"/>
      <c r="R1370" s="312"/>
      <c r="S1370" s="314"/>
      <c r="T1370" s="314"/>
      <c r="U1370" s="314"/>
      <c r="V1370" s="314"/>
      <c r="W1370" s="314"/>
      <c r="X1370" s="314"/>
      <c r="Y1370" s="314"/>
      <c r="Z1370" s="314"/>
      <c r="AA1370" s="314"/>
      <c r="AB1370" s="314"/>
      <c r="AC1370" s="314"/>
      <c r="AD1370" s="314"/>
      <c r="AE1370" s="314"/>
      <c r="AF1370" s="314"/>
      <c r="AG1370" s="314"/>
      <c r="AH1370" s="314"/>
      <c r="AI1370" s="314"/>
      <c r="AJ1370" s="314"/>
      <c r="AK1370" s="314"/>
      <c r="AL1370" s="314"/>
      <c r="AM1370" s="314"/>
      <c r="AN1370" s="314"/>
      <c r="AO1370" s="314"/>
      <c r="AP1370" s="314"/>
      <c r="AQ1370" s="314"/>
      <c r="AR1370" s="314"/>
      <c r="AS1370" s="314"/>
      <c r="AT1370" s="314"/>
      <c r="AU1370" s="314"/>
      <c r="AV1370" s="314"/>
      <c r="AW1370" s="314"/>
      <c r="AX1370" s="314"/>
      <c r="AY1370" s="314"/>
      <c r="AZ1370" s="314"/>
      <c r="BA1370" s="314"/>
      <c r="BB1370" s="314"/>
      <c r="BC1370" s="314"/>
      <c r="BD1370" s="314"/>
      <c r="BE1370" s="314"/>
      <c r="BF1370" s="314"/>
      <c r="BG1370" s="314"/>
      <c r="BH1370" s="314"/>
      <c r="BI1370" s="314"/>
      <c r="BJ1370" s="314"/>
      <c r="BK1370" s="314"/>
      <c r="BL1370" s="314"/>
      <c r="BM1370" s="314"/>
      <c r="BN1370" s="314"/>
      <c r="BO1370" s="314"/>
      <c r="BP1370" s="314"/>
      <c r="BQ1370" s="314"/>
      <c r="BR1370" s="314"/>
      <c r="BS1370" s="314"/>
      <c r="BT1370" s="314"/>
      <c r="BU1370" s="314"/>
      <c r="BV1370" s="314"/>
      <c r="BW1370" s="314"/>
      <c r="BX1370" s="314"/>
      <c r="BY1370" s="314"/>
      <c r="BZ1370" s="314"/>
      <c r="CA1370" s="314"/>
      <c r="CB1370" s="314"/>
      <c r="CC1370" s="314"/>
      <c r="CD1370" s="314"/>
      <c r="CE1370" s="314"/>
      <c r="CF1370" s="314"/>
      <c r="CG1370" s="314"/>
      <c r="CH1370" s="314"/>
      <c r="CI1370" s="314"/>
      <c r="CJ1370" s="314"/>
      <c r="CK1370" s="314"/>
      <c r="CL1370" s="314"/>
      <c r="CM1370" s="314"/>
      <c r="CN1370" s="314"/>
      <c r="CO1370" s="314"/>
      <c r="CP1370" s="314"/>
      <c r="CQ1370" s="314"/>
    </row>
    <row r="1371" spans="1:95" ht="12.75" customHeight="1" x14ac:dyDescent="0.25">
      <c r="A1371" s="307"/>
      <c r="B1371" s="68"/>
      <c r="C1371" s="68"/>
      <c r="D1371" s="1246" t="str">
        <f>Translations!$B$399</f>
        <v>Tiers valid from:</v>
      </c>
      <c r="E1371" s="1246"/>
      <c r="F1371" s="1247"/>
      <c r="G1371" s="8"/>
      <c r="H1371" s="199" t="str">
        <f>Translations!$B$400</f>
        <v>until:</v>
      </c>
      <c r="I1371" s="8"/>
      <c r="J1371" s="76"/>
      <c r="K1371" s="76"/>
      <c r="L1371" s="76"/>
      <c r="M1371" s="199" t="str">
        <f>Translations!$B$401</f>
        <v>ID used in the monitoring plan for this fuel stream:</v>
      </c>
      <c r="N1371" s="9"/>
      <c r="O1371" s="160"/>
      <c r="P1371" s="109"/>
      <c r="Q1371" s="312"/>
      <c r="R1371" s="312"/>
      <c r="S1371" s="465"/>
      <c r="T1371" s="314"/>
      <c r="U1371" s="314"/>
      <c r="V1371" s="314"/>
      <c r="W1371" s="314"/>
      <c r="X1371" s="314"/>
      <c r="Y1371" s="314"/>
      <c r="Z1371" s="314"/>
      <c r="AA1371" s="314"/>
      <c r="AB1371" s="314"/>
      <c r="AC1371" s="314"/>
      <c r="AD1371" s="314"/>
      <c r="AE1371" s="314"/>
      <c r="AF1371" s="314"/>
      <c r="AG1371" s="314"/>
      <c r="AH1371" s="314"/>
      <c r="AI1371" s="314"/>
      <c r="AJ1371" s="314"/>
      <c r="AK1371" s="314"/>
      <c r="AL1371" s="314"/>
      <c r="AM1371" s="314"/>
      <c r="AN1371" s="314"/>
      <c r="AO1371" s="314"/>
      <c r="AP1371" s="314"/>
      <c r="AQ1371" s="314"/>
      <c r="AR1371" s="314"/>
      <c r="AS1371" s="314"/>
      <c r="AT1371" s="314"/>
      <c r="AU1371" s="314"/>
      <c r="AV1371" s="314"/>
      <c r="AW1371" s="314"/>
      <c r="AX1371" s="314"/>
      <c r="AY1371" s="314"/>
      <c r="AZ1371" s="314"/>
      <c r="BA1371" s="314"/>
      <c r="BB1371" s="314"/>
      <c r="BC1371" s="314"/>
      <c r="BD1371" s="314"/>
      <c r="BE1371" s="314"/>
      <c r="BF1371" s="314"/>
      <c r="BG1371" s="314"/>
      <c r="BH1371" s="314"/>
      <c r="BI1371" s="314"/>
      <c r="BJ1371" s="314"/>
      <c r="BK1371" s="314"/>
      <c r="BL1371" s="314"/>
      <c r="BM1371" s="314"/>
      <c r="BN1371" s="314"/>
      <c r="BO1371" s="314"/>
      <c r="BP1371" s="314"/>
      <c r="BQ1371" s="314"/>
      <c r="BR1371" s="314"/>
      <c r="BS1371" s="314"/>
      <c r="BT1371" s="314"/>
      <c r="BU1371" s="314"/>
      <c r="BV1371" s="314"/>
      <c r="BW1371" s="314"/>
      <c r="BX1371" s="314"/>
      <c r="BY1371" s="314"/>
      <c r="BZ1371" s="314"/>
      <c r="CA1371" s="314"/>
      <c r="CB1371" s="314"/>
      <c r="CC1371" s="314"/>
      <c r="CD1371" s="314"/>
      <c r="CE1371" s="314"/>
      <c r="CF1371" s="314"/>
      <c r="CG1371" s="314"/>
      <c r="CH1371" s="314"/>
      <c r="CI1371" s="314"/>
      <c r="CJ1371" s="314"/>
      <c r="CK1371" s="314"/>
      <c r="CL1371" s="314"/>
      <c r="CM1371" s="314"/>
      <c r="CN1371" s="314"/>
      <c r="CO1371" s="314"/>
      <c r="CP1371" s="314"/>
      <c r="CQ1371" s="464" t="b">
        <f>CQ1354</f>
        <v>0</v>
      </c>
    </row>
    <row r="1372" spans="1:95" ht="5.15" customHeight="1" x14ac:dyDescent="0.25">
      <c r="A1372" s="462"/>
      <c r="B1372" s="76"/>
      <c r="C1372" s="76"/>
      <c r="D1372" s="76"/>
      <c r="E1372" s="76"/>
      <c r="F1372" s="76"/>
      <c r="G1372" s="76"/>
      <c r="H1372" s="76"/>
      <c r="I1372" s="76"/>
      <c r="J1372" s="76"/>
      <c r="K1372" s="76"/>
      <c r="L1372" s="76"/>
      <c r="M1372" s="76"/>
      <c r="N1372" s="76"/>
      <c r="O1372" s="160"/>
      <c r="P1372" s="109"/>
      <c r="Q1372" s="312"/>
      <c r="R1372" s="312"/>
      <c r="S1372" s="314"/>
      <c r="T1372" s="314"/>
      <c r="U1372" s="314"/>
      <c r="V1372" s="314"/>
      <c r="W1372" s="314"/>
      <c r="X1372" s="314"/>
      <c r="Y1372" s="314"/>
      <c r="Z1372" s="314"/>
      <c r="AA1372" s="314"/>
      <c r="AB1372" s="314"/>
      <c r="AC1372" s="314"/>
      <c r="AD1372" s="314"/>
      <c r="AE1372" s="314"/>
      <c r="AF1372" s="314"/>
      <c r="AG1372" s="314"/>
      <c r="AH1372" s="314"/>
      <c r="AI1372" s="314"/>
      <c r="AJ1372" s="314"/>
      <c r="AK1372" s="314"/>
      <c r="AL1372" s="314"/>
      <c r="AM1372" s="314"/>
      <c r="AN1372" s="314"/>
      <c r="AO1372" s="314"/>
      <c r="AP1372" s="314"/>
      <c r="AQ1372" s="314"/>
      <c r="AR1372" s="314"/>
      <c r="AS1372" s="314"/>
      <c r="AT1372" s="314"/>
      <c r="AU1372" s="314"/>
      <c r="AV1372" s="314"/>
      <c r="AW1372" s="314"/>
      <c r="AX1372" s="314"/>
      <c r="AY1372" s="314"/>
      <c r="AZ1372" s="314"/>
      <c r="BA1372" s="314"/>
      <c r="BB1372" s="314"/>
      <c r="BC1372" s="314"/>
      <c r="BD1372" s="314"/>
      <c r="BE1372" s="314"/>
      <c r="BF1372" s="314"/>
      <c r="BG1372" s="314"/>
      <c r="BH1372" s="314"/>
      <c r="BI1372" s="314"/>
      <c r="BJ1372" s="314"/>
      <c r="BK1372" s="314"/>
      <c r="BL1372" s="314"/>
      <c r="BM1372" s="314"/>
      <c r="BN1372" s="314"/>
      <c r="BO1372" s="314"/>
      <c r="BP1372" s="314"/>
      <c r="BQ1372" s="314"/>
      <c r="BR1372" s="314"/>
      <c r="BS1372" s="314"/>
      <c r="BT1372" s="314"/>
      <c r="BU1372" s="314"/>
      <c r="BV1372" s="314"/>
      <c r="BW1372" s="314"/>
      <c r="BX1372" s="314"/>
      <c r="BY1372" s="314"/>
      <c r="BZ1372" s="314"/>
      <c r="CA1372" s="314"/>
      <c r="CB1372" s="314"/>
      <c r="CC1372" s="314"/>
      <c r="CD1372" s="314"/>
      <c r="CE1372" s="314"/>
      <c r="CF1372" s="314"/>
      <c r="CG1372" s="314"/>
      <c r="CH1372" s="314"/>
      <c r="CI1372" s="314"/>
      <c r="CJ1372" s="314"/>
      <c r="CK1372" s="314"/>
      <c r="CL1372" s="314"/>
      <c r="CM1372" s="314"/>
      <c r="CN1372" s="314"/>
      <c r="CO1372" s="314"/>
      <c r="CP1372" s="314"/>
      <c r="CQ1372" s="314"/>
    </row>
    <row r="1373" spans="1:95" ht="12.75" customHeight="1" x14ac:dyDescent="0.25">
      <c r="A1373" s="462"/>
      <c r="B1373" s="76"/>
      <c r="C1373" s="76"/>
      <c r="D1373" s="115"/>
      <c r="E1373" s="85"/>
      <c r="F1373" s="466" t="str">
        <f>Translations!$B$304</f>
        <v>Comments:</v>
      </c>
      <c r="G1373" s="1250"/>
      <c r="H1373" s="1251"/>
      <c r="I1373" s="1251"/>
      <c r="J1373" s="1251"/>
      <c r="K1373" s="1251"/>
      <c r="L1373" s="1251"/>
      <c r="M1373" s="1251"/>
      <c r="N1373" s="1252"/>
      <c r="O1373" s="160"/>
      <c r="P1373" s="109"/>
      <c r="Q1373" s="312"/>
      <c r="R1373" s="312"/>
      <c r="S1373" s="314"/>
      <c r="T1373" s="314"/>
      <c r="U1373" s="314"/>
      <c r="V1373" s="314"/>
      <c r="W1373" s="314"/>
      <c r="X1373" s="314"/>
      <c r="Y1373" s="314"/>
      <c r="Z1373" s="314"/>
      <c r="AA1373" s="314"/>
      <c r="AB1373" s="314"/>
      <c r="AC1373" s="314"/>
      <c r="AD1373" s="314"/>
      <c r="AE1373" s="314"/>
      <c r="AF1373" s="314"/>
      <c r="AG1373" s="314"/>
      <c r="AH1373" s="314"/>
      <c r="AI1373" s="314"/>
      <c r="AJ1373" s="314"/>
      <c r="AK1373" s="314"/>
      <c r="AL1373" s="314"/>
      <c r="AM1373" s="314"/>
      <c r="AN1373" s="314"/>
      <c r="AO1373" s="314"/>
      <c r="AP1373" s="314"/>
      <c r="AQ1373" s="314"/>
      <c r="AR1373" s="314"/>
      <c r="AS1373" s="314"/>
      <c r="AT1373" s="314"/>
      <c r="AU1373" s="314"/>
      <c r="AV1373" s="314"/>
      <c r="AW1373" s="314"/>
      <c r="AX1373" s="314"/>
      <c r="AY1373" s="314"/>
      <c r="AZ1373" s="314"/>
      <c r="BA1373" s="314"/>
      <c r="BB1373" s="314"/>
      <c r="BC1373" s="314"/>
      <c r="BD1373" s="314"/>
      <c r="BE1373" s="314"/>
      <c r="BF1373" s="314"/>
      <c r="BG1373" s="314"/>
      <c r="BH1373" s="314"/>
      <c r="BI1373" s="314"/>
      <c r="BJ1373" s="314"/>
      <c r="BK1373" s="314"/>
      <c r="BL1373" s="314"/>
      <c r="BM1373" s="314"/>
      <c r="BN1373" s="314"/>
      <c r="BO1373" s="314"/>
      <c r="BP1373" s="314"/>
      <c r="BQ1373" s="314"/>
      <c r="BR1373" s="314"/>
      <c r="BS1373" s="314"/>
      <c r="BT1373" s="314"/>
      <c r="BU1373" s="314"/>
      <c r="BV1373" s="314"/>
      <c r="BW1373" s="314"/>
      <c r="BX1373" s="314"/>
      <c r="BY1373" s="314"/>
      <c r="BZ1373" s="314"/>
      <c r="CA1373" s="314"/>
      <c r="CB1373" s="314"/>
      <c r="CC1373" s="314"/>
      <c r="CD1373" s="314"/>
      <c r="CE1373" s="314"/>
      <c r="CF1373" s="314"/>
      <c r="CG1373" s="314"/>
      <c r="CH1373" s="314"/>
      <c r="CI1373" s="314"/>
      <c r="CJ1373" s="314"/>
      <c r="CK1373" s="314"/>
      <c r="CL1373" s="314"/>
      <c r="CM1373" s="314"/>
      <c r="CN1373" s="314"/>
      <c r="CO1373" s="314"/>
      <c r="CP1373" s="314"/>
      <c r="CQ1373" s="464" t="b">
        <f>CQ1371</f>
        <v>0</v>
      </c>
    </row>
    <row r="1374" spans="1:95" ht="12.75" customHeight="1" thickBot="1" x14ac:dyDescent="0.3">
      <c r="A1374" s="307"/>
      <c r="B1374" s="76"/>
      <c r="C1374" s="308"/>
      <c r="D1374" s="309"/>
      <c r="E1374" s="310"/>
      <c r="F1374" s="308"/>
      <c r="G1374" s="311"/>
      <c r="H1374" s="311"/>
      <c r="I1374" s="311"/>
      <c r="J1374" s="311"/>
      <c r="K1374" s="311"/>
      <c r="L1374" s="311"/>
      <c r="M1374" s="311"/>
      <c r="N1374" s="311"/>
      <c r="O1374" s="160"/>
      <c r="P1374" s="109"/>
      <c r="Q1374" s="312"/>
      <c r="R1374" s="312"/>
      <c r="S1374" s="293"/>
      <c r="T1374" s="293"/>
      <c r="U1374" s="313"/>
      <c r="V1374" s="293"/>
      <c r="W1374" s="293"/>
      <c r="X1374" s="313"/>
      <c r="Y1374" s="293"/>
      <c r="Z1374" s="293"/>
      <c r="AA1374" s="293"/>
      <c r="AB1374" s="293"/>
      <c r="AC1374" s="293"/>
      <c r="AD1374" s="293"/>
      <c r="AE1374" s="293"/>
      <c r="AF1374" s="293"/>
      <c r="AG1374" s="293"/>
      <c r="AH1374" s="293"/>
      <c r="AI1374" s="293"/>
      <c r="AJ1374" s="293"/>
      <c r="AK1374" s="293"/>
      <c r="AL1374" s="293"/>
      <c r="AM1374" s="293"/>
      <c r="AN1374" s="293"/>
      <c r="AO1374" s="293"/>
      <c r="AP1374" s="293"/>
      <c r="AQ1374" s="293"/>
      <c r="AR1374" s="293"/>
      <c r="AS1374" s="293"/>
      <c r="AT1374" s="293"/>
      <c r="AU1374" s="293"/>
      <c r="AV1374" s="293"/>
      <c r="AW1374" s="293"/>
      <c r="AX1374" s="293"/>
      <c r="AY1374" s="293"/>
      <c r="AZ1374" s="293"/>
      <c r="BA1374" s="293"/>
      <c r="BB1374" s="293"/>
      <c r="BC1374" s="293"/>
      <c r="BD1374" s="293"/>
      <c r="BE1374" s="293"/>
      <c r="BF1374" s="293"/>
      <c r="BG1374" s="293"/>
      <c r="BH1374" s="293"/>
      <c r="BI1374" s="293"/>
      <c r="BJ1374" s="293"/>
      <c r="BK1374" s="293"/>
      <c r="BL1374" s="293"/>
      <c r="BM1374" s="314"/>
      <c r="BN1374" s="314"/>
      <c r="BO1374" s="314"/>
      <c r="BP1374" s="314"/>
      <c r="BQ1374" s="314"/>
      <c r="BR1374" s="314"/>
      <c r="BS1374" s="314"/>
      <c r="BT1374" s="314"/>
      <c r="BU1374" s="293"/>
      <c r="BV1374" s="293"/>
      <c r="BW1374" s="293"/>
      <c r="BX1374" s="293"/>
      <c r="BY1374" s="293"/>
      <c r="BZ1374" s="293"/>
      <c r="CA1374" s="293"/>
      <c r="CB1374" s="293"/>
      <c r="CC1374" s="293"/>
      <c r="CD1374" s="293"/>
      <c r="CE1374" s="293"/>
      <c r="CF1374" s="293"/>
      <c r="CG1374" s="293"/>
      <c r="CH1374" s="293"/>
      <c r="CI1374" s="293"/>
      <c r="CJ1374" s="293"/>
      <c r="CK1374" s="293"/>
      <c r="CL1374" s="293"/>
      <c r="CM1374" s="293"/>
      <c r="CN1374" s="293"/>
      <c r="CO1374" s="293"/>
      <c r="CP1374" s="293"/>
      <c r="CQ1374" s="293"/>
    </row>
    <row r="1375" spans="1:95" ht="12.75" customHeight="1" thickBot="1" x14ac:dyDescent="0.3">
      <c r="A1375" s="315"/>
      <c r="B1375" s="76"/>
      <c r="C1375" s="76"/>
      <c r="D1375" s="205"/>
      <c r="E1375" s="316"/>
      <c r="F1375" s="76"/>
      <c r="G1375" s="96"/>
      <c r="H1375" s="96"/>
      <c r="I1375" s="96"/>
      <c r="J1375" s="96"/>
      <c r="K1375" s="76"/>
      <c r="L1375" s="96"/>
      <c r="M1375" s="96"/>
      <c r="N1375" s="96"/>
      <c r="O1375" s="160"/>
      <c r="P1375" s="109"/>
      <c r="Q1375" s="312"/>
      <c r="R1375" s="312"/>
      <c r="S1375" s="287"/>
      <c r="T1375" s="317" t="str">
        <f>IF(ISBLANK(E1376),"",MATCH(E1376,CNTR_SourceStreamNames,0))</f>
        <v/>
      </c>
      <c r="U1375" s="318" t="str">
        <f>IF(ISBLANK(E1376),"",INDEX(B_IdentifyFuelStreams!$D$67:$D$116,MATCH(E1376,CNTR_SourceStreamNames,0)))</f>
        <v/>
      </c>
      <c r="V1375" s="301"/>
      <c r="W1375" s="138"/>
      <c r="X1375" s="138"/>
      <c r="Y1375" s="138"/>
      <c r="Z1375" s="293"/>
      <c r="AA1375" s="293"/>
      <c r="AB1375" s="293"/>
      <c r="AC1375" s="293"/>
      <c r="AD1375" s="293"/>
      <c r="AE1375" s="293"/>
      <c r="AF1375" s="293"/>
      <c r="AG1375" s="293"/>
      <c r="AH1375" s="293"/>
      <c r="AI1375" s="293"/>
      <c r="AJ1375" s="293"/>
      <c r="AK1375" s="312"/>
      <c r="AL1375" s="293"/>
      <c r="AM1375" s="293"/>
      <c r="AN1375" s="293"/>
      <c r="AO1375" s="293"/>
      <c r="AP1375" s="293"/>
      <c r="AQ1375" s="293"/>
      <c r="AR1375" s="293"/>
      <c r="AS1375" s="293"/>
      <c r="AT1375" s="293"/>
      <c r="AU1375" s="293"/>
      <c r="AV1375" s="293"/>
      <c r="AW1375" s="293"/>
      <c r="AX1375" s="293"/>
      <c r="AY1375" s="293"/>
      <c r="AZ1375" s="293"/>
      <c r="BA1375" s="293"/>
      <c r="BB1375" s="293"/>
      <c r="BC1375" s="293"/>
      <c r="BD1375" s="293"/>
      <c r="BE1375" s="293"/>
      <c r="BF1375" s="293"/>
      <c r="BG1375" s="293"/>
      <c r="BH1375" s="293"/>
      <c r="BI1375" s="293"/>
      <c r="BJ1375" s="138"/>
      <c r="BK1375" s="138"/>
      <c r="BL1375" s="138"/>
      <c r="BM1375" s="138"/>
      <c r="BN1375" s="138"/>
      <c r="BO1375" s="138"/>
      <c r="BP1375" s="138"/>
      <c r="BQ1375" s="138"/>
      <c r="BR1375" s="138"/>
      <c r="BS1375" s="138"/>
      <c r="BT1375" s="138"/>
      <c r="BU1375" s="138"/>
      <c r="BV1375" s="138"/>
      <c r="BW1375" s="138"/>
      <c r="BX1375" s="138"/>
      <c r="BY1375" s="138"/>
      <c r="BZ1375" s="138"/>
      <c r="CA1375" s="138"/>
      <c r="CB1375" s="138"/>
      <c r="CC1375" s="138"/>
      <c r="CD1375" s="138"/>
      <c r="CE1375" s="138"/>
      <c r="CF1375" s="138"/>
      <c r="CG1375" s="138"/>
      <c r="CH1375" s="138"/>
      <c r="CI1375" s="138"/>
      <c r="CJ1375" s="138"/>
      <c r="CK1375" s="138"/>
      <c r="CL1375" s="138"/>
      <c r="CM1375" s="138"/>
      <c r="CN1375" s="138"/>
      <c r="CO1375" s="138"/>
      <c r="CP1375" s="138"/>
      <c r="CQ1375" s="319" t="s">
        <v>107</v>
      </c>
    </row>
    <row r="1376" spans="1:95" ht="15" customHeight="1" thickBot="1" x14ac:dyDescent="0.3">
      <c r="A1376" s="320">
        <f>C1376</f>
        <v>48</v>
      </c>
      <c r="B1376" s="68"/>
      <c r="C1376" s="321">
        <f>C1348+1</f>
        <v>48</v>
      </c>
      <c r="D1376" s="68"/>
      <c r="E1376" s="1269"/>
      <c r="F1376" s="1270"/>
      <c r="G1376" s="1270"/>
      <c r="H1376" s="1270"/>
      <c r="I1376" s="1270"/>
      <c r="J1376" s="1271"/>
      <c r="K1376" s="1272" t="str">
        <f>IF(INDEX(B_IdentifyFuelStreams!$K$125:$K$174,MATCH(U1375,B_IdentifyFuelStreams!$D$125:$D$174,0))&gt;0,INDEX(B_IdentifyFuelStreams!$K$125:$K$174,MATCH(U1375,B_IdentifyFuelStreams!$D$125:$D$174,0)),"")</f>
        <v/>
      </c>
      <c r="L1376" s="1273"/>
      <c r="M1376" s="316" t="str">
        <f>Translations!$B$621</f>
        <v>Emissions:</v>
      </c>
      <c r="N1376" s="322" t="str">
        <f>IF(E1377="","",BG1382)</f>
        <v/>
      </c>
      <c r="O1376" s="323" t="str">
        <f>EUconst_tCO2</f>
        <v>tCO2</v>
      </c>
      <c r="P1376" s="324" t="str">
        <f>IF(AND(E1376&lt;&gt;"",COUNTIF(P1377:$P$1649,"PRINT")=0),"PRINT","")</f>
        <v/>
      </c>
      <c r="Q1376" s="325" t="str">
        <f>EUconst_SumCO2</f>
        <v>SUM_CO2</v>
      </c>
      <c r="R1376" s="312"/>
      <c r="S1376" s="287"/>
      <c r="T1376" s="287"/>
      <c r="U1376" s="287"/>
      <c r="V1376" s="301"/>
      <c r="W1376" s="138"/>
      <c r="X1376" s="293"/>
      <c r="Y1376" s="293"/>
      <c r="Z1376" s="293"/>
      <c r="AA1376" s="293"/>
      <c r="AB1376" s="293"/>
      <c r="AC1376" s="293"/>
      <c r="AD1376" s="293"/>
      <c r="AE1376" s="293"/>
      <c r="AF1376" s="293"/>
      <c r="AG1376" s="293"/>
      <c r="AH1376" s="293"/>
      <c r="AI1376" s="326"/>
      <c r="AJ1376" s="326"/>
      <c r="AK1376" s="326"/>
      <c r="AL1376" s="326"/>
      <c r="AM1376" s="326"/>
      <c r="AN1376" s="326"/>
      <c r="AO1376" s="326"/>
      <c r="AP1376" s="326"/>
      <c r="AQ1376" s="326"/>
      <c r="AR1376" s="326"/>
      <c r="AS1376" s="326"/>
      <c r="AT1376" s="326"/>
      <c r="AU1376" s="326"/>
      <c r="AV1376" s="326"/>
      <c r="AW1376" s="326"/>
      <c r="AX1376" s="326"/>
      <c r="AY1376" s="326"/>
      <c r="AZ1376" s="326"/>
      <c r="BA1376" s="326"/>
      <c r="BB1376" s="326"/>
      <c r="BC1376" s="326"/>
      <c r="BD1376" s="326"/>
      <c r="BE1376" s="326"/>
      <c r="BF1376" s="326"/>
      <c r="BG1376" s="326"/>
      <c r="BH1376" s="326"/>
      <c r="BI1376" s="327" t="str">
        <f>IF(E1376="","",E1376)</f>
        <v/>
      </c>
      <c r="BJ1376" s="328" t="str">
        <f>IF(F1382="","",F1382)</f>
        <v/>
      </c>
      <c r="BK1376" s="329">
        <f>AV1382</f>
        <v>0</v>
      </c>
      <c r="BL1376" s="329">
        <f>IF(BK1376="","",BK1376*(1-BP1376))</f>
        <v>0</v>
      </c>
      <c r="BM1376" s="328" t="str">
        <f>AJ1382</f>
        <v/>
      </c>
      <c r="BN1376" s="328" t="str">
        <f>IF(F1393="","",F1393)</f>
        <v/>
      </c>
      <c r="BO1376" s="327" t="str">
        <f>IF(G1393="","",G1393)</f>
        <v/>
      </c>
      <c r="BP1376" s="330">
        <f>AV1393</f>
        <v>0</v>
      </c>
      <c r="BQ1376" s="328" t="str">
        <f>IF(F1385="","",F1385)</f>
        <v/>
      </c>
      <c r="BR1376" s="330">
        <f>AV1385</f>
        <v>0</v>
      </c>
      <c r="BS1376" s="330" t="str">
        <f>AJ1385</f>
        <v/>
      </c>
      <c r="BT1376" s="328" t="str">
        <f>IF(F1384="","",F1384)</f>
        <v/>
      </c>
      <c r="BU1376" s="330">
        <f>IF(F1384=EUconst_NA,"",AV1384)</f>
        <v>0</v>
      </c>
      <c r="BV1376" s="330" t="str">
        <f>AJ1384</f>
        <v/>
      </c>
      <c r="BW1376" s="328" t="str">
        <f>IF(F1386="","",F1386)</f>
        <v/>
      </c>
      <c r="BX1376" s="330">
        <f>AV1386</f>
        <v>0</v>
      </c>
      <c r="BY1376" s="328" t="str">
        <f>IF(F1387="","",F1387)</f>
        <v/>
      </c>
      <c r="BZ1376" s="330">
        <f>AV1387</f>
        <v>0</v>
      </c>
      <c r="CA1376" s="330">
        <f>AV1388</f>
        <v>0</v>
      </c>
      <c r="CB1376" s="330">
        <f>AV1389</f>
        <v>0</v>
      </c>
      <c r="CC1376" s="330">
        <f>AV1390</f>
        <v>0</v>
      </c>
      <c r="CD1376" s="330">
        <f>AV1391</f>
        <v>0</v>
      </c>
      <c r="CE1376" s="329" t="str">
        <f>BG1382</f>
        <v/>
      </c>
      <c r="CF1376" s="329" t="str">
        <f>BG1384</f>
        <v/>
      </c>
      <c r="CG1376" s="329" t="str">
        <f>BG1385</f>
        <v/>
      </c>
      <c r="CH1376" s="329" t="str">
        <f>BG1386</f>
        <v/>
      </c>
      <c r="CI1376" s="329" t="str">
        <f>BG1387</f>
        <v/>
      </c>
      <c r="CJ1376" s="329" t="str">
        <f>BG1388</f>
        <v/>
      </c>
      <c r="CK1376" s="329" t="str">
        <f>BG1389</f>
        <v/>
      </c>
      <c r="CL1376" s="329">
        <f>BG1390</f>
        <v>0</v>
      </c>
      <c r="CM1376" s="329" t="str">
        <f>BG1391</f>
        <v/>
      </c>
      <c r="CN1376" s="329" t="str">
        <f>BG1393</f>
        <v/>
      </c>
      <c r="CO1376" s="329" t="str">
        <f>BG1397</f>
        <v/>
      </c>
      <c r="CP1376" s="329" t="str">
        <f>IF(COUNTIF(AO1385:AO1386,TRUE)=0,"",BH1382)</f>
        <v/>
      </c>
      <c r="CQ1376" s="331" t="b">
        <v>0</v>
      </c>
    </row>
    <row r="1377" spans="1:95" ht="15" customHeight="1" thickBot="1" x14ac:dyDescent="0.3">
      <c r="A1377" s="307"/>
      <c r="B1377" s="68"/>
      <c r="C1377" s="68"/>
      <c r="D1377" s="68"/>
      <c r="E1377" s="1274" t="str">
        <f>IF(ISBLANK(E1376),"",IF(INDEX(B_IdentifyFuelStreams!$E$67:$E$116,MATCH(U1375,B_IdentifyFuelStreams!$D$67:$D$116,0))&gt;0,INDEX(B_IdentifyFuelStreams!$E$67:$E$116,MATCH(U1375,B_IdentifyFuelStreams!$D$67:$D$116,0)),""))</f>
        <v/>
      </c>
      <c r="F1377" s="1275"/>
      <c r="G1377" s="1275"/>
      <c r="H1377" s="1275"/>
      <c r="I1377" s="1275"/>
      <c r="J1377" s="1276"/>
      <c r="K1377" s="1272" t="str">
        <f>IF(INDEX(B_IdentifyFuelStreams!$M$125:$M$174,MATCH(U1375,B_IdentifyFuelStreams!$D$125:$D$174,0))&gt;0,INDEX(B_IdentifyFuelStreams!$M$125:$M$174,MATCH(U1375,B_IdentifyFuelStreams!$D$125:$D$174,0)),"")</f>
        <v/>
      </c>
      <c r="L1377" s="1273"/>
      <c r="M1377" s="332" t="str">
        <f>Translations!$B$622</f>
        <v>zero-rated:</v>
      </c>
      <c r="N1377" s="333" t="str">
        <f>IF(E1377="","",SUM(BG1384,BG1386,BG1388))</f>
        <v/>
      </c>
      <c r="O1377" s="334" t="str">
        <f>EUconst_tCO2</f>
        <v>tCO2</v>
      </c>
      <c r="P1377" s="109"/>
      <c r="Q1377" s="325" t="str">
        <f>EUconst_SumBioCO2</f>
        <v>SUM_bioCO2</v>
      </c>
      <c r="R1377" s="312"/>
      <c r="S1377" s="287"/>
      <c r="T1377" s="287"/>
      <c r="U1377" s="287"/>
      <c r="V1377" s="301"/>
      <c r="W1377" s="138"/>
      <c r="X1377" s="293"/>
      <c r="Y1377" s="317" t="str">
        <f>Translations!$B$143</f>
        <v>Tiers</v>
      </c>
      <c r="Z1377" s="314"/>
      <c r="AA1377" s="314"/>
      <c r="AB1377" s="314"/>
      <c r="AC1377" s="314"/>
      <c r="AD1377" s="314"/>
      <c r="AE1377" s="317" t="s">
        <v>108</v>
      </c>
      <c r="AF1377" s="293"/>
      <c r="AG1377" s="335"/>
      <c r="AH1377" s="314"/>
      <c r="AI1377" s="314"/>
      <c r="AJ1377" s="335"/>
      <c r="AK1377" s="335"/>
      <c r="AL1377" s="326"/>
      <c r="AM1377" s="326"/>
      <c r="AN1377" s="326"/>
      <c r="AO1377" s="326"/>
      <c r="AP1377" s="326"/>
      <c r="AQ1377" s="317" t="s">
        <v>109</v>
      </c>
      <c r="AR1377" s="336"/>
      <c r="AS1377" s="336"/>
      <c r="AT1377" s="314"/>
      <c r="AU1377" s="314"/>
      <c r="AV1377" s="314"/>
      <c r="AW1377" s="314"/>
      <c r="AX1377" s="314"/>
      <c r="AY1377" s="314"/>
      <c r="AZ1377" s="317" t="s">
        <v>110</v>
      </c>
      <c r="BA1377" s="314"/>
      <c r="BB1377" s="314"/>
      <c r="BC1377" s="314"/>
      <c r="BD1377" s="314"/>
      <c r="BE1377" s="314"/>
      <c r="BF1377" s="317" t="s">
        <v>111</v>
      </c>
      <c r="BG1377" s="314"/>
      <c r="BH1377" s="314"/>
      <c r="BI1377" s="317" t="s">
        <v>112</v>
      </c>
      <c r="BJ1377" s="328" t="str">
        <f>Translations!$B$376</f>
        <v>RFA Tier</v>
      </c>
      <c r="BK1377" s="328" t="str">
        <f>Translations!$B$377</f>
        <v>RFA</v>
      </c>
      <c r="BL1377" s="328" t="str">
        <f>Translations!$B$378</f>
        <v>RFA (in scope)</v>
      </c>
      <c r="BM1377" s="328" t="str">
        <f>Translations!$B$379</f>
        <v>RFA Unit</v>
      </c>
      <c r="BN1377" s="328" t="str">
        <f>Translations!$B$380</f>
        <v>SF Tier</v>
      </c>
      <c r="BO1377" s="328" t="str">
        <f>Translations!$B$380</f>
        <v>SF Tier</v>
      </c>
      <c r="BP1377" s="328" t="str">
        <f>Translations!$B$381</f>
        <v>SF</v>
      </c>
      <c r="BQ1377" s="328" t="str">
        <f>Translations!$B$382</f>
        <v>EF Tier</v>
      </c>
      <c r="BR1377" s="328" t="str">
        <f>Translations!$B$383</f>
        <v>EF</v>
      </c>
      <c r="BS1377" s="328" t="str">
        <f>Translations!$B$384</f>
        <v>EF Unit</v>
      </c>
      <c r="BT1377" s="328" t="str">
        <f>Translations!$B$385</f>
        <v>UCF Tier</v>
      </c>
      <c r="BU1377" s="328" t="str">
        <f>Translations!$B$386</f>
        <v>UCF</v>
      </c>
      <c r="BV1377" s="328" t="str">
        <f>Translations!$B$387</f>
        <v>UCF Unit</v>
      </c>
      <c r="BW1377" s="328" t="str">
        <f>Translations!$B$388</f>
        <v>Bio Tier</v>
      </c>
      <c r="BX1377" s="328" t="s">
        <v>113</v>
      </c>
      <c r="BY1377" s="328" t="str">
        <f>Translations!$B$389</f>
        <v>NonSustBio Tier</v>
      </c>
      <c r="BZ1377" s="328" t="s">
        <v>114</v>
      </c>
      <c r="CA1377" s="328" t="s">
        <v>115</v>
      </c>
      <c r="CB1377" s="328" t="s">
        <v>116</v>
      </c>
      <c r="CC1377" s="328" t="s">
        <v>117</v>
      </c>
      <c r="CD1377" s="328" t="s">
        <v>118</v>
      </c>
      <c r="CE1377" s="328" t="s">
        <v>119</v>
      </c>
      <c r="CF1377" s="328" t="s">
        <v>120</v>
      </c>
      <c r="CG1377" s="328" t="str">
        <f>Translations!$B$392</f>
        <v>CO2 non-sust</v>
      </c>
      <c r="CH1377" s="328" t="s">
        <v>121</v>
      </c>
      <c r="CI1377" s="328" t="s">
        <v>122</v>
      </c>
      <c r="CJ1377" s="328" t="s">
        <v>123</v>
      </c>
      <c r="CK1377" s="328" t="s">
        <v>124</v>
      </c>
      <c r="CL1377" s="328" t="s">
        <v>125</v>
      </c>
      <c r="CM1377" s="328" t="str">
        <f>Translations!$B$551</f>
        <v>Energy content (bio), TJ</v>
      </c>
      <c r="CN1377" s="328" t="s">
        <v>126</v>
      </c>
      <c r="CO1377" s="328" t="s">
        <v>127</v>
      </c>
      <c r="CP1377" s="328" t="s">
        <v>128</v>
      </c>
      <c r="CQ1377" s="314"/>
    </row>
    <row r="1378" spans="1:95" ht="5.15" customHeight="1" thickBot="1" x14ac:dyDescent="0.3">
      <c r="A1378" s="307"/>
      <c r="B1378" s="68"/>
      <c r="C1378" s="68"/>
      <c r="D1378" s="68"/>
      <c r="E1378" s="68"/>
      <c r="F1378" s="68"/>
      <c r="G1378" s="68"/>
      <c r="H1378" s="76"/>
      <c r="I1378" s="76"/>
      <c r="J1378" s="76"/>
      <c r="K1378" s="76"/>
      <c r="L1378" s="76"/>
      <c r="M1378" s="76"/>
      <c r="N1378" s="76"/>
      <c r="O1378" s="160"/>
      <c r="P1378" s="109"/>
      <c r="Q1378" s="312"/>
      <c r="R1378" s="312"/>
      <c r="S1378" s="287"/>
      <c r="T1378" s="287"/>
      <c r="U1378" s="287"/>
      <c r="V1378" s="301"/>
      <c r="W1378" s="314"/>
      <c r="X1378" s="314"/>
      <c r="Y1378" s="312"/>
      <c r="Z1378" s="314"/>
      <c r="AA1378" s="314"/>
      <c r="AB1378" s="314"/>
      <c r="AC1378" s="314"/>
      <c r="AD1378" s="314"/>
      <c r="AE1378" s="314"/>
      <c r="AF1378" s="293"/>
      <c r="AG1378" s="314"/>
      <c r="AH1378" s="314"/>
      <c r="AI1378" s="314"/>
      <c r="AJ1378" s="335"/>
      <c r="AK1378" s="335"/>
      <c r="AL1378" s="326"/>
      <c r="AM1378" s="326"/>
      <c r="AN1378" s="326"/>
      <c r="AO1378" s="326"/>
      <c r="AP1378" s="326"/>
      <c r="AQ1378" s="314"/>
      <c r="AR1378" s="314"/>
      <c r="AS1378" s="314"/>
      <c r="AT1378" s="314"/>
      <c r="AU1378" s="314"/>
      <c r="AV1378" s="314"/>
      <c r="AW1378" s="314"/>
      <c r="AX1378" s="314"/>
      <c r="AY1378" s="314"/>
      <c r="AZ1378" s="314"/>
      <c r="BA1378" s="314"/>
      <c r="BB1378" s="314"/>
      <c r="BC1378" s="314"/>
      <c r="BD1378" s="314"/>
      <c r="BE1378" s="314"/>
      <c r="BF1378" s="314"/>
      <c r="BG1378" s="314"/>
      <c r="BH1378" s="314"/>
      <c r="BI1378" s="314"/>
      <c r="BJ1378" s="314"/>
      <c r="BK1378" s="314"/>
      <c r="BL1378" s="314"/>
      <c r="BM1378" s="314"/>
      <c r="BN1378" s="314"/>
      <c r="BO1378" s="314"/>
      <c r="BP1378" s="314"/>
      <c r="BQ1378" s="314"/>
      <c r="BR1378" s="314"/>
      <c r="BS1378" s="314"/>
      <c r="BT1378" s="314"/>
      <c r="BU1378" s="314"/>
      <c r="BV1378" s="314"/>
      <c r="BW1378" s="314"/>
      <c r="BX1378" s="314"/>
      <c r="BY1378" s="314"/>
      <c r="BZ1378" s="314"/>
      <c r="CA1378" s="314"/>
      <c r="CB1378" s="314"/>
      <c r="CC1378" s="314"/>
      <c r="CD1378" s="314"/>
      <c r="CE1378" s="314"/>
      <c r="CF1378" s="314"/>
      <c r="CG1378" s="314"/>
      <c r="CH1378" s="314"/>
      <c r="CI1378" s="314"/>
      <c r="CJ1378" s="314"/>
      <c r="CK1378" s="314"/>
      <c r="CL1378" s="314"/>
      <c r="CM1378" s="314"/>
      <c r="CN1378" s="314"/>
      <c r="CO1378" s="314"/>
      <c r="CP1378" s="314"/>
      <c r="CQ1378" s="314"/>
    </row>
    <row r="1379" spans="1:95" ht="12.75" customHeight="1" thickBot="1" x14ac:dyDescent="0.3">
      <c r="A1379" s="307"/>
      <c r="B1379" s="68"/>
      <c r="C1379" s="68"/>
      <c r="D1379" s="68"/>
      <c r="E1379" s="1253" t="str">
        <f>IF(E1376="","",HYPERLINK("#JUMP_E_Top",EUconst_FurtherGuidancePoint1))</f>
        <v/>
      </c>
      <c r="F1379" s="1253"/>
      <c r="G1379" s="1253"/>
      <c r="H1379" s="1253"/>
      <c r="I1379" s="1253"/>
      <c r="J1379" s="1253"/>
      <c r="K1379" s="1253"/>
      <c r="L1379" s="1253"/>
      <c r="M1379" s="1253"/>
      <c r="N1379" s="76"/>
      <c r="O1379" s="160"/>
      <c r="P1379" s="109"/>
      <c r="Q1379" s="325" t="str">
        <f>EUconst_SumNonSustBioCO2</f>
        <v>SUM_bioNonSustCO2</v>
      </c>
      <c r="R1379" s="337" t="str">
        <f>IF(E1377="","",BG1385)</f>
        <v/>
      </c>
      <c r="S1379" s="287"/>
      <c r="T1379" s="287"/>
      <c r="U1379" s="287"/>
      <c r="V1379" s="314"/>
      <c r="W1379" s="314"/>
      <c r="X1379" s="314"/>
      <c r="Y1379" s="293"/>
      <c r="Z1379" s="314"/>
      <c r="AA1379" s="314"/>
      <c r="AB1379" s="314"/>
      <c r="AC1379" s="314"/>
      <c r="AD1379" s="314"/>
      <c r="AE1379" s="314"/>
      <c r="AF1379" s="293"/>
      <c r="AG1379" s="314"/>
      <c r="AH1379" s="314"/>
      <c r="AI1379" s="314"/>
      <c r="AJ1379" s="335"/>
      <c r="AK1379" s="335"/>
      <c r="AL1379" s="326"/>
      <c r="AM1379" s="326"/>
      <c r="AN1379" s="326"/>
      <c r="AO1379" s="326"/>
      <c r="AP1379" s="326"/>
      <c r="AQ1379" s="314"/>
      <c r="AR1379" s="314"/>
      <c r="AS1379" s="314"/>
      <c r="AT1379" s="314"/>
      <c r="AU1379" s="314"/>
      <c r="AV1379" s="314"/>
      <c r="AW1379" s="314"/>
      <c r="AX1379" s="314"/>
      <c r="AY1379" s="314"/>
      <c r="AZ1379" s="314"/>
      <c r="BA1379" s="314"/>
      <c r="BB1379" s="314"/>
      <c r="BC1379" s="314"/>
      <c r="BD1379" s="314"/>
      <c r="BE1379" s="314"/>
      <c r="BF1379" s="314"/>
      <c r="BG1379" s="314"/>
      <c r="BH1379" s="314"/>
      <c r="BI1379" s="317" t="s">
        <v>129</v>
      </c>
      <c r="BJ1379" s="336"/>
      <c r="BK1379" s="327" t="str">
        <f>IF(G1397="","",G1397)</f>
        <v/>
      </c>
      <c r="BL1379" s="327" t="str">
        <f>IF(I1397="","",I1397)</f>
        <v/>
      </c>
      <c r="BM1379" s="327" t="str">
        <f>IF(K1397="","",K1397)</f>
        <v/>
      </c>
      <c r="BN1379" s="314"/>
      <c r="BO1379" s="314"/>
      <c r="BP1379" s="314"/>
      <c r="BQ1379" s="314"/>
      <c r="BR1379" s="314"/>
      <c r="BS1379" s="314"/>
      <c r="BT1379" s="319"/>
      <c r="BU1379" s="314"/>
      <c r="BV1379" s="314"/>
      <c r="BW1379" s="314"/>
      <c r="BX1379" s="314"/>
      <c r="BY1379" s="314"/>
      <c r="BZ1379" s="314"/>
      <c r="CA1379" s="314"/>
      <c r="CB1379" s="314"/>
      <c r="CC1379" s="314"/>
      <c r="CD1379" s="314"/>
      <c r="CE1379" s="314"/>
      <c r="CF1379" s="314"/>
      <c r="CG1379" s="314"/>
      <c r="CH1379" s="314"/>
      <c r="CI1379" s="314"/>
      <c r="CJ1379" s="314"/>
      <c r="CK1379" s="314"/>
      <c r="CL1379" s="314"/>
      <c r="CM1379" s="314"/>
      <c r="CN1379" s="314"/>
      <c r="CO1379" s="314"/>
      <c r="CP1379" s="314"/>
      <c r="CQ1379" s="314"/>
    </row>
    <row r="1380" spans="1:95" ht="5.15" customHeight="1" thickBot="1" x14ac:dyDescent="0.3">
      <c r="A1380" s="307"/>
      <c r="B1380" s="68"/>
      <c r="C1380" s="68"/>
      <c r="D1380" s="68"/>
      <c r="E1380" s="68"/>
      <c r="F1380" s="68"/>
      <c r="G1380" s="68"/>
      <c r="H1380" s="76"/>
      <c r="I1380" s="76"/>
      <c r="J1380" s="76"/>
      <c r="K1380" s="76"/>
      <c r="L1380" s="76"/>
      <c r="M1380" s="76"/>
      <c r="N1380" s="76"/>
      <c r="O1380" s="160"/>
      <c r="P1380" s="111"/>
      <c r="Q1380" s="287"/>
      <c r="R1380" s="111"/>
      <c r="S1380" s="287"/>
      <c r="T1380" s="287"/>
      <c r="U1380" s="287"/>
      <c r="V1380" s="314"/>
      <c r="W1380" s="314"/>
      <c r="X1380" s="314"/>
      <c r="Y1380" s="312"/>
      <c r="Z1380" s="314"/>
      <c r="AA1380" s="314"/>
      <c r="AB1380" s="314"/>
      <c r="AC1380" s="314"/>
      <c r="AD1380" s="314"/>
      <c r="AE1380" s="314"/>
      <c r="AF1380" s="293"/>
      <c r="AG1380" s="314"/>
      <c r="AH1380" s="314"/>
      <c r="AI1380" s="314"/>
      <c r="AJ1380" s="335"/>
      <c r="AK1380" s="335"/>
      <c r="AL1380" s="326"/>
      <c r="AM1380" s="326"/>
      <c r="AN1380" s="326"/>
      <c r="AO1380" s="326"/>
      <c r="AP1380" s="326"/>
      <c r="AQ1380" s="314"/>
      <c r="AR1380" s="314"/>
      <c r="AS1380" s="314"/>
      <c r="AT1380" s="314"/>
      <c r="AU1380" s="314"/>
      <c r="AV1380" s="314"/>
      <c r="AW1380" s="314"/>
      <c r="AX1380" s="314"/>
      <c r="AY1380" s="314"/>
      <c r="AZ1380" s="314"/>
      <c r="BA1380" s="314"/>
      <c r="BB1380" s="314"/>
      <c r="BC1380" s="314"/>
      <c r="BD1380" s="314"/>
      <c r="BE1380" s="314"/>
      <c r="BF1380" s="314"/>
      <c r="BG1380" s="314"/>
      <c r="BH1380" s="314"/>
      <c r="BI1380" s="314"/>
      <c r="BJ1380" s="314"/>
      <c r="BK1380" s="314"/>
      <c r="BL1380" s="314"/>
      <c r="BM1380" s="314"/>
      <c r="BN1380" s="314"/>
      <c r="BO1380" s="314"/>
      <c r="BP1380" s="314"/>
      <c r="BQ1380" s="314"/>
      <c r="BR1380" s="314"/>
      <c r="BS1380" s="314"/>
      <c r="BT1380" s="314"/>
      <c r="BU1380" s="314"/>
      <c r="BV1380" s="314"/>
      <c r="BW1380" s="314"/>
      <c r="BX1380" s="314"/>
      <c r="BY1380" s="314"/>
      <c r="BZ1380" s="314"/>
      <c r="CA1380" s="314"/>
      <c r="CB1380" s="314"/>
      <c r="CC1380" s="314"/>
      <c r="CD1380" s="314"/>
      <c r="CE1380" s="314"/>
      <c r="CF1380" s="314"/>
      <c r="CG1380" s="314"/>
      <c r="CH1380" s="314"/>
      <c r="CI1380" s="314"/>
      <c r="CJ1380" s="314"/>
      <c r="CK1380" s="314"/>
      <c r="CL1380" s="314"/>
      <c r="CM1380" s="314"/>
      <c r="CN1380" s="314"/>
      <c r="CO1380" s="314"/>
      <c r="CP1380" s="314"/>
      <c r="CQ1380" s="314"/>
    </row>
    <row r="1381" spans="1:95" ht="12.75" customHeight="1" thickBot="1" x14ac:dyDescent="0.3">
      <c r="A1381" s="307"/>
      <c r="B1381" s="68"/>
      <c r="C1381" s="68"/>
      <c r="D1381" s="68"/>
      <c r="E1381" s="68"/>
      <c r="F1381" s="338" t="str">
        <f>Translations!$B$127</f>
        <v>Tier</v>
      </c>
      <c r="G1381" s="1254" t="str">
        <f>Translations!$B$393</f>
        <v>tier description</v>
      </c>
      <c r="H1381" s="1254"/>
      <c r="I1381" s="1255" t="str">
        <f>Translations!$B$394</f>
        <v>Unit</v>
      </c>
      <c r="J1381" s="1255"/>
      <c r="K1381" s="1255" t="str">
        <f>Translations!$B$395</f>
        <v>Value</v>
      </c>
      <c r="L1381" s="1255"/>
      <c r="M1381" s="205" t="str">
        <f>Translations!$B$396</f>
        <v>error</v>
      </c>
      <c r="N1381" s="76"/>
      <c r="O1381" s="160"/>
      <c r="P1381" s="339"/>
      <c r="Q1381" s="325" t="str">
        <f>EUconst_SumEnergyIN</f>
        <v>SUM_EnergyIN</v>
      </c>
      <c r="R1381" s="340" t="str">
        <f>IF(E1377="","",BG1390)</f>
        <v/>
      </c>
      <c r="S1381" s="314"/>
      <c r="T1381" s="314"/>
      <c r="U1381" s="314"/>
      <c r="V1381" s="341" t="s">
        <v>130</v>
      </c>
      <c r="W1381" s="314"/>
      <c r="X1381" s="314"/>
      <c r="Y1381" s="312" t="s">
        <v>131</v>
      </c>
      <c r="Z1381" s="312" t="s">
        <v>132</v>
      </c>
      <c r="AA1381" s="314"/>
      <c r="AB1381" s="314"/>
      <c r="AC1381" s="336" t="s">
        <v>133</v>
      </c>
      <c r="AD1381" s="314"/>
      <c r="AE1381" s="314"/>
      <c r="AF1381" s="314" t="s">
        <v>134</v>
      </c>
      <c r="AG1381" s="314" t="s">
        <v>135</v>
      </c>
      <c r="AH1381" s="312" t="s">
        <v>136</v>
      </c>
      <c r="AI1381" s="335" t="s">
        <v>137</v>
      </c>
      <c r="AJ1381" s="335" t="s">
        <v>138</v>
      </c>
      <c r="AK1381" s="342" t="s">
        <v>139</v>
      </c>
      <c r="AL1381" s="326"/>
      <c r="AM1381" s="326"/>
      <c r="AN1381" s="326"/>
      <c r="AO1381" s="326"/>
      <c r="AP1381" s="326"/>
      <c r="AQ1381" s="314"/>
      <c r="AR1381" s="314" t="s">
        <v>134</v>
      </c>
      <c r="AS1381" s="314" t="s">
        <v>135</v>
      </c>
      <c r="AT1381" s="343" t="s">
        <v>140</v>
      </c>
      <c r="AU1381" s="335" t="s">
        <v>141</v>
      </c>
      <c r="AV1381" s="335" t="s">
        <v>142</v>
      </c>
      <c r="AW1381" s="342" t="s">
        <v>139</v>
      </c>
      <c r="AX1381" s="342" t="s">
        <v>139</v>
      </c>
      <c r="AY1381" s="314"/>
      <c r="AZ1381" s="314"/>
      <c r="BA1381" s="314"/>
      <c r="BB1381" s="314" t="s">
        <v>143</v>
      </c>
      <c r="BC1381" s="314"/>
      <c r="BD1381" s="314"/>
      <c r="BE1381" s="314"/>
      <c r="BF1381" s="314"/>
      <c r="BG1381" s="319" t="s">
        <v>144</v>
      </c>
      <c r="BH1381" s="314" t="s">
        <v>145</v>
      </c>
      <c r="BI1381" s="314"/>
      <c r="BJ1381" s="314"/>
      <c r="BK1381" s="314"/>
      <c r="BL1381" s="314"/>
      <c r="BM1381" s="314"/>
      <c r="BN1381" s="314"/>
      <c r="BO1381" s="314"/>
      <c r="BP1381" s="314"/>
      <c r="BQ1381" s="314"/>
      <c r="BR1381" s="314"/>
      <c r="BS1381" s="314"/>
      <c r="BT1381" s="314"/>
      <c r="BU1381" s="314"/>
      <c r="BV1381" s="314"/>
      <c r="BW1381" s="314"/>
      <c r="BX1381" s="314"/>
      <c r="BY1381" s="314"/>
      <c r="BZ1381" s="314"/>
      <c r="CA1381" s="314"/>
      <c r="CB1381" s="314"/>
      <c r="CC1381" s="314"/>
      <c r="CD1381" s="314"/>
      <c r="CE1381" s="314"/>
      <c r="CF1381" s="314"/>
      <c r="CG1381" s="314"/>
      <c r="CH1381" s="314"/>
      <c r="CI1381" s="314"/>
      <c r="CJ1381" s="314"/>
      <c r="CK1381" s="314"/>
      <c r="CL1381" s="314"/>
      <c r="CM1381" s="314"/>
      <c r="CN1381" s="314"/>
      <c r="CO1381" s="314"/>
      <c r="CP1381" s="314"/>
      <c r="CQ1381" s="319" t="s">
        <v>107</v>
      </c>
    </row>
    <row r="1382" spans="1:95" ht="12.75" customHeight="1" thickBot="1" x14ac:dyDescent="0.3">
      <c r="A1382" s="307"/>
      <c r="B1382" s="68"/>
      <c r="C1382" s="199" t="s">
        <v>12</v>
      </c>
      <c r="D1382" s="344" t="str">
        <f>Translations!$B$356</f>
        <v>RFA:</v>
      </c>
      <c r="E1382" s="345"/>
      <c r="F1382" s="6"/>
      <c r="G1382" s="1256" t="str">
        <f>IF(OR(ISBLANK(F1382),F1382=EUconst_NoTier),"",IF(Z1382=0,EUconst_NA,IF(ISERROR(Z1382),"",Z1382)))</f>
        <v/>
      </c>
      <c r="H1382" s="1257"/>
      <c r="I1382" s="346" t="str">
        <f>IF(J1382&lt;&gt;"","",AI1382)</f>
        <v/>
      </c>
      <c r="J1382" s="7"/>
      <c r="K1382" s="1258"/>
      <c r="L1382" s="1259"/>
      <c r="M1382" s="347" t="str">
        <f>IF(AND(E1377&lt;&gt;"",OR(F1382="",COUNT(K1382)=0),Y1382&lt;&gt;EUconst_NA),EUconst_ERR_Incomplete,"")</f>
        <v/>
      </c>
      <c r="N1382" s="76"/>
      <c r="O1382" s="160"/>
      <c r="P1382" s="348"/>
      <c r="Q1382" s="325" t="str">
        <f>EUconst_SumBioEnergyIN</f>
        <v>SUM_BioEnergyIN</v>
      </c>
      <c r="R1382" s="340" t="str">
        <f>IF(E1377="","",BG1391)</f>
        <v/>
      </c>
      <c r="S1382" s="314"/>
      <c r="T1382" s="349" t="str">
        <f>EUconst_CNTR_ActivityData&amp;E1377</f>
        <v>ActivityData_</v>
      </c>
      <c r="U1382" s="312"/>
      <c r="V1382" s="349" t="str">
        <f>IF(E1376="","",INDEX(B_IdentifyFuelStreams!$I$67:$I$116,MATCH(U1375,B_IdentifyFuelStreams!$D$67:$D$116,0)))</f>
        <v/>
      </c>
      <c r="W1382" s="335" t="s">
        <v>146</v>
      </c>
      <c r="X1382" s="312"/>
      <c r="Y1382" s="350" t="str">
        <f>IF(E1377="","",INDEX(EUwideConstants!$P$164:$P$200,MATCH(T1382,EUwideConstants!$S$164:$S$200,0)))</f>
        <v/>
      </c>
      <c r="Z1382" s="351" t="str">
        <f>IF(ISBLANK(F1382),"",IF(F1382=EUconst_NA,"",INDEX(EUwideConstants!$H:$O,MATCH(T1382,EUwideConstants!$S:$S,0),MATCH(F1382,CNTR_TierList,0))))</f>
        <v/>
      </c>
      <c r="AA1382" s="352" t="s">
        <v>136</v>
      </c>
      <c r="AB1382" s="335"/>
      <c r="AC1382" s="331" t="b">
        <f>E1376&lt;&gt;""</f>
        <v>0</v>
      </c>
      <c r="AD1382" s="314"/>
      <c r="AE1382" s="353" t="str">
        <f>EUconst_CNTR_ActivityData&amp;EUconst_Unit</f>
        <v>ActivityData_Unit</v>
      </c>
      <c r="AF1382" s="354" t="str">
        <f>IF(AC1382=TRUE, IF(COUNTIF(MSPara_SourceStreamCategory,V1382)=0,"",INDEX(MSPara_CalcFactorsMatrix,MATCH(V1382,MSPara_SourceStreamCategory,0),MATCH(AE1382&amp;"_"&amp;2,MSPara_CalcFactors,0))),"")</f>
        <v/>
      </c>
      <c r="AG1382" s="355" t="str">
        <f>IF(AC1382=TRUE, IF(COUNTIF(MSPara_SourceStreamCategory,V1382)=0,"",INDEX(MSPara_CalcFactorsMatrix,MATCH(V1382,MSPara_SourceStreamCategory,0),MATCH(AE1382&amp;"_"&amp;1,MSPara_CalcFactors,0))),"")</f>
        <v/>
      </c>
      <c r="AH1382" s="331" t="str">
        <f>IF(OR(AF1382="",AF1382=EUconst_NA),IF(OR(AG1382=EUconst_NA,AG1382=""),"",AG1382),AF1382)</f>
        <v/>
      </c>
      <c r="AI1382" s="350" t="str">
        <f>IF(AC1382=TRUE,IF(AH1382="",EUconst_t,AH1382),"")</f>
        <v/>
      </c>
      <c r="AJ1382" s="356" t="str">
        <f>IF(J1382="",AI1382,J1382)</f>
        <v/>
      </c>
      <c r="AK1382" s="357" t="b">
        <f>AND(E1376&lt;&gt;"",J1382&lt;&gt;"")</f>
        <v>0</v>
      </c>
      <c r="AL1382" s="326"/>
      <c r="AM1382" s="358" t="s">
        <v>147</v>
      </c>
      <c r="AN1382" s="359" t="str">
        <f>AJ1382</f>
        <v/>
      </c>
      <c r="AO1382" s="326"/>
      <c r="AP1382" s="326"/>
      <c r="AQ1382" s="349" t="str">
        <f>EUconst_CNTR_ActivityData&amp;EUconst_Value</f>
        <v>ActivityData_Value</v>
      </c>
      <c r="AR1382" s="336"/>
      <c r="AS1382" s="336"/>
      <c r="AT1382" s="331" t="b">
        <f>AND(AND(AH1382&lt;&gt;"",AJ1382&lt;&gt;""),AJ1382=AH1382)</f>
        <v>0</v>
      </c>
      <c r="AU1382" s="314"/>
      <c r="AV1382" s="331">
        <f>IF(Y1382=EUconst_NA,0,IF(COUNT(K1382:K1382)=0,0,IF(K1382="",#REF!,K1382)))</f>
        <v>0</v>
      </c>
      <c r="AW1382" s="360" t="b">
        <f>AND(AC1382=TRUE,OR(K1382&lt;&gt;"",AU1382=""))</f>
        <v>0</v>
      </c>
      <c r="AX1382" s="360" t="b">
        <f>AND(AC1382=TRUE,NOT(AW1382))</f>
        <v>0</v>
      </c>
      <c r="AY1382" s="314"/>
      <c r="AZ1382" s="314" t="s">
        <v>148</v>
      </c>
      <c r="BA1382" s="314" t="s">
        <v>149</v>
      </c>
      <c r="BB1382" s="360"/>
      <c r="BC1382" s="314" t="s">
        <v>150</v>
      </c>
      <c r="BD1382" s="314"/>
      <c r="BE1382" s="314"/>
      <c r="BF1382" s="361" t="s">
        <v>119</v>
      </c>
      <c r="BG1382" s="362" t="str">
        <f>IF(COUNTIF(AO1385:AO1386,TRUE)=0,"",BH1382*AV1393)</f>
        <v/>
      </c>
      <c r="BH1382" s="362" t="str">
        <f>IF(COUNTIF(AO1385:AO1386,TRUE)=0,"",AV1382*IF(AO1385,1,AV1384*AN1386)*AV1385-BH1384-BH1386-BH1388)</f>
        <v/>
      </c>
      <c r="BI1382" s="314"/>
      <c r="BJ1382" s="314"/>
      <c r="BK1382" s="314"/>
      <c r="BL1382" s="314"/>
      <c r="BM1382" s="314"/>
      <c r="BN1382" s="314"/>
      <c r="BO1382" s="314"/>
      <c r="BP1382" s="314"/>
      <c r="BQ1382" s="314"/>
      <c r="BR1382" s="314"/>
      <c r="BS1382" s="314"/>
      <c r="BT1382" s="314"/>
      <c r="BU1382" s="314"/>
      <c r="BV1382" s="314"/>
      <c r="BW1382" s="314"/>
      <c r="BX1382" s="314"/>
      <c r="BY1382" s="314"/>
      <c r="BZ1382" s="314"/>
      <c r="CA1382" s="314"/>
      <c r="CB1382" s="314"/>
      <c r="CC1382" s="314"/>
      <c r="CD1382" s="314"/>
      <c r="CE1382" s="314"/>
      <c r="CF1382" s="314"/>
      <c r="CG1382" s="314"/>
      <c r="CH1382" s="314"/>
      <c r="CI1382" s="314"/>
      <c r="CJ1382" s="314"/>
      <c r="CK1382" s="314"/>
      <c r="CL1382" s="314"/>
      <c r="CM1382" s="314"/>
      <c r="CN1382" s="314"/>
      <c r="CO1382" s="314"/>
      <c r="CP1382" s="314"/>
      <c r="CQ1382" s="360" t="b">
        <v>0</v>
      </c>
    </row>
    <row r="1383" spans="1:95" ht="5.15" customHeight="1" thickBot="1" x14ac:dyDescent="0.3">
      <c r="A1383" s="307"/>
      <c r="B1383" s="68"/>
      <c r="C1383" s="199"/>
      <c r="D1383" s="202"/>
      <c r="E1383" s="76"/>
      <c r="F1383" s="76"/>
      <c r="G1383" s="76"/>
      <c r="H1383" s="76" t="str">
        <f>Translations!$B$397</f>
        <v xml:space="preserve"> </v>
      </c>
      <c r="I1383" s="162"/>
      <c r="J1383" s="162"/>
      <c r="K1383" s="76"/>
      <c r="L1383" s="76"/>
      <c r="M1383" s="363"/>
      <c r="N1383" s="76"/>
      <c r="O1383" s="160"/>
      <c r="P1383" s="109"/>
      <c r="Q1383" s="312"/>
      <c r="R1383" s="312"/>
      <c r="S1383" s="314"/>
      <c r="T1383" s="62"/>
      <c r="U1383" s="312"/>
      <c r="V1383" s="314"/>
      <c r="W1383" s="314"/>
      <c r="X1383" s="312"/>
      <c r="Y1383" s="319"/>
      <c r="Z1383" s="314"/>
      <c r="AA1383" s="314"/>
      <c r="AB1383" s="314"/>
      <c r="AC1383" s="314"/>
      <c r="AD1383" s="314"/>
      <c r="AE1383" s="314"/>
      <c r="AF1383" s="314"/>
      <c r="AG1383" s="314"/>
      <c r="AH1383" s="314"/>
      <c r="AI1383" s="314"/>
      <c r="AJ1383" s="314"/>
      <c r="AK1383" s="314"/>
      <c r="AL1383" s="326"/>
      <c r="AM1383" s="326"/>
      <c r="AN1383" s="326"/>
      <c r="AO1383" s="326"/>
      <c r="AP1383" s="326"/>
      <c r="AQ1383" s="314"/>
      <c r="AR1383" s="314"/>
      <c r="AS1383" s="314"/>
      <c r="AT1383" s="314"/>
      <c r="AU1383" s="314"/>
      <c r="AV1383" s="314"/>
      <c r="AW1383" s="314"/>
      <c r="AX1383" s="314"/>
      <c r="AY1383" s="314"/>
      <c r="AZ1383" s="314"/>
      <c r="BA1383" s="314"/>
      <c r="BB1383" s="314"/>
      <c r="BC1383" s="314"/>
      <c r="BD1383" s="314"/>
      <c r="BE1383" s="314"/>
      <c r="BF1383" s="314"/>
      <c r="BG1383" s="364"/>
      <c r="BH1383" s="364"/>
      <c r="BI1383" s="314"/>
      <c r="BJ1383" s="314"/>
      <c r="BK1383" s="314"/>
      <c r="BL1383" s="314"/>
      <c r="BM1383" s="314"/>
      <c r="BN1383" s="314"/>
      <c r="BO1383" s="314"/>
      <c r="BP1383" s="314"/>
      <c r="BQ1383" s="314"/>
      <c r="BR1383" s="314"/>
      <c r="BS1383" s="314"/>
      <c r="BT1383" s="314"/>
      <c r="BU1383" s="314"/>
      <c r="BV1383" s="314"/>
      <c r="BW1383" s="314"/>
      <c r="BX1383" s="314"/>
      <c r="BY1383" s="314"/>
      <c r="BZ1383" s="314"/>
      <c r="CA1383" s="314"/>
      <c r="CB1383" s="314"/>
      <c r="CC1383" s="314"/>
      <c r="CD1383" s="314"/>
      <c r="CE1383" s="314"/>
      <c r="CF1383" s="314"/>
      <c r="CG1383" s="314"/>
      <c r="CH1383" s="314"/>
      <c r="CI1383" s="314"/>
      <c r="CJ1383" s="314"/>
      <c r="CK1383" s="314"/>
      <c r="CL1383" s="314"/>
      <c r="CM1383" s="314"/>
      <c r="CN1383" s="314"/>
      <c r="CO1383" s="314"/>
      <c r="CP1383" s="314"/>
      <c r="CQ1383" s="319"/>
    </row>
    <row r="1384" spans="1:95" ht="12.75" customHeight="1" x14ac:dyDescent="0.25">
      <c r="A1384" s="307"/>
      <c r="B1384" s="68"/>
      <c r="C1384" s="199" t="s">
        <v>13</v>
      </c>
      <c r="D1384" s="344" t="str">
        <f>Translations!$B$360</f>
        <v>UCF:</v>
      </c>
      <c r="E1384" s="345"/>
      <c r="F1384" s="10"/>
      <c r="G1384" s="1256" t="str">
        <f>IF(OR(ISBLANK(F1384),F1384=EUconst_NoTier),"",IF(Z1384=0,EUconst_NotApplicable,IF(ISERROR(Z1384),"",Z1384)))</f>
        <v/>
      </c>
      <c r="H1384" s="1257"/>
      <c r="I1384" s="365" t="str">
        <f>IF(J1384&lt;&gt;"","",AI1384)</f>
        <v/>
      </c>
      <c r="J1384" s="11"/>
      <c r="K1384" s="366" t="str">
        <f>IF(L1384="",AU1384,"")</f>
        <v/>
      </c>
      <c r="L1384" s="23"/>
      <c r="M1384" s="347" t="str">
        <f>IF(AND(E1377&lt;&gt;"",OR(F1384="",COUNT(K1384:L1384)=0),Y1384&lt;&gt;EUconst_NA),EUconst_ERR_Incomplete,IF(COUNTIF(BB1384:BD1384,TRUE)&gt;0,EUconst_ERR_Inconsistent,""))</f>
        <v/>
      </c>
      <c r="N1384" s="367"/>
      <c r="O1384" s="160"/>
      <c r="P1384" s="109"/>
      <c r="Q1384" s="312"/>
      <c r="R1384" s="312"/>
      <c r="S1384" s="314"/>
      <c r="T1384" s="368" t="str">
        <f>EUconst_CNTR_UCF&amp;E1377</f>
        <v>UCF_</v>
      </c>
      <c r="U1384" s="312"/>
      <c r="V1384" s="369" t="str">
        <f>V1385</f>
        <v/>
      </c>
      <c r="W1384" s="314"/>
      <c r="X1384" s="312"/>
      <c r="Y1384" s="370" t="str">
        <f>IF(E1377="","",IF(OR(F1384=EUconst_NA,W1384=TRUE),EUconst_NA,INDEX(EUwideConstants!$P$164:$P$200,MATCH(T1384,EUwideConstants!$S$164:$S$200,0))))</f>
        <v/>
      </c>
      <c r="Z1384" s="371" t="str">
        <f>IF(ISBLANK(F1384),"",IF(F1384=EUconst_NA,"",INDEX(EUwideConstants!$H:$O,MATCH(T1384,EUwideConstants!$S:$S,0),MATCH(F1384,CNTR_TierList,0))))</f>
        <v/>
      </c>
      <c r="AA1384" s="372" t="str">
        <f>IF(COUNTIF(EUconst_DefaultValues,Z1384)&gt;0,MATCH(Z1384,EUconst_DefaultValues,0),"")</f>
        <v/>
      </c>
      <c r="AB1384" s="314"/>
      <c r="AC1384" s="373" t="b">
        <f>AND(AC1382,Y1384&lt;&gt;EUconst_NA)</f>
        <v>0</v>
      </c>
      <c r="AD1384" s="314"/>
      <c r="AE1384" s="353" t="str">
        <f>EUconst_CNTR_UCF&amp;EUconst_Unit</f>
        <v>UCF_Unit</v>
      </c>
      <c r="AF1384" s="374" t="str">
        <f>IF(AC1384=TRUE, IF(COUNTIF(MSPara_SourceStreamCategory,V1384)=0,"",INDEX(MSPara_CalcFactorsMatrix,MATCH(V1384,MSPara_SourceStreamCategory,0),MATCH(AE1384&amp;"_"&amp;2,MSPara_CalcFactors,0))),"")</f>
        <v/>
      </c>
      <c r="AG1384" s="375" t="str">
        <f>IF(AC1384=TRUE, IF(COUNTIF(MSPara_SourceStreamCategory,V1384)=0,"",INDEX(MSPara_CalcFactorsMatrix,MATCH(V1384,MSPara_SourceStreamCategory,0),MATCH(AE1384&amp;"_"&amp;1,MSPara_CalcFactors,0))),"")</f>
        <v/>
      </c>
      <c r="AH1384" s="373" t="str">
        <f>IF(AA1384="","",INDEX(AF1384:AG1384,3-AA1384))</f>
        <v/>
      </c>
      <c r="AI1384" s="373" t="str">
        <f>IF(AC1384=TRUE,IF(OR(AH1384="",AH1384=EUconst_NA),EUconst_GJ&amp;"/"&amp;AJ1382,AH1384),"")</f>
        <v/>
      </c>
      <c r="AJ1384" s="373" t="str">
        <f>IF(J1384="",AI1384,J1384)</f>
        <v/>
      </c>
      <c r="AK1384" s="369" t="b">
        <f>AND(E1376&lt;&gt;"",J1384&lt;&gt;"")</f>
        <v>0</v>
      </c>
      <c r="AL1384" s="326"/>
      <c r="AM1384" s="358" t="s">
        <v>151</v>
      </c>
      <c r="AN1384" s="359" t="str">
        <f>IF(AJ1384="",EUconst_NA,IF(AN1382=EUconst_TJ,EUconst_TJ,INDEX(EUwideConstants!$C$135:$G$139,MATCH(AN1382,RFAUnits,0),MATCH(AJ1384,UCFUnits,0))))</f>
        <v>n.a.</v>
      </c>
      <c r="AO1384" s="326"/>
      <c r="AP1384" s="326"/>
      <c r="AQ1384" s="376" t="str">
        <f>EUconst_CNTR_UCF&amp;EUconst_Value</f>
        <v>UCF_Value</v>
      </c>
      <c r="AR1384" s="377" t="str">
        <f>IF(AC1384=TRUE,IF(COUNTIF(MSPara_SourceStreamCategory,V1384)=0,"",INDEX(MSPara_CalcFactorsMatrix,MATCH(V1384,MSPara_SourceStreamCategory,0),MATCH(AQ1384&amp;"_"&amp;2,MSPara_CalcFactors,0))),"")</f>
        <v/>
      </c>
      <c r="AS1384" s="378" t="str">
        <f>IF(AC1384=TRUE,IF(COUNTIF(MSPara_SourceStreamCategory,V1384)=0,"",INDEX(MSPara_CalcFactorsMatrix,MATCH(V1384,MSPara_SourceStreamCategory,0),MATCH(AQ1384&amp;"_"&amp;1,MSPara_CalcFactors,0))),"")</f>
        <v/>
      </c>
      <c r="AT1384" s="379" t="b">
        <f>AND(AND(AH1384&lt;&gt;"",AJ1384&lt;&gt;""),AJ1384=AH1384)</f>
        <v>0</v>
      </c>
      <c r="AU1384" s="380" t="str">
        <f>IF(AND(AA1384&lt;&gt;"",AT1384=TRUE),IF(OR(INDEX(AR1384:AS1384,3-AA1384)=EUconst_NA,INDEX(AR1384:AS1384,3-AA1384)=0),"",INDEX(AR1384:AS1384,3-AA1384)),"")</f>
        <v/>
      </c>
      <c r="AV1384" s="373">
        <f>IF(AC1384=TRUE,IF(COUNT(K1384:L1384)=0,0,IF(L1384="",K1384,L1384)),0)</f>
        <v>0</v>
      </c>
      <c r="AW1384" s="369" t="b">
        <f t="shared" ref="AW1384:AW1391" si="423">AND(AC1384=TRUE,OR(AND(F1384&lt;&gt;"",NOT(ISNUMBER(AA1384))),L1384&lt;&gt;"",F1384="",AU1384=""))</f>
        <v>0</v>
      </c>
      <c r="AX1384" s="381" t="b">
        <f t="shared" ref="AX1384:AX1391" si="424">AND(AC1384=TRUE,NOT(AW1384))</f>
        <v>0</v>
      </c>
      <c r="AY1384" s="314"/>
      <c r="AZ1384" s="382" t="b">
        <f t="shared" ref="AZ1384:AZ1391" si="425">AND(ISNUMBER(AA1384),AU1384="")</f>
        <v>0</v>
      </c>
      <c r="BA1384" s="383" t="b">
        <f t="shared" ref="BA1384:BA1391" si="426">AND(ISNUMBER(AA1384),AU1384&lt;&gt;AV1384)</f>
        <v>0</v>
      </c>
      <c r="BB1384" s="369" t="b">
        <f>AND(E1377&lt;&gt;"",F1384&lt;&gt;EUconst_NA,AN1384=EUconst_NA)</f>
        <v>0</v>
      </c>
      <c r="BC1384" s="369" t="b">
        <f t="shared" ref="BC1384:BC1391" si="427">AND(L1384&lt;&gt;"",Y1384=EUconst_NA)</f>
        <v>0</v>
      </c>
      <c r="BD1384" s="314"/>
      <c r="BE1384" s="314"/>
      <c r="BF1384" s="382" t="s">
        <v>152</v>
      </c>
      <c r="BG1384" s="384" t="str">
        <f>IF(COUNTIF(AO1385:AO1386,TRUE)=0,"",BH1384*AV1393)</f>
        <v/>
      </c>
      <c r="BH1384" s="384" t="str">
        <f>IF(COUNTIF(AO1385:AO1386,TRUE)=0,"",AV1382*IF(AO1385,1,AV1384*AN1386)*AV1385*AV1386)</f>
        <v/>
      </c>
      <c r="BI1384" s="314"/>
      <c r="BJ1384" s="314"/>
      <c r="BK1384" s="314"/>
      <c r="BL1384" s="314"/>
      <c r="BM1384" s="314"/>
      <c r="BN1384" s="314"/>
      <c r="BO1384" s="314"/>
      <c r="BP1384" s="314"/>
      <c r="BQ1384" s="314"/>
      <c r="BR1384" s="314"/>
      <c r="BS1384" s="314"/>
      <c r="BT1384" s="314"/>
      <c r="BU1384" s="314"/>
      <c r="BV1384" s="314"/>
      <c r="BW1384" s="314"/>
      <c r="BX1384" s="314"/>
      <c r="BY1384" s="314"/>
      <c r="BZ1384" s="314"/>
      <c r="CA1384" s="314"/>
      <c r="CB1384" s="314"/>
      <c r="CC1384" s="314"/>
      <c r="CD1384" s="314"/>
      <c r="CE1384" s="314"/>
      <c r="CF1384" s="314"/>
      <c r="CG1384" s="314"/>
      <c r="CH1384" s="314"/>
      <c r="CI1384" s="314"/>
      <c r="CJ1384" s="314"/>
      <c r="CK1384" s="314"/>
      <c r="CL1384" s="314"/>
      <c r="CM1384" s="314"/>
      <c r="CN1384" s="314"/>
      <c r="CO1384" s="314"/>
      <c r="CP1384" s="314"/>
      <c r="CQ1384" s="369" t="b">
        <f>OR(CQ1382,Y1384=EUconst_NA)</f>
        <v>0</v>
      </c>
    </row>
    <row r="1385" spans="1:95" ht="12.75" customHeight="1" thickBot="1" x14ac:dyDescent="0.3">
      <c r="A1385" s="307"/>
      <c r="B1385" s="68"/>
      <c r="C1385" s="199" t="s">
        <v>14</v>
      </c>
      <c r="D1385" s="344" t="str">
        <f>Translations!$B$358</f>
        <v>(prelim) EF:</v>
      </c>
      <c r="E1385" s="345"/>
      <c r="F1385" s="59"/>
      <c r="G1385" s="1256" t="str">
        <f>IF(OR(ISBLANK(F1385),F1385=EUconst_NoTier),"",IF(Z1385=0,EUconst_NotApplicable,IF(ISERROR(Z1385),"",Z1385)))</f>
        <v/>
      </c>
      <c r="H1385" s="1260"/>
      <c r="I1385" s="385" t="str">
        <f>IF(J1385&lt;&gt;"","",AI1385)</f>
        <v/>
      </c>
      <c r="J1385" s="22"/>
      <c r="K1385" s="386" t="str">
        <f>IF(L1385="",AU1385,"")</f>
        <v/>
      </c>
      <c r="L1385" s="58"/>
      <c r="M1385" s="347" t="str">
        <f>IF(AND(E1377&lt;&gt;"",OR(F1385="",COUNT(K1385:L1385)=0),Y1385&lt;&gt;EUconst_NA),EUconst_ERR_Incomplete,IF(COUNTIF(BB1385:BD1385,TRUE)&gt;0,EUconst_ERR_Inconsistent,""))</f>
        <v/>
      </c>
      <c r="N1385" s="387"/>
      <c r="O1385" s="160"/>
      <c r="P1385" s="109"/>
      <c r="Q1385" s="312"/>
      <c r="R1385" s="312"/>
      <c r="S1385" s="314"/>
      <c r="T1385" s="388" t="str">
        <f>EUconst_CNTR_EF&amp;E1377</f>
        <v>EF_</v>
      </c>
      <c r="U1385" s="312"/>
      <c r="V1385" s="389" t="str">
        <f>V1382</f>
        <v/>
      </c>
      <c r="W1385" s="314"/>
      <c r="X1385" s="312"/>
      <c r="Y1385" s="390" t="str">
        <f>IF(E1377="","",IF(OR(F1385=EUconst_NA,W1385=TRUE),EUconst_NA,INDEX(EUwideConstants!$P$164:$P$200,MATCH(T1385,EUwideConstants!$S$164:$S$200,0))))</f>
        <v/>
      </c>
      <c r="Z1385" s="391" t="str">
        <f>IF(ISBLANK(F1385),"",IF(F1385=EUconst_NA,"",INDEX(EUwideConstants!$H:$O,MATCH(T1385,EUwideConstants!$S:$S,0),MATCH(F1385,CNTR_TierList,0))))</f>
        <v/>
      </c>
      <c r="AA1385" s="392" t="str">
        <f>IF(COUNTIF(EUconst_DefaultValues,Z1385)&gt;0,MATCH(Z1385,EUconst_DefaultValues,0),"")</f>
        <v/>
      </c>
      <c r="AB1385" s="314"/>
      <c r="AC1385" s="393" t="b">
        <f>AND(AC1382,Y1385&lt;&gt;EUconst_NA)</f>
        <v>0</v>
      </c>
      <c r="AD1385" s="314"/>
      <c r="AE1385" s="394" t="str">
        <f>EUconst_CNTR_EF&amp;EUconst_Unit</f>
        <v>EF_Unit</v>
      </c>
      <c r="AF1385" s="395" t="str">
        <f>IF(AC1385=TRUE, IF(COUNTIF(MSPara_SourceStreamCategory,V1385)=0,"",INDEX(MSPara_CalcFactorsMatrix,MATCH(V1385,MSPara_SourceStreamCategory,0),MATCH(AE1385&amp;"_"&amp;2,MSPara_CalcFactors,0))),"")</f>
        <v/>
      </c>
      <c r="AG1385" s="396" t="str">
        <f>IF(AC1385=TRUE, IF(COUNTIF(MSPara_SourceStreamCategory,V1385)=0,"",INDEX(MSPara_CalcFactorsMatrix,MATCH(V1385,MSPara_SourceStreamCategory,0),MATCH(AE1385&amp;"_"&amp;1,MSPara_CalcFactors,0))),"")</f>
        <v/>
      </c>
      <c r="AH1385" s="397" t="str">
        <f>IF(AA1385="","",INDEX(AF1385:AG1385,3-AA1385))</f>
        <v/>
      </c>
      <c r="AI1385" s="397" t="str">
        <f>IF(AC1385=TRUE,IF(OR(AH1385="",AH1385=EUconst_NA),EUconst_tCO2&amp;"/"&amp;IF(AN1384=EUconst_NA,AN1382,IF(AN1384=EUconst_GJ,EUconst_TJ,AN1384)),AH1385),"")</f>
        <v/>
      </c>
      <c r="AJ1385" s="397" t="str">
        <f>IF(J1385="",AI1385,J1385)</f>
        <v/>
      </c>
      <c r="AK1385" s="398" t="b">
        <f>AND(E1377&lt;&gt;"",J1385&lt;&gt;"")</f>
        <v>0</v>
      </c>
      <c r="AL1385" s="326"/>
      <c r="AM1385" s="358" t="s">
        <v>153</v>
      </c>
      <c r="AN1385" s="359" t="str">
        <f>IF(COUNTIF(RFAUnits,AN1382)=0,EUconst_NA,INDEX(EUwideConstants!$C$150:$H$154,MATCH(AJ1385,EFUnits,0),MATCH(AN1382,EUwideConstants!$C$149:$H$149,0)))</f>
        <v>n.a.</v>
      </c>
      <c r="AO1385" s="359" t="b">
        <f>AN1385&lt;&gt;EUconst_NA</f>
        <v>0</v>
      </c>
      <c r="AP1385" s="326"/>
      <c r="AQ1385" s="399" t="str">
        <f>EUconst_CNTR_EF&amp;EUconst_Value</f>
        <v>EF_Value</v>
      </c>
      <c r="AR1385" s="400" t="str">
        <f>IF(AC1385=TRUE,IF(COUNTIF(MSPara_SourceStreamCategory,V1385)=0,"",INDEX(MSPara_CalcFactorsMatrix,MATCH(V1385,MSPara_SourceStreamCategory,0),MATCH(AQ1385&amp;"_"&amp;2,MSPara_CalcFactors,0))),"")</f>
        <v/>
      </c>
      <c r="AS1385" s="401" t="str">
        <f>IF(AC1385=TRUE,IF(COUNTIF(MSPara_SourceStreamCategory,V1385)=0,"",INDEX(MSPara_CalcFactorsMatrix,MATCH(V1385,MSPara_SourceStreamCategory,0),MATCH(AQ1385&amp;"_"&amp;1,MSPara_CalcFactors,0))),"")</f>
        <v/>
      </c>
      <c r="AT1385" s="402" t="b">
        <f>AND(AND(AH1385&lt;&gt;"",AJ1385&lt;&gt;""),AJ1385=AH1385)</f>
        <v>0</v>
      </c>
      <c r="AU1385" s="403" t="str">
        <f>IF(AND(AA1385&lt;&gt;"",AT1385=TRUE),IF(OR(INDEX(AR1385:AS1385,3-AA1385)=EUconst_NA,INDEX(AR1385:AS1385,3-AA1385)=0),"",INDEX(AR1385:AS1385,3-AA1385)),"")</f>
        <v/>
      </c>
      <c r="AV1385" s="393">
        <f>IF(AC1385=TRUE,IF(COUNT(K1385:L1385)=0,0,IF(L1385="",K1385,L1385)),0)</f>
        <v>0</v>
      </c>
      <c r="AW1385" s="389" t="b">
        <f t="shared" si="423"/>
        <v>0</v>
      </c>
      <c r="AX1385" s="404" t="b">
        <f t="shared" si="424"/>
        <v>0</v>
      </c>
      <c r="AY1385" s="314"/>
      <c r="AZ1385" s="405" t="b">
        <f t="shared" si="425"/>
        <v>0</v>
      </c>
      <c r="BA1385" s="406" t="b">
        <f t="shared" si="426"/>
        <v>0</v>
      </c>
      <c r="BB1385" s="407" t="b">
        <f>AND(E1377&lt;&gt;"",COUNTIF(AO1385:AO1386,TRUE)=0)</f>
        <v>0</v>
      </c>
      <c r="BC1385" s="389" t="b">
        <f t="shared" si="427"/>
        <v>0</v>
      </c>
      <c r="BD1385" s="314"/>
      <c r="BE1385" s="314"/>
      <c r="BF1385" s="408" t="s">
        <v>154</v>
      </c>
      <c r="BG1385" s="409" t="str">
        <f>IF(COUNTIF(AO1385:AO1386,TRUE)=0,"",BH1385*AV1393)</f>
        <v/>
      </c>
      <c r="BH1385" s="409" t="str">
        <f>IF(COUNTIF(AO1385:AO1386,TRUE)=0,"",AV1382*IF(AO1385,1,AV1384*AN1386)*AV1385*AV1387)</f>
        <v/>
      </c>
      <c r="BI1385" s="314"/>
      <c r="BJ1385" s="314"/>
      <c r="BK1385" s="314"/>
      <c r="BL1385" s="314"/>
      <c r="BM1385" s="314"/>
      <c r="BN1385" s="314"/>
      <c r="BO1385" s="314"/>
      <c r="BP1385" s="314"/>
      <c r="BQ1385" s="314"/>
      <c r="BR1385" s="314"/>
      <c r="BS1385" s="314"/>
      <c r="BT1385" s="314"/>
      <c r="BU1385" s="314"/>
      <c r="BV1385" s="314"/>
      <c r="BW1385" s="314"/>
      <c r="BX1385" s="314"/>
      <c r="BY1385" s="314"/>
      <c r="BZ1385" s="314"/>
      <c r="CA1385" s="314"/>
      <c r="CB1385" s="314"/>
      <c r="CC1385" s="314"/>
      <c r="CD1385" s="314"/>
      <c r="CE1385" s="314"/>
      <c r="CF1385" s="314"/>
      <c r="CG1385" s="314"/>
      <c r="CH1385" s="314"/>
      <c r="CI1385" s="314"/>
      <c r="CJ1385" s="314"/>
      <c r="CK1385" s="314"/>
      <c r="CL1385" s="314"/>
      <c r="CM1385" s="314"/>
      <c r="CN1385" s="314"/>
      <c r="CO1385" s="314"/>
      <c r="CP1385" s="314"/>
      <c r="CQ1385" s="407" t="b">
        <f>OR(CQ1382,Y1385=EUconst_NA)</f>
        <v>0</v>
      </c>
    </row>
    <row r="1386" spans="1:95" ht="12.75" customHeight="1" x14ac:dyDescent="0.25">
      <c r="A1386" s="307"/>
      <c r="B1386" s="68"/>
      <c r="C1386" s="199" t="s">
        <v>15</v>
      </c>
      <c r="D1386" s="344" t="str">
        <f>Translations!$B$362</f>
        <v>BioF:</v>
      </c>
      <c r="E1386" s="345"/>
      <c r="F1386" s="10"/>
      <c r="G1386" s="1256" t="str">
        <f>IF(OR(ISBLANK(F1386),F1386=EUconst_NoTier),"",IF(Z1386=0,EUconst_NotApplicable,IF(ISERROR(Z1386),"",Z1386)))</f>
        <v/>
      </c>
      <c r="H1386" s="1257"/>
      <c r="I1386" s="410" t="str">
        <f t="shared" ref="I1386:I1391" si="428">IF(OR(AC1386=FALSE,Y1386=EUconst_NA),"","-")</f>
        <v/>
      </c>
      <c r="J1386" s="411"/>
      <c r="K1386" s="412" t="str">
        <f>IF(L1386="",AU1386,"")</f>
        <v/>
      </c>
      <c r="L1386" s="60"/>
      <c r="M1386" s="347" t="str">
        <f>IF(AND(E1377&lt;&gt;"",OR(F1386="",COUNT(K1386:L1386)=0),Y1386&lt;&gt;EUconst_NA),EUconst_ERR_Incomplete,IF(COUNTIF(BB1386:BD1386,TRUE)&gt;0,EUconst_ERR_Inconsistent,""))</f>
        <v/>
      </c>
      <c r="O1386" s="160"/>
      <c r="P1386" s="348"/>
      <c r="Q1386" s="413"/>
      <c r="R1386" s="413"/>
      <c r="S1386" s="314"/>
      <c r="T1386" s="388" t="str">
        <f>EUconst_CNTR_BiomassContent&amp;E1377</f>
        <v>BioC_</v>
      </c>
      <c r="U1386" s="312"/>
      <c r="V1386" s="369" t="str">
        <f>V1384</f>
        <v/>
      </c>
      <c r="W1386" s="369" t="str">
        <f>IF(OR(V1386="",COUNTIF(MSPara_SourceStreamCategory,V1386)=0),"",INDEX(MSPara_IsFossil,MATCH(V1386,MSPara_SourceStreamCategory,0)))</f>
        <v/>
      </c>
      <c r="X1386" s="312"/>
      <c r="Y1386" s="370" t="str">
        <f>IF(E1377="","",IF(OR(F1386=EUconst_NA,W1386=TRUE),EUconst_NA,INDEX(EUwideConstants!$P$164:$P$200,MATCH(T1386,EUwideConstants!$S$164:$S$200,0))))</f>
        <v/>
      </c>
      <c r="Z1386" s="371" t="str">
        <f>IF(ISBLANK(F1386),"",IF(F1386=EUconst_NA,"",INDEX(EUwideConstants!$H:$O,MATCH(T1386,EUwideConstants!$S:$S,0),MATCH(F1386,CNTR_TierList,0))))</f>
        <v/>
      </c>
      <c r="AA1386" s="414" t="str">
        <f>IF(F1386=1,1,"")</f>
        <v/>
      </c>
      <c r="AB1386" s="314"/>
      <c r="AC1386" s="373" t="b">
        <f>AND(AC1382,Y1386&lt;&gt;EUconst_NA)</f>
        <v>0</v>
      </c>
      <c r="AD1386" s="314"/>
      <c r="AE1386" s="415"/>
      <c r="AF1386" s="416"/>
      <c r="AG1386" s="417"/>
      <c r="AH1386" s="418"/>
      <c r="AI1386" s="418"/>
      <c r="AJ1386" s="418"/>
      <c r="AK1386" s="419"/>
      <c r="AL1386" s="326"/>
      <c r="AM1386" s="358" t="s">
        <v>155</v>
      </c>
      <c r="AN1386" s="359" t="str">
        <f>IF(AN1384=EUconst_NA,EUconst_NA,INDEX(EUwideConstants!$C$150:$H$154,MATCH(AJ1385,EFUnits,0),MATCH(AN1384,EUwideConstants!$C$149:$H$149,0)))</f>
        <v>n.a.</v>
      </c>
      <c r="AO1386" s="359" t="b">
        <f>AN1386&lt;&gt;EUconst_NA</f>
        <v>0</v>
      </c>
      <c r="AP1386" s="326"/>
      <c r="AQ1386" s="376" t="str">
        <f>EUconst_CNTR_BiomassContent&amp;EUconst_Value</f>
        <v>BioC_Value</v>
      </c>
      <c r="AR1386" s="420"/>
      <c r="AS1386" s="378" t="str">
        <f t="shared" ref="AS1386:AS1391" si="429">IF(AC1386=TRUE,IF(COUNTIF(MSPara_SourceStreamCategory,V1386)=0,"",INDEX(MSPara_CalcFactorsMatrix,MATCH(V1386,MSPara_SourceStreamCategory,0),MATCH(AQ1386&amp;"_"&amp;2,MSPara_CalcFactors,0))),"")</f>
        <v/>
      </c>
      <c r="AT1386" s="421"/>
      <c r="AU1386" s="380" t="str">
        <f t="shared" ref="AU1386:AU1391" si="430">IF(OR(AA1386="",AS1386=EUconst_NA),"",AS1386)</f>
        <v/>
      </c>
      <c r="AV1386" s="373">
        <f>IF(AC1386=TRUE,IF(COUNT(K1386:L1386)=0,0,IF(L1386="",K1386,L1386)),0)</f>
        <v>0</v>
      </c>
      <c r="AW1386" s="369" t="b">
        <f t="shared" si="423"/>
        <v>0</v>
      </c>
      <c r="AX1386" s="381" t="b">
        <f t="shared" si="424"/>
        <v>0</v>
      </c>
      <c r="AY1386" s="314"/>
      <c r="AZ1386" s="382" t="b">
        <f t="shared" si="425"/>
        <v>0</v>
      </c>
      <c r="BA1386" s="383" t="b">
        <f t="shared" si="426"/>
        <v>0</v>
      </c>
      <c r="BB1386" s="314"/>
      <c r="BC1386" s="369" t="b">
        <f t="shared" si="427"/>
        <v>0</v>
      </c>
      <c r="BD1386" s="369" t="b">
        <f>OR(AV1386&gt;100%,(AV1386+AV1387)&gt;100%)</f>
        <v>0</v>
      </c>
      <c r="BE1386" s="314"/>
      <c r="BF1386" s="382" t="s">
        <v>156</v>
      </c>
      <c r="BG1386" s="384" t="str">
        <f>IF(COUNTIF(AO1385:AO1386,TRUE)=0,"",BH1386*AV1393)</f>
        <v/>
      </c>
      <c r="BH1386" s="384" t="str">
        <f>IF(COUNTIF(AO1385:AO1386,TRUE)=0,"",AV1382*IF(AO1385,1,AV1384*AN1386)*AV1385*AV1388)</f>
        <v/>
      </c>
      <c r="BJ1386" s="314"/>
      <c r="BK1386" s="314"/>
      <c r="BL1386" s="314"/>
      <c r="BM1386" s="314"/>
      <c r="BN1386" s="314"/>
      <c r="BO1386" s="314"/>
      <c r="BP1386" s="314"/>
      <c r="BQ1386" s="314"/>
      <c r="BR1386" s="314"/>
      <c r="BS1386" s="314"/>
      <c r="BT1386" s="314"/>
      <c r="BU1386" s="314"/>
      <c r="BV1386" s="314"/>
      <c r="BW1386" s="314"/>
      <c r="BX1386" s="314"/>
      <c r="BY1386" s="314"/>
      <c r="BZ1386" s="314"/>
      <c r="CA1386" s="314"/>
      <c r="CB1386" s="314"/>
      <c r="CC1386" s="314"/>
      <c r="CD1386" s="314"/>
      <c r="CE1386" s="314"/>
      <c r="CF1386" s="314"/>
      <c r="CG1386" s="314"/>
      <c r="CH1386" s="314"/>
      <c r="CI1386" s="314"/>
      <c r="CJ1386" s="314"/>
      <c r="CK1386" s="314"/>
      <c r="CL1386" s="314"/>
      <c r="CM1386" s="314"/>
      <c r="CN1386" s="314"/>
      <c r="CO1386" s="314"/>
      <c r="CP1386" s="314"/>
      <c r="CQ1386" s="369" t="b">
        <f>OR(CQ1382,Y1386=EUconst_NA)</f>
        <v>0</v>
      </c>
    </row>
    <row r="1387" spans="1:95" ht="12.75" customHeight="1" thickBot="1" x14ac:dyDescent="0.3">
      <c r="A1387" s="307"/>
      <c r="B1387" s="68"/>
      <c r="C1387" s="199" t="s">
        <v>16</v>
      </c>
      <c r="D1387" s="344" t="str">
        <f>Translations!$B$368</f>
        <v>non-sust. BioF:</v>
      </c>
      <c r="E1387" s="345"/>
      <c r="F1387" s="20"/>
      <c r="G1387" s="1256" t="str">
        <f>IF(OR(ISBLANK(F1387),F1387=EUconst_NoTier),"",IF(Z1387=0,EUconst_NotApplicable,IF(ISERROR(Z1387),"",Z1387)))</f>
        <v/>
      </c>
      <c r="H1387" s="1257"/>
      <c r="I1387" s="422" t="str">
        <f t="shared" si="428"/>
        <v/>
      </c>
      <c r="J1387" s="423"/>
      <c r="K1387" s="424" t="str">
        <f>IF(L1387="",AU1387,"")</f>
        <v/>
      </c>
      <c r="L1387" s="21"/>
      <c r="M1387" s="347" t="str">
        <f>IF(AND(E1377&lt;&gt;"",OR(F1387="",COUNT(K1387:L1387)=0),Y1387&lt;&gt;EUconst_NA),EUconst_ERR_Incomplete,IF(COUNTIF(BB1387:BD1387,TRUE)&gt;0,EUconst_ERR_Inconsistent,""))</f>
        <v/>
      </c>
      <c r="N1387" s="76"/>
      <c r="O1387" s="160"/>
      <c r="P1387" s="348"/>
      <c r="Q1387" s="413"/>
      <c r="R1387" s="413"/>
      <c r="S1387" s="314"/>
      <c r="T1387" s="425" t="str">
        <f>EUconst_CNTR_BiomassContent&amp;E1377</f>
        <v>BioC_</v>
      </c>
      <c r="U1387" s="312"/>
      <c r="V1387" s="407" t="str">
        <f>V1386</f>
        <v/>
      </c>
      <c r="W1387" s="407" t="str">
        <f>IF(OR(V1386="",COUNTIF(MSPara_SourceStreamCategory,V1387)=0),"",INDEX(MSPara_IsFossil,MATCH(V1387,MSPara_SourceStreamCategory,0)))</f>
        <v/>
      </c>
      <c r="X1387" s="312"/>
      <c r="Y1387" s="426" t="str">
        <f>IF(E1377="","",IF(OR(F1387=EUconst_NA,W1387=TRUE),EUconst_NA,INDEX(EUwideConstants!$P$164:$P$200,MATCH(T1387,EUwideConstants!$S$164:$S$200,0))))</f>
        <v/>
      </c>
      <c r="Z1387" s="427" t="str">
        <f>IF(ISBLANK(F1387),"",IF(F1387=EUconst_NA,"",INDEX(EUwideConstants!$H:$O,MATCH(T1387,EUwideConstants!$S:$S,0),MATCH(F1387,CNTR_TierList,0))))</f>
        <v/>
      </c>
      <c r="AA1387" s="428" t="str">
        <f>IF(F1387=1,1,"")</f>
        <v/>
      </c>
      <c r="AB1387" s="314"/>
      <c r="AC1387" s="429" t="b">
        <f>AND(AC1382,Y1387&lt;&gt;EUconst_NA)</f>
        <v>0</v>
      </c>
      <c r="AD1387" s="314"/>
      <c r="AE1387" s="430"/>
      <c r="AF1387" s="431"/>
      <c r="AG1387" s="432"/>
      <c r="AH1387" s="433"/>
      <c r="AI1387" s="433"/>
      <c r="AJ1387" s="433"/>
      <c r="AK1387" s="434"/>
      <c r="AL1387" s="326"/>
      <c r="AM1387" s="326"/>
      <c r="AN1387" s="326"/>
      <c r="AO1387" s="326"/>
      <c r="AP1387" s="326"/>
      <c r="AQ1387" s="435" t="str">
        <f>EUconst_CNTR_BiomassContent&amp;EUconst_Value</f>
        <v>BioC_Value</v>
      </c>
      <c r="AR1387" s="430"/>
      <c r="AS1387" s="436" t="str">
        <f t="shared" si="429"/>
        <v/>
      </c>
      <c r="AT1387" s="437"/>
      <c r="AU1387" s="438" t="str">
        <f t="shared" si="430"/>
        <v/>
      </c>
      <c r="AV1387" s="429">
        <f>IF(AC1387=TRUE,IF(COUNT(K1387:L1387)=0,0,IF(L1387="",K1387,L1387)),0)</f>
        <v>0</v>
      </c>
      <c r="AW1387" s="407" t="b">
        <f t="shared" si="423"/>
        <v>0</v>
      </c>
      <c r="AX1387" s="439" t="b">
        <f t="shared" si="424"/>
        <v>0</v>
      </c>
      <c r="AY1387" s="314"/>
      <c r="AZ1387" s="408" t="b">
        <f t="shared" si="425"/>
        <v>0</v>
      </c>
      <c r="BA1387" s="440" t="b">
        <f t="shared" si="426"/>
        <v>0</v>
      </c>
      <c r="BB1387" s="314"/>
      <c r="BC1387" s="407" t="b">
        <f t="shared" si="427"/>
        <v>0</v>
      </c>
      <c r="BD1387" s="407" t="b">
        <f>OR(AV1386&gt;100%,(AV1386+AV1387)&gt;100%)</f>
        <v>0</v>
      </c>
      <c r="BE1387" s="314"/>
      <c r="BF1387" s="408" t="s">
        <v>157</v>
      </c>
      <c r="BG1387" s="409" t="str">
        <f>IF(COUNTIF(AO1385:AO1386,TRUE)=0,"",BH1387*AV1393)</f>
        <v/>
      </c>
      <c r="BH1387" s="409" t="str">
        <f>IF(COUNTIF(AO1385:AO1386,TRUE)=0,"",AV1382*IF(AO1385,1,AV1384*AN1386)*AV1385*AV1389)</f>
        <v/>
      </c>
      <c r="BJ1387" s="314"/>
      <c r="BK1387" s="314"/>
      <c r="BL1387" s="314"/>
      <c r="BM1387" s="314"/>
      <c r="BN1387" s="314"/>
      <c r="BO1387" s="314"/>
      <c r="BP1387" s="314"/>
      <c r="BQ1387" s="314"/>
      <c r="BR1387" s="314"/>
      <c r="BS1387" s="314"/>
      <c r="BT1387" s="314"/>
      <c r="BU1387" s="314"/>
      <c r="BV1387" s="314"/>
      <c r="BW1387" s="314"/>
      <c r="BX1387" s="314"/>
      <c r="BY1387" s="314"/>
      <c r="BZ1387" s="314"/>
      <c r="CA1387" s="314"/>
      <c r="CB1387" s="314"/>
      <c r="CC1387" s="314"/>
      <c r="CD1387" s="314"/>
      <c r="CE1387" s="314"/>
      <c r="CF1387" s="314"/>
      <c r="CG1387" s="314"/>
      <c r="CH1387" s="314"/>
      <c r="CI1387" s="314"/>
      <c r="CJ1387" s="314"/>
      <c r="CK1387" s="314"/>
      <c r="CL1387" s="314"/>
      <c r="CM1387" s="314"/>
      <c r="CN1387" s="314"/>
      <c r="CO1387" s="314"/>
      <c r="CP1387" s="314"/>
      <c r="CQ1387" s="407" t="b">
        <f>OR(CQ1382,Y1387=EUconst_NA)</f>
        <v>0</v>
      </c>
    </row>
    <row r="1388" spans="1:95" ht="12.75" customHeight="1" thickBot="1" x14ac:dyDescent="0.3">
      <c r="A1388" s="307"/>
      <c r="B1388" s="68"/>
      <c r="C1388" s="199" t="s">
        <v>17</v>
      </c>
      <c r="D1388" s="344" t="str">
        <f>Translations!$B$610</f>
        <v>sust. RFNBO/RCF:</v>
      </c>
      <c r="E1388" s="441"/>
      <c r="F1388" s="19" t="s">
        <v>158</v>
      </c>
      <c r="G1388" s="1261"/>
      <c r="H1388" s="1262"/>
      <c r="I1388" s="442" t="str">
        <f t="shared" si="428"/>
        <v/>
      </c>
      <c r="J1388" s="411"/>
      <c r="K1388" s="443"/>
      <c r="L1388" s="55"/>
      <c r="M1388" s="347" t="str">
        <f>IF(AND(E1377&lt;&gt;"",OR(F1388="",COUNT(L1388)=0),Y1388&lt;&gt;EUconst_NA),EUconst_ERR_Incomplete,"")</f>
        <v/>
      </c>
      <c r="N1388" s="76"/>
      <c r="O1388" s="160"/>
      <c r="P1388" s="348"/>
      <c r="Q1388" s="413"/>
      <c r="R1388" s="413"/>
      <c r="S1388" s="314"/>
      <c r="T1388" s="388" t="str">
        <f>EUconst_CNTR_RFNBOetcContent&amp;E1377</f>
        <v>RNFBOC_</v>
      </c>
      <c r="U1388" s="312"/>
      <c r="V1388" s="312"/>
      <c r="W1388" s="312"/>
      <c r="X1388" s="312"/>
      <c r="Y1388" s="380" t="str">
        <f>IF(E1377="","",IF(OR(F1388=EUconst_NA,W1388=TRUE),EUconst_NA,INDEX(EUwideConstants!$P$164:$P$200,MATCH(T1388,EUwideConstants!$S$164:$S$200,0))))</f>
        <v/>
      </c>
      <c r="Z1388" s="314"/>
      <c r="AA1388" s="314"/>
      <c r="AB1388" s="314"/>
      <c r="AC1388" s="397" t="b">
        <f>AND(AC1384,Y1388&lt;&gt;EUconst_NA)</f>
        <v>0</v>
      </c>
      <c r="AD1388" s="314"/>
      <c r="AE1388" s="415"/>
      <c r="AF1388" s="416"/>
      <c r="AG1388" s="417"/>
      <c r="AH1388" s="418"/>
      <c r="AI1388" s="418"/>
      <c r="AJ1388" s="418"/>
      <c r="AK1388" s="419"/>
      <c r="AL1388" s="326"/>
      <c r="AM1388" s="326"/>
      <c r="AN1388" s="326"/>
      <c r="AO1388" s="326"/>
      <c r="AP1388" s="326"/>
      <c r="AQ1388" s="444" t="s">
        <v>159</v>
      </c>
      <c r="AR1388" s="415"/>
      <c r="AS1388" s="445" t="str">
        <f t="shared" si="429"/>
        <v/>
      </c>
      <c r="AT1388" s="446"/>
      <c r="AU1388" s="447" t="str">
        <f t="shared" si="430"/>
        <v/>
      </c>
      <c r="AV1388" s="397">
        <f>IF(L1388&lt;&gt;0,L1388,L1388)</f>
        <v>0</v>
      </c>
      <c r="AW1388" s="398" t="b">
        <f t="shared" si="423"/>
        <v>0</v>
      </c>
      <c r="AX1388" s="448" t="b">
        <f t="shared" si="424"/>
        <v>0</v>
      </c>
      <c r="AY1388" s="314"/>
      <c r="AZ1388" s="449" t="b">
        <f t="shared" si="425"/>
        <v>0</v>
      </c>
      <c r="BA1388" s="450" t="b">
        <f t="shared" si="426"/>
        <v>0</v>
      </c>
      <c r="BB1388" s="314"/>
      <c r="BC1388" s="398" t="b">
        <f t="shared" si="427"/>
        <v>0</v>
      </c>
      <c r="BD1388" s="369" t="b">
        <f>OR(AV1388&gt;100%,(AV1388+AV1389)&gt;100%)</f>
        <v>0</v>
      </c>
      <c r="BE1388" s="314"/>
      <c r="BF1388" s="451" t="s">
        <v>160</v>
      </c>
      <c r="BG1388" s="452" t="str">
        <f>IF(COUNTIF(AO1385:AO1386,TRUE)=0,"",BH1388*AV1393)</f>
        <v/>
      </c>
      <c r="BH1388" s="452" t="str">
        <f>IF(COUNTIF(AO1385:AO1386,TRUE)=0,"",AV1382*IF(AO1385,1,AV1384*AN1386)*AV1385*AV1390)</f>
        <v/>
      </c>
      <c r="BJ1388" s="314"/>
      <c r="BK1388" s="314"/>
      <c r="BL1388" s="314"/>
      <c r="BM1388" s="314"/>
      <c r="BN1388" s="314"/>
      <c r="BO1388" s="314"/>
      <c r="BP1388" s="314"/>
      <c r="BQ1388" s="314"/>
      <c r="BR1388" s="314"/>
      <c r="BS1388" s="314"/>
      <c r="BT1388" s="314"/>
      <c r="BU1388" s="314"/>
      <c r="BV1388" s="314"/>
      <c r="BW1388" s="314"/>
      <c r="BX1388" s="314"/>
      <c r="BY1388" s="314"/>
      <c r="BZ1388" s="314"/>
      <c r="CA1388" s="314"/>
      <c r="CB1388" s="314"/>
      <c r="CC1388" s="314"/>
      <c r="CD1388" s="314"/>
      <c r="CE1388" s="314"/>
      <c r="CF1388" s="314"/>
      <c r="CG1388" s="314"/>
      <c r="CH1388" s="314"/>
      <c r="CI1388" s="314"/>
      <c r="CJ1388" s="314"/>
      <c r="CK1388" s="314"/>
      <c r="CL1388" s="314"/>
      <c r="CM1388" s="314"/>
      <c r="CN1388" s="314"/>
      <c r="CO1388" s="314"/>
      <c r="CP1388" s="314"/>
      <c r="CQ1388" s="407" t="b">
        <f>OR(CQ1382,Y1388=EUconst_NA)</f>
        <v>0</v>
      </c>
    </row>
    <row r="1389" spans="1:95" ht="12.75" customHeight="1" thickBot="1" x14ac:dyDescent="0.3">
      <c r="A1389" s="307"/>
      <c r="B1389" s="68"/>
      <c r="C1389" s="199" t="s">
        <v>161</v>
      </c>
      <c r="D1389" s="344" t="str">
        <f>Translations!$B$613</f>
        <v>non-sust. RFNBO/RCF:</v>
      </c>
      <c r="E1389" s="441"/>
      <c r="F1389" s="20" t="s">
        <v>158</v>
      </c>
      <c r="G1389" s="1261"/>
      <c r="H1389" s="1262"/>
      <c r="I1389" s="422" t="str">
        <f t="shared" si="428"/>
        <v/>
      </c>
      <c r="J1389" s="423"/>
      <c r="K1389" s="443"/>
      <c r="L1389" s="56"/>
      <c r="M1389" s="347" t="str">
        <f>IF(AND(E1377&lt;&gt;"",OR(F1389="",COUNT(L1389)=0),Y1389&lt;&gt;EUconst_NA),EUconst_ERR_Incomplete,"")</f>
        <v/>
      </c>
      <c r="N1389" s="76"/>
      <c r="O1389" s="160"/>
      <c r="P1389" s="348"/>
      <c r="Q1389" s="413"/>
      <c r="R1389" s="413"/>
      <c r="S1389" s="314"/>
      <c r="T1389" s="425" t="str">
        <f>EUconst_CNTR_RFNBOetcContent&amp;E1377</f>
        <v>RNFBOC_</v>
      </c>
      <c r="U1389" s="312"/>
      <c r="V1389" s="312"/>
      <c r="W1389" s="312"/>
      <c r="X1389" s="312"/>
      <c r="Y1389" s="438" t="str">
        <f>IF(E1377="","",IF(OR(F1389=EUconst_NA,W1389=TRUE),EUconst_NA,INDEX(EUwideConstants!$P$164:$P$200,MATCH(T1389,EUwideConstants!$S$164:$S$200,0))))</f>
        <v/>
      </c>
      <c r="Z1389" s="314"/>
      <c r="AA1389" s="314"/>
      <c r="AB1389" s="314"/>
      <c r="AC1389" s="429" t="b">
        <f>AND(AC1384,Y1389&lt;&gt;EUconst_NA)</f>
        <v>0</v>
      </c>
      <c r="AD1389" s="314"/>
      <c r="AE1389" s="430"/>
      <c r="AF1389" s="431"/>
      <c r="AG1389" s="432"/>
      <c r="AH1389" s="433"/>
      <c r="AI1389" s="433"/>
      <c r="AJ1389" s="433"/>
      <c r="AK1389" s="434"/>
      <c r="AL1389" s="326"/>
      <c r="AM1389" s="326"/>
      <c r="AN1389" s="326"/>
      <c r="AO1389" s="326"/>
      <c r="AP1389" s="326"/>
      <c r="AQ1389" s="435" t="s">
        <v>159</v>
      </c>
      <c r="AR1389" s="430"/>
      <c r="AS1389" s="436" t="str">
        <f t="shared" si="429"/>
        <v/>
      </c>
      <c r="AT1389" s="437"/>
      <c r="AU1389" s="438" t="str">
        <f t="shared" si="430"/>
        <v/>
      </c>
      <c r="AV1389" s="429">
        <f t="shared" ref="AV1389:AV1391" si="431">IF(L1389&lt;&gt;0,L1389,L1389)</f>
        <v>0</v>
      </c>
      <c r="AW1389" s="407" t="b">
        <f t="shared" si="423"/>
        <v>0</v>
      </c>
      <c r="AX1389" s="439" t="b">
        <f t="shared" si="424"/>
        <v>0</v>
      </c>
      <c r="AY1389" s="314"/>
      <c r="AZ1389" s="408" t="b">
        <f t="shared" si="425"/>
        <v>0</v>
      </c>
      <c r="BA1389" s="440" t="b">
        <f t="shared" si="426"/>
        <v>0</v>
      </c>
      <c r="BB1389" s="314"/>
      <c r="BC1389" s="407" t="b">
        <f t="shared" si="427"/>
        <v>0</v>
      </c>
      <c r="BD1389" s="407" t="b">
        <f>OR(AV1388&gt;100%,(AV1388+AV1389)&gt;100%)</f>
        <v>0</v>
      </c>
      <c r="BE1389" s="314"/>
      <c r="BF1389" s="408" t="s">
        <v>162</v>
      </c>
      <c r="BG1389" s="409" t="str">
        <f>IF(COUNTIF(AO1385:AO1386,TRUE)=0,"",BH1389*AV1393)</f>
        <v/>
      </c>
      <c r="BH1389" s="409" t="str">
        <f>IF(COUNTIF(AO1385:AO1386,TRUE)=0,"",AV1382*IF(AO1385,1,AV1384*AN1386)*AV1385*AV1391)</f>
        <v/>
      </c>
      <c r="BJ1389" s="314"/>
      <c r="BK1389" s="314"/>
      <c r="BL1389" s="314"/>
      <c r="BM1389" s="314"/>
      <c r="BN1389" s="314"/>
      <c r="BO1389" s="314"/>
      <c r="BP1389" s="314"/>
      <c r="BQ1389" s="314"/>
      <c r="BR1389" s="314"/>
      <c r="BS1389" s="314"/>
      <c r="BT1389" s="314"/>
      <c r="BU1389" s="314"/>
      <c r="BV1389" s="314"/>
      <c r="BW1389" s="314"/>
      <c r="BX1389" s="314"/>
      <c r="BY1389" s="314"/>
      <c r="BZ1389" s="314"/>
      <c r="CA1389" s="314"/>
      <c r="CB1389" s="314"/>
      <c r="CC1389" s="314"/>
      <c r="CD1389" s="314"/>
      <c r="CE1389" s="314"/>
      <c r="CF1389" s="314"/>
      <c r="CG1389" s="314"/>
      <c r="CH1389" s="314"/>
      <c r="CI1389" s="314"/>
      <c r="CJ1389" s="314"/>
      <c r="CK1389" s="314"/>
      <c r="CL1389" s="314"/>
      <c r="CM1389" s="314"/>
      <c r="CN1389" s="314"/>
      <c r="CO1389" s="314"/>
      <c r="CP1389" s="314"/>
      <c r="CQ1389" s="407" t="b">
        <f>OR(CQ1382,Y1389=EUconst_NA)</f>
        <v>0</v>
      </c>
    </row>
    <row r="1390" spans="1:95" ht="12.75" customHeight="1" thickBot="1" x14ac:dyDescent="0.3">
      <c r="A1390" s="307"/>
      <c r="B1390" s="68"/>
      <c r="C1390" s="199" t="s">
        <v>163</v>
      </c>
      <c r="D1390" s="344" t="str">
        <f>Translations!$B$615</f>
        <v>sust. SLCF:</v>
      </c>
      <c r="E1390" s="441"/>
      <c r="F1390" s="19" t="s">
        <v>158</v>
      </c>
      <c r="G1390" s="1261"/>
      <c r="H1390" s="1262"/>
      <c r="I1390" s="442" t="str">
        <f t="shared" si="428"/>
        <v/>
      </c>
      <c r="J1390" s="411"/>
      <c r="K1390" s="443"/>
      <c r="L1390" s="57"/>
      <c r="M1390" s="347" t="str">
        <f>IF(AND(E1377&lt;&gt;"",OR(F1390="",COUNT(L1390)=0),Y1390&lt;&gt;EUconst_NA),EUconst_ERR_Incomplete,"")</f>
        <v/>
      </c>
      <c r="N1390" s="76"/>
      <c r="O1390" s="160"/>
      <c r="P1390" s="348"/>
      <c r="Q1390" s="413"/>
      <c r="R1390" s="413"/>
      <c r="S1390" s="314"/>
      <c r="T1390" s="388" t="str">
        <f>EUconst_CNTR_RFNBOetcContent&amp;E1377</f>
        <v>RNFBOC_</v>
      </c>
      <c r="U1390" s="312"/>
      <c r="V1390" s="312"/>
      <c r="W1390" s="312"/>
      <c r="X1390" s="312"/>
      <c r="Y1390" s="447" t="str">
        <f>IF(E1377="","",IF(OR(F1390=EUconst_NA,W1390=TRUE),EUconst_NA,INDEX(EUwideConstants!$P$164:$P$200,MATCH(T1390,EUwideConstants!$S$164:$S$200,0))))</f>
        <v/>
      </c>
      <c r="Z1390" s="314"/>
      <c r="AA1390" s="314"/>
      <c r="AB1390" s="314"/>
      <c r="AC1390" s="397" t="b">
        <f>AND(AC1386,Y1390&lt;&gt;EUconst_NA)</f>
        <v>0</v>
      </c>
      <c r="AD1390" s="314"/>
      <c r="AE1390" s="415"/>
      <c r="AF1390" s="416"/>
      <c r="AG1390" s="417"/>
      <c r="AH1390" s="418"/>
      <c r="AI1390" s="418"/>
      <c r="AJ1390" s="418"/>
      <c r="AK1390" s="419"/>
      <c r="AL1390" s="326"/>
      <c r="AM1390" s="326"/>
      <c r="AN1390" s="326"/>
      <c r="AO1390" s="326"/>
      <c r="AP1390" s="326"/>
      <c r="AQ1390" s="444" t="s">
        <v>159</v>
      </c>
      <c r="AR1390" s="415"/>
      <c r="AS1390" s="445" t="str">
        <f t="shared" si="429"/>
        <v/>
      </c>
      <c r="AT1390" s="446"/>
      <c r="AU1390" s="447" t="str">
        <f t="shared" si="430"/>
        <v/>
      </c>
      <c r="AV1390" s="397">
        <f t="shared" si="431"/>
        <v>0</v>
      </c>
      <c r="AW1390" s="398" t="b">
        <f t="shared" si="423"/>
        <v>0</v>
      </c>
      <c r="AX1390" s="448" t="b">
        <f t="shared" si="424"/>
        <v>0</v>
      </c>
      <c r="AY1390" s="314"/>
      <c r="AZ1390" s="449" t="b">
        <f t="shared" si="425"/>
        <v>0</v>
      </c>
      <c r="BA1390" s="450" t="b">
        <f t="shared" si="426"/>
        <v>0</v>
      </c>
      <c r="BB1390" s="314"/>
      <c r="BC1390" s="398" t="b">
        <f t="shared" si="427"/>
        <v>0</v>
      </c>
      <c r="BD1390" s="369" t="b">
        <f>OR(AV1390&gt;100%,(AV1390+AV1391)&gt;100%)</f>
        <v>0</v>
      </c>
      <c r="BE1390" s="314"/>
      <c r="BF1390" s="451" t="s">
        <v>164</v>
      </c>
      <c r="BG1390" s="452">
        <f>IF(AN1382=EUconst_TJ,AV1382*(1-AV1386),IF(AN1384=EUconst_GJ,AV1382*AV1384/1000,0))-SUM(BG1391:BG1397)</f>
        <v>0</v>
      </c>
      <c r="BH1390" s="314"/>
      <c r="BI1390" s="314"/>
      <c r="BJ1390" s="314"/>
      <c r="BK1390" s="314"/>
      <c r="BL1390" s="314"/>
      <c r="BM1390" s="314"/>
      <c r="BN1390" s="314"/>
      <c r="BO1390" s="314"/>
      <c r="BP1390" s="314"/>
      <c r="BQ1390" s="314"/>
      <c r="BR1390" s="314"/>
      <c r="BS1390" s="314"/>
      <c r="BT1390" s="314"/>
      <c r="BU1390" s="314"/>
      <c r="BV1390" s="314"/>
      <c r="BW1390" s="314"/>
      <c r="BX1390" s="314"/>
      <c r="BY1390" s="314"/>
      <c r="BZ1390" s="314"/>
      <c r="CA1390" s="314"/>
      <c r="CB1390" s="314"/>
      <c r="CC1390" s="314"/>
      <c r="CD1390" s="314"/>
      <c r="CE1390" s="314"/>
      <c r="CF1390" s="314"/>
      <c r="CG1390" s="314"/>
      <c r="CH1390" s="314"/>
      <c r="CI1390" s="314"/>
      <c r="CJ1390" s="314"/>
      <c r="CK1390" s="314"/>
      <c r="CL1390" s="314"/>
      <c r="CM1390" s="314"/>
      <c r="CN1390" s="314"/>
      <c r="CO1390" s="314"/>
      <c r="CP1390" s="314"/>
      <c r="CQ1390" s="407" t="b">
        <f>OR(CQ1382,Y1390=EUconst_NA)</f>
        <v>0</v>
      </c>
    </row>
    <row r="1391" spans="1:95" ht="12.75" customHeight="1" thickBot="1" x14ac:dyDescent="0.3">
      <c r="A1391" s="307"/>
      <c r="B1391" s="68"/>
      <c r="C1391" s="199" t="s">
        <v>165</v>
      </c>
      <c r="D1391" s="344" t="str">
        <f>Translations!$B$618</f>
        <v>non-sust. SLCF:</v>
      </c>
      <c r="E1391" s="441"/>
      <c r="F1391" s="20" t="s">
        <v>158</v>
      </c>
      <c r="G1391" s="1261"/>
      <c r="H1391" s="1262"/>
      <c r="I1391" s="422" t="str">
        <f t="shared" si="428"/>
        <v/>
      </c>
      <c r="J1391" s="423"/>
      <c r="K1391" s="443"/>
      <c r="L1391" s="56"/>
      <c r="M1391" s="347" t="str">
        <f>IF(AND(E1377&lt;&gt;"",OR(F1391="",COUNT(L1391)=0),Y1391&lt;&gt;EUconst_NA),EUconst_ERR_Incomplete,"")</f>
        <v/>
      </c>
      <c r="N1391" s="76"/>
      <c r="O1391" s="160"/>
      <c r="P1391" s="348"/>
      <c r="Q1391" s="413"/>
      <c r="R1391" s="413"/>
      <c r="S1391" s="314"/>
      <c r="T1391" s="425" t="str">
        <f>EUconst_CNTR_RFNBOetcContent&amp;E1377</f>
        <v>RNFBOC_</v>
      </c>
      <c r="U1391" s="312"/>
      <c r="V1391" s="312"/>
      <c r="W1391" s="312"/>
      <c r="X1391" s="312"/>
      <c r="Y1391" s="438" t="str">
        <f>IF(E1377="","",IF(OR(F1391=EUconst_NA,W1391=TRUE),EUconst_NA,INDEX(EUwideConstants!$P$164:$P$200,MATCH(T1391,EUwideConstants!$S$164:$S$200,0))))</f>
        <v/>
      </c>
      <c r="Z1391" s="314"/>
      <c r="AA1391" s="314"/>
      <c r="AB1391" s="314"/>
      <c r="AC1391" s="429" t="b">
        <f>AND(AC1386,Y1391&lt;&gt;EUconst_NA)</f>
        <v>0</v>
      </c>
      <c r="AD1391" s="314"/>
      <c r="AE1391" s="430"/>
      <c r="AF1391" s="431"/>
      <c r="AG1391" s="432"/>
      <c r="AH1391" s="433"/>
      <c r="AI1391" s="433"/>
      <c r="AJ1391" s="433"/>
      <c r="AK1391" s="434"/>
      <c r="AL1391" s="326"/>
      <c r="AM1391" s="326"/>
      <c r="AN1391" s="326"/>
      <c r="AO1391" s="326"/>
      <c r="AP1391" s="326"/>
      <c r="AQ1391" s="435" t="s">
        <v>159</v>
      </c>
      <c r="AR1391" s="430"/>
      <c r="AS1391" s="436" t="str">
        <f t="shared" si="429"/>
        <v/>
      </c>
      <c r="AT1391" s="437"/>
      <c r="AU1391" s="438" t="str">
        <f t="shared" si="430"/>
        <v/>
      </c>
      <c r="AV1391" s="429">
        <f t="shared" si="431"/>
        <v>0</v>
      </c>
      <c r="AW1391" s="407" t="b">
        <f t="shared" si="423"/>
        <v>0</v>
      </c>
      <c r="AX1391" s="439" t="b">
        <f t="shared" si="424"/>
        <v>0</v>
      </c>
      <c r="AY1391" s="314"/>
      <c r="AZ1391" s="408" t="b">
        <f t="shared" si="425"/>
        <v>0</v>
      </c>
      <c r="BA1391" s="440" t="b">
        <f t="shared" si="426"/>
        <v>0</v>
      </c>
      <c r="BB1391" s="314"/>
      <c r="BC1391" s="407" t="b">
        <f t="shared" si="427"/>
        <v>0</v>
      </c>
      <c r="BD1391" s="407" t="b">
        <f>OR(AV1390&gt;100%,(AV1390+AV1391)&gt;100%)</f>
        <v>0</v>
      </c>
      <c r="BE1391" s="314"/>
      <c r="BF1391" s="408" t="s">
        <v>166</v>
      </c>
      <c r="BG1391" s="409" t="str">
        <f>IF(AN1382=EUconst_TJ,AV1382*AV1386,IF(AN1384=EUconst_GJ,AV1382*AV1384/1000*AV1386,""))</f>
        <v/>
      </c>
      <c r="BH1391" s="314"/>
      <c r="BI1391" s="314"/>
      <c r="BJ1391" s="314"/>
      <c r="BK1391" s="314"/>
      <c r="BL1391" s="314"/>
      <c r="BM1391" s="314"/>
      <c r="BN1391" s="314"/>
      <c r="BO1391" s="314"/>
      <c r="BP1391" s="314"/>
      <c r="BQ1391" s="314"/>
      <c r="BR1391" s="314"/>
      <c r="BS1391" s="314"/>
      <c r="BT1391" s="314"/>
      <c r="BU1391" s="314"/>
      <c r="BV1391" s="314"/>
      <c r="BW1391" s="314"/>
      <c r="BX1391" s="314"/>
      <c r="BY1391" s="314"/>
      <c r="BZ1391" s="314"/>
      <c r="CA1391" s="314"/>
      <c r="CB1391" s="314"/>
      <c r="CC1391" s="314"/>
      <c r="CD1391" s="314"/>
      <c r="CE1391" s="314"/>
      <c r="CF1391" s="314"/>
      <c r="CG1391" s="314"/>
      <c r="CH1391" s="314"/>
      <c r="CI1391" s="314"/>
      <c r="CJ1391" s="314"/>
      <c r="CK1391" s="314"/>
      <c r="CL1391" s="314"/>
      <c r="CM1391" s="314"/>
      <c r="CN1391" s="314"/>
      <c r="CO1391" s="314"/>
      <c r="CP1391" s="314"/>
      <c r="CQ1391" s="407" t="b">
        <f>OR(CQ1382,Y1391=EUconst_NA)</f>
        <v>0</v>
      </c>
    </row>
    <row r="1392" spans="1:95" ht="5.15" customHeight="1" thickBot="1" x14ac:dyDescent="0.3">
      <c r="A1392" s="307"/>
      <c r="B1392" s="68"/>
      <c r="C1392" s="68"/>
      <c r="D1392" s="205"/>
      <c r="E1392" s="76"/>
      <c r="F1392" s="76"/>
      <c r="G1392" s="76"/>
      <c r="H1392" s="76"/>
      <c r="I1392" s="76"/>
      <c r="J1392" s="76"/>
      <c r="K1392" s="76"/>
      <c r="L1392" s="76"/>
      <c r="M1392" s="453"/>
      <c r="N1392" s="76"/>
      <c r="O1392" s="160"/>
      <c r="P1392" s="109"/>
      <c r="Q1392" s="312"/>
      <c r="R1392" s="312"/>
      <c r="S1392" s="314"/>
      <c r="T1392" s="314"/>
      <c r="U1392" s="314"/>
      <c r="V1392" s="314"/>
      <c r="W1392" s="314"/>
      <c r="X1392" s="314"/>
      <c r="Y1392" s="314"/>
      <c r="Z1392" s="314"/>
      <c r="AA1392" s="314"/>
      <c r="AB1392" s="314"/>
      <c r="AC1392" s="314"/>
      <c r="AD1392" s="314"/>
      <c r="AE1392" s="314"/>
      <c r="AF1392" s="314"/>
      <c r="AG1392" s="314"/>
      <c r="AH1392" s="314"/>
      <c r="AI1392" s="314"/>
      <c r="AJ1392" s="314"/>
      <c r="AK1392" s="314"/>
      <c r="AL1392" s="314"/>
      <c r="AM1392" s="314"/>
      <c r="AN1392" s="314"/>
      <c r="AO1392" s="314"/>
      <c r="AP1392" s="314"/>
      <c r="AQ1392" s="314"/>
      <c r="AR1392" s="314"/>
      <c r="AS1392" s="314"/>
      <c r="AT1392" s="314"/>
      <c r="AU1392" s="314"/>
      <c r="AV1392" s="314"/>
      <c r="AW1392" s="314"/>
      <c r="AX1392" s="314"/>
      <c r="AY1392" s="314"/>
      <c r="AZ1392" s="314"/>
      <c r="BA1392" s="314"/>
      <c r="BB1392" s="314"/>
      <c r="BC1392" s="314"/>
      <c r="BD1392" s="314"/>
      <c r="BE1392" s="314"/>
      <c r="BF1392" s="314"/>
      <c r="BG1392" s="364"/>
      <c r="BH1392" s="314"/>
      <c r="BI1392" s="314"/>
      <c r="BJ1392" s="314"/>
      <c r="BK1392" s="314"/>
      <c r="BL1392" s="314"/>
      <c r="BM1392" s="314"/>
      <c r="BN1392" s="314"/>
      <c r="BO1392" s="314"/>
      <c r="BP1392" s="314"/>
      <c r="BQ1392" s="314"/>
      <c r="BR1392" s="314"/>
      <c r="BS1392" s="314"/>
      <c r="BT1392" s="314"/>
      <c r="BU1392" s="314"/>
      <c r="BV1392" s="314"/>
      <c r="BW1392" s="314"/>
      <c r="BX1392" s="314"/>
      <c r="BY1392" s="314"/>
      <c r="BZ1392" s="314"/>
      <c r="CA1392" s="314"/>
      <c r="CB1392" s="314"/>
      <c r="CC1392" s="314"/>
      <c r="CD1392" s="314"/>
      <c r="CE1392" s="314"/>
      <c r="CF1392" s="314"/>
      <c r="CG1392" s="314"/>
      <c r="CH1392" s="314"/>
      <c r="CI1392" s="314"/>
      <c r="CJ1392" s="314"/>
      <c r="CK1392" s="314"/>
      <c r="CL1392" s="314"/>
      <c r="CM1392" s="314"/>
      <c r="CN1392" s="314"/>
      <c r="CO1392" s="314"/>
      <c r="CP1392" s="314"/>
      <c r="CQ1392" s="314"/>
    </row>
    <row r="1393" spans="1:95" ht="12.75" customHeight="1" thickBot="1" x14ac:dyDescent="0.3">
      <c r="A1393" s="307"/>
      <c r="B1393" s="68"/>
      <c r="C1393" s="199" t="s">
        <v>167</v>
      </c>
      <c r="D1393" s="344" t="str">
        <f>Translations!$B$398</f>
        <v>Scope factor:</v>
      </c>
      <c r="E1393" s="454"/>
      <c r="F1393" s="992"/>
      <c r="G1393" s="1263"/>
      <c r="H1393" s="1264"/>
      <c r="I1393" s="455" t="s">
        <v>46</v>
      </c>
      <c r="J1393" s="456"/>
      <c r="K1393" s="457" t="str">
        <f>IF(L1393="",AU1393,"")</f>
        <v/>
      </c>
      <c r="L1393" s="16"/>
      <c r="M1393" s="458" t="str">
        <f>IF(AND(E1377&lt;&gt;"",OR(F1393="",G1393="",COUNT(K1393:L1393)=0)),EUconst_ERR_Incomplete,IF(COUNTIF(BB1393:BD1393,TRUE)&gt;0,EUconst_ERR_Inconsistent,""))</f>
        <v/>
      </c>
      <c r="N1393" s="76"/>
      <c r="O1393" s="160"/>
      <c r="P1393" s="109"/>
      <c r="Q1393" s="312"/>
      <c r="R1393" s="314"/>
      <c r="S1393" s="297"/>
      <c r="T1393" s="459" t="str">
        <f>EUconst_CNTR_ScopeFactor&amp;E1377</f>
        <v>ScopeFactor_</v>
      </c>
      <c r="U1393" s="231" t="str">
        <f>IF(F1393="","",INDEX(ScopeAddress,MATCH(F1393,ScopeTiers,0)))</f>
        <v/>
      </c>
      <c r="V1393" s="360" t="str">
        <f>V1382</f>
        <v/>
      </c>
      <c r="W1393" s="314"/>
      <c r="X1393" s="314"/>
      <c r="Y1393" s="460" t="str">
        <f>IF(E1377="","",IF(F1393=EUconst_NA,EUconst_NA,INDEX(EUwideConstants!$P$164:$P$200,MATCH(T1393,EUwideConstants!$S$164:$S$200,0))))</f>
        <v/>
      </c>
      <c r="Z1393" s="461" t="str">
        <f>IF(ISBLANK(F1393),"",IF(F1393=EUconst_NA,"",INDEX(EUwideConstants!$H:$O,MATCH(T1393,EUwideConstants!$S:$S,0),MATCH(F1393,CNTR_TierList,0))))</f>
        <v/>
      </c>
      <c r="AA1393" s="331" t="str">
        <f>IF(G1393=EUwideConstants!$A$89,1,"")</f>
        <v/>
      </c>
      <c r="AB1393" s="314"/>
      <c r="AC1393" s="331" t="b">
        <f>AND(AC1382,Y1393&lt;&gt;EUconst_NA)</f>
        <v>0</v>
      </c>
      <c r="AD1393" s="314"/>
      <c r="AE1393" s="314"/>
      <c r="AF1393" s="314"/>
      <c r="AG1393" s="319"/>
      <c r="AH1393" s="314"/>
      <c r="AI1393" s="314"/>
      <c r="AJ1393" s="314"/>
      <c r="AK1393" s="314"/>
      <c r="AL1393" s="314"/>
      <c r="AM1393" s="314"/>
      <c r="AN1393" s="314"/>
      <c r="AO1393" s="314"/>
      <c r="AP1393" s="314"/>
      <c r="AQ1393" s="314"/>
      <c r="AR1393" s="314"/>
      <c r="AS1393" s="328">
        <v>1</v>
      </c>
      <c r="AT1393" s="314"/>
      <c r="AU1393" s="319" t="str">
        <f>IF(G1393=EUwideConstants!$A$89,AS1393,"")</f>
        <v/>
      </c>
      <c r="AV1393" s="331">
        <f>IF(AC1393=TRUE,IF(COUNT(K1393:L1393)=0,0,IF(L1393="",K1393,L1393)),0)</f>
        <v>0</v>
      </c>
      <c r="AW1393" s="360" t="b">
        <f>AND(AC1393=TRUE,OR(AND(F1393&lt;&gt;"",NOT(ISNUMBER(AA1393))),L1393&lt;&gt;"",F1393="",AU1393=""))</f>
        <v>0</v>
      </c>
      <c r="AX1393" s="357" t="b">
        <f>AND(AC1393=TRUE,NOT(AW1393))</f>
        <v>0</v>
      </c>
      <c r="AY1393" s="314"/>
      <c r="AZ1393" s="361" t="b">
        <f>AND(ISNUMBER(AA1393),AU1393="")</f>
        <v>0</v>
      </c>
      <c r="BA1393" s="351" t="b">
        <f>AND(ISNUMBER(AA1393),AU1393&lt;&gt;AV1393)</f>
        <v>0</v>
      </c>
      <c r="BB1393" s="314"/>
      <c r="BC1393" s="360" t="b">
        <f>AND(F1393&lt;&gt;"",OR(COUNTIF(INDEX(ScopeMethods,F1393,),G1393)=0,AND(AA1393&lt;&gt;"",AU1393&lt;&gt;AV1393)))</f>
        <v>0</v>
      </c>
      <c r="BD1393" s="314"/>
      <c r="BE1393" s="314"/>
      <c r="BF1393" s="361" t="s">
        <v>168</v>
      </c>
      <c r="BG1393" s="362" t="str">
        <f>IF(AN1382=EUconst_TJ,AV1382*AV1388,IF(AN1384=EUconst_GJ,AV1382*AV1384/1000*AV1388,""))</f>
        <v/>
      </c>
      <c r="BH1393" s="314"/>
      <c r="BI1393" s="314"/>
      <c r="BJ1393" s="314"/>
      <c r="BK1393" s="314"/>
      <c r="BL1393" s="314"/>
      <c r="BM1393" s="314"/>
      <c r="BN1393" s="314"/>
      <c r="BO1393" s="314"/>
      <c r="BP1393" s="314"/>
      <c r="BQ1393" s="314"/>
      <c r="BR1393" s="314"/>
      <c r="BS1393" s="314"/>
      <c r="BT1393" s="314"/>
      <c r="BU1393" s="314"/>
      <c r="BV1393" s="314"/>
      <c r="BW1393" s="314"/>
      <c r="BX1393" s="314"/>
      <c r="BY1393" s="314"/>
      <c r="BZ1393" s="314"/>
      <c r="CA1393" s="314"/>
      <c r="CB1393" s="314"/>
      <c r="CC1393" s="314"/>
      <c r="CD1393" s="314"/>
      <c r="CE1393" s="314"/>
      <c r="CF1393" s="314"/>
      <c r="CG1393" s="314"/>
      <c r="CH1393" s="314"/>
      <c r="CI1393" s="314"/>
      <c r="CJ1393" s="314"/>
      <c r="CK1393" s="314"/>
      <c r="CL1393" s="314"/>
      <c r="CM1393" s="314"/>
      <c r="CN1393" s="314"/>
      <c r="CO1393" s="314"/>
      <c r="CP1393" s="314"/>
      <c r="CQ1393" s="314"/>
    </row>
    <row r="1394" spans="1:95" ht="12.75" customHeight="1" x14ac:dyDescent="0.25">
      <c r="A1394" s="307"/>
      <c r="B1394" s="68"/>
      <c r="C1394" s="68"/>
      <c r="D1394" s="68"/>
      <c r="E1394" s="68"/>
      <c r="F1394" s="68"/>
      <c r="G1394" s="1265" t="str">
        <f>IF(G1393="","",INDEX(ScopeMethodsDetails,MATCH(G1393,INDEX(ScopeMethodsDetails,,1),0),2))</f>
        <v/>
      </c>
      <c r="H1394" s="1266"/>
      <c r="I1394" s="1266"/>
      <c r="J1394" s="1266"/>
      <c r="K1394" s="1266"/>
      <c r="L1394" s="1266"/>
      <c r="M1394" s="1267"/>
      <c r="N1394" s="76"/>
      <c r="O1394" s="160"/>
      <c r="P1394" s="109"/>
      <c r="Q1394" s="312"/>
      <c r="R1394" s="312"/>
      <c r="S1394" s="314"/>
      <c r="T1394" s="314"/>
      <c r="U1394" s="314"/>
      <c r="V1394" s="314"/>
      <c r="W1394" s="314"/>
      <c r="X1394" s="314"/>
      <c r="Y1394" s="314"/>
      <c r="Z1394" s="314"/>
      <c r="AA1394" s="314"/>
      <c r="AB1394" s="314"/>
      <c r="AC1394" s="314"/>
      <c r="AD1394" s="314"/>
      <c r="AE1394" s="314"/>
      <c r="AF1394" s="314"/>
      <c r="AG1394" s="314"/>
      <c r="AH1394" s="314"/>
      <c r="AI1394" s="314"/>
      <c r="AJ1394" s="314"/>
      <c r="AK1394" s="314"/>
      <c r="AL1394" s="314"/>
      <c r="AM1394" s="314"/>
      <c r="AN1394" s="314"/>
      <c r="AO1394" s="314"/>
      <c r="AP1394" s="314"/>
      <c r="AQ1394" s="314"/>
      <c r="AR1394" s="314"/>
      <c r="AS1394" s="314"/>
      <c r="AT1394" s="314"/>
      <c r="AU1394" s="314"/>
      <c r="AV1394" s="314"/>
      <c r="AW1394" s="314"/>
      <c r="AX1394" s="314"/>
      <c r="AY1394" s="314"/>
      <c r="AZ1394" s="314"/>
      <c r="BA1394" s="314"/>
      <c r="BB1394" s="314"/>
      <c r="BC1394" s="314"/>
      <c r="BD1394" s="314"/>
      <c r="BE1394" s="314"/>
      <c r="BG1394" s="364"/>
      <c r="BH1394" s="314"/>
      <c r="BI1394" s="314"/>
      <c r="BJ1394" s="314"/>
      <c r="BK1394" s="314"/>
      <c r="BL1394" s="314"/>
      <c r="BM1394" s="314"/>
      <c r="BN1394" s="314"/>
      <c r="BO1394" s="314"/>
      <c r="BP1394" s="314"/>
      <c r="BQ1394" s="314"/>
      <c r="BR1394" s="314"/>
      <c r="BS1394" s="314"/>
      <c r="BT1394" s="314"/>
      <c r="BU1394" s="314"/>
      <c r="BV1394" s="314"/>
      <c r="BW1394" s="314"/>
      <c r="BX1394" s="314"/>
      <c r="BY1394" s="314"/>
      <c r="BZ1394" s="314"/>
      <c r="CA1394" s="314"/>
      <c r="CB1394" s="314"/>
      <c r="CC1394" s="314"/>
      <c r="CD1394" s="314"/>
      <c r="CE1394" s="314"/>
      <c r="CF1394" s="314"/>
      <c r="CG1394" s="314"/>
      <c r="CH1394" s="314"/>
      <c r="CI1394" s="314"/>
      <c r="CJ1394" s="314"/>
      <c r="CK1394" s="314"/>
      <c r="CL1394" s="314"/>
      <c r="CM1394" s="314"/>
      <c r="CN1394" s="314"/>
      <c r="CO1394" s="314"/>
      <c r="CP1394" s="314"/>
      <c r="CQ1394" s="314"/>
    </row>
    <row r="1395" spans="1:95" ht="5.15" customHeight="1" x14ac:dyDescent="0.25">
      <c r="A1395" s="307"/>
      <c r="C1395" s="76"/>
      <c r="D1395" s="76"/>
      <c r="E1395" s="76"/>
      <c r="F1395" s="76"/>
      <c r="G1395" s="76"/>
      <c r="H1395" s="76"/>
      <c r="I1395" s="76"/>
      <c r="J1395" s="76"/>
      <c r="K1395" s="76"/>
      <c r="L1395" s="76"/>
      <c r="O1395" s="160"/>
      <c r="P1395" s="109"/>
      <c r="Q1395" s="312"/>
      <c r="R1395" s="312"/>
      <c r="S1395" s="314"/>
      <c r="T1395" s="314"/>
      <c r="U1395" s="314"/>
      <c r="V1395" s="314"/>
      <c r="W1395" s="314"/>
      <c r="X1395" s="314"/>
      <c r="Y1395" s="314"/>
      <c r="Z1395" s="314"/>
      <c r="AA1395" s="314"/>
      <c r="AB1395" s="314"/>
      <c r="AC1395" s="314"/>
      <c r="AD1395" s="314"/>
      <c r="AE1395" s="314"/>
      <c r="AF1395" s="314"/>
      <c r="AG1395" s="314"/>
      <c r="AH1395" s="314"/>
      <c r="AI1395" s="314"/>
      <c r="AJ1395" s="314"/>
      <c r="AK1395" s="314"/>
      <c r="AL1395" s="314"/>
      <c r="AM1395" s="314"/>
      <c r="AN1395" s="314"/>
      <c r="AO1395" s="314"/>
      <c r="AP1395" s="314"/>
      <c r="AQ1395" s="314"/>
      <c r="AR1395" s="314"/>
      <c r="AS1395" s="314"/>
      <c r="AT1395" s="314"/>
      <c r="AU1395" s="314"/>
      <c r="AV1395" s="314"/>
      <c r="AW1395" s="314"/>
      <c r="AX1395" s="314"/>
      <c r="AY1395" s="314"/>
      <c r="AZ1395" s="314"/>
      <c r="BA1395" s="314"/>
      <c r="BB1395" s="314"/>
      <c r="BC1395" s="314"/>
      <c r="BD1395" s="314"/>
      <c r="BE1395" s="314"/>
      <c r="BG1395" s="364"/>
      <c r="BH1395" s="314"/>
      <c r="BI1395" s="314"/>
      <c r="BJ1395" s="314"/>
      <c r="BK1395" s="314"/>
      <c r="BL1395" s="314"/>
      <c r="BM1395" s="314"/>
      <c r="BN1395" s="314"/>
      <c r="BO1395" s="314"/>
      <c r="BP1395" s="314"/>
      <c r="BQ1395" s="314"/>
      <c r="BR1395" s="314"/>
      <c r="BS1395" s="314"/>
      <c r="BT1395" s="314"/>
      <c r="BU1395" s="314"/>
      <c r="BV1395" s="314"/>
      <c r="BW1395" s="314"/>
      <c r="BX1395" s="314"/>
      <c r="BY1395" s="314"/>
      <c r="BZ1395" s="314"/>
      <c r="CA1395" s="314"/>
      <c r="CB1395" s="314"/>
      <c r="CC1395" s="314"/>
      <c r="CD1395" s="314"/>
      <c r="CE1395" s="314"/>
      <c r="CF1395" s="314"/>
      <c r="CG1395" s="314"/>
      <c r="CH1395" s="314"/>
      <c r="CI1395" s="314"/>
      <c r="CJ1395" s="314"/>
      <c r="CK1395" s="314"/>
      <c r="CL1395" s="314"/>
      <c r="CM1395" s="314"/>
      <c r="CN1395" s="314"/>
      <c r="CO1395" s="314"/>
      <c r="CP1395" s="314"/>
      <c r="CQ1395" s="314"/>
    </row>
    <row r="1396" spans="1:95" ht="12.75" customHeight="1" thickBot="1" x14ac:dyDescent="0.3">
      <c r="A1396" s="307"/>
      <c r="C1396" s="76"/>
      <c r="D1396" s="76"/>
      <c r="E1396" s="76"/>
      <c r="F1396" s="76"/>
      <c r="G1396" s="1268">
        <v>1</v>
      </c>
      <c r="H1396" s="1268"/>
      <c r="I1396" s="1268">
        <v>2</v>
      </c>
      <c r="J1396" s="1268"/>
      <c r="K1396" s="1268">
        <v>3</v>
      </c>
      <c r="L1396" s="1268"/>
      <c r="O1396" s="160"/>
      <c r="P1396" s="109"/>
      <c r="Q1396" s="312"/>
      <c r="R1396" s="312"/>
      <c r="S1396" s="314"/>
      <c r="T1396" s="314"/>
      <c r="U1396" s="314"/>
      <c r="V1396" s="314"/>
      <c r="W1396" s="314"/>
      <c r="X1396" s="314"/>
      <c r="Y1396" s="314"/>
      <c r="Z1396" s="314"/>
      <c r="AA1396" s="314"/>
      <c r="AB1396" s="314"/>
      <c r="AC1396" s="314"/>
      <c r="AD1396" s="314"/>
      <c r="AE1396" s="314"/>
      <c r="AF1396" s="314"/>
      <c r="AG1396" s="314"/>
      <c r="AH1396" s="314"/>
      <c r="AI1396" s="314"/>
      <c r="AJ1396" s="314"/>
      <c r="AK1396" s="314"/>
      <c r="AL1396" s="314"/>
      <c r="AM1396" s="314"/>
      <c r="AN1396" s="314"/>
      <c r="AO1396" s="314"/>
      <c r="AP1396" s="314"/>
      <c r="AQ1396" s="314"/>
      <c r="AR1396" s="314"/>
      <c r="AS1396" s="314"/>
      <c r="AT1396" s="314"/>
      <c r="AU1396" s="314"/>
      <c r="AV1396" s="314"/>
      <c r="AW1396" s="314"/>
      <c r="AX1396" s="314"/>
      <c r="AY1396" s="314"/>
      <c r="AZ1396" s="314"/>
      <c r="BA1396" s="314"/>
      <c r="BB1396" s="314"/>
      <c r="BC1396" s="314"/>
      <c r="BD1396" s="314"/>
      <c r="BE1396" s="314"/>
      <c r="BF1396" s="314"/>
      <c r="BG1396" s="364"/>
      <c r="BH1396" s="314"/>
      <c r="BI1396" s="314"/>
      <c r="BJ1396" s="314"/>
      <c r="BK1396" s="314"/>
      <c r="BL1396" s="314"/>
      <c r="BM1396" s="314"/>
      <c r="BN1396" s="314"/>
      <c r="BO1396" s="314"/>
      <c r="BP1396" s="314"/>
      <c r="BQ1396" s="314"/>
      <c r="BR1396" s="314"/>
      <c r="BS1396" s="314"/>
      <c r="BT1396" s="314"/>
      <c r="BU1396" s="314"/>
      <c r="BV1396" s="314"/>
      <c r="BW1396" s="314"/>
      <c r="BX1396" s="314"/>
      <c r="BY1396" s="314"/>
      <c r="BZ1396" s="314"/>
      <c r="CA1396" s="314"/>
      <c r="CB1396" s="314"/>
      <c r="CC1396" s="314"/>
      <c r="CD1396" s="314"/>
      <c r="CE1396" s="314"/>
      <c r="CF1396" s="314"/>
      <c r="CG1396" s="314"/>
      <c r="CH1396" s="314"/>
      <c r="CI1396" s="314"/>
      <c r="CJ1396" s="314"/>
      <c r="CK1396" s="314"/>
      <c r="CL1396" s="314"/>
      <c r="CM1396" s="314"/>
      <c r="CN1396" s="314"/>
      <c r="CO1396" s="314"/>
      <c r="CP1396" s="314"/>
      <c r="CQ1396" s="314"/>
    </row>
    <row r="1397" spans="1:95" ht="12.75" customHeight="1" thickBot="1" x14ac:dyDescent="0.3">
      <c r="A1397" s="462"/>
      <c r="B1397" s="76"/>
      <c r="C1397" s="76"/>
      <c r="D1397" s="1246" t="str">
        <f>Translations!$B$372</f>
        <v>Consumers' CRF category:</v>
      </c>
      <c r="E1397" s="1246"/>
      <c r="F1397" s="1247"/>
      <c r="G1397" s="1248"/>
      <c r="H1397" s="1249"/>
      <c r="I1397" s="1248"/>
      <c r="J1397" s="1249"/>
      <c r="K1397" s="1248"/>
      <c r="L1397" s="1249"/>
      <c r="M1397" s="463" t="str">
        <f>IF(AND(E1376&lt;&gt;"",COUNTA(G1397:L1397)=0,AX1397=FALSE),EUconst_ERR_Incomplete,"")</f>
        <v/>
      </c>
      <c r="N1397" s="76"/>
      <c r="O1397" s="160"/>
      <c r="P1397" s="109"/>
      <c r="Q1397" s="312"/>
      <c r="R1397" s="312"/>
      <c r="S1397" s="314"/>
      <c r="T1397" s="314"/>
      <c r="U1397" s="314"/>
      <c r="V1397" s="314"/>
      <c r="W1397" s="314"/>
      <c r="X1397" s="314"/>
      <c r="Y1397" s="314"/>
      <c r="Z1397" s="314"/>
      <c r="AA1397" s="314"/>
      <c r="AB1397" s="314"/>
      <c r="AC1397" s="314"/>
      <c r="AD1397" s="314"/>
      <c r="AE1397" s="314"/>
      <c r="AF1397" s="314"/>
      <c r="AG1397" s="314"/>
      <c r="AH1397" s="314"/>
      <c r="AI1397" s="314"/>
      <c r="AJ1397" s="314"/>
      <c r="AK1397" s="314"/>
      <c r="AL1397" s="314"/>
      <c r="AM1397" s="314"/>
      <c r="AN1397" s="314"/>
      <c r="AO1397" s="314"/>
      <c r="AP1397" s="314"/>
      <c r="AQ1397" s="314"/>
      <c r="AR1397" s="314"/>
      <c r="AS1397" s="314"/>
      <c r="AT1397" s="314"/>
      <c r="AU1397" s="314"/>
      <c r="AV1397" s="314"/>
      <c r="AW1397" s="314"/>
      <c r="AX1397" s="464" t="b">
        <f>AND(AV1393&lt;&gt;"",SUM(AV1393=1))</f>
        <v>0</v>
      </c>
      <c r="AY1397" s="314"/>
      <c r="AZ1397" s="314"/>
      <c r="BA1397" s="314"/>
      <c r="BB1397" s="314"/>
      <c r="BC1397" s="314"/>
      <c r="BD1397" s="314"/>
      <c r="BE1397" s="314"/>
      <c r="BF1397" s="361" t="s">
        <v>169</v>
      </c>
      <c r="BG1397" s="362" t="str">
        <f>IF(AN1382=EUconst_TJ,AV1382*AV1390,IF(AN1384=EUconst_GJ,AV1382*AV1384/1000*AV1390,""))</f>
        <v/>
      </c>
      <c r="BH1397" s="314"/>
      <c r="BI1397" s="314"/>
      <c r="BJ1397" s="314"/>
      <c r="BK1397" s="314"/>
      <c r="BL1397" s="314"/>
      <c r="BM1397" s="314"/>
      <c r="BN1397" s="314"/>
      <c r="BO1397" s="314"/>
      <c r="BP1397" s="314"/>
      <c r="BQ1397" s="314"/>
      <c r="BR1397" s="314"/>
      <c r="BS1397" s="314"/>
      <c r="BT1397" s="314"/>
      <c r="BU1397" s="314"/>
      <c r="BV1397" s="314"/>
      <c r="BW1397" s="314"/>
      <c r="BX1397" s="314"/>
      <c r="BY1397" s="314"/>
      <c r="BZ1397" s="314"/>
      <c r="CA1397" s="314"/>
      <c r="CB1397" s="314"/>
      <c r="CC1397" s="314"/>
      <c r="CD1397" s="314"/>
      <c r="CE1397" s="314"/>
      <c r="CF1397" s="314"/>
      <c r="CG1397" s="314"/>
      <c r="CH1397" s="314"/>
      <c r="CI1397" s="314"/>
      <c r="CJ1397" s="314"/>
      <c r="CK1397" s="314"/>
      <c r="CL1397" s="314"/>
      <c r="CM1397" s="314"/>
      <c r="CN1397" s="314"/>
      <c r="CO1397" s="314"/>
      <c r="CP1397" s="314"/>
      <c r="CQ1397" s="314"/>
    </row>
    <row r="1398" spans="1:95" ht="5.15" customHeight="1" x14ac:dyDescent="0.25">
      <c r="A1398" s="307"/>
      <c r="B1398" s="68"/>
      <c r="C1398" s="68"/>
      <c r="D1398" s="68"/>
      <c r="E1398" s="68"/>
      <c r="F1398" s="68"/>
      <c r="G1398" s="76"/>
      <c r="H1398" s="76"/>
      <c r="I1398" s="76"/>
      <c r="J1398" s="76"/>
      <c r="K1398" s="76"/>
      <c r="L1398" s="76"/>
      <c r="M1398" s="76"/>
      <c r="N1398" s="76"/>
      <c r="O1398" s="160"/>
      <c r="P1398" s="109"/>
      <c r="Q1398" s="312"/>
      <c r="R1398" s="312"/>
      <c r="S1398" s="314"/>
      <c r="T1398" s="314"/>
      <c r="U1398" s="314"/>
      <c r="V1398" s="314"/>
      <c r="W1398" s="314"/>
      <c r="X1398" s="314"/>
      <c r="Y1398" s="314"/>
      <c r="Z1398" s="314"/>
      <c r="AA1398" s="314"/>
      <c r="AB1398" s="314"/>
      <c r="AC1398" s="314"/>
      <c r="AD1398" s="314"/>
      <c r="AE1398" s="314"/>
      <c r="AF1398" s="314"/>
      <c r="AG1398" s="314"/>
      <c r="AH1398" s="314"/>
      <c r="AI1398" s="314"/>
      <c r="AJ1398" s="314"/>
      <c r="AK1398" s="314"/>
      <c r="AL1398" s="314"/>
      <c r="AM1398" s="314"/>
      <c r="AN1398" s="314"/>
      <c r="AO1398" s="314"/>
      <c r="AP1398" s="314"/>
      <c r="AQ1398" s="314"/>
      <c r="AR1398" s="314"/>
      <c r="AS1398" s="314"/>
      <c r="AT1398" s="314"/>
      <c r="AU1398" s="314"/>
      <c r="AV1398" s="314"/>
      <c r="AW1398" s="314"/>
      <c r="AX1398" s="314"/>
      <c r="AY1398" s="314"/>
      <c r="AZ1398" s="314"/>
      <c r="BA1398" s="314"/>
      <c r="BB1398" s="314"/>
      <c r="BC1398" s="314"/>
      <c r="BD1398" s="314"/>
      <c r="BE1398" s="314"/>
      <c r="BF1398" s="314"/>
      <c r="BG1398" s="314"/>
      <c r="BH1398" s="314"/>
      <c r="BI1398" s="314"/>
      <c r="BJ1398" s="314"/>
      <c r="BK1398" s="314"/>
      <c r="BL1398" s="314"/>
      <c r="BM1398" s="314"/>
      <c r="BN1398" s="314"/>
      <c r="BO1398" s="314"/>
      <c r="BP1398" s="314"/>
      <c r="BQ1398" s="314"/>
      <c r="BR1398" s="314"/>
      <c r="BS1398" s="314"/>
      <c r="BT1398" s="314"/>
      <c r="BU1398" s="314"/>
      <c r="BV1398" s="314"/>
      <c r="BW1398" s="314"/>
      <c r="BX1398" s="314"/>
      <c r="BY1398" s="314"/>
      <c r="BZ1398" s="314"/>
      <c r="CA1398" s="314"/>
      <c r="CB1398" s="314"/>
      <c r="CC1398" s="314"/>
      <c r="CD1398" s="314"/>
      <c r="CE1398" s="314"/>
      <c r="CF1398" s="314"/>
      <c r="CG1398" s="314"/>
      <c r="CH1398" s="314"/>
      <c r="CI1398" s="314"/>
      <c r="CJ1398" s="314"/>
      <c r="CK1398" s="314"/>
      <c r="CL1398" s="314"/>
      <c r="CM1398" s="314"/>
      <c r="CN1398" s="314"/>
      <c r="CO1398" s="314"/>
      <c r="CP1398" s="314"/>
      <c r="CQ1398" s="314"/>
    </row>
    <row r="1399" spans="1:95" ht="12.75" customHeight="1" x14ac:dyDescent="0.25">
      <c r="A1399" s="307"/>
      <c r="B1399" s="68"/>
      <c r="C1399" s="68"/>
      <c r="D1399" s="1246" t="str">
        <f>Translations!$B$399</f>
        <v>Tiers valid from:</v>
      </c>
      <c r="E1399" s="1246"/>
      <c r="F1399" s="1247"/>
      <c r="G1399" s="8"/>
      <c r="H1399" s="199" t="str">
        <f>Translations!$B$400</f>
        <v>until:</v>
      </c>
      <c r="I1399" s="8"/>
      <c r="J1399" s="76"/>
      <c r="K1399" s="76"/>
      <c r="L1399" s="76"/>
      <c r="M1399" s="199" t="str">
        <f>Translations!$B$401</f>
        <v>ID used in the monitoring plan for this fuel stream:</v>
      </c>
      <c r="N1399" s="9"/>
      <c r="O1399" s="160"/>
      <c r="P1399" s="109"/>
      <c r="Q1399" s="312"/>
      <c r="R1399" s="312"/>
      <c r="S1399" s="465"/>
      <c r="T1399" s="314"/>
      <c r="U1399" s="314"/>
      <c r="V1399" s="314"/>
      <c r="W1399" s="314"/>
      <c r="X1399" s="314"/>
      <c r="Y1399" s="314"/>
      <c r="Z1399" s="314"/>
      <c r="AA1399" s="314"/>
      <c r="AB1399" s="314"/>
      <c r="AC1399" s="314"/>
      <c r="AD1399" s="314"/>
      <c r="AE1399" s="314"/>
      <c r="AF1399" s="314"/>
      <c r="AG1399" s="314"/>
      <c r="AH1399" s="314"/>
      <c r="AI1399" s="314"/>
      <c r="AJ1399" s="314"/>
      <c r="AK1399" s="314"/>
      <c r="AL1399" s="314"/>
      <c r="AM1399" s="314"/>
      <c r="AN1399" s="314"/>
      <c r="AO1399" s="314"/>
      <c r="AP1399" s="314"/>
      <c r="AQ1399" s="314"/>
      <c r="AR1399" s="314"/>
      <c r="AS1399" s="314"/>
      <c r="AT1399" s="314"/>
      <c r="AU1399" s="314"/>
      <c r="AV1399" s="314"/>
      <c r="AW1399" s="314"/>
      <c r="AX1399" s="314"/>
      <c r="AY1399" s="314"/>
      <c r="AZ1399" s="314"/>
      <c r="BA1399" s="314"/>
      <c r="BB1399" s="314"/>
      <c r="BC1399" s="314"/>
      <c r="BD1399" s="314"/>
      <c r="BE1399" s="314"/>
      <c r="BF1399" s="314"/>
      <c r="BG1399" s="314"/>
      <c r="BH1399" s="314"/>
      <c r="BI1399" s="314"/>
      <c r="BJ1399" s="314"/>
      <c r="BK1399" s="314"/>
      <c r="BL1399" s="314"/>
      <c r="BM1399" s="314"/>
      <c r="BN1399" s="314"/>
      <c r="BO1399" s="314"/>
      <c r="BP1399" s="314"/>
      <c r="BQ1399" s="314"/>
      <c r="BR1399" s="314"/>
      <c r="BS1399" s="314"/>
      <c r="BT1399" s="314"/>
      <c r="BU1399" s="314"/>
      <c r="BV1399" s="314"/>
      <c r="BW1399" s="314"/>
      <c r="BX1399" s="314"/>
      <c r="BY1399" s="314"/>
      <c r="BZ1399" s="314"/>
      <c r="CA1399" s="314"/>
      <c r="CB1399" s="314"/>
      <c r="CC1399" s="314"/>
      <c r="CD1399" s="314"/>
      <c r="CE1399" s="314"/>
      <c r="CF1399" s="314"/>
      <c r="CG1399" s="314"/>
      <c r="CH1399" s="314"/>
      <c r="CI1399" s="314"/>
      <c r="CJ1399" s="314"/>
      <c r="CK1399" s="314"/>
      <c r="CL1399" s="314"/>
      <c r="CM1399" s="314"/>
      <c r="CN1399" s="314"/>
      <c r="CO1399" s="314"/>
      <c r="CP1399" s="314"/>
      <c r="CQ1399" s="464" t="b">
        <f>CQ1382</f>
        <v>0</v>
      </c>
    </row>
    <row r="1400" spans="1:95" ht="5.15" customHeight="1" x14ac:dyDescent="0.25">
      <c r="A1400" s="462"/>
      <c r="B1400" s="76"/>
      <c r="C1400" s="76"/>
      <c r="D1400" s="76"/>
      <c r="E1400" s="76"/>
      <c r="F1400" s="76"/>
      <c r="G1400" s="76"/>
      <c r="H1400" s="76"/>
      <c r="I1400" s="76"/>
      <c r="J1400" s="76"/>
      <c r="K1400" s="76"/>
      <c r="L1400" s="76"/>
      <c r="M1400" s="76"/>
      <c r="N1400" s="76"/>
      <c r="O1400" s="160"/>
      <c r="P1400" s="109"/>
      <c r="Q1400" s="312"/>
      <c r="R1400" s="312"/>
      <c r="S1400" s="314"/>
      <c r="T1400" s="314"/>
      <c r="U1400" s="314"/>
      <c r="V1400" s="314"/>
      <c r="W1400" s="314"/>
      <c r="X1400" s="314"/>
      <c r="Y1400" s="314"/>
      <c r="Z1400" s="314"/>
      <c r="AA1400" s="314"/>
      <c r="AB1400" s="314"/>
      <c r="AC1400" s="314"/>
      <c r="AD1400" s="314"/>
      <c r="AE1400" s="314"/>
      <c r="AF1400" s="314"/>
      <c r="AG1400" s="314"/>
      <c r="AH1400" s="314"/>
      <c r="AI1400" s="314"/>
      <c r="AJ1400" s="314"/>
      <c r="AK1400" s="314"/>
      <c r="AL1400" s="314"/>
      <c r="AM1400" s="314"/>
      <c r="AN1400" s="314"/>
      <c r="AO1400" s="314"/>
      <c r="AP1400" s="314"/>
      <c r="AQ1400" s="314"/>
      <c r="AR1400" s="314"/>
      <c r="AS1400" s="314"/>
      <c r="AT1400" s="314"/>
      <c r="AU1400" s="314"/>
      <c r="AV1400" s="314"/>
      <c r="AW1400" s="314"/>
      <c r="AX1400" s="314"/>
      <c r="AY1400" s="314"/>
      <c r="AZ1400" s="314"/>
      <c r="BA1400" s="314"/>
      <c r="BB1400" s="314"/>
      <c r="BC1400" s="314"/>
      <c r="BD1400" s="314"/>
      <c r="BE1400" s="314"/>
      <c r="BF1400" s="314"/>
      <c r="BG1400" s="314"/>
      <c r="BH1400" s="314"/>
      <c r="BI1400" s="314"/>
      <c r="BJ1400" s="314"/>
      <c r="BK1400" s="314"/>
      <c r="BL1400" s="314"/>
      <c r="BM1400" s="314"/>
      <c r="BN1400" s="314"/>
      <c r="BO1400" s="314"/>
      <c r="BP1400" s="314"/>
      <c r="BQ1400" s="314"/>
      <c r="BR1400" s="314"/>
      <c r="BS1400" s="314"/>
      <c r="BT1400" s="314"/>
      <c r="BU1400" s="314"/>
      <c r="BV1400" s="314"/>
      <c r="BW1400" s="314"/>
      <c r="BX1400" s="314"/>
      <c r="BY1400" s="314"/>
      <c r="BZ1400" s="314"/>
      <c r="CA1400" s="314"/>
      <c r="CB1400" s="314"/>
      <c r="CC1400" s="314"/>
      <c r="CD1400" s="314"/>
      <c r="CE1400" s="314"/>
      <c r="CF1400" s="314"/>
      <c r="CG1400" s="314"/>
      <c r="CH1400" s="314"/>
      <c r="CI1400" s="314"/>
      <c r="CJ1400" s="314"/>
      <c r="CK1400" s="314"/>
      <c r="CL1400" s="314"/>
      <c r="CM1400" s="314"/>
      <c r="CN1400" s="314"/>
      <c r="CO1400" s="314"/>
      <c r="CP1400" s="314"/>
      <c r="CQ1400" s="314"/>
    </row>
    <row r="1401" spans="1:95" ht="12.75" customHeight="1" x14ac:dyDescent="0.25">
      <c r="A1401" s="462"/>
      <c r="B1401" s="76"/>
      <c r="C1401" s="76"/>
      <c r="D1401" s="115"/>
      <c r="E1401" s="85"/>
      <c r="F1401" s="466" t="str">
        <f>Translations!$B$304</f>
        <v>Comments:</v>
      </c>
      <c r="G1401" s="1250"/>
      <c r="H1401" s="1251"/>
      <c r="I1401" s="1251"/>
      <c r="J1401" s="1251"/>
      <c r="K1401" s="1251"/>
      <c r="L1401" s="1251"/>
      <c r="M1401" s="1251"/>
      <c r="N1401" s="1252"/>
      <c r="O1401" s="160"/>
      <c r="P1401" s="109"/>
      <c r="Q1401" s="312"/>
      <c r="R1401" s="312"/>
      <c r="S1401" s="314"/>
      <c r="T1401" s="314"/>
      <c r="U1401" s="314"/>
      <c r="V1401" s="314"/>
      <c r="W1401" s="314"/>
      <c r="X1401" s="314"/>
      <c r="Y1401" s="314"/>
      <c r="Z1401" s="314"/>
      <c r="AA1401" s="314"/>
      <c r="AB1401" s="314"/>
      <c r="AC1401" s="314"/>
      <c r="AD1401" s="314"/>
      <c r="AE1401" s="314"/>
      <c r="AF1401" s="314"/>
      <c r="AG1401" s="314"/>
      <c r="AH1401" s="314"/>
      <c r="AI1401" s="314"/>
      <c r="AJ1401" s="314"/>
      <c r="AK1401" s="314"/>
      <c r="AL1401" s="314"/>
      <c r="AM1401" s="314"/>
      <c r="AN1401" s="314"/>
      <c r="AO1401" s="314"/>
      <c r="AP1401" s="314"/>
      <c r="AQ1401" s="314"/>
      <c r="AR1401" s="314"/>
      <c r="AS1401" s="314"/>
      <c r="AT1401" s="314"/>
      <c r="AU1401" s="314"/>
      <c r="AV1401" s="314"/>
      <c r="AW1401" s="314"/>
      <c r="AX1401" s="314"/>
      <c r="AY1401" s="314"/>
      <c r="AZ1401" s="314"/>
      <c r="BA1401" s="314"/>
      <c r="BB1401" s="314"/>
      <c r="BC1401" s="314"/>
      <c r="BD1401" s="314"/>
      <c r="BE1401" s="314"/>
      <c r="BF1401" s="314"/>
      <c r="BG1401" s="314"/>
      <c r="BH1401" s="314"/>
      <c r="BI1401" s="314"/>
      <c r="BJ1401" s="314"/>
      <c r="BK1401" s="314"/>
      <c r="BL1401" s="314"/>
      <c r="BM1401" s="314"/>
      <c r="BN1401" s="314"/>
      <c r="BO1401" s="314"/>
      <c r="BP1401" s="314"/>
      <c r="BQ1401" s="314"/>
      <c r="BR1401" s="314"/>
      <c r="BS1401" s="314"/>
      <c r="BT1401" s="314"/>
      <c r="BU1401" s="314"/>
      <c r="BV1401" s="314"/>
      <c r="BW1401" s="314"/>
      <c r="BX1401" s="314"/>
      <c r="BY1401" s="314"/>
      <c r="BZ1401" s="314"/>
      <c r="CA1401" s="314"/>
      <c r="CB1401" s="314"/>
      <c r="CC1401" s="314"/>
      <c r="CD1401" s="314"/>
      <c r="CE1401" s="314"/>
      <c r="CF1401" s="314"/>
      <c r="CG1401" s="314"/>
      <c r="CH1401" s="314"/>
      <c r="CI1401" s="314"/>
      <c r="CJ1401" s="314"/>
      <c r="CK1401" s="314"/>
      <c r="CL1401" s="314"/>
      <c r="CM1401" s="314"/>
      <c r="CN1401" s="314"/>
      <c r="CO1401" s="314"/>
      <c r="CP1401" s="314"/>
      <c r="CQ1401" s="464" t="b">
        <f>CQ1399</f>
        <v>0</v>
      </c>
    </row>
    <row r="1402" spans="1:95" ht="12.75" customHeight="1" thickBot="1" x14ac:dyDescent="0.3">
      <c r="A1402" s="307"/>
      <c r="B1402" s="76"/>
      <c r="C1402" s="308"/>
      <c r="D1402" s="309"/>
      <c r="E1402" s="310"/>
      <c r="F1402" s="308"/>
      <c r="G1402" s="311"/>
      <c r="H1402" s="311"/>
      <c r="I1402" s="311"/>
      <c r="J1402" s="311"/>
      <c r="K1402" s="311"/>
      <c r="L1402" s="311"/>
      <c r="M1402" s="311"/>
      <c r="N1402" s="311"/>
      <c r="O1402" s="160"/>
      <c r="P1402" s="109"/>
      <c r="Q1402" s="312"/>
      <c r="R1402" s="312"/>
      <c r="S1402" s="293"/>
      <c r="T1402" s="293"/>
      <c r="U1402" s="313"/>
      <c r="V1402" s="293"/>
      <c r="W1402" s="293"/>
      <c r="X1402" s="313"/>
      <c r="Y1402" s="293"/>
      <c r="Z1402" s="293"/>
      <c r="AA1402" s="293"/>
      <c r="AB1402" s="293"/>
      <c r="AC1402" s="293"/>
      <c r="AD1402" s="293"/>
      <c r="AE1402" s="293"/>
      <c r="AF1402" s="293"/>
      <c r="AG1402" s="293"/>
      <c r="AH1402" s="293"/>
      <c r="AI1402" s="293"/>
      <c r="AJ1402" s="293"/>
      <c r="AK1402" s="293"/>
      <c r="AL1402" s="293"/>
      <c r="AM1402" s="293"/>
      <c r="AN1402" s="293"/>
      <c r="AO1402" s="293"/>
      <c r="AP1402" s="293"/>
      <c r="AQ1402" s="293"/>
      <c r="AR1402" s="293"/>
      <c r="AS1402" s="293"/>
      <c r="AT1402" s="293"/>
      <c r="AU1402" s="293"/>
      <c r="AV1402" s="293"/>
      <c r="AW1402" s="293"/>
      <c r="AX1402" s="293"/>
      <c r="AY1402" s="293"/>
      <c r="AZ1402" s="293"/>
      <c r="BA1402" s="293"/>
      <c r="BB1402" s="293"/>
      <c r="BC1402" s="293"/>
      <c r="BD1402" s="293"/>
      <c r="BE1402" s="293"/>
      <c r="BF1402" s="293"/>
      <c r="BG1402" s="293"/>
      <c r="BH1402" s="293"/>
      <c r="BI1402" s="293"/>
      <c r="BJ1402" s="293"/>
      <c r="BK1402" s="293"/>
      <c r="BL1402" s="293"/>
      <c r="BM1402" s="314"/>
      <c r="BN1402" s="314"/>
      <c r="BO1402" s="314"/>
      <c r="BP1402" s="314"/>
      <c r="BQ1402" s="314"/>
      <c r="BR1402" s="314"/>
      <c r="BS1402" s="314"/>
      <c r="BT1402" s="314"/>
      <c r="BU1402" s="293"/>
      <c r="BV1402" s="293"/>
      <c r="BW1402" s="293"/>
      <c r="BX1402" s="293"/>
      <c r="BY1402" s="293"/>
      <c r="BZ1402" s="293"/>
      <c r="CA1402" s="293"/>
      <c r="CB1402" s="293"/>
      <c r="CC1402" s="293"/>
      <c r="CD1402" s="293"/>
      <c r="CE1402" s="293"/>
      <c r="CF1402" s="293"/>
      <c r="CG1402" s="293"/>
      <c r="CH1402" s="293"/>
      <c r="CI1402" s="293"/>
      <c r="CJ1402" s="293"/>
      <c r="CK1402" s="293"/>
      <c r="CL1402" s="293"/>
      <c r="CM1402" s="293"/>
      <c r="CN1402" s="293"/>
      <c r="CO1402" s="293"/>
      <c r="CP1402" s="293"/>
      <c r="CQ1402" s="293"/>
    </row>
    <row r="1403" spans="1:95" ht="12.75" customHeight="1" thickBot="1" x14ac:dyDescent="0.3">
      <c r="A1403" s="315"/>
      <c r="B1403" s="76"/>
      <c r="C1403" s="76"/>
      <c r="D1403" s="205"/>
      <c r="E1403" s="316"/>
      <c r="F1403" s="76"/>
      <c r="G1403" s="96"/>
      <c r="H1403" s="96"/>
      <c r="I1403" s="96"/>
      <c r="J1403" s="96"/>
      <c r="K1403" s="76"/>
      <c r="L1403" s="96"/>
      <c r="M1403" s="96"/>
      <c r="N1403" s="96"/>
      <c r="O1403" s="160"/>
      <c r="P1403" s="109"/>
      <c r="Q1403" s="312"/>
      <c r="R1403" s="312"/>
      <c r="S1403" s="287"/>
      <c r="T1403" s="317" t="str">
        <f>IF(ISBLANK(E1404),"",MATCH(E1404,CNTR_SourceStreamNames,0))</f>
        <v/>
      </c>
      <c r="U1403" s="318" t="str">
        <f>IF(ISBLANK(E1404),"",INDEX(B_IdentifyFuelStreams!$D$67:$D$116,MATCH(E1404,CNTR_SourceStreamNames,0)))</f>
        <v/>
      </c>
      <c r="V1403" s="301"/>
      <c r="W1403" s="138"/>
      <c r="X1403" s="138"/>
      <c r="Y1403" s="138"/>
      <c r="Z1403" s="293"/>
      <c r="AA1403" s="293"/>
      <c r="AB1403" s="293"/>
      <c r="AC1403" s="293"/>
      <c r="AD1403" s="293"/>
      <c r="AE1403" s="293"/>
      <c r="AF1403" s="293"/>
      <c r="AG1403" s="293"/>
      <c r="AH1403" s="293"/>
      <c r="AI1403" s="293"/>
      <c r="AJ1403" s="293"/>
      <c r="AK1403" s="312"/>
      <c r="AL1403" s="293"/>
      <c r="AM1403" s="293"/>
      <c r="AN1403" s="293"/>
      <c r="AO1403" s="293"/>
      <c r="AP1403" s="293"/>
      <c r="AQ1403" s="293"/>
      <c r="AR1403" s="293"/>
      <c r="AS1403" s="293"/>
      <c r="AT1403" s="293"/>
      <c r="AU1403" s="293"/>
      <c r="AV1403" s="293"/>
      <c r="AW1403" s="293"/>
      <c r="AX1403" s="293"/>
      <c r="AY1403" s="293"/>
      <c r="AZ1403" s="293"/>
      <c r="BA1403" s="293"/>
      <c r="BB1403" s="293"/>
      <c r="BC1403" s="293"/>
      <c r="BD1403" s="293"/>
      <c r="BE1403" s="293"/>
      <c r="BF1403" s="293"/>
      <c r="BG1403" s="293"/>
      <c r="BH1403" s="293"/>
      <c r="BI1403" s="293"/>
      <c r="BJ1403" s="138"/>
      <c r="BK1403" s="138"/>
      <c r="BL1403" s="138"/>
      <c r="BM1403" s="138"/>
      <c r="BN1403" s="138"/>
      <c r="BO1403" s="138"/>
      <c r="BP1403" s="138"/>
      <c r="BQ1403" s="138"/>
      <c r="BR1403" s="138"/>
      <c r="BS1403" s="138"/>
      <c r="BT1403" s="138"/>
      <c r="BU1403" s="138"/>
      <c r="BV1403" s="138"/>
      <c r="BW1403" s="138"/>
      <c r="BX1403" s="138"/>
      <c r="BY1403" s="138"/>
      <c r="BZ1403" s="138"/>
      <c r="CA1403" s="138"/>
      <c r="CB1403" s="138"/>
      <c r="CC1403" s="138"/>
      <c r="CD1403" s="138"/>
      <c r="CE1403" s="138"/>
      <c r="CF1403" s="138"/>
      <c r="CG1403" s="138"/>
      <c r="CH1403" s="138"/>
      <c r="CI1403" s="138"/>
      <c r="CJ1403" s="138"/>
      <c r="CK1403" s="138"/>
      <c r="CL1403" s="138"/>
      <c r="CM1403" s="138"/>
      <c r="CN1403" s="138"/>
      <c r="CO1403" s="138"/>
      <c r="CP1403" s="138"/>
      <c r="CQ1403" s="319" t="s">
        <v>107</v>
      </c>
    </row>
    <row r="1404" spans="1:95" ht="15" customHeight="1" thickBot="1" x14ac:dyDescent="0.3">
      <c r="A1404" s="320">
        <f>C1404</f>
        <v>49</v>
      </c>
      <c r="B1404" s="68"/>
      <c r="C1404" s="321">
        <f>C1376+1</f>
        <v>49</v>
      </c>
      <c r="D1404" s="68"/>
      <c r="E1404" s="1269"/>
      <c r="F1404" s="1270"/>
      <c r="G1404" s="1270"/>
      <c r="H1404" s="1270"/>
      <c r="I1404" s="1270"/>
      <c r="J1404" s="1271"/>
      <c r="K1404" s="1272" t="str">
        <f>IF(INDEX(B_IdentifyFuelStreams!$K$125:$K$174,MATCH(U1403,B_IdentifyFuelStreams!$D$125:$D$174,0))&gt;0,INDEX(B_IdentifyFuelStreams!$K$125:$K$174,MATCH(U1403,B_IdentifyFuelStreams!$D$125:$D$174,0)),"")</f>
        <v/>
      </c>
      <c r="L1404" s="1273"/>
      <c r="M1404" s="316" t="str">
        <f>Translations!$B$621</f>
        <v>Emissions:</v>
      </c>
      <c r="N1404" s="322" t="str">
        <f>IF(E1405="","",BG1410)</f>
        <v/>
      </c>
      <c r="O1404" s="323" t="str">
        <f>EUconst_tCO2</f>
        <v>tCO2</v>
      </c>
      <c r="P1404" s="324" t="str">
        <f>IF(AND(E1404&lt;&gt;"",COUNTIF(P1405:$P$1649,"PRINT")=0),"PRINT","")</f>
        <v/>
      </c>
      <c r="Q1404" s="325" t="str">
        <f>EUconst_SumCO2</f>
        <v>SUM_CO2</v>
      </c>
      <c r="R1404" s="312"/>
      <c r="S1404" s="287"/>
      <c r="T1404" s="287"/>
      <c r="U1404" s="287"/>
      <c r="V1404" s="301"/>
      <c r="W1404" s="138"/>
      <c r="X1404" s="293"/>
      <c r="Y1404" s="293"/>
      <c r="Z1404" s="293"/>
      <c r="AA1404" s="293"/>
      <c r="AB1404" s="293"/>
      <c r="AC1404" s="293"/>
      <c r="AD1404" s="293"/>
      <c r="AE1404" s="293"/>
      <c r="AF1404" s="293"/>
      <c r="AG1404" s="293"/>
      <c r="AH1404" s="293"/>
      <c r="AI1404" s="326"/>
      <c r="AJ1404" s="326"/>
      <c r="AK1404" s="326"/>
      <c r="AL1404" s="326"/>
      <c r="AM1404" s="326"/>
      <c r="AN1404" s="326"/>
      <c r="AO1404" s="326"/>
      <c r="AP1404" s="326"/>
      <c r="AQ1404" s="326"/>
      <c r="AR1404" s="326"/>
      <c r="AS1404" s="326"/>
      <c r="AT1404" s="326"/>
      <c r="AU1404" s="326"/>
      <c r="AV1404" s="326"/>
      <c r="AW1404" s="326"/>
      <c r="AX1404" s="326"/>
      <c r="AY1404" s="326"/>
      <c r="AZ1404" s="326"/>
      <c r="BA1404" s="326"/>
      <c r="BB1404" s="326"/>
      <c r="BC1404" s="326"/>
      <c r="BD1404" s="326"/>
      <c r="BE1404" s="326"/>
      <c r="BF1404" s="326"/>
      <c r="BG1404" s="326"/>
      <c r="BH1404" s="326"/>
      <c r="BI1404" s="327" t="str">
        <f>IF(E1404="","",E1404)</f>
        <v/>
      </c>
      <c r="BJ1404" s="328" t="str">
        <f>IF(F1410="","",F1410)</f>
        <v/>
      </c>
      <c r="BK1404" s="329">
        <f>AV1410</f>
        <v>0</v>
      </c>
      <c r="BL1404" s="329">
        <f>IF(BK1404="","",BK1404*(1-BP1404))</f>
        <v>0</v>
      </c>
      <c r="BM1404" s="328" t="str">
        <f>AJ1410</f>
        <v/>
      </c>
      <c r="BN1404" s="328" t="str">
        <f>IF(F1421="","",F1421)</f>
        <v/>
      </c>
      <c r="BO1404" s="327" t="str">
        <f>IF(G1421="","",G1421)</f>
        <v/>
      </c>
      <c r="BP1404" s="330">
        <f>AV1421</f>
        <v>0</v>
      </c>
      <c r="BQ1404" s="328" t="str">
        <f>IF(F1413="","",F1413)</f>
        <v/>
      </c>
      <c r="BR1404" s="330">
        <f>AV1413</f>
        <v>0</v>
      </c>
      <c r="BS1404" s="330" t="str">
        <f>AJ1413</f>
        <v/>
      </c>
      <c r="BT1404" s="328" t="str">
        <f>IF(F1412="","",F1412)</f>
        <v/>
      </c>
      <c r="BU1404" s="330">
        <f>IF(F1412=EUconst_NA,"",AV1412)</f>
        <v>0</v>
      </c>
      <c r="BV1404" s="330" t="str">
        <f>AJ1412</f>
        <v/>
      </c>
      <c r="BW1404" s="328" t="str">
        <f>IF(F1414="","",F1414)</f>
        <v/>
      </c>
      <c r="BX1404" s="330">
        <f>AV1414</f>
        <v>0</v>
      </c>
      <c r="BY1404" s="328" t="str">
        <f>IF(F1415="","",F1415)</f>
        <v/>
      </c>
      <c r="BZ1404" s="330">
        <f>AV1415</f>
        <v>0</v>
      </c>
      <c r="CA1404" s="330">
        <f>AV1416</f>
        <v>0</v>
      </c>
      <c r="CB1404" s="330">
        <f>AV1417</f>
        <v>0</v>
      </c>
      <c r="CC1404" s="330">
        <f>AV1418</f>
        <v>0</v>
      </c>
      <c r="CD1404" s="330">
        <f>AV1419</f>
        <v>0</v>
      </c>
      <c r="CE1404" s="329" t="str">
        <f>BG1410</f>
        <v/>
      </c>
      <c r="CF1404" s="329" t="str">
        <f>BG1412</f>
        <v/>
      </c>
      <c r="CG1404" s="329" t="str">
        <f>BG1413</f>
        <v/>
      </c>
      <c r="CH1404" s="329" t="str">
        <f>BG1414</f>
        <v/>
      </c>
      <c r="CI1404" s="329" t="str">
        <f>BG1415</f>
        <v/>
      </c>
      <c r="CJ1404" s="329" t="str">
        <f>BG1416</f>
        <v/>
      </c>
      <c r="CK1404" s="329" t="str">
        <f>BG1417</f>
        <v/>
      </c>
      <c r="CL1404" s="329">
        <f>BG1418</f>
        <v>0</v>
      </c>
      <c r="CM1404" s="329" t="str">
        <f>BG1419</f>
        <v/>
      </c>
      <c r="CN1404" s="329" t="str">
        <f>BG1421</f>
        <v/>
      </c>
      <c r="CO1404" s="329" t="str">
        <f>BG1425</f>
        <v/>
      </c>
      <c r="CP1404" s="329" t="str">
        <f>IF(COUNTIF(AO1413:AO1414,TRUE)=0,"",BH1410)</f>
        <v/>
      </c>
      <c r="CQ1404" s="331" t="b">
        <v>0</v>
      </c>
    </row>
    <row r="1405" spans="1:95" ht="15" customHeight="1" thickBot="1" x14ac:dyDescent="0.3">
      <c r="A1405" s="307"/>
      <c r="B1405" s="68"/>
      <c r="C1405" s="68"/>
      <c r="D1405" s="68"/>
      <c r="E1405" s="1274" t="str">
        <f>IF(ISBLANK(E1404),"",IF(INDEX(B_IdentifyFuelStreams!$E$67:$E$116,MATCH(U1403,B_IdentifyFuelStreams!$D$67:$D$116,0))&gt;0,INDEX(B_IdentifyFuelStreams!$E$67:$E$116,MATCH(U1403,B_IdentifyFuelStreams!$D$67:$D$116,0)),""))</f>
        <v/>
      </c>
      <c r="F1405" s="1275"/>
      <c r="G1405" s="1275"/>
      <c r="H1405" s="1275"/>
      <c r="I1405" s="1275"/>
      <c r="J1405" s="1276"/>
      <c r="K1405" s="1272" t="str">
        <f>IF(INDEX(B_IdentifyFuelStreams!$M$125:$M$174,MATCH(U1403,B_IdentifyFuelStreams!$D$125:$D$174,0))&gt;0,INDEX(B_IdentifyFuelStreams!$M$125:$M$174,MATCH(U1403,B_IdentifyFuelStreams!$D$125:$D$174,0)),"")</f>
        <v/>
      </c>
      <c r="L1405" s="1273"/>
      <c r="M1405" s="332" t="str">
        <f>Translations!$B$622</f>
        <v>zero-rated:</v>
      </c>
      <c r="N1405" s="333" t="str">
        <f>IF(E1405="","",SUM(BG1412,BG1414,BG1416))</f>
        <v/>
      </c>
      <c r="O1405" s="334" t="str">
        <f>EUconst_tCO2</f>
        <v>tCO2</v>
      </c>
      <c r="P1405" s="109"/>
      <c r="Q1405" s="325" t="str">
        <f>EUconst_SumBioCO2</f>
        <v>SUM_bioCO2</v>
      </c>
      <c r="R1405" s="312"/>
      <c r="S1405" s="287"/>
      <c r="T1405" s="287"/>
      <c r="U1405" s="287"/>
      <c r="V1405" s="301"/>
      <c r="W1405" s="138"/>
      <c r="X1405" s="293"/>
      <c r="Y1405" s="317" t="str">
        <f>Translations!$B$143</f>
        <v>Tiers</v>
      </c>
      <c r="Z1405" s="314"/>
      <c r="AA1405" s="314"/>
      <c r="AB1405" s="314"/>
      <c r="AC1405" s="314"/>
      <c r="AD1405" s="314"/>
      <c r="AE1405" s="317" t="s">
        <v>108</v>
      </c>
      <c r="AF1405" s="293"/>
      <c r="AG1405" s="335"/>
      <c r="AH1405" s="314"/>
      <c r="AI1405" s="314"/>
      <c r="AJ1405" s="335"/>
      <c r="AK1405" s="335"/>
      <c r="AL1405" s="326"/>
      <c r="AM1405" s="326"/>
      <c r="AN1405" s="326"/>
      <c r="AO1405" s="326"/>
      <c r="AP1405" s="326"/>
      <c r="AQ1405" s="317" t="s">
        <v>109</v>
      </c>
      <c r="AR1405" s="336"/>
      <c r="AS1405" s="336"/>
      <c r="AT1405" s="314"/>
      <c r="AU1405" s="314"/>
      <c r="AV1405" s="314"/>
      <c r="AW1405" s="314"/>
      <c r="AX1405" s="314"/>
      <c r="AY1405" s="314"/>
      <c r="AZ1405" s="317" t="s">
        <v>110</v>
      </c>
      <c r="BA1405" s="314"/>
      <c r="BB1405" s="314"/>
      <c r="BC1405" s="314"/>
      <c r="BD1405" s="314"/>
      <c r="BE1405" s="314"/>
      <c r="BF1405" s="317" t="s">
        <v>111</v>
      </c>
      <c r="BG1405" s="314"/>
      <c r="BH1405" s="314"/>
      <c r="BI1405" s="317" t="s">
        <v>112</v>
      </c>
      <c r="BJ1405" s="328" t="str">
        <f>Translations!$B$376</f>
        <v>RFA Tier</v>
      </c>
      <c r="BK1405" s="328" t="str">
        <f>Translations!$B$377</f>
        <v>RFA</v>
      </c>
      <c r="BL1405" s="328" t="str">
        <f>Translations!$B$378</f>
        <v>RFA (in scope)</v>
      </c>
      <c r="BM1405" s="328" t="str">
        <f>Translations!$B$379</f>
        <v>RFA Unit</v>
      </c>
      <c r="BN1405" s="328" t="str">
        <f>Translations!$B$380</f>
        <v>SF Tier</v>
      </c>
      <c r="BO1405" s="328" t="str">
        <f>Translations!$B$380</f>
        <v>SF Tier</v>
      </c>
      <c r="BP1405" s="328" t="str">
        <f>Translations!$B$381</f>
        <v>SF</v>
      </c>
      <c r="BQ1405" s="328" t="str">
        <f>Translations!$B$382</f>
        <v>EF Tier</v>
      </c>
      <c r="BR1405" s="328" t="str">
        <f>Translations!$B$383</f>
        <v>EF</v>
      </c>
      <c r="BS1405" s="328" t="str">
        <f>Translations!$B$384</f>
        <v>EF Unit</v>
      </c>
      <c r="BT1405" s="328" t="str">
        <f>Translations!$B$385</f>
        <v>UCF Tier</v>
      </c>
      <c r="BU1405" s="328" t="str">
        <f>Translations!$B$386</f>
        <v>UCF</v>
      </c>
      <c r="BV1405" s="328" t="str">
        <f>Translations!$B$387</f>
        <v>UCF Unit</v>
      </c>
      <c r="BW1405" s="328" t="s">
        <v>173</v>
      </c>
      <c r="BX1405" s="328" t="s">
        <v>113</v>
      </c>
      <c r="BY1405" s="328" t="str">
        <f>Translations!$B$389</f>
        <v>NonSustBio Tier</v>
      </c>
      <c r="BZ1405" s="328" t="s">
        <v>114</v>
      </c>
      <c r="CA1405" s="328" t="s">
        <v>115</v>
      </c>
      <c r="CB1405" s="328" t="s">
        <v>116</v>
      </c>
      <c r="CC1405" s="328" t="s">
        <v>117</v>
      </c>
      <c r="CD1405" s="328" t="s">
        <v>118</v>
      </c>
      <c r="CE1405" s="328" t="s">
        <v>119</v>
      </c>
      <c r="CF1405" s="328" t="s">
        <v>120</v>
      </c>
      <c r="CG1405" s="328" t="str">
        <f>Translations!$B$392</f>
        <v>CO2 non-sust</v>
      </c>
      <c r="CH1405" s="328" t="s">
        <v>121</v>
      </c>
      <c r="CI1405" s="328" t="s">
        <v>122</v>
      </c>
      <c r="CJ1405" s="328" t="s">
        <v>123</v>
      </c>
      <c r="CK1405" s="328" t="s">
        <v>124</v>
      </c>
      <c r="CL1405" s="328" t="s">
        <v>125</v>
      </c>
      <c r="CM1405" s="328" t="str">
        <f>Translations!$B$551</f>
        <v>Energy content (bio), TJ</v>
      </c>
      <c r="CN1405" s="328" t="s">
        <v>126</v>
      </c>
      <c r="CO1405" s="328" t="s">
        <v>127</v>
      </c>
      <c r="CP1405" s="328" t="s">
        <v>128</v>
      </c>
      <c r="CQ1405" s="314"/>
    </row>
    <row r="1406" spans="1:95" ht="5.15" customHeight="1" thickBot="1" x14ac:dyDescent="0.3">
      <c r="A1406" s="307"/>
      <c r="B1406" s="68"/>
      <c r="C1406" s="68"/>
      <c r="D1406" s="68"/>
      <c r="E1406" s="68"/>
      <c r="F1406" s="68"/>
      <c r="G1406" s="68"/>
      <c r="H1406" s="76"/>
      <c r="I1406" s="76"/>
      <c r="J1406" s="76"/>
      <c r="K1406" s="76"/>
      <c r="L1406" s="76"/>
      <c r="M1406" s="76"/>
      <c r="N1406" s="76"/>
      <c r="O1406" s="160"/>
      <c r="P1406" s="109"/>
      <c r="Q1406" s="312"/>
      <c r="R1406" s="312"/>
      <c r="S1406" s="287"/>
      <c r="T1406" s="287"/>
      <c r="U1406" s="287"/>
      <c r="V1406" s="301"/>
      <c r="W1406" s="314"/>
      <c r="X1406" s="314"/>
      <c r="Y1406" s="312"/>
      <c r="Z1406" s="314"/>
      <c r="AA1406" s="314"/>
      <c r="AB1406" s="314"/>
      <c r="AC1406" s="314"/>
      <c r="AD1406" s="314"/>
      <c r="AE1406" s="314"/>
      <c r="AF1406" s="293"/>
      <c r="AG1406" s="314"/>
      <c r="AH1406" s="314"/>
      <c r="AI1406" s="314"/>
      <c r="AJ1406" s="335"/>
      <c r="AK1406" s="335"/>
      <c r="AL1406" s="326"/>
      <c r="AM1406" s="326"/>
      <c r="AN1406" s="326"/>
      <c r="AO1406" s="326"/>
      <c r="AP1406" s="326"/>
      <c r="AQ1406" s="314"/>
      <c r="AR1406" s="314"/>
      <c r="AS1406" s="314"/>
      <c r="AT1406" s="314"/>
      <c r="AU1406" s="314"/>
      <c r="AV1406" s="314"/>
      <c r="AW1406" s="314"/>
      <c r="AX1406" s="314"/>
      <c r="AY1406" s="314"/>
      <c r="AZ1406" s="314"/>
      <c r="BA1406" s="314"/>
      <c r="BB1406" s="314"/>
      <c r="BC1406" s="314"/>
      <c r="BD1406" s="314"/>
      <c r="BE1406" s="314"/>
      <c r="BF1406" s="314"/>
      <c r="BG1406" s="314"/>
      <c r="BH1406" s="314"/>
      <c r="BI1406" s="314"/>
      <c r="BJ1406" s="314"/>
      <c r="BK1406" s="314"/>
      <c r="BL1406" s="314"/>
      <c r="BM1406" s="314"/>
      <c r="BN1406" s="314"/>
      <c r="BO1406" s="314"/>
      <c r="BP1406" s="314"/>
      <c r="BQ1406" s="314"/>
      <c r="BR1406" s="314"/>
      <c r="BS1406" s="314"/>
      <c r="BT1406" s="314"/>
      <c r="BU1406" s="314"/>
      <c r="BV1406" s="314"/>
      <c r="BW1406" s="314"/>
      <c r="BX1406" s="314"/>
      <c r="BY1406" s="314"/>
      <c r="BZ1406" s="314"/>
      <c r="CA1406" s="314"/>
      <c r="CB1406" s="314"/>
      <c r="CC1406" s="314"/>
      <c r="CD1406" s="314"/>
      <c r="CE1406" s="314"/>
      <c r="CF1406" s="314"/>
      <c r="CG1406" s="314"/>
      <c r="CH1406" s="314"/>
      <c r="CI1406" s="314"/>
      <c r="CJ1406" s="314"/>
      <c r="CK1406" s="314"/>
      <c r="CL1406" s="314"/>
      <c r="CM1406" s="314"/>
      <c r="CN1406" s="314"/>
      <c r="CO1406" s="314"/>
      <c r="CP1406" s="314"/>
      <c r="CQ1406" s="314"/>
    </row>
    <row r="1407" spans="1:95" ht="12.75" customHeight="1" thickBot="1" x14ac:dyDescent="0.3">
      <c r="A1407" s="307"/>
      <c r="B1407" s="68"/>
      <c r="C1407" s="68"/>
      <c r="D1407" s="68"/>
      <c r="E1407" s="1253" t="str">
        <f>IF(E1404="","",HYPERLINK("#JUMP_E_Top",EUconst_FurtherGuidancePoint1))</f>
        <v/>
      </c>
      <c r="F1407" s="1253"/>
      <c r="G1407" s="1253"/>
      <c r="H1407" s="1253"/>
      <c r="I1407" s="1253"/>
      <c r="J1407" s="1253"/>
      <c r="K1407" s="1253"/>
      <c r="L1407" s="1253"/>
      <c r="M1407" s="1253"/>
      <c r="N1407" s="76"/>
      <c r="O1407" s="160"/>
      <c r="P1407" s="109"/>
      <c r="Q1407" s="325" t="str">
        <f>EUconst_SumNonSustBioCO2</f>
        <v>SUM_bioNonSustCO2</v>
      </c>
      <c r="R1407" s="337" t="str">
        <f>IF(E1405="","",BG1413)</f>
        <v/>
      </c>
      <c r="S1407" s="287"/>
      <c r="T1407" s="287"/>
      <c r="U1407" s="287"/>
      <c r="V1407" s="314"/>
      <c r="W1407" s="314"/>
      <c r="X1407" s="314"/>
      <c r="Y1407" s="293"/>
      <c r="Z1407" s="314"/>
      <c r="AA1407" s="314"/>
      <c r="AB1407" s="314"/>
      <c r="AC1407" s="314"/>
      <c r="AD1407" s="314"/>
      <c r="AE1407" s="314"/>
      <c r="AF1407" s="293"/>
      <c r="AG1407" s="314"/>
      <c r="AH1407" s="314"/>
      <c r="AI1407" s="314"/>
      <c r="AJ1407" s="335"/>
      <c r="AK1407" s="335"/>
      <c r="AL1407" s="326"/>
      <c r="AM1407" s="326"/>
      <c r="AN1407" s="326"/>
      <c r="AO1407" s="326"/>
      <c r="AP1407" s="326"/>
      <c r="AQ1407" s="314"/>
      <c r="AR1407" s="314"/>
      <c r="AS1407" s="314"/>
      <c r="AT1407" s="314"/>
      <c r="AU1407" s="314"/>
      <c r="AV1407" s="314"/>
      <c r="AW1407" s="314"/>
      <c r="AX1407" s="314"/>
      <c r="AY1407" s="314"/>
      <c r="AZ1407" s="314"/>
      <c r="BA1407" s="314"/>
      <c r="BB1407" s="314"/>
      <c r="BC1407" s="314"/>
      <c r="BD1407" s="314"/>
      <c r="BE1407" s="314"/>
      <c r="BF1407" s="314"/>
      <c r="BG1407" s="314"/>
      <c r="BH1407" s="314"/>
      <c r="BI1407" s="317" t="s">
        <v>129</v>
      </c>
      <c r="BJ1407" s="336"/>
      <c r="BK1407" s="327" t="str">
        <f>IF(G1425="","",G1425)</f>
        <v/>
      </c>
      <c r="BL1407" s="327" t="str">
        <f>IF(I1425="","",I1425)</f>
        <v/>
      </c>
      <c r="BM1407" s="327" t="str">
        <f>IF(K1425="","",K1425)</f>
        <v/>
      </c>
      <c r="BN1407" s="314"/>
      <c r="BO1407" s="314"/>
      <c r="BP1407" s="314"/>
      <c r="BQ1407" s="314"/>
      <c r="BR1407" s="314"/>
      <c r="BS1407" s="314"/>
      <c r="BT1407" s="319"/>
      <c r="BU1407" s="314"/>
      <c r="BV1407" s="314"/>
      <c r="BW1407" s="314"/>
      <c r="BX1407" s="314"/>
      <c r="BY1407" s="314"/>
      <c r="BZ1407" s="314"/>
      <c r="CA1407" s="314"/>
      <c r="CB1407" s="314"/>
      <c r="CC1407" s="314"/>
      <c r="CD1407" s="314"/>
      <c r="CE1407" s="314"/>
      <c r="CF1407" s="314"/>
      <c r="CG1407" s="314"/>
      <c r="CH1407" s="314"/>
      <c r="CI1407" s="314"/>
      <c r="CJ1407" s="314"/>
      <c r="CK1407" s="314"/>
      <c r="CL1407" s="314"/>
      <c r="CM1407" s="314"/>
      <c r="CN1407" s="314"/>
      <c r="CO1407" s="314"/>
      <c r="CP1407" s="314"/>
      <c r="CQ1407" s="314"/>
    </row>
    <row r="1408" spans="1:95" ht="5.15" customHeight="1" thickBot="1" x14ac:dyDescent="0.3">
      <c r="A1408" s="307"/>
      <c r="B1408" s="68"/>
      <c r="C1408" s="68"/>
      <c r="D1408" s="68"/>
      <c r="E1408" s="68"/>
      <c r="F1408" s="68"/>
      <c r="G1408" s="68"/>
      <c r="H1408" s="76"/>
      <c r="I1408" s="76"/>
      <c r="J1408" s="76"/>
      <c r="K1408" s="76"/>
      <c r="L1408" s="76"/>
      <c r="M1408" s="76"/>
      <c r="N1408" s="76"/>
      <c r="O1408" s="160"/>
      <c r="P1408" s="111"/>
      <c r="Q1408" s="287"/>
      <c r="R1408" s="111"/>
      <c r="S1408" s="287"/>
      <c r="T1408" s="287"/>
      <c r="U1408" s="287"/>
      <c r="V1408" s="314"/>
      <c r="W1408" s="314"/>
      <c r="X1408" s="314"/>
      <c r="Y1408" s="312"/>
      <c r="Z1408" s="314"/>
      <c r="AA1408" s="314"/>
      <c r="AB1408" s="314"/>
      <c r="AC1408" s="314"/>
      <c r="AD1408" s="314"/>
      <c r="AE1408" s="314"/>
      <c r="AF1408" s="293"/>
      <c r="AG1408" s="314"/>
      <c r="AH1408" s="314"/>
      <c r="AI1408" s="314"/>
      <c r="AJ1408" s="335"/>
      <c r="AK1408" s="335"/>
      <c r="AL1408" s="326"/>
      <c r="AM1408" s="326"/>
      <c r="AN1408" s="326"/>
      <c r="AO1408" s="326"/>
      <c r="AP1408" s="326"/>
      <c r="AQ1408" s="314"/>
      <c r="AR1408" s="314"/>
      <c r="AS1408" s="314"/>
      <c r="AT1408" s="314"/>
      <c r="AU1408" s="314"/>
      <c r="AV1408" s="314"/>
      <c r="AW1408" s="314"/>
      <c r="AX1408" s="314"/>
      <c r="AY1408" s="314"/>
      <c r="AZ1408" s="314"/>
      <c r="BA1408" s="314"/>
      <c r="BB1408" s="314"/>
      <c r="BC1408" s="314"/>
      <c r="BD1408" s="314"/>
      <c r="BE1408" s="314"/>
      <c r="BF1408" s="314"/>
      <c r="BG1408" s="314"/>
      <c r="BH1408" s="314"/>
      <c r="BI1408" s="314"/>
      <c r="BJ1408" s="314"/>
      <c r="BK1408" s="314"/>
      <c r="BL1408" s="314"/>
      <c r="BM1408" s="314"/>
      <c r="BN1408" s="314"/>
      <c r="BO1408" s="314"/>
      <c r="BP1408" s="314"/>
      <c r="BQ1408" s="314"/>
      <c r="BR1408" s="314"/>
      <c r="BS1408" s="314"/>
      <c r="BT1408" s="314"/>
      <c r="BU1408" s="314"/>
      <c r="BV1408" s="314"/>
      <c r="BW1408" s="314"/>
      <c r="BX1408" s="314"/>
      <c r="BY1408" s="314"/>
      <c r="BZ1408" s="314"/>
      <c r="CA1408" s="314"/>
      <c r="CB1408" s="314"/>
      <c r="CC1408" s="314"/>
      <c r="CD1408" s="314"/>
      <c r="CE1408" s="314"/>
      <c r="CF1408" s="314"/>
      <c r="CG1408" s="314"/>
      <c r="CH1408" s="314"/>
      <c r="CI1408" s="314"/>
      <c r="CJ1408" s="314"/>
      <c r="CK1408" s="314"/>
      <c r="CL1408" s="314"/>
      <c r="CM1408" s="314"/>
      <c r="CN1408" s="314"/>
      <c r="CO1408" s="314"/>
      <c r="CP1408" s="314"/>
      <c r="CQ1408" s="314"/>
    </row>
    <row r="1409" spans="1:95" ht="12.75" customHeight="1" thickBot="1" x14ac:dyDescent="0.3">
      <c r="A1409" s="307"/>
      <c r="B1409" s="68"/>
      <c r="C1409" s="68"/>
      <c r="D1409" s="68"/>
      <c r="E1409" s="68"/>
      <c r="F1409" s="338" t="str">
        <f>Translations!$B$127</f>
        <v>Tier</v>
      </c>
      <c r="G1409" s="1254" t="str">
        <f>Translations!$B$393</f>
        <v>tier description</v>
      </c>
      <c r="H1409" s="1254"/>
      <c r="I1409" s="1255" t="str">
        <f>Translations!$B$394</f>
        <v>Unit</v>
      </c>
      <c r="J1409" s="1255"/>
      <c r="K1409" s="1255" t="str">
        <f>Translations!$B$395</f>
        <v>Value</v>
      </c>
      <c r="L1409" s="1255"/>
      <c r="M1409" s="205" t="str">
        <f>Translations!$B$396</f>
        <v>error</v>
      </c>
      <c r="N1409" s="76"/>
      <c r="O1409" s="160"/>
      <c r="P1409" s="339"/>
      <c r="Q1409" s="325" t="str">
        <f>EUconst_SumEnergyIN</f>
        <v>SUM_EnergyIN</v>
      </c>
      <c r="R1409" s="340" t="str">
        <f>IF(E1405="","",BG1418)</f>
        <v/>
      </c>
      <c r="S1409" s="314"/>
      <c r="T1409" s="314"/>
      <c r="U1409" s="314"/>
      <c r="V1409" s="341" t="s">
        <v>130</v>
      </c>
      <c r="W1409" s="314"/>
      <c r="X1409" s="314"/>
      <c r="Y1409" s="312" t="s">
        <v>131</v>
      </c>
      <c r="Z1409" s="312" t="s">
        <v>132</v>
      </c>
      <c r="AA1409" s="314"/>
      <c r="AB1409" s="314"/>
      <c r="AC1409" s="336" t="s">
        <v>133</v>
      </c>
      <c r="AD1409" s="314"/>
      <c r="AE1409" s="314"/>
      <c r="AF1409" s="314" t="s">
        <v>134</v>
      </c>
      <c r="AG1409" s="314" t="s">
        <v>135</v>
      </c>
      <c r="AH1409" s="312" t="s">
        <v>136</v>
      </c>
      <c r="AI1409" s="335" t="s">
        <v>137</v>
      </c>
      <c r="AJ1409" s="335" t="s">
        <v>138</v>
      </c>
      <c r="AK1409" s="342" t="s">
        <v>139</v>
      </c>
      <c r="AL1409" s="326"/>
      <c r="AM1409" s="326"/>
      <c r="AN1409" s="326"/>
      <c r="AO1409" s="326"/>
      <c r="AP1409" s="326"/>
      <c r="AQ1409" s="314"/>
      <c r="AR1409" s="314" t="s">
        <v>134</v>
      </c>
      <c r="AS1409" s="314" t="s">
        <v>135</v>
      </c>
      <c r="AT1409" s="343" t="s">
        <v>140</v>
      </c>
      <c r="AU1409" s="335" t="s">
        <v>141</v>
      </c>
      <c r="AV1409" s="335" t="s">
        <v>142</v>
      </c>
      <c r="AW1409" s="342" t="s">
        <v>139</v>
      </c>
      <c r="AX1409" s="342" t="s">
        <v>139</v>
      </c>
      <c r="AY1409" s="314"/>
      <c r="AZ1409" s="314"/>
      <c r="BA1409" s="314"/>
      <c r="BB1409" s="314" t="s">
        <v>143</v>
      </c>
      <c r="BC1409" s="314"/>
      <c r="BD1409" s="314"/>
      <c r="BE1409" s="314"/>
      <c r="BF1409" s="314"/>
      <c r="BG1409" s="319" t="s">
        <v>144</v>
      </c>
      <c r="BH1409" s="314" t="s">
        <v>145</v>
      </c>
      <c r="BI1409" s="314"/>
      <c r="BJ1409" s="314"/>
      <c r="BK1409" s="314"/>
      <c r="BL1409" s="314"/>
      <c r="BM1409" s="314"/>
      <c r="BN1409" s="314"/>
      <c r="BO1409" s="314"/>
      <c r="BP1409" s="314"/>
      <c r="BQ1409" s="314"/>
      <c r="BR1409" s="314"/>
      <c r="BS1409" s="314"/>
      <c r="BT1409" s="314"/>
      <c r="BU1409" s="314"/>
      <c r="BV1409" s="314"/>
      <c r="BW1409" s="314"/>
      <c r="BX1409" s="314"/>
      <c r="BY1409" s="314"/>
      <c r="BZ1409" s="314"/>
      <c r="CA1409" s="314"/>
      <c r="CB1409" s="314"/>
      <c r="CC1409" s="314"/>
      <c r="CD1409" s="314"/>
      <c r="CE1409" s="314"/>
      <c r="CF1409" s="314"/>
      <c r="CG1409" s="314"/>
      <c r="CH1409" s="314"/>
      <c r="CI1409" s="314"/>
      <c r="CJ1409" s="314"/>
      <c r="CK1409" s="314"/>
      <c r="CL1409" s="314"/>
      <c r="CM1409" s="314"/>
      <c r="CN1409" s="314"/>
      <c r="CO1409" s="314"/>
      <c r="CP1409" s="314"/>
      <c r="CQ1409" s="319" t="s">
        <v>107</v>
      </c>
    </row>
    <row r="1410" spans="1:95" ht="12.75" customHeight="1" thickBot="1" x14ac:dyDescent="0.3">
      <c r="A1410" s="307"/>
      <c r="B1410" s="68"/>
      <c r="C1410" s="199" t="s">
        <v>12</v>
      </c>
      <c r="D1410" s="344" t="str">
        <f>Translations!$B$356</f>
        <v>RFA:</v>
      </c>
      <c r="E1410" s="345"/>
      <c r="F1410" s="6"/>
      <c r="G1410" s="1256" t="str">
        <f>IF(OR(ISBLANK(F1410),F1410=EUconst_NoTier),"",IF(Z1410=0,EUconst_NA,IF(ISERROR(Z1410),"",Z1410)))</f>
        <v/>
      </c>
      <c r="H1410" s="1257"/>
      <c r="I1410" s="346" t="str">
        <f>IF(J1410&lt;&gt;"","",AI1410)</f>
        <v/>
      </c>
      <c r="J1410" s="7"/>
      <c r="K1410" s="1258"/>
      <c r="L1410" s="1259"/>
      <c r="M1410" s="347" t="str">
        <f>IF(AND(E1405&lt;&gt;"",OR(F1410="",COUNT(K1410)=0),Y1410&lt;&gt;EUconst_NA),EUconst_ERR_Incomplete,"")</f>
        <v/>
      </c>
      <c r="N1410" s="76"/>
      <c r="O1410" s="160"/>
      <c r="P1410" s="348"/>
      <c r="Q1410" s="325" t="str">
        <f>EUconst_SumBioEnergyIN</f>
        <v>SUM_BioEnergyIN</v>
      </c>
      <c r="R1410" s="340" t="str">
        <f>IF(E1405="","",BG1419)</f>
        <v/>
      </c>
      <c r="S1410" s="314"/>
      <c r="T1410" s="349" t="str">
        <f>EUconst_CNTR_ActivityData&amp;E1405</f>
        <v>ActivityData_</v>
      </c>
      <c r="U1410" s="312"/>
      <c r="V1410" s="349" t="str">
        <f>IF(E1404="","",INDEX(B_IdentifyFuelStreams!$I$67:$I$116,MATCH(U1403,B_IdentifyFuelStreams!$D$67:$D$116,0)))</f>
        <v/>
      </c>
      <c r="W1410" s="335" t="s">
        <v>146</v>
      </c>
      <c r="X1410" s="312"/>
      <c r="Y1410" s="350" t="str">
        <f>IF(E1405="","",INDEX(EUwideConstants!$P$164:$P$200,MATCH(T1410,EUwideConstants!$S$164:$S$200,0)))</f>
        <v/>
      </c>
      <c r="Z1410" s="351" t="str">
        <f>IF(ISBLANK(F1410),"",IF(F1410=EUconst_NA,"",INDEX(EUwideConstants!$H:$O,MATCH(T1410,EUwideConstants!$S:$S,0),MATCH(F1410,CNTR_TierList,0))))</f>
        <v/>
      </c>
      <c r="AA1410" s="352" t="s">
        <v>136</v>
      </c>
      <c r="AB1410" s="335"/>
      <c r="AC1410" s="331" t="b">
        <f>E1404&lt;&gt;""</f>
        <v>0</v>
      </c>
      <c r="AD1410" s="314"/>
      <c r="AE1410" s="353" t="str">
        <f>EUconst_CNTR_ActivityData&amp;EUconst_Unit</f>
        <v>ActivityData_Unit</v>
      </c>
      <c r="AF1410" s="354" t="str">
        <f>IF(AC1410=TRUE, IF(COUNTIF(MSPara_SourceStreamCategory,V1410)=0,"",INDEX(MSPara_CalcFactorsMatrix,MATCH(V1410,MSPara_SourceStreamCategory,0),MATCH(AE1410&amp;"_"&amp;2,MSPara_CalcFactors,0))),"")</f>
        <v/>
      </c>
      <c r="AG1410" s="355" t="str">
        <f>IF(AC1410=TRUE, IF(COUNTIF(MSPara_SourceStreamCategory,V1410)=0,"",INDEX(MSPara_CalcFactorsMatrix,MATCH(V1410,MSPara_SourceStreamCategory,0),MATCH(AE1410&amp;"_"&amp;1,MSPara_CalcFactors,0))),"")</f>
        <v/>
      </c>
      <c r="AH1410" s="331" t="str">
        <f>IF(OR(AF1410="",AF1410=EUconst_NA),IF(OR(AG1410=EUconst_NA,AG1410=""),"",AG1410),AF1410)</f>
        <v/>
      </c>
      <c r="AI1410" s="350" t="str">
        <f>IF(AC1410=TRUE,IF(AH1410="",EUconst_t,AH1410),"")</f>
        <v/>
      </c>
      <c r="AJ1410" s="356" t="str">
        <f>IF(J1410="",AI1410,J1410)</f>
        <v/>
      </c>
      <c r="AK1410" s="357" t="b">
        <f>AND(E1404&lt;&gt;"",J1410&lt;&gt;"")</f>
        <v>0</v>
      </c>
      <c r="AL1410" s="326"/>
      <c r="AM1410" s="358" t="s">
        <v>147</v>
      </c>
      <c r="AN1410" s="359" t="str">
        <f>AJ1410</f>
        <v/>
      </c>
      <c r="AO1410" s="326"/>
      <c r="AP1410" s="326"/>
      <c r="AQ1410" s="349" t="str">
        <f>EUconst_CNTR_ActivityData&amp;EUconst_Value</f>
        <v>ActivityData_Value</v>
      </c>
      <c r="AR1410" s="336"/>
      <c r="AS1410" s="336"/>
      <c r="AT1410" s="331" t="b">
        <f>AND(AND(AH1410&lt;&gt;"",AJ1410&lt;&gt;""),AJ1410=AH1410)</f>
        <v>0</v>
      </c>
      <c r="AU1410" s="314"/>
      <c r="AV1410" s="331">
        <f>IF(Y1410=EUconst_NA,0,IF(COUNT(K1410:K1410)=0,0,IF(K1410="",#REF!,K1410)))</f>
        <v>0</v>
      </c>
      <c r="AW1410" s="360" t="b">
        <f>AND(AC1410=TRUE,OR(K1410&lt;&gt;"",AU1410=""))</f>
        <v>0</v>
      </c>
      <c r="AX1410" s="360" t="b">
        <f>AND(AC1410=TRUE,NOT(AW1410))</f>
        <v>0</v>
      </c>
      <c r="AY1410" s="314"/>
      <c r="AZ1410" s="314" t="s">
        <v>148</v>
      </c>
      <c r="BA1410" s="314" t="s">
        <v>149</v>
      </c>
      <c r="BB1410" s="360"/>
      <c r="BC1410" s="314" t="s">
        <v>150</v>
      </c>
      <c r="BD1410" s="314"/>
      <c r="BE1410" s="314"/>
      <c r="BF1410" s="361" t="s">
        <v>119</v>
      </c>
      <c r="BG1410" s="362" t="str">
        <f>IF(COUNTIF(AO1413:AO1414,TRUE)=0,"",BH1410*AV1421)</f>
        <v/>
      </c>
      <c r="BH1410" s="362" t="str">
        <f>IF(COUNTIF(AO1413:AO1414,TRUE)=0,"",AV1410*IF(AO1413,1,AV1412*AN1414)*AV1413-BH1412-BH1414-BH1416)</f>
        <v/>
      </c>
      <c r="BI1410" s="314"/>
      <c r="BJ1410" s="314"/>
      <c r="BK1410" s="314"/>
      <c r="BL1410" s="314"/>
      <c r="BM1410" s="314"/>
      <c r="BN1410" s="314"/>
      <c r="BO1410" s="314"/>
      <c r="BP1410" s="314"/>
      <c r="BQ1410" s="314"/>
      <c r="BR1410" s="314"/>
      <c r="BS1410" s="314"/>
      <c r="BT1410" s="314"/>
      <c r="BU1410" s="314"/>
      <c r="BV1410" s="314"/>
      <c r="BW1410" s="314"/>
      <c r="BX1410" s="314"/>
      <c r="BY1410" s="314"/>
      <c r="BZ1410" s="314"/>
      <c r="CA1410" s="314"/>
      <c r="CB1410" s="314"/>
      <c r="CC1410" s="314"/>
      <c r="CD1410" s="314"/>
      <c r="CE1410" s="314"/>
      <c r="CF1410" s="314"/>
      <c r="CG1410" s="314"/>
      <c r="CH1410" s="314"/>
      <c r="CI1410" s="314"/>
      <c r="CJ1410" s="314"/>
      <c r="CK1410" s="314"/>
      <c r="CL1410" s="314"/>
      <c r="CM1410" s="314"/>
      <c r="CN1410" s="314"/>
      <c r="CO1410" s="314"/>
      <c r="CP1410" s="314"/>
      <c r="CQ1410" s="360" t="b">
        <v>0</v>
      </c>
    </row>
    <row r="1411" spans="1:95" ht="5.15" customHeight="1" thickBot="1" x14ac:dyDescent="0.3">
      <c r="A1411" s="307"/>
      <c r="B1411" s="68"/>
      <c r="C1411" s="199"/>
      <c r="D1411" s="202"/>
      <c r="E1411" s="76"/>
      <c r="F1411" s="76"/>
      <c r="G1411" s="76"/>
      <c r="H1411" s="76" t="str">
        <f>Translations!$B$397</f>
        <v xml:space="preserve"> </v>
      </c>
      <c r="I1411" s="162"/>
      <c r="J1411" s="162"/>
      <c r="K1411" s="76"/>
      <c r="L1411" s="76"/>
      <c r="M1411" s="363"/>
      <c r="N1411" s="76"/>
      <c r="O1411" s="160"/>
      <c r="P1411" s="109"/>
      <c r="Q1411" s="312"/>
      <c r="R1411" s="312"/>
      <c r="S1411" s="314"/>
      <c r="T1411" s="62"/>
      <c r="U1411" s="312"/>
      <c r="V1411" s="314"/>
      <c r="W1411" s="314"/>
      <c r="X1411" s="312"/>
      <c r="Y1411" s="319"/>
      <c r="Z1411" s="314"/>
      <c r="AA1411" s="314"/>
      <c r="AB1411" s="314"/>
      <c r="AC1411" s="314"/>
      <c r="AD1411" s="314"/>
      <c r="AE1411" s="314"/>
      <c r="AF1411" s="314"/>
      <c r="AG1411" s="314"/>
      <c r="AH1411" s="314"/>
      <c r="AI1411" s="314"/>
      <c r="AJ1411" s="314"/>
      <c r="AK1411" s="314"/>
      <c r="AL1411" s="326"/>
      <c r="AM1411" s="326"/>
      <c r="AN1411" s="326"/>
      <c r="AO1411" s="326"/>
      <c r="AP1411" s="326"/>
      <c r="AQ1411" s="314"/>
      <c r="AR1411" s="314"/>
      <c r="AS1411" s="314"/>
      <c r="AT1411" s="314"/>
      <c r="AU1411" s="314"/>
      <c r="AV1411" s="314"/>
      <c r="AW1411" s="314"/>
      <c r="AX1411" s="314"/>
      <c r="AY1411" s="314"/>
      <c r="AZ1411" s="314"/>
      <c r="BA1411" s="314"/>
      <c r="BB1411" s="314"/>
      <c r="BC1411" s="314"/>
      <c r="BD1411" s="314"/>
      <c r="BE1411" s="314"/>
      <c r="BF1411" s="314"/>
      <c r="BG1411" s="364"/>
      <c r="BH1411" s="364"/>
      <c r="BI1411" s="314"/>
      <c r="BJ1411" s="314"/>
      <c r="BK1411" s="314"/>
      <c r="BL1411" s="314"/>
      <c r="BM1411" s="314"/>
      <c r="BN1411" s="314"/>
      <c r="BO1411" s="314"/>
      <c r="BP1411" s="314"/>
      <c r="BQ1411" s="314"/>
      <c r="BR1411" s="314"/>
      <c r="BS1411" s="314"/>
      <c r="BT1411" s="314"/>
      <c r="BU1411" s="314"/>
      <c r="BV1411" s="314"/>
      <c r="BW1411" s="314"/>
      <c r="BX1411" s="314"/>
      <c r="BY1411" s="314"/>
      <c r="BZ1411" s="314"/>
      <c r="CA1411" s="314"/>
      <c r="CB1411" s="314"/>
      <c r="CC1411" s="314"/>
      <c r="CD1411" s="314"/>
      <c r="CE1411" s="314"/>
      <c r="CF1411" s="314"/>
      <c r="CG1411" s="314"/>
      <c r="CH1411" s="314"/>
      <c r="CI1411" s="314"/>
      <c r="CJ1411" s="314"/>
      <c r="CK1411" s="314"/>
      <c r="CL1411" s="314"/>
      <c r="CM1411" s="314"/>
      <c r="CN1411" s="314"/>
      <c r="CO1411" s="314"/>
      <c r="CP1411" s="314"/>
      <c r="CQ1411" s="319"/>
    </row>
    <row r="1412" spans="1:95" ht="12.75" customHeight="1" x14ac:dyDescent="0.25">
      <c r="A1412" s="307"/>
      <c r="B1412" s="68"/>
      <c r="C1412" s="199" t="s">
        <v>13</v>
      </c>
      <c r="D1412" s="344" t="str">
        <f>Translations!$B$360</f>
        <v>UCF:</v>
      </c>
      <c r="E1412" s="345"/>
      <c r="F1412" s="10"/>
      <c r="G1412" s="1256" t="str">
        <f>IF(OR(ISBLANK(F1412),F1412=EUconst_NoTier),"",IF(Z1412=0,EUconst_NotApplicable,IF(ISERROR(Z1412),"",Z1412)))</f>
        <v/>
      </c>
      <c r="H1412" s="1257"/>
      <c r="I1412" s="365" t="str">
        <f>IF(J1412&lt;&gt;"","",AI1412)</f>
        <v/>
      </c>
      <c r="J1412" s="11"/>
      <c r="K1412" s="366" t="str">
        <f>IF(L1412="",AU1412,"")</f>
        <v/>
      </c>
      <c r="L1412" s="23"/>
      <c r="M1412" s="347" t="str">
        <f>IF(AND(E1405&lt;&gt;"",OR(F1412="",COUNT(K1412:L1412)=0),Y1412&lt;&gt;EUconst_NA),EUconst_ERR_Incomplete,IF(COUNTIF(BB1412:BD1412,TRUE)&gt;0,EUconst_ERR_Inconsistent,""))</f>
        <v/>
      </c>
      <c r="N1412" s="367"/>
      <c r="O1412" s="160"/>
      <c r="P1412" s="109"/>
      <c r="Q1412" s="312"/>
      <c r="R1412" s="312"/>
      <c r="S1412" s="314"/>
      <c r="T1412" s="368" t="str">
        <f>EUconst_CNTR_UCF&amp;E1405</f>
        <v>UCF_</v>
      </c>
      <c r="U1412" s="312"/>
      <c r="V1412" s="369" t="str">
        <f>V1413</f>
        <v/>
      </c>
      <c r="W1412" s="314"/>
      <c r="X1412" s="312"/>
      <c r="Y1412" s="370" t="str">
        <f>IF(E1405="","",IF(OR(F1412=EUconst_NA,W1412=TRUE),EUconst_NA,INDEX(EUwideConstants!$P$164:$P$200,MATCH(T1412,EUwideConstants!$S$164:$S$200,0))))</f>
        <v/>
      </c>
      <c r="Z1412" s="371" t="str">
        <f>IF(ISBLANK(F1412),"",IF(F1412=EUconst_NA,"",INDEX(EUwideConstants!$H:$O,MATCH(T1412,EUwideConstants!$S:$S,0),MATCH(F1412,CNTR_TierList,0))))</f>
        <v/>
      </c>
      <c r="AA1412" s="372" t="str">
        <f>IF(COUNTIF(EUconst_DefaultValues,Z1412)&gt;0,MATCH(Z1412,EUconst_DefaultValues,0),"")</f>
        <v/>
      </c>
      <c r="AB1412" s="314"/>
      <c r="AC1412" s="373" t="b">
        <f>AND(AC1410,Y1412&lt;&gt;EUconst_NA)</f>
        <v>0</v>
      </c>
      <c r="AD1412" s="314"/>
      <c r="AE1412" s="353" t="str">
        <f>EUconst_CNTR_UCF&amp;EUconst_Unit</f>
        <v>UCF_Unit</v>
      </c>
      <c r="AF1412" s="374" t="str">
        <f>IF(AC1412=TRUE, IF(COUNTIF(MSPara_SourceStreamCategory,V1412)=0,"",INDEX(MSPara_CalcFactorsMatrix,MATCH(V1412,MSPara_SourceStreamCategory,0),MATCH(AE1412&amp;"_"&amp;2,MSPara_CalcFactors,0))),"")</f>
        <v/>
      </c>
      <c r="AG1412" s="375" t="str">
        <f>IF(AC1412=TRUE, IF(COUNTIF(MSPara_SourceStreamCategory,V1412)=0,"",INDEX(MSPara_CalcFactorsMatrix,MATCH(V1412,MSPara_SourceStreamCategory,0),MATCH(AE1412&amp;"_"&amp;1,MSPara_CalcFactors,0))),"")</f>
        <v/>
      </c>
      <c r="AH1412" s="373" t="str">
        <f>IF(AA1412="","",INDEX(AF1412:AG1412,3-AA1412))</f>
        <v/>
      </c>
      <c r="AI1412" s="373" t="str">
        <f>IF(AC1412=TRUE,IF(OR(AH1412="",AH1412=EUconst_NA),EUconst_GJ&amp;"/"&amp;AJ1410,AH1412),"")</f>
        <v/>
      </c>
      <c r="AJ1412" s="373" t="str">
        <f>IF(J1412="",AI1412,J1412)</f>
        <v/>
      </c>
      <c r="AK1412" s="369" t="b">
        <f>AND(E1404&lt;&gt;"",J1412&lt;&gt;"")</f>
        <v>0</v>
      </c>
      <c r="AL1412" s="326"/>
      <c r="AM1412" s="358" t="s">
        <v>151</v>
      </c>
      <c r="AN1412" s="359" t="str">
        <f>IF(AJ1412="",EUconst_NA,IF(AN1410=EUconst_TJ,EUconst_TJ,INDEX(EUwideConstants!$C$135:$G$139,MATCH(AN1410,RFAUnits,0),MATCH(AJ1412,UCFUnits,0))))</f>
        <v>n.a.</v>
      </c>
      <c r="AO1412" s="326"/>
      <c r="AP1412" s="326"/>
      <c r="AQ1412" s="376" t="str">
        <f>EUconst_CNTR_UCF&amp;EUconst_Value</f>
        <v>UCF_Value</v>
      </c>
      <c r="AR1412" s="377" t="str">
        <f>IF(AC1412=TRUE,IF(COUNTIF(MSPara_SourceStreamCategory,V1412)=0,"",INDEX(MSPara_CalcFactorsMatrix,MATCH(V1412,MSPara_SourceStreamCategory,0),MATCH(AQ1412&amp;"_"&amp;2,MSPara_CalcFactors,0))),"")</f>
        <v/>
      </c>
      <c r="AS1412" s="378" t="str">
        <f>IF(AC1412=TRUE,IF(COUNTIF(MSPara_SourceStreamCategory,V1412)=0,"",INDEX(MSPara_CalcFactorsMatrix,MATCH(V1412,MSPara_SourceStreamCategory,0),MATCH(AQ1412&amp;"_"&amp;1,MSPara_CalcFactors,0))),"")</f>
        <v/>
      </c>
      <c r="AT1412" s="379" t="b">
        <f>AND(AND(AH1412&lt;&gt;"",AJ1412&lt;&gt;""),AJ1412=AH1412)</f>
        <v>0</v>
      </c>
      <c r="AU1412" s="380" t="str">
        <f>IF(AND(AA1412&lt;&gt;"",AT1412=TRUE),IF(OR(INDEX(AR1412:AS1412,3-AA1412)=EUconst_NA,INDEX(AR1412:AS1412,3-AA1412)=0),"",INDEX(AR1412:AS1412,3-AA1412)),"")</f>
        <v/>
      </c>
      <c r="AV1412" s="373">
        <f>IF(AC1412=TRUE,IF(COUNT(K1412:L1412)=0,0,IF(L1412="",K1412,L1412)),0)</f>
        <v>0</v>
      </c>
      <c r="AW1412" s="369" t="b">
        <f t="shared" ref="AW1412:AW1419" si="432">AND(AC1412=TRUE,OR(AND(F1412&lt;&gt;"",NOT(ISNUMBER(AA1412))),L1412&lt;&gt;"",F1412="",AU1412=""))</f>
        <v>0</v>
      </c>
      <c r="AX1412" s="381" t="b">
        <f t="shared" ref="AX1412:AX1419" si="433">AND(AC1412=TRUE,NOT(AW1412))</f>
        <v>0</v>
      </c>
      <c r="AY1412" s="314"/>
      <c r="AZ1412" s="382" t="b">
        <f t="shared" ref="AZ1412:AZ1419" si="434">AND(ISNUMBER(AA1412),AU1412="")</f>
        <v>0</v>
      </c>
      <c r="BA1412" s="383" t="b">
        <f t="shared" ref="BA1412:BA1419" si="435">AND(ISNUMBER(AA1412),AU1412&lt;&gt;AV1412)</f>
        <v>0</v>
      </c>
      <c r="BB1412" s="369" t="b">
        <f>AND(E1405&lt;&gt;"",F1412&lt;&gt;EUconst_NA,AN1412=EUconst_NA)</f>
        <v>0</v>
      </c>
      <c r="BC1412" s="369" t="b">
        <f t="shared" ref="BC1412:BC1419" si="436">AND(L1412&lt;&gt;"",Y1412=EUconst_NA)</f>
        <v>0</v>
      </c>
      <c r="BD1412" s="314"/>
      <c r="BE1412" s="314"/>
      <c r="BF1412" s="382" t="s">
        <v>152</v>
      </c>
      <c r="BG1412" s="384" t="str">
        <f>IF(COUNTIF(AO1413:AO1414,TRUE)=0,"",BH1412*AV1421)</f>
        <v/>
      </c>
      <c r="BH1412" s="384" t="str">
        <f>IF(COUNTIF(AO1413:AO1414,TRUE)=0,"",AV1410*IF(AO1413,1,AV1412*AN1414)*AV1413*AV1414)</f>
        <v/>
      </c>
      <c r="BI1412" s="314"/>
      <c r="BJ1412" s="314"/>
      <c r="BK1412" s="314"/>
      <c r="BL1412" s="314"/>
      <c r="BM1412" s="314"/>
      <c r="BN1412" s="314"/>
      <c r="BO1412" s="314"/>
      <c r="BP1412" s="314"/>
      <c r="BQ1412" s="314"/>
      <c r="BR1412" s="314"/>
      <c r="BS1412" s="314"/>
      <c r="BT1412" s="314"/>
      <c r="BU1412" s="314"/>
      <c r="BV1412" s="314"/>
      <c r="BW1412" s="314"/>
      <c r="BX1412" s="314"/>
      <c r="BY1412" s="314"/>
      <c r="BZ1412" s="314"/>
      <c r="CA1412" s="314"/>
      <c r="CB1412" s="314"/>
      <c r="CC1412" s="314"/>
      <c r="CD1412" s="314"/>
      <c r="CE1412" s="314"/>
      <c r="CF1412" s="314"/>
      <c r="CG1412" s="314"/>
      <c r="CH1412" s="314"/>
      <c r="CI1412" s="314"/>
      <c r="CJ1412" s="314"/>
      <c r="CK1412" s="314"/>
      <c r="CL1412" s="314"/>
      <c r="CM1412" s="314"/>
      <c r="CN1412" s="314"/>
      <c r="CO1412" s="314"/>
      <c r="CP1412" s="314"/>
      <c r="CQ1412" s="369" t="b">
        <f>OR(CQ1410,Y1412=EUconst_NA)</f>
        <v>0</v>
      </c>
    </row>
    <row r="1413" spans="1:95" ht="12.75" customHeight="1" thickBot="1" x14ac:dyDescent="0.3">
      <c r="A1413" s="307"/>
      <c r="B1413" s="68"/>
      <c r="C1413" s="199" t="s">
        <v>14</v>
      </c>
      <c r="D1413" s="344" t="str">
        <f>Translations!$B$358</f>
        <v>(prelim) EF:</v>
      </c>
      <c r="E1413" s="345"/>
      <c r="F1413" s="59"/>
      <c r="G1413" s="1256" t="str">
        <f>IF(OR(ISBLANK(F1413),F1413=EUconst_NoTier),"",IF(Z1413=0,EUconst_NotApplicable,IF(ISERROR(Z1413),"",Z1413)))</f>
        <v/>
      </c>
      <c r="H1413" s="1260"/>
      <c r="I1413" s="385" t="str">
        <f>IF(J1413&lt;&gt;"","",AI1413)</f>
        <v/>
      </c>
      <c r="J1413" s="22"/>
      <c r="K1413" s="386" t="str">
        <f>IF(L1413="",AU1413,"")</f>
        <v/>
      </c>
      <c r="L1413" s="58"/>
      <c r="M1413" s="347" t="str">
        <f>IF(AND(E1405&lt;&gt;"",OR(F1413="",COUNT(K1413:L1413)=0),Y1413&lt;&gt;EUconst_NA),EUconst_ERR_Incomplete,IF(COUNTIF(BB1413:BD1413,TRUE)&gt;0,EUconst_ERR_Inconsistent,""))</f>
        <v/>
      </c>
      <c r="N1413" s="387"/>
      <c r="O1413" s="160"/>
      <c r="P1413" s="109"/>
      <c r="Q1413" s="312"/>
      <c r="R1413" s="312"/>
      <c r="S1413" s="314"/>
      <c r="T1413" s="388" t="str">
        <f>EUconst_CNTR_EF&amp;E1405</f>
        <v>EF_</v>
      </c>
      <c r="U1413" s="312"/>
      <c r="V1413" s="389" t="str">
        <f>V1410</f>
        <v/>
      </c>
      <c r="W1413" s="314"/>
      <c r="X1413" s="312"/>
      <c r="Y1413" s="390" t="str">
        <f>IF(E1405="","",IF(OR(F1413=EUconst_NA,W1413=TRUE),EUconst_NA,INDEX(EUwideConstants!$P$164:$P$200,MATCH(T1413,EUwideConstants!$S$164:$S$200,0))))</f>
        <v/>
      </c>
      <c r="Z1413" s="391" t="str">
        <f>IF(ISBLANK(F1413),"",IF(F1413=EUconst_NA,"",INDEX(EUwideConstants!$H:$O,MATCH(T1413,EUwideConstants!$S:$S,0),MATCH(F1413,CNTR_TierList,0))))</f>
        <v/>
      </c>
      <c r="AA1413" s="392" t="str">
        <f>IF(COUNTIF(EUconst_DefaultValues,Z1413)&gt;0,MATCH(Z1413,EUconst_DefaultValues,0),"")</f>
        <v/>
      </c>
      <c r="AB1413" s="314"/>
      <c r="AC1413" s="393" t="b">
        <f>AND(AC1410,Y1413&lt;&gt;EUconst_NA)</f>
        <v>0</v>
      </c>
      <c r="AD1413" s="314"/>
      <c r="AE1413" s="394" t="str">
        <f>EUconst_CNTR_EF&amp;EUconst_Unit</f>
        <v>EF_Unit</v>
      </c>
      <c r="AF1413" s="395" t="str">
        <f>IF(AC1413=TRUE, IF(COUNTIF(MSPara_SourceStreamCategory,V1413)=0,"",INDEX(MSPara_CalcFactorsMatrix,MATCH(V1413,MSPara_SourceStreamCategory,0),MATCH(AE1413&amp;"_"&amp;2,MSPara_CalcFactors,0))),"")</f>
        <v/>
      </c>
      <c r="AG1413" s="396" t="str">
        <f>IF(AC1413=TRUE, IF(COUNTIF(MSPara_SourceStreamCategory,V1413)=0,"",INDEX(MSPara_CalcFactorsMatrix,MATCH(V1413,MSPara_SourceStreamCategory,0),MATCH(AE1413&amp;"_"&amp;1,MSPara_CalcFactors,0))),"")</f>
        <v/>
      </c>
      <c r="AH1413" s="397" t="str">
        <f>IF(AA1413="","",INDEX(AF1413:AG1413,3-AA1413))</f>
        <v/>
      </c>
      <c r="AI1413" s="397" t="str">
        <f>IF(AC1413=TRUE,IF(OR(AH1413="",AH1413=EUconst_NA),EUconst_tCO2&amp;"/"&amp;IF(AN1412=EUconst_NA,AN1410,IF(AN1412=EUconst_GJ,EUconst_TJ,AN1412)),AH1413),"")</f>
        <v/>
      </c>
      <c r="AJ1413" s="397" t="str">
        <f>IF(J1413="",AI1413,J1413)</f>
        <v/>
      </c>
      <c r="AK1413" s="398" t="b">
        <f>AND(E1405&lt;&gt;"",J1413&lt;&gt;"")</f>
        <v>0</v>
      </c>
      <c r="AL1413" s="326"/>
      <c r="AM1413" s="358" t="s">
        <v>153</v>
      </c>
      <c r="AN1413" s="359" t="str">
        <f>IF(COUNTIF(RFAUnits,AN1410)=0,EUconst_NA,INDEX(EUwideConstants!$C$150:$H$154,MATCH(AJ1413,EFUnits,0),MATCH(AN1410,EUwideConstants!$C$149:$H$149,0)))</f>
        <v>n.a.</v>
      </c>
      <c r="AO1413" s="359" t="b">
        <f>AN1413&lt;&gt;EUconst_NA</f>
        <v>0</v>
      </c>
      <c r="AP1413" s="326"/>
      <c r="AQ1413" s="399" t="str">
        <f>EUconst_CNTR_EF&amp;EUconst_Value</f>
        <v>EF_Value</v>
      </c>
      <c r="AR1413" s="400" t="str">
        <f>IF(AC1413=TRUE,IF(COUNTIF(MSPara_SourceStreamCategory,V1413)=0,"",INDEX(MSPara_CalcFactorsMatrix,MATCH(V1413,MSPara_SourceStreamCategory,0),MATCH(AQ1413&amp;"_"&amp;2,MSPara_CalcFactors,0))),"")</f>
        <v/>
      </c>
      <c r="AS1413" s="401" t="str">
        <f>IF(AC1413=TRUE,IF(COUNTIF(MSPara_SourceStreamCategory,V1413)=0,"",INDEX(MSPara_CalcFactorsMatrix,MATCH(V1413,MSPara_SourceStreamCategory,0),MATCH(AQ1413&amp;"_"&amp;1,MSPara_CalcFactors,0))),"")</f>
        <v/>
      </c>
      <c r="AT1413" s="402" t="b">
        <f>AND(AND(AH1413&lt;&gt;"",AJ1413&lt;&gt;""),AJ1413=AH1413)</f>
        <v>0</v>
      </c>
      <c r="AU1413" s="403" t="str">
        <f>IF(AND(AA1413&lt;&gt;"",AT1413=TRUE),IF(OR(INDEX(AR1413:AS1413,3-AA1413)=EUconst_NA,INDEX(AR1413:AS1413,3-AA1413)=0),"",INDEX(AR1413:AS1413,3-AA1413)),"")</f>
        <v/>
      </c>
      <c r="AV1413" s="393">
        <f>IF(AC1413=TRUE,IF(COUNT(K1413:L1413)=0,0,IF(L1413="",K1413,L1413)),0)</f>
        <v>0</v>
      </c>
      <c r="AW1413" s="389" t="b">
        <f t="shared" si="432"/>
        <v>0</v>
      </c>
      <c r="AX1413" s="404" t="b">
        <f t="shared" si="433"/>
        <v>0</v>
      </c>
      <c r="AY1413" s="314"/>
      <c r="AZ1413" s="405" t="b">
        <f t="shared" si="434"/>
        <v>0</v>
      </c>
      <c r="BA1413" s="406" t="b">
        <f t="shared" si="435"/>
        <v>0</v>
      </c>
      <c r="BB1413" s="407" t="b">
        <f>AND(E1405&lt;&gt;"",COUNTIF(AO1413:AO1414,TRUE)=0)</f>
        <v>0</v>
      </c>
      <c r="BC1413" s="389" t="b">
        <f t="shared" si="436"/>
        <v>0</v>
      </c>
      <c r="BD1413" s="314"/>
      <c r="BE1413" s="314"/>
      <c r="BF1413" s="408" t="s">
        <v>154</v>
      </c>
      <c r="BG1413" s="409" t="str">
        <f>IF(COUNTIF(AO1413:AO1414,TRUE)=0,"",BH1413*AV1421)</f>
        <v/>
      </c>
      <c r="BH1413" s="409" t="str">
        <f>IF(COUNTIF(AO1413:AO1414,TRUE)=0,"",AV1410*IF(AO1413,1,AV1412*AN1414)*AV1413*AV1415)</f>
        <v/>
      </c>
      <c r="BI1413" s="314"/>
      <c r="BJ1413" s="314"/>
      <c r="BK1413" s="314"/>
      <c r="BL1413" s="314"/>
      <c r="BM1413" s="314"/>
      <c r="BN1413" s="314"/>
      <c r="BO1413" s="314"/>
      <c r="BP1413" s="314"/>
      <c r="BQ1413" s="314"/>
      <c r="BR1413" s="314"/>
      <c r="BS1413" s="314"/>
      <c r="BT1413" s="314"/>
      <c r="BU1413" s="314"/>
      <c r="BV1413" s="314"/>
      <c r="BW1413" s="314"/>
      <c r="BX1413" s="314"/>
      <c r="BY1413" s="314"/>
      <c r="BZ1413" s="314"/>
      <c r="CA1413" s="314"/>
      <c r="CB1413" s="314"/>
      <c r="CC1413" s="314"/>
      <c r="CD1413" s="314"/>
      <c r="CE1413" s="314"/>
      <c r="CF1413" s="314"/>
      <c r="CG1413" s="314"/>
      <c r="CH1413" s="314"/>
      <c r="CI1413" s="314"/>
      <c r="CJ1413" s="314"/>
      <c r="CK1413" s="314"/>
      <c r="CL1413" s="314"/>
      <c r="CM1413" s="314"/>
      <c r="CN1413" s="314"/>
      <c r="CO1413" s="314"/>
      <c r="CP1413" s="314"/>
      <c r="CQ1413" s="407" t="b">
        <f>OR(CQ1410,Y1413=EUconst_NA)</f>
        <v>0</v>
      </c>
    </row>
    <row r="1414" spans="1:95" ht="12.75" customHeight="1" x14ac:dyDescent="0.25">
      <c r="A1414" s="307"/>
      <c r="B1414" s="68"/>
      <c r="C1414" s="199" t="s">
        <v>15</v>
      </c>
      <c r="D1414" s="344" t="str">
        <f>Translations!$B$362</f>
        <v>BioF:</v>
      </c>
      <c r="E1414" s="345"/>
      <c r="F1414" s="10"/>
      <c r="G1414" s="1256" t="str">
        <f>IF(OR(ISBLANK(F1414),F1414=EUconst_NoTier),"",IF(Z1414=0,EUconst_NotApplicable,IF(ISERROR(Z1414),"",Z1414)))</f>
        <v/>
      </c>
      <c r="H1414" s="1257"/>
      <c r="I1414" s="410" t="str">
        <f t="shared" ref="I1414:I1419" si="437">IF(OR(AC1414=FALSE,Y1414=EUconst_NA),"","-")</f>
        <v/>
      </c>
      <c r="J1414" s="411"/>
      <c r="K1414" s="412" t="str">
        <f>IF(L1414="",AU1414,"")</f>
        <v/>
      </c>
      <c r="L1414" s="60"/>
      <c r="M1414" s="347" t="str">
        <f>IF(AND(E1405&lt;&gt;"",OR(F1414="",COUNT(K1414:L1414)=0),Y1414&lt;&gt;EUconst_NA),EUconst_ERR_Incomplete,IF(COUNTIF(BB1414:BD1414,TRUE)&gt;0,EUconst_ERR_Inconsistent,""))</f>
        <v/>
      </c>
      <c r="O1414" s="160"/>
      <c r="P1414" s="348"/>
      <c r="Q1414" s="413"/>
      <c r="R1414" s="413"/>
      <c r="S1414" s="314"/>
      <c r="T1414" s="388" t="str">
        <f>EUconst_CNTR_BiomassContent&amp;E1405</f>
        <v>BioC_</v>
      </c>
      <c r="U1414" s="312"/>
      <c r="V1414" s="369" t="str">
        <f>V1412</f>
        <v/>
      </c>
      <c r="W1414" s="369" t="str">
        <f>IF(OR(V1414="",COUNTIF(MSPara_SourceStreamCategory,V1414)=0),"",INDEX(MSPara_IsFossil,MATCH(V1414,MSPara_SourceStreamCategory,0)))</f>
        <v/>
      </c>
      <c r="X1414" s="312"/>
      <c r="Y1414" s="370" t="str">
        <f>IF(E1405="","",IF(OR(F1414=EUconst_NA,W1414=TRUE),EUconst_NA,INDEX(EUwideConstants!$P$164:$P$200,MATCH(T1414,EUwideConstants!$S$164:$S$200,0))))</f>
        <v/>
      </c>
      <c r="Z1414" s="371" t="str">
        <f>IF(ISBLANK(F1414),"",IF(F1414=EUconst_NA,"",INDEX(EUwideConstants!$H:$O,MATCH(T1414,EUwideConstants!$S:$S,0),MATCH(F1414,CNTR_TierList,0))))</f>
        <v/>
      </c>
      <c r="AA1414" s="414" t="str">
        <f>IF(F1414=1,1,"")</f>
        <v/>
      </c>
      <c r="AB1414" s="314"/>
      <c r="AC1414" s="373" t="b">
        <f>AND(AC1410,Y1414&lt;&gt;EUconst_NA)</f>
        <v>0</v>
      </c>
      <c r="AD1414" s="314"/>
      <c r="AE1414" s="415"/>
      <c r="AF1414" s="416"/>
      <c r="AG1414" s="417"/>
      <c r="AH1414" s="418"/>
      <c r="AI1414" s="418"/>
      <c r="AJ1414" s="418"/>
      <c r="AK1414" s="419"/>
      <c r="AL1414" s="326"/>
      <c r="AM1414" s="358" t="s">
        <v>155</v>
      </c>
      <c r="AN1414" s="359" t="str">
        <f>IF(AN1412=EUconst_NA,EUconst_NA,INDEX(EUwideConstants!$C$150:$H$154,MATCH(AJ1413,EFUnits,0),MATCH(AN1412,EUwideConstants!$C$149:$H$149,0)))</f>
        <v>n.a.</v>
      </c>
      <c r="AO1414" s="359" t="b">
        <f>AN1414&lt;&gt;EUconst_NA</f>
        <v>0</v>
      </c>
      <c r="AP1414" s="326"/>
      <c r="AQ1414" s="376" t="str">
        <f>EUconst_CNTR_BiomassContent&amp;EUconst_Value</f>
        <v>BioC_Value</v>
      </c>
      <c r="AR1414" s="420"/>
      <c r="AS1414" s="378" t="str">
        <f t="shared" ref="AS1414:AS1419" si="438">IF(AC1414=TRUE,IF(COUNTIF(MSPara_SourceStreamCategory,V1414)=0,"",INDEX(MSPara_CalcFactorsMatrix,MATCH(V1414,MSPara_SourceStreamCategory,0),MATCH(AQ1414&amp;"_"&amp;2,MSPara_CalcFactors,0))),"")</f>
        <v/>
      </c>
      <c r="AT1414" s="421"/>
      <c r="AU1414" s="380" t="str">
        <f t="shared" ref="AU1414:AU1419" si="439">IF(OR(AA1414="",AS1414=EUconst_NA),"",AS1414)</f>
        <v/>
      </c>
      <c r="AV1414" s="373">
        <f>IF(AC1414=TRUE,IF(COUNT(K1414:L1414)=0,0,IF(L1414="",K1414,L1414)),0)</f>
        <v>0</v>
      </c>
      <c r="AW1414" s="369" t="b">
        <f t="shared" si="432"/>
        <v>0</v>
      </c>
      <c r="AX1414" s="381" t="b">
        <f t="shared" si="433"/>
        <v>0</v>
      </c>
      <c r="AY1414" s="314"/>
      <c r="AZ1414" s="382" t="b">
        <f t="shared" si="434"/>
        <v>0</v>
      </c>
      <c r="BA1414" s="383" t="b">
        <f t="shared" si="435"/>
        <v>0</v>
      </c>
      <c r="BB1414" s="314"/>
      <c r="BC1414" s="369" t="b">
        <f t="shared" si="436"/>
        <v>0</v>
      </c>
      <c r="BD1414" s="369" t="b">
        <f>OR(AV1414&gt;100%,(AV1414+AV1415)&gt;100%)</f>
        <v>0</v>
      </c>
      <c r="BE1414" s="314"/>
      <c r="BF1414" s="382" t="s">
        <v>156</v>
      </c>
      <c r="BG1414" s="384" t="str">
        <f>IF(COUNTIF(AO1413:AO1414,TRUE)=0,"",BH1414*AV1421)</f>
        <v/>
      </c>
      <c r="BH1414" s="384" t="str">
        <f>IF(COUNTIF(AO1413:AO1414,TRUE)=0,"",AV1410*IF(AO1413,1,AV1412*AN1414)*AV1413*AV1416)</f>
        <v/>
      </c>
      <c r="BJ1414" s="314"/>
      <c r="BK1414" s="314"/>
      <c r="BL1414" s="314"/>
      <c r="BM1414" s="314"/>
      <c r="BN1414" s="314"/>
      <c r="BO1414" s="314"/>
      <c r="BP1414" s="314"/>
      <c r="BQ1414" s="314"/>
      <c r="BR1414" s="314"/>
      <c r="BS1414" s="314"/>
      <c r="BT1414" s="314"/>
      <c r="BU1414" s="314"/>
      <c r="BV1414" s="314"/>
      <c r="BW1414" s="314"/>
      <c r="BX1414" s="314"/>
      <c r="BY1414" s="314"/>
      <c r="BZ1414" s="314"/>
      <c r="CA1414" s="314"/>
      <c r="CB1414" s="314"/>
      <c r="CC1414" s="314"/>
      <c r="CD1414" s="314"/>
      <c r="CE1414" s="314"/>
      <c r="CF1414" s="314"/>
      <c r="CG1414" s="314"/>
      <c r="CH1414" s="314"/>
      <c r="CI1414" s="314"/>
      <c r="CJ1414" s="314"/>
      <c r="CK1414" s="314"/>
      <c r="CL1414" s="314"/>
      <c r="CM1414" s="314"/>
      <c r="CN1414" s="314"/>
      <c r="CO1414" s="314"/>
      <c r="CP1414" s="314"/>
      <c r="CQ1414" s="369" t="b">
        <f>OR(CQ1410,Y1414=EUconst_NA)</f>
        <v>0</v>
      </c>
    </row>
    <row r="1415" spans="1:95" ht="12.75" customHeight="1" thickBot="1" x14ac:dyDescent="0.3">
      <c r="A1415" s="307"/>
      <c r="B1415" s="68"/>
      <c r="C1415" s="199" t="s">
        <v>16</v>
      </c>
      <c r="D1415" s="344" t="str">
        <f>Translations!$B$368</f>
        <v>non-sust. BioF:</v>
      </c>
      <c r="E1415" s="345"/>
      <c r="F1415" s="20"/>
      <c r="G1415" s="1256" t="str">
        <f>IF(OR(ISBLANK(F1415),F1415=EUconst_NoTier),"",IF(Z1415=0,EUconst_NotApplicable,IF(ISERROR(Z1415),"",Z1415)))</f>
        <v/>
      </c>
      <c r="H1415" s="1257"/>
      <c r="I1415" s="422" t="str">
        <f t="shared" si="437"/>
        <v/>
      </c>
      <c r="J1415" s="423"/>
      <c r="K1415" s="424" t="str">
        <f>IF(L1415="",AU1415,"")</f>
        <v/>
      </c>
      <c r="L1415" s="21"/>
      <c r="M1415" s="347" t="str">
        <f>IF(AND(E1405&lt;&gt;"",OR(F1415="",COUNT(K1415:L1415)=0),Y1415&lt;&gt;EUconst_NA),EUconst_ERR_Incomplete,IF(COUNTIF(BB1415:BD1415,TRUE)&gt;0,EUconst_ERR_Inconsistent,""))</f>
        <v/>
      </c>
      <c r="N1415" s="76"/>
      <c r="O1415" s="160"/>
      <c r="P1415" s="348"/>
      <c r="Q1415" s="413"/>
      <c r="R1415" s="413"/>
      <c r="S1415" s="314"/>
      <c r="T1415" s="425" t="str">
        <f>EUconst_CNTR_BiomassContent&amp;E1405</f>
        <v>BioC_</v>
      </c>
      <c r="U1415" s="312"/>
      <c r="V1415" s="407" t="str">
        <f>V1414</f>
        <v/>
      </c>
      <c r="W1415" s="407" t="str">
        <f>IF(OR(V1414="",COUNTIF(MSPara_SourceStreamCategory,V1415)=0),"",INDEX(MSPara_IsFossil,MATCH(V1415,MSPara_SourceStreamCategory,0)))</f>
        <v/>
      </c>
      <c r="X1415" s="312"/>
      <c r="Y1415" s="426" t="str">
        <f>IF(E1405="","",IF(OR(F1415=EUconst_NA,W1415=TRUE),EUconst_NA,INDEX(EUwideConstants!$P$164:$P$200,MATCH(T1415,EUwideConstants!$S$164:$S$200,0))))</f>
        <v/>
      </c>
      <c r="Z1415" s="427" t="str">
        <f>IF(ISBLANK(F1415),"",IF(F1415=EUconst_NA,"",INDEX(EUwideConstants!$H:$O,MATCH(T1415,EUwideConstants!$S:$S,0),MATCH(F1415,CNTR_TierList,0))))</f>
        <v/>
      </c>
      <c r="AA1415" s="428" t="str">
        <f>IF(F1415=1,1,"")</f>
        <v/>
      </c>
      <c r="AB1415" s="314"/>
      <c r="AC1415" s="429" t="b">
        <f>AND(AC1410,Y1415&lt;&gt;EUconst_NA)</f>
        <v>0</v>
      </c>
      <c r="AD1415" s="314"/>
      <c r="AE1415" s="430"/>
      <c r="AF1415" s="431"/>
      <c r="AG1415" s="432"/>
      <c r="AH1415" s="433"/>
      <c r="AI1415" s="433"/>
      <c r="AJ1415" s="433"/>
      <c r="AK1415" s="434"/>
      <c r="AL1415" s="326"/>
      <c r="AM1415" s="326"/>
      <c r="AN1415" s="326"/>
      <c r="AO1415" s="326"/>
      <c r="AP1415" s="326"/>
      <c r="AQ1415" s="435" t="str">
        <f>EUconst_CNTR_BiomassContent&amp;EUconst_Value</f>
        <v>BioC_Value</v>
      </c>
      <c r="AR1415" s="430"/>
      <c r="AS1415" s="436" t="str">
        <f t="shared" si="438"/>
        <v/>
      </c>
      <c r="AT1415" s="437"/>
      <c r="AU1415" s="438" t="str">
        <f t="shared" si="439"/>
        <v/>
      </c>
      <c r="AV1415" s="429">
        <f>IF(AC1415=TRUE,IF(COUNT(K1415:L1415)=0,0,IF(L1415="",K1415,L1415)),0)</f>
        <v>0</v>
      </c>
      <c r="AW1415" s="407" t="b">
        <f t="shared" si="432"/>
        <v>0</v>
      </c>
      <c r="AX1415" s="439" t="b">
        <f t="shared" si="433"/>
        <v>0</v>
      </c>
      <c r="AY1415" s="314"/>
      <c r="AZ1415" s="408" t="b">
        <f t="shared" si="434"/>
        <v>0</v>
      </c>
      <c r="BA1415" s="440" t="b">
        <f t="shared" si="435"/>
        <v>0</v>
      </c>
      <c r="BB1415" s="314"/>
      <c r="BC1415" s="407" t="b">
        <f t="shared" si="436"/>
        <v>0</v>
      </c>
      <c r="BD1415" s="407" t="b">
        <f>OR(AV1414&gt;100%,(AV1414+AV1415)&gt;100%)</f>
        <v>0</v>
      </c>
      <c r="BE1415" s="314"/>
      <c r="BF1415" s="408" t="s">
        <v>157</v>
      </c>
      <c r="BG1415" s="409" t="str">
        <f>IF(COUNTIF(AO1413:AO1414,TRUE)=0,"",BH1415*AV1421)</f>
        <v/>
      </c>
      <c r="BH1415" s="409" t="str">
        <f>IF(COUNTIF(AO1413:AO1414,TRUE)=0,"",AV1410*IF(AO1413,1,AV1412*AN1414)*AV1413*AV1417)</f>
        <v/>
      </c>
      <c r="BJ1415" s="314"/>
      <c r="BK1415" s="314"/>
      <c r="BL1415" s="314"/>
      <c r="BM1415" s="314"/>
      <c r="BN1415" s="314"/>
      <c r="BO1415" s="314"/>
      <c r="BP1415" s="314"/>
      <c r="BQ1415" s="314"/>
      <c r="BR1415" s="314"/>
      <c r="BS1415" s="314"/>
      <c r="BT1415" s="314"/>
      <c r="BU1415" s="314"/>
      <c r="BV1415" s="314"/>
      <c r="BW1415" s="314"/>
      <c r="BX1415" s="314"/>
      <c r="BY1415" s="314"/>
      <c r="BZ1415" s="314"/>
      <c r="CA1415" s="314"/>
      <c r="CB1415" s="314"/>
      <c r="CC1415" s="314"/>
      <c r="CD1415" s="314"/>
      <c r="CE1415" s="314"/>
      <c r="CF1415" s="314"/>
      <c r="CG1415" s="314"/>
      <c r="CH1415" s="314"/>
      <c r="CI1415" s="314"/>
      <c r="CJ1415" s="314"/>
      <c r="CK1415" s="314"/>
      <c r="CL1415" s="314"/>
      <c r="CM1415" s="314"/>
      <c r="CN1415" s="314"/>
      <c r="CO1415" s="314"/>
      <c r="CP1415" s="314"/>
      <c r="CQ1415" s="407" t="b">
        <f>OR(CQ1410,Y1415=EUconst_NA)</f>
        <v>0</v>
      </c>
    </row>
    <row r="1416" spans="1:95" ht="12.75" customHeight="1" thickBot="1" x14ac:dyDescent="0.3">
      <c r="A1416" s="307"/>
      <c r="B1416" s="68"/>
      <c r="C1416" s="199" t="s">
        <v>17</v>
      </c>
      <c r="D1416" s="344" t="str">
        <f>Translations!$B$610</f>
        <v>sust. RFNBO/RCF:</v>
      </c>
      <c r="E1416" s="441"/>
      <c r="F1416" s="19" t="s">
        <v>158</v>
      </c>
      <c r="G1416" s="1261"/>
      <c r="H1416" s="1262"/>
      <c r="I1416" s="442" t="str">
        <f t="shared" si="437"/>
        <v/>
      </c>
      <c r="J1416" s="411"/>
      <c r="K1416" s="443"/>
      <c r="L1416" s="55"/>
      <c r="M1416" s="347" t="str">
        <f>IF(AND(E1405&lt;&gt;"",OR(F1416="",COUNT(L1416)=0),Y1416&lt;&gt;EUconst_NA),EUconst_ERR_Incomplete,"")</f>
        <v/>
      </c>
      <c r="N1416" s="76"/>
      <c r="O1416" s="160"/>
      <c r="P1416" s="348"/>
      <c r="Q1416" s="413"/>
      <c r="R1416" s="413"/>
      <c r="S1416" s="314"/>
      <c r="T1416" s="388" t="str">
        <f>EUconst_CNTR_RFNBOetcContent&amp;E1405</f>
        <v>RNFBOC_</v>
      </c>
      <c r="U1416" s="312"/>
      <c r="V1416" s="312"/>
      <c r="W1416" s="312"/>
      <c r="X1416" s="312"/>
      <c r="Y1416" s="380" t="str">
        <f>IF(E1405="","",IF(OR(F1416=EUconst_NA,W1416=TRUE),EUconst_NA,INDEX(EUwideConstants!$P$164:$P$200,MATCH(T1416,EUwideConstants!$S$164:$S$200,0))))</f>
        <v/>
      </c>
      <c r="Z1416" s="314"/>
      <c r="AA1416" s="314"/>
      <c r="AB1416" s="314"/>
      <c r="AC1416" s="397" t="b">
        <f>AND(AC1412,Y1416&lt;&gt;EUconst_NA)</f>
        <v>0</v>
      </c>
      <c r="AD1416" s="314"/>
      <c r="AE1416" s="415"/>
      <c r="AF1416" s="416"/>
      <c r="AG1416" s="417"/>
      <c r="AH1416" s="418"/>
      <c r="AI1416" s="418"/>
      <c r="AJ1416" s="418"/>
      <c r="AK1416" s="419"/>
      <c r="AL1416" s="326"/>
      <c r="AM1416" s="326"/>
      <c r="AN1416" s="326"/>
      <c r="AO1416" s="326"/>
      <c r="AP1416" s="326"/>
      <c r="AQ1416" s="444" t="s">
        <v>159</v>
      </c>
      <c r="AR1416" s="415"/>
      <c r="AS1416" s="445" t="str">
        <f t="shared" si="438"/>
        <v/>
      </c>
      <c r="AT1416" s="446"/>
      <c r="AU1416" s="447" t="str">
        <f t="shared" si="439"/>
        <v/>
      </c>
      <c r="AV1416" s="397">
        <f>IF(L1416&lt;&gt;0,L1416,L1416)</f>
        <v>0</v>
      </c>
      <c r="AW1416" s="398" t="b">
        <f t="shared" si="432"/>
        <v>0</v>
      </c>
      <c r="AX1416" s="448" t="b">
        <f t="shared" si="433"/>
        <v>0</v>
      </c>
      <c r="AY1416" s="314"/>
      <c r="AZ1416" s="449" t="b">
        <f t="shared" si="434"/>
        <v>0</v>
      </c>
      <c r="BA1416" s="450" t="b">
        <f t="shared" si="435"/>
        <v>0</v>
      </c>
      <c r="BB1416" s="314"/>
      <c r="BC1416" s="398" t="b">
        <f t="shared" si="436"/>
        <v>0</v>
      </c>
      <c r="BD1416" s="369" t="b">
        <f>OR(AV1416&gt;100%,(AV1416+AV1417)&gt;100%)</f>
        <v>0</v>
      </c>
      <c r="BE1416" s="314"/>
      <c r="BF1416" s="451" t="s">
        <v>160</v>
      </c>
      <c r="BG1416" s="452" t="str">
        <f>IF(COUNTIF(AO1413:AO1414,TRUE)=0,"",BH1416*AV1421)</f>
        <v/>
      </c>
      <c r="BH1416" s="452" t="str">
        <f>IF(COUNTIF(AO1413:AO1414,TRUE)=0,"",AV1410*IF(AO1413,1,AV1412*AN1414)*AV1413*AV1418)</f>
        <v/>
      </c>
      <c r="BJ1416" s="314"/>
      <c r="BK1416" s="314"/>
      <c r="BL1416" s="314"/>
      <c r="BM1416" s="314"/>
      <c r="BN1416" s="314"/>
      <c r="BO1416" s="314"/>
      <c r="BP1416" s="314"/>
      <c r="BQ1416" s="314"/>
      <c r="BR1416" s="314"/>
      <c r="BS1416" s="314"/>
      <c r="BT1416" s="314"/>
      <c r="BU1416" s="314"/>
      <c r="BV1416" s="314"/>
      <c r="BW1416" s="314"/>
      <c r="BX1416" s="314"/>
      <c r="BY1416" s="314"/>
      <c r="BZ1416" s="314"/>
      <c r="CA1416" s="314"/>
      <c r="CB1416" s="314"/>
      <c r="CC1416" s="314"/>
      <c r="CD1416" s="314"/>
      <c r="CE1416" s="314"/>
      <c r="CF1416" s="314"/>
      <c r="CG1416" s="314"/>
      <c r="CH1416" s="314"/>
      <c r="CI1416" s="314"/>
      <c r="CJ1416" s="314"/>
      <c r="CK1416" s="314"/>
      <c r="CL1416" s="314"/>
      <c r="CM1416" s="314"/>
      <c r="CN1416" s="314"/>
      <c r="CO1416" s="314"/>
      <c r="CP1416" s="314"/>
      <c r="CQ1416" s="407" t="b">
        <f>OR(CQ1410,Y1416=EUconst_NA)</f>
        <v>0</v>
      </c>
    </row>
    <row r="1417" spans="1:95" ht="12.75" customHeight="1" thickBot="1" x14ac:dyDescent="0.3">
      <c r="A1417" s="307"/>
      <c r="B1417" s="68"/>
      <c r="C1417" s="199" t="s">
        <v>161</v>
      </c>
      <c r="D1417" s="344" t="str">
        <f>Translations!$B$613</f>
        <v>non-sust. RFNBO/RCF:</v>
      </c>
      <c r="E1417" s="441"/>
      <c r="F1417" s="20" t="s">
        <v>158</v>
      </c>
      <c r="G1417" s="1261"/>
      <c r="H1417" s="1262"/>
      <c r="I1417" s="422" t="str">
        <f t="shared" si="437"/>
        <v/>
      </c>
      <c r="J1417" s="423"/>
      <c r="K1417" s="443"/>
      <c r="L1417" s="56"/>
      <c r="M1417" s="347" t="str">
        <f>IF(AND(E1405&lt;&gt;"",OR(F1417="",COUNT(L1417)=0),Y1417&lt;&gt;EUconst_NA),EUconst_ERR_Incomplete,"")</f>
        <v/>
      </c>
      <c r="N1417" s="76"/>
      <c r="O1417" s="160"/>
      <c r="P1417" s="348"/>
      <c r="Q1417" s="413"/>
      <c r="R1417" s="413"/>
      <c r="S1417" s="314"/>
      <c r="T1417" s="425" t="str">
        <f>EUconst_CNTR_RFNBOetcContent&amp;E1405</f>
        <v>RNFBOC_</v>
      </c>
      <c r="U1417" s="312"/>
      <c r="V1417" s="312"/>
      <c r="W1417" s="312"/>
      <c r="X1417" s="312"/>
      <c r="Y1417" s="438" t="str">
        <f>IF(E1405="","",IF(OR(F1417=EUconst_NA,W1417=TRUE),EUconst_NA,INDEX(EUwideConstants!$P$164:$P$200,MATCH(T1417,EUwideConstants!$S$164:$S$200,0))))</f>
        <v/>
      </c>
      <c r="Z1417" s="314"/>
      <c r="AA1417" s="314"/>
      <c r="AB1417" s="314"/>
      <c r="AC1417" s="429" t="b">
        <f>AND(AC1412,Y1417&lt;&gt;EUconst_NA)</f>
        <v>0</v>
      </c>
      <c r="AD1417" s="314"/>
      <c r="AE1417" s="430"/>
      <c r="AF1417" s="431"/>
      <c r="AG1417" s="432"/>
      <c r="AH1417" s="433"/>
      <c r="AI1417" s="433"/>
      <c r="AJ1417" s="433"/>
      <c r="AK1417" s="434"/>
      <c r="AL1417" s="326"/>
      <c r="AM1417" s="326"/>
      <c r="AN1417" s="326"/>
      <c r="AO1417" s="326"/>
      <c r="AP1417" s="326"/>
      <c r="AQ1417" s="435" t="s">
        <v>159</v>
      </c>
      <c r="AR1417" s="430"/>
      <c r="AS1417" s="436" t="str">
        <f t="shared" si="438"/>
        <v/>
      </c>
      <c r="AT1417" s="437"/>
      <c r="AU1417" s="438" t="str">
        <f t="shared" si="439"/>
        <v/>
      </c>
      <c r="AV1417" s="429">
        <f t="shared" ref="AV1417:AV1419" si="440">IF(L1417&lt;&gt;0,L1417,L1417)</f>
        <v>0</v>
      </c>
      <c r="AW1417" s="407" t="b">
        <f t="shared" si="432"/>
        <v>0</v>
      </c>
      <c r="AX1417" s="439" t="b">
        <f t="shared" si="433"/>
        <v>0</v>
      </c>
      <c r="AY1417" s="314"/>
      <c r="AZ1417" s="408" t="b">
        <f t="shared" si="434"/>
        <v>0</v>
      </c>
      <c r="BA1417" s="440" t="b">
        <f t="shared" si="435"/>
        <v>0</v>
      </c>
      <c r="BB1417" s="314"/>
      <c r="BC1417" s="407" t="b">
        <f t="shared" si="436"/>
        <v>0</v>
      </c>
      <c r="BD1417" s="407" t="b">
        <f>OR(AV1416&gt;100%,(AV1416+AV1417)&gt;100%)</f>
        <v>0</v>
      </c>
      <c r="BE1417" s="314"/>
      <c r="BF1417" s="408" t="s">
        <v>162</v>
      </c>
      <c r="BG1417" s="409" t="str">
        <f>IF(COUNTIF(AO1413:AO1414,TRUE)=0,"",BH1417*AV1421)</f>
        <v/>
      </c>
      <c r="BH1417" s="409" t="str">
        <f>IF(COUNTIF(AO1413:AO1414,TRUE)=0,"",AV1410*IF(AO1413,1,AV1412*AN1414)*AV1413*AV1419)</f>
        <v/>
      </c>
      <c r="BJ1417" s="314"/>
      <c r="BK1417" s="314"/>
      <c r="BL1417" s="314"/>
      <c r="BM1417" s="314"/>
      <c r="BN1417" s="314"/>
      <c r="BO1417" s="314"/>
      <c r="BP1417" s="314"/>
      <c r="BQ1417" s="314"/>
      <c r="BR1417" s="314"/>
      <c r="BS1417" s="314"/>
      <c r="BT1417" s="314"/>
      <c r="BU1417" s="314"/>
      <c r="BV1417" s="314"/>
      <c r="BW1417" s="314"/>
      <c r="BX1417" s="314"/>
      <c r="BY1417" s="314"/>
      <c r="BZ1417" s="314"/>
      <c r="CA1417" s="314"/>
      <c r="CB1417" s="314"/>
      <c r="CC1417" s="314"/>
      <c r="CD1417" s="314"/>
      <c r="CE1417" s="314"/>
      <c r="CF1417" s="314"/>
      <c r="CG1417" s="314"/>
      <c r="CH1417" s="314"/>
      <c r="CI1417" s="314"/>
      <c r="CJ1417" s="314"/>
      <c r="CK1417" s="314"/>
      <c r="CL1417" s="314"/>
      <c r="CM1417" s="314"/>
      <c r="CN1417" s="314"/>
      <c r="CO1417" s="314"/>
      <c r="CP1417" s="314"/>
      <c r="CQ1417" s="407" t="b">
        <f>OR(CQ1410,Y1417=EUconst_NA)</f>
        <v>0</v>
      </c>
    </row>
    <row r="1418" spans="1:95" ht="12.75" customHeight="1" thickBot="1" x14ac:dyDescent="0.3">
      <c r="A1418" s="307"/>
      <c r="B1418" s="68"/>
      <c r="C1418" s="199" t="s">
        <v>163</v>
      </c>
      <c r="D1418" s="344" t="str">
        <f>Translations!$B$615</f>
        <v>sust. SLCF:</v>
      </c>
      <c r="E1418" s="441"/>
      <c r="F1418" s="19" t="s">
        <v>158</v>
      </c>
      <c r="G1418" s="1261"/>
      <c r="H1418" s="1262"/>
      <c r="I1418" s="442" t="str">
        <f t="shared" si="437"/>
        <v/>
      </c>
      <c r="J1418" s="411"/>
      <c r="K1418" s="443"/>
      <c r="L1418" s="57"/>
      <c r="M1418" s="347" t="str">
        <f>IF(AND(E1405&lt;&gt;"",OR(F1418="",COUNT(L1418)=0),Y1418&lt;&gt;EUconst_NA),EUconst_ERR_Incomplete,"")</f>
        <v/>
      </c>
      <c r="N1418" s="76"/>
      <c r="O1418" s="160"/>
      <c r="P1418" s="348"/>
      <c r="Q1418" s="413"/>
      <c r="R1418" s="413"/>
      <c r="S1418" s="314"/>
      <c r="T1418" s="388" t="str">
        <f>EUconst_CNTR_RFNBOetcContent&amp;E1405</f>
        <v>RNFBOC_</v>
      </c>
      <c r="U1418" s="312"/>
      <c r="V1418" s="312"/>
      <c r="W1418" s="312"/>
      <c r="X1418" s="312"/>
      <c r="Y1418" s="447" t="str">
        <f>IF(E1405="","",IF(OR(F1418=EUconst_NA,W1418=TRUE),EUconst_NA,INDEX(EUwideConstants!$P$164:$P$200,MATCH(T1418,EUwideConstants!$S$164:$S$200,0))))</f>
        <v/>
      </c>
      <c r="Z1418" s="314"/>
      <c r="AA1418" s="314"/>
      <c r="AB1418" s="314"/>
      <c r="AC1418" s="397" t="b">
        <f>AND(AC1414,Y1418&lt;&gt;EUconst_NA)</f>
        <v>0</v>
      </c>
      <c r="AD1418" s="314"/>
      <c r="AE1418" s="415"/>
      <c r="AF1418" s="416"/>
      <c r="AG1418" s="417"/>
      <c r="AH1418" s="418"/>
      <c r="AI1418" s="418"/>
      <c r="AJ1418" s="418"/>
      <c r="AK1418" s="419"/>
      <c r="AL1418" s="326"/>
      <c r="AM1418" s="326"/>
      <c r="AN1418" s="326"/>
      <c r="AO1418" s="326"/>
      <c r="AP1418" s="326"/>
      <c r="AQ1418" s="444" t="s">
        <v>159</v>
      </c>
      <c r="AR1418" s="415"/>
      <c r="AS1418" s="445" t="str">
        <f t="shared" si="438"/>
        <v/>
      </c>
      <c r="AT1418" s="446"/>
      <c r="AU1418" s="447" t="str">
        <f t="shared" si="439"/>
        <v/>
      </c>
      <c r="AV1418" s="397">
        <f t="shared" si="440"/>
        <v>0</v>
      </c>
      <c r="AW1418" s="398" t="b">
        <f t="shared" si="432"/>
        <v>0</v>
      </c>
      <c r="AX1418" s="448" t="b">
        <f t="shared" si="433"/>
        <v>0</v>
      </c>
      <c r="AY1418" s="314"/>
      <c r="AZ1418" s="449" t="b">
        <f t="shared" si="434"/>
        <v>0</v>
      </c>
      <c r="BA1418" s="450" t="b">
        <f t="shared" si="435"/>
        <v>0</v>
      </c>
      <c r="BB1418" s="314"/>
      <c r="BC1418" s="398" t="b">
        <f t="shared" si="436"/>
        <v>0</v>
      </c>
      <c r="BD1418" s="369" t="b">
        <f>OR(AV1418&gt;100%,(AV1418+AV1419)&gt;100%)</f>
        <v>0</v>
      </c>
      <c r="BE1418" s="314"/>
      <c r="BF1418" s="451" t="s">
        <v>164</v>
      </c>
      <c r="BG1418" s="452">
        <f>IF(AN1410=EUconst_TJ,AV1410*(1-AV1414),IF(AN1412=EUconst_GJ,AV1410*AV1412/1000,0))-SUM(BG1419:BG1425)</f>
        <v>0</v>
      </c>
      <c r="BH1418" s="314"/>
      <c r="BI1418" s="314"/>
      <c r="BJ1418" s="314"/>
      <c r="BK1418" s="314"/>
      <c r="BL1418" s="314"/>
      <c r="BM1418" s="314"/>
      <c r="BN1418" s="314"/>
      <c r="BO1418" s="314"/>
      <c r="BP1418" s="314"/>
      <c r="BQ1418" s="314"/>
      <c r="BR1418" s="314"/>
      <c r="BS1418" s="314"/>
      <c r="BT1418" s="314"/>
      <c r="BU1418" s="314"/>
      <c r="BV1418" s="314"/>
      <c r="BW1418" s="314"/>
      <c r="BX1418" s="314"/>
      <c r="BY1418" s="314"/>
      <c r="BZ1418" s="314"/>
      <c r="CA1418" s="314"/>
      <c r="CB1418" s="314"/>
      <c r="CC1418" s="314"/>
      <c r="CD1418" s="314"/>
      <c r="CE1418" s="314"/>
      <c r="CF1418" s="314"/>
      <c r="CG1418" s="314"/>
      <c r="CH1418" s="314"/>
      <c r="CI1418" s="314"/>
      <c r="CJ1418" s="314"/>
      <c r="CK1418" s="314"/>
      <c r="CL1418" s="314"/>
      <c r="CM1418" s="314"/>
      <c r="CN1418" s="314"/>
      <c r="CO1418" s="314"/>
      <c r="CP1418" s="314"/>
      <c r="CQ1418" s="407" t="b">
        <f>OR(CQ1410,Y1418=EUconst_NA)</f>
        <v>0</v>
      </c>
    </row>
    <row r="1419" spans="1:95" ht="12.75" customHeight="1" thickBot="1" x14ac:dyDescent="0.3">
      <c r="A1419" s="307"/>
      <c r="B1419" s="68"/>
      <c r="C1419" s="199" t="s">
        <v>165</v>
      </c>
      <c r="D1419" s="344" t="str">
        <f>Translations!$B$618</f>
        <v>non-sust. SLCF:</v>
      </c>
      <c r="E1419" s="441"/>
      <c r="F1419" s="20" t="s">
        <v>158</v>
      </c>
      <c r="G1419" s="1261"/>
      <c r="H1419" s="1262"/>
      <c r="I1419" s="422" t="str">
        <f t="shared" si="437"/>
        <v/>
      </c>
      <c r="J1419" s="423"/>
      <c r="K1419" s="443"/>
      <c r="L1419" s="56"/>
      <c r="M1419" s="347" t="str">
        <f>IF(AND(E1405&lt;&gt;"",OR(F1419="",COUNT(L1419)=0),Y1419&lt;&gt;EUconst_NA),EUconst_ERR_Incomplete,"")</f>
        <v/>
      </c>
      <c r="N1419" s="76"/>
      <c r="O1419" s="160"/>
      <c r="P1419" s="348"/>
      <c r="Q1419" s="413"/>
      <c r="R1419" s="413"/>
      <c r="S1419" s="314"/>
      <c r="T1419" s="425" t="str">
        <f>EUconst_CNTR_RFNBOetcContent&amp;E1405</f>
        <v>RNFBOC_</v>
      </c>
      <c r="U1419" s="312"/>
      <c r="V1419" s="312"/>
      <c r="W1419" s="312"/>
      <c r="X1419" s="312"/>
      <c r="Y1419" s="438" t="str">
        <f>IF(E1405="","",IF(OR(F1419=EUconst_NA,W1419=TRUE),EUconst_NA,INDEX(EUwideConstants!$P$164:$P$200,MATCH(T1419,EUwideConstants!$S$164:$S$200,0))))</f>
        <v/>
      </c>
      <c r="Z1419" s="314"/>
      <c r="AA1419" s="314"/>
      <c r="AB1419" s="314"/>
      <c r="AC1419" s="429" t="b">
        <f>AND(AC1414,Y1419&lt;&gt;EUconst_NA)</f>
        <v>0</v>
      </c>
      <c r="AD1419" s="314"/>
      <c r="AE1419" s="430"/>
      <c r="AF1419" s="431"/>
      <c r="AG1419" s="432"/>
      <c r="AH1419" s="433"/>
      <c r="AI1419" s="433"/>
      <c r="AJ1419" s="433"/>
      <c r="AK1419" s="434"/>
      <c r="AL1419" s="326"/>
      <c r="AM1419" s="326"/>
      <c r="AN1419" s="326"/>
      <c r="AO1419" s="326"/>
      <c r="AP1419" s="326"/>
      <c r="AQ1419" s="435" t="s">
        <v>159</v>
      </c>
      <c r="AR1419" s="430"/>
      <c r="AS1419" s="436" t="str">
        <f t="shared" si="438"/>
        <v/>
      </c>
      <c r="AT1419" s="437"/>
      <c r="AU1419" s="438" t="str">
        <f t="shared" si="439"/>
        <v/>
      </c>
      <c r="AV1419" s="429">
        <f t="shared" si="440"/>
        <v>0</v>
      </c>
      <c r="AW1419" s="407" t="b">
        <f t="shared" si="432"/>
        <v>0</v>
      </c>
      <c r="AX1419" s="439" t="b">
        <f t="shared" si="433"/>
        <v>0</v>
      </c>
      <c r="AY1419" s="314"/>
      <c r="AZ1419" s="408" t="b">
        <f t="shared" si="434"/>
        <v>0</v>
      </c>
      <c r="BA1419" s="440" t="b">
        <f t="shared" si="435"/>
        <v>0</v>
      </c>
      <c r="BB1419" s="314"/>
      <c r="BC1419" s="407" t="b">
        <f t="shared" si="436"/>
        <v>0</v>
      </c>
      <c r="BD1419" s="407" t="b">
        <f>OR(AV1418&gt;100%,(AV1418+AV1419)&gt;100%)</f>
        <v>0</v>
      </c>
      <c r="BE1419" s="314"/>
      <c r="BF1419" s="408" t="s">
        <v>166</v>
      </c>
      <c r="BG1419" s="409" t="str">
        <f>IF(AN1410=EUconst_TJ,AV1410*AV1414,IF(AN1412=EUconst_GJ,AV1410*AV1412/1000*AV1414,""))</f>
        <v/>
      </c>
      <c r="BH1419" s="314"/>
      <c r="BI1419" s="314"/>
      <c r="BJ1419" s="314"/>
      <c r="BK1419" s="314"/>
      <c r="BL1419" s="314"/>
      <c r="BM1419" s="314"/>
      <c r="BN1419" s="314"/>
      <c r="BO1419" s="314"/>
      <c r="BP1419" s="314"/>
      <c r="BQ1419" s="314"/>
      <c r="BR1419" s="314"/>
      <c r="BS1419" s="314"/>
      <c r="BT1419" s="314"/>
      <c r="BU1419" s="314"/>
      <c r="BV1419" s="314"/>
      <c r="BW1419" s="314"/>
      <c r="BX1419" s="314"/>
      <c r="BY1419" s="314"/>
      <c r="BZ1419" s="314"/>
      <c r="CA1419" s="314"/>
      <c r="CB1419" s="314"/>
      <c r="CC1419" s="314"/>
      <c r="CD1419" s="314"/>
      <c r="CE1419" s="314"/>
      <c r="CF1419" s="314"/>
      <c r="CG1419" s="314"/>
      <c r="CH1419" s="314"/>
      <c r="CI1419" s="314"/>
      <c r="CJ1419" s="314"/>
      <c r="CK1419" s="314"/>
      <c r="CL1419" s="314"/>
      <c r="CM1419" s="314"/>
      <c r="CN1419" s="314"/>
      <c r="CO1419" s="314"/>
      <c r="CP1419" s="314"/>
      <c r="CQ1419" s="407" t="b">
        <f>OR(CQ1410,Y1419=EUconst_NA)</f>
        <v>0</v>
      </c>
    </row>
    <row r="1420" spans="1:95" ht="5.15" customHeight="1" thickBot="1" x14ac:dyDescent="0.3">
      <c r="A1420" s="307"/>
      <c r="B1420" s="68"/>
      <c r="C1420" s="68"/>
      <c r="D1420" s="205"/>
      <c r="E1420" s="76"/>
      <c r="F1420" s="76"/>
      <c r="G1420" s="76"/>
      <c r="H1420" s="76"/>
      <c r="I1420" s="76"/>
      <c r="J1420" s="76"/>
      <c r="K1420" s="76"/>
      <c r="L1420" s="76"/>
      <c r="M1420" s="453"/>
      <c r="N1420" s="76"/>
      <c r="O1420" s="160"/>
      <c r="P1420" s="109"/>
      <c r="Q1420" s="312"/>
      <c r="R1420" s="312"/>
      <c r="S1420" s="314"/>
      <c r="T1420" s="314"/>
      <c r="U1420" s="314"/>
      <c r="V1420" s="314"/>
      <c r="W1420" s="314"/>
      <c r="X1420" s="314"/>
      <c r="Y1420" s="314"/>
      <c r="Z1420" s="314"/>
      <c r="AA1420" s="314"/>
      <c r="AB1420" s="314"/>
      <c r="AC1420" s="314"/>
      <c r="AD1420" s="314"/>
      <c r="AE1420" s="314"/>
      <c r="AF1420" s="314"/>
      <c r="AG1420" s="314"/>
      <c r="AH1420" s="314"/>
      <c r="AI1420" s="314"/>
      <c r="AJ1420" s="314"/>
      <c r="AK1420" s="314"/>
      <c r="AL1420" s="314"/>
      <c r="AM1420" s="314"/>
      <c r="AN1420" s="314"/>
      <c r="AO1420" s="314"/>
      <c r="AP1420" s="314"/>
      <c r="AQ1420" s="314"/>
      <c r="AR1420" s="314"/>
      <c r="AS1420" s="314"/>
      <c r="AT1420" s="314"/>
      <c r="AU1420" s="314"/>
      <c r="AV1420" s="314"/>
      <c r="AW1420" s="314"/>
      <c r="AX1420" s="314"/>
      <c r="AY1420" s="314"/>
      <c r="AZ1420" s="314"/>
      <c r="BA1420" s="314"/>
      <c r="BB1420" s="314"/>
      <c r="BC1420" s="314"/>
      <c r="BD1420" s="314"/>
      <c r="BE1420" s="314"/>
      <c r="BF1420" s="314"/>
      <c r="BG1420" s="364"/>
      <c r="BH1420" s="314"/>
      <c r="BI1420" s="314"/>
      <c r="BJ1420" s="314"/>
      <c r="BK1420" s="314"/>
      <c r="BL1420" s="314"/>
      <c r="BM1420" s="314"/>
      <c r="BN1420" s="314"/>
      <c r="BO1420" s="314"/>
      <c r="BP1420" s="314"/>
      <c r="BQ1420" s="314"/>
      <c r="BR1420" s="314"/>
      <c r="BS1420" s="314"/>
      <c r="BT1420" s="314"/>
      <c r="BU1420" s="314"/>
      <c r="BV1420" s="314"/>
      <c r="BW1420" s="314"/>
      <c r="BX1420" s="314"/>
      <c r="BY1420" s="314"/>
      <c r="BZ1420" s="314"/>
      <c r="CA1420" s="314"/>
      <c r="CB1420" s="314"/>
      <c r="CC1420" s="314"/>
      <c r="CD1420" s="314"/>
      <c r="CE1420" s="314"/>
      <c r="CF1420" s="314"/>
      <c r="CG1420" s="314"/>
      <c r="CH1420" s="314"/>
      <c r="CI1420" s="314"/>
      <c r="CJ1420" s="314"/>
      <c r="CK1420" s="314"/>
      <c r="CL1420" s="314"/>
      <c r="CM1420" s="314"/>
      <c r="CN1420" s="314"/>
      <c r="CO1420" s="314"/>
      <c r="CP1420" s="314"/>
      <c r="CQ1420" s="314"/>
    </row>
    <row r="1421" spans="1:95" ht="12.75" customHeight="1" thickBot="1" x14ac:dyDescent="0.3">
      <c r="A1421" s="307"/>
      <c r="B1421" s="68"/>
      <c r="C1421" s="199" t="s">
        <v>167</v>
      </c>
      <c r="D1421" s="344" t="str">
        <f>Translations!$B$398</f>
        <v>Scope factor:</v>
      </c>
      <c r="E1421" s="454"/>
      <c r="F1421" s="992"/>
      <c r="G1421" s="1263"/>
      <c r="H1421" s="1264"/>
      <c r="I1421" s="455" t="s">
        <v>46</v>
      </c>
      <c r="J1421" s="456"/>
      <c r="K1421" s="457" t="str">
        <f>IF(L1421="",AU1421,"")</f>
        <v/>
      </c>
      <c r="L1421" s="16"/>
      <c r="M1421" s="458" t="str">
        <f>IF(AND(E1405&lt;&gt;"",OR(F1421="",G1421="",COUNT(K1421:L1421)=0)),EUconst_ERR_Incomplete,IF(COUNTIF(BB1421:BD1421,TRUE)&gt;0,EUconst_ERR_Inconsistent,""))</f>
        <v/>
      </c>
      <c r="N1421" s="76"/>
      <c r="O1421" s="160"/>
      <c r="P1421" s="109"/>
      <c r="Q1421" s="312"/>
      <c r="R1421" s="314"/>
      <c r="S1421" s="297"/>
      <c r="T1421" s="459" t="str">
        <f>EUconst_CNTR_ScopeFactor&amp;E1405</f>
        <v>ScopeFactor_</v>
      </c>
      <c r="U1421" s="231" t="str">
        <f>IF(F1421="","",INDEX(ScopeAddress,MATCH(F1421,ScopeTiers,0)))</f>
        <v/>
      </c>
      <c r="V1421" s="360" t="str">
        <f>V1410</f>
        <v/>
      </c>
      <c r="W1421" s="314"/>
      <c r="X1421" s="314"/>
      <c r="Y1421" s="460" t="str">
        <f>IF(E1405="","",IF(F1421=EUconst_NA,EUconst_NA,INDEX(EUwideConstants!$P$164:$P$200,MATCH(T1421,EUwideConstants!$S$164:$S$200,0))))</f>
        <v/>
      </c>
      <c r="Z1421" s="461" t="str">
        <f>IF(ISBLANK(F1421),"",IF(F1421=EUconst_NA,"",INDEX(EUwideConstants!$H:$O,MATCH(T1421,EUwideConstants!$S:$S,0),MATCH(F1421,CNTR_TierList,0))))</f>
        <v/>
      </c>
      <c r="AA1421" s="331" t="str">
        <f>IF(G1421=EUwideConstants!$A$89,1,"")</f>
        <v/>
      </c>
      <c r="AB1421" s="314"/>
      <c r="AC1421" s="331" t="b">
        <f>AND(AC1410,Y1421&lt;&gt;EUconst_NA)</f>
        <v>0</v>
      </c>
      <c r="AD1421" s="314"/>
      <c r="AE1421" s="314"/>
      <c r="AF1421" s="314"/>
      <c r="AG1421" s="319"/>
      <c r="AH1421" s="314"/>
      <c r="AI1421" s="314"/>
      <c r="AJ1421" s="314"/>
      <c r="AK1421" s="314"/>
      <c r="AL1421" s="314"/>
      <c r="AM1421" s="314"/>
      <c r="AN1421" s="314"/>
      <c r="AO1421" s="314"/>
      <c r="AP1421" s="314"/>
      <c r="AQ1421" s="314"/>
      <c r="AR1421" s="314"/>
      <c r="AS1421" s="328">
        <v>1</v>
      </c>
      <c r="AT1421" s="314"/>
      <c r="AU1421" s="319" t="str">
        <f>IF(G1421=EUwideConstants!$A$89,AS1421,"")</f>
        <v/>
      </c>
      <c r="AV1421" s="331">
        <f>IF(AC1421=TRUE,IF(COUNT(K1421:L1421)=0,0,IF(L1421="",K1421,L1421)),0)</f>
        <v>0</v>
      </c>
      <c r="AW1421" s="360" t="b">
        <f>AND(AC1421=TRUE,OR(AND(F1421&lt;&gt;"",NOT(ISNUMBER(AA1421))),L1421&lt;&gt;"",F1421="",AU1421=""))</f>
        <v>0</v>
      </c>
      <c r="AX1421" s="357" t="b">
        <f>AND(AC1421=TRUE,NOT(AW1421))</f>
        <v>0</v>
      </c>
      <c r="AY1421" s="314"/>
      <c r="AZ1421" s="361" t="b">
        <f>AND(ISNUMBER(AA1421),AU1421="")</f>
        <v>0</v>
      </c>
      <c r="BA1421" s="351" t="b">
        <f>AND(ISNUMBER(AA1421),AU1421&lt;&gt;AV1421)</f>
        <v>0</v>
      </c>
      <c r="BB1421" s="314"/>
      <c r="BC1421" s="360" t="b">
        <f>AND(F1421&lt;&gt;"",OR(COUNTIF(INDEX(ScopeMethods,F1421,),G1421)=0,AND(AA1421&lt;&gt;"",AU1421&lt;&gt;AV1421)))</f>
        <v>0</v>
      </c>
      <c r="BD1421" s="314"/>
      <c r="BE1421" s="314"/>
      <c r="BF1421" s="361" t="s">
        <v>168</v>
      </c>
      <c r="BG1421" s="362" t="str">
        <f>IF(AN1410=EUconst_TJ,AV1410*AV1416,IF(AN1412=EUconst_GJ,AV1410*AV1412/1000*AV1416,""))</f>
        <v/>
      </c>
      <c r="BH1421" s="314"/>
      <c r="BI1421" s="314"/>
      <c r="BJ1421" s="314"/>
      <c r="BK1421" s="314"/>
      <c r="BL1421" s="314"/>
      <c r="BM1421" s="314"/>
      <c r="BN1421" s="314"/>
      <c r="BO1421" s="314"/>
      <c r="BP1421" s="314"/>
      <c r="BQ1421" s="314"/>
      <c r="BR1421" s="314"/>
      <c r="BS1421" s="314"/>
      <c r="BT1421" s="314"/>
      <c r="BU1421" s="314"/>
      <c r="BV1421" s="314"/>
      <c r="BW1421" s="314"/>
      <c r="BX1421" s="314"/>
      <c r="BY1421" s="314"/>
      <c r="BZ1421" s="314"/>
      <c r="CA1421" s="314"/>
      <c r="CB1421" s="314"/>
      <c r="CC1421" s="314"/>
      <c r="CD1421" s="314"/>
      <c r="CE1421" s="314"/>
      <c r="CF1421" s="314"/>
      <c r="CG1421" s="314"/>
      <c r="CH1421" s="314"/>
      <c r="CI1421" s="314"/>
      <c r="CJ1421" s="314"/>
      <c r="CK1421" s="314"/>
      <c r="CL1421" s="314"/>
      <c r="CM1421" s="314"/>
      <c r="CN1421" s="314"/>
      <c r="CO1421" s="314"/>
      <c r="CP1421" s="314"/>
      <c r="CQ1421" s="314"/>
    </row>
    <row r="1422" spans="1:95" ht="12.75" customHeight="1" x14ac:dyDescent="0.25">
      <c r="A1422" s="307"/>
      <c r="B1422" s="68"/>
      <c r="C1422" s="68"/>
      <c r="D1422" s="68"/>
      <c r="E1422" s="68"/>
      <c r="F1422" s="68"/>
      <c r="G1422" s="1265" t="str">
        <f>IF(G1421="","",INDEX(ScopeMethodsDetails,MATCH(G1421,INDEX(ScopeMethodsDetails,,1),0),2))</f>
        <v/>
      </c>
      <c r="H1422" s="1266"/>
      <c r="I1422" s="1266"/>
      <c r="J1422" s="1266"/>
      <c r="K1422" s="1266"/>
      <c r="L1422" s="1266"/>
      <c r="M1422" s="1267"/>
      <c r="N1422" s="76"/>
      <c r="O1422" s="160"/>
      <c r="P1422" s="109"/>
      <c r="Q1422" s="312"/>
      <c r="R1422" s="312"/>
      <c r="S1422" s="314"/>
      <c r="T1422" s="314"/>
      <c r="U1422" s="314"/>
      <c r="V1422" s="314"/>
      <c r="W1422" s="314"/>
      <c r="X1422" s="314"/>
      <c r="Y1422" s="314"/>
      <c r="Z1422" s="314"/>
      <c r="AA1422" s="314"/>
      <c r="AB1422" s="314"/>
      <c r="AC1422" s="314"/>
      <c r="AD1422" s="314"/>
      <c r="AE1422" s="314"/>
      <c r="AF1422" s="314"/>
      <c r="AG1422" s="314"/>
      <c r="AH1422" s="314"/>
      <c r="AI1422" s="314"/>
      <c r="AJ1422" s="314"/>
      <c r="AK1422" s="314"/>
      <c r="AL1422" s="314"/>
      <c r="AM1422" s="314"/>
      <c r="AN1422" s="314"/>
      <c r="AO1422" s="314"/>
      <c r="AP1422" s="314"/>
      <c r="AQ1422" s="314"/>
      <c r="AR1422" s="314"/>
      <c r="AS1422" s="314"/>
      <c r="AT1422" s="314"/>
      <c r="AU1422" s="314"/>
      <c r="AV1422" s="314"/>
      <c r="AW1422" s="314"/>
      <c r="AX1422" s="314"/>
      <c r="AY1422" s="314"/>
      <c r="AZ1422" s="314"/>
      <c r="BA1422" s="314"/>
      <c r="BB1422" s="314"/>
      <c r="BC1422" s="314"/>
      <c r="BD1422" s="314"/>
      <c r="BE1422" s="314"/>
      <c r="BG1422" s="364"/>
      <c r="BH1422" s="314"/>
      <c r="BI1422" s="314"/>
      <c r="BJ1422" s="314"/>
      <c r="BK1422" s="314"/>
      <c r="BL1422" s="314"/>
      <c r="BM1422" s="314"/>
      <c r="BN1422" s="314"/>
      <c r="BO1422" s="314"/>
      <c r="BP1422" s="314"/>
      <c r="BQ1422" s="314"/>
      <c r="BR1422" s="314"/>
      <c r="BS1422" s="314"/>
      <c r="BT1422" s="314"/>
      <c r="BU1422" s="314"/>
      <c r="BV1422" s="314"/>
      <c r="BW1422" s="314"/>
      <c r="BX1422" s="314"/>
      <c r="BY1422" s="314"/>
      <c r="BZ1422" s="314"/>
      <c r="CA1422" s="314"/>
      <c r="CB1422" s="314"/>
      <c r="CC1422" s="314"/>
      <c r="CD1422" s="314"/>
      <c r="CE1422" s="314"/>
      <c r="CF1422" s="314"/>
      <c r="CG1422" s="314"/>
      <c r="CH1422" s="314"/>
      <c r="CI1422" s="314"/>
      <c r="CJ1422" s="314"/>
      <c r="CK1422" s="314"/>
      <c r="CL1422" s="314"/>
      <c r="CM1422" s="314"/>
      <c r="CN1422" s="314"/>
      <c r="CO1422" s="314"/>
      <c r="CP1422" s="314"/>
      <c r="CQ1422" s="314"/>
    </row>
    <row r="1423" spans="1:95" ht="5.15" customHeight="1" x14ac:dyDescent="0.25">
      <c r="A1423" s="307"/>
      <c r="C1423" s="76"/>
      <c r="D1423" s="76"/>
      <c r="E1423" s="76"/>
      <c r="F1423" s="76"/>
      <c r="G1423" s="76"/>
      <c r="H1423" s="76"/>
      <c r="I1423" s="76"/>
      <c r="J1423" s="76"/>
      <c r="K1423" s="76"/>
      <c r="L1423" s="76"/>
      <c r="O1423" s="160"/>
      <c r="P1423" s="109"/>
      <c r="Q1423" s="312"/>
      <c r="R1423" s="312"/>
      <c r="S1423" s="314"/>
      <c r="T1423" s="314"/>
      <c r="U1423" s="314"/>
      <c r="V1423" s="314"/>
      <c r="W1423" s="314"/>
      <c r="X1423" s="314"/>
      <c r="Y1423" s="314"/>
      <c r="Z1423" s="314"/>
      <c r="AA1423" s="314"/>
      <c r="AB1423" s="314"/>
      <c r="AC1423" s="314"/>
      <c r="AD1423" s="314"/>
      <c r="AE1423" s="314"/>
      <c r="AF1423" s="314"/>
      <c r="AG1423" s="314"/>
      <c r="AH1423" s="314"/>
      <c r="AI1423" s="314"/>
      <c r="AJ1423" s="314"/>
      <c r="AK1423" s="314"/>
      <c r="AL1423" s="314"/>
      <c r="AM1423" s="314"/>
      <c r="AN1423" s="314"/>
      <c r="AO1423" s="314"/>
      <c r="AP1423" s="314"/>
      <c r="AQ1423" s="314"/>
      <c r="AR1423" s="314"/>
      <c r="AS1423" s="314"/>
      <c r="AT1423" s="314"/>
      <c r="AU1423" s="314"/>
      <c r="AV1423" s="314"/>
      <c r="AW1423" s="314"/>
      <c r="AX1423" s="314"/>
      <c r="AY1423" s="314"/>
      <c r="AZ1423" s="314"/>
      <c r="BA1423" s="314"/>
      <c r="BB1423" s="314"/>
      <c r="BC1423" s="314"/>
      <c r="BD1423" s="314"/>
      <c r="BE1423" s="314"/>
      <c r="BG1423" s="364"/>
      <c r="BH1423" s="314"/>
      <c r="BI1423" s="314"/>
      <c r="BJ1423" s="314"/>
      <c r="BK1423" s="314"/>
      <c r="BL1423" s="314"/>
      <c r="BM1423" s="314"/>
      <c r="BN1423" s="314"/>
      <c r="BO1423" s="314"/>
      <c r="BP1423" s="314"/>
      <c r="BQ1423" s="314"/>
      <c r="BR1423" s="314"/>
      <c r="BS1423" s="314"/>
      <c r="BT1423" s="314"/>
      <c r="BU1423" s="314"/>
      <c r="BV1423" s="314"/>
      <c r="BW1423" s="314"/>
      <c r="BX1423" s="314"/>
      <c r="BY1423" s="314"/>
      <c r="BZ1423" s="314"/>
      <c r="CA1423" s="314"/>
      <c r="CB1423" s="314"/>
      <c r="CC1423" s="314"/>
      <c r="CD1423" s="314"/>
      <c r="CE1423" s="314"/>
      <c r="CF1423" s="314"/>
      <c r="CG1423" s="314"/>
      <c r="CH1423" s="314"/>
      <c r="CI1423" s="314"/>
      <c r="CJ1423" s="314"/>
      <c r="CK1423" s="314"/>
      <c r="CL1423" s="314"/>
      <c r="CM1423" s="314"/>
      <c r="CN1423" s="314"/>
      <c r="CO1423" s="314"/>
      <c r="CP1423" s="314"/>
      <c r="CQ1423" s="314"/>
    </row>
    <row r="1424" spans="1:95" ht="12.75" customHeight="1" thickBot="1" x14ac:dyDescent="0.3">
      <c r="A1424" s="307"/>
      <c r="C1424" s="76"/>
      <c r="D1424" s="76"/>
      <c r="E1424" s="76"/>
      <c r="F1424" s="76"/>
      <c r="G1424" s="1268">
        <v>1</v>
      </c>
      <c r="H1424" s="1268"/>
      <c r="I1424" s="1268">
        <v>2</v>
      </c>
      <c r="J1424" s="1268"/>
      <c r="K1424" s="1268">
        <v>3</v>
      </c>
      <c r="L1424" s="1268"/>
      <c r="O1424" s="160"/>
      <c r="P1424" s="109"/>
      <c r="Q1424" s="312"/>
      <c r="R1424" s="312"/>
      <c r="S1424" s="314"/>
      <c r="T1424" s="314"/>
      <c r="U1424" s="314"/>
      <c r="V1424" s="314"/>
      <c r="W1424" s="314"/>
      <c r="X1424" s="314"/>
      <c r="Y1424" s="314"/>
      <c r="Z1424" s="314"/>
      <c r="AA1424" s="314"/>
      <c r="AB1424" s="314"/>
      <c r="AC1424" s="314"/>
      <c r="AD1424" s="314"/>
      <c r="AE1424" s="314"/>
      <c r="AF1424" s="314"/>
      <c r="AG1424" s="314"/>
      <c r="AH1424" s="314"/>
      <c r="AI1424" s="314"/>
      <c r="AJ1424" s="314"/>
      <c r="AK1424" s="314"/>
      <c r="AL1424" s="314"/>
      <c r="AM1424" s="314"/>
      <c r="AN1424" s="314"/>
      <c r="AO1424" s="314"/>
      <c r="AP1424" s="314"/>
      <c r="AQ1424" s="314"/>
      <c r="AR1424" s="314"/>
      <c r="AS1424" s="314"/>
      <c r="AT1424" s="314"/>
      <c r="AU1424" s="314"/>
      <c r="AV1424" s="314"/>
      <c r="AW1424" s="314"/>
      <c r="AX1424" s="314"/>
      <c r="AY1424" s="314"/>
      <c r="AZ1424" s="314"/>
      <c r="BA1424" s="314"/>
      <c r="BB1424" s="314"/>
      <c r="BC1424" s="314"/>
      <c r="BD1424" s="314"/>
      <c r="BE1424" s="314"/>
      <c r="BF1424" s="314"/>
      <c r="BG1424" s="364"/>
      <c r="BH1424" s="314"/>
      <c r="BI1424" s="314"/>
      <c r="BJ1424" s="314"/>
      <c r="BK1424" s="314"/>
      <c r="BL1424" s="314"/>
      <c r="BM1424" s="314"/>
      <c r="BN1424" s="314"/>
      <c r="BO1424" s="314"/>
      <c r="BP1424" s="314"/>
      <c r="BQ1424" s="314"/>
      <c r="BR1424" s="314"/>
      <c r="BS1424" s="314"/>
      <c r="BT1424" s="314"/>
      <c r="BU1424" s="314"/>
      <c r="BV1424" s="314"/>
      <c r="BW1424" s="314"/>
      <c r="BX1424" s="314"/>
      <c r="BY1424" s="314"/>
      <c r="BZ1424" s="314"/>
      <c r="CA1424" s="314"/>
      <c r="CB1424" s="314"/>
      <c r="CC1424" s="314"/>
      <c r="CD1424" s="314"/>
      <c r="CE1424" s="314"/>
      <c r="CF1424" s="314"/>
      <c r="CG1424" s="314"/>
      <c r="CH1424" s="314"/>
      <c r="CI1424" s="314"/>
      <c r="CJ1424" s="314"/>
      <c r="CK1424" s="314"/>
      <c r="CL1424" s="314"/>
      <c r="CM1424" s="314"/>
      <c r="CN1424" s="314"/>
      <c r="CO1424" s="314"/>
      <c r="CP1424" s="314"/>
      <c r="CQ1424" s="314"/>
    </row>
    <row r="1425" spans="1:95" ht="12.75" customHeight="1" thickBot="1" x14ac:dyDescent="0.3">
      <c r="A1425" s="462"/>
      <c r="B1425" s="76"/>
      <c r="C1425" s="76"/>
      <c r="D1425" s="1246" t="str">
        <f>Translations!$B$372</f>
        <v>Consumers' CRF category:</v>
      </c>
      <c r="E1425" s="1246"/>
      <c r="F1425" s="1247"/>
      <c r="G1425" s="1248"/>
      <c r="H1425" s="1249"/>
      <c r="I1425" s="1248"/>
      <c r="J1425" s="1249"/>
      <c r="K1425" s="1248"/>
      <c r="L1425" s="1249"/>
      <c r="M1425" s="463" t="str">
        <f>IF(AND(E1404&lt;&gt;"",COUNTA(G1425:L1425)=0,AX1425=FALSE),EUconst_ERR_Incomplete,"")</f>
        <v/>
      </c>
      <c r="N1425" s="76"/>
      <c r="O1425" s="160"/>
      <c r="P1425" s="109"/>
      <c r="Q1425" s="312"/>
      <c r="R1425" s="312"/>
      <c r="S1425" s="314"/>
      <c r="T1425" s="314"/>
      <c r="U1425" s="314"/>
      <c r="V1425" s="314"/>
      <c r="W1425" s="314"/>
      <c r="X1425" s="314"/>
      <c r="Y1425" s="314"/>
      <c r="Z1425" s="314"/>
      <c r="AA1425" s="314"/>
      <c r="AB1425" s="314"/>
      <c r="AC1425" s="314"/>
      <c r="AD1425" s="314"/>
      <c r="AE1425" s="314"/>
      <c r="AF1425" s="314"/>
      <c r="AG1425" s="314"/>
      <c r="AH1425" s="314"/>
      <c r="AI1425" s="314"/>
      <c r="AJ1425" s="314"/>
      <c r="AK1425" s="314"/>
      <c r="AL1425" s="314"/>
      <c r="AM1425" s="314"/>
      <c r="AN1425" s="314"/>
      <c r="AO1425" s="314"/>
      <c r="AP1425" s="314"/>
      <c r="AQ1425" s="314"/>
      <c r="AR1425" s="314"/>
      <c r="AS1425" s="314"/>
      <c r="AT1425" s="314"/>
      <c r="AU1425" s="314"/>
      <c r="AV1425" s="314"/>
      <c r="AW1425" s="314"/>
      <c r="AX1425" s="464" t="b">
        <f>AND(AV1421&lt;&gt;"",SUM(AV1421=1))</f>
        <v>0</v>
      </c>
      <c r="AY1425" s="314"/>
      <c r="AZ1425" s="314"/>
      <c r="BA1425" s="314"/>
      <c r="BB1425" s="314"/>
      <c r="BC1425" s="314"/>
      <c r="BD1425" s="314"/>
      <c r="BE1425" s="314"/>
      <c r="BF1425" s="361" t="s">
        <v>169</v>
      </c>
      <c r="BG1425" s="362" t="str">
        <f>IF(AN1410=EUconst_TJ,AV1410*AV1418,IF(AN1412=EUconst_GJ,AV1410*AV1412/1000*AV1418,""))</f>
        <v/>
      </c>
      <c r="BH1425" s="314"/>
      <c r="BI1425" s="314"/>
      <c r="BJ1425" s="314"/>
      <c r="BK1425" s="314"/>
      <c r="BL1425" s="314"/>
      <c r="BM1425" s="314"/>
      <c r="BN1425" s="314"/>
      <c r="BO1425" s="314"/>
      <c r="BP1425" s="314"/>
      <c r="BQ1425" s="314"/>
      <c r="BR1425" s="314"/>
      <c r="BS1425" s="314"/>
      <c r="BT1425" s="314"/>
      <c r="BU1425" s="314"/>
      <c r="BV1425" s="314"/>
      <c r="BW1425" s="314"/>
      <c r="BX1425" s="314"/>
      <c r="BY1425" s="314"/>
      <c r="BZ1425" s="314"/>
      <c r="CA1425" s="314"/>
      <c r="CB1425" s="314"/>
      <c r="CC1425" s="314"/>
      <c r="CD1425" s="314"/>
      <c r="CE1425" s="314"/>
      <c r="CF1425" s="314"/>
      <c r="CG1425" s="314"/>
      <c r="CH1425" s="314"/>
      <c r="CI1425" s="314"/>
      <c r="CJ1425" s="314"/>
      <c r="CK1425" s="314"/>
      <c r="CL1425" s="314"/>
      <c r="CM1425" s="314"/>
      <c r="CN1425" s="314"/>
      <c r="CO1425" s="314"/>
      <c r="CP1425" s="314"/>
      <c r="CQ1425" s="314"/>
    </row>
    <row r="1426" spans="1:95" ht="5.15" customHeight="1" x14ac:dyDescent="0.25">
      <c r="A1426" s="307"/>
      <c r="B1426" s="68"/>
      <c r="C1426" s="68"/>
      <c r="D1426" s="68"/>
      <c r="E1426" s="68"/>
      <c r="F1426" s="68"/>
      <c r="G1426" s="76"/>
      <c r="H1426" s="76"/>
      <c r="I1426" s="76"/>
      <c r="J1426" s="76"/>
      <c r="K1426" s="76"/>
      <c r="L1426" s="76"/>
      <c r="M1426" s="76"/>
      <c r="N1426" s="76"/>
      <c r="O1426" s="160"/>
      <c r="P1426" s="109"/>
      <c r="Q1426" s="312"/>
      <c r="R1426" s="312"/>
      <c r="S1426" s="314"/>
      <c r="T1426" s="314"/>
      <c r="U1426" s="314"/>
      <c r="V1426" s="314"/>
      <c r="W1426" s="314"/>
      <c r="X1426" s="314"/>
      <c r="Y1426" s="314"/>
      <c r="Z1426" s="314"/>
      <c r="AA1426" s="314"/>
      <c r="AB1426" s="314"/>
      <c r="AC1426" s="314"/>
      <c r="AD1426" s="314"/>
      <c r="AE1426" s="314"/>
      <c r="AF1426" s="314"/>
      <c r="AG1426" s="314"/>
      <c r="AH1426" s="314"/>
      <c r="AI1426" s="314"/>
      <c r="AJ1426" s="314"/>
      <c r="AK1426" s="314"/>
      <c r="AL1426" s="314"/>
      <c r="AM1426" s="314"/>
      <c r="AN1426" s="314"/>
      <c r="AO1426" s="314"/>
      <c r="AP1426" s="314"/>
      <c r="AQ1426" s="314"/>
      <c r="AR1426" s="314"/>
      <c r="AS1426" s="314"/>
      <c r="AT1426" s="314"/>
      <c r="AU1426" s="314"/>
      <c r="AV1426" s="314"/>
      <c r="AW1426" s="314"/>
      <c r="AX1426" s="314"/>
      <c r="AY1426" s="314"/>
      <c r="AZ1426" s="314"/>
      <c r="BA1426" s="314"/>
      <c r="BB1426" s="314"/>
      <c r="BC1426" s="314"/>
      <c r="BD1426" s="314"/>
      <c r="BE1426" s="314"/>
      <c r="BF1426" s="314"/>
      <c r="BG1426" s="314"/>
      <c r="BH1426" s="314"/>
      <c r="BI1426" s="314"/>
      <c r="BJ1426" s="314"/>
      <c r="BK1426" s="314"/>
      <c r="BL1426" s="314"/>
      <c r="BM1426" s="314"/>
      <c r="BN1426" s="314"/>
      <c r="BO1426" s="314"/>
      <c r="BP1426" s="314"/>
      <c r="BQ1426" s="314"/>
      <c r="BR1426" s="314"/>
      <c r="BS1426" s="314"/>
      <c r="BT1426" s="314"/>
      <c r="BU1426" s="314"/>
      <c r="BV1426" s="314"/>
      <c r="BW1426" s="314"/>
      <c r="BX1426" s="314"/>
      <c r="BY1426" s="314"/>
      <c r="BZ1426" s="314"/>
      <c r="CA1426" s="314"/>
      <c r="CB1426" s="314"/>
      <c r="CC1426" s="314"/>
      <c r="CD1426" s="314"/>
      <c r="CE1426" s="314"/>
      <c r="CF1426" s="314"/>
      <c r="CG1426" s="314"/>
      <c r="CH1426" s="314"/>
      <c r="CI1426" s="314"/>
      <c r="CJ1426" s="314"/>
      <c r="CK1426" s="314"/>
      <c r="CL1426" s="314"/>
      <c r="CM1426" s="314"/>
      <c r="CN1426" s="314"/>
      <c r="CO1426" s="314"/>
      <c r="CP1426" s="314"/>
      <c r="CQ1426" s="314"/>
    </row>
    <row r="1427" spans="1:95" ht="12.75" customHeight="1" x14ac:dyDescent="0.25">
      <c r="A1427" s="307"/>
      <c r="B1427" s="68"/>
      <c r="C1427" s="68"/>
      <c r="D1427" s="1246" t="str">
        <f>Translations!$B$399</f>
        <v>Tiers valid from:</v>
      </c>
      <c r="E1427" s="1246"/>
      <c r="F1427" s="1247"/>
      <c r="G1427" s="8"/>
      <c r="H1427" s="199" t="str">
        <f>Translations!$B$400</f>
        <v>until:</v>
      </c>
      <c r="I1427" s="8"/>
      <c r="J1427" s="76"/>
      <c r="K1427" s="76"/>
      <c r="L1427" s="76"/>
      <c r="M1427" s="199" t="str">
        <f>Translations!$B$401</f>
        <v>ID used in the monitoring plan for this fuel stream:</v>
      </c>
      <c r="N1427" s="9"/>
      <c r="O1427" s="160"/>
      <c r="P1427" s="109"/>
      <c r="Q1427" s="312"/>
      <c r="R1427" s="312"/>
      <c r="S1427" s="465"/>
      <c r="T1427" s="314"/>
      <c r="U1427" s="314"/>
      <c r="V1427" s="314"/>
      <c r="W1427" s="314"/>
      <c r="X1427" s="314"/>
      <c r="Y1427" s="314"/>
      <c r="Z1427" s="314"/>
      <c r="AA1427" s="314"/>
      <c r="AB1427" s="314"/>
      <c r="AC1427" s="314"/>
      <c r="AD1427" s="314"/>
      <c r="AE1427" s="314"/>
      <c r="AF1427" s="314"/>
      <c r="AG1427" s="314"/>
      <c r="AH1427" s="314"/>
      <c r="AI1427" s="314"/>
      <c r="AJ1427" s="314"/>
      <c r="AK1427" s="314"/>
      <c r="AL1427" s="314"/>
      <c r="AM1427" s="314"/>
      <c r="AN1427" s="314"/>
      <c r="AO1427" s="314"/>
      <c r="AP1427" s="314"/>
      <c r="AQ1427" s="314"/>
      <c r="AR1427" s="314"/>
      <c r="AS1427" s="314"/>
      <c r="AT1427" s="314"/>
      <c r="AU1427" s="314"/>
      <c r="AV1427" s="314"/>
      <c r="AW1427" s="314"/>
      <c r="AX1427" s="314"/>
      <c r="AY1427" s="314"/>
      <c r="AZ1427" s="314"/>
      <c r="BA1427" s="314"/>
      <c r="BB1427" s="314"/>
      <c r="BC1427" s="314"/>
      <c r="BD1427" s="314"/>
      <c r="BE1427" s="314"/>
      <c r="BF1427" s="314"/>
      <c r="BG1427" s="314"/>
      <c r="BH1427" s="314"/>
      <c r="BI1427" s="314"/>
      <c r="BJ1427" s="314"/>
      <c r="BK1427" s="314"/>
      <c r="BL1427" s="314"/>
      <c r="BM1427" s="314"/>
      <c r="BN1427" s="314"/>
      <c r="BO1427" s="314"/>
      <c r="BP1427" s="314"/>
      <c r="BQ1427" s="314"/>
      <c r="BR1427" s="314"/>
      <c r="BS1427" s="314"/>
      <c r="BT1427" s="314"/>
      <c r="BU1427" s="314"/>
      <c r="BV1427" s="314"/>
      <c r="BW1427" s="314"/>
      <c r="BX1427" s="314"/>
      <c r="BY1427" s="314"/>
      <c r="BZ1427" s="314"/>
      <c r="CA1427" s="314"/>
      <c r="CB1427" s="314"/>
      <c r="CC1427" s="314"/>
      <c r="CD1427" s="314"/>
      <c r="CE1427" s="314"/>
      <c r="CF1427" s="314"/>
      <c r="CG1427" s="314"/>
      <c r="CH1427" s="314"/>
      <c r="CI1427" s="314"/>
      <c r="CJ1427" s="314"/>
      <c r="CK1427" s="314"/>
      <c r="CL1427" s="314"/>
      <c r="CM1427" s="314"/>
      <c r="CN1427" s="314"/>
      <c r="CO1427" s="314"/>
      <c r="CP1427" s="314"/>
      <c r="CQ1427" s="464" t="b">
        <f>CQ1410</f>
        <v>0</v>
      </c>
    </row>
    <row r="1428" spans="1:95" ht="5.15" customHeight="1" x14ac:dyDescent="0.25">
      <c r="A1428" s="462"/>
      <c r="B1428" s="76"/>
      <c r="C1428" s="76"/>
      <c r="D1428" s="76"/>
      <c r="E1428" s="76"/>
      <c r="F1428" s="76"/>
      <c r="G1428" s="76"/>
      <c r="H1428" s="76"/>
      <c r="I1428" s="76"/>
      <c r="J1428" s="76"/>
      <c r="K1428" s="76"/>
      <c r="L1428" s="76"/>
      <c r="M1428" s="76"/>
      <c r="N1428" s="76"/>
      <c r="O1428" s="160"/>
      <c r="P1428" s="109"/>
      <c r="Q1428" s="312"/>
      <c r="R1428" s="312"/>
      <c r="S1428" s="314"/>
      <c r="T1428" s="314"/>
      <c r="U1428" s="314"/>
      <c r="V1428" s="314"/>
      <c r="W1428" s="314"/>
      <c r="X1428" s="314"/>
      <c r="Y1428" s="314"/>
      <c r="Z1428" s="314"/>
      <c r="AA1428" s="314"/>
      <c r="AB1428" s="314"/>
      <c r="AC1428" s="314"/>
      <c r="AD1428" s="314"/>
      <c r="AE1428" s="314"/>
      <c r="AF1428" s="314"/>
      <c r="AG1428" s="314"/>
      <c r="AH1428" s="314"/>
      <c r="AI1428" s="314"/>
      <c r="AJ1428" s="314"/>
      <c r="AK1428" s="314"/>
      <c r="AL1428" s="314"/>
      <c r="AM1428" s="314"/>
      <c r="AN1428" s="314"/>
      <c r="AO1428" s="314"/>
      <c r="AP1428" s="314"/>
      <c r="AQ1428" s="314"/>
      <c r="AR1428" s="314"/>
      <c r="AS1428" s="314"/>
      <c r="AT1428" s="314"/>
      <c r="AU1428" s="314"/>
      <c r="AV1428" s="314"/>
      <c r="AW1428" s="314"/>
      <c r="AX1428" s="314"/>
      <c r="AY1428" s="314"/>
      <c r="AZ1428" s="314"/>
      <c r="BA1428" s="314"/>
      <c r="BB1428" s="314"/>
      <c r="BC1428" s="314"/>
      <c r="BD1428" s="314"/>
      <c r="BE1428" s="314"/>
      <c r="BF1428" s="314"/>
      <c r="BG1428" s="314"/>
      <c r="BH1428" s="314"/>
      <c r="BI1428" s="314"/>
      <c r="BJ1428" s="314"/>
      <c r="BK1428" s="314"/>
      <c r="BL1428" s="314"/>
      <c r="BM1428" s="314"/>
      <c r="BN1428" s="314"/>
      <c r="BO1428" s="314"/>
      <c r="BP1428" s="314"/>
      <c r="BQ1428" s="314"/>
      <c r="BR1428" s="314"/>
      <c r="BS1428" s="314"/>
      <c r="BT1428" s="314"/>
      <c r="BU1428" s="314"/>
      <c r="BV1428" s="314"/>
      <c r="BW1428" s="314"/>
      <c r="BX1428" s="314"/>
      <c r="BY1428" s="314"/>
      <c r="BZ1428" s="314"/>
      <c r="CA1428" s="314"/>
      <c r="CB1428" s="314"/>
      <c r="CC1428" s="314"/>
      <c r="CD1428" s="314"/>
      <c r="CE1428" s="314"/>
      <c r="CF1428" s="314"/>
      <c r="CG1428" s="314"/>
      <c r="CH1428" s="314"/>
      <c r="CI1428" s="314"/>
      <c r="CJ1428" s="314"/>
      <c r="CK1428" s="314"/>
      <c r="CL1428" s="314"/>
      <c r="CM1428" s="314"/>
      <c r="CN1428" s="314"/>
      <c r="CO1428" s="314"/>
      <c r="CP1428" s="314"/>
      <c r="CQ1428" s="314"/>
    </row>
    <row r="1429" spans="1:95" ht="12.75" customHeight="1" x14ac:dyDescent="0.25">
      <c r="A1429" s="462"/>
      <c r="B1429" s="76"/>
      <c r="C1429" s="76"/>
      <c r="D1429" s="115"/>
      <c r="E1429" s="85"/>
      <c r="F1429" s="466" t="str">
        <f>Translations!$B$304</f>
        <v>Comments:</v>
      </c>
      <c r="G1429" s="1250"/>
      <c r="H1429" s="1251"/>
      <c r="I1429" s="1251"/>
      <c r="J1429" s="1251"/>
      <c r="K1429" s="1251"/>
      <c r="L1429" s="1251"/>
      <c r="M1429" s="1251"/>
      <c r="N1429" s="1252"/>
      <c r="O1429" s="160"/>
      <c r="P1429" s="109"/>
      <c r="Q1429" s="312"/>
      <c r="R1429" s="312"/>
      <c r="S1429" s="314"/>
      <c r="T1429" s="314"/>
      <c r="U1429" s="314"/>
      <c r="V1429" s="314"/>
      <c r="W1429" s="314"/>
      <c r="X1429" s="314"/>
      <c r="Y1429" s="314"/>
      <c r="Z1429" s="314"/>
      <c r="AA1429" s="314"/>
      <c r="AB1429" s="314"/>
      <c r="AC1429" s="314"/>
      <c r="AD1429" s="314"/>
      <c r="AE1429" s="314"/>
      <c r="AF1429" s="314"/>
      <c r="AG1429" s="314"/>
      <c r="AH1429" s="314"/>
      <c r="AI1429" s="314"/>
      <c r="AJ1429" s="314"/>
      <c r="AK1429" s="314"/>
      <c r="AL1429" s="314"/>
      <c r="AM1429" s="314"/>
      <c r="AN1429" s="314"/>
      <c r="AO1429" s="314"/>
      <c r="AP1429" s="314"/>
      <c r="AQ1429" s="314"/>
      <c r="AR1429" s="314"/>
      <c r="AS1429" s="314"/>
      <c r="AT1429" s="314"/>
      <c r="AU1429" s="314"/>
      <c r="AV1429" s="314"/>
      <c r="AW1429" s="314"/>
      <c r="AX1429" s="314"/>
      <c r="AY1429" s="314"/>
      <c r="AZ1429" s="314"/>
      <c r="BA1429" s="314"/>
      <c r="BB1429" s="314"/>
      <c r="BC1429" s="314"/>
      <c r="BD1429" s="314"/>
      <c r="BE1429" s="314"/>
      <c r="BF1429" s="314"/>
      <c r="BG1429" s="314"/>
      <c r="BH1429" s="314"/>
      <c r="BI1429" s="314"/>
      <c r="BJ1429" s="314"/>
      <c r="BK1429" s="314"/>
      <c r="BL1429" s="314"/>
      <c r="BM1429" s="314"/>
      <c r="BN1429" s="314"/>
      <c r="BO1429" s="314"/>
      <c r="BP1429" s="314"/>
      <c r="BQ1429" s="314"/>
      <c r="BR1429" s="314"/>
      <c r="BS1429" s="314"/>
      <c r="BT1429" s="314"/>
      <c r="BU1429" s="314"/>
      <c r="BV1429" s="314"/>
      <c r="BW1429" s="314"/>
      <c r="BX1429" s="314"/>
      <c r="BY1429" s="314"/>
      <c r="BZ1429" s="314"/>
      <c r="CA1429" s="314"/>
      <c r="CB1429" s="314"/>
      <c r="CC1429" s="314"/>
      <c r="CD1429" s="314"/>
      <c r="CE1429" s="314"/>
      <c r="CF1429" s="314"/>
      <c r="CG1429" s="314"/>
      <c r="CH1429" s="314"/>
      <c r="CI1429" s="314"/>
      <c r="CJ1429" s="314"/>
      <c r="CK1429" s="314"/>
      <c r="CL1429" s="314"/>
      <c r="CM1429" s="314"/>
      <c r="CN1429" s="314"/>
      <c r="CO1429" s="314"/>
      <c r="CP1429" s="314"/>
      <c r="CQ1429" s="464" t="b">
        <f>CQ1427</f>
        <v>0</v>
      </c>
    </row>
    <row r="1430" spans="1:95" ht="12.75" customHeight="1" thickBot="1" x14ac:dyDescent="0.3">
      <c r="A1430" s="307"/>
      <c r="B1430" s="76"/>
      <c r="C1430" s="308"/>
      <c r="D1430" s="309"/>
      <c r="E1430" s="310"/>
      <c r="F1430" s="308"/>
      <c r="G1430" s="311"/>
      <c r="H1430" s="311"/>
      <c r="I1430" s="311"/>
      <c r="J1430" s="311"/>
      <c r="K1430" s="311"/>
      <c r="L1430" s="311"/>
      <c r="M1430" s="311"/>
      <c r="N1430" s="311"/>
      <c r="O1430" s="160"/>
      <c r="P1430" s="109"/>
      <c r="Q1430" s="312"/>
      <c r="R1430" s="312"/>
      <c r="S1430" s="293"/>
      <c r="T1430" s="293"/>
      <c r="U1430" s="313"/>
      <c r="V1430" s="293"/>
      <c r="W1430" s="293"/>
      <c r="X1430" s="313"/>
      <c r="Y1430" s="293"/>
      <c r="Z1430" s="293"/>
      <c r="AA1430" s="293"/>
      <c r="AB1430" s="293"/>
      <c r="AC1430" s="293"/>
      <c r="AD1430" s="293"/>
      <c r="AE1430" s="293"/>
      <c r="AF1430" s="293"/>
      <c r="AG1430" s="293"/>
      <c r="AH1430" s="293"/>
      <c r="AI1430" s="293"/>
      <c r="AJ1430" s="293"/>
      <c r="AK1430" s="293"/>
      <c r="AL1430" s="293"/>
      <c r="AM1430" s="293"/>
      <c r="AN1430" s="293"/>
      <c r="AO1430" s="293"/>
      <c r="AP1430" s="293"/>
      <c r="AQ1430" s="293"/>
      <c r="AR1430" s="293"/>
      <c r="AS1430" s="293"/>
      <c r="AT1430" s="293"/>
      <c r="AU1430" s="293"/>
      <c r="AV1430" s="293"/>
      <c r="AW1430" s="293"/>
      <c r="AX1430" s="293"/>
      <c r="AY1430" s="293"/>
      <c r="AZ1430" s="293"/>
      <c r="BA1430" s="293"/>
      <c r="BB1430" s="293"/>
      <c r="BC1430" s="293"/>
      <c r="BD1430" s="293"/>
      <c r="BE1430" s="293"/>
      <c r="BF1430" s="293"/>
      <c r="BG1430" s="293"/>
      <c r="BH1430" s="293"/>
      <c r="BI1430" s="293"/>
      <c r="BJ1430" s="293"/>
      <c r="BK1430" s="293"/>
      <c r="BL1430" s="293"/>
      <c r="BM1430" s="314"/>
      <c r="BN1430" s="314"/>
      <c r="BO1430" s="314"/>
      <c r="BP1430" s="314"/>
      <c r="BQ1430" s="314"/>
      <c r="BR1430" s="314"/>
      <c r="BS1430" s="314"/>
      <c r="BT1430" s="314"/>
      <c r="BU1430" s="293"/>
      <c r="BV1430" s="293"/>
      <c r="BW1430" s="293"/>
      <c r="BX1430" s="293"/>
      <c r="BY1430" s="293"/>
      <c r="BZ1430" s="293"/>
      <c r="CA1430" s="293"/>
      <c r="CB1430" s="293"/>
      <c r="CC1430" s="293"/>
      <c r="CD1430" s="293"/>
      <c r="CE1430" s="293"/>
      <c r="CF1430" s="293"/>
      <c r="CG1430" s="293"/>
      <c r="CH1430" s="293"/>
      <c r="CI1430" s="293"/>
      <c r="CJ1430" s="293"/>
      <c r="CK1430" s="293"/>
      <c r="CL1430" s="293"/>
      <c r="CM1430" s="293"/>
      <c r="CN1430" s="293"/>
      <c r="CO1430" s="293"/>
      <c r="CP1430" s="293"/>
      <c r="CQ1430" s="293"/>
    </row>
    <row r="1431" spans="1:95" ht="12.75" customHeight="1" thickBot="1" x14ac:dyDescent="0.3">
      <c r="A1431" s="315"/>
      <c r="B1431" s="76"/>
      <c r="C1431" s="76"/>
      <c r="D1431" s="205"/>
      <c r="E1431" s="316"/>
      <c r="F1431" s="76"/>
      <c r="G1431" s="96"/>
      <c r="H1431" s="96"/>
      <c r="I1431" s="96"/>
      <c r="J1431" s="96"/>
      <c r="K1431" s="76"/>
      <c r="L1431" s="96"/>
      <c r="M1431" s="96"/>
      <c r="N1431" s="96"/>
      <c r="O1431" s="160"/>
      <c r="P1431" s="109"/>
      <c r="Q1431" s="312"/>
      <c r="R1431" s="312"/>
      <c r="S1431" s="287"/>
      <c r="T1431" s="317" t="str">
        <f>IF(ISBLANK(E1432),"",MATCH(E1432,CNTR_SourceStreamNames,0))</f>
        <v/>
      </c>
      <c r="U1431" s="318" t="str">
        <f>IF(ISBLANK(E1432),"",INDEX(B_IdentifyFuelStreams!$D$67:$D$116,MATCH(E1432,CNTR_SourceStreamNames,0)))</f>
        <v/>
      </c>
      <c r="V1431" s="301"/>
      <c r="W1431" s="138"/>
      <c r="X1431" s="138"/>
      <c r="Y1431" s="138"/>
      <c r="Z1431" s="293"/>
      <c r="AA1431" s="293"/>
      <c r="AB1431" s="293"/>
      <c r="AC1431" s="293"/>
      <c r="AD1431" s="293"/>
      <c r="AE1431" s="293"/>
      <c r="AF1431" s="293"/>
      <c r="AG1431" s="293"/>
      <c r="AH1431" s="293"/>
      <c r="AI1431" s="293"/>
      <c r="AJ1431" s="293"/>
      <c r="AK1431" s="312"/>
      <c r="AL1431" s="293"/>
      <c r="AM1431" s="293"/>
      <c r="AN1431" s="293"/>
      <c r="AO1431" s="293"/>
      <c r="AP1431" s="293"/>
      <c r="AQ1431" s="293"/>
      <c r="AR1431" s="293"/>
      <c r="AS1431" s="293"/>
      <c r="AT1431" s="293"/>
      <c r="AU1431" s="293"/>
      <c r="AV1431" s="293"/>
      <c r="AW1431" s="293"/>
      <c r="AX1431" s="293"/>
      <c r="AY1431" s="293"/>
      <c r="AZ1431" s="293"/>
      <c r="BA1431" s="293"/>
      <c r="BB1431" s="293"/>
      <c r="BC1431" s="293"/>
      <c r="BD1431" s="293"/>
      <c r="BE1431" s="293"/>
      <c r="BF1431" s="293"/>
      <c r="BG1431" s="293"/>
      <c r="BH1431" s="293"/>
      <c r="BI1431" s="293"/>
      <c r="BJ1431" s="138"/>
      <c r="BK1431" s="138"/>
      <c r="BL1431" s="138"/>
      <c r="BM1431" s="138"/>
      <c r="BN1431" s="138"/>
      <c r="BO1431" s="138"/>
      <c r="BP1431" s="138"/>
      <c r="BQ1431" s="138"/>
      <c r="BR1431" s="138"/>
      <c r="BS1431" s="138"/>
      <c r="BT1431" s="138"/>
      <c r="BU1431" s="138"/>
      <c r="BV1431" s="138"/>
      <c r="BW1431" s="138"/>
      <c r="BX1431" s="138"/>
      <c r="BY1431" s="138"/>
      <c r="BZ1431" s="138"/>
      <c r="CA1431" s="138"/>
      <c r="CB1431" s="138"/>
      <c r="CC1431" s="138"/>
      <c r="CD1431" s="138"/>
      <c r="CE1431" s="138"/>
      <c r="CF1431" s="138"/>
      <c r="CG1431" s="138"/>
      <c r="CH1431" s="138"/>
      <c r="CI1431" s="138"/>
      <c r="CJ1431" s="138"/>
      <c r="CK1431" s="138"/>
      <c r="CL1431" s="138"/>
      <c r="CM1431" s="138"/>
      <c r="CN1431" s="138"/>
      <c r="CO1431" s="138"/>
      <c r="CP1431" s="138"/>
      <c r="CQ1431" s="319" t="s">
        <v>107</v>
      </c>
    </row>
    <row r="1432" spans="1:95" ht="15" customHeight="1" thickBot="1" x14ac:dyDescent="0.3">
      <c r="A1432" s="320">
        <f>C1432</f>
        <v>50</v>
      </c>
      <c r="B1432" s="68"/>
      <c r="C1432" s="321">
        <f>C1404+1</f>
        <v>50</v>
      </c>
      <c r="D1432" s="68"/>
      <c r="E1432" s="1269"/>
      <c r="F1432" s="1270"/>
      <c r="G1432" s="1270"/>
      <c r="H1432" s="1270"/>
      <c r="I1432" s="1270"/>
      <c r="J1432" s="1271"/>
      <c r="K1432" s="1272" t="str">
        <f>IF(INDEX(B_IdentifyFuelStreams!$K$125:$K$174,MATCH(U1431,B_IdentifyFuelStreams!$D$125:$D$174,0))&gt;0,INDEX(B_IdentifyFuelStreams!$K$125:$K$174,MATCH(U1431,B_IdentifyFuelStreams!$D$125:$D$174,0)),"")</f>
        <v/>
      </c>
      <c r="L1432" s="1273"/>
      <c r="M1432" s="316" t="str">
        <f>Translations!$B$621</f>
        <v>Emissions:</v>
      </c>
      <c r="N1432" s="322" t="str">
        <f>IF(E1433="","",BG1438)</f>
        <v/>
      </c>
      <c r="O1432" s="323" t="str">
        <f>EUconst_tCO2</f>
        <v>tCO2</v>
      </c>
      <c r="P1432" s="324" t="str">
        <f>IF(AND(E1432&lt;&gt;"",COUNTIF(P1433:$P$1649,"PRINT")=0),"PRINT","")</f>
        <v/>
      </c>
      <c r="Q1432" s="325" t="str">
        <f>EUconst_SumCO2</f>
        <v>SUM_CO2</v>
      </c>
      <c r="R1432" s="312"/>
      <c r="S1432" s="287"/>
      <c r="T1432" s="287"/>
      <c r="U1432" s="287"/>
      <c r="V1432" s="301"/>
      <c r="W1432" s="138"/>
      <c r="X1432" s="293"/>
      <c r="Y1432" s="293"/>
      <c r="Z1432" s="293"/>
      <c r="AA1432" s="293"/>
      <c r="AB1432" s="293"/>
      <c r="AC1432" s="293"/>
      <c r="AD1432" s="293"/>
      <c r="AE1432" s="293"/>
      <c r="AF1432" s="293"/>
      <c r="AG1432" s="293"/>
      <c r="AH1432" s="293"/>
      <c r="AI1432" s="326"/>
      <c r="AJ1432" s="326"/>
      <c r="AK1432" s="326"/>
      <c r="AL1432" s="326"/>
      <c r="AM1432" s="326"/>
      <c r="AN1432" s="326"/>
      <c r="AO1432" s="326"/>
      <c r="AP1432" s="326"/>
      <c r="AQ1432" s="326"/>
      <c r="AR1432" s="326"/>
      <c r="AS1432" s="326"/>
      <c r="AT1432" s="326"/>
      <c r="AU1432" s="326"/>
      <c r="AV1432" s="326"/>
      <c r="AW1432" s="326"/>
      <c r="AX1432" s="326"/>
      <c r="AY1432" s="326"/>
      <c r="AZ1432" s="326"/>
      <c r="BA1432" s="326"/>
      <c r="BB1432" s="326"/>
      <c r="BC1432" s="326"/>
      <c r="BD1432" s="326"/>
      <c r="BE1432" s="326"/>
      <c r="BF1432" s="326"/>
      <c r="BG1432" s="326"/>
      <c r="BH1432" s="326"/>
      <c r="BI1432" s="327" t="str">
        <f>IF(E1432="","",E1432)</f>
        <v/>
      </c>
      <c r="BJ1432" s="328" t="str">
        <f>IF(F1438="","",F1438)</f>
        <v/>
      </c>
      <c r="BK1432" s="329">
        <f>AV1438</f>
        <v>0</v>
      </c>
      <c r="BL1432" s="329">
        <f>IF(BK1432="","",BK1432*(1-BP1432))</f>
        <v>0</v>
      </c>
      <c r="BM1432" s="328" t="str">
        <f>AJ1438</f>
        <v/>
      </c>
      <c r="BN1432" s="328" t="str">
        <f>IF(F1449="","",F1449)</f>
        <v/>
      </c>
      <c r="BO1432" s="327" t="str">
        <f>IF(G1449="","",G1449)</f>
        <v/>
      </c>
      <c r="BP1432" s="330">
        <f>AV1449</f>
        <v>0</v>
      </c>
      <c r="BQ1432" s="328" t="str">
        <f>IF(F1441="","",F1441)</f>
        <v/>
      </c>
      <c r="BR1432" s="330">
        <f>AV1441</f>
        <v>0</v>
      </c>
      <c r="BS1432" s="330" t="str">
        <f>AJ1441</f>
        <v/>
      </c>
      <c r="BT1432" s="328" t="str">
        <f>IF(F1440="","",F1440)</f>
        <v/>
      </c>
      <c r="BU1432" s="330">
        <f>IF(F1440=EUconst_NA,"",AV1440)</f>
        <v>0</v>
      </c>
      <c r="BV1432" s="330" t="str">
        <f>AJ1440</f>
        <v/>
      </c>
      <c r="BW1432" s="328" t="str">
        <f>IF(F1442="","",F1442)</f>
        <v/>
      </c>
      <c r="BX1432" s="330">
        <f>AV1442</f>
        <v>0</v>
      </c>
      <c r="BY1432" s="328" t="str">
        <f>IF(F1443="","",F1443)</f>
        <v/>
      </c>
      <c r="BZ1432" s="330">
        <f>AV1443</f>
        <v>0</v>
      </c>
      <c r="CA1432" s="330">
        <f>AV1444</f>
        <v>0</v>
      </c>
      <c r="CB1432" s="330">
        <f>AV1445</f>
        <v>0</v>
      </c>
      <c r="CC1432" s="330">
        <f>AV1446</f>
        <v>0</v>
      </c>
      <c r="CD1432" s="330">
        <f>AV1447</f>
        <v>0</v>
      </c>
      <c r="CE1432" s="329" t="str">
        <f>BG1438</f>
        <v/>
      </c>
      <c r="CF1432" s="329" t="str">
        <f>BG1440</f>
        <v/>
      </c>
      <c r="CG1432" s="329" t="str">
        <f>BG1441</f>
        <v/>
      </c>
      <c r="CH1432" s="329" t="str">
        <f>BG1442</f>
        <v/>
      </c>
      <c r="CI1432" s="329" t="str">
        <f>BG1443</f>
        <v/>
      </c>
      <c r="CJ1432" s="329" t="str">
        <f>BG1444</f>
        <v/>
      </c>
      <c r="CK1432" s="329" t="str">
        <f>BG1445</f>
        <v/>
      </c>
      <c r="CL1432" s="329">
        <f>BG1446</f>
        <v>0</v>
      </c>
      <c r="CM1432" s="329" t="str">
        <f>BG1447</f>
        <v/>
      </c>
      <c r="CN1432" s="329" t="str">
        <f>BG1449</f>
        <v/>
      </c>
      <c r="CO1432" s="329" t="str">
        <f>BG1453</f>
        <v/>
      </c>
      <c r="CP1432" s="329" t="str">
        <f>IF(COUNTIF(AO1441:AO1442,TRUE)=0,"",BH1438)</f>
        <v/>
      </c>
      <c r="CQ1432" s="331" t="b">
        <v>0</v>
      </c>
    </row>
    <row r="1433" spans="1:95" ht="15" customHeight="1" thickBot="1" x14ac:dyDescent="0.3">
      <c r="A1433" s="307"/>
      <c r="B1433" s="68"/>
      <c r="C1433" s="68"/>
      <c r="D1433" s="68"/>
      <c r="E1433" s="1274" t="str">
        <f>IF(ISBLANK(E1432),"",IF(INDEX(B_IdentifyFuelStreams!$E$67:$E$116,MATCH(U1431,B_IdentifyFuelStreams!$D$67:$D$116,0))&gt;0,INDEX(B_IdentifyFuelStreams!$E$67:$E$116,MATCH(U1431,B_IdentifyFuelStreams!$D$67:$D$116,0)),""))</f>
        <v/>
      </c>
      <c r="F1433" s="1275"/>
      <c r="G1433" s="1275"/>
      <c r="H1433" s="1275"/>
      <c r="I1433" s="1275"/>
      <c r="J1433" s="1276"/>
      <c r="K1433" s="1272" t="str">
        <f>IF(INDEX(B_IdentifyFuelStreams!$M$125:$M$174,MATCH(U1431,B_IdentifyFuelStreams!$D$125:$D$174,0))&gt;0,INDEX(B_IdentifyFuelStreams!$M$125:$M$174,MATCH(U1431,B_IdentifyFuelStreams!$D$125:$D$174,0)),"")</f>
        <v/>
      </c>
      <c r="L1433" s="1273"/>
      <c r="M1433" s="332" t="str">
        <f>Translations!$B$622</f>
        <v>zero-rated:</v>
      </c>
      <c r="N1433" s="333" t="str">
        <f>IF(E1433="","",SUM(BG1440,BG1442,BG1444))</f>
        <v/>
      </c>
      <c r="O1433" s="334" t="str">
        <f>EUconst_tCO2</f>
        <v>tCO2</v>
      </c>
      <c r="P1433" s="109"/>
      <c r="Q1433" s="325" t="str">
        <f>EUconst_SumBioCO2</f>
        <v>SUM_bioCO2</v>
      </c>
      <c r="R1433" s="312"/>
      <c r="S1433" s="287"/>
      <c r="T1433" s="287"/>
      <c r="U1433" s="287"/>
      <c r="V1433" s="301"/>
      <c r="W1433" s="138"/>
      <c r="X1433" s="293"/>
      <c r="Y1433" s="317" t="str">
        <f>Translations!$B$143</f>
        <v>Tiers</v>
      </c>
      <c r="Z1433" s="314"/>
      <c r="AA1433" s="314"/>
      <c r="AB1433" s="314"/>
      <c r="AC1433" s="314"/>
      <c r="AD1433" s="314"/>
      <c r="AE1433" s="317" t="s">
        <v>108</v>
      </c>
      <c r="AF1433" s="293"/>
      <c r="AG1433" s="335"/>
      <c r="AH1433" s="314"/>
      <c r="AI1433" s="314"/>
      <c r="AJ1433" s="335"/>
      <c r="AK1433" s="335"/>
      <c r="AL1433" s="326"/>
      <c r="AM1433" s="326"/>
      <c r="AN1433" s="326"/>
      <c r="AO1433" s="326"/>
      <c r="AP1433" s="326"/>
      <c r="AQ1433" s="317" t="s">
        <v>109</v>
      </c>
      <c r="AR1433" s="336"/>
      <c r="AS1433" s="336"/>
      <c r="AT1433" s="314"/>
      <c r="AU1433" s="314"/>
      <c r="AV1433" s="314"/>
      <c r="AW1433" s="314"/>
      <c r="AX1433" s="314"/>
      <c r="AY1433" s="314"/>
      <c r="AZ1433" s="317" t="s">
        <v>110</v>
      </c>
      <c r="BA1433" s="314"/>
      <c r="BB1433" s="314"/>
      <c r="BC1433" s="314"/>
      <c r="BD1433" s="314"/>
      <c r="BE1433" s="314"/>
      <c r="BF1433" s="317" t="s">
        <v>111</v>
      </c>
      <c r="BG1433" s="314"/>
      <c r="BH1433" s="314"/>
      <c r="BI1433" s="317" t="s">
        <v>112</v>
      </c>
      <c r="BJ1433" s="328" t="str">
        <f>Translations!$B$376</f>
        <v>RFA Tier</v>
      </c>
      <c r="BK1433" s="328" t="str">
        <f>Translations!$B$377</f>
        <v>RFA</v>
      </c>
      <c r="BL1433" s="328" t="str">
        <f>Translations!$B$378</f>
        <v>RFA (in scope)</v>
      </c>
      <c r="BM1433" s="328" t="str">
        <f>Translations!$B$379</f>
        <v>RFA Unit</v>
      </c>
      <c r="BN1433" s="328" t="str">
        <f>Translations!$B$380</f>
        <v>SF Tier</v>
      </c>
      <c r="BO1433" s="328" t="str">
        <f>Translations!$B$380</f>
        <v>SF Tier</v>
      </c>
      <c r="BP1433" s="328" t="str">
        <f>Translations!$B$381</f>
        <v>SF</v>
      </c>
      <c r="BQ1433" s="328" t="str">
        <f>Translations!$B$382</f>
        <v>EF Tier</v>
      </c>
      <c r="BR1433" s="328" t="str">
        <f>Translations!$B$383</f>
        <v>EF</v>
      </c>
      <c r="BS1433" s="328" t="str">
        <f>Translations!$B$384</f>
        <v>EF Unit</v>
      </c>
      <c r="BT1433" s="328" t="str">
        <f>Translations!$B$385</f>
        <v>UCF Tier</v>
      </c>
      <c r="BU1433" s="328" t="str">
        <f>Translations!$B$386</f>
        <v>UCF</v>
      </c>
      <c r="BV1433" s="328" t="str">
        <f>Translations!$B$387</f>
        <v>UCF Unit</v>
      </c>
      <c r="BW1433" s="328" t="str">
        <f>Translations!$B$388</f>
        <v>Bio Tier</v>
      </c>
      <c r="BX1433" s="328" t="s">
        <v>113</v>
      </c>
      <c r="BY1433" s="328" t="str">
        <f>Translations!$B$389</f>
        <v>NonSustBio Tier</v>
      </c>
      <c r="BZ1433" s="328" t="s">
        <v>114</v>
      </c>
      <c r="CA1433" s="328" t="s">
        <v>115</v>
      </c>
      <c r="CB1433" s="328" t="s">
        <v>116</v>
      </c>
      <c r="CC1433" s="328" t="s">
        <v>117</v>
      </c>
      <c r="CD1433" s="328" t="s">
        <v>118</v>
      </c>
      <c r="CE1433" s="328" t="s">
        <v>119</v>
      </c>
      <c r="CF1433" s="328" t="s">
        <v>120</v>
      </c>
      <c r="CG1433" s="328" t="str">
        <f>Translations!$B$392</f>
        <v>CO2 non-sust</v>
      </c>
      <c r="CH1433" s="328" t="s">
        <v>121</v>
      </c>
      <c r="CI1433" s="328" t="s">
        <v>122</v>
      </c>
      <c r="CJ1433" s="328" t="s">
        <v>123</v>
      </c>
      <c r="CK1433" s="328" t="s">
        <v>124</v>
      </c>
      <c r="CL1433" s="328" t="s">
        <v>125</v>
      </c>
      <c r="CM1433" s="328" t="str">
        <f>Translations!$B$551</f>
        <v>Energy content (bio), TJ</v>
      </c>
      <c r="CN1433" s="328" t="s">
        <v>126</v>
      </c>
      <c r="CO1433" s="328" t="s">
        <v>127</v>
      </c>
      <c r="CP1433" s="328" t="s">
        <v>128</v>
      </c>
      <c r="CQ1433" s="314"/>
    </row>
    <row r="1434" spans="1:95" ht="5.15" customHeight="1" thickBot="1" x14ac:dyDescent="0.3">
      <c r="A1434" s="307"/>
      <c r="B1434" s="68"/>
      <c r="C1434" s="68"/>
      <c r="D1434" s="68"/>
      <c r="E1434" s="68"/>
      <c r="F1434" s="68"/>
      <c r="G1434" s="68"/>
      <c r="H1434" s="76"/>
      <c r="I1434" s="76"/>
      <c r="J1434" s="76"/>
      <c r="K1434" s="76"/>
      <c r="L1434" s="76"/>
      <c r="M1434" s="76"/>
      <c r="N1434" s="76"/>
      <c r="O1434" s="160"/>
      <c r="P1434" s="109"/>
      <c r="Q1434" s="312"/>
      <c r="R1434" s="312"/>
      <c r="S1434" s="287"/>
      <c r="T1434" s="287"/>
      <c r="U1434" s="287"/>
      <c r="V1434" s="301"/>
      <c r="W1434" s="314"/>
      <c r="X1434" s="314"/>
      <c r="Y1434" s="312"/>
      <c r="Z1434" s="314"/>
      <c r="AA1434" s="314"/>
      <c r="AB1434" s="314"/>
      <c r="AC1434" s="314"/>
      <c r="AD1434" s="314"/>
      <c r="AE1434" s="314"/>
      <c r="AF1434" s="293"/>
      <c r="AG1434" s="314"/>
      <c r="AH1434" s="314"/>
      <c r="AI1434" s="314"/>
      <c r="AJ1434" s="335"/>
      <c r="AK1434" s="335"/>
      <c r="AL1434" s="326"/>
      <c r="AM1434" s="326"/>
      <c r="AN1434" s="326"/>
      <c r="AO1434" s="326"/>
      <c r="AP1434" s="326"/>
      <c r="AQ1434" s="314"/>
      <c r="AR1434" s="314"/>
      <c r="AS1434" s="314"/>
      <c r="AT1434" s="314"/>
      <c r="AU1434" s="314"/>
      <c r="AV1434" s="314"/>
      <c r="AW1434" s="314"/>
      <c r="AX1434" s="314"/>
      <c r="AY1434" s="314"/>
      <c r="AZ1434" s="314"/>
      <c r="BA1434" s="314"/>
      <c r="BB1434" s="314"/>
      <c r="BC1434" s="314"/>
      <c r="BD1434" s="314"/>
      <c r="BE1434" s="314"/>
      <c r="BF1434" s="314"/>
      <c r="BG1434" s="314"/>
      <c r="BH1434" s="314"/>
      <c r="BI1434" s="314"/>
      <c r="BJ1434" s="314"/>
      <c r="BK1434" s="314"/>
      <c r="BL1434" s="314"/>
      <c r="BM1434" s="314"/>
      <c r="BN1434" s="314"/>
      <c r="BO1434" s="314"/>
      <c r="BP1434" s="314"/>
      <c r="BQ1434" s="314"/>
      <c r="BR1434" s="314"/>
      <c r="BS1434" s="314"/>
      <c r="BT1434" s="314"/>
      <c r="BU1434" s="314"/>
      <c r="BV1434" s="314"/>
      <c r="BW1434" s="314"/>
      <c r="BX1434" s="314"/>
      <c r="BY1434" s="314"/>
      <c r="BZ1434" s="314"/>
      <c r="CA1434" s="314"/>
      <c r="CB1434" s="314"/>
      <c r="CC1434" s="314"/>
      <c r="CD1434" s="314"/>
      <c r="CE1434" s="314"/>
      <c r="CF1434" s="314"/>
      <c r="CG1434" s="314"/>
      <c r="CH1434" s="314"/>
      <c r="CI1434" s="314"/>
      <c r="CJ1434" s="314"/>
      <c r="CK1434" s="314"/>
      <c r="CL1434" s="314"/>
      <c r="CM1434" s="314"/>
      <c r="CN1434" s="314"/>
      <c r="CO1434" s="314"/>
      <c r="CP1434" s="314"/>
      <c r="CQ1434" s="314"/>
    </row>
    <row r="1435" spans="1:95" ht="12.75" customHeight="1" thickBot="1" x14ac:dyDescent="0.3">
      <c r="A1435" s="307"/>
      <c r="B1435" s="68"/>
      <c r="C1435" s="68"/>
      <c r="D1435" s="68"/>
      <c r="E1435" s="1253" t="str">
        <f>IF(E1432="","",HYPERLINK("#JUMP_E_Top",EUconst_FurtherGuidancePoint1))</f>
        <v/>
      </c>
      <c r="F1435" s="1253"/>
      <c r="G1435" s="1253"/>
      <c r="H1435" s="1253"/>
      <c r="I1435" s="1253"/>
      <c r="J1435" s="1253"/>
      <c r="K1435" s="1253"/>
      <c r="L1435" s="1253"/>
      <c r="M1435" s="1253"/>
      <c r="N1435" s="76"/>
      <c r="O1435" s="160"/>
      <c r="P1435" s="109"/>
      <c r="Q1435" s="325" t="str">
        <f>EUconst_SumNonSustBioCO2</f>
        <v>SUM_bioNonSustCO2</v>
      </c>
      <c r="R1435" s="337" t="str">
        <f>IF(E1433="","",BG1441)</f>
        <v/>
      </c>
      <c r="S1435" s="287"/>
      <c r="T1435" s="287"/>
      <c r="U1435" s="287"/>
      <c r="V1435" s="314"/>
      <c r="W1435" s="314"/>
      <c r="X1435" s="314"/>
      <c r="Y1435" s="293"/>
      <c r="Z1435" s="314"/>
      <c r="AA1435" s="314"/>
      <c r="AB1435" s="314"/>
      <c r="AC1435" s="314"/>
      <c r="AD1435" s="314"/>
      <c r="AE1435" s="314"/>
      <c r="AF1435" s="293"/>
      <c r="AG1435" s="314"/>
      <c r="AH1435" s="314"/>
      <c r="AI1435" s="314"/>
      <c r="AJ1435" s="335"/>
      <c r="AK1435" s="335"/>
      <c r="AL1435" s="326"/>
      <c r="AM1435" s="326"/>
      <c r="AN1435" s="326"/>
      <c r="AO1435" s="326"/>
      <c r="AP1435" s="326"/>
      <c r="AQ1435" s="314"/>
      <c r="AR1435" s="314"/>
      <c r="AS1435" s="314"/>
      <c r="AT1435" s="314"/>
      <c r="AU1435" s="314"/>
      <c r="AV1435" s="314"/>
      <c r="AW1435" s="314"/>
      <c r="AX1435" s="314"/>
      <c r="AY1435" s="314"/>
      <c r="AZ1435" s="314"/>
      <c r="BA1435" s="314"/>
      <c r="BB1435" s="314"/>
      <c r="BC1435" s="314"/>
      <c r="BD1435" s="314"/>
      <c r="BE1435" s="314"/>
      <c r="BF1435" s="314"/>
      <c r="BG1435" s="314"/>
      <c r="BH1435" s="314"/>
      <c r="BI1435" s="317" t="s">
        <v>129</v>
      </c>
      <c r="BJ1435" s="336"/>
      <c r="BK1435" s="327" t="str">
        <f>IF(G1453="","",G1453)</f>
        <v/>
      </c>
      <c r="BL1435" s="327" t="str">
        <f>IF(I1453="","",I1453)</f>
        <v/>
      </c>
      <c r="BM1435" s="327" t="str">
        <f>IF(K1453="","",K1453)</f>
        <v/>
      </c>
      <c r="BN1435" s="314"/>
      <c r="BO1435" s="314"/>
      <c r="BP1435" s="314"/>
      <c r="BQ1435" s="314"/>
      <c r="BR1435" s="314"/>
      <c r="BS1435" s="314"/>
      <c r="BT1435" s="319"/>
      <c r="BU1435" s="314"/>
      <c r="BV1435" s="314"/>
      <c r="BW1435" s="314"/>
      <c r="BX1435" s="314"/>
      <c r="BY1435" s="314"/>
      <c r="BZ1435" s="314"/>
      <c r="CA1435" s="314"/>
      <c r="CB1435" s="314"/>
      <c r="CC1435" s="314"/>
      <c r="CD1435" s="314"/>
      <c r="CE1435" s="314"/>
      <c r="CF1435" s="314"/>
      <c r="CG1435" s="314"/>
      <c r="CH1435" s="314"/>
      <c r="CI1435" s="314"/>
      <c r="CJ1435" s="314"/>
      <c r="CK1435" s="314"/>
      <c r="CL1435" s="314"/>
      <c r="CM1435" s="314"/>
      <c r="CN1435" s="314"/>
      <c r="CO1435" s="314"/>
      <c r="CP1435" s="314"/>
      <c r="CQ1435" s="314"/>
    </row>
    <row r="1436" spans="1:95" ht="5.15" customHeight="1" thickBot="1" x14ac:dyDescent="0.3">
      <c r="A1436" s="307"/>
      <c r="B1436" s="68"/>
      <c r="C1436" s="68"/>
      <c r="D1436" s="68"/>
      <c r="E1436" s="68"/>
      <c r="F1436" s="68"/>
      <c r="G1436" s="68"/>
      <c r="H1436" s="76"/>
      <c r="I1436" s="76"/>
      <c r="J1436" s="76"/>
      <c r="K1436" s="76"/>
      <c r="L1436" s="76"/>
      <c r="M1436" s="76"/>
      <c r="N1436" s="76"/>
      <c r="O1436" s="160"/>
      <c r="P1436" s="111"/>
      <c r="Q1436" s="287"/>
      <c r="R1436" s="111"/>
      <c r="S1436" s="287"/>
      <c r="T1436" s="287"/>
      <c r="U1436" s="287"/>
      <c r="V1436" s="314"/>
      <c r="W1436" s="314"/>
      <c r="X1436" s="314"/>
      <c r="Y1436" s="312"/>
      <c r="Z1436" s="314"/>
      <c r="AA1436" s="314"/>
      <c r="AB1436" s="314"/>
      <c r="AC1436" s="314"/>
      <c r="AD1436" s="314"/>
      <c r="AE1436" s="314"/>
      <c r="AF1436" s="293"/>
      <c r="AG1436" s="314"/>
      <c r="AH1436" s="314"/>
      <c r="AI1436" s="314"/>
      <c r="AJ1436" s="335"/>
      <c r="AK1436" s="335"/>
      <c r="AL1436" s="326"/>
      <c r="AM1436" s="326"/>
      <c r="AN1436" s="326"/>
      <c r="AO1436" s="326"/>
      <c r="AP1436" s="326"/>
      <c r="AQ1436" s="314"/>
      <c r="AR1436" s="314"/>
      <c r="AS1436" s="314"/>
      <c r="AT1436" s="314"/>
      <c r="AU1436" s="314"/>
      <c r="AV1436" s="314"/>
      <c r="AW1436" s="314"/>
      <c r="AX1436" s="314"/>
      <c r="AY1436" s="314"/>
      <c r="AZ1436" s="314"/>
      <c r="BA1436" s="314"/>
      <c r="BB1436" s="314"/>
      <c r="BC1436" s="314"/>
      <c r="BD1436" s="314"/>
      <c r="BE1436" s="314"/>
      <c r="BF1436" s="314"/>
      <c r="BG1436" s="314"/>
      <c r="BH1436" s="314"/>
      <c r="BI1436" s="314"/>
      <c r="BJ1436" s="314"/>
      <c r="BK1436" s="314"/>
      <c r="BL1436" s="314"/>
      <c r="BM1436" s="314"/>
      <c r="BN1436" s="314"/>
      <c r="BO1436" s="314"/>
      <c r="BP1436" s="314"/>
      <c r="BQ1436" s="314"/>
      <c r="BR1436" s="314"/>
      <c r="BS1436" s="314"/>
      <c r="BT1436" s="314"/>
      <c r="BU1436" s="314"/>
      <c r="BV1436" s="314"/>
      <c r="BW1436" s="314"/>
      <c r="BX1436" s="314"/>
      <c r="BY1436" s="314"/>
      <c r="BZ1436" s="314"/>
      <c r="CA1436" s="314"/>
      <c r="CB1436" s="314"/>
      <c r="CC1436" s="314"/>
      <c r="CD1436" s="314"/>
      <c r="CE1436" s="314"/>
      <c r="CF1436" s="314"/>
      <c r="CG1436" s="314"/>
      <c r="CH1436" s="314"/>
      <c r="CI1436" s="314"/>
      <c r="CJ1436" s="314"/>
      <c r="CK1436" s="314"/>
      <c r="CL1436" s="314"/>
      <c r="CM1436" s="314"/>
      <c r="CN1436" s="314"/>
      <c r="CO1436" s="314"/>
      <c r="CP1436" s="314"/>
      <c r="CQ1436" s="314"/>
    </row>
    <row r="1437" spans="1:95" ht="12.75" customHeight="1" thickBot="1" x14ac:dyDescent="0.3">
      <c r="A1437" s="307"/>
      <c r="B1437" s="68"/>
      <c r="C1437" s="68"/>
      <c r="D1437" s="68"/>
      <c r="E1437" s="68"/>
      <c r="F1437" s="338" t="str">
        <f>Translations!$B$127</f>
        <v>Tier</v>
      </c>
      <c r="G1437" s="1254" t="str">
        <f>Translations!$B$393</f>
        <v>tier description</v>
      </c>
      <c r="H1437" s="1254"/>
      <c r="I1437" s="1255" t="str">
        <f>Translations!$B$394</f>
        <v>Unit</v>
      </c>
      <c r="J1437" s="1255"/>
      <c r="K1437" s="1255" t="str">
        <f>Translations!$B$395</f>
        <v>Value</v>
      </c>
      <c r="L1437" s="1255"/>
      <c r="M1437" s="205" t="str">
        <f>Translations!$B$396</f>
        <v>error</v>
      </c>
      <c r="N1437" s="76"/>
      <c r="O1437" s="160"/>
      <c r="P1437" s="339"/>
      <c r="Q1437" s="325" t="str">
        <f>EUconst_SumEnergyIN</f>
        <v>SUM_EnergyIN</v>
      </c>
      <c r="R1437" s="340" t="str">
        <f>IF(E1433="","",BG1446)</f>
        <v/>
      </c>
      <c r="S1437" s="314"/>
      <c r="T1437" s="314"/>
      <c r="U1437" s="314"/>
      <c r="V1437" s="341" t="s">
        <v>130</v>
      </c>
      <c r="W1437" s="314"/>
      <c r="X1437" s="314"/>
      <c r="Y1437" s="312" t="s">
        <v>131</v>
      </c>
      <c r="Z1437" s="312" t="s">
        <v>132</v>
      </c>
      <c r="AA1437" s="314"/>
      <c r="AB1437" s="314"/>
      <c r="AC1437" s="336" t="s">
        <v>133</v>
      </c>
      <c r="AD1437" s="314"/>
      <c r="AE1437" s="314"/>
      <c r="AF1437" s="314" t="s">
        <v>134</v>
      </c>
      <c r="AG1437" s="314" t="s">
        <v>135</v>
      </c>
      <c r="AH1437" s="312" t="s">
        <v>136</v>
      </c>
      <c r="AI1437" s="335" t="s">
        <v>137</v>
      </c>
      <c r="AJ1437" s="335" t="s">
        <v>138</v>
      </c>
      <c r="AK1437" s="342" t="s">
        <v>139</v>
      </c>
      <c r="AL1437" s="326"/>
      <c r="AM1437" s="326"/>
      <c r="AN1437" s="326"/>
      <c r="AO1437" s="326"/>
      <c r="AP1437" s="326"/>
      <c r="AQ1437" s="314"/>
      <c r="AR1437" s="314" t="s">
        <v>134</v>
      </c>
      <c r="AS1437" s="314" t="s">
        <v>135</v>
      </c>
      <c r="AT1437" s="343" t="s">
        <v>140</v>
      </c>
      <c r="AU1437" s="335" t="s">
        <v>141</v>
      </c>
      <c r="AV1437" s="335" t="s">
        <v>142</v>
      </c>
      <c r="AW1437" s="342" t="s">
        <v>139</v>
      </c>
      <c r="AX1437" s="342" t="s">
        <v>139</v>
      </c>
      <c r="AY1437" s="314"/>
      <c r="AZ1437" s="314"/>
      <c r="BA1437" s="314"/>
      <c r="BB1437" s="314" t="s">
        <v>143</v>
      </c>
      <c r="BC1437" s="314"/>
      <c r="BD1437" s="314"/>
      <c r="BE1437" s="314"/>
      <c r="BF1437" s="314"/>
      <c r="BG1437" s="319" t="s">
        <v>144</v>
      </c>
      <c r="BH1437" s="314" t="s">
        <v>145</v>
      </c>
      <c r="BI1437" s="314"/>
      <c r="BJ1437" s="314"/>
      <c r="BK1437" s="314"/>
      <c r="BL1437" s="314"/>
      <c r="BM1437" s="314"/>
      <c r="BN1437" s="314"/>
      <c r="BO1437" s="314"/>
      <c r="BP1437" s="314"/>
      <c r="BQ1437" s="314"/>
      <c r="BR1437" s="314"/>
      <c r="BS1437" s="314"/>
      <c r="BT1437" s="314"/>
      <c r="BU1437" s="314"/>
      <c r="BV1437" s="314"/>
      <c r="BW1437" s="314"/>
      <c r="BX1437" s="314"/>
      <c r="BY1437" s="314"/>
      <c r="BZ1437" s="314"/>
      <c r="CA1437" s="314"/>
      <c r="CB1437" s="314"/>
      <c r="CC1437" s="314"/>
      <c r="CD1437" s="314"/>
      <c r="CE1437" s="314"/>
      <c r="CF1437" s="314"/>
      <c r="CG1437" s="314"/>
      <c r="CH1437" s="314"/>
      <c r="CI1437" s="314"/>
      <c r="CJ1437" s="314"/>
      <c r="CK1437" s="314"/>
      <c r="CL1437" s="314"/>
      <c r="CM1437" s="314"/>
      <c r="CN1437" s="314"/>
      <c r="CO1437" s="314"/>
      <c r="CP1437" s="314"/>
      <c r="CQ1437" s="319" t="s">
        <v>107</v>
      </c>
    </row>
    <row r="1438" spans="1:95" ht="12.75" customHeight="1" thickBot="1" x14ac:dyDescent="0.3">
      <c r="A1438" s="307"/>
      <c r="B1438" s="68"/>
      <c r="C1438" s="199" t="s">
        <v>12</v>
      </c>
      <c r="D1438" s="344" t="str">
        <f>Translations!$B$356</f>
        <v>RFA:</v>
      </c>
      <c r="E1438" s="345"/>
      <c r="F1438" s="6"/>
      <c r="G1438" s="1256" t="str">
        <f>IF(OR(ISBLANK(F1438),F1438=EUconst_NoTier),"",IF(Z1438=0,EUconst_NA,IF(ISERROR(Z1438),"",Z1438)))</f>
        <v/>
      </c>
      <c r="H1438" s="1257"/>
      <c r="I1438" s="346" t="str">
        <f>IF(J1438&lt;&gt;"","",AI1438)</f>
        <v/>
      </c>
      <c r="J1438" s="7"/>
      <c r="K1438" s="1258"/>
      <c r="L1438" s="1259"/>
      <c r="M1438" s="347" t="str">
        <f>IF(AND(E1433&lt;&gt;"",OR(F1438="",COUNT(K1438)=0),Y1438&lt;&gt;EUconst_NA),EUconst_ERR_Incomplete,"")</f>
        <v/>
      </c>
      <c r="N1438" s="76"/>
      <c r="O1438" s="160"/>
      <c r="P1438" s="348"/>
      <c r="Q1438" s="325" t="str">
        <f>EUconst_SumBioEnergyIN</f>
        <v>SUM_BioEnergyIN</v>
      </c>
      <c r="R1438" s="340" t="str">
        <f>IF(E1433="","",BG1447)</f>
        <v/>
      </c>
      <c r="S1438" s="314"/>
      <c r="T1438" s="349" t="str">
        <f>EUconst_CNTR_ActivityData&amp;E1433</f>
        <v>ActivityData_</v>
      </c>
      <c r="U1438" s="312"/>
      <c r="V1438" s="349" t="str">
        <f>IF(E1432="","",INDEX(B_IdentifyFuelStreams!$I$67:$I$116,MATCH(U1431,B_IdentifyFuelStreams!$D$67:$D$116,0)))</f>
        <v/>
      </c>
      <c r="W1438" s="335" t="s">
        <v>146</v>
      </c>
      <c r="X1438" s="312"/>
      <c r="Y1438" s="350" t="str">
        <f>IF(E1433="","",INDEX(EUwideConstants!$P$164:$P$200,MATCH(T1438,EUwideConstants!$S$164:$S$200,0)))</f>
        <v/>
      </c>
      <c r="Z1438" s="351" t="str">
        <f>IF(ISBLANK(F1438),"",IF(F1438=EUconst_NA,"",INDEX(EUwideConstants!$H:$O,MATCH(T1438,EUwideConstants!$S:$S,0),MATCH(F1438,CNTR_TierList,0))))</f>
        <v/>
      </c>
      <c r="AA1438" s="352" t="s">
        <v>136</v>
      </c>
      <c r="AB1438" s="335"/>
      <c r="AC1438" s="331" t="b">
        <f>E1432&lt;&gt;""</f>
        <v>0</v>
      </c>
      <c r="AD1438" s="314"/>
      <c r="AE1438" s="353" t="str">
        <f>EUconst_CNTR_ActivityData&amp;EUconst_Unit</f>
        <v>ActivityData_Unit</v>
      </c>
      <c r="AF1438" s="354" t="str">
        <f>IF(AC1438=TRUE, IF(COUNTIF(MSPara_SourceStreamCategory,V1438)=0,"",INDEX(MSPara_CalcFactorsMatrix,MATCH(V1438,MSPara_SourceStreamCategory,0),MATCH(AE1438&amp;"_"&amp;2,MSPara_CalcFactors,0))),"")</f>
        <v/>
      </c>
      <c r="AG1438" s="355" t="str">
        <f>IF(AC1438=TRUE, IF(COUNTIF(MSPara_SourceStreamCategory,V1438)=0,"",INDEX(MSPara_CalcFactorsMatrix,MATCH(V1438,MSPara_SourceStreamCategory,0),MATCH(AE1438&amp;"_"&amp;1,MSPara_CalcFactors,0))),"")</f>
        <v/>
      </c>
      <c r="AH1438" s="331" t="str">
        <f>IF(OR(AF1438="",AF1438=EUconst_NA),IF(OR(AG1438=EUconst_NA,AG1438=""),"",AG1438),AF1438)</f>
        <v/>
      </c>
      <c r="AI1438" s="350" t="str">
        <f>IF(AC1438=TRUE,IF(AH1438="",EUconst_t,AH1438),"")</f>
        <v/>
      </c>
      <c r="AJ1438" s="356" t="str">
        <f>IF(J1438="",AI1438,J1438)</f>
        <v/>
      </c>
      <c r="AK1438" s="357" t="b">
        <f>AND(E1432&lt;&gt;"",J1438&lt;&gt;"")</f>
        <v>0</v>
      </c>
      <c r="AL1438" s="326"/>
      <c r="AM1438" s="358" t="s">
        <v>147</v>
      </c>
      <c r="AN1438" s="359" t="str">
        <f>AJ1438</f>
        <v/>
      </c>
      <c r="AO1438" s="326"/>
      <c r="AP1438" s="326"/>
      <c r="AQ1438" s="349" t="str">
        <f>EUconst_CNTR_ActivityData&amp;EUconst_Value</f>
        <v>ActivityData_Value</v>
      </c>
      <c r="AR1438" s="336"/>
      <c r="AS1438" s="336"/>
      <c r="AT1438" s="331" t="b">
        <f>AND(AND(AH1438&lt;&gt;"",AJ1438&lt;&gt;""),AJ1438=AH1438)</f>
        <v>0</v>
      </c>
      <c r="AU1438" s="314"/>
      <c r="AV1438" s="331">
        <f>IF(Y1438=EUconst_NA,0,IF(COUNT(K1438:K1438)=0,0,IF(K1438="",#REF!,K1438)))</f>
        <v>0</v>
      </c>
      <c r="AW1438" s="360" t="b">
        <f>AND(AC1438=TRUE,OR(K1438&lt;&gt;"",AU1438=""))</f>
        <v>0</v>
      </c>
      <c r="AX1438" s="360" t="b">
        <f>AND(AC1438=TRUE,NOT(AW1438))</f>
        <v>0</v>
      </c>
      <c r="AY1438" s="314"/>
      <c r="AZ1438" s="314" t="s">
        <v>148</v>
      </c>
      <c r="BA1438" s="314" t="s">
        <v>149</v>
      </c>
      <c r="BB1438" s="360"/>
      <c r="BC1438" s="314" t="s">
        <v>150</v>
      </c>
      <c r="BD1438" s="314"/>
      <c r="BE1438" s="314"/>
      <c r="BF1438" s="361" t="s">
        <v>119</v>
      </c>
      <c r="BG1438" s="362" t="str">
        <f>IF(COUNTIF(AO1441:AO1442,TRUE)=0,"",BH1438*AV1449)</f>
        <v/>
      </c>
      <c r="BH1438" s="362" t="str">
        <f>IF(COUNTIF(AO1441:AO1442,TRUE)=0,"",AV1438*IF(AO1441,1,AV1440*AN1442)*AV1441-BH1440-BH1442-BH1444)</f>
        <v/>
      </c>
      <c r="BI1438" s="314"/>
      <c r="BJ1438" s="314"/>
      <c r="BK1438" s="314"/>
      <c r="BL1438" s="314"/>
      <c r="BM1438" s="314"/>
      <c r="BN1438" s="314"/>
      <c r="BO1438" s="314"/>
      <c r="BP1438" s="314"/>
      <c r="BQ1438" s="314"/>
      <c r="BR1438" s="314"/>
      <c r="BS1438" s="314"/>
      <c r="BT1438" s="314"/>
      <c r="BU1438" s="314"/>
      <c r="BV1438" s="314"/>
      <c r="BW1438" s="314"/>
      <c r="BX1438" s="314"/>
      <c r="BY1438" s="314"/>
      <c r="BZ1438" s="314"/>
      <c r="CA1438" s="314"/>
      <c r="CB1438" s="314"/>
      <c r="CC1438" s="314"/>
      <c r="CD1438" s="314"/>
      <c r="CE1438" s="314"/>
      <c r="CF1438" s="314"/>
      <c r="CG1438" s="314"/>
      <c r="CH1438" s="314"/>
      <c r="CI1438" s="314"/>
      <c r="CJ1438" s="314"/>
      <c r="CK1438" s="314"/>
      <c r="CL1438" s="314"/>
      <c r="CM1438" s="314"/>
      <c r="CN1438" s="314"/>
      <c r="CO1438" s="314"/>
      <c r="CP1438" s="314"/>
      <c r="CQ1438" s="360" t="b">
        <v>0</v>
      </c>
    </row>
    <row r="1439" spans="1:95" ht="5.15" customHeight="1" thickBot="1" x14ac:dyDescent="0.3">
      <c r="A1439" s="307"/>
      <c r="B1439" s="68"/>
      <c r="C1439" s="199"/>
      <c r="D1439" s="202"/>
      <c r="E1439" s="76"/>
      <c r="F1439" s="76"/>
      <c r="G1439" s="76"/>
      <c r="H1439" s="76" t="str">
        <f>Translations!$B$397</f>
        <v xml:space="preserve"> </v>
      </c>
      <c r="I1439" s="162"/>
      <c r="J1439" s="162"/>
      <c r="K1439" s="76"/>
      <c r="L1439" s="76"/>
      <c r="M1439" s="363"/>
      <c r="N1439" s="76"/>
      <c r="O1439" s="160"/>
      <c r="P1439" s="109"/>
      <c r="Q1439" s="312"/>
      <c r="R1439" s="312"/>
      <c r="S1439" s="314"/>
      <c r="T1439" s="62"/>
      <c r="U1439" s="312"/>
      <c r="V1439" s="314"/>
      <c r="W1439" s="314"/>
      <c r="X1439" s="312"/>
      <c r="Y1439" s="319"/>
      <c r="Z1439" s="314"/>
      <c r="AA1439" s="314"/>
      <c r="AB1439" s="314"/>
      <c r="AC1439" s="314"/>
      <c r="AD1439" s="314"/>
      <c r="AE1439" s="314"/>
      <c r="AF1439" s="314"/>
      <c r="AG1439" s="314"/>
      <c r="AH1439" s="314"/>
      <c r="AI1439" s="314"/>
      <c r="AJ1439" s="314"/>
      <c r="AK1439" s="314"/>
      <c r="AL1439" s="326"/>
      <c r="AM1439" s="326"/>
      <c r="AN1439" s="326"/>
      <c r="AO1439" s="326"/>
      <c r="AP1439" s="326"/>
      <c r="AQ1439" s="314"/>
      <c r="AR1439" s="314"/>
      <c r="AS1439" s="314"/>
      <c r="AT1439" s="314"/>
      <c r="AU1439" s="314"/>
      <c r="AV1439" s="314"/>
      <c r="AW1439" s="314"/>
      <c r="AX1439" s="314"/>
      <c r="AY1439" s="314"/>
      <c r="AZ1439" s="314"/>
      <c r="BA1439" s="314"/>
      <c r="BB1439" s="314"/>
      <c r="BC1439" s="314"/>
      <c r="BD1439" s="314"/>
      <c r="BE1439" s="314"/>
      <c r="BF1439" s="314"/>
      <c r="BG1439" s="364"/>
      <c r="BH1439" s="364"/>
      <c r="BI1439" s="314"/>
      <c r="BJ1439" s="314"/>
      <c r="BK1439" s="314"/>
      <c r="BL1439" s="314"/>
      <c r="BM1439" s="314"/>
      <c r="BN1439" s="314"/>
      <c r="BO1439" s="314"/>
      <c r="BP1439" s="314"/>
      <c r="BQ1439" s="314"/>
      <c r="BR1439" s="314"/>
      <c r="BS1439" s="314"/>
      <c r="BT1439" s="314"/>
      <c r="BU1439" s="314"/>
      <c r="BV1439" s="314"/>
      <c r="BW1439" s="314"/>
      <c r="BX1439" s="314"/>
      <c r="BY1439" s="314"/>
      <c r="BZ1439" s="314"/>
      <c r="CA1439" s="314"/>
      <c r="CB1439" s="314"/>
      <c r="CC1439" s="314"/>
      <c r="CD1439" s="314"/>
      <c r="CE1439" s="314"/>
      <c r="CF1439" s="314"/>
      <c r="CG1439" s="314"/>
      <c r="CH1439" s="314"/>
      <c r="CI1439" s="314"/>
      <c r="CJ1439" s="314"/>
      <c r="CK1439" s="314"/>
      <c r="CL1439" s="314"/>
      <c r="CM1439" s="314"/>
      <c r="CN1439" s="314"/>
      <c r="CO1439" s="314"/>
      <c r="CP1439" s="314"/>
      <c r="CQ1439" s="319"/>
    </row>
    <row r="1440" spans="1:95" ht="12.75" customHeight="1" x14ac:dyDescent="0.25">
      <c r="A1440" s="307"/>
      <c r="B1440" s="68"/>
      <c r="C1440" s="199" t="s">
        <v>13</v>
      </c>
      <c r="D1440" s="344" t="str">
        <f>Translations!$B$360</f>
        <v>UCF:</v>
      </c>
      <c r="E1440" s="345"/>
      <c r="F1440" s="10"/>
      <c r="G1440" s="1256" t="str">
        <f>IF(OR(ISBLANK(F1440),F1440=EUconst_NoTier),"",IF(Z1440=0,EUconst_NotApplicable,IF(ISERROR(Z1440),"",Z1440)))</f>
        <v/>
      </c>
      <c r="H1440" s="1257"/>
      <c r="I1440" s="365" t="str">
        <f>IF(J1440&lt;&gt;"","",AI1440)</f>
        <v/>
      </c>
      <c r="J1440" s="11"/>
      <c r="K1440" s="366" t="str">
        <f>IF(L1440="",AU1440,"")</f>
        <v/>
      </c>
      <c r="L1440" s="23"/>
      <c r="M1440" s="347" t="str">
        <f>IF(AND(E1433&lt;&gt;"",OR(F1440="",COUNT(K1440:L1440)=0),Y1440&lt;&gt;EUconst_NA),EUconst_ERR_Incomplete,IF(COUNTIF(BB1440:BD1440,TRUE)&gt;0,EUconst_ERR_Inconsistent,""))</f>
        <v/>
      </c>
      <c r="N1440" s="367"/>
      <c r="O1440" s="160"/>
      <c r="P1440" s="109"/>
      <c r="Q1440" s="312"/>
      <c r="R1440" s="312"/>
      <c r="S1440" s="314"/>
      <c r="T1440" s="368" t="str">
        <f>EUconst_CNTR_UCF&amp;E1433</f>
        <v>UCF_</v>
      </c>
      <c r="U1440" s="312"/>
      <c r="V1440" s="369" t="str">
        <f>V1441</f>
        <v/>
      </c>
      <c r="W1440" s="314"/>
      <c r="X1440" s="312"/>
      <c r="Y1440" s="370" t="str">
        <f>IF(E1433="","",IF(OR(F1440=EUconst_NA,W1440=TRUE),EUconst_NA,INDEX(EUwideConstants!$P$164:$P$200,MATCH(T1440,EUwideConstants!$S$164:$S$200,0))))</f>
        <v/>
      </c>
      <c r="Z1440" s="371" t="str">
        <f>IF(ISBLANK(F1440),"",IF(F1440=EUconst_NA,"",INDEX(EUwideConstants!$H:$O,MATCH(T1440,EUwideConstants!$S:$S,0),MATCH(F1440,CNTR_TierList,0))))</f>
        <v/>
      </c>
      <c r="AA1440" s="372" t="str">
        <f>IF(COUNTIF(EUconst_DefaultValues,Z1440)&gt;0,MATCH(Z1440,EUconst_DefaultValues,0),"")</f>
        <v/>
      </c>
      <c r="AB1440" s="314"/>
      <c r="AC1440" s="373" t="b">
        <f>AND(AC1438,Y1440&lt;&gt;EUconst_NA)</f>
        <v>0</v>
      </c>
      <c r="AD1440" s="314"/>
      <c r="AE1440" s="353" t="str">
        <f>EUconst_CNTR_UCF&amp;EUconst_Unit</f>
        <v>UCF_Unit</v>
      </c>
      <c r="AF1440" s="374" t="str">
        <f>IF(AC1440=TRUE, IF(COUNTIF(MSPara_SourceStreamCategory,V1440)=0,"",INDEX(MSPara_CalcFactorsMatrix,MATCH(V1440,MSPara_SourceStreamCategory,0),MATCH(AE1440&amp;"_"&amp;2,MSPara_CalcFactors,0))),"")</f>
        <v/>
      </c>
      <c r="AG1440" s="375" t="str">
        <f>IF(AC1440=TRUE, IF(COUNTIF(MSPara_SourceStreamCategory,V1440)=0,"",INDEX(MSPara_CalcFactorsMatrix,MATCH(V1440,MSPara_SourceStreamCategory,0),MATCH(AE1440&amp;"_"&amp;1,MSPara_CalcFactors,0))),"")</f>
        <v/>
      </c>
      <c r="AH1440" s="373" t="str">
        <f>IF(AA1440="","",INDEX(AF1440:AG1440,3-AA1440))</f>
        <v/>
      </c>
      <c r="AI1440" s="373" t="str">
        <f>IF(AC1440=TRUE,IF(OR(AH1440="",AH1440=EUconst_NA),EUconst_GJ&amp;"/"&amp;AJ1438,AH1440),"")</f>
        <v/>
      </c>
      <c r="AJ1440" s="373" t="str">
        <f>IF(J1440="",AI1440,J1440)</f>
        <v/>
      </c>
      <c r="AK1440" s="369" t="b">
        <f>AND(E1432&lt;&gt;"",J1440&lt;&gt;"")</f>
        <v>0</v>
      </c>
      <c r="AL1440" s="326"/>
      <c r="AM1440" s="358" t="s">
        <v>151</v>
      </c>
      <c r="AN1440" s="359" t="str">
        <f>IF(AJ1440="",EUconst_NA,IF(AN1438=EUconst_TJ,EUconst_TJ,INDEX(EUwideConstants!$C$135:$G$139,MATCH(AN1438,RFAUnits,0),MATCH(AJ1440,UCFUnits,0))))</f>
        <v>n.a.</v>
      </c>
      <c r="AO1440" s="326"/>
      <c r="AP1440" s="326"/>
      <c r="AQ1440" s="376" t="str">
        <f>EUconst_CNTR_UCF&amp;EUconst_Value</f>
        <v>UCF_Value</v>
      </c>
      <c r="AR1440" s="377" t="str">
        <f>IF(AC1440=TRUE,IF(COUNTIF(MSPara_SourceStreamCategory,V1440)=0,"",INDEX(MSPara_CalcFactorsMatrix,MATCH(V1440,MSPara_SourceStreamCategory,0),MATCH(AQ1440&amp;"_"&amp;2,MSPara_CalcFactors,0))),"")</f>
        <v/>
      </c>
      <c r="AS1440" s="378" t="str">
        <f>IF(AC1440=TRUE,IF(COUNTIF(MSPara_SourceStreamCategory,V1440)=0,"",INDEX(MSPara_CalcFactorsMatrix,MATCH(V1440,MSPara_SourceStreamCategory,0),MATCH(AQ1440&amp;"_"&amp;1,MSPara_CalcFactors,0))),"")</f>
        <v/>
      </c>
      <c r="AT1440" s="379" t="b">
        <f>AND(AND(AH1440&lt;&gt;"",AJ1440&lt;&gt;""),AJ1440=AH1440)</f>
        <v>0</v>
      </c>
      <c r="AU1440" s="380" t="str">
        <f>IF(AND(AA1440&lt;&gt;"",AT1440=TRUE),IF(OR(INDEX(AR1440:AS1440,3-AA1440)=EUconst_NA,INDEX(AR1440:AS1440,3-AA1440)=0),"",INDEX(AR1440:AS1440,3-AA1440)),"")</f>
        <v/>
      </c>
      <c r="AV1440" s="373">
        <f>IF(AC1440=TRUE,IF(COUNT(K1440:L1440)=0,0,IF(L1440="",K1440,L1440)),0)</f>
        <v>0</v>
      </c>
      <c r="AW1440" s="369" t="b">
        <f t="shared" ref="AW1440:AW1447" si="441">AND(AC1440=TRUE,OR(AND(F1440&lt;&gt;"",NOT(ISNUMBER(AA1440))),L1440&lt;&gt;"",F1440="",AU1440=""))</f>
        <v>0</v>
      </c>
      <c r="AX1440" s="381" t="b">
        <f t="shared" ref="AX1440:AX1447" si="442">AND(AC1440=TRUE,NOT(AW1440))</f>
        <v>0</v>
      </c>
      <c r="AY1440" s="314"/>
      <c r="AZ1440" s="382" t="b">
        <f t="shared" ref="AZ1440:AZ1447" si="443">AND(ISNUMBER(AA1440),AU1440="")</f>
        <v>0</v>
      </c>
      <c r="BA1440" s="383" t="b">
        <f t="shared" ref="BA1440:BA1447" si="444">AND(ISNUMBER(AA1440),AU1440&lt;&gt;AV1440)</f>
        <v>0</v>
      </c>
      <c r="BB1440" s="369" t="b">
        <f>AND(E1433&lt;&gt;"",F1440&lt;&gt;EUconst_NA,AN1440=EUconst_NA)</f>
        <v>0</v>
      </c>
      <c r="BC1440" s="369" t="b">
        <f t="shared" ref="BC1440:BC1447" si="445">AND(L1440&lt;&gt;"",Y1440=EUconst_NA)</f>
        <v>0</v>
      </c>
      <c r="BD1440" s="314"/>
      <c r="BE1440" s="314"/>
      <c r="BF1440" s="382" t="s">
        <v>152</v>
      </c>
      <c r="BG1440" s="384" t="str">
        <f>IF(COUNTIF(AO1441:AO1442,TRUE)=0,"",BH1440*AV1449)</f>
        <v/>
      </c>
      <c r="BH1440" s="384" t="str">
        <f>IF(COUNTIF(AO1441:AO1442,TRUE)=0,"",AV1438*IF(AO1441,1,AV1440*AN1442)*AV1441*AV1442)</f>
        <v/>
      </c>
      <c r="BI1440" s="314"/>
      <c r="BJ1440" s="314"/>
      <c r="BK1440" s="314"/>
      <c r="BL1440" s="314"/>
      <c r="BM1440" s="314"/>
      <c r="BN1440" s="314"/>
      <c r="BO1440" s="314"/>
      <c r="BP1440" s="314"/>
      <c r="BQ1440" s="314"/>
      <c r="BR1440" s="314"/>
      <c r="BS1440" s="314"/>
      <c r="BT1440" s="314"/>
      <c r="BU1440" s="314"/>
      <c r="BV1440" s="314"/>
      <c r="BW1440" s="314"/>
      <c r="BX1440" s="314"/>
      <c r="BY1440" s="314"/>
      <c r="BZ1440" s="314"/>
      <c r="CA1440" s="314"/>
      <c r="CB1440" s="314"/>
      <c r="CC1440" s="314"/>
      <c r="CD1440" s="314"/>
      <c r="CE1440" s="314"/>
      <c r="CF1440" s="314"/>
      <c r="CG1440" s="314"/>
      <c r="CH1440" s="314"/>
      <c r="CI1440" s="314"/>
      <c r="CJ1440" s="314"/>
      <c r="CK1440" s="314"/>
      <c r="CL1440" s="314"/>
      <c r="CM1440" s="314"/>
      <c r="CN1440" s="314"/>
      <c r="CO1440" s="314"/>
      <c r="CP1440" s="314"/>
      <c r="CQ1440" s="369" t="b">
        <f>OR(CQ1438,Y1440=EUconst_NA)</f>
        <v>0</v>
      </c>
    </row>
    <row r="1441" spans="1:95" ht="12.75" customHeight="1" thickBot="1" x14ac:dyDescent="0.3">
      <c r="A1441" s="307"/>
      <c r="B1441" s="68"/>
      <c r="C1441" s="199" t="s">
        <v>14</v>
      </c>
      <c r="D1441" s="344" t="str">
        <f>Translations!$B$358</f>
        <v>(prelim) EF:</v>
      </c>
      <c r="E1441" s="345"/>
      <c r="F1441" s="59"/>
      <c r="G1441" s="1256" t="str">
        <f>IF(OR(ISBLANK(F1441),F1441=EUconst_NoTier),"",IF(Z1441=0,EUconst_NotApplicable,IF(ISERROR(Z1441),"",Z1441)))</f>
        <v/>
      </c>
      <c r="H1441" s="1260"/>
      <c r="I1441" s="385" t="str">
        <f>IF(J1441&lt;&gt;"","",AI1441)</f>
        <v/>
      </c>
      <c r="J1441" s="22"/>
      <c r="K1441" s="386" t="str">
        <f>IF(L1441="",AU1441,"")</f>
        <v/>
      </c>
      <c r="L1441" s="58"/>
      <c r="M1441" s="347" t="str">
        <f>IF(AND(E1433&lt;&gt;"",OR(F1441="",COUNT(K1441:L1441)=0),Y1441&lt;&gt;EUconst_NA),EUconst_ERR_Incomplete,IF(COUNTIF(BB1441:BD1441,TRUE)&gt;0,EUconst_ERR_Inconsistent,""))</f>
        <v/>
      </c>
      <c r="N1441" s="387"/>
      <c r="O1441" s="160"/>
      <c r="P1441" s="109"/>
      <c r="Q1441" s="312"/>
      <c r="R1441" s="312"/>
      <c r="S1441" s="314"/>
      <c r="T1441" s="388" t="str">
        <f>EUconst_CNTR_EF&amp;E1433</f>
        <v>EF_</v>
      </c>
      <c r="U1441" s="312"/>
      <c r="V1441" s="389" t="str">
        <f>V1438</f>
        <v/>
      </c>
      <c r="W1441" s="314"/>
      <c r="X1441" s="312"/>
      <c r="Y1441" s="390" t="str">
        <f>IF(E1433="","",IF(OR(F1441=EUconst_NA,W1441=TRUE),EUconst_NA,INDEX(EUwideConstants!$P$164:$P$200,MATCH(T1441,EUwideConstants!$S$164:$S$200,0))))</f>
        <v/>
      </c>
      <c r="Z1441" s="391" t="str">
        <f>IF(ISBLANK(F1441),"",IF(F1441=EUconst_NA,"",INDEX(EUwideConstants!$H:$O,MATCH(T1441,EUwideConstants!$S:$S,0),MATCH(F1441,CNTR_TierList,0))))</f>
        <v/>
      </c>
      <c r="AA1441" s="392" t="str">
        <f>IF(COUNTIF(EUconst_DefaultValues,Z1441)&gt;0,MATCH(Z1441,EUconst_DefaultValues,0),"")</f>
        <v/>
      </c>
      <c r="AB1441" s="314"/>
      <c r="AC1441" s="393" t="b">
        <f>AND(AC1438,Y1441&lt;&gt;EUconst_NA)</f>
        <v>0</v>
      </c>
      <c r="AD1441" s="314"/>
      <c r="AE1441" s="394" t="str">
        <f>EUconst_CNTR_EF&amp;EUconst_Unit</f>
        <v>EF_Unit</v>
      </c>
      <c r="AF1441" s="395" t="str">
        <f>IF(AC1441=TRUE, IF(COUNTIF(MSPara_SourceStreamCategory,V1441)=0,"",INDEX(MSPara_CalcFactorsMatrix,MATCH(V1441,MSPara_SourceStreamCategory,0),MATCH(AE1441&amp;"_"&amp;2,MSPara_CalcFactors,0))),"")</f>
        <v/>
      </c>
      <c r="AG1441" s="396" t="str">
        <f>IF(AC1441=TRUE, IF(COUNTIF(MSPara_SourceStreamCategory,V1441)=0,"",INDEX(MSPara_CalcFactorsMatrix,MATCH(V1441,MSPara_SourceStreamCategory,0),MATCH(AE1441&amp;"_"&amp;1,MSPara_CalcFactors,0))),"")</f>
        <v/>
      </c>
      <c r="AH1441" s="397" t="str">
        <f>IF(AA1441="","",INDEX(AF1441:AG1441,3-AA1441))</f>
        <v/>
      </c>
      <c r="AI1441" s="397" t="str">
        <f>IF(AC1441=TRUE,IF(OR(AH1441="",AH1441=EUconst_NA),EUconst_tCO2&amp;"/"&amp;IF(AN1440=EUconst_NA,AN1438,IF(AN1440=EUconst_GJ,EUconst_TJ,AN1440)),AH1441),"")</f>
        <v/>
      </c>
      <c r="AJ1441" s="397" t="str">
        <f>IF(J1441="",AI1441,J1441)</f>
        <v/>
      </c>
      <c r="AK1441" s="398" t="b">
        <f>AND(E1433&lt;&gt;"",J1441&lt;&gt;"")</f>
        <v>0</v>
      </c>
      <c r="AL1441" s="326"/>
      <c r="AM1441" s="358" t="s">
        <v>153</v>
      </c>
      <c r="AN1441" s="359" t="str">
        <f>IF(COUNTIF(RFAUnits,AN1438)=0,EUconst_NA,INDEX(EUwideConstants!$C$150:$H$154,MATCH(AJ1441,EFUnits,0),MATCH(AN1438,EUwideConstants!$C$149:$H$149,0)))</f>
        <v>n.a.</v>
      </c>
      <c r="AO1441" s="359" t="b">
        <f>AN1441&lt;&gt;EUconst_NA</f>
        <v>0</v>
      </c>
      <c r="AP1441" s="326"/>
      <c r="AQ1441" s="399" t="str">
        <f>EUconst_CNTR_EF&amp;EUconst_Value</f>
        <v>EF_Value</v>
      </c>
      <c r="AR1441" s="400" t="str">
        <f>IF(AC1441=TRUE,IF(COUNTIF(MSPara_SourceStreamCategory,V1441)=0,"",INDEX(MSPara_CalcFactorsMatrix,MATCH(V1441,MSPara_SourceStreamCategory,0),MATCH(AQ1441&amp;"_"&amp;2,MSPara_CalcFactors,0))),"")</f>
        <v/>
      </c>
      <c r="AS1441" s="401" t="str">
        <f>IF(AC1441=TRUE,IF(COUNTIF(MSPara_SourceStreamCategory,V1441)=0,"",INDEX(MSPara_CalcFactorsMatrix,MATCH(V1441,MSPara_SourceStreamCategory,0),MATCH(AQ1441&amp;"_"&amp;1,MSPara_CalcFactors,0))),"")</f>
        <v/>
      </c>
      <c r="AT1441" s="402" t="b">
        <f>AND(AND(AH1441&lt;&gt;"",AJ1441&lt;&gt;""),AJ1441=AH1441)</f>
        <v>0</v>
      </c>
      <c r="AU1441" s="403" t="str">
        <f>IF(AND(AA1441&lt;&gt;"",AT1441=TRUE),IF(OR(INDEX(AR1441:AS1441,3-AA1441)=EUconst_NA,INDEX(AR1441:AS1441,3-AA1441)=0),"",INDEX(AR1441:AS1441,3-AA1441)),"")</f>
        <v/>
      </c>
      <c r="AV1441" s="393">
        <f>IF(AC1441=TRUE,IF(COUNT(K1441:L1441)=0,0,IF(L1441="",K1441,L1441)),0)</f>
        <v>0</v>
      </c>
      <c r="AW1441" s="389" t="b">
        <f t="shared" si="441"/>
        <v>0</v>
      </c>
      <c r="AX1441" s="404" t="b">
        <f t="shared" si="442"/>
        <v>0</v>
      </c>
      <c r="AY1441" s="314"/>
      <c r="AZ1441" s="405" t="b">
        <f t="shared" si="443"/>
        <v>0</v>
      </c>
      <c r="BA1441" s="406" t="b">
        <f t="shared" si="444"/>
        <v>0</v>
      </c>
      <c r="BB1441" s="407" t="b">
        <f>AND(E1433&lt;&gt;"",COUNTIF(AO1441:AO1442,TRUE)=0)</f>
        <v>0</v>
      </c>
      <c r="BC1441" s="389" t="b">
        <f t="shared" si="445"/>
        <v>0</v>
      </c>
      <c r="BD1441" s="314"/>
      <c r="BE1441" s="314"/>
      <c r="BF1441" s="408" t="s">
        <v>154</v>
      </c>
      <c r="BG1441" s="409" t="str">
        <f>IF(COUNTIF(AO1441:AO1442,TRUE)=0,"",BH1441*AV1449)</f>
        <v/>
      </c>
      <c r="BH1441" s="409" t="str">
        <f>IF(COUNTIF(AO1441:AO1442,TRUE)=0,"",AV1438*IF(AO1441,1,AV1440*AN1442)*AV1441*AV1443)</f>
        <v/>
      </c>
      <c r="BI1441" s="314"/>
      <c r="BJ1441" s="314"/>
      <c r="BK1441" s="314"/>
      <c r="BL1441" s="314"/>
      <c r="BM1441" s="314"/>
      <c r="BN1441" s="314"/>
      <c r="BO1441" s="314"/>
      <c r="BP1441" s="314"/>
      <c r="BQ1441" s="314"/>
      <c r="BR1441" s="314"/>
      <c r="BS1441" s="314"/>
      <c r="BT1441" s="314"/>
      <c r="BU1441" s="314"/>
      <c r="BV1441" s="314"/>
      <c r="BW1441" s="314"/>
      <c r="BX1441" s="314"/>
      <c r="BY1441" s="314"/>
      <c r="BZ1441" s="314"/>
      <c r="CA1441" s="314"/>
      <c r="CB1441" s="314"/>
      <c r="CC1441" s="314"/>
      <c r="CD1441" s="314"/>
      <c r="CE1441" s="314"/>
      <c r="CF1441" s="314"/>
      <c r="CG1441" s="314"/>
      <c r="CH1441" s="314"/>
      <c r="CI1441" s="314"/>
      <c r="CJ1441" s="314"/>
      <c r="CK1441" s="314"/>
      <c r="CL1441" s="314"/>
      <c r="CM1441" s="314"/>
      <c r="CN1441" s="314"/>
      <c r="CO1441" s="314"/>
      <c r="CP1441" s="314"/>
      <c r="CQ1441" s="407" t="b">
        <f>OR(CQ1438,Y1441=EUconst_NA)</f>
        <v>0</v>
      </c>
    </row>
    <row r="1442" spans="1:95" ht="12.75" customHeight="1" x14ac:dyDescent="0.25">
      <c r="A1442" s="307"/>
      <c r="B1442" s="68"/>
      <c r="C1442" s="199" t="s">
        <v>15</v>
      </c>
      <c r="D1442" s="344" t="str">
        <f>Translations!$B$362</f>
        <v>BioF:</v>
      </c>
      <c r="E1442" s="345"/>
      <c r="F1442" s="10"/>
      <c r="G1442" s="1256" t="str">
        <f>IF(OR(ISBLANK(F1442),F1442=EUconst_NoTier),"",IF(Z1442=0,EUconst_NotApplicable,IF(ISERROR(Z1442),"",Z1442)))</f>
        <v/>
      </c>
      <c r="H1442" s="1257"/>
      <c r="I1442" s="410" t="str">
        <f t="shared" ref="I1442:I1447" si="446">IF(OR(AC1442=FALSE,Y1442=EUconst_NA),"","-")</f>
        <v/>
      </c>
      <c r="J1442" s="411"/>
      <c r="K1442" s="412" t="str">
        <f>IF(L1442="",AU1442,"")</f>
        <v/>
      </c>
      <c r="L1442" s="60"/>
      <c r="M1442" s="347" t="str">
        <f>IF(AND(E1433&lt;&gt;"",OR(F1442="",COUNT(K1442:L1442)=0),Y1442&lt;&gt;EUconst_NA),EUconst_ERR_Incomplete,IF(COUNTIF(BB1442:BD1442,TRUE)&gt;0,EUconst_ERR_Inconsistent,""))</f>
        <v/>
      </c>
      <c r="O1442" s="160"/>
      <c r="P1442" s="348"/>
      <c r="Q1442" s="413"/>
      <c r="R1442" s="413"/>
      <c r="S1442" s="314"/>
      <c r="T1442" s="388" t="str">
        <f>EUconst_CNTR_BiomassContent&amp;E1433</f>
        <v>BioC_</v>
      </c>
      <c r="U1442" s="312"/>
      <c r="V1442" s="369" t="str">
        <f>V1440</f>
        <v/>
      </c>
      <c r="W1442" s="369" t="str">
        <f>IF(OR(V1442="",COUNTIF(MSPara_SourceStreamCategory,V1442)=0),"",INDEX(MSPara_IsFossil,MATCH(V1442,MSPara_SourceStreamCategory,0)))</f>
        <v/>
      </c>
      <c r="X1442" s="312"/>
      <c r="Y1442" s="370" t="str">
        <f>IF(E1433="","",IF(OR(F1442=EUconst_NA,W1442=TRUE),EUconst_NA,INDEX(EUwideConstants!$P$164:$P$200,MATCH(T1442,EUwideConstants!$S$164:$S$200,0))))</f>
        <v/>
      </c>
      <c r="Z1442" s="371" t="str">
        <f>IF(ISBLANK(F1442),"",IF(F1442=EUconst_NA,"",INDEX(EUwideConstants!$H:$O,MATCH(T1442,EUwideConstants!$S:$S,0),MATCH(F1442,CNTR_TierList,0))))</f>
        <v/>
      </c>
      <c r="AA1442" s="414" t="str">
        <f>IF(F1442=1,1,"")</f>
        <v/>
      </c>
      <c r="AB1442" s="314"/>
      <c r="AC1442" s="373" t="b">
        <f>AND(AC1438,Y1442&lt;&gt;EUconst_NA)</f>
        <v>0</v>
      </c>
      <c r="AD1442" s="314"/>
      <c r="AE1442" s="415"/>
      <c r="AF1442" s="416"/>
      <c r="AG1442" s="417"/>
      <c r="AH1442" s="418"/>
      <c r="AI1442" s="418"/>
      <c r="AJ1442" s="418"/>
      <c r="AK1442" s="419"/>
      <c r="AL1442" s="326"/>
      <c r="AM1442" s="358" t="s">
        <v>155</v>
      </c>
      <c r="AN1442" s="359" t="str">
        <f>IF(AN1440=EUconst_NA,EUconst_NA,INDEX(EUwideConstants!$C$150:$H$154,MATCH(AJ1441,EFUnits,0),MATCH(AN1440,EUwideConstants!$C$149:$H$149,0)))</f>
        <v>n.a.</v>
      </c>
      <c r="AO1442" s="359" t="b">
        <f>AN1442&lt;&gt;EUconst_NA</f>
        <v>0</v>
      </c>
      <c r="AP1442" s="326"/>
      <c r="AQ1442" s="376" t="str">
        <f>EUconst_CNTR_BiomassContent&amp;EUconst_Value</f>
        <v>BioC_Value</v>
      </c>
      <c r="AR1442" s="420"/>
      <c r="AS1442" s="378" t="str">
        <f t="shared" ref="AS1442:AS1447" si="447">IF(AC1442=TRUE,IF(COUNTIF(MSPara_SourceStreamCategory,V1442)=0,"",INDEX(MSPara_CalcFactorsMatrix,MATCH(V1442,MSPara_SourceStreamCategory,0),MATCH(AQ1442&amp;"_"&amp;2,MSPara_CalcFactors,0))),"")</f>
        <v/>
      </c>
      <c r="AT1442" s="421"/>
      <c r="AU1442" s="380" t="str">
        <f t="shared" ref="AU1442:AU1447" si="448">IF(OR(AA1442="",AS1442=EUconst_NA),"",AS1442)</f>
        <v/>
      </c>
      <c r="AV1442" s="373">
        <f>IF(AC1442=TRUE,IF(COUNT(K1442:L1442)=0,0,IF(L1442="",K1442,L1442)),0)</f>
        <v>0</v>
      </c>
      <c r="AW1442" s="369" t="b">
        <f t="shared" si="441"/>
        <v>0</v>
      </c>
      <c r="AX1442" s="381" t="b">
        <f t="shared" si="442"/>
        <v>0</v>
      </c>
      <c r="AY1442" s="314"/>
      <c r="AZ1442" s="382" t="b">
        <f t="shared" si="443"/>
        <v>0</v>
      </c>
      <c r="BA1442" s="383" t="b">
        <f t="shared" si="444"/>
        <v>0</v>
      </c>
      <c r="BB1442" s="314"/>
      <c r="BC1442" s="369" t="b">
        <f t="shared" si="445"/>
        <v>0</v>
      </c>
      <c r="BD1442" s="369" t="b">
        <f>OR(AV1442&gt;100%,(AV1442+AV1443)&gt;100%)</f>
        <v>0</v>
      </c>
      <c r="BE1442" s="314"/>
      <c r="BF1442" s="382" t="s">
        <v>156</v>
      </c>
      <c r="BG1442" s="384" t="str">
        <f>IF(COUNTIF(AO1441:AO1442,TRUE)=0,"",BH1442*AV1449)</f>
        <v/>
      </c>
      <c r="BH1442" s="384" t="str">
        <f>IF(COUNTIF(AO1441:AO1442,TRUE)=0,"",AV1438*IF(AO1441,1,AV1440*AN1442)*AV1441*AV1444)</f>
        <v/>
      </c>
      <c r="BJ1442" s="314"/>
      <c r="BK1442" s="314"/>
      <c r="BL1442" s="314"/>
      <c r="BM1442" s="314"/>
      <c r="BN1442" s="314"/>
      <c r="BO1442" s="314"/>
      <c r="BP1442" s="314"/>
      <c r="BQ1442" s="314"/>
      <c r="BR1442" s="314"/>
      <c r="BS1442" s="314"/>
      <c r="BT1442" s="314"/>
      <c r="BU1442" s="314"/>
      <c r="BV1442" s="314"/>
      <c r="BW1442" s="314"/>
      <c r="BX1442" s="314"/>
      <c r="BY1442" s="314"/>
      <c r="BZ1442" s="314"/>
      <c r="CA1442" s="314"/>
      <c r="CB1442" s="314"/>
      <c r="CC1442" s="314"/>
      <c r="CD1442" s="314"/>
      <c r="CE1442" s="314"/>
      <c r="CF1442" s="314"/>
      <c r="CG1442" s="314"/>
      <c r="CH1442" s="314"/>
      <c r="CI1442" s="314"/>
      <c r="CJ1442" s="314"/>
      <c r="CK1442" s="314"/>
      <c r="CL1442" s="314"/>
      <c r="CM1442" s="314"/>
      <c r="CN1442" s="314"/>
      <c r="CO1442" s="314"/>
      <c r="CP1442" s="314"/>
      <c r="CQ1442" s="369" t="b">
        <f>OR(CQ1438,Y1442=EUconst_NA)</f>
        <v>0</v>
      </c>
    </row>
    <row r="1443" spans="1:95" ht="12.75" customHeight="1" thickBot="1" x14ac:dyDescent="0.3">
      <c r="A1443" s="307"/>
      <c r="B1443" s="68"/>
      <c r="C1443" s="199" t="s">
        <v>16</v>
      </c>
      <c r="D1443" s="344" t="str">
        <f>Translations!$B$368</f>
        <v>non-sust. BioF:</v>
      </c>
      <c r="E1443" s="345"/>
      <c r="F1443" s="20"/>
      <c r="G1443" s="1256" t="str">
        <f>IF(OR(ISBLANK(F1443),F1443=EUconst_NoTier),"",IF(Z1443=0,EUconst_NotApplicable,IF(ISERROR(Z1443),"",Z1443)))</f>
        <v/>
      </c>
      <c r="H1443" s="1257"/>
      <c r="I1443" s="422" t="str">
        <f t="shared" si="446"/>
        <v/>
      </c>
      <c r="J1443" s="423"/>
      <c r="K1443" s="424" t="str">
        <f>IF(L1443="",AU1443,"")</f>
        <v/>
      </c>
      <c r="L1443" s="21"/>
      <c r="M1443" s="347" t="str">
        <f>IF(AND(E1433&lt;&gt;"",OR(F1443="",COUNT(K1443:L1443)=0),Y1443&lt;&gt;EUconst_NA),EUconst_ERR_Incomplete,IF(COUNTIF(BB1443:BD1443,TRUE)&gt;0,EUconst_ERR_Inconsistent,""))</f>
        <v/>
      </c>
      <c r="N1443" s="76"/>
      <c r="O1443" s="160"/>
      <c r="P1443" s="348"/>
      <c r="Q1443" s="413"/>
      <c r="R1443" s="413"/>
      <c r="S1443" s="314"/>
      <c r="T1443" s="425" t="str">
        <f>EUconst_CNTR_BiomassContent&amp;E1433</f>
        <v>BioC_</v>
      </c>
      <c r="U1443" s="312"/>
      <c r="V1443" s="407" t="str">
        <f>V1442</f>
        <v/>
      </c>
      <c r="W1443" s="407" t="str">
        <f>IF(OR(V1442="",COUNTIF(MSPara_SourceStreamCategory,V1443)=0),"",INDEX(MSPara_IsFossil,MATCH(V1443,MSPara_SourceStreamCategory,0)))</f>
        <v/>
      </c>
      <c r="X1443" s="312"/>
      <c r="Y1443" s="426" t="str">
        <f>IF(E1433="","",IF(OR(F1443=EUconst_NA,W1443=TRUE),EUconst_NA,INDEX(EUwideConstants!$P$164:$P$200,MATCH(T1443,EUwideConstants!$S$164:$S$200,0))))</f>
        <v/>
      </c>
      <c r="Z1443" s="427" t="str">
        <f>IF(ISBLANK(F1443),"",IF(F1443=EUconst_NA,"",INDEX(EUwideConstants!$H:$O,MATCH(T1443,EUwideConstants!$S:$S,0),MATCH(F1443,CNTR_TierList,0))))</f>
        <v/>
      </c>
      <c r="AA1443" s="428" t="str">
        <f>IF(F1443=1,1,"")</f>
        <v/>
      </c>
      <c r="AB1443" s="314"/>
      <c r="AC1443" s="429" t="b">
        <f>AND(AC1438,Y1443&lt;&gt;EUconst_NA)</f>
        <v>0</v>
      </c>
      <c r="AD1443" s="314"/>
      <c r="AE1443" s="430"/>
      <c r="AF1443" s="431"/>
      <c r="AG1443" s="432"/>
      <c r="AH1443" s="433"/>
      <c r="AI1443" s="433"/>
      <c r="AJ1443" s="433"/>
      <c r="AK1443" s="434"/>
      <c r="AL1443" s="326"/>
      <c r="AM1443" s="326"/>
      <c r="AN1443" s="326"/>
      <c r="AO1443" s="326"/>
      <c r="AP1443" s="326"/>
      <c r="AQ1443" s="435" t="str">
        <f>EUconst_CNTR_BiomassContent&amp;EUconst_Value</f>
        <v>BioC_Value</v>
      </c>
      <c r="AR1443" s="430"/>
      <c r="AS1443" s="436" t="str">
        <f t="shared" si="447"/>
        <v/>
      </c>
      <c r="AT1443" s="437"/>
      <c r="AU1443" s="438" t="str">
        <f t="shared" si="448"/>
        <v/>
      </c>
      <c r="AV1443" s="429">
        <f>IF(AC1443=TRUE,IF(COUNT(K1443:L1443)=0,0,IF(L1443="",K1443,L1443)),0)</f>
        <v>0</v>
      </c>
      <c r="AW1443" s="407" t="b">
        <f t="shared" si="441"/>
        <v>0</v>
      </c>
      <c r="AX1443" s="439" t="b">
        <f t="shared" si="442"/>
        <v>0</v>
      </c>
      <c r="AY1443" s="314"/>
      <c r="AZ1443" s="408" t="b">
        <f t="shared" si="443"/>
        <v>0</v>
      </c>
      <c r="BA1443" s="440" t="b">
        <f t="shared" si="444"/>
        <v>0</v>
      </c>
      <c r="BB1443" s="314"/>
      <c r="BC1443" s="407" t="b">
        <f t="shared" si="445"/>
        <v>0</v>
      </c>
      <c r="BD1443" s="407" t="b">
        <f>OR(AV1442&gt;100%,(AV1442+AV1443)&gt;100%)</f>
        <v>0</v>
      </c>
      <c r="BE1443" s="314"/>
      <c r="BF1443" s="408" t="s">
        <v>157</v>
      </c>
      <c r="BG1443" s="409" t="str">
        <f>IF(COUNTIF(AO1441:AO1442,TRUE)=0,"",BH1443*AV1449)</f>
        <v/>
      </c>
      <c r="BH1443" s="409" t="str">
        <f>IF(COUNTIF(AO1441:AO1442,TRUE)=0,"",AV1438*IF(AO1441,1,AV1440*AN1442)*AV1441*AV1445)</f>
        <v/>
      </c>
      <c r="BJ1443" s="314"/>
      <c r="BK1443" s="314"/>
      <c r="BL1443" s="314"/>
      <c r="BM1443" s="314"/>
      <c r="BN1443" s="314"/>
      <c r="BO1443" s="314"/>
      <c r="BP1443" s="314"/>
      <c r="BQ1443" s="314"/>
      <c r="BR1443" s="314"/>
      <c r="BS1443" s="314"/>
      <c r="BT1443" s="314"/>
      <c r="BU1443" s="314"/>
      <c r="BV1443" s="314"/>
      <c r="BW1443" s="314"/>
      <c r="BX1443" s="314"/>
      <c r="BY1443" s="314"/>
      <c r="BZ1443" s="314"/>
      <c r="CA1443" s="314"/>
      <c r="CB1443" s="314"/>
      <c r="CC1443" s="314"/>
      <c r="CD1443" s="314"/>
      <c r="CE1443" s="314"/>
      <c r="CF1443" s="314"/>
      <c r="CG1443" s="314"/>
      <c r="CH1443" s="314"/>
      <c r="CI1443" s="314"/>
      <c r="CJ1443" s="314"/>
      <c r="CK1443" s="314"/>
      <c r="CL1443" s="314"/>
      <c r="CM1443" s="314"/>
      <c r="CN1443" s="314"/>
      <c r="CO1443" s="314"/>
      <c r="CP1443" s="314"/>
      <c r="CQ1443" s="407" t="b">
        <f>OR(CQ1438,Y1443=EUconst_NA)</f>
        <v>0</v>
      </c>
    </row>
    <row r="1444" spans="1:95" ht="12.75" customHeight="1" thickBot="1" x14ac:dyDescent="0.3">
      <c r="A1444" s="307"/>
      <c r="B1444" s="68"/>
      <c r="C1444" s="199" t="s">
        <v>17</v>
      </c>
      <c r="D1444" s="344" t="str">
        <f>Translations!$B$610</f>
        <v>sust. RFNBO/RCF:</v>
      </c>
      <c r="E1444" s="441"/>
      <c r="F1444" s="19" t="s">
        <v>158</v>
      </c>
      <c r="G1444" s="1261"/>
      <c r="H1444" s="1262"/>
      <c r="I1444" s="442" t="str">
        <f t="shared" si="446"/>
        <v/>
      </c>
      <c r="J1444" s="411"/>
      <c r="K1444" s="443"/>
      <c r="L1444" s="55"/>
      <c r="M1444" s="347" t="str">
        <f>IF(AND(E1433&lt;&gt;"",OR(F1444="",COUNT(L1444)=0),Y1444&lt;&gt;EUconst_NA),EUconst_ERR_Incomplete,"")</f>
        <v/>
      </c>
      <c r="N1444" s="76"/>
      <c r="O1444" s="160"/>
      <c r="P1444" s="348"/>
      <c r="Q1444" s="413"/>
      <c r="R1444" s="413"/>
      <c r="S1444" s="314"/>
      <c r="T1444" s="388" t="str">
        <f>EUconst_CNTR_RFNBOetcContent&amp;E1433</f>
        <v>RNFBOC_</v>
      </c>
      <c r="U1444" s="312"/>
      <c r="V1444" s="312"/>
      <c r="W1444" s="312"/>
      <c r="X1444" s="312"/>
      <c r="Y1444" s="380" t="str">
        <f>IF(E1433="","",IF(OR(F1444=EUconst_NA,W1444=TRUE),EUconst_NA,INDEX(EUwideConstants!$P$164:$P$200,MATCH(T1444,EUwideConstants!$S$164:$S$200,0))))</f>
        <v/>
      </c>
      <c r="Z1444" s="314"/>
      <c r="AA1444" s="314"/>
      <c r="AB1444" s="314"/>
      <c r="AC1444" s="397" t="b">
        <f>AND(AC1440,Y1444&lt;&gt;EUconst_NA)</f>
        <v>0</v>
      </c>
      <c r="AD1444" s="314"/>
      <c r="AE1444" s="415"/>
      <c r="AF1444" s="416"/>
      <c r="AG1444" s="417"/>
      <c r="AH1444" s="418"/>
      <c r="AI1444" s="418"/>
      <c r="AJ1444" s="418"/>
      <c r="AK1444" s="419"/>
      <c r="AL1444" s="326"/>
      <c r="AM1444" s="326"/>
      <c r="AN1444" s="326"/>
      <c r="AO1444" s="326"/>
      <c r="AP1444" s="326"/>
      <c r="AQ1444" s="444" t="s">
        <v>159</v>
      </c>
      <c r="AR1444" s="415"/>
      <c r="AS1444" s="445" t="str">
        <f t="shared" si="447"/>
        <v/>
      </c>
      <c r="AT1444" s="446"/>
      <c r="AU1444" s="447" t="str">
        <f t="shared" si="448"/>
        <v/>
      </c>
      <c r="AV1444" s="397">
        <f>IF(L1444&lt;&gt;0,L1444,L1444)</f>
        <v>0</v>
      </c>
      <c r="AW1444" s="398" t="b">
        <f t="shared" si="441"/>
        <v>0</v>
      </c>
      <c r="AX1444" s="448" t="b">
        <f t="shared" si="442"/>
        <v>0</v>
      </c>
      <c r="AY1444" s="314"/>
      <c r="AZ1444" s="449" t="b">
        <f t="shared" si="443"/>
        <v>0</v>
      </c>
      <c r="BA1444" s="450" t="b">
        <f t="shared" si="444"/>
        <v>0</v>
      </c>
      <c r="BB1444" s="314"/>
      <c r="BC1444" s="398" t="b">
        <f t="shared" si="445"/>
        <v>0</v>
      </c>
      <c r="BD1444" s="369" t="b">
        <f>OR(AV1444&gt;100%,(AV1444+AV1445)&gt;100%)</f>
        <v>0</v>
      </c>
      <c r="BE1444" s="314"/>
      <c r="BF1444" s="451" t="s">
        <v>160</v>
      </c>
      <c r="BG1444" s="452" t="str">
        <f>IF(COUNTIF(AO1441:AO1442,TRUE)=0,"",BH1444*AV1449)</f>
        <v/>
      </c>
      <c r="BH1444" s="452" t="str">
        <f>IF(COUNTIF(AO1441:AO1442,TRUE)=0,"",AV1438*IF(AO1441,1,AV1440*AN1442)*AV1441*AV1446)</f>
        <v/>
      </c>
      <c r="BJ1444" s="314"/>
      <c r="BK1444" s="314"/>
      <c r="BL1444" s="314"/>
      <c r="BM1444" s="314"/>
      <c r="BN1444" s="314"/>
      <c r="BO1444" s="314"/>
      <c r="BP1444" s="314"/>
      <c r="BQ1444" s="314"/>
      <c r="BR1444" s="314"/>
      <c r="BS1444" s="314"/>
      <c r="BT1444" s="314"/>
      <c r="BU1444" s="314"/>
      <c r="BV1444" s="314"/>
      <c r="BW1444" s="314"/>
      <c r="BX1444" s="314"/>
      <c r="BY1444" s="314"/>
      <c r="BZ1444" s="314"/>
      <c r="CA1444" s="314"/>
      <c r="CB1444" s="314"/>
      <c r="CC1444" s="314"/>
      <c r="CD1444" s="314"/>
      <c r="CE1444" s="314"/>
      <c r="CF1444" s="314"/>
      <c r="CG1444" s="314"/>
      <c r="CH1444" s="314"/>
      <c r="CI1444" s="314"/>
      <c r="CJ1444" s="314"/>
      <c r="CK1444" s="314"/>
      <c r="CL1444" s="314"/>
      <c r="CM1444" s="314"/>
      <c r="CN1444" s="314"/>
      <c r="CO1444" s="314"/>
      <c r="CP1444" s="314"/>
      <c r="CQ1444" s="407" t="b">
        <f>OR(CQ1438,Y1444=EUconst_NA)</f>
        <v>0</v>
      </c>
    </row>
    <row r="1445" spans="1:95" ht="12.75" customHeight="1" thickBot="1" x14ac:dyDescent="0.3">
      <c r="A1445" s="307"/>
      <c r="B1445" s="68"/>
      <c r="C1445" s="199" t="s">
        <v>161</v>
      </c>
      <c r="D1445" s="344" t="str">
        <f>Translations!$B$613</f>
        <v>non-sust. RFNBO/RCF:</v>
      </c>
      <c r="E1445" s="441"/>
      <c r="F1445" s="20" t="s">
        <v>158</v>
      </c>
      <c r="G1445" s="1261"/>
      <c r="H1445" s="1262"/>
      <c r="I1445" s="422" t="str">
        <f t="shared" si="446"/>
        <v/>
      </c>
      <c r="J1445" s="423"/>
      <c r="K1445" s="443"/>
      <c r="L1445" s="56"/>
      <c r="M1445" s="347" t="str">
        <f>IF(AND(E1433&lt;&gt;"",OR(F1445="",COUNT(L1445)=0),Y1445&lt;&gt;EUconst_NA),EUconst_ERR_Incomplete,"")</f>
        <v/>
      </c>
      <c r="N1445" s="76"/>
      <c r="O1445" s="160"/>
      <c r="P1445" s="348"/>
      <c r="Q1445" s="413"/>
      <c r="R1445" s="413"/>
      <c r="S1445" s="314"/>
      <c r="T1445" s="425" t="str">
        <f>EUconst_CNTR_RFNBOetcContent&amp;E1433</f>
        <v>RNFBOC_</v>
      </c>
      <c r="U1445" s="312"/>
      <c r="V1445" s="312"/>
      <c r="W1445" s="312"/>
      <c r="X1445" s="312"/>
      <c r="Y1445" s="438" t="str">
        <f>IF(E1433="","",IF(OR(F1445=EUconst_NA,W1445=TRUE),EUconst_NA,INDEX(EUwideConstants!$P$164:$P$200,MATCH(T1445,EUwideConstants!$S$164:$S$200,0))))</f>
        <v/>
      </c>
      <c r="Z1445" s="314"/>
      <c r="AA1445" s="314"/>
      <c r="AB1445" s="314"/>
      <c r="AC1445" s="429" t="b">
        <f>AND(AC1440,Y1445&lt;&gt;EUconst_NA)</f>
        <v>0</v>
      </c>
      <c r="AD1445" s="314"/>
      <c r="AE1445" s="430"/>
      <c r="AF1445" s="431"/>
      <c r="AG1445" s="432"/>
      <c r="AH1445" s="433"/>
      <c r="AI1445" s="433"/>
      <c r="AJ1445" s="433"/>
      <c r="AK1445" s="434"/>
      <c r="AL1445" s="326"/>
      <c r="AM1445" s="326"/>
      <c r="AN1445" s="326"/>
      <c r="AO1445" s="326"/>
      <c r="AP1445" s="326"/>
      <c r="AQ1445" s="435" t="s">
        <v>159</v>
      </c>
      <c r="AR1445" s="430"/>
      <c r="AS1445" s="436" t="str">
        <f t="shared" si="447"/>
        <v/>
      </c>
      <c r="AT1445" s="437"/>
      <c r="AU1445" s="438" t="str">
        <f t="shared" si="448"/>
        <v/>
      </c>
      <c r="AV1445" s="429">
        <f t="shared" ref="AV1445:AV1447" si="449">IF(L1445&lt;&gt;0,L1445,L1445)</f>
        <v>0</v>
      </c>
      <c r="AW1445" s="407" t="b">
        <f t="shared" si="441"/>
        <v>0</v>
      </c>
      <c r="AX1445" s="439" t="b">
        <f t="shared" si="442"/>
        <v>0</v>
      </c>
      <c r="AY1445" s="314"/>
      <c r="AZ1445" s="408" t="b">
        <f t="shared" si="443"/>
        <v>0</v>
      </c>
      <c r="BA1445" s="440" t="b">
        <f t="shared" si="444"/>
        <v>0</v>
      </c>
      <c r="BB1445" s="314"/>
      <c r="BC1445" s="407" t="b">
        <f t="shared" si="445"/>
        <v>0</v>
      </c>
      <c r="BD1445" s="407" t="b">
        <f>OR(AV1444&gt;100%,(AV1444+AV1445)&gt;100%)</f>
        <v>0</v>
      </c>
      <c r="BE1445" s="314"/>
      <c r="BF1445" s="408" t="s">
        <v>162</v>
      </c>
      <c r="BG1445" s="409" t="str">
        <f>IF(COUNTIF(AO1441:AO1442,TRUE)=0,"",BH1445*AV1449)</f>
        <v/>
      </c>
      <c r="BH1445" s="409" t="str">
        <f>IF(COUNTIF(AO1441:AO1442,TRUE)=0,"",AV1438*IF(AO1441,1,AV1440*AN1442)*AV1441*AV1447)</f>
        <v/>
      </c>
      <c r="BJ1445" s="314"/>
      <c r="BK1445" s="314"/>
      <c r="BL1445" s="314"/>
      <c r="BM1445" s="314"/>
      <c r="BN1445" s="314"/>
      <c r="BO1445" s="314"/>
      <c r="BP1445" s="314"/>
      <c r="BQ1445" s="314"/>
      <c r="BR1445" s="314"/>
      <c r="BS1445" s="314"/>
      <c r="BT1445" s="314"/>
      <c r="BU1445" s="314"/>
      <c r="BV1445" s="314"/>
      <c r="BW1445" s="314"/>
      <c r="BX1445" s="314"/>
      <c r="BY1445" s="314"/>
      <c r="BZ1445" s="314"/>
      <c r="CA1445" s="314"/>
      <c r="CB1445" s="314"/>
      <c r="CC1445" s="314"/>
      <c r="CD1445" s="314"/>
      <c r="CE1445" s="314"/>
      <c r="CF1445" s="314"/>
      <c r="CG1445" s="314"/>
      <c r="CH1445" s="314"/>
      <c r="CI1445" s="314"/>
      <c r="CJ1445" s="314"/>
      <c r="CK1445" s="314"/>
      <c r="CL1445" s="314"/>
      <c r="CM1445" s="314"/>
      <c r="CN1445" s="314"/>
      <c r="CO1445" s="314"/>
      <c r="CP1445" s="314"/>
      <c r="CQ1445" s="407" t="b">
        <f>OR(CQ1438,Y1445=EUconst_NA)</f>
        <v>0</v>
      </c>
    </row>
    <row r="1446" spans="1:95" ht="12.75" customHeight="1" thickBot="1" x14ac:dyDescent="0.3">
      <c r="A1446" s="307"/>
      <c r="B1446" s="68"/>
      <c r="C1446" s="199" t="s">
        <v>163</v>
      </c>
      <c r="D1446" s="344" t="str">
        <f>Translations!$B$615</f>
        <v>sust. SLCF:</v>
      </c>
      <c r="E1446" s="441"/>
      <c r="F1446" s="19" t="s">
        <v>158</v>
      </c>
      <c r="G1446" s="1261"/>
      <c r="H1446" s="1262"/>
      <c r="I1446" s="442" t="str">
        <f t="shared" si="446"/>
        <v/>
      </c>
      <c r="J1446" s="411"/>
      <c r="K1446" s="443"/>
      <c r="L1446" s="57"/>
      <c r="M1446" s="347" t="str">
        <f>IF(AND(E1433&lt;&gt;"",OR(F1446="",COUNT(L1446)=0),Y1446&lt;&gt;EUconst_NA),EUconst_ERR_Incomplete,"")</f>
        <v/>
      </c>
      <c r="N1446" s="76"/>
      <c r="O1446" s="160"/>
      <c r="P1446" s="348"/>
      <c r="Q1446" s="413"/>
      <c r="R1446" s="413"/>
      <c r="S1446" s="314"/>
      <c r="T1446" s="388" t="str">
        <f>EUconst_CNTR_RFNBOetcContent&amp;E1433</f>
        <v>RNFBOC_</v>
      </c>
      <c r="U1446" s="312"/>
      <c r="V1446" s="312"/>
      <c r="W1446" s="312"/>
      <c r="X1446" s="312"/>
      <c r="Y1446" s="447" t="str">
        <f>IF(E1433="","",IF(OR(F1446=EUconst_NA,W1446=TRUE),EUconst_NA,INDEX(EUwideConstants!$P$164:$P$200,MATCH(T1446,EUwideConstants!$S$164:$S$200,0))))</f>
        <v/>
      </c>
      <c r="Z1446" s="314"/>
      <c r="AA1446" s="314"/>
      <c r="AB1446" s="314"/>
      <c r="AC1446" s="397" t="b">
        <f>AND(AC1442,Y1446&lt;&gt;EUconst_NA)</f>
        <v>0</v>
      </c>
      <c r="AD1446" s="314"/>
      <c r="AE1446" s="415"/>
      <c r="AF1446" s="416"/>
      <c r="AG1446" s="417"/>
      <c r="AH1446" s="418"/>
      <c r="AI1446" s="418"/>
      <c r="AJ1446" s="418"/>
      <c r="AK1446" s="419"/>
      <c r="AL1446" s="326"/>
      <c r="AM1446" s="326"/>
      <c r="AN1446" s="326"/>
      <c r="AO1446" s="326"/>
      <c r="AP1446" s="326"/>
      <c r="AQ1446" s="444" t="s">
        <v>159</v>
      </c>
      <c r="AR1446" s="415"/>
      <c r="AS1446" s="445" t="str">
        <f t="shared" si="447"/>
        <v/>
      </c>
      <c r="AT1446" s="446"/>
      <c r="AU1446" s="447" t="str">
        <f t="shared" si="448"/>
        <v/>
      </c>
      <c r="AV1446" s="397">
        <f t="shared" si="449"/>
        <v>0</v>
      </c>
      <c r="AW1446" s="398" t="b">
        <f t="shared" si="441"/>
        <v>0</v>
      </c>
      <c r="AX1446" s="448" t="b">
        <f t="shared" si="442"/>
        <v>0</v>
      </c>
      <c r="AY1446" s="314"/>
      <c r="AZ1446" s="449" t="b">
        <f t="shared" si="443"/>
        <v>0</v>
      </c>
      <c r="BA1446" s="450" t="b">
        <f t="shared" si="444"/>
        <v>0</v>
      </c>
      <c r="BB1446" s="314"/>
      <c r="BC1446" s="398" t="b">
        <f t="shared" si="445"/>
        <v>0</v>
      </c>
      <c r="BD1446" s="369" t="b">
        <f>OR(AV1446&gt;100%,(AV1446+AV1447)&gt;100%)</f>
        <v>0</v>
      </c>
      <c r="BE1446" s="314"/>
      <c r="BF1446" s="451" t="s">
        <v>164</v>
      </c>
      <c r="BG1446" s="452">
        <f>IF(AN1438=EUconst_TJ,AV1438*(1-AV1442),IF(AN1440=EUconst_GJ,AV1438*AV1440/1000,0))-SUM(BG1447:BG1453)</f>
        <v>0</v>
      </c>
      <c r="BH1446" s="314"/>
      <c r="BI1446" s="314"/>
      <c r="BJ1446" s="314"/>
      <c r="BK1446" s="314"/>
      <c r="BL1446" s="314"/>
      <c r="BM1446" s="314"/>
      <c r="BN1446" s="314"/>
      <c r="BO1446" s="314"/>
      <c r="BP1446" s="314"/>
      <c r="BQ1446" s="314"/>
      <c r="BR1446" s="314"/>
      <c r="BS1446" s="314"/>
      <c r="BT1446" s="314"/>
      <c r="BU1446" s="314"/>
      <c r="BV1446" s="314"/>
      <c r="BW1446" s="314"/>
      <c r="BX1446" s="314"/>
      <c r="BY1446" s="314"/>
      <c r="BZ1446" s="314"/>
      <c r="CA1446" s="314"/>
      <c r="CB1446" s="314"/>
      <c r="CC1446" s="314"/>
      <c r="CD1446" s="314"/>
      <c r="CE1446" s="314"/>
      <c r="CF1446" s="314"/>
      <c r="CG1446" s="314"/>
      <c r="CH1446" s="314"/>
      <c r="CI1446" s="314"/>
      <c r="CJ1446" s="314"/>
      <c r="CK1446" s="314"/>
      <c r="CL1446" s="314"/>
      <c r="CM1446" s="314"/>
      <c r="CN1446" s="314"/>
      <c r="CO1446" s="314"/>
      <c r="CP1446" s="314"/>
      <c r="CQ1446" s="407" t="b">
        <f>OR(CQ1438,Y1446=EUconst_NA)</f>
        <v>0</v>
      </c>
    </row>
    <row r="1447" spans="1:95" ht="12.75" customHeight="1" thickBot="1" x14ac:dyDescent="0.3">
      <c r="A1447" s="307"/>
      <c r="B1447" s="68"/>
      <c r="C1447" s="199" t="s">
        <v>165</v>
      </c>
      <c r="D1447" s="344" t="str">
        <f>Translations!$B$618</f>
        <v>non-sust. SLCF:</v>
      </c>
      <c r="E1447" s="441"/>
      <c r="F1447" s="20" t="s">
        <v>158</v>
      </c>
      <c r="G1447" s="1261"/>
      <c r="H1447" s="1262"/>
      <c r="I1447" s="422" t="str">
        <f t="shared" si="446"/>
        <v/>
      </c>
      <c r="J1447" s="423"/>
      <c r="K1447" s="443"/>
      <c r="L1447" s="56"/>
      <c r="M1447" s="347" t="str">
        <f>IF(AND(E1433&lt;&gt;"",OR(F1447="",COUNT(L1447)=0),Y1447&lt;&gt;EUconst_NA),EUconst_ERR_Incomplete,"")</f>
        <v/>
      </c>
      <c r="N1447" s="76"/>
      <c r="O1447" s="160"/>
      <c r="P1447" s="348"/>
      <c r="Q1447" s="413"/>
      <c r="R1447" s="413"/>
      <c r="S1447" s="314"/>
      <c r="T1447" s="425" t="str">
        <f>EUconst_CNTR_RFNBOetcContent&amp;E1433</f>
        <v>RNFBOC_</v>
      </c>
      <c r="U1447" s="312"/>
      <c r="V1447" s="312"/>
      <c r="W1447" s="312"/>
      <c r="X1447" s="312"/>
      <c r="Y1447" s="438" t="str">
        <f>IF(E1433="","",IF(OR(F1447=EUconst_NA,W1447=TRUE),EUconst_NA,INDEX(EUwideConstants!$P$164:$P$200,MATCH(T1447,EUwideConstants!$S$164:$S$200,0))))</f>
        <v/>
      </c>
      <c r="Z1447" s="314"/>
      <c r="AA1447" s="314"/>
      <c r="AB1447" s="314"/>
      <c r="AC1447" s="429" t="b">
        <f>AND(AC1442,Y1447&lt;&gt;EUconst_NA)</f>
        <v>0</v>
      </c>
      <c r="AD1447" s="314"/>
      <c r="AE1447" s="430"/>
      <c r="AF1447" s="431"/>
      <c r="AG1447" s="432"/>
      <c r="AH1447" s="433"/>
      <c r="AI1447" s="433"/>
      <c r="AJ1447" s="433"/>
      <c r="AK1447" s="434"/>
      <c r="AL1447" s="326"/>
      <c r="AM1447" s="326"/>
      <c r="AN1447" s="326"/>
      <c r="AO1447" s="326"/>
      <c r="AP1447" s="326"/>
      <c r="AQ1447" s="435" t="s">
        <v>159</v>
      </c>
      <c r="AR1447" s="430"/>
      <c r="AS1447" s="436" t="str">
        <f t="shared" si="447"/>
        <v/>
      </c>
      <c r="AT1447" s="437"/>
      <c r="AU1447" s="438" t="str">
        <f t="shared" si="448"/>
        <v/>
      </c>
      <c r="AV1447" s="429">
        <f t="shared" si="449"/>
        <v>0</v>
      </c>
      <c r="AW1447" s="407" t="b">
        <f t="shared" si="441"/>
        <v>0</v>
      </c>
      <c r="AX1447" s="439" t="b">
        <f t="shared" si="442"/>
        <v>0</v>
      </c>
      <c r="AY1447" s="314"/>
      <c r="AZ1447" s="408" t="b">
        <f t="shared" si="443"/>
        <v>0</v>
      </c>
      <c r="BA1447" s="440" t="b">
        <f t="shared" si="444"/>
        <v>0</v>
      </c>
      <c r="BB1447" s="314"/>
      <c r="BC1447" s="407" t="b">
        <f t="shared" si="445"/>
        <v>0</v>
      </c>
      <c r="BD1447" s="407" t="b">
        <f>OR(AV1446&gt;100%,(AV1446+AV1447)&gt;100%)</f>
        <v>0</v>
      </c>
      <c r="BE1447" s="314"/>
      <c r="BF1447" s="408" t="s">
        <v>166</v>
      </c>
      <c r="BG1447" s="409" t="str">
        <f>IF(AN1438=EUconst_TJ,AV1438*AV1442,IF(AN1440=EUconst_GJ,AV1438*AV1440/1000*AV1442,""))</f>
        <v/>
      </c>
      <c r="BH1447" s="314"/>
      <c r="BI1447" s="314"/>
      <c r="BJ1447" s="314"/>
      <c r="BK1447" s="314"/>
      <c r="BL1447" s="314"/>
      <c r="BM1447" s="314"/>
      <c r="BN1447" s="314"/>
      <c r="BO1447" s="314"/>
      <c r="BP1447" s="314"/>
      <c r="BQ1447" s="314"/>
      <c r="BR1447" s="314"/>
      <c r="BS1447" s="314"/>
      <c r="BT1447" s="314"/>
      <c r="BU1447" s="314"/>
      <c r="BV1447" s="314"/>
      <c r="BW1447" s="314"/>
      <c r="BX1447" s="314"/>
      <c r="BY1447" s="314"/>
      <c r="BZ1447" s="314"/>
      <c r="CA1447" s="314"/>
      <c r="CB1447" s="314"/>
      <c r="CC1447" s="314"/>
      <c r="CD1447" s="314"/>
      <c r="CE1447" s="314"/>
      <c r="CF1447" s="314"/>
      <c r="CG1447" s="314"/>
      <c r="CH1447" s="314"/>
      <c r="CI1447" s="314"/>
      <c r="CJ1447" s="314"/>
      <c r="CK1447" s="314"/>
      <c r="CL1447" s="314"/>
      <c r="CM1447" s="314"/>
      <c r="CN1447" s="314"/>
      <c r="CO1447" s="314"/>
      <c r="CP1447" s="314"/>
      <c r="CQ1447" s="407" t="b">
        <f>OR(CQ1438,Y1447=EUconst_NA)</f>
        <v>0</v>
      </c>
    </row>
    <row r="1448" spans="1:95" ht="5.15" customHeight="1" thickBot="1" x14ac:dyDescent="0.3">
      <c r="A1448" s="307"/>
      <c r="B1448" s="68"/>
      <c r="C1448" s="68"/>
      <c r="D1448" s="205"/>
      <c r="E1448" s="76"/>
      <c r="F1448" s="76"/>
      <c r="G1448" s="76"/>
      <c r="H1448" s="76"/>
      <c r="I1448" s="76"/>
      <c r="J1448" s="76"/>
      <c r="K1448" s="76"/>
      <c r="L1448" s="76"/>
      <c r="M1448" s="453"/>
      <c r="N1448" s="76"/>
      <c r="O1448" s="160"/>
      <c r="P1448" s="109"/>
      <c r="Q1448" s="312"/>
      <c r="R1448" s="312"/>
      <c r="S1448" s="314"/>
      <c r="T1448" s="314"/>
      <c r="U1448" s="314"/>
      <c r="V1448" s="314"/>
      <c r="W1448" s="314"/>
      <c r="X1448" s="314"/>
      <c r="Y1448" s="314"/>
      <c r="Z1448" s="314"/>
      <c r="AA1448" s="314"/>
      <c r="AB1448" s="314"/>
      <c r="AC1448" s="314"/>
      <c r="AD1448" s="314"/>
      <c r="AE1448" s="314"/>
      <c r="AF1448" s="314"/>
      <c r="AG1448" s="314"/>
      <c r="AH1448" s="314"/>
      <c r="AI1448" s="314"/>
      <c r="AJ1448" s="314"/>
      <c r="AK1448" s="314"/>
      <c r="AL1448" s="314"/>
      <c r="AM1448" s="314"/>
      <c r="AN1448" s="314"/>
      <c r="AO1448" s="314"/>
      <c r="AP1448" s="314"/>
      <c r="AQ1448" s="314"/>
      <c r="AR1448" s="314"/>
      <c r="AS1448" s="314"/>
      <c r="AT1448" s="314"/>
      <c r="AU1448" s="314"/>
      <c r="AV1448" s="314"/>
      <c r="AW1448" s="314"/>
      <c r="AX1448" s="314"/>
      <c r="AY1448" s="314"/>
      <c r="AZ1448" s="314"/>
      <c r="BA1448" s="314"/>
      <c r="BB1448" s="314"/>
      <c r="BC1448" s="314"/>
      <c r="BD1448" s="314"/>
      <c r="BE1448" s="314"/>
      <c r="BF1448" s="314"/>
      <c r="BG1448" s="364"/>
      <c r="BH1448" s="314"/>
      <c r="BI1448" s="314"/>
      <c r="BJ1448" s="314"/>
      <c r="BK1448" s="314"/>
      <c r="BL1448" s="314"/>
      <c r="BM1448" s="314"/>
      <c r="BN1448" s="314"/>
      <c r="BO1448" s="314"/>
      <c r="BP1448" s="314"/>
      <c r="BQ1448" s="314"/>
      <c r="BR1448" s="314"/>
      <c r="BS1448" s="314"/>
      <c r="BT1448" s="314"/>
      <c r="BU1448" s="314"/>
      <c r="BV1448" s="314"/>
      <c r="BW1448" s="314"/>
      <c r="BX1448" s="314"/>
      <c r="BY1448" s="314"/>
      <c r="BZ1448" s="314"/>
      <c r="CA1448" s="314"/>
      <c r="CB1448" s="314"/>
      <c r="CC1448" s="314"/>
      <c r="CD1448" s="314"/>
      <c r="CE1448" s="314"/>
      <c r="CF1448" s="314"/>
      <c r="CG1448" s="314"/>
      <c r="CH1448" s="314"/>
      <c r="CI1448" s="314"/>
      <c r="CJ1448" s="314"/>
      <c r="CK1448" s="314"/>
      <c r="CL1448" s="314"/>
      <c r="CM1448" s="314"/>
      <c r="CN1448" s="314"/>
      <c r="CO1448" s="314"/>
      <c r="CP1448" s="314"/>
      <c r="CQ1448" s="314"/>
    </row>
    <row r="1449" spans="1:95" ht="12.75" customHeight="1" thickBot="1" x14ac:dyDescent="0.3">
      <c r="A1449" s="307"/>
      <c r="B1449" s="68"/>
      <c r="C1449" s="199" t="s">
        <v>167</v>
      </c>
      <c r="D1449" s="344" t="str">
        <f>Translations!$B$398</f>
        <v>Scope factor:</v>
      </c>
      <c r="E1449" s="454"/>
      <c r="F1449" s="992"/>
      <c r="G1449" s="1263"/>
      <c r="H1449" s="1264"/>
      <c r="I1449" s="455" t="s">
        <v>46</v>
      </c>
      <c r="J1449" s="456"/>
      <c r="K1449" s="457" t="str">
        <f>IF(L1449="",AU1449,"")</f>
        <v/>
      </c>
      <c r="L1449" s="16"/>
      <c r="M1449" s="458" t="str">
        <f>IF(AND(E1433&lt;&gt;"",OR(F1449="",G1449="",COUNT(K1449:L1449)=0)),EUconst_ERR_Incomplete,IF(COUNTIF(BB1449:BD1449,TRUE)&gt;0,EUconst_ERR_Inconsistent,""))</f>
        <v/>
      </c>
      <c r="N1449" s="76"/>
      <c r="O1449" s="160"/>
      <c r="P1449" s="109"/>
      <c r="Q1449" s="312"/>
      <c r="R1449" s="314"/>
      <c r="S1449" s="297"/>
      <c r="T1449" s="459" t="str">
        <f>EUconst_CNTR_ScopeFactor&amp;E1433</f>
        <v>ScopeFactor_</v>
      </c>
      <c r="U1449" s="231" t="str">
        <f>IF(F1449="","",INDEX(ScopeAddress,MATCH(F1449,ScopeTiers,0)))</f>
        <v/>
      </c>
      <c r="V1449" s="360" t="str">
        <f>V1438</f>
        <v/>
      </c>
      <c r="W1449" s="314"/>
      <c r="X1449" s="314"/>
      <c r="Y1449" s="460" t="str">
        <f>IF(E1433="","",IF(F1449=EUconst_NA,EUconst_NA,INDEX(EUwideConstants!$P$164:$P$200,MATCH(T1449,EUwideConstants!$S$164:$S$200,0))))</f>
        <v/>
      </c>
      <c r="Z1449" s="461" t="str">
        <f>IF(ISBLANK(F1449),"",IF(F1449=EUconst_NA,"",INDEX(EUwideConstants!$H:$O,MATCH(T1449,EUwideConstants!$S:$S,0),MATCH(F1449,CNTR_TierList,0))))</f>
        <v/>
      </c>
      <c r="AA1449" s="331" t="str">
        <f>IF(G1449=EUwideConstants!$A$89,1,"")</f>
        <v/>
      </c>
      <c r="AB1449" s="314"/>
      <c r="AC1449" s="331" t="b">
        <f>AND(AC1438,Y1449&lt;&gt;EUconst_NA)</f>
        <v>0</v>
      </c>
      <c r="AD1449" s="314"/>
      <c r="AE1449" s="314"/>
      <c r="AF1449" s="314"/>
      <c r="AG1449" s="319"/>
      <c r="AH1449" s="314"/>
      <c r="AI1449" s="314"/>
      <c r="AJ1449" s="314"/>
      <c r="AK1449" s="314"/>
      <c r="AL1449" s="314"/>
      <c r="AM1449" s="314"/>
      <c r="AN1449" s="314"/>
      <c r="AO1449" s="314"/>
      <c r="AP1449" s="314"/>
      <c r="AQ1449" s="314"/>
      <c r="AR1449" s="314"/>
      <c r="AS1449" s="328">
        <v>1</v>
      </c>
      <c r="AT1449" s="314"/>
      <c r="AU1449" s="319" t="str">
        <f>IF(G1449=EUwideConstants!$A$89,AS1449,"")</f>
        <v/>
      </c>
      <c r="AV1449" s="331">
        <f>IF(AC1449=TRUE,IF(COUNT(K1449:L1449)=0,0,IF(L1449="",K1449,L1449)),0)</f>
        <v>0</v>
      </c>
      <c r="AW1449" s="360" t="b">
        <f>AND(AC1449=TRUE,OR(AND(F1449&lt;&gt;"",NOT(ISNUMBER(AA1449))),L1449&lt;&gt;"",F1449="",AU1449=""))</f>
        <v>0</v>
      </c>
      <c r="AX1449" s="357" t="b">
        <f>AND(AC1449=TRUE,NOT(AW1449))</f>
        <v>0</v>
      </c>
      <c r="AY1449" s="314"/>
      <c r="AZ1449" s="361" t="b">
        <f>AND(ISNUMBER(AA1449),AU1449="")</f>
        <v>0</v>
      </c>
      <c r="BA1449" s="351" t="b">
        <f>AND(ISNUMBER(AA1449),AU1449&lt;&gt;AV1449)</f>
        <v>0</v>
      </c>
      <c r="BB1449" s="314"/>
      <c r="BC1449" s="360" t="b">
        <f>AND(F1449&lt;&gt;"",OR(COUNTIF(INDEX(ScopeMethods,F1449,),G1449)=0,AND(AA1449&lt;&gt;"",AU1449&lt;&gt;AV1449)))</f>
        <v>0</v>
      </c>
      <c r="BD1449" s="314"/>
      <c r="BE1449" s="314"/>
      <c r="BF1449" s="361" t="s">
        <v>168</v>
      </c>
      <c r="BG1449" s="362" t="str">
        <f>IF(AN1438=EUconst_TJ,AV1438*AV1444,IF(AN1440=EUconst_GJ,AV1438*AV1440/1000*AV1444,""))</f>
        <v/>
      </c>
      <c r="BH1449" s="314"/>
      <c r="BI1449" s="314"/>
      <c r="BJ1449" s="314"/>
      <c r="BK1449" s="314"/>
      <c r="BL1449" s="314"/>
      <c r="BM1449" s="314"/>
      <c r="BN1449" s="314"/>
      <c r="BO1449" s="314"/>
      <c r="BP1449" s="314"/>
      <c r="BQ1449" s="314"/>
      <c r="BR1449" s="314"/>
      <c r="BS1449" s="314"/>
      <c r="BT1449" s="314"/>
      <c r="BU1449" s="314"/>
      <c r="BV1449" s="314"/>
      <c r="BW1449" s="314"/>
      <c r="BX1449" s="314"/>
      <c r="BY1449" s="314"/>
      <c r="BZ1449" s="314"/>
      <c r="CA1449" s="314"/>
      <c r="CB1449" s="314"/>
      <c r="CC1449" s="314"/>
      <c r="CD1449" s="314"/>
      <c r="CE1449" s="314"/>
      <c r="CF1449" s="314"/>
      <c r="CG1449" s="314"/>
      <c r="CH1449" s="314"/>
      <c r="CI1449" s="314"/>
      <c r="CJ1449" s="314"/>
      <c r="CK1449" s="314"/>
      <c r="CL1449" s="314"/>
      <c r="CM1449" s="314"/>
      <c r="CN1449" s="314"/>
      <c r="CO1449" s="314"/>
      <c r="CP1449" s="314"/>
      <c r="CQ1449" s="314"/>
    </row>
    <row r="1450" spans="1:95" ht="12.75" customHeight="1" x14ac:dyDescent="0.25">
      <c r="A1450" s="307"/>
      <c r="B1450" s="68"/>
      <c r="C1450" s="68"/>
      <c r="D1450" s="68"/>
      <c r="E1450" s="68"/>
      <c r="F1450" s="68"/>
      <c r="G1450" s="1265" t="str">
        <f>IF(G1449="","",INDEX(ScopeMethodsDetails,MATCH(G1449,INDEX(ScopeMethodsDetails,,1),0),2))</f>
        <v/>
      </c>
      <c r="H1450" s="1266"/>
      <c r="I1450" s="1266"/>
      <c r="J1450" s="1266"/>
      <c r="K1450" s="1266"/>
      <c r="L1450" s="1266"/>
      <c r="M1450" s="1267"/>
      <c r="N1450" s="76"/>
      <c r="O1450" s="160"/>
      <c r="P1450" s="109"/>
      <c r="Q1450" s="312"/>
      <c r="R1450" s="312"/>
      <c r="S1450" s="314"/>
      <c r="T1450" s="314"/>
      <c r="U1450" s="314"/>
      <c r="V1450" s="314"/>
      <c r="W1450" s="314"/>
      <c r="X1450" s="314"/>
      <c r="Y1450" s="314"/>
      <c r="Z1450" s="314"/>
      <c r="AA1450" s="314"/>
      <c r="AB1450" s="314"/>
      <c r="AC1450" s="314"/>
      <c r="AD1450" s="314"/>
      <c r="AE1450" s="314"/>
      <c r="AF1450" s="314"/>
      <c r="AG1450" s="314"/>
      <c r="AH1450" s="314"/>
      <c r="AI1450" s="314"/>
      <c r="AJ1450" s="314"/>
      <c r="AK1450" s="314"/>
      <c r="AL1450" s="314"/>
      <c r="AM1450" s="314"/>
      <c r="AN1450" s="314"/>
      <c r="AO1450" s="314"/>
      <c r="AP1450" s="314"/>
      <c r="AQ1450" s="314"/>
      <c r="AR1450" s="314"/>
      <c r="AS1450" s="314"/>
      <c r="AT1450" s="314"/>
      <c r="AU1450" s="314"/>
      <c r="AV1450" s="314"/>
      <c r="AW1450" s="314"/>
      <c r="AX1450" s="314"/>
      <c r="AY1450" s="314"/>
      <c r="AZ1450" s="314"/>
      <c r="BA1450" s="314"/>
      <c r="BB1450" s="314"/>
      <c r="BC1450" s="314"/>
      <c r="BD1450" s="314"/>
      <c r="BE1450" s="314"/>
      <c r="BG1450" s="364"/>
      <c r="BH1450" s="314"/>
      <c r="BI1450" s="314"/>
      <c r="BJ1450" s="314"/>
      <c r="BK1450" s="314"/>
      <c r="BL1450" s="314"/>
      <c r="BM1450" s="314"/>
      <c r="BN1450" s="314"/>
      <c r="BO1450" s="314"/>
      <c r="BP1450" s="314"/>
      <c r="BQ1450" s="314"/>
      <c r="BR1450" s="314"/>
      <c r="BS1450" s="314"/>
      <c r="BT1450" s="314"/>
      <c r="BU1450" s="314"/>
      <c r="BV1450" s="314"/>
      <c r="BW1450" s="314"/>
      <c r="BX1450" s="314"/>
      <c r="BY1450" s="314"/>
      <c r="BZ1450" s="314"/>
      <c r="CA1450" s="314"/>
      <c r="CB1450" s="314"/>
      <c r="CC1450" s="314"/>
      <c r="CD1450" s="314"/>
      <c r="CE1450" s="314"/>
      <c r="CF1450" s="314"/>
      <c r="CG1450" s="314"/>
      <c r="CH1450" s="314"/>
      <c r="CI1450" s="314"/>
      <c r="CJ1450" s="314"/>
      <c r="CK1450" s="314"/>
      <c r="CL1450" s="314"/>
      <c r="CM1450" s="314"/>
      <c r="CN1450" s="314"/>
      <c r="CO1450" s="314"/>
      <c r="CP1450" s="314"/>
      <c r="CQ1450" s="314"/>
    </row>
    <row r="1451" spans="1:95" ht="5.15" customHeight="1" x14ac:dyDescent="0.25">
      <c r="A1451" s="307"/>
      <c r="C1451" s="76"/>
      <c r="D1451" s="76"/>
      <c r="E1451" s="76"/>
      <c r="F1451" s="76"/>
      <c r="G1451" s="76"/>
      <c r="H1451" s="76"/>
      <c r="I1451" s="76"/>
      <c r="J1451" s="76"/>
      <c r="K1451" s="76"/>
      <c r="L1451" s="76"/>
      <c r="O1451" s="160"/>
      <c r="P1451" s="109"/>
      <c r="Q1451" s="312"/>
      <c r="R1451" s="312"/>
      <c r="S1451" s="314"/>
      <c r="T1451" s="314"/>
      <c r="U1451" s="314"/>
      <c r="V1451" s="314"/>
      <c r="W1451" s="314"/>
      <c r="X1451" s="314"/>
      <c r="Y1451" s="314"/>
      <c r="Z1451" s="314"/>
      <c r="AA1451" s="314"/>
      <c r="AB1451" s="314"/>
      <c r="AC1451" s="314"/>
      <c r="AD1451" s="314"/>
      <c r="AE1451" s="314"/>
      <c r="AF1451" s="314"/>
      <c r="AG1451" s="314"/>
      <c r="AH1451" s="314"/>
      <c r="AI1451" s="314"/>
      <c r="AJ1451" s="314"/>
      <c r="AK1451" s="314"/>
      <c r="AL1451" s="314"/>
      <c r="AM1451" s="314"/>
      <c r="AN1451" s="314"/>
      <c r="AO1451" s="314"/>
      <c r="AP1451" s="314"/>
      <c r="AQ1451" s="314"/>
      <c r="AR1451" s="314"/>
      <c r="AS1451" s="314"/>
      <c r="AT1451" s="314"/>
      <c r="AU1451" s="314"/>
      <c r="AV1451" s="314"/>
      <c r="AW1451" s="314"/>
      <c r="AX1451" s="314"/>
      <c r="AY1451" s="314"/>
      <c r="AZ1451" s="314"/>
      <c r="BA1451" s="314"/>
      <c r="BB1451" s="314"/>
      <c r="BC1451" s="314"/>
      <c r="BD1451" s="314"/>
      <c r="BE1451" s="314"/>
      <c r="BG1451" s="364"/>
      <c r="BH1451" s="314"/>
      <c r="BI1451" s="314"/>
      <c r="BJ1451" s="314"/>
      <c r="BK1451" s="314"/>
      <c r="BL1451" s="314"/>
      <c r="BM1451" s="314"/>
      <c r="BN1451" s="314"/>
      <c r="BO1451" s="314"/>
      <c r="BP1451" s="314"/>
      <c r="BQ1451" s="314"/>
      <c r="BR1451" s="314"/>
      <c r="BS1451" s="314"/>
      <c r="BT1451" s="314"/>
      <c r="BU1451" s="314"/>
      <c r="BV1451" s="314"/>
      <c r="BW1451" s="314"/>
      <c r="BX1451" s="314"/>
      <c r="BY1451" s="314"/>
      <c r="BZ1451" s="314"/>
      <c r="CA1451" s="314"/>
      <c r="CB1451" s="314"/>
      <c r="CC1451" s="314"/>
      <c r="CD1451" s="314"/>
      <c r="CE1451" s="314"/>
      <c r="CF1451" s="314"/>
      <c r="CG1451" s="314"/>
      <c r="CH1451" s="314"/>
      <c r="CI1451" s="314"/>
      <c r="CJ1451" s="314"/>
      <c r="CK1451" s="314"/>
      <c r="CL1451" s="314"/>
      <c r="CM1451" s="314"/>
      <c r="CN1451" s="314"/>
      <c r="CO1451" s="314"/>
      <c r="CP1451" s="314"/>
      <c r="CQ1451" s="314"/>
    </row>
    <row r="1452" spans="1:95" ht="12.75" customHeight="1" thickBot="1" x14ac:dyDescent="0.3">
      <c r="A1452" s="307"/>
      <c r="C1452" s="76"/>
      <c r="D1452" s="76"/>
      <c r="E1452" s="76"/>
      <c r="F1452" s="76"/>
      <c r="G1452" s="1268">
        <v>1</v>
      </c>
      <c r="H1452" s="1268"/>
      <c r="I1452" s="1268">
        <v>2</v>
      </c>
      <c r="J1452" s="1268"/>
      <c r="K1452" s="1268">
        <v>3</v>
      </c>
      <c r="L1452" s="1268"/>
      <c r="O1452" s="160"/>
      <c r="P1452" s="109"/>
      <c r="Q1452" s="312"/>
      <c r="R1452" s="312"/>
      <c r="S1452" s="314"/>
      <c r="T1452" s="314"/>
      <c r="U1452" s="314"/>
      <c r="V1452" s="314"/>
      <c r="W1452" s="314"/>
      <c r="X1452" s="314"/>
      <c r="Y1452" s="314"/>
      <c r="Z1452" s="314"/>
      <c r="AA1452" s="314"/>
      <c r="AB1452" s="314"/>
      <c r="AC1452" s="314"/>
      <c r="AD1452" s="314"/>
      <c r="AE1452" s="314"/>
      <c r="AF1452" s="314"/>
      <c r="AG1452" s="314"/>
      <c r="AH1452" s="314"/>
      <c r="AI1452" s="314"/>
      <c r="AJ1452" s="314"/>
      <c r="AK1452" s="314"/>
      <c r="AL1452" s="314"/>
      <c r="AM1452" s="314"/>
      <c r="AN1452" s="314"/>
      <c r="AO1452" s="314"/>
      <c r="AP1452" s="314"/>
      <c r="AQ1452" s="314"/>
      <c r="AR1452" s="314"/>
      <c r="AS1452" s="314"/>
      <c r="AT1452" s="314"/>
      <c r="AU1452" s="314"/>
      <c r="AV1452" s="314"/>
      <c r="AW1452" s="314"/>
      <c r="AX1452" s="314"/>
      <c r="AY1452" s="314"/>
      <c r="AZ1452" s="314"/>
      <c r="BA1452" s="314"/>
      <c r="BB1452" s="314"/>
      <c r="BC1452" s="314"/>
      <c r="BD1452" s="314"/>
      <c r="BE1452" s="314"/>
      <c r="BF1452" s="314"/>
      <c r="BG1452" s="364"/>
      <c r="BH1452" s="314"/>
      <c r="BI1452" s="314"/>
      <c r="BJ1452" s="314"/>
      <c r="BK1452" s="314"/>
      <c r="BL1452" s="314"/>
      <c r="BM1452" s="314"/>
      <c r="BN1452" s="314"/>
      <c r="BO1452" s="314"/>
      <c r="BP1452" s="314"/>
      <c r="BQ1452" s="314"/>
      <c r="BR1452" s="314"/>
      <c r="BS1452" s="314"/>
      <c r="BT1452" s="314"/>
      <c r="BU1452" s="314"/>
      <c r="BV1452" s="314"/>
      <c r="BW1452" s="314"/>
      <c r="BX1452" s="314"/>
      <c r="BY1452" s="314"/>
      <c r="BZ1452" s="314"/>
      <c r="CA1452" s="314"/>
      <c r="CB1452" s="314"/>
      <c r="CC1452" s="314"/>
      <c r="CD1452" s="314"/>
      <c r="CE1452" s="314"/>
      <c r="CF1452" s="314"/>
      <c r="CG1452" s="314"/>
      <c r="CH1452" s="314"/>
      <c r="CI1452" s="314"/>
      <c r="CJ1452" s="314"/>
      <c r="CK1452" s="314"/>
      <c r="CL1452" s="314"/>
      <c r="CM1452" s="314"/>
      <c r="CN1452" s="314"/>
      <c r="CO1452" s="314"/>
      <c r="CP1452" s="314"/>
      <c r="CQ1452" s="314"/>
    </row>
    <row r="1453" spans="1:95" ht="12.75" customHeight="1" thickBot="1" x14ac:dyDescent="0.3">
      <c r="A1453" s="462"/>
      <c r="B1453" s="76"/>
      <c r="C1453" s="76"/>
      <c r="D1453" s="1246" t="str">
        <f>Translations!$B$372</f>
        <v>Consumers' CRF category:</v>
      </c>
      <c r="E1453" s="1246"/>
      <c r="F1453" s="1247"/>
      <c r="G1453" s="1248"/>
      <c r="H1453" s="1249"/>
      <c r="I1453" s="1248"/>
      <c r="J1453" s="1249"/>
      <c r="K1453" s="1248"/>
      <c r="L1453" s="1249"/>
      <c r="M1453" s="463" t="str">
        <f>IF(AND(E1432&lt;&gt;"",COUNTA(G1453:L1453)=0,AX1453=FALSE),EUconst_ERR_Incomplete,"")</f>
        <v/>
      </c>
      <c r="N1453" s="76"/>
      <c r="O1453" s="160"/>
      <c r="P1453" s="109"/>
      <c r="Q1453" s="312"/>
      <c r="R1453" s="312"/>
      <c r="S1453" s="314"/>
      <c r="T1453" s="314"/>
      <c r="U1453" s="314"/>
      <c r="V1453" s="314"/>
      <c r="W1453" s="314"/>
      <c r="X1453" s="314"/>
      <c r="Y1453" s="314"/>
      <c r="Z1453" s="314"/>
      <c r="AA1453" s="314"/>
      <c r="AB1453" s="314"/>
      <c r="AC1453" s="314"/>
      <c r="AD1453" s="314"/>
      <c r="AE1453" s="314"/>
      <c r="AF1453" s="314"/>
      <c r="AG1453" s="314"/>
      <c r="AH1453" s="314"/>
      <c r="AI1453" s="314"/>
      <c r="AJ1453" s="314"/>
      <c r="AK1453" s="314"/>
      <c r="AL1453" s="314"/>
      <c r="AM1453" s="314"/>
      <c r="AN1453" s="314"/>
      <c r="AO1453" s="314"/>
      <c r="AP1453" s="314"/>
      <c r="AQ1453" s="314"/>
      <c r="AR1453" s="314"/>
      <c r="AS1453" s="314"/>
      <c r="AT1453" s="314"/>
      <c r="AU1453" s="314"/>
      <c r="AV1453" s="314"/>
      <c r="AW1453" s="314"/>
      <c r="AX1453" s="464" t="b">
        <f>AND(AV1449&lt;&gt;"",SUM(AV1449=1))</f>
        <v>0</v>
      </c>
      <c r="AY1453" s="314"/>
      <c r="AZ1453" s="314"/>
      <c r="BA1453" s="314"/>
      <c r="BB1453" s="314"/>
      <c r="BC1453" s="314"/>
      <c r="BD1453" s="314"/>
      <c r="BE1453" s="314"/>
      <c r="BF1453" s="361" t="s">
        <v>169</v>
      </c>
      <c r="BG1453" s="362" t="str">
        <f>IF(AN1438=EUconst_TJ,AV1438*AV1446,IF(AN1440=EUconst_GJ,AV1438*AV1440/1000*AV1446,""))</f>
        <v/>
      </c>
      <c r="BH1453" s="314"/>
      <c r="BI1453" s="314"/>
      <c r="BJ1453" s="314"/>
      <c r="BK1453" s="314"/>
      <c r="BL1453" s="314"/>
      <c r="BM1453" s="314"/>
      <c r="BN1453" s="314"/>
      <c r="BO1453" s="314"/>
      <c r="BP1453" s="314"/>
      <c r="BQ1453" s="314"/>
      <c r="BR1453" s="314"/>
      <c r="BS1453" s="314"/>
      <c r="BT1453" s="314"/>
      <c r="BU1453" s="314"/>
      <c r="BV1453" s="314"/>
      <c r="BW1453" s="314"/>
      <c r="BX1453" s="314"/>
      <c r="BY1453" s="314"/>
      <c r="BZ1453" s="314"/>
      <c r="CA1453" s="314"/>
      <c r="CB1453" s="314"/>
      <c r="CC1453" s="314"/>
      <c r="CD1453" s="314"/>
      <c r="CE1453" s="314"/>
      <c r="CF1453" s="314"/>
      <c r="CG1453" s="314"/>
      <c r="CH1453" s="314"/>
      <c r="CI1453" s="314"/>
      <c r="CJ1453" s="314"/>
      <c r="CK1453" s="314"/>
      <c r="CL1453" s="314"/>
      <c r="CM1453" s="314"/>
      <c r="CN1453" s="314"/>
      <c r="CO1453" s="314"/>
      <c r="CP1453" s="314"/>
      <c r="CQ1453" s="314"/>
    </row>
    <row r="1454" spans="1:95" ht="5.15" customHeight="1" x14ac:dyDescent="0.25">
      <c r="A1454" s="307"/>
      <c r="B1454" s="68"/>
      <c r="C1454" s="68"/>
      <c r="D1454" s="68"/>
      <c r="E1454" s="68"/>
      <c r="F1454" s="68"/>
      <c r="G1454" s="76"/>
      <c r="H1454" s="76"/>
      <c r="I1454" s="76"/>
      <c r="J1454" s="76"/>
      <c r="K1454" s="76"/>
      <c r="L1454" s="76"/>
      <c r="M1454" s="76"/>
      <c r="N1454" s="76"/>
      <c r="O1454" s="160"/>
      <c r="P1454" s="109"/>
      <c r="Q1454" s="312"/>
      <c r="R1454" s="312"/>
      <c r="S1454" s="314"/>
      <c r="T1454" s="314"/>
      <c r="U1454" s="314"/>
      <c r="V1454" s="314"/>
      <c r="W1454" s="314"/>
      <c r="X1454" s="314"/>
      <c r="Y1454" s="314"/>
      <c r="Z1454" s="314"/>
      <c r="AA1454" s="314"/>
      <c r="AB1454" s="314"/>
      <c r="AC1454" s="314"/>
      <c r="AD1454" s="314"/>
      <c r="AE1454" s="314"/>
      <c r="AF1454" s="314"/>
      <c r="AG1454" s="314"/>
      <c r="AH1454" s="314"/>
      <c r="AI1454" s="314"/>
      <c r="AJ1454" s="314"/>
      <c r="AK1454" s="314"/>
      <c r="AL1454" s="314"/>
      <c r="AM1454" s="314"/>
      <c r="AN1454" s="314"/>
      <c r="AO1454" s="314"/>
      <c r="AP1454" s="314"/>
      <c r="AQ1454" s="314"/>
      <c r="AR1454" s="314"/>
      <c r="AS1454" s="314"/>
      <c r="AT1454" s="314"/>
      <c r="AU1454" s="314"/>
      <c r="AV1454" s="314"/>
      <c r="AW1454" s="314"/>
      <c r="AX1454" s="314"/>
      <c r="AY1454" s="314"/>
      <c r="AZ1454" s="314"/>
      <c r="BA1454" s="314"/>
      <c r="BB1454" s="314"/>
      <c r="BC1454" s="314"/>
      <c r="BD1454" s="314"/>
      <c r="BE1454" s="314"/>
      <c r="BF1454" s="314"/>
      <c r="BG1454" s="314"/>
      <c r="BH1454" s="314"/>
      <c r="BI1454" s="314"/>
      <c r="BJ1454" s="314"/>
      <c r="BK1454" s="314"/>
      <c r="BL1454" s="314"/>
      <c r="BM1454" s="314"/>
      <c r="BN1454" s="314"/>
      <c r="BO1454" s="314"/>
      <c r="BP1454" s="314"/>
      <c r="BQ1454" s="314"/>
      <c r="BR1454" s="314"/>
      <c r="BS1454" s="314"/>
      <c r="BT1454" s="314"/>
      <c r="BU1454" s="314"/>
      <c r="BV1454" s="314"/>
      <c r="BW1454" s="314"/>
      <c r="BX1454" s="314"/>
      <c r="BY1454" s="314"/>
      <c r="BZ1454" s="314"/>
      <c r="CA1454" s="314"/>
      <c r="CB1454" s="314"/>
      <c r="CC1454" s="314"/>
      <c r="CD1454" s="314"/>
      <c r="CE1454" s="314"/>
      <c r="CF1454" s="314"/>
      <c r="CG1454" s="314"/>
      <c r="CH1454" s="314"/>
      <c r="CI1454" s="314"/>
      <c r="CJ1454" s="314"/>
      <c r="CK1454" s="314"/>
      <c r="CL1454" s="314"/>
      <c r="CM1454" s="314"/>
      <c r="CN1454" s="314"/>
      <c r="CO1454" s="314"/>
      <c r="CP1454" s="314"/>
      <c r="CQ1454" s="314"/>
    </row>
    <row r="1455" spans="1:95" ht="12.75" customHeight="1" x14ac:dyDescent="0.25">
      <c r="A1455" s="307"/>
      <c r="B1455" s="68"/>
      <c r="C1455" s="68"/>
      <c r="D1455" s="1246" t="str">
        <f>Translations!$B$399</f>
        <v>Tiers valid from:</v>
      </c>
      <c r="E1455" s="1246"/>
      <c r="F1455" s="1247"/>
      <c r="G1455" s="8"/>
      <c r="H1455" s="199" t="str">
        <f>Translations!$B$400</f>
        <v>until:</v>
      </c>
      <c r="I1455" s="8"/>
      <c r="J1455" s="76"/>
      <c r="K1455" s="76"/>
      <c r="L1455" s="76"/>
      <c r="M1455" s="199" t="str">
        <f>Translations!$B$401</f>
        <v>ID used in the monitoring plan for this fuel stream:</v>
      </c>
      <c r="N1455" s="9"/>
      <c r="O1455" s="160"/>
      <c r="P1455" s="109"/>
      <c r="Q1455" s="312"/>
      <c r="R1455" s="312"/>
      <c r="S1455" s="465"/>
      <c r="T1455" s="314"/>
      <c r="U1455" s="314"/>
      <c r="V1455" s="314"/>
      <c r="W1455" s="314"/>
      <c r="X1455" s="314"/>
      <c r="Y1455" s="314"/>
      <c r="Z1455" s="314"/>
      <c r="AA1455" s="314"/>
      <c r="AB1455" s="314"/>
      <c r="AC1455" s="314"/>
      <c r="AD1455" s="314"/>
      <c r="AE1455" s="314"/>
      <c r="AF1455" s="314"/>
      <c r="AG1455" s="314"/>
      <c r="AH1455" s="314"/>
      <c r="AI1455" s="314"/>
      <c r="AJ1455" s="314"/>
      <c r="AK1455" s="314"/>
      <c r="AL1455" s="314"/>
      <c r="AM1455" s="314"/>
      <c r="AN1455" s="314"/>
      <c r="AO1455" s="314"/>
      <c r="AP1455" s="314"/>
      <c r="AQ1455" s="314"/>
      <c r="AR1455" s="314"/>
      <c r="AS1455" s="314"/>
      <c r="AT1455" s="314"/>
      <c r="AU1455" s="314"/>
      <c r="AV1455" s="314"/>
      <c r="AW1455" s="314"/>
      <c r="AX1455" s="314"/>
      <c r="AY1455" s="314"/>
      <c r="AZ1455" s="314"/>
      <c r="BA1455" s="314"/>
      <c r="BB1455" s="314"/>
      <c r="BC1455" s="314"/>
      <c r="BD1455" s="314"/>
      <c r="BE1455" s="314"/>
      <c r="BF1455" s="314"/>
      <c r="BG1455" s="314"/>
      <c r="BH1455" s="314"/>
      <c r="BI1455" s="314"/>
      <c r="BJ1455" s="314"/>
      <c r="BK1455" s="314"/>
      <c r="BL1455" s="314"/>
      <c r="BM1455" s="314"/>
      <c r="BN1455" s="314"/>
      <c r="BO1455" s="314"/>
      <c r="BP1455" s="314"/>
      <c r="BQ1455" s="314"/>
      <c r="BR1455" s="314"/>
      <c r="BS1455" s="314"/>
      <c r="BT1455" s="314"/>
      <c r="BU1455" s="314"/>
      <c r="BV1455" s="314"/>
      <c r="BW1455" s="314"/>
      <c r="BX1455" s="314"/>
      <c r="BY1455" s="314"/>
      <c r="BZ1455" s="314"/>
      <c r="CA1455" s="314"/>
      <c r="CB1455" s="314"/>
      <c r="CC1455" s="314"/>
      <c r="CD1455" s="314"/>
      <c r="CE1455" s="314"/>
      <c r="CF1455" s="314"/>
      <c r="CG1455" s="314"/>
      <c r="CH1455" s="314"/>
      <c r="CI1455" s="314"/>
      <c r="CJ1455" s="314"/>
      <c r="CK1455" s="314"/>
      <c r="CL1455" s="314"/>
      <c r="CM1455" s="314"/>
      <c r="CN1455" s="314"/>
      <c r="CO1455" s="314"/>
      <c r="CP1455" s="314"/>
      <c r="CQ1455" s="464" t="b">
        <f>CQ1438</f>
        <v>0</v>
      </c>
    </row>
    <row r="1456" spans="1:95" ht="5.15" customHeight="1" x14ac:dyDescent="0.25">
      <c r="A1456" s="462"/>
      <c r="B1456" s="76"/>
      <c r="C1456" s="76"/>
      <c r="D1456" s="76"/>
      <c r="E1456" s="76"/>
      <c r="F1456" s="76"/>
      <c r="G1456" s="76"/>
      <c r="H1456" s="76"/>
      <c r="I1456" s="76"/>
      <c r="J1456" s="76"/>
      <c r="K1456" s="76"/>
      <c r="L1456" s="76"/>
      <c r="M1456" s="76"/>
      <c r="N1456" s="76"/>
      <c r="O1456" s="160"/>
      <c r="P1456" s="109"/>
      <c r="Q1456" s="312"/>
      <c r="R1456" s="312"/>
      <c r="S1456" s="314"/>
      <c r="T1456" s="314"/>
      <c r="U1456" s="314"/>
      <c r="V1456" s="314"/>
      <c r="W1456" s="314"/>
      <c r="X1456" s="314"/>
      <c r="Y1456" s="314"/>
      <c r="Z1456" s="314"/>
      <c r="AA1456" s="314"/>
      <c r="AB1456" s="314"/>
      <c r="AC1456" s="314"/>
      <c r="AD1456" s="314"/>
      <c r="AE1456" s="314"/>
      <c r="AF1456" s="314"/>
      <c r="AG1456" s="314"/>
      <c r="AH1456" s="314"/>
      <c r="AI1456" s="314"/>
      <c r="AJ1456" s="314"/>
      <c r="AK1456" s="314"/>
      <c r="AL1456" s="314"/>
      <c r="AM1456" s="314"/>
      <c r="AN1456" s="314"/>
      <c r="AO1456" s="314"/>
      <c r="AP1456" s="314"/>
      <c r="AQ1456" s="314"/>
      <c r="AR1456" s="314"/>
      <c r="AS1456" s="314"/>
      <c r="AT1456" s="314"/>
      <c r="AU1456" s="314"/>
      <c r="AV1456" s="314"/>
      <c r="AW1456" s="314"/>
      <c r="AX1456" s="314"/>
      <c r="AY1456" s="314"/>
      <c r="AZ1456" s="314"/>
      <c r="BA1456" s="314"/>
      <c r="BB1456" s="314"/>
      <c r="BC1456" s="314"/>
      <c r="BD1456" s="314"/>
      <c r="BE1456" s="314"/>
      <c r="BF1456" s="314"/>
      <c r="BG1456" s="314"/>
      <c r="BH1456" s="314"/>
      <c r="BI1456" s="314"/>
      <c r="BJ1456" s="314"/>
      <c r="BK1456" s="314"/>
      <c r="BL1456" s="314"/>
      <c r="BM1456" s="314"/>
      <c r="BN1456" s="314"/>
      <c r="BO1456" s="314"/>
      <c r="BP1456" s="314"/>
      <c r="BQ1456" s="314"/>
      <c r="BR1456" s="314"/>
      <c r="BS1456" s="314"/>
      <c r="BT1456" s="314"/>
      <c r="BU1456" s="314"/>
      <c r="BV1456" s="314"/>
      <c r="BW1456" s="314"/>
      <c r="BX1456" s="314"/>
      <c r="BY1456" s="314"/>
      <c r="BZ1456" s="314"/>
      <c r="CA1456" s="314"/>
      <c r="CB1456" s="314"/>
      <c r="CC1456" s="314"/>
      <c r="CD1456" s="314"/>
      <c r="CE1456" s="314"/>
      <c r="CF1456" s="314"/>
      <c r="CG1456" s="314"/>
      <c r="CH1456" s="314"/>
      <c r="CI1456" s="314"/>
      <c r="CJ1456" s="314"/>
      <c r="CK1456" s="314"/>
      <c r="CL1456" s="314"/>
      <c r="CM1456" s="314"/>
      <c r="CN1456" s="314"/>
      <c r="CO1456" s="314"/>
      <c r="CP1456" s="314"/>
      <c r="CQ1456" s="314"/>
    </row>
    <row r="1457" spans="1:95" ht="12.75" customHeight="1" x14ac:dyDescent="0.25">
      <c r="A1457" s="462"/>
      <c r="B1457" s="76"/>
      <c r="C1457" s="76"/>
      <c r="D1457" s="115"/>
      <c r="E1457" s="85"/>
      <c r="F1457" s="466" t="str">
        <f>Translations!$B$304</f>
        <v>Comments:</v>
      </c>
      <c r="G1457" s="1250"/>
      <c r="H1457" s="1251"/>
      <c r="I1457" s="1251"/>
      <c r="J1457" s="1251"/>
      <c r="K1457" s="1251"/>
      <c r="L1457" s="1251"/>
      <c r="M1457" s="1251"/>
      <c r="N1457" s="1252"/>
      <c r="O1457" s="160"/>
      <c r="P1457" s="109"/>
      <c r="Q1457" s="312"/>
      <c r="R1457" s="312"/>
      <c r="S1457" s="314"/>
      <c r="T1457" s="314"/>
      <c r="U1457" s="314"/>
      <c r="V1457" s="314"/>
      <c r="W1457" s="314"/>
      <c r="X1457" s="314"/>
      <c r="Y1457" s="314"/>
      <c r="Z1457" s="314"/>
      <c r="AA1457" s="314"/>
      <c r="AB1457" s="314"/>
      <c r="AC1457" s="314"/>
      <c r="AD1457" s="314"/>
      <c r="AE1457" s="314"/>
      <c r="AF1457" s="314"/>
      <c r="AG1457" s="314"/>
      <c r="AH1457" s="314"/>
      <c r="AI1457" s="314"/>
      <c r="AJ1457" s="314"/>
      <c r="AK1457" s="314"/>
      <c r="AL1457" s="314"/>
      <c r="AM1457" s="314"/>
      <c r="AN1457" s="314"/>
      <c r="AO1457" s="314"/>
      <c r="AP1457" s="314"/>
      <c r="AQ1457" s="314"/>
      <c r="AR1457" s="314"/>
      <c r="AS1457" s="314"/>
      <c r="AT1457" s="314"/>
      <c r="AU1457" s="314"/>
      <c r="AV1457" s="314"/>
      <c r="AW1457" s="314"/>
      <c r="AX1457" s="314"/>
      <c r="AY1457" s="314"/>
      <c r="AZ1457" s="314"/>
      <c r="BA1457" s="314"/>
      <c r="BB1457" s="314"/>
      <c r="BC1457" s="314"/>
      <c r="BD1457" s="314"/>
      <c r="BE1457" s="314"/>
      <c r="BF1457" s="314"/>
      <c r="BG1457" s="314"/>
      <c r="BH1457" s="314"/>
      <c r="BI1457" s="314"/>
      <c r="BJ1457" s="314"/>
      <c r="BK1457" s="314"/>
      <c r="BL1457" s="314"/>
      <c r="BM1457" s="314"/>
      <c r="BN1457" s="314"/>
      <c r="BO1457" s="314"/>
      <c r="BP1457" s="314"/>
      <c r="BQ1457" s="314"/>
      <c r="BR1457" s="314"/>
      <c r="BS1457" s="314"/>
      <c r="BT1457" s="314"/>
      <c r="BU1457" s="314"/>
      <c r="BV1457" s="314"/>
      <c r="BW1457" s="314"/>
      <c r="BX1457" s="314"/>
      <c r="BY1457" s="314"/>
      <c r="BZ1457" s="314"/>
      <c r="CA1457" s="314"/>
      <c r="CB1457" s="314"/>
      <c r="CC1457" s="314"/>
      <c r="CD1457" s="314"/>
      <c r="CE1457" s="314"/>
      <c r="CF1457" s="314"/>
      <c r="CG1457" s="314"/>
      <c r="CH1457" s="314"/>
      <c r="CI1457" s="314"/>
      <c r="CJ1457" s="314"/>
      <c r="CK1457" s="314"/>
      <c r="CL1457" s="314"/>
      <c r="CM1457" s="314"/>
      <c r="CN1457" s="314"/>
      <c r="CO1457" s="314"/>
      <c r="CP1457" s="314"/>
      <c r="CQ1457" s="464" t="b">
        <f>CQ1455</f>
        <v>0</v>
      </c>
    </row>
    <row r="1458" spans="1:95" ht="12.75" customHeight="1" thickBot="1" x14ac:dyDescent="0.3">
      <c r="A1458" s="307"/>
      <c r="B1458" s="76"/>
      <c r="C1458" s="308"/>
      <c r="D1458" s="309"/>
      <c r="E1458" s="310"/>
      <c r="F1458" s="308"/>
      <c r="G1458" s="311"/>
      <c r="H1458" s="311"/>
      <c r="I1458" s="311"/>
      <c r="J1458" s="311"/>
      <c r="K1458" s="311"/>
      <c r="L1458" s="311"/>
      <c r="M1458" s="311"/>
      <c r="N1458" s="311"/>
      <c r="O1458" s="160"/>
      <c r="P1458" s="109"/>
      <c r="Q1458" s="312"/>
      <c r="R1458" s="312"/>
      <c r="S1458" s="293"/>
      <c r="T1458" s="293"/>
      <c r="U1458" s="313"/>
      <c r="V1458" s="293"/>
      <c r="W1458" s="293"/>
      <c r="X1458" s="313"/>
      <c r="Y1458" s="293"/>
      <c r="Z1458" s="293"/>
      <c r="AA1458" s="293"/>
      <c r="AB1458" s="293"/>
      <c r="AC1458" s="293"/>
      <c r="AD1458" s="293"/>
      <c r="AE1458" s="293"/>
      <c r="AF1458" s="293"/>
      <c r="AG1458" s="293"/>
      <c r="AH1458" s="293"/>
      <c r="AI1458" s="293"/>
      <c r="AJ1458" s="293"/>
      <c r="AK1458" s="293"/>
      <c r="AL1458" s="293"/>
      <c r="AM1458" s="293"/>
      <c r="AN1458" s="293"/>
      <c r="AO1458" s="293"/>
      <c r="AP1458" s="293"/>
      <c r="AQ1458" s="293"/>
      <c r="AR1458" s="293"/>
      <c r="AS1458" s="293"/>
      <c r="AT1458" s="293"/>
      <c r="AU1458" s="293"/>
      <c r="AV1458" s="293"/>
      <c r="AW1458" s="293"/>
      <c r="AX1458" s="293"/>
      <c r="AY1458" s="293"/>
      <c r="AZ1458" s="293"/>
      <c r="BA1458" s="293"/>
      <c r="BB1458" s="293"/>
      <c r="BC1458" s="293"/>
      <c r="BD1458" s="293"/>
      <c r="BE1458" s="293"/>
      <c r="BF1458" s="293"/>
      <c r="BG1458" s="293"/>
      <c r="BH1458" s="293"/>
      <c r="BI1458" s="293"/>
      <c r="BJ1458" s="293"/>
      <c r="BK1458" s="293"/>
      <c r="BL1458" s="293"/>
      <c r="BM1458" s="314"/>
      <c r="BN1458" s="314"/>
      <c r="BO1458" s="314"/>
      <c r="BP1458" s="314"/>
      <c r="BQ1458" s="314"/>
      <c r="BR1458" s="314"/>
      <c r="BS1458" s="314"/>
      <c r="BT1458" s="314"/>
      <c r="BU1458" s="293"/>
      <c r="BV1458" s="293"/>
      <c r="BW1458" s="293"/>
      <c r="BX1458" s="293"/>
      <c r="BY1458" s="293"/>
      <c r="BZ1458" s="293"/>
      <c r="CA1458" s="293"/>
      <c r="CB1458" s="293"/>
      <c r="CC1458" s="293"/>
      <c r="CD1458" s="293"/>
      <c r="CE1458" s="293"/>
      <c r="CF1458" s="293"/>
      <c r="CG1458" s="293"/>
      <c r="CH1458" s="293"/>
      <c r="CI1458" s="293"/>
      <c r="CJ1458" s="293"/>
      <c r="CK1458" s="293"/>
      <c r="CL1458" s="293"/>
      <c r="CM1458" s="293"/>
      <c r="CN1458" s="293"/>
      <c r="CO1458" s="293"/>
      <c r="CP1458" s="293"/>
      <c r="CQ1458" s="293"/>
    </row>
    <row r="1459" spans="1:95" ht="13" x14ac:dyDescent="0.25">
      <c r="A1459" s="286"/>
      <c r="C1459" s="467"/>
      <c r="D1459" s="468"/>
      <c r="E1459" s="469"/>
      <c r="F1459" s="470"/>
      <c r="G1459" s="471"/>
      <c r="H1459" s="471"/>
      <c r="I1459" s="471"/>
      <c r="J1459" s="471"/>
      <c r="K1459" s="471"/>
      <c r="L1459" s="471"/>
      <c r="M1459" s="471"/>
      <c r="N1459" s="471"/>
      <c r="O1459" s="142"/>
      <c r="P1459" s="113"/>
      <c r="Q1459" s="297"/>
      <c r="R1459" s="138"/>
      <c r="S1459" s="138"/>
      <c r="T1459" s="141"/>
      <c r="U1459" s="138"/>
      <c r="V1459" s="138"/>
      <c r="W1459" s="138"/>
      <c r="X1459" s="138"/>
    </row>
    <row r="1460" spans="1:95" s="113" customFormat="1" hidden="1" x14ac:dyDescent="0.25">
      <c r="A1460" s="110" t="s">
        <v>0</v>
      </c>
      <c r="B1460" s="110" t="s">
        <v>18</v>
      </c>
      <c r="C1460" s="110" t="s">
        <v>18</v>
      </c>
      <c r="D1460" s="110" t="s">
        <v>18</v>
      </c>
      <c r="E1460" s="110" t="s">
        <v>18</v>
      </c>
      <c r="F1460" s="110" t="s">
        <v>18</v>
      </c>
      <c r="G1460" s="110" t="s">
        <v>18</v>
      </c>
      <c r="H1460" s="110" t="s">
        <v>18</v>
      </c>
      <c r="I1460" s="110" t="s">
        <v>18</v>
      </c>
      <c r="J1460" s="110" t="s">
        <v>18</v>
      </c>
      <c r="K1460" s="110" t="s">
        <v>18</v>
      </c>
      <c r="L1460" s="110" t="s">
        <v>18</v>
      </c>
      <c r="M1460" s="110" t="s">
        <v>18</v>
      </c>
      <c r="N1460" s="110" t="s">
        <v>18</v>
      </c>
      <c r="O1460" s="472" t="s">
        <v>18</v>
      </c>
      <c r="P1460" s="110" t="s">
        <v>18</v>
      </c>
      <c r="Q1460" s="110" t="s">
        <v>18</v>
      </c>
      <c r="R1460" s="110" t="s">
        <v>18</v>
      </c>
      <c r="S1460" s="110" t="s">
        <v>18</v>
      </c>
      <c r="T1460" s="110" t="s">
        <v>18</v>
      </c>
      <c r="U1460" s="110" t="s">
        <v>18</v>
      </c>
      <c r="V1460" s="110" t="s">
        <v>18</v>
      </c>
      <c r="W1460" s="110" t="s">
        <v>18</v>
      </c>
      <c r="X1460" s="110" t="s">
        <v>18</v>
      </c>
      <c r="Y1460" s="110" t="s">
        <v>18</v>
      </c>
      <c r="Z1460" s="110" t="s">
        <v>18</v>
      </c>
      <c r="AA1460" s="110" t="s">
        <v>18</v>
      </c>
      <c r="AB1460" s="110" t="s">
        <v>18</v>
      </c>
      <c r="AC1460" s="110" t="s">
        <v>18</v>
      </c>
      <c r="AD1460" s="110" t="s">
        <v>18</v>
      </c>
      <c r="AE1460" s="110" t="s">
        <v>18</v>
      </c>
      <c r="AF1460" s="110" t="s">
        <v>18</v>
      </c>
      <c r="AG1460" s="110" t="s">
        <v>18</v>
      </c>
      <c r="AH1460" s="110" t="s">
        <v>18</v>
      </c>
      <c r="AI1460" s="110" t="s">
        <v>18</v>
      </c>
      <c r="AJ1460" s="110" t="s">
        <v>18</v>
      </c>
      <c r="AK1460" s="110" t="s">
        <v>18</v>
      </c>
      <c r="AL1460" s="110" t="s">
        <v>18</v>
      </c>
      <c r="AM1460" s="110" t="s">
        <v>18</v>
      </c>
      <c r="AN1460" s="110" t="s">
        <v>18</v>
      </c>
      <c r="AO1460" s="110" t="s">
        <v>18</v>
      </c>
      <c r="AP1460" s="110" t="s">
        <v>18</v>
      </c>
      <c r="AQ1460" s="110" t="s">
        <v>18</v>
      </c>
      <c r="AR1460" s="110" t="s">
        <v>18</v>
      </c>
      <c r="AS1460" s="110" t="s">
        <v>18</v>
      </c>
      <c r="AT1460" s="110" t="s">
        <v>18</v>
      </c>
      <c r="AU1460" s="110" t="s">
        <v>18</v>
      </c>
      <c r="AV1460" s="110" t="s">
        <v>18</v>
      </c>
      <c r="AW1460" s="110" t="s">
        <v>18</v>
      </c>
      <c r="AX1460" s="110" t="s">
        <v>18</v>
      </c>
      <c r="AY1460" s="110" t="s">
        <v>18</v>
      </c>
      <c r="AZ1460" s="110" t="s">
        <v>18</v>
      </c>
      <c r="BA1460" s="110" t="s">
        <v>18</v>
      </c>
      <c r="BB1460" s="110" t="s">
        <v>18</v>
      </c>
      <c r="BC1460" s="110" t="s">
        <v>18</v>
      </c>
      <c r="BD1460" s="110" t="s">
        <v>18</v>
      </c>
      <c r="BE1460" s="110" t="s">
        <v>18</v>
      </c>
      <c r="BF1460" s="110" t="s">
        <v>18</v>
      </c>
      <c r="BG1460" s="110" t="s">
        <v>18</v>
      </c>
      <c r="BH1460" s="110" t="s">
        <v>18</v>
      </c>
      <c r="BI1460" s="110" t="s">
        <v>18</v>
      </c>
      <c r="BJ1460" s="110" t="s">
        <v>18</v>
      </c>
      <c r="BK1460" s="110" t="s">
        <v>18</v>
      </c>
      <c r="BL1460" s="110" t="s">
        <v>18</v>
      </c>
      <c r="BM1460" s="110" t="s">
        <v>18</v>
      </c>
      <c r="BN1460" s="110" t="s">
        <v>18</v>
      </c>
      <c r="BO1460" s="110" t="s">
        <v>18</v>
      </c>
      <c r="BP1460" s="110" t="s">
        <v>18</v>
      </c>
      <c r="BQ1460" s="110" t="s">
        <v>18</v>
      </c>
      <c r="BR1460" s="110" t="s">
        <v>18</v>
      </c>
      <c r="BS1460" s="110" t="s">
        <v>18</v>
      </c>
      <c r="BT1460" s="110" t="s">
        <v>18</v>
      </c>
      <c r="BU1460" s="110" t="s">
        <v>18</v>
      </c>
      <c r="BV1460" s="110" t="s">
        <v>18</v>
      </c>
      <c r="BW1460" s="110" t="s">
        <v>18</v>
      </c>
      <c r="BX1460" s="110" t="s">
        <v>18</v>
      </c>
      <c r="BY1460" s="110" t="s">
        <v>18</v>
      </c>
      <c r="BZ1460" s="110" t="s">
        <v>18</v>
      </c>
      <c r="CA1460" s="110" t="s">
        <v>18</v>
      </c>
      <c r="CB1460" s="110" t="s">
        <v>18</v>
      </c>
      <c r="CC1460" s="110" t="s">
        <v>18</v>
      </c>
      <c r="CD1460" s="110" t="s">
        <v>18</v>
      </c>
      <c r="CE1460" s="110" t="s">
        <v>18</v>
      </c>
      <c r="CF1460" s="110" t="s">
        <v>18</v>
      </c>
      <c r="CG1460" s="110" t="s">
        <v>18</v>
      </c>
      <c r="CH1460" s="110" t="s">
        <v>18</v>
      </c>
      <c r="CI1460" s="110" t="s">
        <v>18</v>
      </c>
      <c r="CJ1460" s="110" t="s">
        <v>18</v>
      </c>
      <c r="CK1460" s="110" t="s">
        <v>18</v>
      </c>
      <c r="CL1460" s="110" t="s">
        <v>18</v>
      </c>
      <c r="CM1460" s="110" t="s">
        <v>18</v>
      </c>
      <c r="CN1460" s="110" t="s">
        <v>18</v>
      </c>
      <c r="CO1460" s="110" t="s">
        <v>18</v>
      </c>
      <c r="CP1460" s="110" t="s">
        <v>18</v>
      </c>
      <c r="CQ1460" s="110" t="s">
        <v>18</v>
      </c>
    </row>
    <row r="1461" spans="1:95" s="113" customFormat="1" hidden="1" x14ac:dyDescent="0.25">
      <c r="A1461" s="110" t="s">
        <v>0</v>
      </c>
      <c r="B1461" s="111"/>
      <c r="C1461" s="111"/>
      <c r="D1461" s="266"/>
      <c r="E1461" s="111"/>
      <c r="F1461" s="111"/>
      <c r="G1461" s="111"/>
      <c r="H1461" s="111"/>
      <c r="I1461" s="111"/>
      <c r="J1461" s="111"/>
      <c r="K1461" s="111"/>
      <c r="L1461" s="111"/>
      <c r="M1461" s="111"/>
      <c r="N1461" s="111"/>
      <c r="O1461" s="112"/>
      <c r="P1461" s="111" t="s">
        <v>3</v>
      </c>
      <c r="Q1461" s="111"/>
    </row>
    <row r="1462" spans="1:95" hidden="1" x14ac:dyDescent="0.25">
      <c r="A1462" s="110" t="s">
        <v>0</v>
      </c>
      <c r="O1462" s="117"/>
      <c r="P1462" s="111"/>
    </row>
    <row r="1463" spans="1:95" ht="13" hidden="1" thickBot="1" x14ac:dyDescent="0.3">
      <c r="A1463" s="110" t="s">
        <v>0</v>
      </c>
      <c r="O1463" s="117"/>
      <c r="P1463" s="111"/>
    </row>
    <row r="1464" spans="1:95" ht="13.5" hidden="1" thickBot="1" x14ac:dyDescent="0.3">
      <c r="A1464" s="110" t="s">
        <v>0</v>
      </c>
      <c r="F1464" s="474"/>
      <c r="G1464" s="475"/>
      <c r="H1464" s="475"/>
      <c r="I1464" s="475" t="str">
        <f>Translations!$B$235</f>
        <v>Fuel Stream</v>
      </c>
      <c r="J1464" s="475"/>
      <c r="K1464" s="475"/>
      <c r="L1464" s="475"/>
      <c r="M1464" s="476" t="str">
        <f>Translations!$B$402</f>
        <v>Range</v>
      </c>
      <c r="O1464" s="117"/>
      <c r="P1464" s="111"/>
    </row>
    <row r="1465" spans="1:95" hidden="1" x14ac:dyDescent="0.25">
      <c r="A1465" s="110" t="s">
        <v>0</v>
      </c>
      <c r="F1465" s="477">
        <v>1</v>
      </c>
      <c r="G1465" s="271" t="str">
        <f>INDEX(CNTR_SourceStreamNames,F1465)</f>
        <v>n.a.</v>
      </c>
      <c r="H1465" s="271" t="str">
        <f>IF(G1465=EUconst_NA,"",MAX($H1464:H$1464)+1)</f>
        <v/>
      </c>
      <c r="I1465" s="272" t="str">
        <f t="shared" ref="I1465:I1512" si="450">IF(COUNTIF($H$1465:$H$1514,F1465)=0,"",INDEX($G$1465:$G$1514,MATCH(F1465,$H$1465:$H$1514,0)))</f>
        <v/>
      </c>
      <c r="J1465" s="271"/>
      <c r="K1465" s="271"/>
      <c r="L1465" s="271"/>
      <c r="M1465" s="478" t="str">
        <f ca="1">ADDRESS(ROW(I1465),COLUMN(I1465),,,T2)&amp;":"&amp;ADDRESS(ROW(I1465)+COUNTIF(G1465:G1514,"&lt;&gt;"&amp;EUconst_NA)-1,COLUMN(I1465))</f>
        <v>C_FuelStreams!$I$1465:$I$1464</v>
      </c>
      <c r="O1465" s="117"/>
      <c r="P1465" s="111"/>
    </row>
    <row r="1466" spans="1:95" hidden="1" x14ac:dyDescent="0.25">
      <c r="A1466" s="110" t="s">
        <v>0</v>
      </c>
      <c r="F1466" s="479">
        <v>2</v>
      </c>
      <c r="G1466" s="275" t="str">
        <f t="shared" ref="G1466:G1488" si="451">INDEX(CNTR_SourceStreamNames,F1466)</f>
        <v>n.a.</v>
      </c>
      <c r="H1466" s="275" t="str">
        <f>IF(G1466=EUconst_NA,"",MAX($H$1464:H1465)+1)</f>
        <v/>
      </c>
      <c r="I1466" s="276" t="str">
        <f t="shared" si="450"/>
        <v/>
      </c>
      <c r="J1466" s="275"/>
      <c r="K1466" s="275"/>
      <c r="L1466" s="275"/>
      <c r="M1466" s="277"/>
      <c r="O1466" s="117"/>
      <c r="P1466" s="111"/>
    </row>
    <row r="1467" spans="1:95" hidden="1" x14ac:dyDescent="0.25">
      <c r="A1467" s="110" t="s">
        <v>0</v>
      </c>
      <c r="F1467" s="479">
        <v>3</v>
      </c>
      <c r="G1467" s="275" t="str">
        <f t="shared" si="451"/>
        <v>n.a.</v>
      </c>
      <c r="H1467" s="275" t="str">
        <f>IF(G1467=EUconst_NA,"",MAX($H$1464:H1466)+1)</f>
        <v/>
      </c>
      <c r="I1467" s="276" t="str">
        <f t="shared" si="450"/>
        <v/>
      </c>
      <c r="J1467" s="275"/>
      <c r="K1467" s="275"/>
      <c r="L1467" s="275"/>
      <c r="M1467" s="277"/>
      <c r="O1467" s="117"/>
      <c r="P1467" s="111"/>
    </row>
    <row r="1468" spans="1:95" hidden="1" x14ac:dyDescent="0.25">
      <c r="A1468" s="110" t="s">
        <v>0</v>
      </c>
      <c r="F1468" s="479">
        <v>4</v>
      </c>
      <c r="G1468" s="275" t="str">
        <f t="shared" si="451"/>
        <v>n.a.</v>
      </c>
      <c r="H1468" s="275" t="str">
        <f>IF(G1468=EUconst_NA,"",MAX($H$1464:H1467)+1)</f>
        <v/>
      </c>
      <c r="I1468" s="276" t="str">
        <f t="shared" si="450"/>
        <v/>
      </c>
      <c r="J1468" s="275"/>
      <c r="K1468" s="275"/>
      <c r="L1468" s="275"/>
      <c r="M1468" s="277"/>
      <c r="O1468" s="117"/>
      <c r="P1468" s="111"/>
    </row>
    <row r="1469" spans="1:95" hidden="1" x14ac:dyDescent="0.25">
      <c r="A1469" s="110" t="s">
        <v>0</v>
      </c>
      <c r="F1469" s="479">
        <v>5</v>
      </c>
      <c r="G1469" s="275" t="str">
        <f t="shared" si="451"/>
        <v>n.a.</v>
      </c>
      <c r="H1469" s="275" t="str">
        <f>IF(G1469=EUconst_NA,"",MAX($H$1464:H1468)+1)</f>
        <v/>
      </c>
      <c r="I1469" s="276" t="str">
        <f t="shared" si="450"/>
        <v/>
      </c>
      <c r="J1469" s="275"/>
      <c r="K1469" s="275"/>
      <c r="L1469" s="275"/>
      <c r="M1469" s="277"/>
      <c r="O1469" s="117"/>
      <c r="P1469" s="111"/>
    </row>
    <row r="1470" spans="1:95" hidden="1" x14ac:dyDescent="0.25">
      <c r="A1470" s="110" t="s">
        <v>0</v>
      </c>
      <c r="F1470" s="479">
        <v>6</v>
      </c>
      <c r="G1470" s="275" t="str">
        <f t="shared" si="451"/>
        <v>n.a.</v>
      </c>
      <c r="H1470" s="275" t="str">
        <f>IF(G1470=EUconst_NA,"",MAX($H$1464:H1469)+1)</f>
        <v/>
      </c>
      <c r="I1470" s="276" t="str">
        <f t="shared" si="450"/>
        <v/>
      </c>
      <c r="J1470" s="275"/>
      <c r="K1470" s="275"/>
      <c r="L1470" s="275"/>
      <c r="M1470" s="277"/>
      <c r="O1470" s="117"/>
      <c r="P1470" s="111"/>
    </row>
    <row r="1471" spans="1:95" hidden="1" x14ac:dyDescent="0.25">
      <c r="A1471" s="110" t="s">
        <v>0</v>
      </c>
      <c r="F1471" s="479">
        <v>7</v>
      </c>
      <c r="G1471" s="275" t="str">
        <f t="shared" si="451"/>
        <v>n.a.</v>
      </c>
      <c r="H1471" s="275" t="str">
        <f>IF(G1471=EUconst_NA,"",MAX($H$1464:H1470)+1)</f>
        <v/>
      </c>
      <c r="I1471" s="276" t="str">
        <f t="shared" si="450"/>
        <v/>
      </c>
      <c r="J1471" s="275"/>
      <c r="K1471" s="275"/>
      <c r="L1471" s="275"/>
      <c r="M1471" s="277"/>
      <c r="O1471" s="117"/>
      <c r="P1471" s="111"/>
    </row>
    <row r="1472" spans="1:95" hidden="1" x14ac:dyDescent="0.25">
      <c r="A1472" s="110" t="s">
        <v>0</v>
      </c>
      <c r="F1472" s="479">
        <v>8</v>
      </c>
      <c r="G1472" s="275" t="str">
        <f t="shared" si="451"/>
        <v>n.a.</v>
      </c>
      <c r="H1472" s="275" t="str">
        <f>IF(G1472=EUconst_NA,"",MAX($H$1464:H1471)+1)</f>
        <v/>
      </c>
      <c r="I1472" s="276" t="str">
        <f t="shared" si="450"/>
        <v/>
      </c>
      <c r="J1472" s="275"/>
      <c r="K1472" s="275"/>
      <c r="L1472" s="275"/>
      <c r="M1472" s="277"/>
      <c r="O1472" s="117"/>
      <c r="P1472" s="111"/>
    </row>
    <row r="1473" spans="1:13" hidden="1" x14ac:dyDescent="0.25">
      <c r="A1473" s="110" t="s">
        <v>0</v>
      </c>
      <c r="F1473" s="479">
        <v>9</v>
      </c>
      <c r="G1473" s="275" t="str">
        <f t="shared" si="451"/>
        <v>n.a.</v>
      </c>
      <c r="H1473" s="275" t="str">
        <f>IF(G1473=EUconst_NA,"",MAX($H$1464:H1472)+1)</f>
        <v/>
      </c>
      <c r="I1473" s="276" t="str">
        <f t="shared" si="450"/>
        <v/>
      </c>
      <c r="J1473" s="275"/>
      <c r="K1473" s="275"/>
      <c r="L1473" s="275"/>
      <c r="M1473" s="277"/>
    </row>
    <row r="1474" spans="1:13" hidden="1" x14ac:dyDescent="0.25">
      <c r="A1474" s="110" t="s">
        <v>0</v>
      </c>
      <c r="F1474" s="479">
        <v>10</v>
      </c>
      <c r="G1474" s="275" t="str">
        <f t="shared" si="451"/>
        <v>n.a.</v>
      </c>
      <c r="H1474" s="275" t="str">
        <f>IF(G1474=EUconst_NA,"",MAX($H$1464:H1473)+1)</f>
        <v/>
      </c>
      <c r="I1474" s="276" t="str">
        <f t="shared" si="450"/>
        <v/>
      </c>
      <c r="J1474" s="275"/>
      <c r="K1474" s="275"/>
      <c r="L1474" s="275"/>
      <c r="M1474" s="277"/>
    </row>
    <row r="1475" spans="1:13" hidden="1" x14ac:dyDescent="0.25">
      <c r="A1475" s="110" t="s">
        <v>0</v>
      </c>
      <c r="F1475" s="479">
        <v>11</v>
      </c>
      <c r="G1475" s="275" t="str">
        <f t="shared" si="451"/>
        <v>n.a.</v>
      </c>
      <c r="H1475" s="275" t="str">
        <f>IF(G1475=EUconst_NA,"",MAX($H$1464:H1474)+1)</f>
        <v/>
      </c>
      <c r="I1475" s="276" t="str">
        <f t="shared" si="450"/>
        <v/>
      </c>
      <c r="J1475" s="275"/>
      <c r="K1475" s="275"/>
      <c r="L1475" s="275"/>
      <c r="M1475" s="277"/>
    </row>
    <row r="1476" spans="1:13" hidden="1" x14ac:dyDescent="0.25">
      <c r="A1476" s="110" t="s">
        <v>0</v>
      </c>
      <c r="F1476" s="479">
        <v>12</v>
      </c>
      <c r="G1476" s="275" t="str">
        <f t="shared" si="451"/>
        <v>n.a.</v>
      </c>
      <c r="H1476" s="275" t="str">
        <f>IF(G1476=EUconst_NA,"",MAX($H$1464:H1475)+1)</f>
        <v/>
      </c>
      <c r="I1476" s="276" t="str">
        <f t="shared" si="450"/>
        <v/>
      </c>
      <c r="J1476" s="275"/>
      <c r="K1476" s="275"/>
      <c r="L1476" s="275"/>
      <c r="M1476" s="277"/>
    </row>
    <row r="1477" spans="1:13" hidden="1" x14ac:dyDescent="0.25">
      <c r="A1477" s="110" t="s">
        <v>0</v>
      </c>
      <c r="F1477" s="479">
        <v>13</v>
      </c>
      <c r="G1477" s="275" t="str">
        <f t="shared" si="451"/>
        <v>n.a.</v>
      </c>
      <c r="H1477" s="275" t="str">
        <f>IF(G1477=EUconst_NA,"",MAX($H$1464:H1476)+1)</f>
        <v/>
      </c>
      <c r="I1477" s="276" t="str">
        <f t="shared" si="450"/>
        <v/>
      </c>
      <c r="J1477" s="275"/>
      <c r="K1477" s="275"/>
      <c r="L1477" s="275"/>
      <c r="M1477" s="277"/>
    </row>
    <row r="1478" spans="1:13" hidden="1" x14ac:dyDescent="0.25">
      <c r="A1478" s="110" t="s">
        <v>0</v>
      </c>
      <c r="F1478" s="479">
        <v>14</v>
      </c>
      <c r="G1478" s="275" t="str">
        <f t="shared" si="451"/>
        <v>n.a.</v>
      </c>
      <c r="H1478" s="275" t="str">
        <f>IF(G1478=EUconst_NA,"",MAX($H$1464:H1477)+1)</f>
        <v/>
      </c>
      <c r="I1478" s="276" t="str">
        <f t="shared" si="450"/>
        <v/>
      </c>
      <c r="J1478" s="275"/>
      <c r="K1478" s="275"/>
      <c r="L1478" s="275"/>
      <c r="M1478" s="277"/>
    </row>
    <row r="1479" spans="1:13" hidden="1" x14ac:dyDescent="0.25">
      <c r="A1479" s="110" t="s">
        <v>0</v>
      </c>
      <c r="F1479" s="479">
        <v>15</v>
      </c>
      <c r="G1479" s="275" t="str">
        <f t="shared" si="451"/>
        <v>n.a.</v>
      </c>
      <c r="H1479" s="275" t="str">
        <f>IF(G1479=EUconst_NA,"",MAX($H$1464:H1478)+1)</f>
        <v/>
      </c>
      <c r="I1479" s="276" t="str">
        <f t="shared" si="450"/>
        <v/>
      </c>
      <c r="J1479" s="275"/>
      <c r="K1479" s="275"/>
      <c r="L1479" s="275"/>
      <c r="M1479" s="277"/>
    </row>
    <row r="1480" spans="1:13" hidden="1" x14ac:dyDescent="0.25">
      <c r="A1480" s="110" t="s">
        <v>0</v>
      </c>
      <c r="F1480" s="479">
        <v>16</v>
      </c>
      <c r="G1480" s="275" t="str">
        <f t="shared" si="451"/>
        <v>n.a.</v>
      </c>
      <c r="H1480" s="275" t="str">
        <f>IF(G1480=EUconst_NA,"",MAX($H$1464:H1479)+1)</f>
        <v/>
      </c>
      <c r="I1480" s="276" t="str">
        <f t="shared" si="450"/>
        <v/>
      </c>
      <c r="J1480" s="275"/>
      <c r="K1480" s="275"/>
      <c r="L1480" s="275"/>
      <c r="M1480" s="277"/>
    </row>
    <row r="1481" spans="1:13" hidden="1" x14ac:dyDescent="0.25">
      <c r="A1481" s="110" t="s">
        <v>0</v>
      </c>
      <c r="F1481" s="479">
        <v>17</v>
      </c>
      <c r="G1481" s="275" t="str">
        <f t="shared" si="451"/>
        <v>n.a.</v>
      </c>
      <c r="H1481" s="275" t="str">
        <f>IF(G1481=EUconst_NA,"",MAX($H$1464:H1480)+1)</f>
        <v/>
      </c>
      <c r="I1481" s="276" t="str">
        <f t="shared" si="450"/>
        <v/>
      </c>
      <c r="J1481" s="275"/>
      <c r="K1481" s="275"/>
      <c r="L1481" s="275"/>
      <c r="M1481" s="277"/>
    </row>
    <row r="1482" spans="1:13" hidden="1" x14ac:dyDescent="0.25">
      <c r="A1482" s="110" t="s">
        <v>0</v>
      </c>
      <c r="F1482" s="479">
        <v>18</v>
      </c>
      <c r="G1482" s="275" t="str">
        <f t="shared" si="451"/>
        <v>n.a.</v>
      </c>
      <c r="H1482" s="275" t="str">
        <f>IF(G1482=EUconst_NA,"",MAX($H$1464:H1481)+1)</f>
        <v/>
      </c>
      <c r="I1482" s="276" t="str">
        <f t="shared" si="450"/>
        <v/>
      </c>
      <c r="J1482" s="275"/>
      <c r="K1482" s="275"/>
      <c r="L1482" s="275"/>
      <c r="M1482" s="277"/>
    </row>
    <row r="1483" spans="1:13" hidden="1" x14ac:dyDescent="0.25">
      <c r="A1483" s="110" t="s">
        <v>0</v>
      </c>
      <c r="F1483" s="479">
        <v>19</v>
      </c>
      <c r="G1483" s="275" t="str">
        <f t="shared" si="451"/>
        <v>n.a.</v>
      </c>
      <c r="H1483" s="275" t="str">
        <f>IF(G1483=EUconst_NA,"",MAX($H$1464:H1482)+1)</f>
        <v/>
      </c>
      <c r="I1483" s="276" t="str">
        <f t="shared" si="450"/>
        <v/>
      </c>
      <c r="J1483" s="275"/>
      <c r="K1483" s="275"/>
      <c r="L1483" s="275"/>
      <c r="M1483" s="277"/>
    </row>
    <row r="1484" spans="1:13" hidden="1" x14ac:dyDescent="0.25">
      <c r="A1484" s="110" t="s">
        <v>0</v>
      </c>
      <c r="F1484" s="479">
        <v>20</v>
      </c>
      <c r="G1484" s="275" t="str">
        <f t="shared" si="451"/>
        <v>n.a.</v>
      </c>
      <c r="H1484" s="275" t="str">
        <f>IF(G1484=EUconst_NA,"",MAX($H$1464:H1483)+1)</f>
        <v/>
      </c>
      <c r="I1484" s="276" t="str">
        <f t="shared" si="450"/>
        <v/>
      </c>
      <c r="J1484" s="275"/>
      <c r="K1484" s="275"/>
      <c r="L1484" s="275"/>
      <c r="M1484" s="277"/>
    </row>
    <row r="1485" spans="1:13" hidden="1" x14ac:dyDescent="0.25">
      <c r="A1485" s="110" t="s">
        <v>0</v>
      </c>
      <c r="F1485" s="479">
        <v>21</v>
      </c>
      <c r="G1485" s="275" t="str">
        <f t="shared" si="451"/>
        <v>n.a.</v>
      </c>
      <c r="H1485" s="275" t="str">
        <f>IF(G1485=EUconst_NA,"",MAX($H$1464:H1484)+1)</f>
        <v/>
      </c>
      <c r="I1485" s="276" t="str">
        <f t="shared" si="450"/>
        <v/>
      </c>
      <c r="J1485" s="275"/>
      <c r="K1485" s="275"/>
      <c r="L1485" s="275"/>
      <c r="M1485" s="277"/>
    </row>
    <row r="1486" spans="1:13" hidden="1" x14ac:dyDescent="0.25">
      <c r="A1486" s="110" t="s">
        <v>0</v>
      </c>
      <c r="F1486" s="479">
        <v>22</v>
      </c>
      <c r="G1486" s="275" t="str">
        <f t="shared" si="451"/>
        <v>n.a.</v>
      </c>
      <c r="H1486" s="275" t="str">
        <f>IF(G1486=EUconst_NA,"",MAX($H$1464:H1485)+1)</f>
        <v/>
      </c>
      <c r="I1486" s="276" t="str">
        <f t="shared" si="450"/>
        <v/>
      </c>
      <c r="J1486" s="275"/>
      <c r="K1486" s="275"/>
      <c r="L1486" s="275"/>
      <c r="M1486" s="277"/>
    </row>
    <row r="1487" spans="1:13" hidden="1" x14ac:dyDescent="0.25">
      <c r="A1487" s="110" t="s">
        <v>0</v>
      </c>
      <c r="F1487" s="479">
        <v>23</v>
      </c>
      <c r="G1487" s="275" t="str">
        <f t="shared" si="451"/>
        <v>n.a.</v>
      </c>
      <c r="H1487" s="275" t="str">
        <f>IF(G1487=EUconst_NA,"",MAX($H$1464:H1486)+1)</f>
        <v/>
      </c>
      <c r="I1487" s="276" t="str">
        <f t="shared" si="450"/>
        <v/>
      </c>
      <c r="J1487" s="275"/>
      <c r="K1487" s="275"/>
      <c r="L1487" s="275"/>
      <c r="M1487" s="277"/>
    </row>
    <row r="1488" spans="1:13" hidden="1" x14ac:dyDescent="0.25">
      <c r="A1488" s="110" t="s">
        <v>0</v>
      </c>
      <c r="F1488" s="479">
        <v>24</v>
      </c>
      <c r="G1488" s="275" t="str">
        <f t="shared" si="451"/>
        <v>n.a.</v>
      </c>
      <c r="H1488" s="275" t="str">
        <f>IF(G1488=EUconst_NA,"",MAX($H$1464:H1487)+1)</f>
        <v/>
      </c>
      <c r="I1488" s="276" t="str">
        <f t="shared" si="450"/>
        <v/>
      </c>
      <c r="J1488" s="275"/>
      <c r="K1488" s="275"/>
      <c r="L1488" s="275"/>
      <c r="M1488" s="277"/>
    </row>
    <row r="1489" spans="1:13" hidden="1" x14ac:dyDescent="0.25">
      <c r="A1489" s="110" t="s">
        <v>0</v>
      </c>
      <c r="F1489" s="479">
        <v>25</v>
      </c>
      <c r="G1489" s="275" t="str">
        <f t="shared" ref="G1489:G1511" si="452">INDEX(CNTR_SourceStreamNames,F1489)</f>
        <v>n.a.</v>
      </c>
      <c r="H1489" s="275" t="str">
        <f>IF(G1489=EUconst_NA,"",MAX($H$1464:H1488)+1)</f>
        <v/>
      </c>
      <c r="I1489" s="276" t="str">
        <f t="shared" si="450"/>
        <v/>
      </c>
      <c r="J1489" s="275"/>
      <c r="K1489" s="275"/>
      <c r="L1489" s="275"/>
      <c r="M1489" s="277"/>
    </row>
    <row r="1490" spans="1:13" hidden="1" x14ac:dyDescent="0.25">
      <c r="A1490" s="110" t="s">
        <v>0</v>
      </c>
      <c r="F1490" s="479">
        <v>26</v>
      </c>
      <c r="G1490" s="275" t="str">
        <f t="shared" si="452"/>
        <v>n.a.</v>
      </c>
      <c r="H1490" s="275" t="str">
        <f>IF(G1490=EUconst_NA,"",MAX($H$1464:H1489)+1)</f>
        <v/>
      </c>
      <c r="I1490" s="276" t="str">
        <f t="shared" si="450"/>
        <v/>
      </c>
      <c r="J1490" s="275"/>
      <c r="K1490" s="275"/>
      <c r="L1490" s="275"/>
      <c r="M1490" s="277"/>
    </row>
    <row r="1491" spans="1:13" hidden="1" x14ac:dyDescent="0.25">
      <c r="A1491" s="110" t="s">
        <v>0</v>
      </c>
      <c r="F1491" s="479">
        <v>27</v>
      </c>
      <c r="G1491" s="275" t="str">
        <f t="shared" si="452"/>
        <v>n.a.</v>
      </c>
      <c r="H1491" s="275" t="str">
        <f>IF(G1491=EUconst_NA,"",MAX($H$1464:H1490)+1)</f>
        <v/>
      </c>
      <c r="I1491" s="276" t="str">
        <f t="shared" si="450"/>
        <v/>
      </c>
      <c r="J1491" s="275"/>
      <c r="K1491" s="275"/>
      <c r="L1491" s="275"/>
      <c r="M1491" s="277"/>
    </row>
    <row r="1492" spans="1:13" hidden="1" x14ac:dyDescent="0.25">
      <c r="A1492" s="110" t="s">
        <v>0</v>
      </c>
      <c r="F1492" s="479">
        <v>28</v>
      </c>
      <c r="G1492" s="275" t="str">
        <f t="shared" si="452"/>
        <v>n.a.</v>
      </c>
      <c r="H1492" s="275" t="str">
        <f>IF(G1492=EUconst_NA,"",MAX($H$1464:H1491)+1)</f>
        <v/>
      </c>
      <c r="I1492" s="276" t="str">
        <f t="shared" si="450"/>
        <v/>
      </c>
      <c r="J1492" s="275"/>
      <c r="K1492" s="275"/>
      <c r="L1492" s="275"/>
      <c r="M1492" s="277"/>
    </row>
    <row r="1493" spans="1:13" hidden="1" x14ac:dyDescent="0.25">
      <c r="A1493" s="110" t="s">
        <v>0</v>
      </c>
      <c r="F1493" s="479">
        <v>29</v>
      </c>
      <c r="G1493" s="275" t="str">
        <f t="shared" si="452"/>
        <v>n.a.</v>
      </c>
      <c r="H1493" s="275" t="str">
        <f>IF(G1493=EUconst_NA,"",MAX($H$1464:H1492)+1)</f>
        <v/>
      </c>
      <c r="I1493" s="276" t="str">
        <f t="shared" si="450"/>
        <v/>
      </c>
      <c r="J1493" s="275"/>
      <c r="K1493" s="275"/>
      <c r="L1493" s="275"/>
      <c r="M1493" s="277"/>
    </row>
    <row r="1494" spans="1:13" hidden="1" x14ac:dyDescent="0.25">
      <c r="A1494" s="110" t="s">
        <v>0</v>
      </c>
      <c r="F1494" s="479">
        <v>30</v>
      </c>
      <c r="G1494" s="275" t="str">
        <f t="shared" si="452"/>
        <v>n.a.</v>
      </c>
      <c r="H1494" s="275" t="str">
        <f>IF(G1494=EUconst_NA,"",MAX($H$1464:H1493)+1)</f>
        <v/>
      </c>
      <c r="I1494" s="276" t="str">
        <f t="shared" si="450"/>
        <v/>
      </c>
      <c r="J1494" s="275"/>
      <c r="K1494" s="275"/>
      <c r="L1494" s="275"/>
      <c r="M1494" s="277"/>
    </row>
    <row r="1495" spans="1:13" hidden="1" x14ac:dyDescent="0.25">
      <c r="A1495" s="110" t="s">
        <v>0</v>
      </c>
      <c r="F1495" s="479">
        <v>31</v>
      </c>
      <c r="G1495" s="275" t="str">
        <f t="shared" si="452"/>
        <v>n.a.</v>
      </c>
      <c r="H1495" s="275" t="str">
        <f>IF(G1495=EUconst_NA,"",MAX($H$1464:H1494)+1)</f>
        <v/>
      </c>
      <c r="I1495" s="276" t="str">
        <f t="shared" si="450"/>
        <v/>
      </c>
      <c r="J1495" s="275"/>
      <c r="K1495" s="275"/>
      <c r="L1495" s="275"/>
      <c r="M1495" s="277"/>
    </row>
    <row r="1496" spans="1:13" hidden="1" x14ac:dyDescent="0.25">
      <c r="A1496" s="110" t="s">
        <v>0</v>
      </c>
      <c r="F1496" s="479">
        <v>32</v>
      </c>
      <c r="G1496" s="275" t="str">
        <f t="shared" si="452"/>
        <v>n.a.</v>
      </c>
      <c r="H1496" s="275" t="str">
        <f>IF(G1496=EUconst_NA,"",MAX($H$1464:H1495)+1)</f>
        <v/>
      </c>
      <c r="I1496" s="276" t="str">
        <f t="shared" si="450"/>
        <v/>
      </c>
      <c r="J1496" s="275"/>
      <c r="K1496" s="275"/>
      <c r="L1496" s="275"/>
      <c r="M1496" s="277"/>
    </row>
    <row r="1497" spans="1:13" hidden="1" x14ac:dyDescent="0.25">
      <c r="A1497" s="110" t="s">
        <v>0</v>
      </c>
      <c r="F1497" s="479">
        <v>33</v>
      </c>
      <c r="G1497" s="275" t="str">
        <f t="shared" si="452"/>
        <v>n.a.</v>
      </c>
      <c r="H1497" s="275" t="str">
        <f>IF(G1497=EUconst_NA,"",MAX($H$1464:H1496)+1)</f>
        <v/>
      </c>
      <c r="I1497" s="276" t="str">
        <f t="shared" si="450"/>
        <v/>
      </c>
      <c r="J1497" s="275"/>
      <c r="K1497" s="275"/>
      <c r="L1497" s="275"/>
      <c r="M1497" s="277"/>
    </row>
    <row r="1498" spans="1:13" hidden="1" x14ac:dyDescent="0.25">
      <c r="A1498" s="110" t="s">
        <v>0</v>
      </c>
      <c r="F1498" s="479">
        <v>34</v>
      </c>
      <c r="G1498" s="275" t="str">
        <f t="shared" si="452"/>
        <v>n.a.</v>
      </c>
      <c r="H1498" s="275" t="str">
        <f>IF(G1498=EUconst_NA,"",MAX($H$1464:H1497)+1)</f>
        <v/>
      </c>
      <c r="I1498" s="276" t="str">
        <f t="shared" si="450"/>
        <v/>
      </c>
      <c r="J1498" s="275"/>
      <c r="K1498" s="275"/>
      <c r="L1498" s="275"/>
      <c r="M1498" s="277"/>
    </row>
    <row r="1499" spans="1:13" hidden="1" x14ac:dyDescent="0.25">
      <c r="A1499" s="110" t="s">
        <v>0</v>
      </c>
      <c r="F1499" s="479">
        <v>35</v>
      </c>
      <c r="G1499" s="275" t="str">
        <f t="shared" si="452"/>
        <v>n.a.</v>
      </c>
      <c r="H1499" s="275" t="str">
        <f>IF(G1499=EUconst_NA,"",MAX($H$1464:H1498)+1)</f>
        <v/>
      </c>
      <c r="I1499" s="276" t="str">
        <f t="shared" si="450"/>
        <v/>
      </c>
      <c r="J1499" s="275"/>
      <c r="K1499" s="275"/>
      <c r="L1499" s="275"/>
      <c r="M1499" s="277"/>
    </row>
    <row r="1500" spans="1:13" hidden="1" x14ac:dyDescent="0.25">
      <c r="A1500" s="110" t="s">
        <v>0</v>
      </c>
      <c r="F1500" s="479">
        <v>36</v>
      </c>
      <c r="G1500" s="275" t="str">
        <f t="shared" si="452"/>
        <v>n.a.</v>
      </c>
      <c r="H1500" s="275" t="str">
        <f>IF(G1500=EUconst_NA,"",MAX($H$1464:H1499)+1)</f>
        <v/>
      </c>
      <c r="I1500" s="276" t="str">
        <f t="shared" si="450"/>
        <v/>
      </c>
      <c r="J1500" s="275"/>
      <c r="K1500" s="275"/>
      <c r="L1500" s="275"/>
      <c r="M1500" s="277"/>
    </row>
    <row r="1501" spans="1:13" hidden="1" x14ac:dyDescent="0.25">
      <c r="A1501" s="110" t="s">
        <v>0</v>
      </c>
      <c r="F1501" s="479">
        <v>37</v>
      </c>
      <c r="G1501" s="275" t="str">
        <f t="shared" si="452"/>
        <v>n.a.</v>
      </c>
      <c r="H1501" s="275" t="str">
        <f>IF(G1501=EUconst_NA,"",MAX($H$1464:H1500)+1)</f>
        <v/>
      </c>
      <c r="I1501" s="276" t="str">
        <f t="shared" si="450"/>
        <v/>
      </c>
      <c r="J1501" s="275"/>
      <c r="K1501" s="275"/>
      <c r="L1501" s="275"/>
      <c r="M1501" s="277"/>
    </row>
    <row r="1502" spans="1:13" hidden="1" x14ac:dyDescent="0.25">
      <c r="A1502" s="110" t="s">
        <v>0</v>
      </c>
      <c r="F1502" s="479">
        <v>38</v>
      </c>
      <c r="G1502" s="275" t="str">
        <f t="shared" si="452"/>
        <v>n.a.</v>
      </c>
      <c r="H1502" s="275" t="str">
        <f>IF(G1502=EUconst_NA,"",MAX($H$1464:H1501)+1)</f>
        <v/>
      </c>
      <c r="I1502" s="276" t="str">
        <f t="shared" si="450"/>
        <v/>
      </c>
      <c r="J1502" s="275"/>
      <c r="K1502" s="275"/>
      <c r="L1502" s="275"/>
      <c r="M1502" s="277"/>
    </row>
    <row r="1503" spans="1:13" hidden="1" x14ac:dyDescent="0.25">
      <c r="A1503" s="110" t="s">
        <v>0</v>
      </c>
      <c r="F1503" s="479">
        <v>39</v>
      </c>
      <c r="G1503" s="275" t="str">
        <f t="shared" si="452"/>
        <v>n.a.</v>
      </c>
      <c r="H1503" s="275" t="str">
        <f>IF(G1503=EUconst_NA,"",MAX($H$1464:H1502)+1)</f>
        <v/>
      </c>
      <c r="I1503" s="276" t="str">
        <f t="shared" si="450"/>
        <v/>
      </c>
      <c r="J1503" s="275"/>
      <c r="K1503" s="275"/>
      <c r="L1503" s="275"/>
      <c r="M1503" s="277"/>
    </row>
    <row r="1504" spans="1:13" hidden="1" x14ac:dyDescent="0.25">
      <c r="A1504" s="110" t="s">
        <v>0</v>
      </c>
      <c r="F1504" s="479">
        <v>40</v>
      </c>
      <c r="G1504" s="275" t="str">
        <f t="shared" si="452"/>
        <v>n.a.</v>
      </c>
      <c r="H1504" s="275" t="str">
        <f>IF(G1504=EUconst_NA,"",MAX($H$1464:H1503)+1)</f>
        <v/>
      </c>
      <c r="I1504" s="276" t="str">
        <f t="shared" si="450"/>
        <v/>
      </c>
      <c r="J1504" s="275"/>
      <c r="K1504" s="275"/>
      <c r="L1504" s="275"/>
      <c r="M1504" s="277"/>
    </row>
    <row r="1505" spans="1:13" hidden="1" x14ac:dyDescent="0.25">
      <c r="A1505" s="110" t="s">
        <v>0</v>
      </c>
      <c r="F1505" s="479">
        <v>41</v>
      </c>
      <c r="G1505" s="275" t="str">
        <f t="shared" si="452"/>
        <v>n.a.</v>
      </c>
      <c r="H1505" s="275" t="str">
        <f>IF(G1505=EUconst_NA,"",MAX($H$1464:H1504)+1)</f>
        <v/>
      </c>
      <c r="I1505" s="276" t="str">
        <f t="shared" si="450"/>
        <v/>
      </c>
      <c r="J1505" s="275"/>
      <c r="K1505" s="275"/>
      <c r="L1505" s="275"/>
      <c r="M1505" s="277"/>
    </row>
    <row r="1506" spans="1:13" hidden="1" x14ac:dyDescent="0.25">
      <c r="A1506" s="110" t="s">
        <v>0</v>
      </c>
      <c r="F1506" s="479">
        <v>42</v>
      </c>
      <c r="G1506" s="275" t="str">
        <f t="shared" si="452"/>
        <v>n.a.</v>
      </c>
      <c r="H1506" s="275" t="str">
        <f>IF(G1506=EUconst_NA,"",MAX($H$1464:H1505)+1)</f>
        <v/>
      </c>
      <c r="I1506" s="276" t="str">
        <f t="shared" si="450"/>
        <v/>
      </c>
      <c r="J1506" s="275"/>
      <c r="K1506" s="275"/>
      <c r="L1506" s="275"/>
      <c r="M1506" s="277"/>
    </row>
    <row r="1507" spans="1:13" hidden="1" x14ac:dyDescent="0.25">
      <c r="A1507" s="110" t="s">
        <v>0</v>
      </c>
      <c r="F1507" s="479">
        <v>43</v>
      </c>
      <c r="G1507" s="275" t="str">
        <f t="shared" si="452"/>
        <v>n.a.</v>
      </c>
      <c r="H1507" s="275" t="str">
        <f>IF(G1507=EUconst_NA,"",MAX($H$1464:H1506)+1)</f>
        <v/>
      </c>
      <c r="I1507" s="276" t="str">
        <f t="shared" si="450"/>
        <v/>
      </c>
      <c r="J1507" s="275"/>
      <c r="K1507" s="275"/>
      <c r="L1507" s="275"/>
      <c r="M1507" s="277"/>
    </row>
    <row r="1508" spans="1:13" hidden="1" x14ac:dyDescent="0.25">
      <c r="A1508" s="110" t="s">
        <v>0</v>
      </c>
      <c r="F1508" s="479">
        <v>44</v>
      </c>
      <c r="G1508" s="275" t="str">
        <f t="shared" si="452"/>
        <v>n.a.</v>
      </c>
      <c r="H1508" s="275" t="str">
        <f>IF(G1508=EUconst_NA,"",MAX($H$1464:H1507)+1)</f>
        <v/>
      </c>
      <c r="I1508" s="276" t="str">
        <f t="shared" si="450"/>
        <v/>
      </c>
      <c r="J1508" s="275"/>
      <c r="K1508" s="275"/>
      <c r="L1508" s="275"/>
      <c r="M1508" s="277"/>
    </row>
    <row r="1509" spans="1:13" hidden="1" x14ac:dyDescent="0.25">
      <c r="A1509" s="110" t="s">
        <v>0</v>
      </c>
      <c r="F1509" s="479">
        <v>45</v>
      </c>
      <c r="G1509" s="275" t="str">
        <f t="shared" si="452"/>
        <v>n.a.</v>
      </c>
      <c r="H1509" s="275" t="str">
        <f>IF(G1509=EUconst_NA,"",MAX($H$1464:H1508)+1)</f>
        <v/>
      </c>
      <c r="I1509" s="276" t="str">
        <f t="shared" si="450"/>
        <v/>
      </c>
      <c r="J1509" s="275"/>
      <c r="K1509" s="275"/>
      <c r="L1509" s="275"/>
      <c r="M1509" s="277"/>
    </row>
    <row r="1510" spans="1:13" hidden="1" x14ac:dyDescent="0.25">
      <c r="A1510" s="110" t="s">
        <v>0</v>
      </c>
      <c r="F1510" s="479">
        <v>46</v>
      </c>
      <c r="G1510" s="275" t="str">
        <f t="shared" si="452"/>
        <v>n.a.</v>
      </c>
      <c r="H1510" s="275" t="str">
        <f>IF(G1510=EUconst_NA,"",MAX($H$1464:H1509)+1)</f>
        <v/>
      </c>
      <c r="I1510" s="276" t="str">
        <f t="shared" si="450"/>
        <v/>
      </c>
      <c r="J1510" s="275"/>
      <c r="K1510" s="275"/>
      <c r="L1510" s="275"/>
      <c r="M1510" s="277"/>
    </row>
    <row r="1511" spans="1:13" hidden="1" x14ac:dyDescent="0.25">
      <c r="A1511" s="110" t="s">
        <v>0</v>
      </c>
      <c r="F1511" s="479">
        <v>47</v>
      </c>
      <c r="G1511" s="275" t="str">
        <f t="shared" si="452"/>
        <v>n.a.</v>
      </c>
      <c r="H1511" s="275" t="str">
        <f>IF(G1511=EUconst_NA,"",MAX($H$1464:H1510)+1)</f>
        <v/>
      </c>
      <c r="I1511" s="276" t="str">
        <f t="shared" si="450"/>
        <v/>
      </c>
      <c r="J1511" s="275"/>
      <c r="K1511" s="275"/>
      <c r="L1511" s="275"/>
      <c r="M1511" s="277"/>
    </row>
    <row r="1512" spans="1:13" hidden="1" x14ac:dyDescent="0.25">
      <c r="A1512" s="110" t="s">
        <v>0</v>
      </c>
      <c r="F1512" s="479">
        <v>48</v>
      </c>
      <c r="G1512" s="275" t="str">
        <f t="shared" ref="G1512" si="453">INDEX(CNTR_SourceStreamNames,F1512)</f>
        <v>n.a.</v>
      </c>
      <c r="H1512" s="275" t="str">
        <f>IF(G1512=EUconst_NA,"",MAX($H$1464:H1511)+1)</f>
        <v/>
      </c>
      <c r="I1512" s="276" t="str">
        <f t="shared" si="450"/>
        <v/>
      </c>
      <c r="J1512" s="275"/>
      <c r="K1512" s="275"/>
      <c r="L1512" s="275"/>
      <c r="M1512" s="277"/>
    </row>
    <row r="1513" spans="1:13" hidden="1" x14ac:dyDescent="0.25">
      <c r="A1513" s="110" t="s">
        <v>0</v>
      </c>
      <c r="F1513" s="479">
        <v>49</v>
      </c>
      <c r="G1513" s="275" t="str">
        <f t="shared" ref="G1513:G1514" si="454">INDEX(CNTR_SourceStreamNames,F1513)</f>
        <v>n.a.</v>
      </c>
      <c r="H1513" s="275" t="str">
        <f>IF(G1513=EUconst_NA,"",MAX($H$1464:H1512)+1)</f>
        <v/>
      </c>
      <c r="I1513" s="276" t="str">
        <f t="shared" ref="I1513:I1514" si="455">IF(COUNTIF($H$1465:$H$1514,F1513)=0,"",INDEX($G$1465:$G$1514,MATCH(F1513,$H$1465:$H$1514,0)))</f>
        <v/>
      </c>
      <c r="J1513" s="275"/>
      <c r="K1513" s="275"/>
      <c r="L1513" s="275"/>
      <c r="M1513" s="277"/>
    </row>
    <row r="1514" spans="1:13" ht="13" hidden="1" thickBot="1" x14ac:dyDescent="0.3">
      <c r="A1514" s="110" t="s">
        <v>0</v>
      </c>
      <c r="F1514" s="480">
        <v>50</v>
      </c>
      <c r="G1514" s="283" t="str">
        <f t="shared" si="454"/>
        <v>n.a.</v>
      </c>
      <c r="H1514" s="283" t="str">
        <f>IF(G1514=EUconst_NA,"",MAX($H$1464:H1513)+1)</f>
        <v/>
      </c>
      <c r="I1514" s="284" t="str">
        <f t="shared" si="455"/>
        <v/>
      </c>
      <c r="J1514" s="283"/>
      <c r="K1514" s="283"/>
      <c r="L1514" s="283"/>
      <c r="M1514" s="285"/>
    </row>
    <row r="1515" spans="1:13" hidden="1" x14ac:dyDescent="0.25">
      <c r="A1515" s="110" t="s">
        <v>0</v>
      </c>
    </row>
  </sheetData>
  <sheetProtection sheet="1" objects="1" scenarios="1" formatCells="0" formatColumns="0" formatRows="0"/>
  <mergeCells count="1526">
    <mergeCell ref="G645:N645"/>
    <mergeCell ref="E648:J648"/>
    <mergeCell ref="K648:L648"/>
    <mergeCell ref="E649:J649"/>
    <mergeCell ref="K649:L649"/>
    <mergeCell ref="E651:M651"/>
    <mergeCell ref="G654:H654"/>
    <mergeCell ref="G462:H462"/>
    <mergeCell ref="G463:H463"/>
    <mergeCell ref="G464:H464"/>
    <mergeCell ref="G465:H465"/>
    <mergeCell ref="G466:H466"/>
    <mergeCell ref="G467:H467"/>
    <mergeCell ref="G469:H469"/>
    <mergeCell ref="G470:M470"/>
    <mergeCell ref="G472:H472"/>
    <mergeCell ref="G522:H522"/>
    <mergeCell ref="G525:H525"/>
    <mergeCell ref="G625:H625"/>
    <mergeCell ref="G628:H628"/>
    <mergeCell ref="K612:L612"/>
    <mergeCell ref="G653:H653"/>
    <mergeCell ref="I653:J653"/>
    <mergeCell ref="K653:L653"/>
    <mergeCell ref="G637:H637"/>
    <mergeCell ref="G638:M638"/>
    <mergeCell ref="G640:H640"/>
    <mergeCell ref="I640:J640"/>
    <mergeCell ref="K640:L640"/>
    <mergeCell ref="G581:H581"/>
    <mergeCell ref="G613:H613"/>
    <mergeCell ref="I613:J613"/>
    <mergeCell ref="G457:H457"/>
    <mergeCell ref="G460:H460"/>
    <mergeCell ref="G461:H461"/>
    <mergeCell ref="D447:F447"/>
    <mergeCell ref="G449:N449"/>
    <mergeCell ref="E452:J452"/>
    <mergeCell ref="K452:L452"/>
    <mergeCell ref="E453:J453"/>
    <mergeCell ref="K453:L453"/>
    <mergeCell ref="E455:M455"/>
    <mergeCell ref="I457:J457"/>
    <mergeCell ref="K457:L457"/>
    <mergeCell ref="G458:H458"/>
    <mergeCell ref="K458:L458"/>
    <mergeCell ref="G437:H437"/>
    <mergeCell ref="D641:F641"/>
    <mergeCell ref="D643:F643"/>
    <mergeCell ref="G601:H601"/>
    <mergeCell ref="G597:H597"/>
    <mergeCell ref="G604:H604"/>
    <mergeCell ref="G605:H605"/>
    <mergeCell ref="K593:L593"/>
    <mergeCell ref="G600:H600"/>
    <mergeCell ref="G602:H602"/>
    <mergeCell ref="G603:H603"/>
    <mergeCell ref="G606:H606"/>
    <mergeCell ref="G607:H607"/>
    <mergeCell ref="G609:H609"/>
    <mergeCell ref="G610:M610"/>
    <mergeCell ref="G612:H612"/>
    <mergeCell ref="I612:J612"/>
    <mergeCell ref="D613:F613"/>
    <mergeCell ref="E427:M427"/>
    <mergeCell ref="G429:H429"/>
    <mergeCell ref="G430:H430"/>
    <mergeCell ref="K444:L444"/>
    <mergeCell ref="G433:H433"/>
    <mergeCell ref="K445:L445"/>
    <mergeCell ref="I429:J429"/>
    <mergeCell ref="G378:H378"/>
    <mergeCell ref="K429:L429"/>
    <mergeCell ref="K430:L430"/>
    <mergeCell ref="G432:H432"/>
    <mergeCell ref="G434:H434"/>
    <mergeCell ref="G435:H435"/>
    <mergeCell ref="G438:H438"/>
    <mergeCell ref="G439:H439"/>
    <mergeCell ref="G441:H441"/>
    <mergeCell ref="G442:M442"/>
    <mergeCell ref="G444:H444"/>
    <mergeCell ref="I444:J444"/>
    <mergeCell ref="D445:F445"/>
    <mergeCell ref="G445:H445"/>
    <mergeCell ref="I445:J445"/>
    <mergeCell ref="K401:L401"/>
    <mergeCell ref="K397:L397"/>
    <mergeCell ref="E399:M399"/>
    <mergeCell ref="G401:H401"/>
    <mergeCell ref="I401:J401"/>
    <mergeCell ref="G436:H436"/>
    <mergeCell ref="K402:L402"/>
    <mergeCell ref="G404:H404"/>
    <mergeCell ref="D417:F417"/>
    <mergeCell ref="G417:H417"/>
    <mergeCell ref="F16:N16"/>
    <mergeCell ref="G317:H317"/>
    <mergeCell ref="I317:J317"/>
    <mergeCell ref="K317:L317"/>
    <mergeCell ref="K340:L340"/>
    <mergeCell ref="K341:L341"/>
    <mergeCell ref="G332:H332"/>
    <mergeCell ref="G333:H333"/>
    <mergeCell ref="G329:H329"/>
    <mergeCell ref="G320:H320"/>
    <mergeCell ref="G321:H321"/>
    <mergeCell ref="G322:H322"/>
    <mergeCell ref="G323:H323"/>
    <mergeCell ref="G324:H324"/>
    <mergeCell ref="G413:H413"/>
    <mergeCell ref="K425:L425"/>
    <mergeCell ref="K417:L417"/>
    <mergeCell ref="D419:F419"/>
    <mergeCell ref="G421:N421"/>
    <mergeCell ref="E424:J424"/>
    <mergeCell ref="K424:L424"/>
    <mergeCell ref="E425:J425"/>
    <mergeCell ref="G380:H380"/>
    <mergeCell ref="G377:H377"/>
    <mergeCell ref="G381:H381"/>
    <mergeCell ref="G382:H382"/>
    <mergeCell ref="G383:H383"/>
    <mergeCell ref="G289:H289"/>
    <mergeCell ref="G305:H305"/>
    <mergeCell ref="I305:J305"/>
    <mergeCell ref="K305:L305"/>
    <mergeCell ref="G405:H405"/>
    <mergeCell ref="G6:H6"/>
    <mergeCell ref="I6:J6"/>
    <mergeCell ref="K6:L6"/>
    <mergeCell ref="M6:N6"/>
    <mergeCell ref="I3:J3"/>
    <mergeCell ref="G122:H122"/>
    <mergeCell ref="G129:H129"/>
    <mergeCell ref="G133:H133"/>
    <mergeCell ref="G85:N85"/>
    <mergeCell ref="E119:M119"/>
    <mergeCell ref="I121:J121"/>
    <mergeCell ref="K121:L121"/>
    <mergeCell ref="I80:J80"/>
    <mergeCell ref="G80:H80"/>
    <mergeCell ref="F13:N13"/>
    <mergeCell ref="E12:N12"/>
    <mergeCell ref="F14:N14"/>
    <mergeCell ref="F15:N15"/>
    <mergeCell ref="F37:N37"/>
    <mergeCell ref="F44:N44"/>
    <mergeCell ref="F53:N53"/>
    <mergeCell ref="G49:N49"/>
    <mergeCell ref="G41:N41"/>
    <mergeCell ref="G39:N39"/>
    <mergeCell ref="G42:N42"/>
    <mergeCell ref="F40:N40"/>
    <mergeCell ref="F43:N43"/>
    <mergeCell ref="F46:N46"/>
    <mergeCell ref="F52:N52"/>
    <mergeCell ref="F47:N47"/>
    <mergeCell ref="G51:N51"/>
    <mergeCell ref="E47:E51"/>
    <mergeCell ref="K373:L373"/>
    <mergeCell ref="E396:J396"/>
    <mergeCell ref="K396:L396"/>
    <mergeCell ref="K200:L200"/>
    <mergeCell ref="E201:J201"/>
    <mergeCell ref="G293:H293"/>
    <mergeCell ref="G217:H217"/>
    <mergeCell ref="G218:M218"/>
    <mergeCell ref="I233:J233"/>
    <mergeCell ref="K233:L233"/>
    <mergeCell ref="G233:H233"/>
    <mergeCell ref="E228:J228"/>
    <mergeCell ref="G234:H234"/>
    <mergeCell ref="K234:L234"/>
    <mergeCell ref="G236:H236"/>
    <mergeCell ref="G237:H237"/>
    <mergeCell ref="G269:H269"/>
    <mergeCell ref="G268:H268"/>
    <mergeCell ref="D223:F223"/>
    <mergeCell ref="G213:H213"/>
    <mergeCell ref="G214:H214"/>
    <mergeCell ref="G215:H215"/>
    <mergeCell ref="G220:H220"/>
    <mergeCell ref="I220:J220"/>
    <mergeCell ref="K220:L220"/>
    <mergeCell ref="D221:F221"/>
    <mergeCell ref="K228:L228"/>
    <mergeCell ref="G225:N225"/>
    <mergeCell ref="G221:H221"/>
    <mergeCell ref="I221:J221"/>
    <mergeCell ref="F26:N26"/>
    <mergeCell ref="G121:H121"/>
    <mergeCell ref="K149:L149"/>
    <mergeCell ref="G137:H137"/>
    <mergeCell ref="I137:J137"/>
    <mergeCell ref="K137:L137"/>
    <mergeCell ref="K172:L172"/>
    <mergeCell ref="G185:H185"/>
    <mergeCell ref="G186:H186"/>
    <mergeCell ref="G165:H165"/>
    <mergeCell ref="G161:H161"/>
    <mergeCell ref="G164:H164"/>
    <mergeCell ref="K173:L173"/>
    <mergeCell ref="D165:F165"/>
    <mergeCell ref="I165:J165"/>
    <mergeCell ref="G189:H189"/>
    <mergeCell ref="G193:H193"/>
    <mergeCell ref="G190:M190"/>
    <mergeCell ref="G192:H192"/>
    <mergeCell ref="I192:J192"/>
    <mergeCell ref="K192:L192"/>
    <mergeCell ref="D193:F193"/>
    <mergeCell ref="I193:J193"/>
    <mergeCell ref="K193:L193"/>
    <mergeCell ref="E40:E42"/>
    <mergeCell ref="F55:N55"/>
    <mergeCell ref="E60:J60"/>
    <mergeCell ref="K60:L60"/>
    <mergeCell ref="G50:N50"/>
    <mergeCell ref="G48:N48"/>
    <mergeCell ref="F45:N45"/>
    <mergeCell ref="G38:N38"/>
    <mergeCell ref="E2:F2"/>
    <mergeCell ref="M2:N2"/>
    <mergeCell ref="I4:J4"/>
    <mergeCell ref="G2:H2"/>
    <mergeCell ref="I2:J2"/>
    <mergeCell ref="K2:L2"/>
    <mergeCell ref="K3:L3"/>
    <mergeCell ref="G4:H4"/>
    <mergeCell ref="E37:E39"/>
    <mergeCell ref="M3:N3"/>
    <mergeCell ref="E3:F3"/>
    <mergeCell ref="G3:H3"/>
    <mergeCell ref="M4:N4"/>
    <mergeCell ref="C8:K8"/>
    <mergeCell ref="E4:F4"/>
    <mergeCell ref="K4:L4"/>
    <mergeCell ref="E5:F5"/>
    <mergeCell ref="G5:H5"/>
    <mergeCell ref="D10:N10"/>
    <mergeCell ref="B2:D6"/>
    <mergeCell ref="I5:J5"/>
    <mergeCell ref="K5:L5"/>
    <mergeCell ref="M5:N5"/>
    <mergeCell ref="E6:F6"/>
    <mergeCell ref="F17:N17"/>
    <mergeCell ref="F23:N23"/>
    <mergeCell ref="F24:N24"/>
    <mergeCell ref="G18:N18"/>
    <mergeCell ref="G19:N19"/>
    <mergeCell ref="F21:N21"/>
    <mergeCell ref="F22:N22"/>
    <mergeCell ref="F25:N25"/>
    <mergeCell ref="F54:N54"/>
    <mergeCell ref="E57:N57"/>
    <mergeCell ref="G66:H66"/>
    <mergeCell ref="K61:L61"/>
    <mergeCell ref="G70:H70"/>
    <mergeCell ref="G71:H71"/>
    <mergeCell ref="D83:F83"/>
    <mergeCell ref="G77:H77"/>
    <mergeCell ref="G69:H69"/>
    <mergeCell ref="G68:H68"/>
    <mergeCell ref="E61:J61"/>
    <mergeCell ref="E63:M63"/>
    <mergeCell ref="G65:H65"/>
    <mergeCell ref="I65:J65"/>
    <mergeCell ref="K65:L65"/>
    <mergeCell ref="K66:L66"/>
    <mergeCell ref="G78:M78"/>
    <mergeCell ref="D81:F81"/>
    <mergeCell ref="G81:H81"/>
    <mergeCell ref="I81:J81"/>
    <mergeCell ref="K81:L81"/>
    <mergeCell ref="K80:L80"/>
    <mergeCell ref="G72:H72"/>
    <mergeCell ref="G73:H73"/>
    <mergeCell ref="G74:H74"/>
    <mergeCell ref="G75:H75"/>
    <mergeCell ref="I417:J417"/>
    <mergeCell ref="G149:H149"/>
    <mergeCell ref="I149:J149"/>
    <mergeCell ref="G629:H629"/>
    <mergeCell ref="G353:H353"/>
    <mergeCell ref="I389:J389"/>
    <mergeCell ref="K389:L389"/>
    <mergeCell ref="G354:H354"/>
    <mergeCell ref="K221:L221"/>
    <mergeCell ref="G238:H238"/>
    <mergeCell ref="G239:H239"/>
    <mergeCell ref="G241:H241"/>
    <mergeCell ref="G245:H245"/>
    <mergeCell ref="K276:L276"/>
    <mergeCell ref="K277:L277"/>
    <mergeCell ref="G292:H292"/>
    <mergeCell ref="E229:J229"/>
    <mergeCell ref="K205:L205"/>
    <mergeCell ref="G209:H209"/>
    <mergeCell ref="G210:H210"/>
    <mergeCell ref="D195:F195"/>
    <mergeCell ref="G197:N197"/>
    <mergeCell ref="E200:J200"/>
    <mergeCell ref="K165:L165"/>
    <mergeCell ref="D167:F167"/>
    <mergeCell ref="G169:N169"/>
    <mergeCell ref="E172:J172"/>
    <mergeCell ref="E173:J173"/>
    <mergeCell ref="E175:M175"/>
    <mergeCell ref="G177:H177"/>
    <mergeCell ref="I177:J177"/>
    <mergeCell ref="K177:L177"/>
    <mergeCell ref="G641:H641"/>
    <mergeCell ref="I641:J641"/>
    <mergeCell ref="K641:L641"/>
    <mergeCell ref="G521:H521"/>
    <mergeCell ref="G500:H500"/>
    <mergeCell ref="G501:H501"/>
    <mergeCell ref="K509:L509"/>
    <mergeCell ref="K508:L508"/>
    <mergeCell ref="G514:H514"/>
    <mergeCell ref="K514:L514"/>
    <mergeCell ref="G516:H516"/>
    <mergeCell ref="G517:H517"/>
    <mergeCell ref="G518:H518"/>
    <mergeCell ref="G519:H519"/>
    <mergeCell ref="G520:H520"/>
    <mergeCell ref="G549:H549"/>
    <mergeCell ref="G545:H545"/>
    <mergeCell ref="G546:H546"/>
    <mergeCell ref="G548:H548"/>
    <mergeCell ref="K541:L541"/>
    <mergeCell ref="E565:J565"/>
    <mergeCell ref="I557:J557"/>
    <mergeCell ref="K557:L557"/>
    <mergeCell ref="G573:H573"/>
    <mergeCell ref="G575:H575"/>
    <mergeCell ref="G577:H577"/>
    <mergeCell ref="K565:L565"/>
    <mergeCell ref="E567:M567"/>
    <mergeCell ref="G569:H569"/>
    <mergeCell ref="I569:J569"/>
    <mergeCell ref="G523:H523"/>
    <mergeCell ref="K613:L613"/>
    <mergeCell ref="G697:H697"/>
    <mergeCell ref="G689:H689"/>
    <mergeCell ref="G690:H690"/>
    <mergeCell ref="G693:H693"/>
    <mergeCell ref="K677:L677"/>
    <mergeCell ref="G668:H668"/>
    <mergeCell ref="G669:H669"/>
    <mergeCell ref="K676:L676"/>
    <mergeCell ref="E676:J676"/>
    <mergeCell ref="E677:J677"/>
    <mergeCell ref="E679:M679"/>
    <mergeCell ref="G681:H681"/>
    <mergeCell ref="I681:J681"/>
    <mergeCell ref="K681:L681"/>
    <mergeCell ref="G682:H682"/>
    <mergeCell ref="K682:L682"/>
    <mergeCell ref="G684:H684"/>
    <mergeCell ref="G685:H685"/>
    <mergeCell ref="G686:H686"/>
    <mergeCell ref="G687:H687"/>
    <mergeCell ref="G688:H688"/>
    <mergeCell ref="G691:H691"/>
    <mergeCell ref="G694:M694"/>
    <mergeCell ref="G696:H696"/>
    <mergeCell ref="I696:J696"/>
    <mergeCell ref="K696:L696"/>
    <mergeCell ref="D697:F697"/>
    <mergeCell ref="I697:J697"/>
    <mergeCell ref="K697:L697"/>
    <mergeCell ref="G717:H717"/>
    <mergeCell ref="G718:H718"/>
    <mergeCell ref="G719:H719"/>
    <mergeCell ref="G721:H721"/>
    <mergeCell ref="G722:M722"/>
    <mergeCell ref="G724:H724"/>
    <mergeCell ref="I724:J724"/>
    <mergeCell ref="K724:L724"/>
    <mergeCell ref="K709:L709"/>
    <mergeCell ref="G713:H713"/>
    <mergeCell ref="E707:M707"/>
    <mergeCell ref="G709:H709"/>
    <mergeCell ref="I709:J709"/>
    <mergeCell ref="G710:H710"/>
    <mergeCell ref="K710:L710"/>
    <mergeCell ref="G712:H712"/>
    <mergeCell ref="G715:H715"/>
    <mergeCell ref="K781:L781"/>
    <mergeCell ref="D781:F781"/>
    <mergeCell ref="G781:H781"/>
    <mergeCell ref="I781:J781"/>
    <mergeCell ref="G798:H798"/>
    <mergeCell ref="G799:H799"/>
    <mergeCell ref="G800:H800"/>
    <mergeCell ref="G801:H801"/>
    <mergeCell ref="G802:H802"/>
    <mergeCell ref="G803:H803"/>
    <mergeCell ref="G805:H805"/>
    <mergeCell ref="G806:M806"/>
    <mergeCell ref="G808:H808"/>
    <mergeCell ref="I808:J808"/>
    <mergeCell ref="K808:L808"/>
    <mergeCell ref="G743:H743"/>
    <mergeCell ref="G745:H745"/>
    <mergeCell ref="G749:H749"/>
    <mergeCell ref="G744:H744"/>
    <mergeCell ref="G746:H746"/>
    <mergeCell ref="G747:H747"/>
    <mergeCell ref="G750:M750"/>
    <mergeCell ref="G752:H752"/>
    <mergeCell ref="I752:J752"/>
    <mergeCell ref="K752:L752"/>
    <mergeCell ref="D753:F753"/>
    <mergeCell ref="G753:H753"/>
    <mergeCell ref="I753:J753"/>
    <mergeCell ref="K753:L753"/>
    <mergeCell ref="D755:F755"/>
    <mergeCell ref="I765:J765"/>
    <mergeCell ref="K765:L765"/>
    <mergeCell ref="E819:M819"/>
    <mergeCell ref="G793:H793"/>
    <mergeCell ref="G796:H796"/>
    <mergeCell ref="G797:H797"/>
    <mergeCell ref="D783:F783"/>
    <mergeCell ref="G785:N785"/>
    <mergeCell ref="E788:J788"/>
    <mergeCell ref="K788:L788"/>
    <mergeCell ref="E789:J789"/>
    <mergeCell ref="K789:L789"/>
    <mergeCell ref="E791:M791"/>
    <mergeCell ref="I793:J793"/>
    <mergeCell ref="K793:L793"/>
    <mergeCell ref="G794:H794"/>
    <mergeCell ref="K794:L794"/>
    <mergeCell ref="D809:F809"/>
    <mergeCell ref="D811:F811"/>
    <mergeCell ref="G813:N813"/>
    <mergeCell ref="E816:J816"/>
    <mergeCell ref="K816:L816"/>
    <mergeCell ref="E817:J817"/>
    <mergeCell ref="K817:L817"/>
    <mergeCell ref="G809:H809"/>
    <mergeCell ref="I809:J809"/>
    <mergeCell ref="K809:L809"/>
    <mergeCell ref="G857:H857"/>
    <mergeCell ref="K844:L844"/>
    <mergeCell ref="K845:L845"/>
    <mergeCell ref="G856:H856"/>
    <mergeCell ref="E847:M847"/>
    <mergeCell ref="G849:H849"/>
    <mergeCell ref="I849:J849"/>
    <mergeCell ref="K849:L849"/>
    <mergeCell ref="G850:H850"/>
    <mergeCell ref="K850:L850"/>
    <mergeCell ref="G852:H852"/>
    <mergeCell ref="G853:H853"/>
    <mergeCell ref="G854:H854"/>
    <mergeCell ref="G855:H855"/>
    <mergeCell ref="K872:L872"/>
    <mergeCell ref="E873:J873"/>
    <mergeCell ref="K873:L873"/>
    <mergeCell ref="K877:L877"/>
    <mergeCell ref="G858:H858"/>
    <mergeCell ref="G861:H861"/>
    <mergeCell ref="G865:H865"/>
    <mergeCell ref="G859:H859"/>
    <mergeCell ref="G862:M862"/>
    <mergeCell ref="G864:H864"/>
    <mergeCell ref="I864:J864"/>
    <mergeCell ref="K864:L864"/>
    <mergeCell ref="D865:F865"/>
    <mergeCell ref="I865:J865"/>
    <mergeCell ref="K865:L865"/>
    <mergeCell ref="D867:F867"/>
    <mergeCell ref="G869:N869"/>
    <mergeCell ref="E872:J872"/>
    <mergeCell ref="E875:M875"/>
    <mergeCell ref="G877:H877"/>
    <mergeCell ref="I877:J877"/>
    <mergeCell ref="E929:J929"/>
    <mergeCell ref="E931:M931"/>
    <mergeCell ref="I933:J933"/>
    <mergeCell ref="K933:L933"/>
    <mergeCell ref="K934:L934"/>
    <mergeCell ref="G889:H889"/>
    <mergeCell ref="G890:M890"/>
    <mergeCell ref="G892:H892"/>
    <mergeCell ref="I892:J892"/>
    <mergeCell ref="K892:L892"/>
    <mergeCell ref="D893:F893"/>
    <mergeCell ref="G893:H893"/>
    <mergeCell ref="I893:J893"/>
    <mergeCell ref="K893:L893"/>
    <mergeCell ref="G881:H881"/>
    <mergeCell ref="G882:H882"/>
    <mergeCell ref="G884:H884"/>
    <mergeCell ref="G885:H885"/>
    <mergeCell ref="G886:H886"/>
    <mergeCell ref="G973:H973"/>
    <mergeCell ref="K948:L948"/>
    <mergeCell ref="K949:L949"/>
    <mergeCell ref="G937:H937"/>
    <mergeCell ref="G940:H940"/>
    <mergeCell ref="G941:H941"/>
    <mergeCell ref="G936:H936"/>
    <mergeCell ref="G938:H938"/>
    <mergeCell ref="G939:H939"/>
    <mergeCell ref="G942:H942"/>
    <mergeCell ref="G943:H943"/>
    <mergeCell ref="G945:H945"/>
    <mergeCell ref="G946:M946"/>
    <mergeCell ref="G948:H948"/>
    <mergeCell ref="I948:J948"/>
    <mergeCell ref="G974:M974"/>
    <mergeCell ref="G976:H976"/>
    <mergeCell ref="I976:J976"/>
    <mergeCell ref="K976:L976"/>
    <mergeCell ref="G949:H949"/>
    <mergeCell ref="I949:J949"/>
    <mergeCell ref="G953:N953"/>
    <mergeCell ref="E956:J956"/>
    <mergeCell ref="K956:L956"/>
    <mergeCell ref="E957:J957"/>
    <mergeCell ref="K957:L957"/>
    <mergeCell ref="E959:M959"/>
    <mergeCell ref="I961:J961"/>
    <mergeCell ref="K961:L961"/>
    <mergeCell ref="G962:H962"/>
    <mergeCell ref="K962:L962"/>
    <mergeCell ref="G966:H966"/>
    <mergeCell ref="G1033:H1033"/>
    <mergeCell ref="G1032:H1032"/>
    <mergeCell ref="I1032:J1032"/>
    <mergeCell ref="K1032:L1032"/>
    <mergeCell ref="D1033:F1033"/>
    <mergeCell ref="I1033:J1033"/>
    <mergeCell ref="K1033:L1033"/>
    <mergeCell ref="D1035:F1035"/>
    <mergeCell ref="G1037:N1037"/>
    <mergeCell ref="E1040:J1040"/>
    <mergeCell ref="K1040:L1040"/>
    <mergeCell ref="E1041:J1041"/>
    <mergeCell ref="K1041:L1041"/>
    <mergeCell ref="G1025:H1025"/>
    <mergeCell ref="G1026:H1026"/>
    <mergeCell ref="G1029:H1029"/>
    <mergeCell ref="K1013:L1013"/>
    <mergeCell ref="G1018:H1018"/>
    <mergeCell ref="K1018:L1018"/>
    <mergeCell ref="G1020:H1020"/>
    <mergeCell ref="G1021:H1021"/>
    <mergeCell ref="G1022:H1022"/>
    <mergeCell ref="G1023:H1023"/>
    <mergeCell ref="G1024:H1024"/>
    <mergeCell ref="G1027:H1027"/>
    <mergeCell ref="G1030:M1030"/>
    <mergeCell ref="G1065:N1065"/>
    <mergeCell ref="E1068:J1068"/>
    <mergeCell ref="K1068:L1068"/>
    <mergeCell ref="E1069:J1069"/>
    <mergeCell ref="K1069:L1069"/>
    <mergeCell ref="G1050:H1050"/>
    <mergeCell ref="G1052:H1052"/>
    <mergeCell ref="G1053:H1053"/>
    <mergeCell ref="G1054:H1054"/>
    <mergeCell ref="G1055:H1055"/>
    <mergeCell ref="G1057:H1057"/>
    <mergeCell ref="G1058:M1058"/>
    <mergeCell ref="G1060:H1060"/>
    <mergeCell ref="I1060:J1060"/>
    <mergeCell ref="K1060:L1060"/>
    <mergeCell ref="K1045:L1045"/>
    <mergeCell ref="G1049:H1049"/>
    <mergeCell ref="G1101:H1101"/>
    <mergeCell ref="G1102:H1102"/>
    <mergeCell ref="G1105:H1105"/>
    <mergeCell ref="G1108:H1108"/>
    <mergeCell ref="K1097:L1097"/>
    <mergeCell ref="D1091:F1091"/>
    <mergeCell ref="G1093:N1093"/>
    <mergeCell ref="E1096:J1096"/>
    <mergeCell ref="K1096:L1096"/>
    <mergeCell ref="E1097:J1097"/>
    <mergeCell ref="E1099:M1099"/>
    <mergeCell ref="I1101:J1101"/>
    <mergeCell ref="K1101:L1101"/>
    <mergeCell ref="K1102:L1102"/>
    <mergeCell ref="G1104:H1104"/>
    <mergeCell ref="G1106:H1106"/>
    <mergeCell ref="G1079:H1079"/>
    <mergeCell ref="G1081:H1081"/>
    <mergeCell ref="G1085:H1085"/>
    <mergeCell ref="G1107:H1107"/>
    <mergeCell ref="G1164:H1164"/>
    <mergeCell ref="G1165:H1165"/>
    <mergeCell ref="G1145:H1145"/>
    <mergeCell ref="I1145:J1145"/>
    <mergeCell ref="K1145:L1145"/>
    <mergeCell ref="G1129:H1129"/>
    <mergeCell ref="G1132:H1132"/>
    <mergeCell ref="G1133:H1133"/>
    <mergeCell ref="I1129:J1129"/>
    <mergeCell ref="K1129:L1129"/>
    <mergeCell ref="G1130:H1130"/>
    <mergeCell ref="K1130:L1130"/>
    <mergeCell ref="G1134:H1134"/>
    <mergeCell ref="G1135:H1135"/>
    <mergeCell ref="G1136:H1136"/>
    <mergeCell ref="G1137:H1137"/>
    <mergeCell ref="G1138:H1138"/>
    <mergeCell ref="G1139:H1139"/>
    <mergeCell ref="G1141:H1141"/>
    <mergeCell ref="G1142:M1142"/>
    <mergeCell ref="G1144:H1144"/>
    <mergeCell ref="I1144:J1144"/>
    <mergeCell ref="K1144:L1144"/>
    <mergeCell ref="F20:N20"/>
    <mergeCell ref="F27:N27"/>
    <mergeCell ref="G1228:H1228"/>
    <mergeCell ref="I1228:J1228"/>
    <mergeCell ref="K1228:L1228"/>
    <mergeCell ref="D1229:F1229"/>
    <mergeCell ref="G1229:H1229"/>
    <mergeCell ref="I1229:J1229"/>
    <mergeCell ref="K1229:L1229"/>
    <mergeCell ref="G1217:H1217"/>
    <mergeCell ref="G1218:H1218"/>
    <mergeCell ref="G1220:H1220"/>
    <mergeCell ref="G1221:H1221"/>
    <mergeCell ref="G1222:H1222"/>
    <mergeCell ref="K1213:L1213"/>
    <mergeCell ref="G1226:M1226"/>
    <mergeCell ref="G1194:H1194"/>
    <mergeCell ref="G1197:H1197"/>
    <mergeCell ref="G1201:H1201"/>
    <mergeCell ref="G1193:H1193"/>
    <mergeCell ref="G1188:H1188"/>
    <mergeCell ref="G1189:H1189"/>
    <mergeCell ref="G1190:H1190"/>
    <mergeCell ref="G1191:H1191"/>
    <mergeCell ref="G1192:H1192"/>
    <mergeCell ref="G1195:H1195"/>
    <mergeCell ref="G1198:M1198"/>
    <mergeCell ref="G1200:H1200"/>
    <mergeCell ref="I1200:J1200"/>
    <mergeCell ref="K1200:L1200"/>
    <mergeCell ref="D1201:F1201"/>
    <mergeCell ref="K1180:L1180"/>
    <mergeCell ref="G103:H103"/>
    <mergeCell ref="G105:H105"/>
    <mergeCell ref="G106:M106"/>
    <mergeCell ref="G108:H108"/>
    <mergeCell ref="I108:J108"/>
    <mergeCell ref="D109:F109"/>
    <mergeCell ref="G109:H109"/>
    <mergeCell ref="I109:J109"/>
    <mergeCell ref="D111:F111"/>
    <mergeCell ref="G113:N113"/>
    <mergeCell ref="E88:J88"/>
    <mergeCell ref="K88:L88"/>
    <mergeCell ref="E89:J89"/>
    <mergeCell ref="K89:L89"/>
    <mergeCell ref="E91:M91"/>
    <mergeCell ref="G93:H93"/>
    <mergeCell ref="I93:J93"/>
    <mergeCell ref="K93:L93"/>
    <mergeCell ref="G94:H94"/>
    <mergeCell ref="K94:L94"/>
    <mergeCell ref="G96:H96"/>
    <mergeCell ref="G97:H97"/>
    <mergeCell ref="G98:H98"/>
    <mergeCell ref="G99:H99"/>
    <mergeCell ref="G100:H100"/>
    <mergeCell ref="G101:H101"/>
    <mergeCell ref="G102:H102"/>
    <mergeCell ref="G126:H126"/>
    <mergeCell ref="G127:H127"/>
    <mergeCell ref="G128:H128"/>
    <mergeCell ref="G130:H130"/>
    <mergeCell ref="G131:H131"/>
    <mergeCell ref="G134:M134"/>
    <mergeCell ref="G136:H136"/>
    <mergeCell ref="I136:J136"/>
    <mergeCell ref="K136:L136"/>
    <mergeCell ref="D137:F137"/>
    <mergeCell ref="D139:F139"/>
    <mergeCell ref="G141:N141"/>
    <mergeCell ref="K108:L108"/>
    <mergeCell ref="K109:L109"/>
    <mergeCell ref="E116:J116"/>
    <mergeCell ref="K116:L116"/>
    <mergeCell ref="E117:J117"/>
    <mergeCell ref="K117:L117"/>
    <mergeCell ref="K122:L122"/>
    <mergeCell ref="G124:H124"/>
    <mergeCell ref="G125:H125"/>
    <mergeCell ref="E144:J144"/>
    <mergeCell ref="K144:L144"/>
    <mergeCell ref="E145:J145"/>
    <mergeCell ref="K145:L145"/>
    <mergeCell ref="E147:M147"/>
    <mergeCell ref="G150:H150"/>
    <mergeCell ref="K150:L150"/>
    <mergeCell ref="G152:H152"/>
    <mergeCell ref="G153:H153"/>
    <mergeCell ref="G154:H154"/>
    <mergeCell ref="G155:H155"/>
    <mergeCell ref="G156:H156"/>
    <mergeCell ref="G157:H157"/>
    <mergeCell ref="G158:H158"/>
    <mergeCell ref="G159:H159"/>
    <mergeCell ref="G162:M162"/>
    <mergeCell ref="I164:J164"/>
    <mergeCell ref="K164:L164"/>
    <mergeCell ref="G178:H178"/>
    <mergeCell ref="K178:L178"/>
    <mergeCell ref="G180:H180"/>
    <mergeCell ref="G181:H181"/>
    <mergeCell ref="G182:H182"/>
    <mergeCell ref="G183:H183"/>
    <mergeCell ref="G184:H184"/>
    <mergeCell ref="G187:H187"/>
    <mergeCell ref="K201:L201"/>
    <mergeCell ref="E203:M203"/>
    <mergeCell ref="G205:H205"/>
    <mergeCell ref="I205:J205"/>
    <mergeCell ref="G206:H206"/>
    <mergeCell ref="K206:L206"/>
    <mergeCell ref="G208:H208"/>
    <mergeCell ref="G211:H211"/>
    <mergeCell ref="G212:H212"/>
    <mergeCell ref="K229:L229"/>
    <mergeCell ref="E231:M231"/>
    <mergeCell ref="G240:H240"/>
    <mergeCell ref="G242:H242"/>
    <mergeCell ref="G243:H243"/>
    <mergeCell ref="G246:M246"/>
    <mergeCell ref="G248:H248"/>
    <mergeCell ref="I248:J248"/>
    <mergeCell ref="K248:L248"/>
    <mergeCell ref="D249:F249"/>
    <mergeCell ref="G249:H249"/>
    <mergeCell ref="I249:J249"/>
    <mergeCell ref="K249:L249"/>
    <mergeCell ref="D251:F251"/>
    <mergeCell ref="G253:N253"/>
    <mergeCell ref="E256:J256"/>
    <mergeCell ref="K256:L256"/>
    <mergeCell ref="E257:J257"/>
    <mergeCell ref="K257:L257"/>
    <mergeCell ref="E259:M259"/>
    <mergeCell ref="G261:H261"/>
    <mergeCell ref="I261:J261"/>
    <mergeCell ref="K261:L261"/>
    <mergeCell ref="G262:H262"/>
    <mergeCell ref="K262:L262"/>
    <mergeCell ref="G264:H264"/>
    <mergeCell ref="G265:H265"/>
    <mergeCell ref="G266:H266"/>
    <mergeCell ref="G267:H267"/>
    <mergeCell ref="G270:H270"/>
    <mergeCell ref="G271:H271"/>
    <mergeCell ref="G273:H273"/>
    <mergeCell ref="G274:M274"/>
    <mergeCell ref="G276:H276"/>
    <mergeCell ref="I276:J276"/>
    <mergeCell ref="D277:F277"/>
    <mergeCell ref="G277:H277"/>
    <mergeCell ref="I277:J277"/>
    <mergeCell ref="D279:F279"/>
    <mergeCell ref="G281:N281"/>
    <mergeCell ref="E284:J284"/>
    <mergeCell ref="K284:L284"/>
    <mergeCell ref="E285:J285"/>
    <mergeCell ref="K285:L285"/>
    <mergeCell ref="E287:M287"/>
    <mergeCell ref="I289:J289"/>
    <mergeCell ref="K289:L289"/>
    <mergeCell ref="G290:H290"/>
    <mergeCell ref="K290:L290"/>
    <mergeCell ref="G294:H294"/>
    <mergeCell ref="G295:H295"/>
    <mergeCell ref="G296:H296"/>
    <mergeCell ref="G297:H297"/>
    <mergeCell ref="G298:H298"/>
    <mergeCell ref="G299:H299"/>
    <mergeCell ref="G301:H301"/>
    <mergeCell ref="G302:M302"/>
    <mergeCell ref="G304:H304"/>
    <mergeCell ref="I304:J304"/>
    <mergeCell ref="K304:L304"/>
    <mergeCell ref="D305:F305"/>
    <mergeCell ref="D307:F307"/>
    <mergeCell ref="G309:N309"/>
    <mergeCell ref="E312:J312"/>
    <mergeCell ref="K312:L312"/>
    <mergeCell ref="E313:J313"/>
    <mergeCell ref="K313:L313"/>
    <mergeCell ref="E315:M315"/>
    <mergeCell ref="G318:H318"/>
    <mergeCell ref="K318:L318"/>
    <mergeCell ref="G325:H325"/>
    <mergeCell ref="G326:H326"/>
    <mergeCell ref="G327:H327"/>
    <mergeCell ref="G330:M330"/>
    <mergeCell ref="I332:J332"/>
    <mergeCell ref="K332:L332"/>
    <mergeCell ref="D333:F333"/>
    <mergeCell ref="I333:J333"/>
    <mergeCell ref="K333:L333"/>
    <mergeCell ref="D335:F335"/>
    <mergeCell ref="G337:N337"/>
    <mergeCell ref="E340:J340"/>
    <mergeCell ref="E341:J341"/>
    <mergeCell ref="E343:M343"/>
    <mergeCell ref="G345:H345"/>
    <mergeCell ref="I345:J345"/>
    <mergeCell ref="K345:L345"/>
    <mergeCell ref="G346:H346"/>
    <mergeCell ref="K346:L346"/>
    <mergeCell ref="G348:H348"/>
    <mergeCell ref="G349:H349"/>
    <mergeCell ref="G350:H350"/>
    <mergeCell ref="G351:H351"/>
    <mergeCell ref="G352:H352"/>
    <mergeCell ref="G355:H355"/>
    <mergeCell ref="G358:M358"/>
    <mergeCell ref="G360:H360"/>
    <mergeCell ref="I360:J360"/>
    <mergeCell ref="K360:L360"/>
    <mergeCell ref="D361:F361"/>
    <mergeCell ref="I361:J361"/>
    <mergeCell ref="K361:L361"/>
    <mergeCell ref="D363:F363"/>
    <mergeCell ref="G365:N365"/>
    <mergeCell ref="G357:H357"/>
    <mergeCell ref="G361:H361"/>
    <mergeCell ref="E368:J368"/>
    <mergeCell ref="K368:L368"/>
    <mergeCell ref="E369:J369"/>
    <mergeCell ref="K369:L369"/>
    <mergeCell ref="E371:M371"/>
    <mergeCell ref="G373:H373"/>
    <mergeCell ref="I373:J373"/>
    <mergeCell ref="G374:H374"/>
    <mergeCell ref="K374:L374"/>
    <mergeCell ref="G376:H376"/>
    <mergeCell ref="G379:H379"/>
    <mergeCell ref="G408:H408"/>
    <mergeCell ref="G410:H410"/>
    <mergeCell ref="G411:H411"/>
    <mergeCell ref="G414:M414"/>
    <mergeCell ref="G416:H416"/>
    <mergeCell ref="I416:J416"/>
    <mergeCell ref="K416:L416"/>
    <mergeCell ref="G402:H402"/>
    <mergeCell ref="G385:H385"/>
    <mergeCell ref="G386:M386"/>
    <mergeCell ref="D389:F389"/>
    <mergeCell ref="D391:F391"/>
    <mergeCell ref="G393:N393"/>
    <mergeCell ref="G388:H388"/>
    <mergeCell ref="I388:J388"/>
    <mergeCell ref="K388:L388"/>
    <mergeCell ref="G389:H389"/>
    <mergeCell ref="G406:H406"/>
    <mergeCell ref="G407:H407"/>
    <mergeCell ref="G409:H409"/>
    <mergeCell ref="E397:J397"/>
    <mergeCell ref="I472:J472"/>
    <mergeCell ref="K472:L472"/>
    <mergeCell ref="D473:F473"/>
    <mergeCell ref="D475:F475"/>
    <mergeCell ref="G477:N477"/>
    <mergeCell ref="E480:J480"/>
    <mergeCell ref="K480:L480"/>
    <mergeCell ref="E481:J481"/>
    <mergeCell ref="K481:L481"/>
    <mergeCell ref="E483:M483"/>
    <mergeCell ref="G486:H486"/>
    <mergeCell ref="K486:L486"/>
    <mergeCell ref="G488:H488"/>
    <mergeCell ref="G489:H489"/>
    <mergeCell ref="G490:H490"/>
    <mergeCell ref="G491:H491"/>
    <mergeCell ref="G492:H492"/>
    <mergeCell ref="K473:L473"/>
    <mergeCell ref="G473:H473"/>
    <mergeCell ref="I473:J473"/>
    <mergeCell ref="G485:H485"/>
    <mergeCell ref="I485:J485"/>
    <mergeCell ref="K485:L485"/>
    <mergeCell ref="G493:H493"/>
    <mergeCell ref="G494:H494"/>
    <mergeCell ref="G495:H495"/>
    <mergeCell ref="G498:M498"/>
    <mergeCell ref="I500:J500"/>
    <mergeCell ref="K500:L500"/>
    <mergeCell ref="D501:F501"/>
    <mergeCell ref="I501:J501"/>
    <mergeCell ref="K501:L501"/>
    <mergeCell ref="D503:F503"/>
    <mergeCell ref="G505:N505"/>
    <mergeCell ref="E508:J508"/>
    <mergeCell ref="E509:J509"/>
    <mergeCell ref="E511:M511"/>
    <mergeCell ref="G513:H513"/>
    <mergeCell ref="I513:J513"/>
    <mergeCell ref="K513:L513"/>
    <mergeCell ref="G497:H497"/>
    <mergeCell ref="G526:M526"/>
    <mergeCell ref="G528:H528"/>
    <mergeCell ref="I528:J528"/>
    <mergeCell ref="K528:L528"/>
    <mergeCell ref="D529:F529"/>
    <mergeCell ref="G529:H529"/>
    <mergeCell ref="I529:J529"/>
    <mergeCell ref="K529:L529"/>
    <mergeCell ref="D531:F531"/>
    <mergeCell ref="G533:N533"/>
    <mergeCell ref="E536:J536"/>
    <mergeCell ref="K536:L536"/>
    <mergeCell ref="E537:J537"/>
    <mergeCell ref="K537:L537"/>
    <mergeCell ref="E539:M539"/>
    <mergeCell ref="G541:H541"/>
    <mergeCell ref="I541:J541"/>
    <mergeCell ref="G542:H542"/>
    <mergeCell ref="K542:L542"/>
    <mergeCell ref="G544:H544"/>
    <mergeCell ref="G547:H547"/>
    <mergeCell ref="G550:H550"/>
    <mergeCell ref="G551:H551"/>
    <mergeCell ref="G554:M554"/>
    <mergeCell ref="G556:H556"/>
    <mergeCell ref="I556:J556"/>
    <mergeCell ref="K556:L556"/>
    <mergeCell ref="D557:F557"/>
    <mergeCell ref="G557:H557"/>
    <mergeCell ref="D559:F559"/>
    <mergeCell ref="G561:N561"/>
    <mergeCell ref="G576:H576"/>
    <mergeCell ref="G578:H578"/>
    <mergeCell ref="G579:H579"/>
    <mergeCell ref="K569:L569"/>
    <mergeCell ref="G574:H574"/>
    <mergeCell ref="G570:H570"/>
    <mergeCell ref="K570:L570"/>
    <mergeCell ref="E564:J564"/>
    <mergeCell ref="K564:L564"/>
    <mergeCell ref="G553:H553"/>
    <mergeCell ref="G572:H572"/>
    <mergeCell ref="G582:M582"/>
    <mergeCell ref="G584:H584"/>
    <mergeCell ref="I584:J584"/>
    <mergeCell ref="K584:L584"/>
    <mergeCell ref="D585:F585"/>
    <mergeCell ref="G585:H585"/>
    <mergeCell ref="I585:J585"/>
    <mergeCell ref="K585:L585"/>
    <mergeCell ref="D587:F587"/>
    <mergeCell ref="G589:N589"/>
    <mergeCell ref="E592:J592"/>
    <mergeCell ref="K592:L592"/>
    <mergeCell ref="E593:J593"/>
    <mergeCell ref="E595:M595"/>
    <mergeCell ref="I597:J597"/>
    <mergeCell ref="K597:L597"/>
    <mergeCell ref="K598:L598"/>
    <mergeCell ref="G598:H598"/>
    <mergeCell ref="D615:F615"/>
    <mergeCell ref="G617:N617"/>
    <mergeCell ref="E620:J620"/>
    <mergeCell ref="K620:L620"/>
    <mergeCell ref="E621:J621"/>
    <mergeCell ref="K621:L621"/>
    <mergeCell ref="E623:M623"/>
    <mergeCell ref="I625:J625"/>
    <mergeCell ref="K625:L625"/>
    <mergeCell ref="G626:H626"/>
    <mergeCell ref="K626:L626"/>
    <mergeCell ref="G630:H630"/>
    <mergeCell ref="G631:H631"/>
    <mergeCell ref="G632:H632"/>
    <mergeCell ref="G633:H633"/>
    <mergeCell ref="G634:H634"/>
    <mergeCell ref="G635:H635"/>
    <mergeCell ref="K654:L654"/>
    <mergeCell ref="G656:H656"/>
    <mergeCell ref="G657:H657"/>
    <mergeCell ref="G658:H658"/>
    <mergeCell ref="G659:H659"/>
    <mergeCell ref="G660:H660"/>
    <mergeCell ref="G661:H661"/>
    <mergeCell ref="G662:H662"/>
    <mergeCell ref="G663:H663"/>
    <mergeCell ref="G666:M666"/>
    <mergeCell ref="I668:J668"/>
    <mergeCell ref="K668:L668"/>
    <mergeCell ref="D669:F669"/>
    <mergeCell ref="I669:J669"/>
    <mergeCell ref="K669:L669"/>
    <mergeCell ref="D671:F671"/>
    <mergeCell ref="G673:N673"/>
    <mergeCell ref="G665:H665"/>
    <mergeCell ref="D699:F699"/>
    <mergeCell ref="G701:N701"/>
    <mergeCell ref="E704:J704"/>
    <mergeCell ref="K704:L704"/>
    <mergeCell ref="E705:J705"/>
    <mergeCell ref="K705:L705"/>
    <mergeCell ref="G757:N757"/>
    <mergeCell ref="E760:J760"/>
    <mergeCell ref="K760:L760"/>
    <mergeCell ref="E761:J761"/>
    <mergeCell ref="E763:M763"/>
    <mergeCell ref="E735:M735"/>
    <mergeCell ref="G737:H737"/>
    <mergeCell ref="I737:J737"/>
    <mergeCell ref="K737:L737"/>
    <mergeCell ref="G738:H738"/>
    <mergeCell ref="K738:L738"/>
    <mergeCell ref="G740:H740"/>
    <mergeCell ref="G741:H741"/>
    <mergeCell ref="G742:H742"/>
    <mergeCell ref="D725:F725"/>
    <mergeCell ref="G725:H725"/>
    <mergeCell ref="I725:J725"/>
    <mergeCell ref="K725:L725"/>
    <mergeCell ref="D727:F727"/>
    <mergeCell ref="G729:N729"/>
    <mergeCell ref="E732:J732"/>
    <mergeCell ref="K732:L732"/>
    <mergeCell ref="E733:J733"/>
    <mergeCell ref="K733:L733"/>
    <mergeCell ref="G714:H714"/>
    <mergeCell ref="G716:H716"/>
    <mergeCell ref="K766:L766"/>
    <mergeCell ref="G768:H768"/>
    <mergeCell ref="G770:H770"/>
    <mergeCell ref="G771:H771"/>
    <mergeCell ref="G774:H774"/>
    <mergeCell ref="G775:H775"/>
    <mergeCell ref="G777:H777"/>
    <mergeCell ref="G778:M778"/>
    <mergeCell ref="G780:H780"/>
    <mergeCell ref="I780:J780"/>
    <mergeCell ref="G765:H765"/>
    <mergeCell ref="G766:H766"/>
    <mergeCell ref="G769:H769"/>
    <mergeCell ref="G772:H772"/>
    <mergeCell ref="K761:L761"/>
    <mergeCell ref="G773:H773"/>
    <mergeCell ref="K780:L780"/>
    <mergeCell ref="D837:F837"/>
    <mergeCell ref="I837:J837"/>
    <mergeCell ref="K837:L837"/>
    <mergeCell ref="D839:F839"/>
    <mergeCell ref="G841:N841"/>
    <mergeCell ref="E844:J844"/>
    <mergeCell ref="E845:J845"/>
    <mergeCell ref="G833:H833"/>
    <mergeCell ref="G836:H836"/>
    <mergeCell ref="G837:H837"/>
    <mergeCell ref="G821:H821"/>
    <mergeCell ref="I821:J821"/>
    <mergeCell ref="K821:L821"/>
    <mergeCell ref="G822:H822"/>
    <mergeCell ref="K822:L822"/>
    <mergeCell ref="G824:H824"/>
    <mergeCell ref="G825:H825"/>
    <mergeCell ref="G826:H826"/>
    <mergeCell ref="G827:H827"/>
    <mergeCell ref="G828:H828"/>
    <mergeCell ref="G829:H829"/>
    <mergeCell ref="G830:H830"/>
    <mergeCell ref="G831:H831"/>
    <mergeCell ref="G834:M834"/>
    <mergeCell ref="I836:J836"/>
    <mergeCell ref="K836:L836"/>
    <mergeCell ref="G878:H878"/>
    <mergeCell ref="K878:L878"/>
    <mergeCell ref="G880:H880"/>
    <mergeCell ref="G883:H883"/>
    <mergeCell ref="G912:H912"/>
    <mergeCell ref="G914:H914"/>
    <mergeCell ref="G915:H915"/>
    <mergeCell ref="G918:M918"/>
    <mergeCell ref="G920:H920"/>
    <mergeCell ref="I920:J920"/>
    <mergeCell ref="K920:L920"/>
    <mergeCell ref="G906:H906"/>
    <mergeCell ref="K906:L906"/>
    <mergeCell ref="G908:H908"/>
    <mergeCell ref="G909:H909"/>
    <mergeCell ref="G910:H910"/>
    <mergeCell ref="G911:H911"/>
    <mergeCell ref="G913:H913"/>
    <mergeCell ref="G917:H917"/>
    <mergeCell ref="D895:F895"/>
    <mergeCell ref="G897:N897"/>
    <mergeCell ref="E900:J900"/>
    <mergeCell ref="K900:L900"/>
    <mergeCell ref="E901:J901"/>
    <mergeCell ref="K901:L901"/>
    <mergeCell ref="E903:M903"/>
    <mergeCell ref="G905:H905"/>
    <mergeCell ref="I905:J905"/>
    <mergeCell ref="K905:L905"/>
    <mergeCell ref="G887:H887"/>
    <mergeCell ref="G969:H969"/>
    <mergeCell ref="G970:H970"/>
    <mergeCell ref="G971:H971"/>
    <mergeCell ref="G965:H965"/>
    <mergeCell ref="G961:H961"/>
    <mergeCell ref="G964:H964"/>
    <mergeCell ref="D949:F949"/>
    <mergeCell ref="D951:F951"/>
    <mergeCell ref="G967:H967"/>
    <mergeCell ref="G968:H968"/>
    <mergeCell ref="K929:L929"/>
    <mergeCell ref="G933:H933"/>
    <mergeCell ref="G934:H934"/>
    <mergeCell ref="D921:F921"/>
    <mergeCell ref="G921:H921"/>
    <mergeCell ref="I921:J921"/>
    <mergeCell ref="K921:L921"/>
    <mergeCell ref="D923:F923"/>
    <mergeCell ref="G925:N925"/>
    <mergeCell ref="E928:J928"/>
    <mergeCell ref="K928:L928"/>
    <mergeCell ref="D977:F977"/>
    <mergeCell ref="D979:F979"/>
    <mergeCell ref="G981:N981"/>
    <mergeCell ref="E984:J984"/>
    <mergeCell ref="K984:L984"/>
    <mergeCell ref="E985:J985"/>
    <mergeCell ref="K985:L985"/>
    <mergeCell ref="E987:M987"/>
    <mergeCell ref="G990:H990"/>
    <mergeCell ref="K990:L990"/>
    <mergeCell ref="G992:H992"/>
    <mergeCell ref="G993:H993"/>
    <mergeCell ref="G994:H994"/>
    <mergeCell ref="G977:H977"/>
    <mergeCell ref="I977:J977"/>
    <mergeCell ref="K977:L977"/>
    <mergeCell ref="D1007:F1007"/>
    <mergeCell ref="G989:H989"/>
    <mergeCell ref="I989:J989"/>
    <mergeCell ref="K989:L989"/>
    <mergeCell ref="G1009:N1009"/>
    <mergeCell ref="E1012:J1012"/>
    <mergeCell ref="E1013:J1013"/>
    <mergeCell ref="E1015:M1015"/>
    <mergeCell ref="G1017:H1017"/>
    <mergeCell ref="I1017:J1017"/>
    <mergeCell ref="K1017:L1017"/>
    <mergeCell ref="G1004:H1004"/>
    <mergeCell ref="G1005:H1005"/>
    <mergeCell ref="K1012:L1012"/>
    <mergeCell ref="G1001:H1001"/>
    <mergeCell ref="G995:H995"/>
    <mergeCell ref="G996:H996"/>
    <mergeCell ref="G997:H997"/>
    <mergeCell ref="G998:H998"/>
    <mergeCell ref="G999:H999"/>
    <mergeCell ref="G1002:M1002"/>
    <mergeCell ref="I1004:J1004"/>
    <mergeCell ref="K1004:L1004"/>
    <mergeCell ref="D1005:F1005"/>
    <mergeCell ref="I1005:J1005"/>
    <mergeCell ref="K1005:L1005"/>
    <mergeCell ref="E1043:M1043"/>
    <mergeCell ref="G1045:H1045"/>
    <mergeCell ref="I1045:J1045"/>
    <mergeCell ref="G1046:H1046"/>
    <mergeCell ref="K1046:L1046"/>
    <mergeCell ref="G1048:H1048"/>
    <mergeCell ref="G1051:H1051"/>
    <mergeCell ref="G1080:H1080"/>
    <mergeCell ref="G1082:H1082"/>
    <mergeCell ref="G1083:H1083"/>
    <mergeCell ref="G1086:M1086"/>
    <mergeCell ref="G1088:H1088"/>
    <mergeCell ref="I1088:J1088"/>
    <mergeCell ref="K1088:L1088"/>
    <mergeCell ref="D1089:F1089"/>
    <mergeCell ref="G1089:H1089"/>
    <mergeCell ref="I1089:J1089"/>
    <mergeCell ref="K1089:L1089"/>
    <mergeCell ref="E1071:M1071"/>
    <mergeCell ref="G1073:H1073"/>
    <mergeCell ref="I1073:J1073"/>
    <mergeCell ref="K1073:L1073"/>
    <mergeCell ref="G1074:H1074"/>
    <mergeCell ref="K1074:L1074"/>
    <mergeCell ref="G1076:H1076"/>
    <mergeCell ref="G1077:H1077"/>
    <mergeCell ref="G1078:H1078"/>
    <mergeCell ref="D1061:F1061"/>
    <mergeCell ref="G1061:H1061"/>
    <mergeCell ref="I1061:J1061"/>
    <mergeCell ref="K1061:L1061"/>
    <mergeCell ref="D1063:F1063"/>
    <mergeCell ref="G1110:H1110"/>
    <mergeCell ref="G1111:H1111"/>
    <mergeCell ref="G1113:H1113"/>
    <mergeCell ref="G1114:M1114"/>
    <mergeCell ref="G1116:H1116"/>
    <mergeCell ref="I1116:J1116"/>
    <mergeCell ref="D1117:F1117"/>
    <mergeCell ref="G1117:H1117"/>
    <mergeCell ref="I1117:J1117"/>
    <mergeCell ref="D1119:F1119"/>
    <mergeCell ref="G1121:N1121"/>
    <mergeCell ref="E1124:J1124"/>
    <mergeCell ref="K1124:L1124"/>
    <mergeCell ref="E1125:J1125"/>
    <mergeCell ref="K1125:L1125"/>
    <mergeCell ref="E1127:M1127"/>
    <mergeCell ref="G1109:H1109"/>
    <mergeCell ref="K1116:L1116"/>
    <mergeCell ref="K1117:L1117"/>
    <mergeCell ref="D1145:F1145"/>
    <mergeCell ref="D1147:F1147"/>
    <mergeCell ref="G1149:N1149"/>
    <mergeCell ref="E1152:J1152"/>
    <mergeCell ref="K1152:L1152"/>
    <mergeCell ref="E1153:J1153"/>
    <mergeCell ref="K1153:L1153"/>
    <mergeCell ref="E1155:M1155"/>
    <mergeCell ref="G1158:H1158"/>
    <mergeCell ref="K1158:L1158"/>
    <mergeCell ref="G1160:H1160"/>
    <mergeCell ref="G1161:H1161"/>
    <mergeCell ref="G1162:H1162"/>
    <mergeCell ref="G1163:H1163"/>
    <mergeCell ref="G1157:H1157"/>
    <mergeCell ref="I1157:J1157"/>
    <mergeCell ref="K1157:L1157"/>
    <mergeCell ref="G1166:H1166"/>
    <mergeCell ref="G1167:H1167"/>
    <mergeCell ref="G1170:M1170"/>
    <mergeCell ref="I1172:J1172"/>
    <mergeCell ref="K1172:L1172"/>
    <mergeCell ref="D1173:F1173"/>
    <mergeCell ref="I1173:J1173"/>
    <mergeCell ref="K1173:L1173"/>
    <mergeCell ref="D1175:F1175"/>
    <mergeCell ref="G1177:N1177"/>
    <mergeCell ref="E1180:J1180"/>
    <mergeCell ref="E1181:J1181"/>
    <mergeCell ref="E1183:M1183"/>
    <mergeCell ref="G1185:H1185"/>
    <mergeCell ref="I1185:J1185"/>
    <mergeCell ref="K1185:L1185"/>
    <mergeCell ref="G1186:H1186"/>
    <mergeCell ref="K1186:L1186"/>
    <mergeCell ref="K1181:L1181"/>
    <mergeCell ref="G1169:H1169"/>
    <mergeCell ref="G1172:H1172"/>
    <mergeCell ref="G1173:H1173"/>
    <mergeCell ref="I1201:J1201"/>
    <mergeCell ref="K1201:L1201"/>
    <mergeCell ref="D1203:F1203"/>
    <mergeCell ref="G1205:N1205"/>
    <mergeCell ref="E1208:J1208"/>
    <mergeCell ref="K1208:L1208"/>
    <mergeCell ref="E1209:J1209"/>
    <mergeCell ref="K1209:L1209"/>
    <mergeCell ref="E1211:M1211"/>
    <mergeCell ref="G1213:H1213"/>
    <mergeCell ref="I1213:J1213"/>
    <mergeCell ref="G1214:H1214"/>
    <mergeCell ref="K1214:L1214"/>
    <mergeCell ref="G1216:H1216"/>
    <mergeCell ref="G1219:H1219"/>
    <mergeCell ref="G1223:H1223"/>
    <mergeCell ref="G1225:H1225"/>
    <mergeCell ref="D1231:F1231"/>
    <mergeCell ref="G1233:N1233"/>
    <mergeCell ref="E1236:J1236"/>
    <mergeCell ref="K1236:L1236"/>
    <mergeCell ref="E1237:J1237"/>
    <mergeCell ref="K1237:L1237"/>
    <mergeCell ref="E1239:M1239"/>
    <mergeCell ref="G1241:H1241"/>
    <mergeCell ref="I1241:J1241"/>
    <mergeCell ref="K1241:L1241"/>
    <mergeCell ref="G1242:H1242"/>
    <mergeCell ref="K1242:L1242"/>
    <mergeCell ref="G1244:H1244"/>
    <mergeCell ref="G1245:H1245"/>
    <mergeCell ref="G1246:H1246"/>
    <mergeCell ref="G1247:H1247"/>
    <mergeCell ref="G1248:H1248"/>
    <mergeCell ref="G1249:H1249"/>
    <mergeCell ref="G1250:H1250"/>
    <mergeCell ref="G1251:H1251"/>
    <mergeCell ref="G1253:H1253"/>
    <mergeCell ref="G1254:M1254"/>
    <mergeCell ref="G1256:H1256"/>
    <mergeCell ref="I1256:J1256"/>
    <mergeCell ref="K1256:L1256"/>
    <mergeCell ref="D1257:F1257"/>
    <mergeCell ref="G1257:H1257"/>
    <mergeCell ref="I1257:J1257"/>
    <mergeCell ref="K1257:L1257"/>
    <mergeCell ref="D1259:F1259"/>
    <mergeCell ref="G1261:N1261"/>
    <mergeCell ref="E1264:J1264"/>
    <mergeCell ref="K1264:L1264"/>
    <mergeCell ref="E1265:J1265"/>
    <mergeCell ref="K1265:L1265"/>
    <mergeCell ref="E1267:M1267"/>
    <mergeCell ref="G1269:H1269"/>
    <mergeCell ref="I1269:J1269"/>
    <mergeCell ref="K1269:L1269"/>
    <mergeCell ref="G1270:H1270"/>
    <mergeCell ref="K1270:L1270"/>
    <mergeCell ref="G1272:H1272"/>
    <mergeCell ref="G1273:H1273"/>
    <mergeCell ref="G1274:H1274"/>
    <mergeCell ref="G1275:H1275"/>
    <mergeCell ref="G1276:H1276"/>
    <mergeCell ref="G1277:H1277"/>
    <mergeCell ref="G1278:H1278"/>
    <mergeCell ref="G1279:H1279"/>
    <mergeCell ref="G1281:H1281"/>
    <mergeCell ref="G1282:M1282"/>
    <mergeCell ref="G1284:H1284"/>
    <mergeCell ref="I1284:J1284"/>
    <mergeCell ref="K1284:L1284"/>
    <mergeCell ref="D1285:F1285"/>
    <mergeCell ref="G1285:H1285"/>
    <mergeCell ref="I1285:J1285"/>
    <mergeCell ref="K1285:L1285"/>
    <mergeCell ref="D1287:F1287"/>
    <mergeCell ref="G1289:N1289"/>
    <mergeCell ref="E1292:J1292"/>
    <mergeCell ref="K1292:L1292"/>
    <mergeCell ref="E1293:J1293"/>
    <mergeCell ref="K1293:L1293"/>
    <mergeCell ref="E1295:M1295"/>
    <mergeCell ref="G1297:H1297"/>
    <mergeCell ref="I1297:J1297"/>
    <mergeCell ref="K1297:L1297"/>
    <mergeCell ref="G1298:H1298"/>
    <mergeCell ref="K1298:L1298"/>
    <mergeCell ref="G1300:H1300"/>
    <mergeCell ref="G1301:H1301"/>
    <mergeCell ref="G1302:H1302"/>
    <mergeCell ref="G1303:H1303"/>
    <mergeCell ref="G1304:H1304"/>
    <mergeCell ref="G1305:H1305"/>
    <mergeCell ref="G1306:H1306"/>
    <mergeCell ref="G1307:H1307"/>
    <mergeCell ref="G1309:H1309"/>
    <mergeCell ref="G1310:M1310"/>
    <mergeCell ref="G1312:H1312"/>
    <mergeCell ref="I1312:J1312"/>
    <mergeCell ref="K1312:L1312"/>
    <mergeCell ref="D1313:F1313"/>
    <mergeCell ref="G1313:H1313"/>
    <mergeCell ref="I1313:J1313"/>
    <mergeCell ref="K1313:L1313"/>
    <mergeCell ref="D1315:F1315"/>
    <mergeCell ref="G1317:N1317"/>
    <mergeCell ref="E1320:J1320"/>
    <mergeCell ref="K1320:L1320"/>
    <mergeCell ref="E1321:J1321"/>
    <mergeCell ref="K1321:L1321"/>
    <mergeCell ref="E1323:M1323"/>
    <mergeCell ref="G1325:H1325"/>
    <mergeCell ref="I1325:J1325"/>
    <mergeCell ref="K1325:L1325"/>
    <mergeCell ref="G1326:H1326"/>
    <mergeCell ref="K1326:L1326"/>
    <mergeCell ref="G1328:H1328"/>
    <mergeCell ref="G1329:H1329"/>
    <mergeCell ref="G1330:H1330"/>
    <mergeCell ref="G1331:H1331"/>
    <mergeCell ref="G1332:H1332"/>
    <mergeCell ref="G1333:H1333"/>
    <mergeCell ref="G1334:H1334"/>
    <mergeCell ref="G1335:H1335"/>
    <mergeCell ref="G1337:H1337"/>
    <mergeCell ref="G1338:M1338"/>
    <mergeCell ref="G1340:H1340"/>
    <mergeCell ref="I1340:J1340"/>
    <mergeCell ref="K1340:L1340"/>
    <mergeCell ref="D1341:F1341"/>
    <mergeCell ref="G1341:H1341"/>
    <mergeCell ref="I1341:J1341"/>
    <mergeCell ref="K1341:L1341"/>
    <mergeCell ref="D1343:F1343"/>
    <mergeCell ref="G1345:N1345"/>
    <mergeCell ref="E1348:J1348"/>
    <mergeCell ref="K1348:L1348"/>
    <mergeCell ref="E1349:J1349"/>
    <mergeCell ref="K1349:L1349"/>
    <mergeCell ref="E1351:M1351"/>
    <mergeCell ref="G1353:H1353"/>
    <mergeCell ref="I1353:J1353"/>
    <mergeCell ref="K1353:L1353"/>
    <mergeCell ref="G1354:H1354"/>
    <mergeCell ref="K1354:L1354"/>
    <mergeCell ref="G1356:H1356"/>
    <mergeCell ref="G1357:H1357"/>
    <mergeCell ref="G1358:H1358"/>
    <mergeCell ref="G1359:H1359"/>
    <mergeCell ref="G1360:H1360"/>
    <mergeCell ref="G1361:H1361"/>
    <mergeCell ref="G1362:H1362"/>
    <mergeCell ref="G1363:H1363"/>
    <mergeCell ref="G1365:H1365"/>
    <mergeCell ref="G1366:M1366"/>
    <mergeCell ref="G1368:H1368"/>
    <mergeCell ref="I1368:J1368"/>
    <mergeCell ref="K1368:L1368"/>
    <mergeCell ref="D1369:F1369"/>
    <mergeCell ref="G1369:H1369"/>
    <mergeCell ref="I1369:J1369"/>
    <mergeCell ref="K1369:L1369"/>
    <mergeCell ref="D1371:F1371"/>
    <mergeCell ref="G1373:N1373"/>
    <mergeCell ref="E1376:J1376"/>
    <mergeCell ref="K1376:L1376"/>
    <mergeCell ref="E1377:J1377"/>
    <mergeCell ref="K1377:L1377"/>
    <mergeCell ref="E1379:M1379"/>
    <mergeCell ref="G1381:H1381"/>
    <mergeCell ref="I1381:J1381"/>
    <mergeCell ref="K1381:L1381"/>
    <mergeCell ref="G1382:H1382"/>
    <mergeCell ref="K1382:L1382"/>
    <mergeCell ref="G1384:H1384"/>
    <mergeCell ref="G1385:H1385"/>
    <mergeCell ref="G1386:H1386"/>
    <mergeCell ref="G1387:H1387"/>
    <mergeCell ref="G1388:H1388"/>
    <mergeCell ref="G1389:H1389"/>
    <mergeCell ref="G1390:H1390"/>
    <mergeCell ref="G1391:H1391"/>
    <mergeCell ref="G1393:H1393"/>
    <mergeCell ref="G1394:M1394"/>
    <mergeCell ref="G1396:H1396"/>
    <mergeCell ref="I1396:J1396"/>
    <mergeCell ref="K1396:L1396"/>
    <mergeCell ref="D1397:F1397"/>
    <mergeCell ref="G1397:H1397"/>
    <mergeCell ref="I1397:J1397"/>
    <mergeCell ref="K1397:L1397"/>
    <mergeCell ref="D1399:F1399"/>
    <mergeCell ref="G1401:N1401"/>
    <mergeCell ref="E1404:J1404"/>
    <mergeCell ref="K1404:L1404"/>
    <mergeCell ref="E1405:J1405"/>
    <mergeCell ref="K1405:L1405"/>
    <mergeCell ref="E1407:M1407"/>
    <mergeCell ref="G1409:H1409"/>
    <mergeCell ref="I1409:J1409"/>
    <mergeCell ref="K1409:L1409"/>
    <mergeCell ref="G1410:H1410"/>
    <mergeCell ref="K1410:L1410"/>
    <mergeCell ref="G1412:H1412"/>
    <mergeCell ref="G1413:H1413"/>
    <mergeCell ref="G1414:H1414"/>
    <mergeCell ref="G1415:H1415"/>
    <mergeCell ref="G1416:H1416"/>
    <mergeCell ref="G1417:H1417"/>
    <mergeCell ref="I1452:J1452"/>
    <mergeCell ref="K1452:L1452"/>
    <mergeCell ref="G1418:H1418"/>
    <mergeCell ref="G1419:H1419"/>
    <mergeCell ref="G1421:H1421"/>
    <mergeCell ref="G1422:M1422"/>
    <mergeCell ref="G1424:H1424"/>
    <mergeCell ref="I1424:J1424"/>
    <mergeCell ref="K1424:L1424"/>
    <mergeCell ref="D1425:F1425"/>
    <mergeCell ref="G1425:H1425"/>
    <mergeCell ref="I1425:J1425"/>
    <mergeCell ref="K1425:L1425"/>
    <mergeCell ref="D1427:F1427"/>
    <mergeCell ref="G1429:N1429"/>
    <mergeCell ref="E1432:J1432"/>
    <mergeCell ref="K1432:L1432"/>
    <mergeCell ref="E1433:J1433"/>
    <mergeCell ref="K1433:L1433"/>
    <mergeCell ref="D1453:F1453"/>
    <mergeCell ref="G1453:H1453"/>
    <mergeCell ref="I1453:J1453"/>
    <mergeCell ref="K1453:L1453"/>
    <mergeCell ref="D1455:F1455"/>
    <mergeCell ref="G1457:N1457"/>
    <mergeCell ref="F28:N28"/>
    <mergeCell ref="F30:N30"/>
    <mergeCell ref="F32:N32"/>
    <mergeCell ref="F33:N33"/>
    <mergeCell ref="F35:N35"/>
    <mergeCell ref="F29:N29"/>
    <mergeCell ref="F31:N31"/>
    <mergeCell ref="F34:N34"/>
    <mergeCell ref="F36:N36"/>
    <mergeCell ref="E1435:M1435"/>
    <mergeCell ref="G1437:H1437"/>
    <mergeCell ref="I1437:J1437"/>
    <mergeCell ref="K1437:L1437"/>
    <mergeCell ref="G1438:H1438"/>
    <mergeCell ref="K1438:L1438"/>
    <mergeCell ref="G1440:H1440"/>
    <mergeCell ref="G1441:H1441"/>
    <mergeCell ref="G1442:H1442"/>
    <mergeCell ref="G1443:H1443"/>
    <mergeCell ref="G1444:H1444"/>
    <mergeCell ref="G1445:H1445"/>
    <mergeCell ref="G1446:H1446"/>
    <mergeCell ref="G1447:H1447"/>
    <mergeCell ref="G1449:H1449"/>
    <mergeCell ref="G1450:M1450"/>
    <mergeCell ref="G1452:H1452"/>
  </mergeCells>
  <phoneticPr fontId="45" type="noConversion"/>
  <conditionalFormatting sqref="E88:J88">
    <cfRule type="expression" dxfId="1234" priority="681" stopIfTrue="1">
      <formula>$CQ88=TRUE</formula>
    </cfRule>
  </conditionalFormatting>
  <conditionalFormatting sqref="E116:J116">
    <cfRule type="expression" dxfId="1233" priority="667" stopIfTrue="1">
      <formula>$CQ116=TRUE</formula>
    </cfRule>
  </conditionalFormatting>
  <conditionalFormatting sqref="E144:J144">
    <cfRule type="expression" dxfId="1232" priority="653" stopIfTrue="1">
      <formula>$CQ144=TRUE</formula>
    </cfRule>
  </conditionalFormatting>
  <conditionalFormatting sqref="E172:J172">
    <cfRule type="expression" dxfId="1231" priority="639" stopIfTrue="1">
      <formula>$CQ172=TRUE</formula>
    </cfRule>
  </conditionalFormatting>
  <conditionalFormatting sqref="E200:J200">
    <cfRule type="expression" dxfId="1230" priority="625" stopIfTrue="1">
      <formula>$CQ200=TRUE</formula>
    </cfRule>
  </conditionalFormatting>
  <conditionalFormatting sqref="E228:J228">
    <cfRule type="expression" dxfId="1229" priority="611" stopIfTrue="1">
      <formula>$CQ228=TRUE</formula>
    </cfRule>
  </conditionalFormatting>
  <conditionalFormatting sqref="E256:J256">
    <cfRule type="expression" dxfId="1228" priority="597" stopIfTrue="1">
      <formula>$CQ256=TRUE</formula>
    </cfRule>
  </conditionalFormatting>
  <conditionalFormatting sqref="E284:J284">
    <cfRule type="expression" dxfId="1227" priority="583" stopIfTrue="1">
      <formula>$CQ284=TRUE</formula>
    </cfRule>
  </conditionalFormatting>
  <conditionalFormatting sqref="E312:J312">
    <cfRule type="expression" dxfId="1226" priority="569" stopIfTrue="1">
      <formula>$CQ312=TRUE</formula>
    </cfRule>
  </conditionalFormatting>
  <conditionalFormatting sqref="E340:J340">
    <cfRule type="expression" dxfId="1225" priority="555" stopIfTrue="1">
      <formula>$CQ340=TRUE</formula>
    </cfRule>
  </conditionalFormatting>
  <conditionalFormatting sqref="E368:J368">
    <cfRule type="expression" dxfId="1224" priority="541" stopIfTrue="1">
      <formula>$CQ368=TRUE</formula>
    </cfRule>
  </conditionalFormatting>
  <conditionalFormatting sqref="E396:J396">
    <cfRule type="expression" dxfId="1223" priority="527" stopIfTrue="1">
      <formula>$CQ396=TRUE</formula>
    </cfRule>
  </conditionalFormatting>
  <conditionalFormatting sqref="E424:J424">
    <cfRule type="expression" dxfId="1222" priority="513" stopIfTrue="1">
      <formula>$CQ424=TRUE</formula>
    </cfRule>
  </conditionalFormatting>
  <conditionalFormatting sqref="E452:J452">
    <cfRule type="expression" dxfId="1221" priority="499" stopIfTrue="1">
      <formula>$CQ452=TRUE</formula>
    </cfRule>
  </conditionalFormatting>
  <conditionalFormatting sqref="E480:J480">
    <cfRule type="expression" dxfId="1220" priority="485" stopIfTrue="1">
      <formula>$CQ480=TRUE</formula>
    </cfRule>
  </conditionalFormatting>
  <conditionalFormatting sqref="E508:J508">
    <cfRule type="expression" dxfId="1219" priority="471" stopIfTrue="1">
      <formula>$CQ508=TRUE</formula>
    </cfRule>
  </conditionalFormatting>
  <conditionalFormatting sqref="E536:J536">
    <cfRule type="expression" dxfId="1218" priority="457" stopIfTrue="1">
      <formula>$CQ536=TRUE</formula>
    </cfRule>
  </conditionalFormatting>
  <conditionalFormatting sqref="E564:J564">
    <cfRule type="expression" dxfId="1217" priority="443" stopIfTrue="1">
      <formula>$CQ564=TRUE</formula>
    </cfRule>
  </conditionalFormatting>
  <conditionalFormatting sqref="E592:J592">
    <cfRule type="expression" dxfId="1216" priority="429" stopIfTrue="1">
      <formula>$CQ592=TRUE</formula>
    </cfRule>
  </conditionalFormatting>
  <conditionalFormatting sqref="E620:J620">
    <cfRule type="expression" dxfId="1215" priority="415" stopIfTrue="1">
      <formula>$CQ620=TRUE</formula>
    </cfRule>
  </conditionalFormatting>
  <conditionalFormatting sqref="E648:J648">
    <cfRule type="expression" dxfId="1214" priority="401" stopIfTrue="1">
      <formula>$CQ648=TRUE</formula>
    </cfRule>
  </conditionalFormatting>
  <conditionalFormatting sqref="E676:J676">
    <cfRule type="expression" dxfId="1213" priority="387" stopIfTrue="1">
      <formula>$CQ676=TRUE</formula>
    </cfRule>
  </conditionalFormatting>
  <conditionalFormatting sqref="E704:J704">
    <cfRule type="expression" dxfId="1212" priority="373" stopIfTrue="1">
      <formula>$CQ704=TRUE</formula>
    </cfRule>
  </conditionalFormatting>
  <conditionalFormatting sqref="E732:J732">
    <cfRule type="expression" dxfId="1211" priority="359" stopIfTrue="1">
      <formula>$CQ732=TRUE</formula>
    </cfRule>
  </conditionalFormatting>
  <conditionalFormatting sqref="E760:J760">
    <cfRule type="expression" dxfId="1210" priority="345" stopIfTrue="1">
      <formula>$CQ760=TRUE</formula>
    </cfRule>
  </conditionalFormatting>
  <conditionalFormatting sqref="E788:J788">
    <cfRule type="expression" dxfId="1209" priority="331" stopIfTrue="1">
      <formula>$CQ788=TRUE</formula>
    </cfRule>
  </conditionalFormatting>
  <conditionalFormatting sqref="E816:J816">
    <cfRule type="expression" dxfId="1208" priority="317" stopIfTrue="1">
      <formula>$CQ816=TRUE</formula>
    </cfRule>
  </conditionalFormatting>
  <conditionalFormatting sqref="E844:J844">
    <cfRule type="expression" dxfId="1207" priority="303" stopIfTrue="1">
      <formula>$CQ844=TRUE</formula>
    </cfRule>
  </conditionalFormatting>
  <conditionalFormatting sqref="E872:J872">
    <cfRule type="expression" dxfId="1206" priority="289" stopIfTrue="1">
      <formula>$CQ872=TRUE</formula>
    </cfRule>
  </conditionalFormatting>
  <conditionalFormatting sqref="E900:J900">
    <cfRule type="expression" dxfId="1205" priority="275" stopIfTrue="1">
      <formula>$CQ900=TRUE</formula>
    </cfRule>
  </conditionalFormatting>
  <conditionalFormatting sqref="E928:J928">
    <cfRule type="expression" dxfId="1204" priority="261" stopIfTrue="1">
      <formula>$CQ928=TRUE</formula>
    </cfRule>
  </conditionalFormatting>
  <conditionalFormatting sqref="E956:J956">
    <cfRule type="expression" dxfId="1203" priority="247" stopIfTrue="1">
      <formula>$CQ956=TRUE</formula>
    </cfRule>
  </conditionalFormatting>
  <conditionalFormatting sqref="E984:J984">
    <cfRule type="expression" dxfId="1202" priority="233" stopIfTrue="1">
      <formula>$CQ984=TRUE</formula>
    </cfRule>
  </conditionalFormatting>
  <conditionalFormatting sqref="E1012:J1012">
    <cfRule type="expression" dxfId="1201" priority="219" stopIfTrue="1">
      <formula>$CQ1012=TRUE</formula>
    </cfRule>
  </conditionalFormatting>
  <conditionalFormatting sqref="E1040:J1040">
    <cfRule type="expression" dxfId="1200" priority="205" stopIfTrue="1">
      <formula>$CQ1040=TRUE</formula>
    </cfRule>
  </conditionalFormatting>
  <conditionalFormatting sqref="E1068:J1068">
    <cfRule type="expression" dxfId="1199" priority="191" stopIfTrue="1">
      <formula>$CQ1068=TRUE</formula>
    </cfRule>
  </conditionalFormatting>
  <conditionalFormatting sqref="E1096:J1096">
    <cfRule type="expression" dxfId="1198" priority="177" stopIfTrue="1">
      <formula>$CQ1096=TRUE</formula>
    </cfRule>
  </conditionalFormatting>
  <conditionalFormatting sqref="E1124:J1124">
    <cfRule type="expression" dxfId="1197" priority="163" stopIfTrue="1">
      <formula>$CQ1124=TRUE</formula>
    </cfRule>
  </conditionalFormatting>
  <conditionalFormatting sqref="E1152:J1152">
    <cfRule type="expression" dxfId="1196" priority="149" stopIfTrue="1">
      <formula>$CQ1152=TRUE</formula>
    </cfRule>
  </conditionalFormatting>
  <conditionalFormatting sqref="E1180:J1180">
    <cfRule type="expression" dxfId="1195" priority="135" stopIfTrue="1">
      <formula>$CQ1180=TRUE</formula>
    </cfRule>
  </conditionalFormatting>
  <conditionalFormatting sqref="E1208:J1208">
    <cfRule type="expression" dxfId="1194" priority="121" stopIfTrue="1">
      <formula>$CQ1208=TRUE</formula>
    </cfRule>
  </conditionalFormatting>
  <conditionalFormatting sqref="E1236:J1236">
    <cfRule type="expression" dxfId="1193" priority="107" stopIfTrue="1">
      <formula>$CQ1236=TRUE</formula>
    </cfRule>
  </conditionalFormatting>
  <conditionalFormatting sqref="E1264:J1264">
    <cfRule type="expression" dxfId="1192" priority="93" stopIfTrue="1">
      <formula>$CQ1264=TRUE</formula>
    </cfRule>
  </conditionalFormatting>
  <conditionalFormatting sqref="E1292:J1292">
    <cfRule type="expression" dxfId="1191" priority="79" stopIfTrue="1">
      <formula>$CQ1292=TRUE</formula>
    </cfRule>
  </conditionalFormatting>
  <conditionalFormatting sqref="E1320:J1320">
    <cfRule type="expression" dxfId="1190" priority="65" stopIfTrue="1">
      <formula>$CQ1320=TRUE</formula>
    </cfRule>
  </conditionalFormatting>
  <conditionalFormatting sqref="E1348:J1348">
    <cfRule type="expression" dxfId="1189" priority="51" stopIfTrue="1">
      <formula>$CQ1348=TRUE</formula>
    </cfRule>
  </conditionalFormatting>
  <conditionalFormatting sqref="E1376:J1376">
    <cfRule type="expression" dxfId="1188" priority="37" stopIfTrue="1">
      <formula>$CQ1376=TRUE</formula>
    </cfRule>
  </conditionalFormatting>
  <conditionalFormatting sqref="E1404:J1404">
    <cfRule type="expression" dxfId="1187" priority="23" stopIfTrue="1">
      <formula>$CQ1404=TRUE</formula>
    </cfRule>
  </conditionalFormatting>
  <conditionalFormatting sqref="E1432:J1432">
    <cfRule type="expression" dxfId="1186" priority="9" stopIfTrue="1">
      <formula>$CQ1432=TRUE</formula>
    </cfRule>
  </conditionalFormatting>
  <conditionalFormatting sqref="E13:N55">
    <cfRule type="expression" dxfId="1185" priority="1">
      <formula>$E13&lt;&gt;""</formula>
    </cfRule>
  </conditionalFormatting>
  <conditionalFormatting sqref="F66">
    <cfRule type="expression" dxfId="1184" priority="3087" stopIfTrue="1">
      <formula>$CQ66=TRUE</formula>
    </cfRule>
  </conditionalFormatting>
  <conditionalFormatting sqref="F94">
    <cfRule type="expression" dxfId="1183" priority="680" stopIfTrue="1">
      <formula>$CQ94=TRUE</formula>
    </cfRule>
  </conditionalFormatting>
  <conditionalFormatting sqref="F122">
    <cfRule type="expression" dxfId="1182" priority="666" stopIfTrue="1">
      <formula>$CQ122=TRUE</formula>
    </cfRule>
  </conditionalFormatting>
  <conditionalFormatting sqref="F150">
    <cfRule type="expression" dxfId="1181" priority="652" stopIfTrue="1">
      <formula>$CQ150=TRUE</formula>
    </cfRule>
  </conditionalFormatting>
  <conditionalFormatting sqref="F178">
    <cfRule type="expression" dxfId="1180" priority="638" stopIfTrue="1">
      <formula>$CQ178=TRUE</formula>
    </cfRule>
  </conditionalFormatting>
  <conditionalFormatting sqref="F206">
    <cfRule type="expression" dxfId="1179" priority="624" stopIfTrue="1">
      <formula>$CQ206=TRUE</formula>
    </cfRule>
  </conditionalFormatting>
  <conditionalFormatting sqref="F234">
    <cfRule type="expression" dxfId="1178" priority="610" stopIfTrue="1">
      <formula>$CQ234=TRUE</formula>
    </cfRule>
  </conditionalFormatting>
  <conditionalFormatting sqref="F262">
    <cfRule type="expression" dxfId="1177" priority="596" stopIfTrue="1">
      <formula>$CQ262=TRUE</formula>
    </cfRule>
  </conditionalFormatting>
  <conditionalFormatting sqref="F290">
    <cfRule type="expression" dxfId="1176" priority="582" stopIfTrue="1">
      <formula>$CQ290=TRUE</formula>
    </cfRule>
  </conditionalFormatting>
  <conditionalFormatting sqref="F318">
    <cfRule type="expression" dxfId="1175" priority="568" stopIfTrue="1">
      <formula>$CQ318=TRUE</formula>
    </cfRule>
  </conditionalFormatting>
  <conditionalFormatting sqref="F346">
    <cfRule type="expression" dxfId="1174" priority="554" stopIfTrue="1">
      <formula>$CQ346=TRUE</formula>
    </cfRule>
  </conditionalFormatting>
  <conditionalFormatting sqref="F374">
    <cfRule type="expression" dxfId="1173" priority="540" stopIfTrue="1">
      <formula>$CQ374=TRUE</formula>
    </cfRule>
  </conditionalFormatting>
  <conditionalFormatting sqref="F402">
    <cfRule type="expression" dxfId="1172" priority="526" stopIfTrue="1">
      <formula>$CQ402=TRUE</formula>
    </cfRule>
  </conditionalFormatting>
  <conditionalFormatting sqref="F430">
    <cfRule type="expression" dxfId="1171" priority="512" stopIfTrue="1">
      <formula>$CQ430=TRUE</formula>
    </cfRule>
  </conditionalFormatting>
  <conditionalFormatting sqref="F458">
    <cfRule type="expression" dxfId="1170" priority="498" stopIfTrue="1">
      <formula>$CQ458=TRUE</formula>
    </cfRule>
  </conditionalFormatting>
  <conditionalFormatting sqref="F486">
    <cfRule type="expression" dxfId="1169" priority="484" stopIfTrue="1">
      <formula>$CQ486=TRUE</formula>
    </cfRule>
  </conditionalFormatting>
  <conditionalFormatting sqref="F514">
    <cfRule type="expression" dxfId="1168" priority="470" stopIfTrue="1">
      <formula>$CQ514=TRUE</formula>
    </cfRule>
  </conditionalFormatting>
  <conditionalFormatting sqref="F542">
    <cfRule type="expression" dxfId="1167" priority="456" stopIfTrue="1">
      <formula>$CQ542=TRUE</formula>
    </cfRule>
  </conditionalFormatting>
  <conditionalFormatting sqref="F570">
    <cfRule type="expression" dxfId="1166" priority="442" stopIfTrue="1">
      <formula>$CQ570=TRUE</formula>
    </cfRule>
  </conditionalFormatting>
  <conditionalFormatting sqref="F598">
    <cfRule type="expression" dxfId="1165" priority="428" stopIfTrue="1">
      <formula>$CQ598=TRUE</formula>
    </cfRule>
  </conditionalFormatting>
  <conditionalFormatting sqref="F626">
    <cfRule type="expression" dxfId="1164" priority="414" stopIfTrue="1">
      <formula>$CQ626=TRUE</formula>
    </cfRule>
  </conditionalFormatting>
  <conditionalFormatting sqref="F654">
    <cfRule type="expression" dxfId="1163" priority="400" stopIfTrue="1">
      <formula>$CQ654=TRUE</formula>
    </cfRule>
  </conditionalFormatting>
  <conditionalFormatting sqref="F682">
    <cfRule type="expression" dxfId="1162" priority="386" stopIfTrue="1">
      <formula>$CQ682=TRUE</formula>
    </cfRule>
  </conditionalFormatting>
  <conditionalFormatting sqref="F710">
    <cfRule type="expression" dxfId="1161" priority="372" stopIfTrue="1">
      <formula>$CQ710=TRUE</formula>
    </cfRule>
  </conditionalFormatting>
  <conditionalFormatting sqref="F738">
    <cfRule type="expression" dxfId="1160" priority="358" stopIfTrue="1">
      <formula>$CQ738=TRUE</formula>
    </cfRule>
  </conditionalFormatting>
  <conditionalFormatting sqref="F766">
    <cfRule type="expression" dxfId="1159" priority="344" stopIfTrue="1">
      <formula>$CQ766=TRUE</formula>
    </cfRule>
  </conditionalFormatting>
  <conditionalFormatting sqref="F794">
    <cfRule type="expression" dxfId="1158" priority="330" stopIfTrue="1">
      <formula>$CQ794=TRUE</formula>
    </cfRule>
  </conditionalFormatting>
  <conditionalFormatting sqref="F822">
    <cfRule type="expression" dxfId="1157" priority="316" stopIfTrue="1">
      <formula>$CQ822=TRUE</formula>
    </cfRule>
  </conditionalFormatting>
  <conditionalFormatting sqref="F850">
    <cfRule type="expression" dxfId="1156" priority="302" stopIfTrue="1">
      <formula>$CQ850=TRUE</formula>
    </cfRule>
  </conditionalFormatting>
  <conditionalFormatting sqref="F878">
    <cfRule type="expression" dxfId="1155" priority="288" stopIfTrue="1">
      <formula>$CQ878=TRUE</formula>
    </cfRule>
  </conditionalFormatting>
  <conditionalFormatting sqref="F906">
    <cfRule type="expression" dxfId="1154" priority="274" stopIfTrue="1">
      <formula>$CQ906=TRUE</formula>
    </cfRule>
  </conditionalFormatting>
  <conditionalFormatting sqref="F934">
    <cfRule type="expression" dxfId="1153" priority="260" stopIfTrue="1">
      <formula>$CQ934=TRUE</formula>
    </cfRule>
  </conditionalFormatting>
  <conditionalFormatting sqref="F962">
    <cfRule type="expression" dxfId="1152" priority="246" stopIfTrue="1">
      <formula>$CQ962=TRUE</formula>
    </cfRule>
  </conditionalFormatting>
  <conditionalFormatting sqref="F990">
    <cfRule type="expression" dxfId="1151" priority="232" stopIfTrue="1">
      <formula>$CQ990=TRUE</formula>
    </cfRule>
  </conditionalFormatting>
  <conditionalFormatting sqref="F1018">
    <cfRule type="expression" dxfId="1150" priority="218" stopIfTrue="1">
      <formula>$CQ1018=TRUE</formula>
    </cfRule>
  </conditionalFormatting>
  <conditionalFormatting sqref="F1046">
    <cfRule type="expression" dxfId="1149" priority="204" stopIfTrue="1">
      <formula>$CQ1046=TRUE</formula>
    </cfRule>
  </conditionalFormatting>
  <conditionalFormatting sqref="F1074">
    <cfRule type="expression" dxfId="1148" priority="190" stopIfTrue="1">
      <formula>$CQ1074=TRUE</formula>
    </cfRule>
  </conditionalFormatting>
  <conditionalFormatting sqref="F1102">
    <cfRule type="expression" dxfId="1147" priority="176" stopIfTrue="1">
      <formula>$CQ1102=TRUE</formula>
    </cfRule>
  </conditionalFormatting>
  <conditionalFormatting sqref="F1130">
    <cfRule type="expression" dxfId="1146" priority="162" stopIfTrue="1">
      <formula>$CQ1130=TRUE</formula>
    </cfRule>
  </conditionalFormatting>
  <conditionalFormatting sqref="F1158">
    <cfRule type="expression" dxfId="1145" priority="148" stopIfTrue="1">
      <formula>$CQ1158=TRUE</formula>
    </cfRule>
  </conditionalFormatting>
  <conditionalFormatting sqref="F1186">
    <cfRule type="expression" dxfId="1144" priority="134" stopIfTrue="1">
      <formula>$CQ1186=TRUE</formula>
    </cfRule>
  </conditionalFormatting>
  <conditionalFormatting sqref="F1214">
    <cfRule type="expression" dxfId="1143" priority="120" stopIfTrue="1">
      <formula>$CQ1214=TRUE</formula>
    </cfRule>
  </conditionalFormatting>
  <conditionalFormatting sqref="F1242">
    <cfRule type="expression" dxfId="1142" priority="106" stopIfTrue="1">
      <formula>$CQ1242=TRUE</formula>
    </cfRule>
  </conditionalFormatting>
  <conditionalFormatting sqref="F1270">
    <cfRule type="expression" dxfId="1141" priority="92" stopIfTrue="1">
      <formula>$CQ1270=TRUE</formula>
    </cfRule>
  </conditionalFormatting>
  <conditionalFormatting sqref="F1298">
    <cfRule type="expression" dxfId="1140" priority="78" stopIfTrue="1">
      <formula>$CQ1298=TRUE</formula>
    </cfRule>
  </conditionalFormatting>
  <conditionalFormatting sqref="F1326">
    <cfRule type="expression" dxfId="1139" priority="64" stopIfTrue="1">
      <formula>$CQ1326=TRUE</formula>
    </cfRule>
  </conditionalFormatting>
  <conditionalFormatting sqref="F1354">
    <cfRule type="expression" dxfId="1138" priority="50" stopIfTrue="1">
      <formula>$CQ1354=TRUE</formula>
    </cfRule>
  </conditionalFormatting>
  <conditionalFormatting sqref="F1382">
    <cfRule type="expression" dxfId="1137" priority="36" stopIfTrue="1">
      <formula>$CQ1382=TRUE</formula>
    </cfRule>
  </conditionalFormatting>
  <conditionalFormatting sqref="F1410">
    <cfRule type="expression" dxfId="1136" priority="22" stopIfTrue="1">
      <formula>$CQ1410=TRUE</formula>
    </cfRule>
  </conditionalFormatting>
  <conditionalFormatting sqref="F1438">
    <cfRule type="expression" dxfId="1135" priority="8" stopIfTrue="1">
      <formula>$CQ1438=TRUE</formula>
    </cfRule>
  </conditionalFormatting>
  <conditionalFormatting sqref="G81">
    <cfRule type="expression" dxfId="1134" priority="2416" stopIfTrue="1">
      <formula>$AX81</formula>
    </cfRule>
  </conditionalFormatting>
  <conditionalFormatting sqref="G109">
    <cfRule type="expression" dxfId="1133" priority="676" stopIfTrue="1">
      <formula>$AX109</formula>
    </cfRule>
  </conditionalFormatting>
  <conditionalFormatting sqref="G137">
    <cfRule type="expression" dxfId="1132" priority="662" stopIfTrue="1">
      <formula>$AX137</formula>
    </cfRule>
  </conditionalFormatting>
  <conditionalFormatting sqref="G165">
    <cfRule type="expression" dxfId="1131" priority="648" stopIfTrue="1">
      <formula>$AX165</formula>
    </cfRule>
  </conditionalFormatting>
  <conditionalFormatting sqref="G193">
    <cfRule type="expression" dxfId="1130" priority="634" stopIfTrue="1">
      <formula>$AX193</formula>
    </cfRule>
  </conditionalFormatting>
  <conditionalFormatting sqref="G221">
    <cfRule type="expression" dxfId="1129" priority="620" stopIfTrue="1">
      <formula>$AX221</formula>
    </cfRule>
  </conditionalFormatting>
  <conditionalFormatting sqref="G249">
    <cfRule type="expression" dxfId="1128" priority="606" stopIfTrue="1">
      <formula>$AX249</formula>
    </cfRule>
  </conditionalFormatting>
  <conditionalFormatting sqref="G277">
    <cfRule type="expression" dxfId="1127" priority="592" stopIfTrue="1">
      <formula>$AX277</formula>
    </cfRule>
  </conditionalFormatting>
  <conditionalFormatting sqref="G305">
    <cfRule type="expression" dxfId="1126" priority="578" stopIfTrue="1">
      <formula>$AX305</formula>
    </cfRule>
  </conditionalFormatting>
  <conditionalFormatting sqref="G333">
    <cfRule type="expression" dxfId="1125" priority="564" stopIfTrue="1">
      <formula>$AX333</formula>
    </cfRule>
  </conditionalFormatting>
  <conditionalFormatting sqref="G361">
    <cfRule type="expression" dxfId="1124" priority="550" stopIfTrue="1">
      <formula>$AX361</formula>
    </cfRule>
  </conditionalFormatting>
  <conditionalFormatting sqref="G389">
    <cfRule type="expression" dxfId="1123" priority="536" stopIfTrue="1">
      <formula>$AX389</formula>
    </cfRule>
  </conditionalFormatting>
  <conditionalFormatting sqref="G417">
    <cfRule type="expression" dxfId="1122" priority="522" stopIfTrue="1">
      <formula>$AX417</formula>
    </cfRule>
  </conditionalFormatting>
  <conditionalFormatting sqref="G445">
    <cfRule type="expression" dxfId="1121" priority="508" stopIfTrue="1">
      <formula>$AX445</formula>
    </cfRule>
  </conditionalFormatting>
  <conditionalFormatting sqref="G473">
    <cfRule type="expression" dxfId="1120" priority="494" stopIfTrue="1">
      <formula>$AX473</formula>
    </cfRule>
  </conditionalFormatting>
  <conditionalFormatting sqref="G501">
    <cfRule type="expression" dxfId="1119" priority="480" stopIfTrue="1">
      <formula>$AX501</formula>
    </cfRule>
  </conditionalFormatting>
  <conditionalFormatting sqref="G529">
    <cfRule type="expression" dxfId="1118" priority="466" stopIfTrue="1">
      <formula>$AX529</formula>
    </cfRule>
  </conditionalFormatting>
  <conditionalFormatting sqref="G557">
    <cfRule type="expression" dxfId="1117" priority="452" stopIfTrue="1">
      <formula>$AX557</formula>
    </cfRule>
  </conditionalFormatting>
  <conditionalFormatting sqref="G585">
    <cfRule type="expression" dxfId="1116" priority="438" stopIfTrue="1">
      <formula>$AX585</formula>
    </cfRule>
  </conditionalFormatting>
  <conditionalFormatting sqref="G613">
    <cfRule type="expression" dxfId="1115" priority="424" stopIfTrue="1">
      <formula>$AX613</formula>
    </cfRule>
  </conditionalFormatting>
  <conditionalFormatting sqref="G641">
    <cfRule type="expression" dxfId="1114" priority="410" stopIfTrue="1">
      <formula>$AX641</formula>
    </cfRule>
  </conditionalFormatting>
  <conditionalFormatting sqref="G669">
    <cfRule type="expression" dxfId="1113" priority="396" stopIfTrue="1">
      <formula>$AX669</formula>
    </cfRule>
  </conditionalFormatting>
  <conditionalFormatting sqref="G697">
    <cfRule type="expression" dxfId="1112" priority="382" stopIfTrue="1">
      <formula>$AX697</formula>
    </cfRule>
  </conditionalFormatting>
  <conditionalFormatting sqref="G725">
    <cfRule type="expression" dxfId="1111" priority="368" stopIfTrue="1">
      <formula>$AX725</formula>
    </cfRule>
  </conditionalFormatting>
  <conditionalFormatting sqref="G753">
    <cfRule type="expression" dxfId="1110" priority="354" stopIfTrue="1">
      <formula>$AX753</formula>
    </cfRule>
  </conditionalFormatting>
  <conditionalFormatting sqref="G781">
    <cfRule type="expression" dxfId="1109" priority="340" stopIfTrue="1">
      <formula>$AX781</formula>
    </cfRule>
  </conditionalFormatting>
  <conditionalFormatting sqref="G809">
    <cfRule type="expression" dxfId="1108" priority="326" stopIfTrue="1">
      <formula>$AX809</formula>
    </cfRule>
  </conditionalFormatting>
  <conditionalFormatting sqref="G837">
    <cfRule type="expression" dxfId="1107" priority="312" stopIfTrue="1">
      <formula>$AX837</formula>
    </cfRule>
  </conditionalFormatting>
  <conditionalFormatting sqref="G865">
    <cfRule type="expression" dxfId="1106" priority="298" stopIfTrue="1">
      <formula>$AX865</formula>
    </cfRule>
  </conditionalFormatting>
  <conditionalFormatting sqref="G893">
    <cfRule type="expression" dxfId="1105" priority="284" stopIfTrue="1">
      <formula>$AX893</formula>
    </cfRule>
  </conditionalFormatting>
  <conditionalFormatting sqref="G921">
    <cfRule type="expression" dxfId="1104" priority="270" stopIfTrue="1">
      <formula>$AX921</formula>
    </cfRule>
  </conditionalFormatting>
  <conditionalFormatting sqref="G949">
    <cfRule type="expression" dxfId="1103" priority="256" stopIfTrue="1">
      <formula>$AX949</formula>
    </cfRule>
  </conditionalFormatting>
  <conditionalFormatting sqref="G977">
    <cfRule type="expression" dxfId="1102" priority="242" stopIfTrue="1">
      <formula>$AX977</formula>
    </cfRule>
  </conditionalFormatting>
  <conditionalFormatting sqref="G1005">
    <cfRule type="expression" dxfId="1101" priority="228" stopIfTrue="1">
      <formula>$AX1005</formula>
    </cfRule>
  </conditionalFormatting>
  <conditionalFormatting sqref="G1033">
    <cfRule type="expression" dxfId="1100" priority="214" stopIfTrue="1">
      <formula>$AX1033</formula>
    </cfRule>
  </conditionalFormatting>
  <conditionalFormatting sqref="G1061">
    <cfRule type="expression" dxfId="1099" priority="200" stopIfTrue="1">
      <formula>$AX1061</formula>
    </cfRule>
  </conditionalFormatting>
  <conditionalFormatting sqref="G1089">
    <cfRule type="expression" dxfId="1098" priority="186" stopIfTrue="1">
      <formula>$AX1089</formula>
    </cfRule>
  </conditionalFormatting>
  <conditionalFormatting sqref="G1117">
    <cfRule type="expression" dxfId="1097" priority="172" stopIfTrue="1">
      <formula>$AX1117</formula>
    </cfRule>
  </conditionalFormatting>
  <conditionalFormatting sqref="G1145">
    <cfRule type="expression" dxfId="1096" priority="158" stopIfTrue="1">
      <formula>$AX1145</formula>
    </cfRule>
  </conditionalFormatting>
  <conditionalFormatting sqref="G1173">
    <cfRule type="expression" dxfId="1095" priority="144" stopIfTrue="1">
      <formula>$AX1173</formula>
    </cfRule>
  </conditionalFormatting>
  <conditionalFormatting sqref="G1201">
    <cfRule type="expression" dxfId="1094" priority="130" stopIfTrue="1">
      <formula>$AX1201</formula>
    </cfRule>
  </conditionalFormatting>
  <conditionalFormatting sqref="G1229">
    <cfRule type="expression" dxfId="1093" priority="116" stopIfTrue="1">
      <formula>$AX1229</formula>
    </cfRule>
  </conditionalFormatting>
  <conditionalFormatting sqref="G1257">
    <cfRule type="expression" dxfId="1092" priority="102" stopIfTrue="1">
      <formula>$AX1257</formula>
    </cfRule>
  </conditionalFormatting>
  <conditionalFormatting sqref="G1285">
    <cfRule type="expression" dxfId="1091" priority="88" stopIfTrue="1">
      <formula>$AX1285</formula>
    </cfRule>
  </conditionalFormatting>
  <conditionalFormatting sqref="G1313">
    <cfRule type="expression" dxfId="1090" priority="74" stopIfTrue="1">
      <formula>$AX1313</formula>
    </cfRule>
  </conditionalFormatting>
  <conditionalFormatting sqref="G1341">
    <cfRule type="expression" dxfId="1089" priority="60" stopIfTrue="1">
      <formula>$AX1341</formula>
    </cfRule>
  </conditionalFormatting>
  <conditionalFormatting sqref="G1369">
    <cfRule type="expression" dxfId="1088" priority="46" stopIfTrue="1">
      <formula>$AX1369</formula>
    </cfRule>
  </conditionalFormatting>
  <conditionalFormatting sqref="G1397">
    <cfRule type="expression" dxfId="1087" priority="32" stopIfTrue="1">
      <formula>$AX1397</formula>
    </cfRule>
  </conditionalFormatting>
  <conditionalFormatting sqref="G1425">
    <cfRule type="expression" dxfId="1086" priority="18" stopIfTrue="1">
      <formula>$AX1425</formula>
    </cfRule>
  </conditionalFormatting>
  <conditionalFormatting sqref="G1453">
    <cfRule type="expression" dxfId="1085" priority="4" stopIfTrue="1">
      <formula>$AX1453</formula>
    </cfRule>
  </conditionalFormatting>
  <conditionalFormatting sqref="G66:H66 G68:H75">
    <cfRule type="containsText" dxfId="1084" priority="3081" stopIfTrue="1" operator="containsText" text="!">
      <formula>NOT(ISERROR(SEARCH("!",G66)))</formula>
    </cfRule>
  </conditionalFormatting>
  <conditionalFormatting sqref="G94:H94 G96:H103">
    <cfRule type="containsText" dxfId="1083" priority="679" stopIfTrue="1" operator="containsText" text="!">
      <formula>NOT(ISERROR(SEARCH("!",G94)))</formula>
    </cfRule>
  </conditionalFormatting>
  <conditionalFormatting sqref="G122:H122 G124:H131">
    <cfRule type="containsText" dxfId="1082" priority="665" stopIfTrue="1" operator="containsText" text="!">
      <formula>NOT(ISERROR(SEARCH("!",G122)))</formula>
    </cfRule>
  </conditionalFormatting>
  <conditionalFormatting sqref="G150:H150 G152:H159">
    <cfRule type="containsText" dxfId="1081" priority="651" stopIfTrue="1" operator="containsText" text="!">
      <formula>NOT(ISERROR(SEARCH("!",G150)))</formula>
    </cfRule>
  </conditionalFormatting>
  <conditionalFormatting sqref="G178:H178 G180:H187">
    <cfRule type="containsText" dxfId="1080" priority="637" stopIfTrue="1" operator="containsText" text="!">
      <formula>NOT(ISERROR(SEARCH("!",G178)))</formula>
    </cfRule>
  </conditionalFormatting>
  <conditionalFormatting sqref="G206:H206 G208:H215">
    <cfRule type="containsText" dxfId="1079" priority="623" stopIfTrue="1" operator="containsText" text="!">
      <formula>NOT(ISERROR(SEARCH("!",G206)))</formula>
    </cfRule>
  </conditionalFormatting>
  <conditionalFormatting sqref="G234:H234 G236:H243">
    <cfRule type="containsText" dxfId="1078" priority="609" stopIfTrue="1" operator="containsText" text="!">
      <formula>NOT(ISERROR(SEARCH("!",G234)))</formula>
    </cfRule>
  </conditionalFormatting>
  <conditionalFormatting sqref="G262:H262 G264:H271">
    <cfRule type="containsText" dxfId="1077" priority="595" stopIfTrue="1" operator="containsText" text="!">
      <formula>NOT(ISERROR(SEARCH("!",G262)))</formula>
    </cfRule>
  </conditionalFormatting>
  <conditionalFormatting sqref="G290:H290 G292:H299">
    <cfRule type="containsText" dxfId="1076" priority="581" stopIfTrue="1" operator="containsText" text="!">
      <formula>NOT(ISERROR(SEARCH("!",G290)))</formula>
    </cfRule>
  </conditionalFormatting>
  <conditionalFormatting sqref="G318:H318 G320:H327">
    <cfRule type="containsText" dxfId="1075" priority="567" stopIfTrue="1" operator="containsText" text="!">
      <formula>NOT(ISERROR(SEARCH("!",G318)))</formula>
    </cfRule>
  </conditionalFormatting>
  <conditionalFormatting sqref="G346:H346 G348:H355">
    <cfRule type="containsText" dxfId="1074" priority="553" stopIfTrue="1" operator="containsText" text="!">
      <formula>NOT(ISERROR(SEARCH("!",G346)))</formula>
    </cfRule>
  </conditionalFormatting>
  <conditionalFormatting sqref="G374:H374 G376:H383">
    <cfRule type="containsText" dxfId="1073" priority="539" stopIfTrue="1" operator="containsText" text="!">
      <formula>NOT(ISERROR(SEARCH("!",G374)))</formula>
    </cfRule>
  </conditionalFormatting>
  <conditionalFormatting sqref="G402:H402 G404:H411">
    <cfRule type="containsText" dxfId="1072" priority="525" stopIfTrue="1" operator="containsText" text="!">
      <formula>NOT(ISERROR(SEARCH("!",G402)))</formula>
    </cfRule>
  </conditionalFormatting>
  <conditionalFormatting sqref="G430:H430 G432:H439">
    <cfRule type="containsText" dxfId="1071" priority="511" stopIfTrue="1" operator="containsText" text="!">
      <formula>NOT(ISERROR(SEARCH("!",G430)))</formula>
    </cfRule>
  </conditionalFormatting>
  <conditionalFormatting sqref="G458:H458 G460:H467">
    <cfRule type="containsText" dxfId="1070" priority="497" stopIfTrue="1" operator="containsText" text="!">
      <formula>NOT(ISERROR(SEARCH("!",G458)))</formula>
    </cfRule>
  </conditionalFormatting>
  <conditionalFormatting sqref="G486:H486 G488:H495">
    <cfRule type="containsText" dxfId="1069" priority="483" stopIfTrue="1" operator="containsText" text="!">
      <formula>NOT(ISERROR(SEARCH("!",G486)))</formula>
    </cfRule>
  </conditionalFormatting>
  <conditionalFormatting sqref="G514:H514 G516:H523">
    <cfRule type="containsText" dxfId="1068" priority="469" stopIfTrue="1" operator="containsText" text="!">
      <formula>NOT(ISERROR(SEARCH("!",G514)))</formula>
    </cfRule>
  </conditionalFormatting>
  <conditionalFormatting sqref="G542:H542 G544:H551">
    <cfRule type="containsText" dxfId="1067" priority="455" stopIfTrue="1" operator="containsText" text="!">
      <formula>NOT(ISERROR(SEARCH("!",G542)))</formula>
    </cfRule>
  </conditionalFormatting>
  <conditionalFormatting sqref="G570:H570 G572:H579">
    <cfRule type="containsText" dxfId="1066" priority="441" stopIfTrue="1" operator="containsText" text="!">
      <formula>NOT(ISERROR(SEARCH("!",G570)))</formula>
    </cfRule>
  </conditionalFormatting>
  <conditionalFormatting sqref="G598:H598 G600:H607">
    <cfRule type="containsText" dxfId="1065" priority="427" stopIfTrue="1" operator="containsText" text="!">
      <formula>NOT(ISERROR(SEARCH("!",G598)))</formula>
    </cfRule>
  </conditionalFormatting>
  <conditionalFormatting sqref="G626:H626 G628:H635">
    <cfRule type="containsText" dxfId="1064" priority="413" stopIfTrue="1" operator="containsText" text="!">
      <formula>NOT(ISERROR(SEARCH("!",G626)))</formula>
    </cfRule>
  </conditionalFormatting>
  <conditionalFormatting sqref="G654:H654 G656:H663">
    <cfRule type="containsText" dxfId="1063" priority="399" stopIfTrue="1" operator="containsText" text="!">
      <formula>NOT(ISERROR(SEARCH("!",G654)))</formula>
    </cfRule>
  </conditionalFormatting>
  <conditionalFormatting sqref="G682:H682 G684:H691">
    <cfRule type="containsText" dxfId="1062" priority="385" stopIfTrue="1" operator="containsText" text="!">
      <formula>NOT(ISERROR(SEARCH("!",G682)))</formula>
    </cfRule>
  </conditionalFormatting>
  <conditionalFormatting sqref="G710:H710 G712:H719">
    <cfRule type="containsText" dxfId="1061" priority="371" stopIfTrue="1" operator="containsText" text="!">
      <formula>NOT(ISERROR(SEARCH("!",G710)))</formula>
    </cfRule>
  </conditionalFormatting>
  <conditionalFormatting sqref="G738:H738 G740:H747">
    <cfRule type="containsText" dxfId="1060" priority="357" stopIfTrue="1" operator="containsText" text="!">
      <formula>NOT(ISERROR(SEARCH("!",G738)))</formula>
    </cfRule>
  </conditionalFormatting>
  <conditionalFormatting sqref="G766:H766 G768:H775">
    <cfRule type="containsText" dxfId="1059" priority="343" stopIfTrue="1" operator="containsText" text="!">
      <formula>NOT(ISERROR(SEARCH("!",G766)))</formula>
    </cfRule>
  </conditionalFormatting>
  <conditionalFormatting sqref="G794:H794 G796:H803">
    <cfRule type="containsText" dxfId="1058" priority="329" stopIfTrue="1" operator="containsText" text="!">
      <formula>NOT(ISERROR(SEARCH("!",G794)))</formula>
    </cfRule>
  </conditionalFormatting>
  <conditionalFormatting sqref="G822:H822 G824:H831">
    <cfRule type="containsText" dxfId="1057" priority="315" stopIfTrue="1" operator="containsText" text="!">
      <formula>NOT(ISERROR(SEARCH("!",G822)))</formula>
    </cfRule>
  </conditionalFormatting>
  <conditionalFormatting sqref="G850:H850 G852:H859">
    <cfRule type="containsText" dxfId="1056" priority="301" stopIfTrue="1" operator="containsText" text="!">
      <formula>NOT(ISERROR(SEARCH("!",G850)))</formula>
    </cfRule>
  </conditionalFormatting>
  <conditionalFormatting sqref="G878:H878 G880:H887">
    <cfRule type="containsText" dxfId="1055" priority="287" stopIfTrue="1" operator="containsText" text="!">
      <formula>NOT(ISERROR(SEARCH("!",G878)))</formula>
    </cfRule>
  </conditionalFormatting>
  <conditionalFormatting sqref="G906:H906 G908:H915">
    <cfRule type="containsText" dxfId="1054" priority="273" stopIfTrue="1" operator="containsText" text="!">
      <formula>NOT(ISERROR(SEARCH("!",G906)))</formula>
    </cfRule>
  </conditionalFormatting>
  <conditionalFormatting sqref="G934:H934 G936:H943">
    <cfRule type="containsText" dxfId="1053" priority="259" stopIfTrue="1" operator="containsText" text="!">
      <formula>NOT(ISERROR(SEARCH("!",G934)))</formula>
    </cfRule>
  </conditionalFormatting>
  <conditionalFormatting sqref="G962:H962 G964:H971">
    <cfRule type="containsText" dxfId="1052" priority="245" stopIfTrue="1" operator="containsText" text="!">
      <formula>NOT(ISERROR(SEARCH("!",G962)))</formula>
    </cfRule>
  </conditionalFormatting>
  <conditionalFormatting sqref="G990:H990 G992:H999">
    <cfRule type="containsText" dxfId="1051" priority="231" stopIfTrue="1" operator="containsText" text="!">
      <formula>NOT(ISERROR(SEARCH("!",G990)))</formula>
    </cfRule>
  </conditionalFormatting>
  <conditionalFormatting sqref="G1018:H1018 G1020:H1027">
    <cfRule type="containsText" dxfId="1050" priority="217" stopIfTrue="1" operator="containsText" text="!">
      <formula>NOT(ISERROR(SEARCH("!",G1018)))</formula>
    </cfRule>
  </conditionalFormatting>
  <conditionalFormatting sqref="G1046:H1046 G1048:H1055">
    <cfRule type="containsText" dxfId="1049" priority="203" stopIfTrue="1" operator="containsText" text="!">
      <formula>NOT(ISERROR(SEARCH("!",G1046)))</formula>
    </cfRule>
  </conditionalFormatting>
  <conditionalFormatting sqref="G1074:H1074 G1076:H1083">
    <cfRule type="containsText" dxfId="1048" priority="189" stopIfTrue="1" operator="containsText" text="!">
      <formula>NOT(ISERROR(SEARCH("!",G1074)))</formula>
    </cfRule>
  </conditionalFormatting>
  <conditionalFormatting sqref="G1102:H1102 G1104:H1111">
    <cfRule type="containsText" dxfId="1047" priority="175" stopIfTrue="1" operator="containsText" text="!">
      <formula>NOT(ISERROR(SEARCH("!",G1102)))</formula>
    </cfRule>
  </conditionalFormatting>
  <conditionalFormatting sqref="G1130:H1130 G1132:H1139">
    <cfRule type="containsText" dxfId="1046" priority="161" stopIfTrue="1" operator="containsText" text="!">
      <formula>NOT(ISERROR(SEARCH("!",G1130)))</formula>
    </cfRule>
  </conditionalFormatting>
  <conditionalFormatting sqref="G1158:H1158 G1160:H1167">
    <cfRule type="containsText" dxfId="1045" priority="147" stopIfTrue="1" operator="containsText" text="!">
      <formula>NOT(ISERROR(SEARCH("!",G1158)))</formula>
    </cfRule>
  </conditionalFormatting>
  <conditionalFormatting sqref="G1186:H1186 G1188:H1195">
    <cfRule type="containsText" dxfId="1044" priority="133" stopIfTrue="1" operator="containsText" text="!">
      <formula>NOT(ISERROR(SEARCH("!",G1186)))</formula>
    </cfRule>
  </conditionalFormatting>
  <conditionalFormatting sqref="G1214:H1214 G1216:H1223">
    <cfRule type="containsText" dxfId="1043" priority="119" stopIfTrue="1" operator="containsText" text="!">
      <formula>NOT(ISERROR(SEARCH("!",G1214)))</formula>
    </cfRule>
  </conditionalFormatting>
  <conditionalFormatting sqref="G1242:H1242 G1244:H1251">
    <cfRule type="containsText" dxfId="1042" priority="105" stopIfTrue="1" operator="containsText" text="!">
      <formula>NOT(ISERROR(SEARCH("!",G1242)))</formula>
    </cfRule>
  </conditionalFormatting>
  <conditionalFormatting sqref="G1270:H1270 G1272:H1279">
    <cfRule type="containsText" dxfId="1041" priority="91" stopIfTrue="1" operator="containsText" text="!">
      <formula>NOT(ISERROR(SEARCH("!",G1270)))</formula>
    </cfRule>
  </conditionalFormatting>
  <conditionalFormatting sqref="G1298:H1298 G1300:H1307">
    <cfRule type="containsText" dxfId="1040" priority="77" stopIfTrue="1" operator="containsText" text="!">
      <formula>NOT(ISERROR(SEARCH("!",G1298)))</formula>
    </cfRule>
  </conditionalFormatting>
  <conditionalFormatting sqref="G1326:H1326 G1328:H1335">
    <cfRule type="containsText" dxfId="1039" priority="63" stopIfTrue="1" operator="containsText" text="!">
      <formula>NOT(ISERROR(SEARCH("!",G1326)))</formula>
    </cfRule>
  </conditionalFormatting>
  <conditionalFormatting sqref="G1354:H1354 G1356:H1363">
    <cfRule type="containsText" dxfId="1038" priority="49" stopIfTrue="1" operator="containsText" text="!">
      <formula>NOT(ISERROR(SEARCH("!",G1354)))</formula>
    </cfRule>
  </conditionalFormatting>
  <conditionalFormatting sqref="G1382:H1382 G1384:H1391">
    <cfRule type="containsText" dxfId="1037" priority="35" stopIfTrue="1" operator="containsText" text="!">
      <formula>NOT(ISERROR(SEARCH("!",G1382)))</formula>
    </cfRule>
  </conditionalFormatting>
  <conditionalFormatting sqref="G1410:H1410 G1412:H1419">
    <cfRule type="containsText" dxfId="1036" priority="21" stopIfTrue="1" operator="containsText" text="!">
      <formula>NOT(ISERROR(SEARCH("!",G1410)))</formula>
    </cfRule>
  </conditionalFormatting>
  <conditionalFormatting sqref="G1438:H1438 G1440:H1447">
    <cfRule type="containsText" dxfId="1035" priority="7" stopIfTrue="1" operator="containsText" text="!">
      <formula>NOT(ISERROR(SEARCH("!",G1438)))</formula>
    </cfRule>
  </conditionalFormatting>
  <conditionalFormatting sqref="I66 I68:I69">
    <cfRule type="expression" dxfId="1034" priority="3596" stopIfTrue="1">
      <formula>$AK66=TRUE</formula>
    </cfRule>
  </conditionalFormatting>
  <conditionalFormatting sqref="I77">
    <cfRule type="expression" dxfId="1033" priority="3071" stopIfTrue="1">
      <formula>$CQ77=TRUE</formula>
    </cfRule>
  </conditionalFormatting>
  <conditionalFormatting sqref="I81">
    <cfRule type="expression" dxfId="1032" priority="2055" stopIfTrue="1">
      <formula>$AX81</formula>
    </cfRule>
  </conditionalFormatting>
  <conditionalFormatting sqref="I94 I96:I97">
    <cfRule type="expression" dxfId="1031" priority="686" stopIfTrue="1">
      <formula>$AK94=TRUE</formula>
    </cfRule>
  </conditionalFormatting>
  <conditionalFormatting sqref="I105">
    <cfRule type="expression" dxfId="1030" priority="677" stopIfTrue="1">
      <formula>$CQ105=TRUE</formula>
    </cfRule>
  </conditionalFormatting>
  <conditionalFormatting sqref="I109">
    <cfRule type="expression" dxfId="1029" priority="675" stopIfTrue="1">
      <formula>$AX109</formula>
    </cfRule>
  </conditionalFormatting>
  <conditionalFormatting sqref="I122 I124:I125">
    <cfRule type="expression" dxfId="1028" priority="672" stopIfTrue="1">
      <formula>$AK122=TRUE</formula>
    </cfRule>
  </conditionalFormatting>
  <conditionalFormatting sqref="I133">
    <cfRule type="expression" dxfId="1027" priority="663" stopIfTrue="1">
      <formula>$CQ133=TRUE</formula>
    </cfRule>
  </conditionalFormatting>
  <conditionalFormatting sqref="I137">
    <cfRule type="expression" dxfId="1026" priority="661" stopIfTrue="1">
      <formula>$AX137</formula>
    </cfRule>
  </conditionalFormatting>
  <conditionalFormatting sqref="I150 I152:I153">
    <cfRule type="expression" dxfId="1025" priority="658" stopIfTrue="1">
      <formula>$AK150=TRUE</formula>
    </cfRule>
  </conditionalFormatting>
  <conditionalFormatting sqref="I161">
    <cfRule type="expression" dxfId="1024" priority="649" stopIfTrue="1">
      <formula>$CQ161=TRUE</formula>
    </cfRule>
  </conditionalFormatting>
  <conditionalFormatting sqref="I165">
    <cfRule type="expression" dxfId="1023" priority="647" stopIfTrue="1">
      <formula>$AX165</formula>
    </cfRule>
  </conditionalFormatting>
  <conditionalFormatting sqref="I178 I180:I181">
    <cfRule type="expression" dxfId="1022" priority="644" stopIfTrue="1">
      <formula>$AK178=TRUE</formula>
    </cfRule>
  </conditionalFormatting>
  <conditionalFormatting sqref="I189">
    <cfRule type="expression" dxfId="1021" priority="635" stopIfTrue="1">
      <formula>$CQ189=TRUE</formula>
    </cfRule>
  </conditionalFormatting>
  <conditionalFormatting sqref="I193">
    <cfRule type="expression" dxfId="1020" priority="633" stopIfTrue="1">
      <formula>$AX193</formula>
    </cfRule>
  </conditionalFormatting>
  <conditionalFormatting sqref="I206 I208:I209">
    <cfRule type="expression" dxfId="1019" priority="630" stopIfTrue="1">
      <formula>$AK206=TRUE</formula>
    </cfRule>
  </conditionalFormatting>
  <conditionalFormatting sqref="I217">
    <cfRule type="expression" dxfId="1018" priority="621" stopIfTrue="1">
      <formula>$CQ217=TRUE</formula>
    </cfRule>
  </conditionalFormatting>
  <conditionalFormatting sqref="I221">
    <cfRule type="expression" dxfId="1017" priority="619" stopIfTrue="1">
      <formula>$AX221</formula>
    </cfRule>
  </conditionalFormatting>
  <conditionalFormatting sqref="I234 I236:I237">
    <cfRule type="expression" dxfId="1016" priority="616" stopIfTrue="1">
      <formula>$AK234=TRUE</formula>
    </cfRule>
  </conditionalFormatting>
  <conditionalFormatting sqref="I245">
    <cfRule type="expression" dxfId="1015" priority="607" stopIfTrue="1">
      <formula>$CQ245=TRUE</formula>
    </cfRule>
  </conditionalFormatting>
  <conditionalFormatting sqref="I249">
    <cfRule type="expression" dxfId="1014" priority="605" stopIfTrue="1">
      <formula>$AX249</formula>
    </cfRule>
  </conditionalFormatting>
  <conditionalFormatting sqref="I262 I264:I265">
    <cfRule type="expression" dxfId="1013" priority="602" stopIfTrue="1">
      <formula>$AK262=TRUE</formula>
    </cfRule>
  </conditionalFormatting>
  <conditionalFormatting sqref="I273">
    <cfRule type="expression" dxfId="1012" priority="593" stopIfTrue="1">
      <formula>$CQ273=TRUE</formula>
    </cfRule>
  </conditionalFormatting>
  <conditionalFormatting sqref="I277">
    <cfRule type="expression" dxfId="1011" priority="591" stopIfTrue="1">
      <formula>$AX277</formula>
    </cfRule>
  </conditionalFormatting>
  <conditionalFormatting sqref="I290 I292:I293">
    <cfRule type="expression" dxfId="1010" priority="588" stopIfTrue="1">
      <formula>$AK290=TRUE</formula>
    </cfRule>
  </conditionalFormatting>
  <conditionalFormatting sqref="I301">
    <cfRule type="expression" dxfId="1009" priority="579" stopIfTrue="1">
      <formula>$CQ301=TRUE</formula>
    </cfRule>
  </conditionalFormatting>
  <conditionalFormatting sqref="I305">
    <cfRule type="expression" dxfId="1008" priority="577" stopIfTrue="1">
      <formula>$AX305</formula>
    </cfRule>
  </conditionalFormatting>
  <conditionalFormatting sqref="I318 I320:I321">
    <cfRule type="expression" dxfId="1007" priority="574" stopIfTrue="1">
      <formula>$AK318=TRUE</formula>
    </cfRule>
  </conditionalFormatting>
  <conditionalFormatting sqref="I329">
    <cfRule type="expression" dxfId="1006" priority="565" stopIfTrue="1">
      <formula>$CQ329=TRUE</formula>
    </cfRule>
  </conditionalFormatting>
  <conditionalFormatting sqref="I333">
    <cfRule type="expression" dxfId="1005" priority="563" stopIfTrue="1">
      <formula>$AX333</formula>
    </cfRule>
  </conditionalFormatting>
  <conditionalFormatting sqref="I346 I348:I349">
    <cfRule type="expression" dxfId="1004" priority="560" stopIfTrue="1">
      <formula>$AK346=TRUE</formula>
    </cfRule>
  </conditionalFormatting>
  <conditionalFormatting sqref="I357">
    <cfRule type="expression" dxfId="1003" priority="551" stopIfTrue="1">
      <formula>$CQ357=TRUE</formula>
    </cfRule>
  </conditionalFormatting>
  <conditionalFormatting sqref="I361">
    <cfRule type="expression" dxfId="1002" priority="549" stopIfTrue="1">
      <formula>$AX361</formula>
    </cfRule>
  </conditionalFormatting>
  <conditionalFormatting sqref="I374 I376:I377">
    <cfRule type="expression" dxfId="1001" priority="546" stopIfTrue="1">
      <formula>$AK374=TRUE</formula>
    </cfRule>
  </conditionalFormatting>
  <conditionalFormatting sqref="I385">
    <cfRule type="expression" dxfId="1000" priority="537" stopIfTrue="1">
      <formula>$CQ385=TRUE</formula>
    </cfRule>
  </conditionalFormatting>
  <conditionalFormatting sqref="I389">
    <cfRule type="expression" dxfId="999" priority="535" stopIfTrue="1">
      <formula>$AX389</formula>
    </cfRule>
  </conditionalFormatting>
  <conditionalFormatting sqref="I402 I404:I405">
    <cfRule type="expression" dxfId="998" priority="532" stopIfTrue="1">
      <formula>$AK402=TRUE</formula>
    </cfRule>
  </conditionalFormatting>
  <conditionalFormatting sqref="I413">
    <cfRule type="expression" dxfId="997" priority="523" stopIfTrue="1">
      <formula>$CQ413=TRUE</formula>
    </cfRule>
  </conditionalFormatting>
  <conditionalFormatting sqref="I417">
    <cfRule type="expression" dxfId="996" priority="521" stopIfTrue="1">
      <formula>$AX417</formula>
    </cfRule>
  </conditionalFormatting>
  <conditionalFormatting sqref="I430 I432:I433">
    <cfRule type="expression" dxfId="995" priority="518" stopIfTrue="1">
      <formula>$AK430=TRUE</formula>
    </cfRule>
  </conditionalFormatting>
  <conditionalFormatting sqref="I441">
    <cfRule type="expression" dxfId="994" priority="509" stopIfTrue="1">
      <formula>$CQ441=TRUE</formula>
    </cfRule>
  </conditionalFormatting>
  <conditionalFormatting sqref="I445">
    <cfRule type="expression" dxfId="993" priority="507" stopIfTrue="1">
      <formula>$AX445</formula>
    </cfRule>
  </conditionalFormatting>
  <conditionalFormatting sqref="I458 I460:I461">
    <cfRule type="expression" dxfId="992" priority="504" stopIfTrue="1">
      <formula>$AK458=TRUE</formula>
    </cfRule>
  </conditionalFormatting>
  <conditionalFormatting sqref="I469">
    <cfRule type="expression" dxfId="991" priority="495" stopIfTrue="1">
      <formula>$CQ469=TRUE</formula>
    </cfRule>
  </conditionalFormatting>
  <conditionalFormatting sqref="I473">
    <cfRule type="expression" dxfId="990" priority="493" stopIfTrue="1">
      <formula>$AX473</formula>
    </cfRule>
  </conditionalFormatting>
  <conditionalFormatting sqref="I486 I488:I489">
    <cfRule type="expression" dxfId="989" priority="490" stopIfTrue="1">
      <formula>$AK486=TRUE</formula>
    </cfRule>
  </conditionalFormatting>
  <conditionalFormatting sqref="I497">
    <cfRule type="expression" dxfId="988" priority="481" stopIfTrue="1">
      <formula>$CQ497=TRUE</formula>
    </cfRule>
  </conditionalFormatting>
  <conditionalFormatting sqref="I501">
    <cfRule type="expression" dxfId="987" priority="479" stopIfTrue="1">
      <formula>$AX501</formula>
    </cfRule>
  </conditionalFormatting>
  <conditionalFormatting sqref="I514 I516:I517">
    <cfRule type="expression" dxfId="986" priority="476" stopIfTrue="1">
      <formula>$AK514=TRUE</formula>
    </cfRule>
  </conditionalFormatting>
  <conditionalFormatting sqref="I525">
    <cfRule type="expression" dxfId="985" priority="467" stopIfTrue="1">
      <formula>$CQ525=TRUE</formula>
    </cfRule>
  </conditionalFormatting>
  <conditionalFormatting sqref="I529">
    <cfRule type="expression" dxfId="984" priority="465" stopIfTrue="1">
      <formula>$AX529</formula>
    </cfRule>
  </conditionalFormatting>
  <conditionalFormatting sqref="I542 I544:I545">
    <cfRule type="expression" dxfId="983" priority="462" stopIfTrue="1">
      <formula>$AK542=TRUE</formula>
    </cfRule>
  </conditionalFormatting>
  <conditionalFormatting sqref="I553">
    <cfRule type="expression" dxfId="982" priority="453" stopIfTrue="1">
      <formula>$CQ553=TRUE</formula>
    </cfRule>
  </conditionalFormatting>
  <conditionalFormatting sqref="I557">
    <cfRule type="expression" dxfId="981" priority="451" stopIfTrue="1">
      <formula>$AX557</formula>
    </cfRule>
  </conditionalFormatting>
  <conditionalFormatting sqref="I570 I572:I573">
    <cfRule type="expression" dxfId="980" priority="448" stopIfTrue="1">
      <formula>$AK570=TRUE</formula>
    </cfRule>
  </conditionalFormatting>
  <conditionalFormatting sqref="I581">
    <cfRule type="expression" dxfId="979" priority="439" stopIfTrue="1">
      <formula>$CQ581=TRUE</formula>
    </cfRule>
  </conditionalFormatting>
  <conditionalFormatting sqref="I585">
    <cfRule type="expression" dxfId="978" priority="437" stopIfTrue="1">
      <formula>$AX585</formula>
    </cfRule>
  </conditionalFormatting>
  <conditionalFormatting sqref="I598 I600:I601">
    <cfRule type="expression" dxfId="977" priority="434" stopIfTrue="1">
      <formula>$AK598=TRUE</formula>
    </cfRule>
  </conditionalFormatting>
  <conditionalFormatting sqref="I609">
    <cfRule type="expression" dxfId="976" priority="425" stopIfTrue="1">
      <formula>$CQ609=TRUE</formula>
    </cfRule>
  </conditionalFormatting>
  <conditionalFormatting sqref="I613">
    <cfRule type="expression" dxfId="975" priority="423" stopIfTrue="1">
      <formula>$AX613</formula>
    </cfRule>
  </conditionalFormatting>
  <conditionalFormatting sqref="I626 I628:I629">
    <cfRule type="expression" dxfId="974" priority="420" stopIfTrue="1">
      <formula>$AK626=TRUE</formula>
    </cfRule>
  </conditionalFormatting>
  <conditionalFormatting sqref="I637">
    <cfRule type="expression" dxfId="973" priority="411" stopIfTrue="1">
      <formula>$CQ637=TRUE</formula>
    </cfRule>
  </conditionalFormatting>
  <conditionalFormatting sqref="I641">
    <cfRule type="expression" dxfId="972" priority="409" stopIfTrue="1">
      <formula>$AX641</formula>
    </cfRule>
  </conditionalFormatting>
  <conditionalFormatting sqref="I654 I656:I657">
    <cfRule type="expression" dxfId="971" priority="406" stopIfTrue="1">
      <formula>$AK654=TRUE</formula>
    </cfRule>
  </conditionalFormatting>
  <conditionalFormatting sqref="I665">
    <cfRule type="expression" dxfId="970" priority="397" stopIfTrue="1">
      <formula>$CQ665=TRUE</formula>
    </cfRule>
  </conditionalFormatting>
  <conditionalFormatting sqref="I669">
    <cfRule type="expression" dxfId="969" priority="395" stopIfTrue="1">
      <formula>$AX669</formula>
    </cfRule>
  </conditionalFormatting>
  <conditionalFormatting sqref="I682 I684:I685">
    <cfRule type="expression" dxfId="968" priority="392" stopIfTrue="1">
      <formula>$AK682=TRUE</formula>
    </cfRule>
  </conditionalFormatting>
  <conditionalFormatting sqref="I693">
    <cfRule type="expression" dxfId="967" priority="383" stopIfTrue="1">
      <formula>$CQ693=TRUE</formula>
    </cfRule>
  </conditionalFormatting>
  <conditionalFormatting sqref="I697">
    <cfRule type="expression" dxfId="966" priority="381" stopIfTrue="1">
      <formula>$AX697</formula>
    </cfRule>
  </conditionalFormatting>
  <conditionalFormatting sqref="I710 I712:I713">
    <cfRule type="expression" dxfId="965" priority="378" stopIfTrue="1">
      <formula>$AK710=TRUE</formula>
    </cfRule>
  </conditionalFormatting>
  <conditionalFormatting sqref="I721">
    <cfRule type="expression" dxfId="964" priority="369" stopIfTrue="1">
      <formula>$CQ721=TRUE</formula>
    </cfRule>
  </conditionalFormatting>
  <conditionalFormatting sqref="I725">
    <cfRule type="expression" dxfId="963" priority="367" stopIfTrue="1">
      <formula>$AX725</formula>
    </cfRule>
  </conditionalFormatting>
  <conditionalFormatting sqref="I738 I740:I741">
    <cfRule type="expression" dxfId="962" priority="364" stopIfTrue="1">
      <formula>$AK738=TRUE</formula>
    </cfRule>
  </conditionalFormatting>
  <conditionalFormatting sqref="I749">
    <cfRule type="expression" dxfId="961" priority="355" stopIfTrue="1">
      <formula>$CQ749=TRUE</formula>
    </cfRule>
  </conditionalFormatting>
  <conditionalFormatting sqref="I753">
    <cfRule type="expression" dxfId="960" priority="353" stopIfTrue="1">
      <formula>$AX753</formula>
    </cfRule>
  </conditionalFormatting>
  <conditionalFormatting sqref="I766 I768:I769">
    <cfRule type="expression" dxfId="959" priority="350" stopIfTrue="1">
      <formula>$AK766=TRUE</formula>
    </cfRule>
  </conditionalFormatting>
  <conditionalFormatting sqref="I777">
    <cfRule type="expression" dxfId="958" priority="341" stopIfTrue="1">
      <formula>$CQ777=TRUE</formula>
    </cfRule>
  </conditionalFormatting>
  <conditionalFormatting sqref="I781">
    <cfRule type="expression" dxfId="957" priority="339" stopIfTrue="1">
      <formula>$AX781</formula>
    </cfRule>
  </conditionalFormatting>
  <conditionalFormatting sqref="I794 I796:I797">
    <cfRule type="expression" dxfId="956" priority="336" stopIfTrue="1">
      <formula>$AK794=TRUE</formula>
    </cfRule>
  </conditionalFormatting>
  <conditionalFormatting sqref="I805">
    <cfRule type="expression" dxfId="955" priority="327" stopIfTrue="1">
      <formula>$CQ805=TRUE</formula>
    </cfRule>
  </conditionalFormatting>
  <conditionalFormatting sqref="I809">
    <cfRule type="expression" dxfId="954" priority="325" stopIfTrue="1">
      <formula>$AX809</formula>
    </cfRule>
  </conditionalFormatting>
  <conditionalFormatting sqref="I822 I824:I825">
    <cfRule type="expression" dxfId="953" priority="322" stopIfTrue="1">
      <formula>$AK822=TRUE</formula>
    </cfRule>
  </conditionalFormatting>
  <conditionalFormatting sqref="I833">
    <cfRule type="expression" dxfId="952" priority="313" stopIfTrue="1">
      <formula>$CQ833=TRUE</formula>
    </cfRule>
  </conditionalFormatting>
  <conditionalFormatting sqref="I837">
    <cfRule type="expression" dxfId="951" priority="311" stopIfTrue="1">
      <formula>$AX837</formula>
    </cfRule>
  </conditionalFormatting>
  <conditionalFormatting sqref="I850 I852:I853">
    <cfRule type="expression" dxfId="950" priority="308" stopIfTrue="1">
      <formula>$AK850=TRUE</formula>
    </cfRule>
  </conditionalFormatting>
  <conditionalFormatting sqref="I861">
    <cfRule type="expression" dxfId="949" priority="299" stopIfTrue="1">
      <formula>$CQ861=TRUE</formula>
    </cfRule>
  </conditionalFormatting>
  <conditionalFormatting sqref="I865">
    <cfRule type="expression" dxfId="948" priority="297" stopIfTrue="1">
      <formula>$AX865</formula>
    </cfRule>
  </conditionalFormatting>
  <conditionalFormatting sqref="I878 I880:I881">
    <cfRule type="expression" dxfId="947" priority="294" stopIfTrue="1">
      <formula>$AK878=TRUE</formula>
    </cfRule>
  </conditionalFormatting>
  <conditionalFormatting sqref="I889">
    <cfRule type="expression" dxfId="946" priority="285" stopIfTrue="1">
      <formula>$CQ889=TRUE</formula>
    </cfRule>
  </conditionalFormatting>
  <conditionalFormatting sqref="I893">
    <cfRule type="expression" dxfId="945" priority="283" stopIfTrue="1">
      <formula>$AX893</formula>
    </cfRule>
  </conditionalFormatting>
  <conditionalFormatting sqref="I906 I908:I909">
    <cfRule type="expression" dxfId="944" priority="280" stopIfTrue="1">
      <formula>$AK906=TRUE</formula>
    </cfRule>
  </conditionalFormatting>
  <conditionalFormatting sqref="I917">
    <cfRule type="expression" dxfId="943" priority="271" stopIfTrue="1">
      <formula>$CQ917=TRUE</formula>
    </cfRule>
  </conditionalFormatting>
  <conditionalFormatting sqref="I921">
    <cfRule type="expression" dxfId="942" priority="269" stopIfTrue="1">
      <formula>$AX921</formula>
    </cfRule>
  </conditionalFormatting>
  <conditionalFormatting sqref="I934 I936:I937">
    <cfRule type="expression" dxfId="941" priority="266" stopIfTrue="1">
      <formula>$AK934=TRUE</formula>
    </cfRule>
  </conditionalFormatting>
  <conditionalFormatting sqref="I945">
    <cfRule type="expression" dxfId="940" priority="257" stopIfTrue="1">
      <formula>$CQ945=TRUE</formula>
    </cfRule>
  </conditionalFormatting>
  <conditionalFormatting sqref="I949">
    <cfRule type="expression" dxfId="939" priority="255" stopIfTrue="1">
      <formula>$AX949</formula>
    </cfRule>
  </conditionalFormatting>
  <conditionalFormatting sqref="I962 I964:I965">
    <cfRule type="expression" dxfId="938" priority="252" stopIfTrue="1">
      <formula>$AK962=TRUE</formula>
    </cfRule>
  </conditionalFormatting>
  <conditionalFormatting sqref="I973">
    <cfRule type="expression" dxfId="937" priority="243" stopIfTrue="1">
      <formula>$CQ973=TRUE</formula>
    </cfRule>
  </conditionalFormatting>
  <conditionalFormatting sqref="I977">
    <cfRule type="expression" dxfId="936" priority="241" stopIfTrue="1">
      <formula>$AX977</formula>
    </cfRule>
  </conditionalFormatting>
  <conditionalFormatting sqref="I990 I992:I993">
    <cfRule type="expression" dxfId="935" priority="238" stopIfTrue="1">
      <formula>$AK990=TRUE</formula>
    </cfRule>
  </conditionalFormatting>
  <conditionalFormatting sqref="I1001">
    <cfRule type="expression" dxfId="934" priority="229" stopIfTrue="1">
      <formula>$CQ1001=TRUE</formula>
    </cfRule>
  </conditionalFormatting>
  <conditionalFormatting sqref="I1005">
    <cfRule type="expression" dxfId="933" priority="227" stopIfTrue="1">
      <formula>$AX1005</formula>
    </cfRule>
  </conditionalFormatting>
  <conditionalFormatting sqref="I1018 I1020:I1021">
    <cfRule type="expression" dxfId="932" priority="224" stopIfTrue="1">
      <formula>$AK1018=TRUE</formula>
    </cfRule>
  </conditionalFormatting>
  <conditionalFormatting sqref="I1029">
    <cfRule type="expression" dxfId="931" priority="215" stopIfTrue="1">
      <formula>$CQ1029=TRUE</formula>
    </cfRule>
  </conditionalFormatting>
  <conditionalFormatting sqref="I1033">
    <cfRule type="expression" dxfId="930" priority="213" stopIfTrue="1">
      <formula>$AX1033</formula>
    </cfRule>
  </conditionalFormatting>
  <conditionalFormatting sqref="I1046 I1048:I1049">
    <cfRule type="expression" dxfId="929" priority="210" stopIfTrue="1">
      <formula>$AK1046=TRUE</formula>
    </cfRule>
  </conditionalFormatting>
  <conditionalFormatting sqref="I1057">
    <cfRule type="expression" dxfId="928" priority="201" stopIfTrue="1">
      <formula>$CQ1057=TRUE</formula>
    </cfRule>
  </conditionalFormatting>
  <conditionalFormatting sqref="I1061">
    <cfRule type="expression" dxfId="927" priority="199" stopIfTrue="1">
      <formula>$AX1061</formula>
    </cfRule>
  </conditionalFormatting>
  <conditionalFormatting sqref="I1074 I1076:I1077">
    <cfRule type="expression" dxfId="926" priority="196" stopIfTrue="1">
      <formula>$AK1074=TRUE</formula>
    </cfRule>
  </conditionalFormatting>
  <conditionalFormatting sqref="I1085">
    <cfRule type="expression" dxfId="925" priority="187" stopIfTrue="1">
      <formula>$CQ1085=TRUE</formula>
    </cfRule>
  </conditionalFormatting>
  <conditionalFormatting sqref="I1089">
    <cfRule type="expression" dxfId="924" priority="185" stopIfTrue="1">
      <formula>$AX1089</formula>
    </cfRule>
  </conditionalFormatting>
  <conditionalFormatting sqref="I1102 I1104:I1105">
    <cfRule type="expression" dxfId="923" priority="182" stopIfTrue="1">
      <formula>$AK1102=TRUE</formula>
    </cfRule>
  </conditionalFormatting>
  <conditionalFormatting sqref="I1113">
    <cfRule type="expression" dxfId="922" priority="173" stopIfTrue="1">
      <formula>$CQ1113=TRUE</formula>
    </cfRule>
  </conditionalFormatting>
  <conditionalFormatting sqref="I1117">
    <cfRule type="expression" dxfId="921" priority="171" stopIfTrue="1">
      <formula>$AX1117</formula>
    </cfRule>
  </conditionalFormatting>
  <conditionalFormatting sqref="I1130 I1132:I1133">
    <cfRule type="expression" dxfId="920" priority="168" stopIfTrue="1">
      <formula>$AK1130=TRUE</formula>
    </cfRule>
  </conditionalFormatting>
  <conditionalFormatting sqref="I1141">
    <cfRule type="expression" dxfId="919" priority="159" stopIfTrue="1">
      <formula>$CQ1141=TRUE</formula>
    </cfRule>
  </conditionalFormatting>
  <conditionalFormatting sqref="I1145">
    <cfRule type="expression" dxfId="918" priority="157" stopIfTrue="1">
      <formula>$AX1145</formula>
    </cfRule>
  </conditionalFormatting>
  <conditionalFormatting sqref="I1158 I1160:I1161">
    <cfRule type="expression" dxfId="917" priority="154" stopIfTrue="1">
      <formula>$AK1158=TRUE</formula>
    </cfRule>
  </conditionalFormatting>
  <conditionalFormatting sqref="I1169">
    <cfRule type="expression" dxfId="916" priority="145" stopIfTrue="1">
      <formula>$CQ1169=TRUE</formula>
    </cfRule>
  </conditionalFormatting>
  <conditionalFormatting sqref="I1173">
    <cfRule type="expression" dxfId="915" priority="143" stopIfTrue="1">
      <formula>$AX1173</formula>
    </cfRule>
  </conditionalFormatting>
  <conditionalFormatting sqref="I1186 I1188:I1189">
    <cfRule type="expression" dxfId="914" priority="140" stopIfTrue="1">
      <formula>$AK1186=TRUE</formula>
    </cfRule>
  </conditionalFormatting>
  <conditionalFormatting sqref="I1197">
    <cfRule type="expression" dxfId="913" priority="131" stopIfTrue="1">
      <formula>$CQ1197=TRUE</formula>
    </cfRule>
  </conditionalFormatting>
  <conditionalFormatting sqref="I1201">
    <cfRule type="expression" dxfId="912" priority="129" stopIfTrue="1">
      <formula>$AX1201</formula>
    </cfRule>
  </conditionalFormatting>
  <conditionalFormatting sqref="I1214 I1216:I1217">
    <cfRule type="expression" dxfId="911" priority="126" stopIfTrue="1">
      <formula>$AK1214=TRUE</formula>
    </cfRule>
  </conditionalFormatting>
  <conditionalFormatting sqref="I1225">
    <cfRule type="expression" dxfId="910" priority="117" stopIfTrue="1">
      <formula>$CQ1225=TRUE</formula>
    </cfRule>
  </conditionalFormatting>
  <conditionalFormatting sqref="I1229">
    <cfRule type="expression" dxfId="909" priority="115" stopIfTrue="1">
      <formula>$AX1229</formula>
    </cfRule>
  </conditionalFormatting>
  <conditionalFormatting sqref="I1242 I1244:I1245">
    <cfRule type="expression" dxfId="908" priority="112" stopIfTrue="1">
      <formula>$AK1242=TRUE</formula>
    </cfRule>
  </conditionalFormatting>
  <conditionalFormatting sqref="I1253">
    <cfRule type="expression" dxfId="907" priority="103" stopIfTrue="1">
      <formula>$CQ1253=TRUE</formula>
    </cfRule>
  </conditionalFormatting>
  <conditionalFormatting sqref="I1257">
    <cfRule type="expression" dxfId="906" priority="101" stopIfTrue="1">
      <formula>$AX1257</formula>
    </cfRule>
  </conditionalFormatting>
  <conditionalFormatting sqref="I1270 I1272:I1273">
    <cfRule type="expression" dxfId="905" priority="98" stopIfTrue="1">
      <formula>$AK1270=TRUE</formula>
    </cfRule>
  </conditionalFormatting>
  <conditionalFormatting sqref="I1281">
    <cfRule type="expression" dxfId="904" priority="89" stopIfTrue="1">
      <formula>$CQ1281=TRUE</formula>
    </cfRule>
  </conditionalFormatting>
  <conditionalFormatting sqref="I1285">
    <cfRule type="expression" dxfId="903" priority="87" stopIfTrue="1">
      <formula>$AX1285</formula>
    </cfRule>
  </conditionalFormatting>
  <conditionalFormatting sqref="I1298 I1300:I1301">
    <cfRule type="expression" dxfId="902" priority="84" stopIfTrue="1">
      <formula>$AK1298=TRUE</formula>
    </cfRule>
  </conditionalFormatting>
  <conditionalFormatting sqref="I1309">
    <cfRule type="expression" dxfId="901" priority="75" stopIfTrue="1">
      <formula>$CQ1309=TRUE</formula>
    </cfRule>
  </conditionalFormatting>
  <conditionalFormatting sqref="I1313">
    <cfRule type="expression" dxfId="900" priority="73" stopIfTrue="1">
      <formula>$AX1313</formula>
    </cfRule>
  </conditionalFormatting>
  <conditionalFormatting sqref="I1326 I1328:I1329">
    <cfRule type="expression" dxfId="899" priority="70" stopIfTrue="1">
      <formula>$AK1326=TRUE</formula>
    </cfRule>
  </conditionalFormatting>
  <conditionalFormatting sqref="I1337">
    <cfRule type="expression" dxfId="898" priority="61" stopIfTrue="1">
      <formula>$CQ1337=TRUE</formula>
    </cfRule>
  </conditionalFormatting>
  <conditionalFormatting sqref="I1341">
    <cfRule type="expression" dxfId="897" priority="59" stopIfTrue="1">
      <formula>$AX1341</formula>
    </cfRule>
  </conditionalFormatting>
  <conditionalFormatting sqref="I1354 I1356:I1357">
    <cfRule type="expression" dxfId="896" priority="56" stopIfTrue="1">
      <formula>$AK1354=TRUE</formula>
    </cfRule>
  </conditionalFormatting>
  <conditionalFormatting sqref="I1365">
    <cfRule type="expression" dxfId="895" priority="47" stopIfTrue="1">
      <formula>$CQ1365=TRUE</formula>
    </cfRule>
  </conditionalFormatting>
  <conditionalFormatting sqref="I1369">
    <cfRule type="expression" dxfId="894" priority="45" stopIfTrue="1">
      <formula>$AX1369</formula>
    </cfRule>
  </conditionalFormatting>
  <conditionalFormatting sqref="I1382 I1384:I1385">
    <cfRule type="expression" dxfId="893" priority="42" stopIfTrue="1">
      <formula>$AK1382=TRUE</formula>
    </cfRule>
  </conditionalFormatting>
  <conditionalFormatting sqref="I1393">
    <cfRule type="expression" dxfId="892" priority="33" stopIfTrue="1">
      <formula>$CQ1393=TRUE</formula>
    </cfRule>
  </conditionalFormatting>
  <conditionalFormatting sqref="I1397">
    <cfRule type="expression" dxfId="891" priority="31" stopIfTrue="1">
      <formula>$AX1397</formula>
    </cfRule>
  </conditionalFormatting>
  <conditionalFormatting sqref="I1410 I1412:I1413">
    <cfRule type="expression" dxfId="890" priority="28" stopIfTrue="1">
      <formula>$AK1410=TRUE</formula>
    </cfRule>
  </conditionalFormatting>
  <conditionalFormatting sqref="I1421">
    <cfRule type="expression" dxfId="889" priority="19" stopIfTrue="1">
      <formula>$CQ1421=TRUE</formula>
    </cfRule>
  </conditionalFormatting>
  <conditionalFormatting sqref="I1425">
    <cfRule type="expression" dxfId="888" priority="17" stopIfTrue="1">
      <formula>$AX1425</formula>
    </cfRule>
  </conditionalFormatting>
  <conditionalFormatting sqref="I1438 I1440:I1441">
    <cfRule type="expression" dxfId="887" priority="14" stopIfTrue="1">
      <formula>$AK1438=TRUE</formula>
    </cfRule>
  </conditionalFormatting>
  <conditionalFormatting sqref="I1449">
    <cfRule type="expression" dxfId="886" priority="5" stopIfTrue="1">
      <formula>$CQ1449=TRUE</formula>
    </cfRule>
  </conditionalFormatting>
  <conditionalFormatting sqref="I1453">
    <cfRule type="expression" dxfId="885" priority="3" stopIfTrue="1">
      <formula>$AX1453</formula>
    </cfRule>
  </conditionalFormatting>
  <conditionalFormatting sqref="I94:K94 I96:I103 K96:L99 L100:L103 I122:K122 I124:I131 K124:L127 L128:L131 I150:K150 I152:I159 K152:L155 L156:L159 I178:K178 I180:I187 K180:L183 L184:L187 I206:K206 I208:I215 K208:L211 L212:L215 I234:K234 I236:I243 K236:L239 L240:L243 I262:K262 I264:I271 K264:L267 L268:L271 I290:K290 I292:I299 K292:L295 L296:L299 I318:K318 I320:I327 K320:L323 L324:L327 I346:K346 I348:I355 K348:L351 L352:L355 I374:K374 I376:I383 K376:L379 L380:L383 I402:K402 I404:I411 K404:L407 L408:L411 I430:K430 I432:I439 K432:L435 L436:L439 I458:K458 I460:I467 K460:L463 L464:L467 I486:K486 I488:I495 K488:L491 L492:L495 I514:K514 I516:I523 K516:L519 L520:L523 I542:K542 I544:I551 K544:L547 L548:L551 I570:K570 I572:I579 K572:L575 L576:L579 I598:K598 I600:I607 K600:L603 L604:L607 I626:K626 I628:I635 K628:L631 L632:L635 I654:K654 I656:I663 K656:L659 L660:L663 I682:K682 I684:I691 K684:L687 L688:L691 I710:K710 I712:I719 K712:L715 L716:L719 I738:K738 I740:I747 K740:L743 L744:L747 I766:K766 I768:I775 K768:L771 L772:L775 I794:K794 I796:I803 K796:L799 L800:L803 I822:K822 I824:I831 K824:L827 L828:L831 I850:K850 I852:I859 K852:L855 L856:L859 I878:K878 I880:I887 K880:L883 L884:L887 I906:K906 I908:I915 K908:L911 L912:L915 I934:K934 I936:I943 K936:L939 L940:L943 I962:K962 I964:I971 K964:L967 L968:L971 I990:K990 I992:I999 K992:L995 L996:L999 I1018:K1018 I1020:I1027 K1020:L1023 L1024:L1027 I1046:K1046 I1048:I1055 K1048:L1051 L1052:L1055 I1074:K1074 I1076:I1083 K1076:L1079 L1080:L1083 I1102:K1102 I1104:I1111 K1104:L1107 L1108:L1111 I1130:K1130 I1132:I1139 K1132:L1135 L1136:L1139 I1158:K1158 I1160:I1167 K1160:L1163 L1164:L1167 I1186:K1186 I1188:I1195 K1188:L1191 L1192:L1195 I1214:K1214 I1216:I1223 K1216:L1219 L1220:L1223 I1242:K1242 I1244:I1251 K1244:L1247 L1248:L1251 I1270:K1270 I1272:I1279 K1272:L1275 L1276:L1279 I1298:K1298 I1300:I1307 K1300:L1303 L1304:L1307 I1326:K1326 I1328:I1335 K1328:L1331 L1332:L1335 I1354:K1354 I1356:I1363 K1356:L1359 L1360:L1363 I1382:K1382 I1384:I1391 K1384:L1387 L1388:L1391 I1410:K1410 I1412:I1419 K1412:L1415 L1416:L1419 I1438:K1438 I1440:I1447 K1440:L1443 L1444:L1447 E60:J60 I66:K66 K68:L71 F68:F75 I68:I75 L72:L75 G83 I83 G85 F96:F103 G111 I111 G113 F124:F131 G139 I139 G141 F152:F159 G167 I167 G169 F180:F187 G195 I195 G197 F208:F215 G223 I223 G225 F236:F243 G251 I251 G253 F264:F271 G279 I279 G281 F292:F299 G307 I307 G309 F320:F327 G335 I335 G337 F348:F355 G363 I363 G365 F376:F383 G391 I391 G393 F404:F411 G419 I419 G421 F432:F439 G447 I447 G449 F460:F467 G475 I475 G477 F488:F495 G503 I503 G505 F516:F523 G531 I531 G533 F544:F551 G559 I559 G561 F572:F579 G587 I587 G589 F600:F607 G615 I615 G617 F628:F635 G643 I643 G645 F656:F663 G671 I671 G673 F684:F691 G699 I699 G701 F712:F719 G727 I727 G729 F740:F747 G755 I755 G757 F768:F775 G783 I783 G785 F796:F803 G811 I811 G813 F824:F831 G839 I839 G841 F852:F859 G867 I867 G869 F880:F887 G895 I895 G897 F908:F915 G923 I923 G925 F936:F943 G951 I951 G953 F964:F971 G979 I979 G981 F992:F999 G1007 I1007 G1009 F1020:F1027 G1035 I1035 G1037 F1048:F1055 G1063 I1063 G1065 F1076:F1083 G1091 I1091 G1093 F1104:F1111 G1119 I1119 G1121 F1132:F1139 G1147 I1147 G1149 F1160:F1167 G1175 I1175 G1177 F1188:F1195 G1203 I1203 G1205 F1216:F1223 G1231 I1231 G1233 F1244:F1251 G1259 I1259 G1261 F1272:F1279 G1287 I1287 G1289 F1300:F1307 G1315 I1315 G1317 F1328:F1335 G1343 I1343 G1345 F1356:F1363 G1371 I1371 G1373 F1384:F1391 G1399 I1399 G1401 F1412:F1419 G1427 I1427 G1429 F1440:F1447 G1455 I1455 G1457">
    <cfRule type="expression" dxfId="884" priority="3090" stopIfTrue="1">
      <formula>$CQ60=TRUE</formula>
    </cfRule>
  </conditionalFormatting>
  <conditionalFormatting sqref="J68:J69">
    <cfRule type="expression" dxfId="883" priority="3079" stopIfTrue="1">
      <formula>$CQ68=TRUE</formula>
    </cfRule>
  </conditionalFormatting>
  <conditionalFormatting sqref="J96:J97">
    <cfRule type="expression" dxfId="882" priority="678" stopIfTrue="1">
      <formula>$CQ96=TRUE</formula>
    </cfRule>
  </conditionalFormatting>
  <conditionalFormatting sqref="J124:J125">
    <cfRule type="expression" dxfId="881" priority="664" stopIfTrue="1">
      <formula>$CQ124=TRUE</formula>
    </cfRule>
  </conditionalFormatting>
  <conditionalFormatting sqref="J152:J153">
    <cfRule type="expression" dxfId="880" priority="650" stopIfTrue="1">
      <formula>$CQ152=TRUE</formula>
    </cfRule>
  </conditionalFormatting>
  <conditionalFormatting sqref="J180:J181">
    <cfRule type="expression" dxfId="879" priority="636" stopIfTrue="1">
      <formula>$CQ180=TRUE</formula>
    </cfRule>
  </conditionalFormatting>
  <conditionalFormatting sqref="J208:J209">
    <cfRule type="expression" dxfId="878" priority="622" stopIfTrue="1">
      <formula>$CQ208=TRUE</formula>
    </cfRule>
  </conditionalFormatting>
  <conditionalFormatting sqref="J236:J237">
    <cfRule type="expression" dxfId="877" priority="608" stopIfTrue="1">
      <formula>$CQ236=TRUE</formula>
    </cfRule>
  </conditionalFormatting>
  <conditionalFormatting sqref="J264:J265">
    <cfRule type="expression" dxfId="876" priority="594" stopIfTrue="1">
      <formula>$CQ264=TRUE</formula>
    </cfRule>
  </conditionalFormatting>
  <conditionalFormatting sqref="J292:J293">
    <cfRule type="expression" dxfId="875" priority="580" stopIfTrue="1">
      <formula>$CQ292=TRUE</formula>
    </cfRule>
  </conditionalFormatting>
  <conditionalFormatting sqref="J320:J321">
    <cfRule type="expression" dxfId="874" priority="566" stopIfTrue="1">
      <formula>$CQ320=TRUE</formula>
    </cfRule>
  </conditionalFormatting>
  <conditionalFormatting sqref="J348:J349">
    <cfRule type="expression" dxfId="873" priority="552" stopIfTrue="1">
      <formula>$CQ348=TRUE</formula>
    </cfRule>
  </conditionalFormatting>
  <conditionalFormatting sqref="J376:J377">
    <cfRule type="expression" dxfId="872" priority="538" stopIfTrue="1">
      <formula>$CQ376=TRUE</formula>
    </cfRule>
  </conditionalFormatting>
  <conditionalFormatting sqref="J404:J405">
    <cfRule type="expression" dxfId="871" priority="524" stopIfTrue="1">
      <formula>$CQ404=TRUE</formula>
    </cfRule>
  </conditionalFormatting>
  <conditionalFormatting sqref="J432:J433">
    <cfRule type="expression" dxfId="870" priority="510" stopIfTrue="1">
      <formula>$CQ432=TRUE</formula>
    </cfRule>
  </conditionalFormatting>
  <conditionalFormatting sqref="J460:J461">
    <cfRule type="expression" dxfId="869" priority="496" stopIfTrue="1">
      <formula>$CQ460=TRUE</formula>
    </cfRule>
  </conditionalFormatting>
  <conditionalFormatting sqref="J488:J489">
    <cfRule type="expression" dxfId="868" priority="482" stopIfTrue="1">
      <formula>$CQ488=TRUE</formula>
    </cfRule>
  </conditionalFormatting>
  <conditionalFormatting sqref="J516:J517">
    <cfRule type="expression" dxfId="867" priority="468" stopIfTrue="1">
      <formula>$CQ516=TRUE</formula>
    </cfRule>
  </conditionalFormatting>
  <conditionalFormatting sqref="J544:J545">
    <cfRule type="expression" dxfId="866" priority="454" stopIfTrue="1">
      <formula>$CQ544=TRUE</formula>
    </cfRule>
  </conditionalFormatting>
  <conditionalFormatting sqref="J572:J573">
    <cfRule type="expression" dxfId="865" priority="440" stopIfTrue="1">
      <formula>$CQ572=TRUE</formula>
    </cfRule>
  </conditionalFormatting>
  <conditionalFormatting sqref="J600:J601">
    <cfRule type="expression" dxfId="864" priority="426" stopIfTrue="1">
      <formula>$CQ600=TRUE</formula>
    </cfRule>
  </conditionalFormatting>
  <conditionalFormatting sqref="J628:J629">
    <cfRule type="expression" dxfId="863" priority="412" stopIfTrue="1">
      <formula>$CQ628=TRUE</formula>
    </cfRule>
  </conditionalFormatting>
  <conditionalFormatting sqref="J656:J657">
    <cfRule type="expression" dxfId="862" priority="398" stopIfTrue="1">
      <formula>$CQ656=TRUE</formula>
    </cfRule>
  </conditionalFormatting>
  <conditionalFormatting sqref="J684:J685">
    <cfRule type="expression" dxfId="861" priority="384" stopIfTrue="1">
      <formula>$CQ684=TRUE</formula>
    </cfRule>
  </conditionalFormatting>
  <conditionalFormatting sqref="J712:J713">
    <cfRule type="expression" dxfId="860" priority="370" stopIfTrue="1">
      <formula>$CQ712=TRUE</formula>
    </cfRule>
  </conditionalFormatting>
  <conditionalFormatting sqref="J740:J741">
    <cfRule type="expression" dxfId="859" priority="356" stopIfTrue="1">
      <formula>$CQ740=TRUE</formula>
    </cfRule>
  </conditionalFormatting>
  <conditionalFormatting sqref="J768:J769">
    <cfRule type="expression" dxfId="858" priority="342" stopIfTrue="1">
      <formula>$CQ768=TRUE</formula>
    </cfRule>
  </conditionalFormatting>
  <conditionalFormatting sqref="J796:J797">
    <cfRule type="expression" dxfId="857" priority="328" stopIfTrue="1">
      <formula>$CQ796=TRUE</formula>
    </cfRule>
  </conditionalFormatting>
  <conditionalFormatting sqref="J824:J825">
    <cfRule type="expression" dxfId="856" priority="314" stopIfTrue="1">
      <formula>$CQ824=TRUE</formula>
    </cfRule>
  </conditionalFormatting>
  <conditionalFormatting sqref="J852:J853">
    <cfRule type="expression" dxfId="855" priority="300" stopIfTrue="1">
      <formula>$CQ852=TRUE</formula>
    </cfRule>
  </conditionalFormatting>
  <conditionalFormatting sqref="J880:J881">
    <cfRule type="expression" dxfId="854" priority="286" stopIfTrue="1">
      <formula>$CQ880=TRUE</formula>
    </cfRule>
  </conditionalFormatting>
  <conditionalFormatting sqref="J908:J909">
    <cfRule type="expression" dxfId="853" priority="272" stopIfTrue="1">
      <formula>$CQ908=TRUE</formula>
    </cfRule>
  </conditionalFormatting>
  <conditionalFormatting sqref="J936:J937">
    <cfRule type="expression" dxfId="852" priority="258" stopIfTrue="1">
      <formula>$CQ936=TRUE</formula>
    </cfRule>
  </conditionalFormatting>
  <conditionalFormatting sqref="J964:J965">
    <cfRule type="expression" dxfId="851" priority="244" stopIfTrue="1">
      <formula>$CQ964=TRUE</formula>
    </cfRule>
  </conditionalFormatting>
  <conditionalFormatting sqref="J992:J993">
    <cfRule type="expression" dxfId="850" priority="230" stopIfTrue="1">
      <formula>$CQ992=TRUE</formula>
    </cfRule>
  </conditionalFormatting>
  <conditionalFormatting sqref="J1020:J1021">
    <cfRule type="expression" dxfId="849" priority="216" stopIfTrue="1">
      <formula>$CQ1020=TRUE</formula>
    </cfRule>
  </conditionalFormatting>
  <conditionalFormatting sqref="J1048:J1049">
    <cfRule type="expression" dxfId="848" priority="202" stopIfTrue="1">
      <formula>$CQ1048=TRUE</formula>
    </cfRule>
  </conditionalFormatting>
  <conditionalFormatting sqref="J1076:J1077">
    <cfRule type="expression" dxfId="847" priority="188" stopIfTrue="1">
      <formula>$CQ1076=TRUE</formula>
    </cfRule>
  </conditionalFormatting>
  <conditionalFormatting sqref="J1104:J1105">
    <cfRule type="expression" dxfId="846" priority="174" stopIfTrue="1">
      <formula>$CQ1104=TRUE</formula>
    </cfRule>
  </conditionalFormatting>
  <conditionalFormatting sqref="J1132:J1133">
    <cfRule type="expression" dxfId="845" priority="160" stopIfTrue="1">
      <formula>$CQ1132=TRUE</formula>
    </cfRule>
  </conditionalFormatting>
  <conditionalFormatting sqref="J1160:J1161">
    <cfRule type="expression" dxfId="844" priority="146" stopIfTrue="1">
      <formula>$CQ1160=TRUE</formula>
    </cfRule>
  </conditionalFormatting>
  <conditionalFormatting sqref="J1188:J1189">
    <cfRule type="expression" dxfId="843" priority="132" stopIfTrue="1">
      <formula>$CQ1188=TRUE</formula>
    </cfRule>
  </conditionalFormatting>
  <conditionalFormatting sqref="J1216:J1217">
    <cfRule type="expression" dxfId="842" priority="118" stopIfTrue="1">
      <formula>$CQ1216=TRUE</formula>
    </cfRule>
  </conditionalFormatting>
  <conditionalFormatting sqref="J1244:J1245">
    <cfRule type="expression" dxfId="841" priority="104" stopIfTrue="1">
      <formula>$CQ1244=TRUE</formula>
    </cfRule>
  </conditionalFormatting>
  <conditionalFormatting sqref="J1272:J1273">
    <cfRule type="expression" dxfId="840" priority="90" stopIfTrue="1">
      <formula>$CQ1272=TRUE</formula>
    </cfRule>
  </conditionalFormatting>
  <conditionalFormatting sqref="J1300:J1301">
    <cfRule type="expression" dxfId="839" priority="76" stopIfTrue="1">
      <formula>$CQ1300=TRUE</formula>
    </cfRule>
  </conditionalFormatting>
  <conditionalFormatting sqref="J1328:J1329">
    <cfRule type="expression" dxfId="838" priority="62" stopIfTrue="1">
      <formula>$CQ1328=TRUE</formula>
    </cfRule>
  </conditionalFormatting>
  <conditionalFormatting sqref="J1356:J1357">
    <cfRule type="expression" dxfId="837" priority="48" stopIfTrue="1">
      <formula>$CQ1356=TRUE</formula>
    </cfRule>
  </conditionalFormatting>
  <conditionalFormatting sqref="J1384:J1385">
    <cfRule type="expression" dxfId="836" priority="34" stopIfTrue="1">
      <formula>$CQ1384=TRUE</formula>
    </cfRule>
  </conditionalFormatting>
  <conditionalFormatting sqref="J1412:J1413">
    <cfRule type="expression" dxfId="835" priority="20" stopIfTrue="1">
      <formula>$CQ1412=TRUE</formula>
    </cfRule>
  </conditionalFormatting>
  <conditionalFormatting sqref="J1440:J1441">
    <cfRule type="expression" dxfId="834" priority="6" stopIfTrue="1">
      <formula>$CQ1440=TRUE</formula>
    </cfRule>
  </conditionalFormatting>
  <conditionalFormatting sqref="K66">
    <cfRule type="expression" dxfId="833" priority="3592" stopIfTrue="1">
      <formula>$AX66=TRUE</formula>
    </cfRule>
  </conditionalFormatting>
  <conditionalFormatting sqref="K77 K68:K71">
    <cfRule type="expression" dxfId="832" priority="3584" stopIfTrue="1">
      <formula>$AW68=TRUE</formula>
    </cfRule>
  </conditionalFormatting>
  <conditionalFormatting sqref="K81">
    <cfRule type="expression" dxfId="831" priority="2054" stopIfTrue="1">
      <formula>$AX81</formula>
    </cfRule>
  </conditionalFormatting>
  <conditionalFormatting sqref="K94">
    <cfRule type="expression" dxfId="830" priority="685" stopIfTrue="1">
      <formula>$AX94=TRUE</formula>
    </cfRule>
  </conditionalFormatting>
  <conditionalFormatting sqref="K105 K96:K99">
    <cfRule type="expression" dxfId="829" priority="683" stopIfTrue="1">
      <formula>$AW96=TRUE</formula>
    </cfRule>
  </conditionalFormatting>
  <conditionalFormatting sqref="K109">
    <cfRule type="expression" dxfId="828" priority="674" stopIfTrue="1">
      <formula>$AX109</formula>
    </cfRule>
  </conditionalFormatting>
  <conditionalFormatting sqref="K122">
    <cfRule type="expression" dxfId="827" priority="671" stopIfTrue="1">
      <formula>$AX122=TRUE</formula>
    </cfRule>
  </conditionalFormatting>
  <conditionalFormatting sqref="K133 K124:K127">
    <cfRule type="expression" dxfId="826" priority="669" stopIfTrue="1">
      <formula>$AW124=TRUE</formula>
    </cfRule>
  </conditionalFormatting>
  <conditionalFormatting sqref="K137">
    <cfRule type="expression" dxfId="825" priority="660" stopIfTrue="1">
      <formula>$AX137</formula>
    </cfRule>
  </conditionalFormatting>
  <conditionalFormatting sqref="K150">
    <cfRule type="expression" dxfId="824" priority="657" stopIfTrue="1">
      <formula>$AX150=TRUE</formula>
    </cfRule>
  </conditionalFormatting>
  <conditionalFormatting sqref="K161 K152:K155">
    <cfRule type="expression" dxfId="823" priority="655" stopIfTrue="1">
      <formula>$AW152=TRUE</formula>
    </cfRule>
  </conditionalFormatting>
  <conditionalFormatting sqref="K165">
    <cfRule type="expression" dxfId="822" priority="646" stopIfTrue="1">
      <formula>$AX165</formula>
    </cfRule>
  </conditionalFormatting>
  <conditionalFormatting sqref="K178">
    <cfRule type="expression" dxfId="821" priority="643" stopIfTrue="1">
      <formula>$AX178=TRUE</formula>
    </cfRule>
  </conditionalFormatting>
  <conditionalFormatting sqref="K189 K180:K183">
    <cfRule type="expression" dxfId="820" priority="641" stopIfTrue="1">
      <formula>$AW180=TRUE</formula>
    </cfRule>
  </conditionalFormatting>
  <conditionalFormatting sqref="K193">
    <cfRule type="expression" dxfId="819" priority="632" stopIfTrue="1">
      <formula>$AX193</formula>
    </cfRule>
  </conditionalFormatting>
  <conditionalFormatting sqref="K206">
    <cfRule type="expression" dxfId="818" priority="629" stopIfTrue="1">
      <formula>$AX206=TRUE</formula>
    </cfRule>
  </conditionalFormatting>
  <conditionalFormatting sqref="K217 K208:K211">
    <cfRule type="expression" dxfId="817" priority="627" stopIfTrue="1">
      <formula>$AW208=TRUE</formula>
    </cfRule>
  </conditionalFormatting>
  <conditionalFormatting sqref="K221">
    <cfRule type="expression" dxfId="816" priority="618" stopIfTrue="1">
      <formula>$AX221</formula>
    </cfRule>
  </conditionalFormatting>
  <conditionalFormatting sqref="K234">
    <cfRule type="expression" dxfId="815" priority="615" stopIfTrue="1">
      <formula>$AX234=TRUE</formula>
    </cfRule>
  </conditionalFormatting>
  <conditionalFormatting sqref="K245 K236:K239">
    <cfRule type="expression" dxfId="814" priority="613" stopIfTrue="1">
      <formula>$AW236=TRUE</formula>
    </cfRule>
  </conditionalFormatting>
  <conditionalFormatting sqref="K249">
    <cfRule type="expression" dxfId="813" priority="604" stopIfTrue="1">
      <formula>$AX249</formula>
    </cfRule>
  </conditionalFormatting>
  <conditionalFormatting sqref="K262">
    <cfRule type="expression" dxfId="812" priority="601" stopIfTrue="1">
      <formula>$AX262=TRUE</formula>
    </cfRule>
  </conditionalFormatting>
  <conditionalFormatting sqref="K273 K264:K267">
    <cfRule type="expression" dxfId="811" priority="599" stopIfTrue="1">
      <formula>$AW264=TRUE</formula>
    </cfRule>
  </conditionalFormatting>
  <conditionalFormatting sqref="K277">
    <cfRule type="expression" dxfId="810" priority="590" stopIfTrue="1">
      <formula>$AX277</formula>
    </cfRule>
  </conditionalFormatting>
  <conditionalFormatting sqref="K290">
    <cfRule type="expression" dxfId="809" priority="587" stopIfTrue="1">
      <formula>$AX290=TRUE</formula>
    </cfRule>
  </conditionalFormatting>
  <conditionalFormatting sqref="K301 K292:K295">
    <cfRule type="expression" dxfId="808" priority="585" stopIfTrue="1">
      <formula>$AW292=TRUE</formula>
    </cfRule>
  </conditionalFormatting>
  <conditionalFormatting sqref="K305">
    <cfRule type="expression" dxfId="807" priority="576" stopIfTrue="1">
      <formula>$AX305</formula>
    </cfRule>
  </conditionalFormatting>
  <conditionalFormatting sqref="K318">
    <cfRule type="expression" dxfId="806" priority="573" stopIfTrue="1">
      <formula>$AX318=TRUE</formula>
    </cfRule>
  </conditionalFormatting>
  <conditionalFormatting sqref="K329 K320:K323">
    <cfRule type="expression" dxfId="805" priority="571" stopIfTrue="1">
      <formula>$AW320=TRUE</formula>
    </cfRule>
  </conditionalFormatting>
  <conditionalFormatting sqref="K333">
    <cfRule type="expression" dxfId="804" priority="562" stopIfTrue="1">
      <formula>$AX333</formula>
    </cfRule>
  </conditionalFormatting>
  <conditionalFormatting sqref="K346">
    <cfRule type="expression" dxfId="803" priority="559" stopIfTrue="1">
      <formula>$AX346=TRUE</formula>
    </cfRule>
  </conditionalFormatting>
  <conditionalFormatting sqref="K357 K348:K351">
    <cfRule type="expression" dxfId="802" priority="557" stopIfTrue="1">
      <formula>$AW348=TRUE</formula>
    </cfRule>
  </conditionalFormatting>
  <conditionalFormatting sqref="K361">
    <cfRule type="expression" dxfId="801" priority="548" stopIfTrue="1">
      <formula>$AX361</formula>
    </cfRule>
  </conditionalFormatting>
  <conditionalFormatting sqref="K374">
    <cfRule type="expression" dxfId="800" priority="545" stopIfTrue="1">
      <formula>$AX374=TRUE</formula>
    </cfRule>
  </conditionalFormatting>
  <conditionalFormatting sqref="K385 K376:K379">
    <cfRule type="expression" dxfId="799" priority="543" stopIfTrue="1">
      <formula>$AW376=TRUE</formula>
    </cfRule>
  </conditionalFormatting>
  <conditionalFormatting sqref="K389">
    <cfRule type="expression" dxfId="798" priority="534" stopIfTrue="1">
      <formula>$AX389</formula>
    </cfRule>
  </conditionalFormatting>
  <conditionalFormatting sqref="K402">
    <cfRule type="expression" dxfId="797" priority="531" stopIfTrue="1">
      <formula>$AX402=TRUE</formula>
    </cfRule>
  </conditionalFormatting>
  <conditionalFormatting sqref="K413 K404:K407">
    <cfRule type="expression" dxfId="796" priority="529" stopIfTrue="1">
      <formula>$AW404=TRUE</formula>
    </cfRule>
  </conditionalFormatting>
  <conditionalFormatting sqref="K417">
    <cfRule type="expression" dxfId="795" priority="520" stopIfTrue="1">
      <formula>$AX417</formula>
    </cfRule>
  </conditionalFormatting>
  <conditionalFormatting sqref="K430">
    <cfRule type="expression" dxfId="794" priority="517" stopIfTrue="1">
      <formula>$AX430=TRUE</formula>
    </cfRule>
  </conditionalFormatting>
  <conditionalFormatting sqref="K441 K432:K435">
    <cfRule type="expression" dxfId="793" priority="515" stopIfTrue="1">
      <formula>$AW432=TRUE</formula>
    </cfRule>
  </conditionalFormatting>
  <conditionalFormatting sqref="K445">
    <cfRule type="expression" dxfId="792" priority="506" stopIfTrue="1">
      <formula>$AX445</formula>
    </cfRule>
  </conditionalFormatting>
  <conditionalFormatting sqref="K458">
    <cfRule type="expression" dxfId="791" priority="503" stopIfTrue="1">
      <formula>$AX458=TRUE</formula>
    </cfRule>
  </conditionalFormatting>
  <conditionalFormatting sqref="K469 K460:K463">
    <cfRule type="expression" dxfId="790" priority="501" stopIfTrue="1">
      <formula>$AW460=TRUE</formula>
    </cfRule>
  </conditionalFormatting>
  <conditionalFormatting sqref="K473">
    <cfRule type="expression" dxfId="789" priority="492" stopIfTrue="1">
      <formula>$AX473</formula>
    </cfRule>
  </conditionalFormatting>
  <conditionalFormatting sqref="K486">
    <cfRule type="expression" dxfId="788" priority="489" stopIfTrue="1">
      <formula>$AX486=TRUE</formula>
    </cfRule>
  </conditionalFormatting>
  <conditionalFormatting sqref="K497 K488:K491">
    <cfRule type="expression" dxfId="787" priority="487" stopIfTrue="1">
      <formula>$AW488=TRUE</formula>
    </cfRule>
  </conditionalFormatting>
  <conditionalFormatting sqref="K501">
    <cfRule type="expression" dxfId="786" priority="478" stopIfTrue="1">
      <formula>$AX501</formula>
    </cfRule>
  </conditionalFormatting>
  <conditionalFormatting sqref="K514">
    <cfRule type="expression" dxfId="785" priority="475" stopIfTrue="1">
      <formula>$AX514=TRUE</formula>
    </cfRule>
  </conditionalFormatting>
  <conditionalFormatting sqref="K525 K516:K519">
    <cfRule type="expression" dxfId="784" priority="473" stopIfTrue="1">
      <formula>$AW516=TRUE</formula>
    </cfRule>
  </conditionalFormatting>
  <conditionalFormatting sqref="K529">
    <cfRule type="expression" dxfId="783" priority="464" stopIfTrue="1">
      <formula>$AX529</formula>
    </cfRule>
  </conditionalFormatting>
  <conditionalFormatting sqref="K542">
    <cfRule type="expression" dxfId="782" priority="461" stopIfTrue="1">
      <formula>$AX542=TRUE</formula>
    </cfRule>
  </conditionalFormatting>
  <conditionalFormatting sqref="K553 K544:K547">
    <cfRule type="expression" dxfId="781" priority="459" stopIfTrue="1">
      <formula>$AW544=TRUE</formula>
    </cfRule>
  </conditionalFormatting>
  <conditionalFormatting sqref="K557">
    <cfRule type="expression" dxfId="780" priority="450" stopIfTrue="1">
      <formula>$AX557</formula>
    </cfRule>
  </conditionalFormatting>
  <conditionalFormatting sqref="K570">
    <cfRule type="expression" dxfId="779" priority="447" stopIfTrue="1">
      <formula>$AX570=TRUE</formula>
    </cfRule>
  </conditionalFormatting>
  <conditionalFormatting sqref="K581 K572:K575">
    <cfRule type="expression" dxfId="778" priority="445" stopIfTrue="1">
      <formula>$AW572=TRUE</formula>
    </cfRule>
  </conditionalFormatting>
  <conditionalFormatting sqref="K585">
    <cfRule type="expression" dxfId="777" priority="436" stopIfTrue="1">
      <formula>$AX585</formula>
    </cfRule>
  </conditionalFormatting>
  <conditionalFormatting sqref="K598">
    <cfRule type="expression" dxfId="776" priority="433" stopIfTrue="1">
      <formula>$AX598=TRUE</formula>
    </cfRule>
  </conditionalFormatting>
  <conditionalFormatting sqref="K609 K600:K603">
    <cfRule type="expression" dxfId="775" priority="431" stopIfTrue="1">
      <formula>$AW600=TRUE</formula>
    </cfRule>
  </conditionalFormatting>
  <conditionalFormatting sqref="K613">
    <cfRule type="expression" dxfId="774" priority="422" stopIfTrue="1">
      <formula>$AX613</formula>
    </cfRule>
  </conditionalFormatting>
  <conditionalFormatting sqref="K626">
    <cfRule type="expression" dxfId="773" priority="419" stopIfTrue="1">
      <formula>$AX626=TRUE</formula>
    </cfRule>
  </conditionalFormatting>
  <conditionalFormatting sqref="K637 K628:K631">
    <cfRule type="expression" dxfId="772" priority="417" stopIfTrue="1">
      <formula>$AW628=TRUE</formula>
    </cfRule>
  </conditionalFormatting>
  <conditionalFormatting sqref="K641">
    <cfRule type="expression" dxfId="771" priority="408" stopIfTrue="1">
      <formula>$AX641</formula>
    </cfRule>
  </conditionalFormatting>
  <conditionalFormatting sqref="K654">
    <cfRule type="expression" dxfId="770" priority="405" stopIfTrue="1">
      <formula>$AX654=TRUE</formula>
    </cfRule>
  </conditionalFormatting>
  <conditionalFormatting sqref="K665 K656:K659">
    <cfRule type="expression" dxfId="769" priority="403" stopIfTrue="1">
      <formula>$AW656=TRUE</formula>
    </cfRule>
  </conditionalFormatting>
  <conditionalFormatting sqref="K669">
    <cfRule type="expression" dxfId="768" priority="394" stopIfTrue="1">
      <formula>$AX669</formula>
    </cfRule>
  </conditionalFormatting>
  <conditionalFormatting sqref="K682">
    <cfRule type="expression" dxfId="767" priority="391" stopIfTrue="1">
      <formula>$AX682=TRUE</formula>
    </cfRule>
  </conditionalFormatting>
  <conditionalFormatting sqref="K693 K684:K687">
    <cfRule type="expression" dxfId="766" priority="389" stopIfTrue="1">
      <formula>$AW684=TRUE</formula>
    </cfRule>
  </conditionalFormatting>
  <conditionalFormatting sqref="K697">
    <cfRule type="expression" dxfId="765" priority="380" stopIfTrue="1">
      <formula>$AX697</formula>
    </cfRule>
  </conditionalFormatting>
  <conditionalFormatting sqref="K710">
    <cfRule type="expression" dxfId="764" priority="377" stopIfTrue="1">
      <formula>$AX710=TRUE</formula>
    </cfRule>
  </conditionalFormatting>
  <conditionalFormatting sqref="K721 K712:K715">
    <cfRule type="expression" dxfId="763" priority="375" stopIfTrue="1">
      <formula>$AW712=TRUE</formula>
    </cfRule>
  </conditionalFormatting>
  <conditionalFormatting sqref="K725">
    <cfRule type="expression" dxfId="762" priority="366" stopIfTrue="1">
      <formula>$AX725</formula>
    </cfRule>
  </conditionalFormatting>
  <conditionalFormatting sqref="K738">
    <cfRule type="expression" dxfId="761" priority="363" stopIfTrue="1">
      <formula>$AX738=TRUE</formula>
    </cfRule>
  </conditionalFormatting>
  <conditionalFormatting sqref="K749 K740:K743">
    <cfRule type="expression" dxfId="760" priority="361" stopIfTrue="1">
      <formula>$AW740=TRUE</formula>
    </cfRule>
  </conditionalFormatting>
  <conditionalFormatting sqref="K753">
    <cfRule type="expression" dxfId="759" priority="352" stopIfTrue="1">
      <formula>$AX753</formula>
    </cfRule>
  </conditionalFormatting>
  <conditionalFormatting sqref="K766">
    <cfRule type="expression" dxfId="758" priority="349" stopIfTrue="1">
      <formula>$AX766=TRUE</formula>
    </cfRule>
  </conditionalFormatting>
  <conditionalFormatting sqref="K777 K768:K771">
    <cfRule type="expression" dxfId="757" priority="347" stopIfTrue="1">
      <formula>$AW768=TRUE</formula>
    </cfRule>
  </conditionalFormatting>
  <conditionalFormatting sqref="K781">
    <cfRule type="expression" dxfId="756" priority="338" stopIfTrue="1">
      <formula>$AX781</formula>
    </cfRule>
  </conditionalFormatting>
  <conditionalFormatting sqref="K794">
    <cfRule type="expression" dxfId="755" priority="335" stopIfTrue="1">
      <formula>$AX794=TRUE</formula>
    </cfRule>
  </conditionalFormatting>
  <conditionalFormatting sqref="K805 K796:K799">
    <cfRule type="expression" dxfId="754" priority="333" stopIfTrue="1">
      <formula>$AW796=TRUE</formula>
    </cfRule>
  </conditionalFormatting>
  <conditionalFormatting sqref="K809">
    <cfRule type="expression" dxfId="753" priority="324" stopIfTrue="1">
      <formula>$AX809</formula>
    </cfRule>
  </conditionalFormatting>
  <conditionalFormatting sqref="K822">
    <cfRule type="expression" dxfId="752" priority="321" stopIfTrue="1">
      <formula>$AX822=TRUE</formula>
    </cfRule>
  </conditionalFormatting>
  <conditionalFormatting sqref="K833 K824:K827">
    <cfRule type="expression" dxfId="751" priority="319" stopIfTrue="1">
      <formula>$AW824=TRUE</formula>
    </cfRule>
  </conditionalFormatting>
  <conditionalFormatting sqref="K837">
    <cfRule type="expression" dxfId="750" priority="310" stopIfTrue="1">
      <formula>$AX837</formula>
    </cfRule>
  </conditionalFormatting>
  <conditionalFormatting sqref="K850">
    <cfRule type="expression" dxfId="749" priority="307" stopIfTrue="1">
      <formula>$AX850=TRUE</formula>
    </cfRule>
  </conditionalFormatting>
  <conditionalFormatting sqref="K861 K852:K855">
    <cfRule type="expression" dxfId="748" priority="305" stopIfTrue="1">
      <formula>$AW852=TRUE</formula>
    </cfRule>
  </conditionalFormatting>
  <conditionalFormatting sqref="K865">
    <cfRule type="expression" dxfId="747" priority="296" stopIfTrue="1">
      <formula>$AX865</formula>
    </cfRule>
  </conditionalFormatting>
  <conditionalFormatting sqref="K878">
    <cfRule type="expression" dxfId="746" priority="293" stopIfTrue="1">
      <formula>$AX878=TRUE</formula>
    </cfRule>
  </conditionalFormatting>
  <conditionalFormatting sqref="K889 K880:K883">
    <cfRule type="expression" dxfId="745" priority="291" stopIfTrue="1">
      <formula>$AW880=TRUE</formula>
    </cfRule>
  </conditionalFormatting>
  <conditionalFormatting sqref="K893">
    <cfRule type="expression" dxfId="744" priority="282" stopIfTrue="1">
      <formula>$AX893</formula>
    </cfRule>
  </conditionalFormatting>
  <conditionalFormatting sqref="K906">
    <cfRule type="expression" dxfId="743" priority="279" stopIfTrue="1">
      <formula>$AX906=TRUE</formula>
    </cfRule>
  </conditionalFormatting>
  <conditionalFormatting sqref="K917 K908:K911">
    <cfRule type="expression" dxfId="742" priority="277" stopIfTrue="1">
      <formula>$AW908=TRUE</formula>
    </cfRule>
  </conditionalFormatting>
  <conditionalFormatting sqref="K921">
    <cfRule type="expression" dxfId="741" priority="268" stopIfTrue="1">
      <formula>$AX921</formula>
    </cfRule>
  </conditionalFormatting>
  <conditionalFormatting sqref="K934">
    <cfRule type="expression" dxfId="740" priority="265" stopIfTrue="1">
      <formula>$AX934=TRUE</formula>
    </cfRule>
  </conditionalFormatting>
  <conditionalFormatting sqref="K945 K936:K939">
    <cfRule type="expression" dxfId="739" priority="263" stopIfTrue="1">
      <formula>$AW936=TRUE</formula>
    </cfRule>
  </conditionalFormatting>
  <conditionalFormatting sqref="K949">
    <cfRule type="expression" dxfId="738" priority="254" stopIfTrue="1">
      <formula>$AX949</formula>
    </cfRule>
  </conditionalFormatting>
  <conditionalFormatting sqref="K962">
    <cfRule type="expression" dxfId="737" priority="251" stopIfTrue="1">
      <formula>$AX962=TRUE</formula>
    </cfRule>
  </conditionalFormatting>
  <conditionalFormatting sqref="K973 K964:K967">
    <cfRule type="expression" dxfId="736" priority="249" stopIfTrue="1">
      <formula>$AW964=TRUE</formula>
    </cfRule>
  </conditionalFormatting>
  <conditionalFormatting sqref="K977">
    <cfRule type="expression" dxfId="735" priority="240" stopIfTrue="1">
      <formula>$AX977</formula>
    </cfRule>
  </conditionalFormatting>
  <conditionalFormatting sqref="K990">
    <cfRule type="expression" dxfId="734" priority="237" stopIfTrue="1">
      <formula>$AX990=TRUE</formula>
    </cfRule>
  </conditionalFormatting>
  <conditionalFormatting sqref="K1001 K992:K995">
    <cfRule type="expression" dxfId="733" priority="235" stopIfTrue="1">
      <formula>$AW992=TRUE</formula>
    </cfRule>
  </conditionalFormatting>
  <conditionalFormatting sqref="K1005">
    <cfRule type="expression" dxfId="732" priority="226" stopIfTrue="1">
      <formula>$AX1005</formula>
    </cfRule>
  </conditionalFormatting>
  <conditionalFormatting sqref="K1018">
    <cfRule type="expression" dxfId="731" priority="223" stopIfTrue="1">
      <formula>$AX1018=TRUE</formula>
    </cfRule>
  </conditionalFormatting>
  <conditionalFormatting sqref="K1029 K1020:K1023">
    <cfRule type="expression" dxfId="730" priority="221" stopIfTrue="1">
      <formula>$AW1020=TRUE</formula>
    </cfRule>
  </conditionalFormatting>
  <conditionalFormatting sqref="K1033">
    <cfRule type="expression" dxfId="729" priority="212" stopIfTrue="1">
      <formula>$AX1033</formula>
    </cfRule>
  </conditionalFormatting>
  <conditionalFormatting sqref="K1046">
    <cfRule type="expression" dxfId="728" priority="209" stopIfTrue="1">
      <formula>$AX1046=TRUE</formula>
    </cfRule>
  </conditionalFormatting>
  <conditionalFormatting sqref="K1057 K1048:K1051">
    <cfRule type="expression" dxfId="727" priority="207" stopIfTrue="1">
      <formula>$AW1048=TRUE</formula>
    </cfRule>
  </conditionalFormatting>
  <conditionalFormatting sqref="K1061">
    <cfRule type="expression" dxfId="726" priority="198" stopIfTrue="1">
      <formula>$AX1061</formula>
    </cfRule>
  </conditionalFormatting>
  <conditionalFormatting sqref="K1074">
    <cfRule type="expression" dxfId="725" priority="195" stopIfTrue="1">
      <formula>$AX1074=TRUE</formula>
    </cfRule>
  </conditionalFormatting>
  <conditionalFormatting sqref="K1085 K1076:K1079">
    <cfRule type="expression" dxfId="724" priority="193" stopIfTrue="1">
      <formula>$AW1076=TRUE</formula>
    </cfRule>
  </conditionalFormatting>
  <conditionalFormatting sqref="K1089">
    <cfRule type="expression" dxfId="723" priority="184" stopIfTrue="1">
      <formula>$AX1089</formula>
    </cfRule>
  </conditionalFormatting>
  <conditionalFormatting sqref="K1102">
    <cfRule type="expression" dxfId="722" priority="181" stopIfTrue="1">
      <formula>$AX1102=TRUE</formula>
    </cfRule>
  </conditionalFormatting>
  <conditionalFormatting sqref="K1113 K1104:K1107">
    <cfRule type="expression" dxfId="721" priority="179" stopIfTrue="1">
      <formula>$AW1104=TRUE</formula>
    </cfRule>
  </conditionalFormatting>
  <conditionalFormatting sqref="K1117">
    <cfRule type="expression" dxfId="720" priority="170" stopIfTrue="1">
      <formula>$AX1117</formula>
    </cfRule>
  </conditionalFormatting>
  <conditionalFormatting sqref="K1130">
    <cfRule type="expression" dxfId="719" priority="167" stopIfTrue="1">
      <formula>$AX1130=TRUE</formula>
    </cfRule>
  </conditionalFormatting>
  <conditionalFormatting sqref="K1141 K1132:K1135">
    <cfRule type="expression" dxfId="718" priority="165" stopIfTrue="1">
      <formula>$AW1132=TRUE</formula>
    </cfRule>
  </conditionalFormatting>
  <conditionalFormatting sqref="K1145">
    <cfRule type="expression" dxfId="717" priority="156" stopIfTrue="1">
      <formula>$AX1145</formula>
    </cfRule>
  </conditionalFormatting>
  <conditionalFormatting sqref="K1158">
    <cfRule type="expression" dxfId="716" priority="153" stopIfTrue="1">
      <formula>$AX1158=TRUE</formula>
    </cfRule>
  </conditionalFormatting>
  <conditionalFormatting sqref="K1169 K1160:K1163">
    <cfRule type="expression" dxfId="715" priority="151" stopIfTrue="1">
      <formula>$AW1160=TRUE</formula>
    </cfRule>
  </conditionalFormatting>
  <conditionalFormatting sqref="K1173">
    <cfRule type="expression" dxfId="714" priority="142" stopIfTrue="1">
      <formula>$AX1173</formula>
    </cfRule>
  </conditionalFormatting>
  <conditionalFormatting sqref="K1186">
    <cfRule type="expression" dxfId="713" priority="139" stopIfTrue="1">
      <formula>$AX1186=TRUE</formula>
    </cfRule>
  </conditionalFormatting>
  <conditionalFormatting sqref="K1197 K1188:K1191">
    <cfRule type="expression" dxfId="712" priority="137" stopIfTrue="1">
      <formula>$AW1188=TRUE</formula>
    </cfRule>
  </conditionalFormatting>
  <conditionalFormatting sqref="K1201">
    <cfRule type="expression" dxfId="711" priority="128" stopIfTrue="1">
      <formula>$AX1201</formula>
    </cfRule>
  </conditionalFormatting>
  <conditionalFormatting sqref="K1214">
    <cfRule type="expression" dxfId="710" priority="125" stopIfTrue="1">
      <formula>$AX1214=TRUE</formula>
    </cfRule>
  </conditionalFormatting>
  <conditionalFormatting sqref="K1225 K1216:K1219">
    <cfRule type="expression" dxfId="709" priority="123" stopIfTrue="1">
      <formula>$AW1216=TRUE</formula>
    </cfRule>
  </conditionalFormatting>
  <conditionalFormatting sqref="K1229">
    <cfRule type="expression" dxfId="708" priority="114" stopIfTrue="1">
      <formula>$AX1229</formula>
    </cfRule>
  </conditionalFormatting>
  <conditionalFormatting sqref="K1242">
    <cfRule type="expression" dxfId="707" priority="111" stopIfTrue="1">
      <formula>$AX1242=TRUE</formula>
    </cfRule>
  </conditionalFormatting>
  <conditionalFormatting sqref="K1253 K1244:K1247">
    <cfRule type="expression" dxfId="706" priority="109" stopIfTrue="1">
      <formula>$AW1244=TRUE</formula>
    </cfRule>
  </conditionalFormatting>
  <conditionalFormatting sqref="K1257">
    <cfRule type="expression" dxfId="705" priority="100" stopIfTrue="1">
      <formula>$AX1257</formula>
    </cfRule>
  </conditionalFormatting>
  <conditionalFormatting sqref="K1270">
    <cfRule type="expression" dxfId="704" priority="97" stopIfTrue="1">
      <formula>$AX1270=TRUE</formula>
    </cfRule>
  </conditionalFormatting>
  <conditionalFormatting sqref="K1281 K1272:K1275">
    <cfRule type="expression" dxfId="703" priority="95" stopIfTrue="1">
      <formula>$AW1272=TRUE</formula>
    </cfRule>
  </conditionalFormatting>
  <conditionalFormatting sqref="K1285">
    <cfRule type="expression" dxfId="702" priority="86" stopIfTrue="1">
      <formula>$AX1285</formula>
    </cfRule>
  </conditionalFormatting>
  <conditionalFormatting sqref="K1298">
    <cfRule type="expression" dxfId="701" priority="83" stopIfTrue="1">
      <formula>$AX1298=TRUE</formula>
    </cfRule>
  </conditionalFormatting>
  <conditionalFormatting sqref="K1309 K1300:K1303">
    <cfRule type="expression" dxfId="700" priority="81" stopIfTrue="1">
      <formula>$AW1300=TRUE</formula>
    </cfRule>
  </conditionalFormatting>
  <conditionalFormatting sqref="K1313">
    <cfRule type="expression" dxfId="699" priority="72" stopIfTrue="1">
      <formula>$AX1313</formula>
    </cfRule>
  </conditionalFormatting>
  <conditionalFormatting sqref="K1326">
    <cfRule type="expression" dxfId="698" priority="69" stopIfTrue="1">
      <formula>$AX1326=TRUE</formula>
    </cfRule>
  </conditionalFormatting>
  <conditionalFormatting sqref="K1337 K1328:K1331">
    <cfRule type="expression" dxfId="697" priority="67" stopIfTrue="1">
      <formula>$AW1328=TRUE</formula>
    </cfRule>
  </conditionalFormatting>
  <conditionalFormatting sqref="K1341">
    <cfRule type="expression" dxfId="696" priority="58" stopIfTrue="1">
      <formula>$AX1341</formula>
    </cfRule>
  </conditionalFormatting>
  <conditionalFormatting sqref="K1354">
    <cfRule type="expression" dxfId="695" priority="55" stopIfTrue="1">
      <formula>$AX1354=TRUE</formula>
    </cfRule>
  </conditionalFormatting>
  <conditionalFormatting sqref="K1365 K1356:K1359">
    <cfRule type="expression" dxfId="694" priority="53" stopIfTrue="1">
      <formula>$AW1356=TRUE</formula>
    </cfRule>
  </conditionalFormatting>
  <conditionalFormatting sqref="K1369">
    <cfRule type="expression" dxfId="693" priority="44" stopIfTrue="1">
      <formula>$AX1369</formula>
    </cfRule>
  </conditionalFormatting>
  <conditionalFormatting sqref="K1382">
    <cfRule type="expression" dxfId="692" priority="41" stopIfTrue="1">
      <formula>$AX1382=TRUE</formula>
    </cfRule>
  </conditionalFormatting>
  <conditionalFormatting sqref="K1393 K1384:K1387">
    <cfRule type="expression" dxfId="691" priority="39" stopIfTrue="1">
      <formula>$AW1384=TRUE</formula>
    </cfRule>
  </conditionalFormatting>
  <conditionalFormatting sqref="K1397">
    <cfRule type="expression" dxfId="690" priority="30" stopIfTrue="1">
      <formula>$AX1397</formula>
    </cfRule>
  </conditionalFormatting>
  <conditionalFormatting sqref="K1410">
    <cfRule type="expression" dxfId="689" priority="27" stopIfTrue="1">
      <formula>$AX1410=TRUE</formula>
    </cfRule>
  </conditionalFormatting>
  <conditionalFormatting sqref="K1421 K1412:K1415">
    <cfRule type="expression" dxfId="688" priority="25" stopIfTrue="1">
      <formula>$AW1412=TRUE</formula>
    </cfRule>
  </conditionalFormatting>
  <conditionalFormatting sqref="K1425">
    <cfRule type="expression" dxfId="687" priority="16" stopIfTrue="1">
      <formula>$AX1425</formula>
    </cfRule>
  </conditionalFormatting>
  <conditionalFormatting sqref="K1438">
    <cfRule type="expression" dxfId="686" priority="13" stopIfTrue="1">
      <formula>$AX1438=TRUE</formula>
    </cfRule>
  </conditionalFormatting>
  <conditionalFormatting sqref="K1449 K1440:K1443">
    <cfRule type="expression" dxfId="685" priority="11" stopIfTrue="1">
      <formula>$AW1440=TRUE</formula>
    </cfRule>
  </conditionalFormatting>
  <conditionalFormatting sqref="K1453">
    <cfRule type="expression" dxfId="684" priority="2" stopIfTrue="1">
      <formula>$AX1453</formula>
    </cfRule>
  </conditionalFormatting>
  <conditionalFormatting sqref="K77:L77">
    <cfRule type="expression" dxfId="683" priority="3583" stopIfTrue="1">
      <formula>$CQ77=TRUE</formula>
    </cfRule>
  </conditionalFormatting>
  <conditionalFormatting sqref="K105:L105">
    <cfRule type="expression" dxfId="682" priority="682" stopIfTrue="1">
      <formula>$CQ105=TRUE</formula>
    </cfRule>
  </conditionalFormatting>
  <conditionalFormatting sqref="K133:L133">
    <cfRule type="expression" dxfId="681" priority="668" stopIfTrue="1">
      <formula>$CQ133=TRUE</formula>
    </cfRule>
  </conditionalFormatting>
  <conditionalFormatting sqref="K161:L161">
    <cfRule type="expression" dxfId="680" priority="654" stopIfTrue="1">
      <formula>$CQ161=TRUE</formula>
    </cfRule>
  </conditionalFormatting>
  <conditionalFormatting sqref="K189:L189">
    <cfRule type="expression" dxfId="679" priority="640" stopIfTrue="1">
      <formula>$CQ189=TRUE</formula>
    </cfRule>
  </conditionalFormatting>
  <conditionalFormatting sqref="K217:L217">
    <cfRule type="expression" dxfId="678" priority="626" stopIfTrue="1">
      <formula>$CQ217=TRUE</formula>
    </cfRule>
  </conditionalFormatting>
  <conditionalFormatting sqref="K245:L245">
    <cfRule type="expression" dxfId="677" priority="612" stopIfTrue="1">
      <formula>$CQ245=TRUE</formula>
    </cfRule>
  </conditionalFormatting>
  <conditionalFormatting sqref="K273:L273">
    <cfRule type="expression" dxfId="676" priority="598" stopIfTrue="1">
      <formula>$CQ273=TRUE</formula>
    </cfRule>
  </conditionalFormatting>
  <conditionalFormatting sqref="K301:L301">
    <cfRule type="expression" dxfId="675" priority="584" stopIfTrue="1">
      <formula>$CQ301=TRUE</formula>
    </cfRule>
  </conditionalFormatting>
  <conditionalFormatting sqref="K329:L329">
    <cfRule type="expression" dxfId="674" priority="570" stopIfTrue="1">
      <formula>$CQ329=TRUE</formula>
    </cfRule>
  </conditionalFormatting>
  <conditionalFormatting sqref="K357:L357">
    <cfRule type="expression" dxfId="673" priority="556" stopIfTrue="1">
      <formula>$CQ357=TRUE</formula>
    </cfRule>
  </conditionalFormatting>
  <conditionalFormatting sqref="K385:L385">
    <cfRule type="expression" dxfId="672" priority="542" stopIfTrue="1">
      <formula>$CQ385=TRUE</formula>
    </cfRule>
  </conditionalFormatting>
  <conditionalFormatting sqref="K413:L413">
    <cfRule type="expression" dxfId="671" priority="528" stopIfTrue="1">
      <formula>$CQ413=TRUE</formula>
    </cfRule>
  </conditionalFormatting>
  <conditionalFormatting sqref="K441:L441">
    <cfRule type="expression" dxfId="670" priority="514" stopIfTrue="1">
      <formula>$CQ441=TRUE</formula>
    </cfRule>
  </conditionalFormatting>
  <conditionalFormatting sqref="K469:L469">
    <cfRule type="expression" dxfId="669" priority="500" stopIfTrue="1">
      <formula>$CQ469=TRUE</formula>
    </cfRule>
  </conditionalFormatting>
  <conditionalFormatting sqref="K497:L497">
    <cfRule type="expression" dxfId="668" priority="486" stopIfTrue="1">
      <formula>$CQ497=TRUE</formula>
    </cfRule>
  </conditionalFormatting>
  <conditionalFormatting sqref="K525:L525">
    <cfRule type="expression" dxfId="667" priority="472" stopIfTrue="1">
      <formula>$CQ525=TRUE</formula>
    </cfRule>
  </conditionalFormatting>
  <conditionalFormatting sqref="K553:L553">
    <cfRule type="expression" dxfId="666" priority="458" stopIfTrue="1">
      <formula>$CQ553=TRUE</formula>
    </cfRule>
  </conditionalFormatting>
  <conditionalFormatting sqref="K581:L581">
    <cfRule type="expression" dxfId="665" priority="444" stopIfTrue="1">
      <formula>$CQ581=TRUE</formula>
    </cfRule>
  </conditionalFormatting>
  <conditionalFormatting sqref="K609:L609">
    <cfRule type="expression" dxfId="664" priority="430" stopIfTrue="1">
      <formula>$CQ609=TRUE</formula>
    </cfRule>
  </conditionalFormatting>
  <conditionalFormatting sqref="K637:L637">
    <cfRule type="expression" dxfId="663" priority="416" stopIfTrue="1">
      <formula>$CQ637=TRUE</formula>
    </cfRule>
  </conditionalFormatting>
  <conditionalFormatting sqref="K665:L665">
    <cfRule type="expression" dxfId="662" priority="402" stopIfTrue="1">
      <formula>$CQ665=TRUE</formula>
    </cfRule>
  </conditionalFormatting>
  <conditionalFormatting sqref="K693:L693">
    <cfRule type="expression" dxfId="661" priority="388" stopIfTrue="1">
      <formula>$CQ693=TRUE</formula>
    </cfRule>
  </conditionalFormatting>
  <conditionalFormatting sqref="K721:L721">
    <cfRule type="expression" dxfId="660" priority="374" stopIfTrue="1">
      <formula>$CQ721=TRUE</formula>
    </cfRule>
  </conditionalFormatting>
  <conditionalFormatting sqref="K749:L749">
    <cfRule type="expression" dxfId="659" priority="360" stopIfTrue="1">
      <formula>$CQ749=TRUE</formula>
    </cfRule>
  </conditionalFormatting>
  <conditionalFormatting sqref="K777:L777">
    <cfRule type="expression" dxfId="658" priority="346" stopIfTrue="1">
      <formula>$CQ777=TRUE</formula>
    </cfRule>
  </conditionalFormatting>
  <conditionalFormatting sqref="K805:L805">
    <cfRule type="expression" dxfId="657" priority="332" stopIfTrue="1">
      <formula>$CQ805=TRUE</formula>
    </cfRule>
  </conditionalFormatting>
  <conditionalFormatting sqref="K833:L833">
    <cfRule type="expression" dxfId="656" priority="318" stopIfTrue="1">
      <formula>$CQ833=TRUE</formula>
    </cfRule>
  </conditionalFormatting>
  <conditionalFormatting sqref="K861:L861">
    <cfRule type="expression" dxfId="655" priority="304" stopIfTrue="1">
      <formula>$CQ861=TRUE</formula>
    </cfRule>
  </conditionalFormatting>
  <conditionalFormatting sqref="K889:L889">
    <cfRule type="expression" dxfId="654" priority="290" stopIfTrue="1">
      <formula>$CQ889=TRUE</formula>
    </cfRule>
  </conditionalFormatting>
  <conditionalFormatting sqref="K917:L917">
    <cfRule type="expression" dxfId="653" priority="276" stopIfTrue="1">
      <formula>$CQ917=TRUE</formula>
    </cfRule>
  </conditionalFormatting>
  <conditionalFormatting sqref="K945:L945">
    <cfRule type="expression" dxfId="652" priority="262" stopIfTrue="1">
      <formula>$CQ945=TRUE</formula>
    </cfRule>
  </conditionalFormatting>
  <conditionalFormatting sqref="K973:L973">
    <cfRule type="expression" dxfId="651" priority="248" stopIfTrue="1">
      <formula>$CQ973=TRUE</formula>
    </cfRule>
  </conditionalFormatting>
  <conditionalFormatting sqref="K1001:L1001">
    <cfRule type="expression" dxfId="650" priority="234" stopIfTrue="1">
      <formula>$CQ1001=TRUE</formula>
    </cfRule>
  </conditionalFormatting>
  <conditionalFormatting sqref="K1029:L1029">
    <cfRule type="expression" dxfId="649" priority="220" stopIfTrue="1">
      <formula>$CQ1029=TRUE</formula>
    </cfRule>
  </conditionalFormatting>
  <conditionalFormatting sqref="K1057:L1057">
    <cfRule type="expression" dxfId="648" priority="206" stopIfTrue="1">
      <formula>$CQ1057=TRUE</formula>
    </cfRule>
  </conditionalFormatting>
  <conditionalFormatting sqref="K1085:L1085">
    <cfRule type="expression" dxfId="647" priority="192" stopIfTrue="1">
      <formula>$CQ1085=TRUE</formula>
    </cfRule>
  </conditionalFormatting>
  <conditionalFormatting sqref="K1113:L1113">
    <cfRule type="expression" dxfId="646" priority="178" stopIfTrue="1">
      <formula>$CQ1113=TRUE</formula>
    </cfRule>
  </conditionalFormatting>
  <conditionalFormatting sqref="K1141:L1141">
    <cfRule type="expression" dxfId="645" priority="164" stopIfTrue="1">
      <formula>$CQ1141=TRUE</formula>
    </cfRule>
  </conditionalFormatting>
  <conditionalFormatting sqref="K1169:L1169">
    <cfRule type="expression" dxfId="644" priority="150" stopIfTrue="1">
      <formula>$CQ1169=TRUE</formula>
    </cfRule>
  </conditionalFormatting>
  <conditionalFormatting sqref="K1197:L1197">
    <cfRule type="expression" dxfId="643" priority="136" stopIfTrue="1">
      <formula>$CQ1197=TRUE</formula>
    </cfRule>
  </conditionalFormatting>
  <conditionalFormatting sqref="K1225:L1225">
    <cfRule type="expression" dxfId="642" priority="122" stopIfTrue="1">
      <formula>$CQ1225=TRUE</formula>
    </cfRule>
  </conditionalFormatting>
  <conditionalFormatting sqref="K1253:L1253">
    <cfRule type="expression" dxfId="641" priority="108" stopIfTrue="1">
      <formula>$CQ1253=TRUE</formula>
    </cfRule>
  </conditionalFormatting>
  <conditionalFormatting sqref="K1281:L1281">
    <cfRule type="expression" dxfId="640" priority="94" stopIfTrue="1">
      <formula>$CQ1281=TRUE</formula>
    </cfRule>
  </conditionalFormatting>
  <conditionalFormatting sqref="K1309:L1309">
    <cfRule type="expression" dxfId="639" priority="80" stopIfTrue="1">
      <formula>$CQ1309=TRUE</formula>
    </cfRule>
  </conditionalFormatting>
  <conditionalFormatting sqref="K1337:L1337">
    <cfRule type="expression" dxfId="638" priority="66" stopIfTrue="1">
      <formula>$CQ1337=TRUE</formula>
    </cfRule>
  </conditionalFormatting>
  <conditionalFormatting sqref="K1365:L1365">
    <cfRule type="expression" dxfId="637" priority="52" stopIfTrue="1">
      <formula>$CQ1365=TRUE</formula>
    </cfRule>
  </conditionalFormatting>
  <conditionalFormatting sqref="K1393:L1393">
    <cfRule type="expression" dxfId="636" priority="38" stopIfTrue="1">
      <formula>$CQ1393=TRUE</formula>
    </cfRule>
  </conditionalFormatting>
  <conditionalFormatting sqref="K1421:L1421">
    <cfRule type="expression" dxfId="635" priority="24" stopIfTrue="1">
      <formula>$CQ1421=TRUE</formula>
    </cfRule>
  </conditionalFormatting>
  <conditionalFormatting sqref="K1449:L1449">
    <cfRule type="expression" dxfId="634" priority="10" stopIfTrue="1">
      <formula>$CQ1449=TRUE</formula>
    </cfRule>
  </conditionalFormatting>
  <conditionalFormatting sqref="L77 L68:L75">
    <cfRule type="expression" dxfId="633" priority="3588" stopIfTrue="1">
      <formula>$AX68=TRUE</formula>
    </cfRule>
  </conditionalFormatting>
  <conditionalFormatting sqref="L105 L96:L103">
    <cfRule type="expression" dxfId="632" priority="684" stopIfTrue="1">
      <formula>$AX96=TRUE</formula>
    </cfRule>
  </conditionalFormatting>
  <conditionalFormatting sqref="L133 L124:L131">
    <cfRule type="expression" dxfId="631" priority="670" stopIfTrue="1">
      <formula>$AX124=TRUE</formula>
    </cfRule>
  </conditionalFormatting>
  <conditionalFormatting sqref="L161 L152:L159">
    <cfRule type="expression" dxfId="630" priority="656" stopIfTrue="1">
      <formula>$AX152=TRUE</formula>
    </cfRule>
  </conditionalFormatting>
  <conditionalFormatting sqref="L189 L180:L187">
    <cfRule type="expression" dxfId="629" priority="642" stopIfTrue="1">
      <formula>$AX180=TRUE</formula>
    </cfRule>
  </conditionalFormatting>
  <conditionalFormatting sqref="L217 L208:L215">
    <cfRule type="expression" dxfId="628" priority="628" stopIfTrue="1">
      <formula>$AX208=TRUE</formula>
    </cfRule>
  </conditionalFormatting>
  <conditionalFormatting sqref="L245 L236:L243">
    <cfRule type="expression" dxfId="627" priority="614" stopIfTrue="1">
      <formula>$AX236=TRUE</formula>
    </cfRule>
  </conditionalFormatting>
  <conditionalFormatting sqref="L273 L264:L271">
    <cfRule type="expression" dxfId="626" priority="600" stopIfTrue="1">
      <formula>$AX264=TRUE</formula>
    </cfRule>
  </conditionalFormatting>
  <conditionalFormatting sqref="L301 L292:L299">
    <cfRule type="expression" dxfId="625" priority="586" stopIfTrue="1">
      <formula>$AX292=TRUE</formula>
    </cfRule>
  </conditionalFormatting>
  <conditionalFormatting sqref="L329 L320:L327">
    <cfRule type="expression" dxfId="624" priority="572" stopIfTrue="1">
      <formula>$AX320=TRUE</formula>
    </cfRule>
  </conditionalFormatting>
  <conditionalFormatting sqref="L357 L348:L355">
    <cfRule type="expression" dxfId="623" priority="558" stopIfTrue="1">
      <formula>$AX348=TRUE</formula>
    </cfRule>
  </conditionalFormatting>
  <conditionalFormatting sqref="L385 L376:L383">
    <cfRule type="expression" dxfId="622" priority="544" stopIfTrue="1">
      <formula>$AX376=TRUE</formula>
    </cfRule>
  </conditionalFormatting>
  <conditionalFormatting sqref="L413 L404:L411">
    <cfRule type="expression" dxfId="621" priority="530" stopIfTrue="1">
      <formula>$AX404=TRUE</formula>
    </cfRule>
  </conditionalFormatting>
  <conditionalFormatting sqref="L441 L432:L439">
    <cfRule type="expression" dxfId="620" priority="516" stopIfTrue="1">
      <formula>$AX432=TRUE</formula>
    </cfRule>
  </conditionalFormatting>
  <conditionalFormatting sqref="L469 L460:L467">
    <cfRule type="expression" dxfId="619" priority="502" stopIfTrue="1">
      <formula>$AX460=TRUE</formula>
    </cfRule>
  </conditionalFormatting>
  <conditionalFormatting sqref="L497 L488:L495">
    <cfRule type="expression" dxfId="618" priority="488" stopIfTrue="1">
      <formula>$AX488=TRUE</formula>
    </cfRule>
  </conditionalFormatting>
  <conditionalFormatting sqref="L525 L516:L523">
    <cfRule type="expression" dxfId="617" priority="474" stopIfTrue="1">
      <formula>$AX516=TRUE</formula>
    </cfRule>
  </conditionalFormatting>
  <conditionalFormatting sqref="L553 L544:L551">
    <cfRule type="expression" dxfId="616" priority="460" stopIfTrue="1">
      <formula>$AX544=TRUE</formula>
    </cfRule>
  </conditionalFormatting>
  <conditionalFormatting sqref="L581 L572:L579">
    <cfRule type="expression" dxfId="615" priority="446" stopIfTrue="1">
      <formula>$AX572=TRUE</formula>
    </cfRule>
  </conditionalFormatting>
  <conditionalFormatting sqref="L609 L600:L607">
    <cfRule type="expression" dxfId="614" priority="432" stopIfTrue="1">
      <formula>$AX600=TRUE</formula>
    </cfRule>
  </conditionalFormatting>
  <conditionalFormatting sqref="L637 L628:L635">
    <cfRule type="expression" dxfId="613" priority="418" stopIfTrue="1">
      <formula>$AX628=TRUE</formula>
    </cfRule>
  </conditionalFormatting>
  <conditionalFormatting sqref="L665 L656:L663">
    <cfRule type="expression" dxfId="612" priority="404" stopIfTrue="1">
      <formula>$AX656=TRUE</formula>
    </cfRule>
  </conditionalFormatting>
  <conditionalFormatting sqref="L693 L684:L691">
    <cfRule type="expression" dxfId="611" priority="390" stopIfTrue="1">
      <formula>$AX684=TRUE</formula>
    </cfRule>
  </conditionalFormatting>
  <conditionalFormatting sqref="L721 L712:L719">
    <cfRule type="expression" dxfId="610" priority="376" stopIfTrue="1">
      <formula>$AX712=TRUE</formula>
    </cfRule>
  </conditionalFormatting>
  <conditionalFormatting sqref="L749 L740:L747">
    <cfRule type="expression" dxfId="609" priority="362" stopIfTrue="1">
      <formula>$AX740=TRUE</formula>
    </cfRule>
  </conditionalFormatting>
  <conditionalFormatting sqref="L777 L768:L775">
    <cfRule type="expression" dxfId="608" priority="348" stopIfTrue="1">
      <formula>$AX768=TRUE</formula>
    </cfRule>
  </conditionalFormatting>
  <conditionalFormatting sqref="L805 L796:L803">
    <cfRule type="expression" dxfId="607" priority="334" stopIfTrue="1">
      <formula>$AX796=TRUE</formula>
    </cfRule>
  </conditionalFormatting>
  <conditionalFormatting sqref="L833 L824:L831">
    <cfRule type="expression" dxfId="606" priority="320" stopIfTrue="1">
      <formula>$AX824=TRUE</formula>
    </cfRule>
  </conditionalFormatting>
  <conditionalFormatting sqref="L861 L852:L859">
    <cfRule type="expression" dxfId="605" priority="306" stopIfTrue="1">
      <formula>$AX852=TRUE</formula>
    </cfRule>
  </conditionalFormatting>
  <conditionalFormatting sqref="L889 L880:L887">
    <cfRule type="expression" dxfId="604" priority="292" stopIfTrue="1">
      <formula>$AX880=TRUE</formula>
    </cfRule>
  </conditionalFormatting>
  <conditionalFormatting sqref="L917 L908:L915">
    <cfRule type="expression" dxfId="603" priority="278" stopIfTrue="1">
      <formula>$AX908=TRUE</formula>
    </cfRule>
  </conditionalFormatting>
  <conditionalFormatting sqref="L945 L936:L943">
    <cfRule type="expression" dxfId="602" priority="264" stopIfTrue="1">
      <formula>$AX936=TRUE</formula>
    </cfRule>
  </conditionalFormatting>
  <conditionalFormatting sqref="L973 L964:L971">
    <cfRule type="expression" dxfId="601" priority="250" stopIfTrue="1">
      <formula>$AX964=TRUE</formula>
    </cfRule>
  </conditionalFormatting>
  <conditionalFormatting sqref="L1001 L992:L999">
    <cfRule type="expression" dxfId="600" priority="236" stopIfTrue="1">
      <formula>$AX992=TRUE</formula>
    </cfRule>
  </conditionalFormatting>
  <conditionalFormatting sqref="L1029 L1020:L1027">
    <cfRule type="expression" dxfId="599" priority="222" stopIfTrue="1">
      <formula>$AX1020=TRUE</formula>
    </cfRule>
  </conditionalFormatting>
  <conditionalFormatting sqref="L1057 L1048:L1055">
    <cfRule type="expression" dxfId="598" priority="208" stopIfTrue="1">
      <formula>$AX1048=TRUE</formula>
    </cfRule>
  </conditionalFormatting>
  <conditionalFormatting sqref="L1085 L1076:L1083">
    <cfRule type="expression" dxfId="597" priority="194" stopIfTrue="1">
      <formula>$AX1076=TRUE</formula>
    </cfRule>
  </conditionalFormatting>
  <conditionalFormatting sqref="L1113 L1104:L1111">
    <cfRule type="expression" dxfId="596" priority="180" stopIfTrue="1">
      <formula>$AX1104=TRUE</formula>
    </cfRule>
  </conditionalFormatting>
  <conditionalFormatting sqref="L1141 L1132:L1139">
    <cfRule type="expression" dxfId="595" priority="166" stopIfTrue="1">
      <formula>$AX1132=TRUE</formula>
    </cfRule>
  </conditionalFormatting>
  <conditionalFormatting sqref="L1169 L1160:L1167">
    <cfRule type="expression" dxfId="594" priority="152" stopIfTrue="1">
      <formula>$AX1160=TRUE</formula>
    </cfRule>
  </conditionalFormatting>
  <conditionalFormatting sqref="L1197 L1188:L1195">
    <cfRule type="expression" dxfId="593" priority="138" stopIfTrue="1">
      <formula>$AX1188=TRUE</formula>
    </cfRule>
  </conditionalFormatting>
  <conditionalFormatting sqref="L1225 L1216:L1223">
    <cfRule type="expression" dxfId="592" priority="124" stopIfTrue="1">
      <formula>$AX1216=TRUE</formula>
    </cfRule>
  </conditionalFormatting>
  <conditionalFormatting sqref="L1253 L1244:L1251">
    <cfRule type="expression" dxfId="591" priority="110" stopIfTrue="1">
      <formula>$AX1244=TRUE</formula>
    </cfRule>
  </conditionalFormatting>
  <conditionalFormatting sqref="L1281 L1272:L1279">
    <cfRule type="expression" dxfId="590" priority="96" stopIfTrue="1">
      <formula>$AX1272=TRUE</formula>
    </cfRule>
  </conditionalFormatting>
  <conditionalFormatting sqref="L1309 L1300:L1307">
    <cfRule type="expression" dxfId="589" priority="82" stopIfTrue="1">
      <formula>$AX1300=TRUE</formula>
    </cfRule>
  </conditionalFormatting>
  <conditionalFormatting sqref="L1337 L1328:L1335">
    <cfRule type="expression" dxfId="588" priority="68" stopIfTrue="1">
      <formula>$AX1328=TRUE</formula>
    </cfRule>
  </conditionalFormatting>
  <conditionalFormatting sqref="L1365 L1356:L1363">
    <cfRule type="expression" dxfId="587" priority="54" stopIfTrue="1">
      <formula>$AX1356=TRUE</formula>
    </cfRule>
  </conditionalFormatting>
  <conditionalFormatting sqref="L1393 L1384:L1391">
    <cfRule type="expression" dxfId="586" priority="40" stopIfTrue="1">
      <formula>$AX1384=TRUE</formula>
    </cfRule>
  </conditionalFormatting>
  <conditionalFormatting sqref="L1421 L1412:L1419">
    <cfRule type="expression" dxfId="585" priority="26" stopIfTrue="1">
      <formula>$AX1412=TRUE</formula>
    </cfRule>
  </conditionalFormatting>
  <conditionalFormatting sqref="L1449 L1440:L1447">
    <cfRule type="expression" dxfId="584" priority="12" stopIfTrue="1">
      <formula>$AX1440=TRUE</formula>
    </cfRule>
  </conditionalFormatting>
  <conditionalFormatting sqref="N83">
    <cfRule type="expression" dxfId="583" priority="3597" stopIfTrue="1">
      <formula>$CQ79=TRUE</formula>
    </cfRule>
  </conditionalFormatting>
  <conditionalFormatting sqref="N111">
    <cfRule type="expression" dxfId="582" priority="687" stopIfTrue="1">
      <formula>$CQ107=TRUE</formula>
    </cfRule>
  </conditionalFormatting>
  <conditionalFormatting sqref="N139">
    <cfRule type="expression" dxfId="581" priority="673" stopIfTrue="1">
      <formula>$CQ135=TRUE</formula>
    </cfRule>
  </conditionalFormatting>
  <conditionalFormatting sqref="N167">
    <cfRule type="expression" dxfId="580" priority="659" stopIfTrue="1">
      <formula>$CQ163=TRUE</formula>
    </cfRule>
  </conditionalFormatting>
  <conditionalFormatting sqref="N195">
    <cfRule type="expression" dxfId="579" priority="645" stopIfTrue="1">
      <formula>$CQ191=TRUE</formula>
    </cfRule>
  </conditionalFormatting>
  <conditionalFormatting sqref="N223">
    <cfRule type="expression" dxfId="578" priority="631" stopIfTrue="1">
      <formula>$CQ219=TRUE</formula>
    </cfRule>
  </conditionalFormatting>
  <conditionalFormatting sqref="N251">
    <cfRule type="expression" dxfId="577" priority="617" stopIfTrue="1">
      <formula>$CQ247=TRUE</formula>
    </cfRule>
  </conditionalFormatting>
  <conditionalFormatting sqref="N279">
    <cfRule type="expression" dxfId="576" priority="603" stopIfTrue="1">
      <formula>$CQ275=TRUE</formula>
    </cfRule>
  </conditionalFormatting>
  <conditionalFormatting sqref="N307">
    <cfRule type="expression" dxfId="575" priority="589" stopIfTrue="1">
      <formula>$CQ303=TRUE</formula>
    </cfRule>
  </conditionalFormatting>
  <conditionalFormatting sqref="N335">
    <cfRule type="expression" dxfId="574" priority="575" stopIfTrue="1">
      <formula>$CQ331=TRUE</formula>
    </cfRule>
  </conditionalFormatting>
  <conditionalFormatting sqref="N363">
    <cfRule type="expression" dxfId="573" priority="561" stopIfTrue="1">
      <formula>$CQ359=TRUE</formula>
    </cfRule>
  </conditionalFormatting>
  <conditionalFormatting sqref="N391">
    <cfRule type="expression" dxfId="572" priority="547" stopIfTrue="1">
      <formula>$CQ387=TRUE</formula>
    </cfRule>
  </conditionalFormatting>
  <conditionalFormatting sqref="N419">
    <cfRule type="expression" dxfId="571" priority="533" stopIfTrue="1">
      <formula>$CQ415=TRUE</formula>
    </cfRule>
  </conditionalFormatting>
  <conditionalFormatting sqref="N447">
    <cfRule type="expression" dxfId="570" priority="519" stopIfTrue="1">
      <formula>$CQ443=TRUE</formula>
    </cfRule>
  </conditionalFormatting>
  <conditionalFormatting sqref="N475">
    <cfRule type="expression" dxfId="569" priority="505" stopIfTrue="1">
      <formula>$CQ471=TRUE</formula>
    </cfRule>
  </conditionalFormatting>
  <conditionalFormatting sqref="N503">
    <cfRule type="expression" dxfId="568" priority="491" stopIfTrue="1">
      <formula>$CQ499=TRUE</formula>
    </cfRule>
  </conditionalFormatting>
  <conditionalFormatting sqref="N531">
    <cfRule type="expression" dxfId="567" priority="477" stopIfTrue="1">
      <formula>$CQ527=TRUE</formula>
    </cfRule>
  </conditionalFormatting>
  <conditionalFormatting sqref="N559">
    <cfRule type="expression" dxfId="566" priority="463" stopIfTrue="1">
      <formula>$CQ555=TRUE</formula>
    </cfRule>
  </conditionalFormatting>
  <conditionalFormatting sqref="N587">
    <cfRule type="expression" dxfId="565" priority="449" stopIfTrue="1">
      <formula>$CQ583=TRUE</formula>
    </cfRule>
  </conditionalFormatting>
  <conditionalFormatting sqref="N615">
    <cfRule type="expression" dxfId="564" priority="435" stopIfTrue="1">
      <formula>$CQ611=TRUE</formula>
    </cfRule>
  </conditionalFormatting>
  <conditionalFormatting sqref="N643">
    <cfRule type="expression" dxfId="563" priority="421" stopIfTrue="1">
      <formula>$CQ639=TRUE</formula>
    </cfRule>
  </conditionalFormatting>
  <conditionalFormatting sqref="N671">
    <cfRule type="expression" dxfId="562" priority="407" stopIfTrue="1">
      <formula>$CQ667=TRUE</formula>
    </cfRule>
  </conditionalFormatting>
  <conditionalFormatting sqref="N699">
    <cfRule type="expression" dxfId="561" priority="393" stopIfTrue="1">
      <formula>$CQ695=TRUE</formula>
    </cfRule>
  </conditionalFormatting>
  <conditionalFormatting sqref="N727">
    <cfRule type="expression" dxfId="560" priority="379" stopIfTrue="1">
      <formula>$CQ723=TRUE</formula>
    </cfRule>
  </conditionalFormatting>
  <conditionalFormatting sqref="N755">
    <cfRule type="expression" dxfId="559" priority="365" stopIfTrue="1">
      <formula>$CQ751=TRUE</formula>
    </cfRule>
  </conditionalFormatting>
  <conditionalFormatting sqref="N783">
    <cfRule type="expression" dxfId="558" priority="351" stopIfTrue="1">
      <formula>$CQ779=TRUE</formula>
    </cfRule>
  </conditionalFormatting>
  <conditionalFormatting sqref="N811">
    <cfRule type="expression" dxfId="557" priority="337" stopIfTrue="1">
      <formula>$CQ807=TRUE</formula>
    </cfRule>
  </conditionalFormatting>
  <conditionalFormatting sqref="N839">
    <cfRule type="expression" dxfId="556" priority="323" stopIfTrue="1">
      <formula>$CQ835=TRUE</formula>
    </cfRule>
  </conditionalFormatting>
  <conditionalFormatting sqref="N867">
    <cfRule type="expression" dxfId="555" priority="309" stopIfTrue="1">
      <formula>$CQ863=TRUE</formula>
    </cfRule>
  </conditionalFormatting>
  <conditionalFormatting sqref="N895">
    <cfRule type="expression" dxfId="554" priority="295" stopIfTrue="1">
      <formula>$CQ891=TRUE</formula>
    </cfRule>
  </conditionalFormatting>
  <conditionalFormatting sqref="N923">
    <cfRule type="expression" dxfId="553" priority="281" stopIfTrue="1">
      <formula>$CQ919=TRUE</formula>
    </cfRule>
  </conditionalFormatting>
  <conditionalFormatting sqref="N951">
    <cfRule type="expression" dxfId="552" priority="267" stopIfTrue="1">
      <formula>$CQ947=TRUE</formula>
    </cfRule>
  </conditionalFormatting>
  <conditionalFormatting sqref="N979">
    <cfRule type="expression" dxfId="551" priority="253" stopIfTrue="1">
      <formula>$CQ975=TRUE</formula>
    </cfRule>
  </conditionalFormatting>
  <conditionalFormatting sqref="N1007">
    <cfRule type="expression" dxfId="550" priority="239" stopIfTrue="1">
      <formula>$CQ1003=TRUE</formula>
    </cfRule>
  </conditionalFormatting>
  <conditionalFormatting sqref="N1035">
    <cfRule type="expression" dxfId="549" priority="225" stopIfTrue="1">
      <formula>$CQ1031=TRUE</formula>
    </cfRule>
  </conditionalFormatting>
  <conditionalFormatting sqref="N1063">
    <cfRule type="expression" dxfId="548" priority="211" stopIfTrue="1">
      <formula>$CQ1059=TRUE</formula>
    </cfRule>
  </conditionalFormatting>
  <conditionalFormatting sqref="N1091">
    <cfRule type="expression" dxfId="547" priority="197" stopIfTrue="1">
      <formula>$CQ1087=TRUE</formula>
    </cfRule>
  </conditionalFormatting>
  <conditionalFormatting sqref="N1119">
    <cfRule type="expression" dxfId="546" priority="183" stopIfTrue="1">
      <formula>$CQ1115=TRUE</formula>
    </cfRule>
  </conditionalFormatting>
  <conditionalFormatting sqref="N1147">
    <cfRule type="expression" dxfId="545" priority="169" stopIfTrue="1">
      <formula>$CQ1143=TRUE</formula>
    </cfRule>
  </conditionalFormatting>
  <conditionalFormatting sqref="N1175">
    <cfRule type="expression" dxfId="544" priority="155" stopIfTrue="1">
      <formula>$CQ1171=TRUE</formula>
    </cfRule>
  </conditionalFormatting>
  <conditionalFormatting sqref="N1203">
    <cfRule type="expression" dxfId="543" priority="141" stopIfTrue="1">
      <formula>$CQ1199=TRUE</formula>
    </cfRule>
  </conditionalFormatting>
  <conditionalFormatting sqref="N1231">
    <cfRule type="expression" dxfId="542" priority="127" stopIfTrue="1">
      <formula>$CQ1227=TRUE</formula>
    </cfRule>
  </conditionalFormatting>
  <conditionalFormatting sqref="N1259">
    <cfRule type="expression" dxfId="541" priority="113" stopIfTrue="1">
      <formula>$CQ1255=TRUE</formula>
    </cfRule>
  </conditionalFormatting>
  <conditionalFormatting sqref="N1287">
    <cfRule type="expression" dxfId="540" priority="99" stopIfTrue="1">
      <formula>$CQ1283=TRUE</formula>
    </cfRule>
  </conditionalFormatting>
  <conditionalFormatting sqref="N1315">
    <cfRule type="expression" dxfId="539" priority="85" stopIfTrue="1">
      <formula>$CQ1311=TRUE</formula>
    </cfRule>
  </conditionalFormatting>
  <conditionalFormatting sqref="N1343">
    <cfRule type="expression" dxfId="538" priority="71" stopIfTrue="1">
      <formula>$CQ1339=TRUE</formula>
    </cfRule>
  </conditionalFormatting>
  <conditionalFormatting sqref="N1371">
    <cfRule type="expression" dxfId="537" priority="57" stopIfTrue="1">
      <formula>$CQ1367=TRUE</formula>
    </cfRule>
  </conditionalFormatting>
  <conditionalFormatting sqref="N1399">
    <cfRule type="expression" dxfId="536" priority="43" stopIfTrue="1">
      <formula>$CQ1395=TRUE</formula>
    </cfRule>
  </conditionalFormatting>
  <conditionalFormatting sqref="N1427">
    <cfRule type="expression" dxfId="535" priority="29" stopIfTrue="1">
      <formula>$CQ1423=TRUE</formula>
    </cfRule>
  </conditionalFormatting>
  <conditionalFormatting sqref="N1455">
    <cfRule type="expression" dxfId="534" priority="15" stopIfTrue="1">
      <formula>$CQ1451=TRUE</formula>
    </cfRule>
  </conditionalFormatting>
  <dataValidations count="14">
    <dataValidation type="list" allowBlank="1" showInputMessage="1" showErrorMessage="1" sqref="F68 F96 F124 F152 F180 F208 F236 F264 F292 F320 F348 F376 F404 F432 F460 F488 F516 F544 F572 F600 F628 F656 F684 F712 F740 F768 F796 F824 F852 F880 F908 F936 F964 F992 F1020 F1048 F1076 F1104 F1132 F1160 F1188 F1216 F1244 F1272 F1300 F1328 F1356 F1384 F1412 F1440" xr:uid="{00000000-0002-0000-0400-000000000000}">
      <formula1>NCVTiers</formula1>
    </dataValidation>
    <dataValidation type="list" allowBlank="1" showInputMessage="1" showErrorMessage="1" sqref="F69 F97 F125 F153 F181 F209 F237 F265 F293 F321 F349 F377 F405 F433 F461 F489 F517 F545 F573 F601 F629 F657 F685 F713 F741 F769 F797 F825 F853 F881 F909 F937 F965 F993 F1021 F1049 F1077 F1105 F1133 F1161 F1189 F1217 F1245 F1273 F1301 F1329 F1357 F1385 F1413 F1441" xr:uid="{00000000-0002-0000-0400-000001000000}">
      <formula1>EFTiers</formula1>
    </dataValidation>
    <dataValidation type="list" allowBlank="1" showInputMessage="1" showErrorMessage="1" sqref="F71 F99 F127 F155 F183 F211 F239 F267 F295 F323 F351 F379 F407 F435 F463 F491 F519 F547 F575 F603 F631 F659 F687 F715 F743 F771 F799 F827 F855 F883 F911 F939 F967 F995 F1023 F1051 F1079 F1107 F1135 F1163 F1191 F1219 F1247 F1275 F1303 F1331 F1359 F1387 F1415 F1443" xr:uid="{00000000-0002-0000-0400-000002000000}">
      <formula1>BiomassTiers</formula1>
    </dataValidation>
    <dataValidation type="list" allowBlank="1" showInputMessage="1" showErrorMessage="1" sqref="F66 F94 F122 F150 F178 F206 F234 F262 F290 F318 F346 F374 F402 F430 F458 F486 F514 F542 F570 F598 F626 F654 F682 F710 F738 F766 F794 F822 F850 F878 F906 F934 F962 F990 F1018 F1046 F1074 F1102 F1130 F1158 F1186 F1214 F1242 F1270 F1298 F1326 F1354 F1382 F1410 F1438" xr:uid="{00000000-0002-0000-0400-000003000000}">
      <formula1>ActivityDataTiers</formula1>
    </dataValidation>
    <dataValidation type="list" allowBlank="1" showInputMessage="1" showErrorMessage="1" sqref="J68 J96 J124 J152 J180 J208 J236 J264 J292 J320 J348 J376 J404 J432 J460 J488 J516 J544 J572 J600 J628 J656 J684 J712 J740 J768 J796 J824 J852 J880 J908 J936 J964 J992 J1020 J1048 J1076 J1104 J1132 J1160 J1188 J1216 J1244 J1272 J1300 J1328 J1356 J1384 J1412 J1440" xr:uid="{00000000-0002-0000-0400-000004000000}">
      <formula1>UCFUnits</formula1>
    </dataValidation>
    <dataValidation type="list" allowBlank="1" showInputMessage="1" showErrorMessage="1" sqref="J69 J97 J125 J153 J181 J209 J237 J265 J293 J321 J349 J377 J405 J433 J461 J489 J517 J545 J573 J601 J629 J657 J685 J713 J741 J769 J797 J825 J853 J881 J909 J937 J965 J993 J1021 J1049 J1077 J1105 J1133 J1161 J1189 J1217 J1245 J1273 J1301 J1329 J1357 J1385 J1413 J1441" xr:uid="{00000000-0002-0000-0400-000005000000}">
      <formula1>EFUnits</formula1>
    </dataValidation>
    <dataValidation type="list" allowBlank="1" showInputMessage="1" showErrorMessage="1" sqref="F77 F105 F133 F161 F189 F217 F245 F273 F301 F329 F357 F385 F413 F441 F469 F497 F525 F553 F581 F609 F637 F665 F693 F721 F749 F777 F805 F833 F861 F889 F917 F945 F973 F1001 F1029 F1057 F1085 F1113 F1141 F1169 F1197 F1225 F1253 F1281 F1309 F1337 F1365 F1393 F1421 F1449" xr:uid="{00000000-0002-0000-0400-000006000000}">
      <formula1>ScopeTiers</formula1>
    </dataValidation>
    <dataValidation type="list" allowBlank="1" showInputMessage="1" showErrorMessage="1" sqref="J66 J94 J122 J150 J178 J206 J234 J262 J290 J318 J346 J374 J402 J430 J458 J486 J514 J542 J570 J598 J626 J654 J682 J710 J738 J766 J794 J822 J850 J878 J906 J934 J962 J990 J1018 J1046 J1074 J1102 J1130 J1158 J1186 J1214 J1242 J1270 J1298 J1326 J1354 J1382 J1410 J1438" xr:uid="{00000000-0002-0000-0400-000007000000}">
      <formula1>RFAUnits</formula1>
    </dataValidation>
    <dataValidation type="decimal" allowBlank="1" showInputMessage="1" showErrorMessage="1" sqref="L77 L70:L75 L105 L98:L103 L133 L126:L131 L161 L154:L159 L189 L182:L187 L217 L210:L215 L245 L238:L243 L273 L266:L271 L301 L294:L299 L329 L322:L327 L357 L350:L355 L385 L378:L383 L413 L406:L411 L441 L434:L439 L469 L462:L467 L497 L490:L495 L525 L518:L523 L553 L546:L551 L581 L574:L579 L609 L602:L607 L637 L630:L635 L665 L658:L663 L693 L686:L691 L721 L714:L719 L749 L742:L747 L777 L770:L775 L805 L798:L803 L833 L826:L831 L861 L854:L859 L889 L882:L887 L917 L910:L915 L945 L938:L943 L973 L966:L971 L1001 L994:L999 L1029 L1022:L1027 L1057 L1050:L1055 L1085 L1078:L1083 L1113 L1106:L1111 L1141 L1134:L1139 L1169 L1162:L1167 L1197 L1190:L1195 L1225 L1218:L1223 L1253 L1246:L1251 L1281 L1274:L1279 L1309 L1302:L1307 L1337 L1330:L1335 L1365 L1358:L1363 L1393 L1386:L1391 L1421 L1414:L1419 L1449 L1442:L1447" xr:uid="{00000000-0002-0000-0400-000008000000}">
      <formula1>0</formula1>
      <formula2>1</formula2>
    </dataValidation>
    <dataValidation type="list" allowBlank="1" showInputMessage="1" showErrorMessage="1" sqref="E60:J60 E1404:J1404 E1432:J1432 E1180:J1180 E1124:J1124 E1152:J1152 E1208:J1208 E1068:J1068 E1040:J1040 E1096:J1096 E1292:J1292 E1236:J1236 E1264:J1264 E1320:J1320 E564:J564 E508:J508 E536:J536 E592:J592 E452:J452 E424:J424 E480:J480 E676:J676 E620:J620 E648:J648 E704:J704 E256:J256 E200:J200 E228:J228 E284:J284 E144:J144 E88:J88 E116:J116 E172:J172 E368:J368 E312:J312 E340:J340 E396:J396 E872:J872 E816:J816 E844:J844 E900:J900 E760:J760 E732:J732 E788:J788 E984:J984 E928:J928 E956:J956 E1012:J1012 E1348:J1348 E1376:J1376" xr:uid="{00000000-0002-0000-0400-000009000000}">
      <formula1>INDIRECT($M$1465)</formula1>
    </dataValidation>
    <dataValidation type="list" allowBlank="1" showInputMessage="1" showErrorMessage="1" sqref="G77 G105 G133 G161 G189 G217 G245 G273 G301 G329 G357 G385 G413 G441 G469 G497 G525 G553 G581 G609 G637 G665 G693 G721 G749 G777 G805 G833 G861 G889 G917 G945 G973 G1001 G1029 G1057 G1085 G1113 G1141 G1169 G1197 G1225 G1253 G1281 G1309 G1337 G1365 G1393 G1421 G1449" xr:uid="{00000000-0002-0000-0400-00000A000000}">
      <formula1>INDIRECT(U77)</formula1>
    </dataValidation>
    <dataValidation type="list" allowBlank="1" showInputMessage="1" showErrorMessage="1" sqref="I81:L81 G81 I109:L109 G109 I137:L137 G137 I165:L165 G165 I193:L193 G193 I221:L221 G221 I249:L249 G249 I277:L277 G277 I305:L305 G305 I333:L333 G333 I361:L361 G361 I389:L389 G389 I417:L417 G417 I445:L445 G445 I473:L473 G473 I501:L501 G501 I529:L529 G529 I557:L557 G557 I585:L585 G585 I613:L613 G613 I641:L641 G641 I669:L669 G669 I697:L697 G697 I725:L725 G725 I753:L753 G753 I781:L781 G781 I809:L809 G809 I837:L837 G837 I865:L865 G865 I893:L893 G893 I921:L921 G921 I949:L949 G949 I977:L977 G977 I1005:L1005 G1005 I1033:L1033 G1033 I1061:L1061 G1061 I1089:L1089 G1089 I1117:L1117 G1117 I1145:L1145 G1145 I1173:L1173 G1173 I1201:L1201 G1201 I1229:L1229 G1229 I1257:L1257 G1257 I1285:L1285 G1285 I1313:L1313 G1313 I1341:L1341 G1341 I1369:L1369 G1369 I1397:L1397 G1397 I1425:L1425 G1425 I1453:L1453 G1453" xr:uid="{00000000-0002-0000-0400-00000B000000}">
      <formula1>EUconst_ListCRF</formula1>
    </dataValidation>
    <dataValidation type="list" allowBlank="1" showInputMessage="1" showErrorMessage="1" sqref="F70 F98 F126 F154 F182 F210 F238 F266 F294 F322 F350 F378 F406 F434 F462 F490 F518 F546 F574 F602 F630 F658 F686 F714 F742 F770 F798 F826 F854 F882 F910 F938 F966 F994 F1022 F1050 F1078 F1106 F1134 F1162 F1190 F1218 F1246 F1274 F1302 F1330 F1358 F1386 F1414 F1442" xr:uid="{2BAF47E7-8490-44FC-8ACE-237110F769CF}">
      <formula1>ZeroRatingTiers</formula1>
    </dataValidation>
    <dataValidation type="list" allowBlank="1" showInputMessage="1" showErrorMessage="1" sqref="F72:F75 F100:F103 F128:F131 F156:F159 F184:F187 F212:F215 F240:F243 F268:F271 F296:F299 F324:F327 F352:F355 F380:F383 F408:F411 F436:F439 F464:F467 F492:F495 F520:F523 F548:F551 F576:F579 F604:F607 F632:F635 F660:F663 F688:F691 F716:F719 F744:F747 F772:F775 F800:F803 F828:F831 F856:F859 F884:F887 F912:F915 F940:F943 F968:F971 F996:F999 F1024:F1027 F1052:F1055 F1080:F1083 F1108:F1111 F1136:F1139 F1164:F1167 F1192:F1195 F1220:F1223 F1248:F1251 F1276:F1279 F1304:F1307 F1332:F1335 F1360:F1363 F1388:F1391 F1416:F1419 F1444:F1447" xr:uid="{3279F985-4EBC-4BB3-A28B-37D67848AC9B}">
      <formula1>RFNBOTiers</formula1>
    </dataValidation>
  </dataValidations>
  <hyperlinks>
    <hyperlink ref="G2:H2" location="JUMP_a_Content" display="Table of contents" xr:uid="{00000000-0004-0000-0400-000000000000}"/>
    <hyperlink ref="F24" r:id="rId1" display="https://climate.ec.europa.eu/eu-action/eu-emissions-trading-system-eu-ets/monitoring-reporting-and-verification-eu-ets-emissions_en" xr:uid="{00000000-0004-0000-0400-000001000000}"/>
    <hyperlink ref="F22" r:id="rId2" location="guidance-and-support" xr:uid="{00000000-0004-0000-0400-000002000000}"/>
  </hyperlinks>
  <pageMargins left="0.78740157480314965" right="0.78740157480314965" top="0.78740157480314965" bottom="0.78740157480314965" header="0.39370078740157483" footer="0.39370078740157483"/>
  <pageSetup paperSize="9" scale="62" fitToHeight="20" orientation="portrait" r:id="rId3"/>
  <headerFooter alignWithMargins="0">
    <oddHeader>&amp;L&amp;F, &amp;A&amp;R&amp;D, &amp;T</oddHeader>
    <oddFooter>&amp;C&amp;P / &amp;N</oddFooter>
  </headerFooter>
  <legacy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13">
    <tabColor indexed="13"/>
    <pageSetUpPr fitToPage="1"/>
  </sheetPr>
  <dimension ref="A1:X1051"/>
  <sheetViews>
    <sheetView topLeftCell="B1" zoomScaleNormal="100" workbookViewId="0">
      <pane ySplit="4" topLeftCell="A5" activePane="bottomLeft" state="frozen"/>
      <selection activeCell="B2" sqref="B2"/>
      <selection pane="bottomLeft" activeCell="B2" sqref="B2:D4"/>
    </sheetView>
  </sheetViews>
  <sheetFormatPr defaultColWidth="9.1796875" defaultRowHeight="12.5" x14ac:dyDescent="0.25"/>
  <cols>
    <col min="1" max="1" width="2.7265625" style="113" hidden="1" customWidth="1"/>
    <col min="2" max="2" width="2.7265625" style="115" customWidth="1"/>
    <col min="3" max="4" width="4.7265625" style="115" customWidth="1"/>
    <col min="5" max="5" width="20.7265625" style="170" customWidth="1"/>
    <col min="6" max="14" width="12.7265625" style="115" customWidth="1"/>
    <col min="15" max="15" width="2.7265625" style="212" customWidth="1"/>
    <col min="16" max="16" width="11.453125" style="143" customWidth="1"/>
    <col min="17" max="24" width="11.453125" style="113" hidden="1" customWidth="1"/>
    <col min="25" max="16384" width="9.1796875" style="115"/>
  </cols>
  <sheetData>
    <row r="1" spans="1:24" ht="13" hidden="1" thickBot="1" x14ac:dyDescent="0.3">
      <c r="A1" s="110" t="s">
        <v>0</v>
      </c>
      <c r="B1" s="138"/>
      <c r="C1" s="138"/>
      <c r="D1" s="141"/>
      <c r="E1" s="138"/>
      <c r="F1" s="138"/>
      <c r="G1" s="138"/>
      <c r="H1" s="138"/>
      <c r="I1" s="138"/>
      <c r="J1" s="138"/>
      <c r="K1" s="138"/>
      <c r="L1" s="138"/>
      <c r="M1" s="138"/>
      <c r="N1" s="138"/>
      <c r="O1" s="142"/>
      <c r="P1" s="115"/>
      <c r="Q1" s="110" t="s">
        <v>0</v>
      </c>
      <c r="R1" s="110" t="s">
        <v>0</v>
      </c>
      <c r="S1" s="110" t="s">
        <v>0</v>
      </c>
      <c r="T1" s="110" t="s">
        <v>0</v>
      </c>
      <c r="U1" s="110" t="s">
        <v>0</v>
      </c>
      <c r="V1" s="110" t="s">
        <v>0</v>
      </c>
      <c r="W1" s="110" t="s">
        <v>0</v>
      </c>
      <c r="X1" s="110" t="s">
        <v>0</v>
      </c>
    </row>
    <row r="2" spans="1:24" ht="13.5" customHeight="1" thickBot="1" x14ac:dyDescent="0.35">
      <c r="A2" s="110"/>
      <c r="B2" s="1003" t="str">
        <f>Translations!$B$403</f>
        <v>D. ETS1 amounts</v>
      </c>
      <c r="C2" s="1004"/>
      <c r="D2" s="1005"/>
      <c r="E2" s="1019" t="str">
        <f>Translations!$B$13</f>
        <v>Navigation area:</v>
      </c>
      <c r="F2" s="1020"/>
      <c r="G2" s="1021" t="str">
        <f>Translations!$B$14</f>
        <v>Table of contents</v>
      </c>
      <c r="H2" s="1022"/>
      <c r="I2" s="1021" t="str">
        <f ca="1">HYPERLINK("#"&amp;INDEX(a_Contents!$R$4:$R$49,MATCH(INDEX(a_Contents!$T$4:$T$49,MATCH($T$2,a_Contents!$S$4:$S$49,0))-1,a_Contents!$T$4:$T$49,0)),EUconst_PreviousSheet)</f>
        <v>Previous sheet</v>
      </c>
      <c r="J2" s="1022"/>
      <c r="K2" s="1021" t="str">
        <f ca="1">HYPERLINK("#"&amp;INDEX(a_Contents!$R$4:$R$49,MATCH(INDEX(a_Contents!$T$4:$T$49,MATCH($T$2,a_Contents!$S$4:$S$49,0))+1,a_Contents!$T$4:$T$49,0)),EUconst_NextSheet)</f>
        <v>Next sheet</v>
      </c>
      <c r="L2" s="1022"/>
      <c r="M2" s="1014" t="str">
        <f ca="1">HYPERLINK("#"&amp;a_Contents!$R$46,INDIRECT(a_Contents!$R$46))</f>
        <v>I Accounting sheet</v>
      </c>
      <c r="N2" s="1015"/>
      <c r="O2" s="142"/>
      <c r="P2" s="115"/>
      <c r="Q2" s="61" t="s">
        <v>1</v>
      </c>
      <c r="R2" s="66" t="str">
        <f>ADDRESS(ROW($B$6),COLUMN($B$6)) &amp; ":" &amp; ADDRESS(MATCH("PRINT",$P:$P,0),COLUMN($P$6))</f>
        <v>$B$6:$P$793</v>
      </c>
      <c r="S2" s="61" t="s">
        <v>2</v>
      </c>
      <c r="T2" s="67" t="str">
        <f ca="1">IF(ISERROR(CELL("filename",U2)),"F_ManagementControl",MID(CELL("filename",U2),FIND("]",CELL("filename",U2))+1,1024))</f>
        <v>D_ETS1Amounts</v>
      </c>
    </row>
    <row r="3" spans="1:24" ht="12.75" customHeight="1" x14ac:dyDescent="0.25">
      <c r="A3" s="110"/>
      <c r="B3" s="1006"/>
      <c r="C3" s="1007"/>
      <c r="D3" s="1008"/>
      <c r="E3" s="1013"/>
      <c r="F3" s="1013"/>
      <c r="G3" s="1013" t="str">
        <f>IFERROR(HYPERLINK("#"&amp;ADDRESS(ROW($A$1)+MATCH(Q3,$A:$A,0)-1,3),INDEX($Q:$Q,MATCH(Q3,$A:$A,0))),"")</f>
        <v>ETS1 amounts</v>
      </c>
      <c r="H3" s="1013"/>
      <c r="I3" s="1013" t="str">
        <f>IFERROR(HYPERLINK("#"&amp;ADDRESS(ROW($A$1)+MATCH(S3,$A:$A,0)-1,3),INDEX($Q:$Q,MATCH(S3,$A:$A,0))),"")</f>
        <v/>
      </c>
      <c r="J3" s="1013"/>
      <c r="K3" s="1013" t="str">
        <f>IFERROR(HYPERLINK("#"&amp;ADDRESS(ROW($A$1)+MATCH(U3,$A:$A,0)-1,3),INDEX($Q:$Q,MATCH(U3,$A:$A,0))),"")</f>
        <v/>
      </c>
      <c r="L3" s="1013"/>
      <c r="M3" s="1013" t="str">
        <f>IFERROR(HYPERLINK("#"&amp;ADDRESS(ROW($A$1)+MATCH(W3,$A:$A,0)-1,3),INDEX($Q:$Q,MATCH(W3,$A:$A,0))),"")</f>
        <v/>
      </c>
      <c r="N3" s="1013"/>
      <c r="O3" s="142"/>
      <c r="P3" s="115"/>
      <c r="Q3" s="145">
        <v>1</v>
      </c>
      <c r="R3" s="146"/>
      <c r="S3" s="146">
        <v>2</v>
      </c>
      <c r="T3" s="146"/>
      <c r="U3" s="146">
        <v>3</v>
      </c>
      <c r="V3" s="146"/>
      <c r="W3" s="147">
        <v>4</v>
      </c>
    </row>
    <row r="4" spans="1:24" ht="13.5" customHeight="1" thickBot="1" x14ac:dyDescent="0.3">
      <c r="A4" s="110"/>
      <c r="B4" s="1009"/>
      <c r="C4" s="1010"/>
      <c r="D4" s="1011"/>
      <c r="E4" s="1013"/>
      <c r="F4" s="1013"/>
      <c r="G4" s="1013" t="str">
        <f>IFERROR(HYPERLINK("#"&amp;ADDRESS(ROW($A$1)+MATCH(Q4,$A:$A,0)-1,3),INDEX($Q:$Q,MATCH(Q4,$A:$A,0))),"")</f>
        <v/>
      </c>
      <c r="H4" s="1013"/>
      <c r="I4" s="1013" t="str">
        <f>IFERROR(HYPERLINK("#"&amp;ADDRESS(ROW($A$1)+MATCH(S4,$A:$A,0)-1,3),INDEX($Q:$Q,MATCH(S4,$A:$A,0))),"")</f>
        <v/>
      </c>
      <c r="J4" s="1013"/>
      <c r="K4" s="1013" t="str">
        <f>IFERROR(HYPERLINK("#"&amp;ADDRESS(ROW($A$1)+MATCH(U4,$A:$A,0)-1,3),INDEX($Q:$Q,MATCH(U4,$A:$A,0))),"")</f>
        <v/>
      </c>
      <c r="L4" s="1013"/>
      <c r="M4" s="1013" t="str">
        <f>IFERROR(HYPERLINK("#"&amp;ADDRESS(ROW($A$1)+MATCH(W4,$A:$A,0)-1,3),INDEX($Q:$Q,MATCH(W4,$A:$A,0))),"")</f>
        <v/>
      </c>
      <c r="N4" s="1013"/>
      <c r="O4" s="142"/>
      <c r="P4" s="115"/>
      <c r="Q4" s="148">
        <v>5</v>
      </c>
      <c r="R4" s="149"/>
      <c r="S4" s="149">
        <v>6</v>
      </c>
      <c r="T4" s="149"/>
      <c r="U4" s="149">
        <v>7</v>
      </c>
      <c r="V4" s="149"/>
      <c r="W4" s="150">
        <v>8</v>
      </c>
    </row>
    <row r="5" spans="1:24" ht="12.75" customHeight="1" x14ac:dyDescent="0.25">
      <c r="C5" s="214"/>
      <c r="D5" s="215"/>
      <c r="E5" s="115"/>
      <c r="F5" s="215"/>
      <c r="G5" s="215"/>
      <c r="H5" s="215"/>
      <c r="L5" s="132"/>
      <c r="M5" s="132"/>
      <c r="N5" s="132"/>
      <c r="O5" s="142"/>
      <c r="P5" s="115"/>
    </row>
    <row r="6" spans="1:24" s="294" customFormat="1" ht="25.5" customHeight="1" x14ac:dyDescent="0.25">
      <c r="A6" s="62"/>
      <c r="B6" s="68"/>
      <c r="C6" s="1212" t="str">
        <f>Translations!$B$404</f>
        <v>D. Fuel amounts supplied to ETS1 installations, aircraft operators and shipping companies</v>
      </c>
      <c r="D6" s="1212"/>
      <c r="E6" s="1212"/>
      <c r="F6" s="1212"/>
      <c r="G6" s="1212"/>
      <c r="H6" s="1212"/>
      <c r="I6" s="1212"/>
      <c r="J6" s="1212"/>
      <c r="K6" s="1212"/>
      <c r="L6" s="1212"/>
      <c r="M6" s="1212"/>
      <c r="N6" s="1212"/>
      <c r="O6" s="64"/>
      <c r="P6" s="68"/>
      <c r="Q6" s="113"/>
      <c r="R6" s="113"/>
      <c r="S6" s="113"/>
      <c r="T6" s="113"/>
      <c r="U6" s="113"/>
      <c r="V6" s="549"/>
      <c r="W6" s="549"/>
      <c r="X6" s="549"/>
    </row>
    <row r="7" spans="1:24" x14ac:dyDescent="0.25">
      <c r="B7" s="132"/>
      <c r="C7" s="132"/>
      <c r="D7" s="132"/>
      <c r="E7" s="665"/>
      <c r="F7" s="132"/>
      <c r="G7" s="132"/>
      <c r="H7" s="132"/>
      <c r="I7" s="132"/>
      <c r="J7" s="132"/>
      <c r="K7" s="132"/>
      <c r="L7" s="132"/>
      <c r="M7" s="132"/>
      <c r="N7" s="132"/>
      <c r="O7" s="142"/>
      <c r="P7" s="115"/>
    </row>
    <row r="8" spans="1:24" s="68" customFormat="1" ht="18.75" customHeight="1" x14ac:dyDescent="0.25">
      <c r="A8" s="167">
        <f>C8</f>
        <v>1</v>
      </c>
      <c r="B8" s="76"/>
      <c r="C8" s="216">
        <v>1</v>
      </c>
      <c r="D8" s="1195" t="str">
        <f>Translations!$B$405</f>
        <v>Fuel amounts supplied to ETS1 operators</v>
      </c>
      <c r="E8" s="1195"/>
      <c r="F8" s="1195"/>
      <c r="G8" s="1195"/>
      <c r="H8" s="1195"/>
      <c r="I8" s="1195"/>
      <c r="J8" s="1195"/>
      <c r="K8" s="1195"/>
      <c r="L8" s="1195"/>
      <c r="M8" s="1195"/>
      <c r="N8" s="1195"/>
      <c r="O8" s="142"/>
      <c r="P8" s="115"/>
      <c r="Q8" s="464" t="str">
        <f>Translations!$B$406</f>
        <v>ETS1 amounts</v>
      </c>
      <c r="R8" s="113"/>
      <c r="S8" s="113"/>
      <c r="T8" s="113"/>
      <c r="U8" s="113"/>
      <c r="V8" s="62"/>
      <c r="W8" s="62"/>
      <c r="X8" s="62"/>
    </row>
    <row r="9" spans="1:24" ht="12.75" customHeight="1" x14ac:dyDescent="0.25">
      <c r="B9" s="132"/>
      <c r="C9" s="132"/>
      <c r="D9" s="132"/>
      <c r="E9" s="191"/>
      <c r="F9" s="116"/>
      <c r="G9" s="116"/>
      <c r="H9" s="116"/>
      <c r="I9" s="116"/>
      <c r="J9" s="116"/>
      <c r="K9" s="116"/>
      <c r="L9" s="116"/>
      <c r="M9" s="116"/>
      <c r="N9" s="132"/>
      <c r="O9" s="142"/>
      <c r="P9" s="115"/>
    </row>
    <row r="10" spans="1:24" ht="25.5" customHeight="1" x14ac:dyDescent="0.25">
      <c r="A10" s="151"/>
      <c r="C10" s="170"/>
      <c r="D10" s="194"/>
      <c r="E10" s="1090" t="str">
        <f>Translations!$B$407</f>
        <v>Article 75v(3) and Annex Xb require you to report on released fuel amounts to each installation, aircraft operator and shipping company, which are covered by Annex I of the EU ETS Directive (i.e. to an ETS1 entity). This sheet is structured as follows:</v>
      </c>
      <c r="F10" s="1090"/>
      <c r="G10" s="1090"/>
      <c r="H10" s="1090"/>
      <c r="I10" s="1090"/>
      <c r="J10" s="1090"/>
      <c r="K10" s="1090"/>
      <c r="L10" s="1090"/>
      <c r="M10" s="1090"/>
      <c r="N10" s="1090"/>
      <c r="O10" s="142"/>
      <c r="P10" s="115"/>
      <c r="Q10" s="220"/>
      <c r="R10" s="220"/>
      <c r="S10" s="151"/>
      <c r="T10" s="151"/>
      <c r="U10" s="151"/>
      <c r="V10" s="151"/>
      <c r="W10" s="151"/>
      <c r="X10" s="151"/>
    </row>
    <row r="11" spans="1:24" ht="12.75" customHeight="1" x14ac:dyDescent="0.25">
      <c r="A11" s="151"/>
      <c r="C11" s="170"/>
      <c r="D11" s="194"/>
      <c r="E11" s="481" t="str">
        <f>Translations!$B$408</f>
        <v>Section a)</v>
      </c>
      <c r="F11" s="1090" t="str">
        <f>Translations!$B$409</f>
        <v>This section is for the identification of each relevant ETS1 entity to which fuels were supplied.</v>
      </c>
      <c r="G11" s="1090"/>
      <c r="H11" s="1090"/>
      <c r="I11" s="1090"/>
      <c r="J11" s="1090"/>
      <c r="K11" s="1090"/>
      <c r="L11" s="1090"/>
      <c r="M11" s="1090"/>
      <c r="N11" s="1090"/>
      <c r="O11" s="142"/>
      <c r="P11" s="115"/>
      <c r="Q11" s="220"/>
      <c r="R11" s="220"/>
      <c r="S11" s="151"/>
      <c r="T11" s="151"/>
      <c r="U11" s="151"/>
      <c r="V11" s="151"/>
      <c r="W11" s="151"/>
      <c r="X11" s="151"/>
    </row>
    <row r="12" spans="1:24" ht="12.75" customHeight="1" x14ac:dyDescent="0.25">
      <c r="A12" s="151"/>
      <c r="C12" s="170"/>
      <c r="D12" s="194"/>
      <c r="E12" s="481" t="str">
        <f>Translations!$B$410</f>
        <v>Section b)</v>
      </c>
      <c r="F12" s="1090" t="str">
        <f>Translations!$B$411</f>
        <v>This section is for reporting the actual fuel amounts sold to ETS1 entities and used for ETS1 activities.</v>
      </c>
      <c r="G12" s="1090"/>
      <c r="H12" s="1090"/>
      <c r="I12" s="1090"/>
      <c r="J12" s="1090"/>
      <c r="K12" s="1090"/>
      <c r="L12" s="1090"/>
      <c r="M12" s="1090"/>
      <c r="N12" s="1090"/>
      <c r="O12" s="142"/>
      <c r="P12" s="115"/>
      <c r="Q12" s="220"/>
      <c r="R12" s="220"/>
      <c r="S12" s="151"/>
      <c r="T12" s="151"/>
      <c r="U12" s="151"/>
      <c r="V12" s="151"/>
      <c r="W12" s="151"/>
      <c r="X12" s="151"/>
    </row>
    <row r="13" spans="1:24" ht="25.5" customHeight="1" x14ac:dyDescent="0.25">
      <c r="A13" s="151"/>
      <c r="C13" s="170"/>
      <c r="D13" s="194"/>
      <c r="E13" s="481" t="str">
        <f>Translations!$B$412</f>
        <v>Section c)</v>
      </c>
      <c r="F13" s="1090" t="str">
        <f>Translations!$B$413</f>
        <v>This section is for identifying any intermediate consumers of the fuel, from direct buyer down to the ETS1 entity, including their name and address, where this would not cause disproportionate administrative burden.</v>
      </c>
      <c r="G13" s="1090"/>
      <c r="H13" s="1090"/>
      <c r="I13" s="1090"/>
      <c r="J13" s="1090"/>
      <c r="K13" s="1090"/>
      <c r="L13" s="1090"/>
      <c r="M13" s="1090"/>
      <c r="N13" s="1090"/>
      <c r="O13" s="142"/>
      <c r="P13" s="115"/>
      <c r="Q13" s="220"/>
      <c r="R13" s="220"/>
      <c r="S13" s="151"/>
      <c r="T13" s="151"/>
      <c r="U13" s="151"/>
      <c r="V13" s="151"/>
      <c r="W13" s="151"/>
      <c r="X13" s="151"/>
    </row>
    <row r="14" spans="1:24" ht="12.75" customHeight="1" x14ac:dyDescent="0.25">
      <c r="A14" s="151"/>
      <c r="C14" s="170"/>
      <c r="D14" s="194"/>
      <c r="E14" s="178"/>
      <c r="F14" s="178"/>
      <c r="G14" s="178"/>
      <c r="H14" s="178"/>
      <c r="I14" s="178"/>
      <c r="J14" s="178"/>
      <c r="K14" s="178"/>
      <c r="L14" s="178"/>
      <c r="M14" s="178"/>
      <c r="N14" s="178"/>
      <c r="O14" s="142"/>
      <c r="P14" s="115"/>
      <c r="Q14" s="220"/>
      <c r="R14" s="220"/>
      <c r="S14" s="151"/>
      <c r="T14" s="151"/>
      <c r="U14" s="151"/>
      <c r="V14" s="151"/>
      <c r="W14" s="151"/>
      <c r="X14" s="151"/>
    </row>
    <row r="15" spans="1:24" ht="12.75" customHeight="1" x14ac:dyDescent="0.25">
      <c r="B15" s="132"/>
      <c r="C15" s="132"/>
      <c r="D15" s="132"/>
      <c r="E15" s="1294" t="str">
        <f>Translations!$B$355</f>
        <v>Abbreviations:</v>
      </c>
      <c r="F15" s="1294"/>
      <c r="G15" s="1294"/>
      <c r="H15" s="1294"/>
      <c r="I15" s="1294"/>
      <c r="J15" s="1294"/>
      <c r="K15" s="1294"/>
      <c r="L15" s="1294"/>
      <c r="M15" s="1294"/>
      <c r="N15" s="1294"/>
      <c r="O15" s="142"/>
      <c r="P15" s="115"/>
    </row>
    <row r="16" spans="1:24" ht="12.75" customHeight="1" x14ac:dyDescent="0.25">
      <c r="B16" s="132"/>
      <c r="C16" s="132"/>
      <c r="D16" s="132"/>
      <c r="E16" s="483" t="str">
        <f>Translations!$B$53</f>
        <v>Member State</v>
      </c>
      <c r="F16" s="1295" t="str">
        <f>Translations!$B$414</f>
        <v>This is the Member State in which the ETS1 entity is located to which fuel was supplied.</v>
      </c>
      <c r="G16" s="1295"/>
      <c r="H16" s="1295"/>
      <c r="I16" s="1295"/>
      <c r="J16" s="1295"/>
      <c r="K16" s="1295"/>
      <c r="L16" s="1295"/>
      <c r="M16" s="1295"/>
      <c r="N16" s="1295"/>
      <c r="O16" s="142"/>
      <c r="P16" s="115"/>
      <c r="Q16" s="110"/>
    </row>
    <row r="17" spans="2:18" ht="38.25" customHeight="1" x14ac:dyDescent="0.25">
      <c r="B17" s="132"/>
      <c r="C17" s="132"/>
      <c r="D17" s="132"/>
      <c r="E17" s="483" t="str">
        <f>Translations!$B$415</f>
        <v>ETS1 Unique ID</v>
      </c>
      <c r="F17" s="1295" t="str">
        <f>Translations!$B$609</f>
        <v>This is the unique EU ETS ID of the ETS1 entity the fuel was supplied to. It is usually a natural number used in the Union Registry. Together with the Member State selected, this Registry ID (unique ID) will result in the Unique ID displayed automatically in (b) below. E.g. if the installation with Registry ID 123456 is situated in Belgium, entry of "123456" here will result in "BE000000000123456" under (b).The EUTL can be accessed via the following link:</v>
      </c>
      <c r="G17" s="1295"/>
      <c r="H17" s="1295"/>
      <c r="I17" s="1295"/>
      <c r="J17" s="1295"/>
      <c r="K17" s="1295"/>
      <c r="L17" s="1295"/>
      <c r="M17" s="1295"/>
      <c r="N17" s="1295"/>
      <c r="O17" s="142"/>
      <c r="P17" s="115"/>
    </row>
    <row r="18" spans="2:18" ht="12.75" customHeight="1" x14ac:dyDescent="0.25">
      <c r="B18" s="132"/>
      <c r="C18" s="132"/>
      <c r="D18" s="132"/>
      <c r="E18" s="304"/>
      <c r="F18" s="1289" t="str">
        <f>Translations!$B$417</f>
        <v>https://ec.europa.eu/clima/ets/oha.do?languageCode=en</v>
      </c>
      <c r="G18" s="1286"/>
      <c r="H18" s="1286"/>
      <c r="I18" s="1286"/>
      <c r="J18" s="1286"/>
      <c r="K18" s="1286"/>
      <c r="L18" s="1286"/>
      <c r="M18" s="1286"/>
      <c r="N18" s="1286"/>
      <c r="O18" s="142"/>
      <c r="P18" s="115"/>
      <c r="Q18" s="24"/>
    </row>
    <row r="19" spans="2:18" ht="12.75" customHeight="1" x14ac:dyDescent="0.25">
      <c r="B19" s="132"/>
      <c r="C19" s="132"/>
      <c r="D19" s="132"/>
      <c r="E19" s="485" t="str">
        <f>Translations!$B$418</f>
        <v>Name and address</v>
      </c>
      <c r="F19" s="1288" t="str">
        <f>Translations!$B$419</f>
        <v>The name and address can also be found under the link above.</v>
      </c>
      <c r="G19" s="1288"/>
      <c r="H19" s="1288"/>
      <c r="I19" s="1288"/>
      <c r="J19" s="1288"/>
      <c r="K19" s="1288"/>
      <c r="L19" s="1288"/>
      <c r="M19" s="1288"/>
      <c r="N19" s="1288"/>
      <c r="O19" s="142"/>
      <c r="P19" s="115"/>
      <c r="Q19" s="24"/>
    </row>
    <row r="20" spans="2:18" ht="12.75" customHeight="1" x14ac:dyDescent="0.25">
      <c r="B20" s="132"/>
      <c r="C20" s="132"/>
      <c r="D20" s="132"/>
      <c r="E20" s="485" t="str">
        <f>Translations!$B$420</f>
        <v>Fuel stream</v>
      </c>
      <c r="F20" s="1288" t="str">
        <f>Translations!$B$421</f>
        <v>Those are the fuel streams reported in sheet C.</v>
      </c>
      <c r="G20" s="1288"/>
      <c r="H20" s="1288"/>
      <c r="I20" s="1288"/>
      <c r="J20" s="1288"/>
      <c r="K20" s="1288"/>
      <c r="L20" s="1288"/>
      <c r="M20" s="1288"/>
      <c r="N20" s="1288"/>
      <c r="O20" s="142"/>
      <c r="P20" s="115"/>
    </row>
    <row r="21" spans="2:18" ht="12.75" customHeight="1" x14ac:dyDescent="0.25">
      <c r="B21" s="132"/>
      <c r="C21" s="132"/>
      <c r="D21" s="132"/>
      <c r="E21" s="485" t="str">
        <f>Translations!$B$422</f>
        <v>RFA sold</v>
      </c>
      <c r="F21" s="1288" t="str">
        <f>Translations!$B$423</f>
        <v>This is the released fuel amount sold to the relevant ETS1 entity during the report period.</v>
      </c>
      <c r="G21" s="1288"/>
      <c r="H21" s="1288"/>
      <c r="I21" s="1288"/>
      <c r="J21" s="1288"/>
      <c r="K21" s="1288"/>
      <c r="L21" s="1288"/>
      <c r="M21" s="1288"/>
      <c r="N21" s="1288"/>
      <c r="O21" s="142"/>
      <c r="P21" s="115"/>
    </row>
    <row r="22" spans="2:18" ht="38.25" customHeight="1" x14ac:dyDescent="0.25">
      <c r="B22" s="132"/>
      <c r="C22" s="132"/>
      <c r="D22" s="132"/>
      <c r="E22" s="485" t="str">
        <f>Translations!$B$424</f>
        <v>RFA used</v>
      </c>
      <c r="F22" s="1288" t="str">
        <f>Translations!$B$425</f>
        <v>This is the released fuel amount used by the relevant ETS1 entity for activities covered by Annex I of the EU ETS Directive. This amount can be obtained from the ETS1 operator reporting pursuant to Annex Xa of the MRR as part of its annual emissions report. E.g. RFA used will be lower than RFA sold where amounts sold are not used (consumed) in the same year. It will be higher where amounts are used that were put on stock in the previous year.</v>
      </c>
      <c r="G22" s="1288"/>
      <c r="H22" s="1288"/>
      <c r="I22" s="1288"/>
      <c r="J22" s="1288"/>
      <c r="K22" s="1288"/>
      <c r="L22" s="1288"/>
      <c r="M22" s="1288"/>
      <c r="N22" s="1288"/>
      <c r="O22" s="142"/>
      <c r="P22" s="115"/>
    </row>
    <row r="23" spans="2:18" ht="38.25" customHeight="1" x14ac:dyDescent="0.25">
      <c r="B23" s="132"/>
      <c r="C23" s="132"/>
      <c r="D23" s="132"/>
      <c r="E23" s="485" t="str">
        <f>Translations!$B$426</f>
        <v>Available RFA</v>
      </c>
      <c r="F23" s="1288" t="str">
        <f>Translations!$B$427</f>
        <v>Based on the entries in sheet C, the available released fuel amounts are displayed automatically. Those are the amounts released for consumption of the specific fuel stream for which the scope factor is zero, calculated via RFA = (1 - scope factor) x RFA. If the amounts cumulatively entered as solde or used, respectively, exceed the available amounts, an indicator message will be prompted (for the reasons mentioned under "RFA used" above, this is not necessarily an error).</v>
      </c>
      <c r="G23" s="1288"/>
      <c r="H23" s="1288"/>
      <c r="I23" s="1288"/>
      <c r="J23" s="1288"/>
      <c r="K23" s="1288"/>
      <c r="L23" s="1288"/>
      <c r="M23" s="1288"/>
      <c r="N23" s="1288"/>
      <c r="O23" s="142"/>
      <c r="P23" s="115"/>
    </row>
    <row r="24" spans="2:18" ht="12.75" customHeight="1" x14ac:dyDescent="0.25">
      <c r="B24" s="132"/>
      <c r="C24" s="132"/>
      <c r="D24" s="132"/>
      <c r="E24" s="191"/>
      <c r="F24" s="116"/>
      <c r="G24" s="116"/>
      <c r="H24" s="116"/>
      <c r="I24" s="116"/>
      <c r="J24" s="116"/>
      <c r="K24" s="116"/>
      <c r="L24" s="116"/>
      <c r="M24" s="116"/>
      <c r="N24" s="132"/>
      <c r="O24" s="142"/>
      <c r="P24" s="115"/>
    </row>
    <row r="25" spans="2:18" ht="12.75" customHeight="1" x14ac:dyDescent="0.25">
      <c r="B25" s="132"/>
      <c r="C25" s="132"/>
      <c r="D25" s="295" t="s">
        <v>6</v>
      </c>
      <c r="E25" s="1103" t="str">
        <f>Translations!$B$428</f>
        <v>Identification of ETS1 operators fuel was supplied to</v>
      </c>
      <c r="F25" s="1103"/>
      <c r="G25" s="1103"/>
      <c r="H25" s="1103"/>
      <c r="I25" s="1103"/>
      <c r="J25" s="1103"/>
      <c r="K25" s="1103"/>
      <c r="L25" s="1103"/>
      <c r="M25" s="1103"/>
      <c r="N25" s="1103"/>
      <c r="O25" s="142"/>
      <c r="P25" s="115"/>
    </row>
    <row r="26" spans="2:18" ht="12.75" customHeight="1" x14ac:dyDescent="0.25">
      <c r="B26" s="132"/>
      <c r="C26" s="132"/>
      <c r="D26" s="132"/>
      <c r="E26" s="1197" t="str">
        <f>Translations!$B$429</f>
        <v>The first two lines show examples for how this section should be completed.</v>
      </c>
      <c r="F26" s="1198"/>
      <c r="G26" s="1198"/>
      <c r="H26" s="1198"/>
      <c r="I26" s="1198"/>
      <c r="J26" s="1198"/>
      <c r="K26" s="1198"/>
      <c r="L26" s="1198"/>
      <c r="M26" s="1198"/>
      <c r="N26" s="1198"/>
      <c r="O26" s="142"/>
      <c r="P26" s="115"/>
    </row>
    <row r="27" spans="2:18" ht="12.75" customHeight="1" x14ac:dyDescent="0.25">
      <c r="B27" s="132"/>
      <c r="D27" s="132"/>
      <c r="E27" s="487" t="str">
        <f>Translations!$B$53</f>
        <v>Member State</v>
      </c>
      <c r="F27" s="488" t="str">
        <f>Translations!$B$415</f>
        <v>ETS1 Unique ID</v>
      </c>
      <c r="G27" s="1290" t="str">
        <f>Translations!$B$430</f>
        <v>Name of the ETS1 entity</v>
      </c>
      <c r="H27" s="1290"/>
      <c r="I27" s="1290"/>
      <c r="J27" s="1299" t="str">
        <f>Translations!$B$431</f>
        <v>ETS1 entity address</v>
      </c>
      <c r="K27" s="1299"/>
      <c r="L27" s="1299"/>
      <c r="M27" s="1299"/>
      <c r="N27" s="1299"/>
      <c r="O27" s="142"/>
      <c r="P27" s="115"/>
    </row>
    <row r="28" spans="2:18" ht="12.75" customHeight="1" x14ac:dyDescent="0.25">
      <c r="B28" s="132"/>
      <c r="D28" s="490" t="str">
        <f>Translations!$B$432</f>
        <v>Ex.1</v>
      </c>
      <c r="E28" s="491" t="s">
        <v>177</v>
      </c>
      <c r="F28" s="492">
        <v>6563</v>
      </c>
      <c r="G28" s="1291" t="str">
        <f>Translations!$B$433</f>
        <v>ACME chemical plant</v>
      </c>
      <c r="H28" s="1292"/>
      <c r="I28" s="1293"/>
      <c r="J28" s="1291" t="str">
        <f>Translations!$B$434</f>
        <v>Chemical road 42, Antwerp, BE</v>
      </c>
      <c r="K28" s="1292"/>
      <c r="L28" s="1292"/>
      <c r="M28" s="1292"/>
      <c r="N28" s="1293"/>
      <c r="O28" s="142"/>
      <c r="P28" s="115"/>
    </row>
    <row r="29" spans="2:18" ht="12.75" customHeight="1" thickBot="1" x14ac:dyDescent="0.3">
      <c r="B29" s="132"/>
      <c r="D29" s="490" t="str">
        <f>Translations!$B$435</f>
        <v>Ex.2</v>
      </c>
      <c r="E29" s="494" t="s">
        <v>178</v>
      </c>
      <c r="F29" s="495">
        <v>2012</v>
      </c>
      <c r="G29" s="1303" t="str">
        <f>Translations!$B$436</f>
        <v>Superman Steel</v>
      </c>
      <c r="H29" s="1304"/>
      <c r="I29" s="1305"/>
      <c r="J29" s="1303" t="str">
        <f>Translations!$B$437</f>
        <v>Steel avenue 1, The Hague, NL</v>
      </c>
      <c r="K29" s="1304"/>
      <c r="L29" s="1304"/>
      <c r="M29" s="1304"/>
      <c r="N29" s="1305"/>
      <c r="O29" s="142"/>
      <c r="P29" s="115"/>
    </row>
    <row r="30" spans="2:18" ht="12.75" customHeight="1" x14ac:dyDescent="0.25">
      <c r="B30" s="132"/>
      <c r="C30" s="132"/>
      <c r="D30" s="496">
        <v>1</v>
      </c>
      <c r="E30" s="25"/>
      <c r="F30" s="26"/>
      <c r="G30" s="1300"/>
      <c r="H30" s="1301"/>
      <c r="I30" s="1302"/>
      <c r="J30" s="1300"/>
      <c r="K30" s="1301"/>
      <c r="L30" s="1301"/>
      <c r="M30" s="1301"/>
      <c r="N30" s="1302"/>
      <c r="O30" s="142"/>
      <c r="P30" s="115"/>
      <c r="R30" s="497" t="str">
        <f t="shared" ref="R30:R279" si="0">IF(AND(NOT(ISBLANK(E30)),ISNUMBER(F30)),CONCATENATE(INDEX(EUconst_MSlistISOcodes,MATCH(E30,EUconst_MSlist,0)),TEXT(F30,"000000000000000")),EUconst_NA)</f>
        <v>n.a.</v>
      </c>
    </row>
    <row r="31" spans="2:18" ht="12.75" customHeight="1" x14ac:dyDescent="0.25">
      <c r="B31" s="132"/>
      <c r="C31" s="132"/>
      <c r="D31" s="496">
        <v>2</v>
      </c>
      <c r="E31" s="25"/>
      <c r="F31" s="26"/>
      <c r="G31" s="1296"/>
      <c r="H31" s="1297"/>
      <c r="I31" s="1298"/>
      <c r="J31" s="1296"/>
      <c r="K31" s="1297"/>
      <c r="L31" s="1297"/>
      <c r="M31" s="1297"/>
      <c r="N31" s="1298"/>
      <c r="O31" s="142"/>
      <c r="P31" s="115"/>
      <c r="R31" s="498" t="str">
        <f t="shared" si="0"/>
        <v>n.a.</v>
      </c>
    </row>
    <row r="32" spans="2:18" ht="12.75" customHeight="1" x14ac:dyDescent="0.25">
      <c r="B32" s="132"/>
      <c r="C32" s="132"/>
      <c r="D32" s="496">
        <v>3</v>
      </c>
      <c r="E32" s="25"/>
      <c r="F32" s="26"/>
      <c r="G32" s="1296"/>
      <c r="H32" s="1297"/>
      <c r="I32" s="1298"/>
      <c r="J32" s="1296"/>
      <c r="K32" s="1297"/>
      <c r="L32" s="1297"/>
      <c r="M32" s="1297"/>
      <c r="N32" s="1298"/>
      <c r="O32" s="142"/>
      <c r="P32" s="115"/>
      <c r="R32" s="498" t="str">
        <f t="shared" si="0"/>
        <v>n.a.</v>
      </c>
    </row>
    <row r="33" spans="2:18" ht="12.75" customHeight="1" x14ac:dyDescent="0.25">
      <c r="B33" s="132"/>
      <c r="C33" s="132"/>
      <c r="D33" s="496">
        <v>4</v>
      </c>
      <c r="E33" s="25"/>
      <c r="F33" s="26"/>
      <c r="G33" s="1296"/>
      <c r="H33" s="1297"/>
      <c r="I33" s="1298"/>
      <c r="J33" s="1296"/>
      <c r="K33" s="1297"/>
      <c r="L33" s="1297"/>
      <c r="M33" s="1297"/>
      <c r="N33" s="1298"/>
      <c r="O33" s="142"/>
      <c r="P33" s="115"/>
      <c r="R33" s="498" t="str">
        <f t="shared" si="0"/>
        <v>n.a.</v>
      </c>
    </row>
    <row r="34" spans="2:18" ht="12.75" customHeight="1" x14ac:dyDescent="0.25">
      <c r="B34" s="132"/>
      <c r="C34" s="132"/>
      <c r="D34" s="496">
        <v>5</v>
      </c>
      <c r="E34" s="25"/>
      <c r="F34" s="26"/>
      <c r="G34" s="1296"/>
      <c r="H34" s="1297"/>
      <c r="I34" s="1298"/>
      <c r="J34" s="1296"/>
      <c r="K34" s="1297"/>
      <c r="L34" s="1297"/>
      <c r="M34" s="1297"/>
      <c r="N34" s="1298"/>
      <c r="O34" s="142"/>
      <c r="P34" s="115"/>
      <c r="R34" s="498" t="str">
        <f t="shared" si="0"/>
        <v>n.a.</v>
      </c>
    </row>
    <row r="35" spans="2:18" ht="12.75" customHeight="1" x14ac:dyDescent="0.25">
      <c r="B35" s="132"/>
      <c r="C35" s="132"/>
      <c r="D35" s="496">
        <v>6</v>
      </c>
      <c r="E35" s="25"/>
      <c r="F35" s="26"/>
      <c r="G35" s="1296"/>
      <c r="H35" s="1297"/>
      <c r="I35" s="1298"/>
      <c r="J35" s="1296"/>
      <c r="K35" s="1297"/>
      <c r="L35" s="1297"/>
      <c r="M35" s="1297"/>
      <c r="N35" s="1298"/>
      <c r="O35" s="142"/>
      <c r="P35" s="115"/>
      <c r="R35" s="498" t="str">
        <f t="shared" si="0"/>
        <v>n.a.</v>
      </c>
    </row>
    <row r="36" spans="2:18" ht="12.75" customHeight="1" x14ac:dyDescent="0.25">
      <c r="B36" s="132"/>
      <c r="C36" s="132"/>
      <c r="D36" s="496">
        <v>7</v>
      </c>
      <c r="E36" s="25"/>
      <c r="F36" s="26"/>
      <c r="G36" s="1296"/>
      <c r="H36" s="1297"/>
      <c r="I36" s="1298"/>
      <c r="J36" s="1296"/>
      <c r="K36" s="1297"/>
      <c r="L36" s="1297"/>
      <c r="M36" s="1297"/>
      <c r="N36" s="1298"/>
      <c r="O36" s="142"/>
      <c r="P36" s="115"/>
      <c r="R36" s="498" t="str">
        <f t="shared" si="0"/>
        <v>n.a.</v>
      </c>
    </row>
    <row r="37" spans="2:18" ht="12.75" customHeight="1" x14ac:dyDescent="0.25">
      <c r="B37" s="132"/>
      <c r="C37" s="132"/>
      <c r="D37" s="496">
        <v>8</v>
      </c>
      <c r="E37" s="25"/>
      <c r="F37" s="26"/>
      <c r="G37" s="1296"/>
      <c r="H37" s="1297"/>
      <c r="I37" s="1298"/>
      <c r="J37" s="1296"/>
      <c r="K37" s="1297"/>
      <c r="L37" s="1297"/>
      <c r="M37" s="1297"/>
      <c r="N37" s="1298"/>
      <c r="O37" s="142"/>
      <c r="P37" s="115"/>
      <c r="R37" s="498" t="str">
        <f t="shared" si="0"/>
        <v>n.a.</v>
      </c>
    </row>
    <row r="38" spans="2:18" ht="12.75" customHeight="1" x14ac:dyDescent="0.25">
      <c r="B38" s="132"/>
      <c r="C38" s="132"/>
      <c r="D38" s="496">
        <v>9</v>
      </c>
      <c r="E38" s="25"/>
      <c r="F38" s="26"/>
      <c r="G38" s="1296"/>
      <c r="H38" s="1297"/>
      <c r="I38" s="1298"/>
      <c r="J38" s="1296"/>
      <c r="K38" s="1297"/>
      <c r="L38" s="1297"/>
      <c r="M38" s="1297"/>
      <c r="N38" s="1298"/>
      <c r="O38" s="142"/>
      <c r="P38" s="115"/>
      <c r="R38" s="498" t="str">
        <f t="shared" si="0"/>
        <v>n.a.</v>
      </c>
    </row>
    <row r="39" spans="2:18" ht="12.75" customHeight="1" x14ac:dyDescent="0.25">
      <c r="B39" s="132"/>
      <c r="C39" s="132"/>
      <c r="D39" s="496">
        <v>10</v>
      </c>
      <c r="E39" s="25"/>
      <c r="F39" s="26"/>
      <c r="G39" s="1296"/>
      <c r="H39" s="1297"/>
      <c r="I39" s="1298"/>
      <c r="J39" s="1296"/>
      <c r="K39" s="1297"/>
      <c r="L39" s="1297"/>
      <c r="M39" s="1297"/>
      <c r="N39" s="1298"/>
      <c r="O39" s="142"/>
      <c r="P39" s="115"/>
      <c r="R39" s="498" t="str">
        <f t="shared" si="0"/>
        <v>n.a.</v>
      </c>
    </row>
    <row r="40" spans="2:18" ht="12.75" customHeight="1" x14ac:dyDescent="0.25">
      <c r="B40" s="132"/>
      <c r="C40" s="132"/>
      <c r="D40" s="496">
        <v>11</v>
      </c>
      <c r="E40" s="25"/>
      <c r="F40" s="26"/>
      <c r="G40" s="1296"/>
      <c r="H40" s="1297"/>
      <c r="I40" s="1298"/>
      <c r="J40" s="1296"/>
      <c r="K40" s="1297"/>
      <c r="L40" s="1297"/>
      <c r="M40" s="1297"/>
      <c r="N40" s="1298"/>
      <c r="O40" s="142"/>
      <c r="P40" s="115"/>
      <c r="R40" s="498" t="str">
        <f t="shared" si="0"/>
        <v>n.a.</v>
      </c>
    </row>
    <row r="41" spans="2:18" ht="12.75" customHeight="1" x14ac:dyDescent="0.25">
      <c r="B41" s="132"/>
      <c r="C41" s="132"/>
      <c r="D41" s="496">
        <v>12</v>
      </c>
      <c r="E41" s="25"/>
      <c r="F41" s="26"/>
      <c r="G41" s="1296"/>
      <c r="H41" s="1297"/>
      <c r="I41" s="1298"/>
      <c r="J41" s="1296"/>
      <c r="K41" s="1297"/>
      <c r="L41" s="1297"/>
      <c r="M41" s="1297"/>
      <c r="N41" s="1298"/>
      <c r="O41" s="142"/>
      <c r="P41" s="115"/>
      <c r="R41" s="498" t="str">
        <f t="shared" si="0"/>
        <v>n.a.</v>
      </c>
    </row>
    <row r="42" spans="2:18" ht="12.75" customHeight="1" x14ac:dyDescent="0.25">
      <c r="B42" s="132"/>
      <c r="C42" s="132"/>
      <c r="D42" s="496">
        <v>13</v>
      </c>
      <c r="E42" s="25"/>
      <c r="F42" s="26"/>
      <c r="G42" s="1296"/>
      <c r="H42" s="1297"/>
      <c r="I42" s="1298"/>
      <c r="J42" s="1296"/>
      <c r="K42" s="1297"/>
      <c r="L42" s="1297"/>
      <c r="M42" s="1297"/>
      <c r="N42" s="1298"/>
      <c r="O42" s="142"/>
      <c r="P42" s="115"/>
      <c r="R42" s="498" t="str">
        <f t="shared" si="0"/>
        <v>n.a.</v>
      </c>
    </row>
    <row r="43" spans="2:18" ht="12.75" customHeight="1" x14ac:dyDescent="0.25">
      <c r="B43" s="132"/>
      <c r="C43" s="132"/>
      <c r="D43" s="496">
        <v>14</v>
      </c>
      <c r="E43" s="25"/>
      <c r="F43" s="26"/>
      <c r="G43" s="1296"/>
      <c r="H43" s="1297"/>
      <c r="I43" s="1298"/>
      <c r="J43" s="1296"/>
      <c r="K43" s="1297"/>
      <c r="L43" s="1297"/>
      <c r="M43" s="1297"/>
      <c r="N43" s="1298"/>
      <c r="O43" s="142"/>
      <c r="P43" s="115"/>
      <c r="R43" s="498" t="str">
        <f t="shared" si="0"/>
        <v>n.a.</v>
      </c>
    </row>
    <row r="44" spans="2:18" ht="12.75" customHeight="1" x14ac:dyDescent="0.25">
      <c r="B44" s="132"/>
      <c r="C44" s="132"/>
      <c r="D44" s="496">
        <v>15</v>
      </c>
      <c r="E44" s="25"/>
      <c r="F44" s="26"/>
      <c r="G44" s="1296"/>
      <c r="H44" s="1297"/>
      <c r="I44" s="1298"/>
      <c r="J44" s="1296"/>
      <c r="K44" s="1297"/>
      <c r="L44" s="1297"/>
      <c r="M44" s="1297"/>
      <c r="N44" s="1298"/>
      <c r="O44" s="142"/>
      <c r="P44" s="115"/>
      <c r="R44" s="498" t="str">
        <f t="shared" si="0"/>
        <v>n.a.</v>
      </c>
    </row>
    <row r="45" spans="2:18" ht="12.75" customHeight="1" x14ac:dyDescent="0.25">
      <c r="B45" s="132"/>
      <c r="C45" s="132"/>
      <c r="D45" s="496">
        <v>16</v>
      </c>
      <c r="E45" s="25"/>
      <c r="F45" s="26"/>
      <c r="G45" s="1296"/>
      <c r="H45" s="1297"/>
      <c r="I45" s="1298"/>
      <c r="J45" s="1296"/>
      <c r="K45" s="1297"/>
      <c r="L45" s="1297"/>
      <c r="M45" s="1297"/>
      <c r="N45" s="1298"/>
      <c r="O45" s="142"/>
      <c r="P45" s="115"/>
      <c r="R45" s="498" t="str">
        <f t="shared" si="0"/>
        <v>n.a.</v>
      </c>
    </row>
    <row r="46" spans="2:18" ht="12.75" customHeight="1" x14ac:dyDescent="0.25">
      <c r="B46" s="132"/>
      <c r="C46" s="132"/>
      <c r="D46" s="496">
        <v>17</v>
      </c>
      <c r="E46" s="25"/>
      <c r="F46" s="26"/>
      <c r="G46" s="1296"/>
      <c r="H46" s="1297"/>
      <c r="I46" s="1298"/>
      <c r="J46" s="1296"/>
      <c r="K46" s="1297"/>
      <c r="L46" s="1297"/>
      <c r="M46" s="1297"/>
      <c r="N46" s="1298"/>
      <c r="O46" s="142"/>
      <c r="P46" s="115"/>
      <c r="R46" s="498" t="str">
        <f t="shared" si="0"/>
        <v>n.a.</v>
      </c>
    </row>
    <row r="47" spans="2:18" ht="12.75" customHeight="1" x14ac:dyDescent="0.25">
      <c r="B47" s="132"/>
      <c r="C47" s="132"/>
      <c r="D47" s="496">
        <v>18</v>
      </c>
      <c r="E47" s="25"/>
      <c r="F47" s="26"/>
      <c r="G47" s="1296"/>
      <c r="H47" s="1297"/>
      <c r="I47" s="1298"/>
      <c r="J47" s="1296"/>
      <c r="K47" s="1297"/>
      <c r="L47" s="1297"/>
      <c r="M47" s="1297"/>
      <c r="N47" s="1298"/>
      <c r="O47" s="142"/>
      <c r="P47" s="115"/>
      <c r="R47" s="498" t="str">
        <f t="shared" si="0"/>
        <v>n.a.</v>
      </c>
    </row>
    <row r="48" spans="2:18" ht="12.75" customHeight="1" x14ac:dyDescent="0.25">
      <c r="B48" s="132"/>
      <c r="C48" s="132"/>
      <c r="D48" s="496">
        <v>19</v>
      </c>
      <c r="E48" s="25"/>
      <c r="F48" s="26"/>
      <c r="G48" s="1296"/>
      <c r="H48" s="1297"/>
      <c r="I48" s="1298"/>
      <c r="J48" s="1296"/>
      <c r="K48" s="1297"/>
      <c r="L48" s="1297"/>
      <c r="M48" s="1297"/>
      <c r="N48" s="1298"/>
      <c r="O48" s="142"/>
      <c r="P48" s="115"/>
      <c r="R48" s="498" t="str">
        <f t="shared" si="0"/>
        <v>n.a.</v>
      </c>
    </row>
    <row r="49" spans="1:18" ht="12.75" customHeight="1" x14ac:dyDescent="0.25">
      <c r="B49" s="132"/>
      <c r="C49" s="132"/>
      <c r="D49" s="496">
        <v>20</v>
      </c>
      <c r="E49" s="25"/>
      <c r="F49" s="26"/>
      <c r="G49" s="1296"/>
      <c r="H49" s="1297"/>
      <c r="I49" s="1298"/>
      <c r="J49" s="1296"/>
      <c r="K49" s="1297"/>
      <c r="L49" s="1297"/>
      <c r="M49" s="1297"/>
      <c r="N49" s="1298"/>
      <c r="O49" s="142"/>
      <c r="P49" s="115"/>
      <c r="R49" s="499" t="str">
        <f t="shared" si="0"/>
        <v>n.a.</v>
      </c>
    </row>
    <row r="50" spans="1:18" ht="12.75" hidden="1" customHeight="1" x14ac:dyDescent="0.25">
      <c r="A50" s="113" t="s">
        <v>0</v>
      </c>
      <c r="B50" s="132"/>
      <c r="C50" s="132"/>
      <c r="D50" s="496">
        <v>21</v>
      </c>
      <c r="E50" s="25"/>
      <c r="F50" s="26"/>
      <c r="G50" s="1296"/>
      <c r="H50" s="1297"/>
      <c r="I50" s="1298"/>
      <c r="J50" s="1296"/>
      <c r="K50" s="1297"/>
      <c r="L50" s="1297"/>
      <c r="M50" s="1297"/>
      <c r="N50" s="1298"/>
      <c r="O50" s="142"/>
      <c r="P50" s="115"/>
      <c r="R50" s="499" t="str">
        <f t="shared" si="0"/>
        <v>n.a.</v>
      </c>
    </row>
    <row r="51" spans="1:18" ht="12.75" hidden="1" customHeight="1" x14ac:dyDescent="0.25">
      <c r="A51" s="113" t="s">
        <v>0</v>
      </c>
      <c r="B51" s="132"/>
      <c r="C51" s="132"/>
      <c r="D51" s="496">
        <v>22</v>
      </c>
      <c r="E51" s="25"/>
      <c r="F51" s="26"/>
      <c r="G51" s="1296"/>
      <c r="H51" s="1297"/>
      <c r="I51" s="1298"/>
      <c r="J51" s="1296"/>
      <c r="K51" s="1297"/>
      <c r="L51" s="1297"/>
      <c r="M51" s="1297"/>
      <c r="N51" s="1298"/>
      <c r="O51" s="142"/>
      <c r="P51" s="115"/>
      <c r="R51" s="499" t="str">
        <f t="shared" si="0"/>
        <v>n.a.</v>
      </c>
    </row>
    <row r="52" spans="1:18" ht="12.75" hidden="1" customHeight="1" x14ac:dyDescent="0.25">
      <c r="A52" s="113" t="s">
        <v>0</v>
      </c>
      <c r="B52" s="132"/>
      <c r="C52" s="132"/>
      <c r="D52" s="496">
        <v>23</v>
      </c>
      <c r="E52" s="25"/>
      <c r="F52" s="26"/>
      <c r="G52" s="1296"/>
      <c r="H52" s="1297"/>
      <c r="I52" s="1298"/>
      <c r="J52" s="1296"/>
      <c r="K52" s="1297"/>
      <c r="L52" s="1297"/>
      <c r="M52" s="1297"/>
      <c r="N52" s="1298"/>
      <c r="O52" s="142"/>
      <c r="P52" s="115"/>
      <c r="R52" s="499" t="str">
        <f t="shared" si="0"/>
        <v>n.a.</v>
      </c>
    </row>
    <row r="53" spans="1:18" ht="12.75" hidden="1" customHeight="1" x14ac:dyDescent="0.25">
      <c r="A53" s="113" t="s">
        <v>0</v>
      </c>
      <c r="B53" s="132"/>
      <c r="C53" s="132"/>
      <c r="D53" s="496">
        <v>24</v>
      </c>
      <c r="E53" s="25"/>
      <c r="F53" s="26"/>
      <c r="G53" s="1296"/>
      <c r="H53" s="1297"/>
      <c r="I53" s="1298"/>
      <c r="J53" s="1296"/>
      <c r="K53" s="1297"/>
      <c r="L53" s="1297"/>
      <c r="M53" s="1297"/>
      <c r="N53" s="1298"/>
      <c r="O53" s="142"/>
      <c r="P53" s="115"/>
      <c r="R53" s="499" t="str">
        <f t="shared" si="0"/>
        <v>n.a.</v>
      </c>
    </row>
    <row r="54" spans="1:18" ht="12.75" hidden="1" customHeight="1" x14ac:dyDescent="0.25">
      <c r="A54" s="113" t="s">
        <v>0</v>
      </c>
      <c r="B54" s="132"/>
      <c r="C54" s="132"/>
      <c r="D54" s="496">
        <v>25</v>
      </c>
      <c r="E54" s="25"/>
      <c r="F54" s="26"/>
      <c r="G54" s="1296"/>
      <c r="H54" s="1297"/>
      <c r="I54" s="1298"/>
      <c r="J54" s="1296"/>
      <c r="K54" s="1297"/>
      <c r="L54" s="1297"/>
      <c r="M54" s="1297"/>
      <c r="N54" s="1298"/>
      <c r="O54" s="142"/>
      <c r="P54" s="115"/>
      <c r="R54" s="499" t="str">
        <f t="shared" si="0"/>
        <v>n.a.</v>
      </c>
    </row>
    <row r="55" spans="1:18" ht="12.75" hidden="1" customHeight="1" x14ac:dyDescent="0.25">
      <c r="A55" s="113" t="s">
        <v>0</v>
      </c>
      <c r="B55" s="132"/>
      <c r="C55" s="132"/>
      <c r="D55" s="496">
        <v>26</v>
      </c>
      <c r="E55" s="25"/>
      <c r="F55" s="26"/>
      <c r="G55" s="1296"/>
      <c r="H55" s="1297"/>
      <c r="I55" s="1298"/>
      <c r="J55" s="1296"/>
      <c r="K55" s="1297"/>
      <c r="L55" s="1297"/>
      <c r="M55" s="1297"/>
      <c r="N55" s="1298"/>
      <c r="O55" s="142"/>
      <c r="P55" s="115"/>
      <c r="R55" s="499" t="str">
        <f t="shared" si="0"/>
        <v>n.a.</v>
      </c>
    </row>
    <row r="56" spans="1:18" ht="12.75" hidden="1" customHeight="1" x14ac:dyDescent="0.25">
      <c r="A56" s="113" t="s">
        <v>0</v>
      </c>
      <c r="B56" s="132"/>
      <c r="C56" s="132"/>
      <c r="D56" s="496">
        <v>27</v>
      </c>
      <c r="E56" s="25"/>
      <c r="F56" s="26"/>
      <c r="G56" s="1296"/>
      <c r="H56" s="1297"/>
      <c r="I56" s="1298"/>
      <c r="J56" s="1296"/>
      <c r="K56" s="1297"/>
      <c r="L56" s="1297"/>
      <c r="M56" s="1297"/>
      <c r="N56" s="1298"/>
      <c r="O56" s="142"/>
      <c r="P56" s="115"/>
      <c r="R56" s="499" t="str">
        <f t="shared" si="0"/>
        <v>n.a.</v>
      </c>
    </row>
    <row r="57" spans="1:18" ht="12.75" hidden="1" customHeight="1" x14ac:dyDescent="0.25">
      <c r="A57" s="113" t="s">
        <v>0</v>
      </c>
      <c r="B57" s="132"/>
      <c r="C57" s="132"/>
      <c r="D57" s="496">
        <v>28</v>
      </c>
      <c r="E57" s="25"/>
      <c r="F57" s="26"/>
      <c r="G57" s="1296"/>
      <c r="H57" s="1297"/>
      <c r="I57" s="1298"/>
      <c r="J57" s="1296"/>
      <c r="K57" s="1297"/>
      <c r="L57" s="1297"/>
      <c r="M57" s="1297"/>
      <c r="N57" s="1298"/>
      <c r="O57" s="142"/>
      <c r="P57" s="115"/>
      <c r="R57" s="499" t="str">
        <f t="shared" si="0"/>
        <v>n.a.</v>
      </c>
    </row>
    <row r="58" spans="1:18" ht="12.75" hidden="1" customHeight="1" x14ac:dyDescent="0.25">
      <c r="A58" s="113" t="s">
        <v>0</v>
      </c>
      <c r="B58" s="132"/>
      <c r="C58" s="132"/>
      <c r="D58" s="496">
        <v>29</v>
      </c>
      <c r="E58" s="25"/>
      <c r="F58" s="26"/>
      <c r="G58" s="1296"/>
      <c r="H58" s="1297"/>
      <c r="I58" s="1298"/>
      <c r="J58" s="1296"/>
      <c r="K58" s="1297"/>
      <c r="L58" s="1297"/>
      <c r="M58" s="1297"/>
      <c r="N58" s="1298"/>
      <c r="O58" s="142"/>
      <c r="P58" s="115"/>
      <c r="R58" s="499" t="str">
        <f t="shared" si="0"/>
        <v>n.a.</v>
      </c>
    </row>
    <row r="59" spans="1:18" ht="12.75" hidden="1" customHeight="1" x14ac:dyDescent="0.25">
      <c r="A59" s="113" t="s">
        <v>0</v>
      </c>
      <c r="B59" s="132"/>
      <c r="C59" s="132"/>
      <c r="D59" s="496">
        <v>30</v>
      </c>
      <c r="E59" s="25"/>
      <c r="F59" s="26"/>
      <c r="G59" s="1296"/>
      <c r="H59" s="1297"/>
      <c r="I59" s="1298"/>
      <c r="J59" s="1296"/>
      <c r="K59" s="1297"/>
      <c r="L59" s="1297"/>
      <c r="M59" s="1297"/>
      <c r="N59" s="1298"/>
      <c r="O59" s="142"/>
      <c r="P59" s="115"/>
      <c r="R59" s="499" t="str">
        <f t="shared" si="0"/>
        <v>n.a.</v>
      </c>
    </row>
    <row r="60" spans="1:18" ht="12.75" hidden="1" customHeight="1" x14ac:dyDescent="0.25">
      <c r="A60" s="113" t="s">
        <v>0</v>
      </c>
      <c r="B60" s="132"/>
      <c r="C60" s="132"/>
      <c r="D60" s="496">
        <v>31</v>
      </c>
      <c r="E60" s="25"/>
      <c r="F60" s="26"/>
      <c r="G60" s="1296"/>
      <c r="H60" s="1297"/>
      <c r="I60" s="1298"/>
      <c r="J60" s="1296"/>
      <c r="K60" s="1297"/>
      <c r="L60" s="1297"/>
      <c r="M60" s="1297"/>
      <c r="N60" s="1298"/>
      <c r="O60" s="142"/>
      <c r="P60" s="115"/>
      <c r="R60" s="499" t="str">
        <f t="shared" si="0"/>
        <v>n.a.</v>
      </c>
    </row>
    <row r="61" spans="1:18" ht="12.75" hidden="1" customHeight="1" x14ac:dyDescent="0.25">
      <c r="A61" s="113" t="s">
        <v>0</v>
      </c>
      <c r="B61" s="132"/>
      <c r="C61" s="132"/>
      <c r="D61" s="496">
        <v>32</v>
      </c>
      <c r="E61" s="25"/>
      <c r="F61" s="26"/>
      <c r="G61" s="1296"/>
      <c r="H61" s="1297"/>
      <c r="I61" s="1298"/>
      <c r="J61" s="1296"/>
      <c r="K61" s="1297"/>
      <c r="L61" s="1297"/>
      <c r="M61" s="1297"/>
      <c r="N61" s="1298"/>
      <c r="O61" s="142"/>
      <c r="P61" s="115"/>
      <c r="R61" s="499" t="str">
        <f t="shared" si="0"/>
        <v>n.a.</v>
      </c>
    </row>
    <row r="62" spans="1:18" ht="12.75" hidden="1" customHeight="1" x14ac:dyDescent="0.25">
      <c r="A62" s="113" t="s">
        <v>0</v>
      </c>
      <c r="B62" s="132"/>
      <c r="C62" s="132"/>
      <c r="D62" s="496">
        <v>33</v>
      </c>
      <c r="E62" s="25"/>
      <c r="F62" s="26"/>
      <c r="G62" s="1296"/>
      <c r="H62" s="1297"/>
      <c r="I62" s="1298"/>
      <c r="J62" s="1296"/>
      <c r="K62" s="1297"/>
      <c r="L62" s="1297"/>
      <c r="M62" s="1297"/>
      <c r="N62" s="1298"/>
      <c r="O62" s="142"/>
      <c r="P62" s="115"/>
      <c r="R62" s="499" t="str">
        <f t="shared" si="0"/>
        <v>n.a.</v>
      </c>
    </row>
    <row r="63" spans="1:18" ht="12.75" hidden="1" customHeight="1" x14ac:dyDescent="0.25">
      <c r="A63" s="113" t="s">
        <v>0</v>
      </c>
      <c r="B63" s="132"/>
      <c r="C63" s="132"/>
      <c r="D63" s="496">
        <v>34</v>
      </c>
      <c r="E63" s="25"/>
      <c r="F63" s="26"/>
      <c r="G63" s="1296"/>
      <c r="H63" s="1297"/>
      <c r="I63" s="1298"/>
      <c r="J63" s="1296"/>
      <c r="K63" s="1297"/>
      <c r="L63" s="1297"/>
      <c r="M63" s="1297"/>
      <c r="N63" s="1298"/>
      <c r="O63" s="142"/>
      <c r="P63" s="115"/>
      <c r="R63" s="499" t="str">
        <f t="shared" si="0"/>
        <v>n.a.</v>
      </c>
    </row>
    <row r="64" spans="1:18" ht="12.75" hidden="1" customHeight="1" x14ac:dyDescent="0.25">
      <c r="A64" s="113" t="s">
        <v>0</v>
      </c>
      <c r="B64" s="132"/>
      <c r="C64" s="132"/>
      <c r="D64" s="496">
        <v>35</v>
      </c>
      <c r="E64" s="25"/>
      <c r="F64" s="26"/>
      <c r="G64" s="1296"/>
      <c r="H64" s="1297"/>
      <c r="I64" s="1298"/>
      <c r="J64" s="1296"/>
      <c r="K64" s="1297"/>
      <c r="L64" s="1297"/>
      <c r="M64" s="1297"/>
      <c r="N64" s="1298"/>
      <c r="O64" s="142"/>
      <c r="P64" s="115"/>
      <c r="R64" s="499" t="str">
        <f t="shared" si="0"/>
        <v>n.a.</v>
      </c>
    </row>
    <row r="65" spans="1:18" ht="12.75" hidden="1" customHeight="1" x14ac:dyDescent="0.25">
      <c r="A65" s="113" t="s">
        <v>0</v>
      </c>
      <c r="B65" s="132"/>
      <c r="C65" s="132"/>
      <c r="D65" s="496">
        <v>36</v>
      </c>
      <c r="E65" s="25"/>
      <c r="F65" s="26"/>
      <c r="G65" s="1296"/>
      <c r="H65" s="1297"/>
      <c r="I65" s="1298"/>
      <c r="J65" s="1296"/>
      <c r="K65" s="1297"/>
      <c r="L65" s="1297"/>
      <c r="M65" s="1297"/>
      <c r="N65" s="1298"/>
      <c r="O65" s="142"/>
      <c r="P65" s="115"/>
      <c r="R65" s="499" t="str">
        <f t="shared" si="0"/>
        <v>n.a.</v>
      </c>
    </row>
    <row r="66" spans="1:18" ht="12.75" hidden="1" customHeight="1" x14ac:dyDescent="0.25">
      <c r="A66" s="113" t="s">
        <v>0</v>
      </c>
      <c r="B66" s="132"/>
      <c r="C66" s="132"/>
      <c r="D66" s="496">
        <v>37</v>
      </c>
      <c r="E66" s="25"/>
      <c r="F66" s="26"/>
      <c r="G66" s="1296"/>
      <c r="H66" s="1297"/>
      <c r="I66" s="1298"/>
      <c r="J66" s="1296"/>
      <c r="K66" s="1297"/>
      <c r="L66" s="1297"/>
      <c r="M66" s="1297"/>
      <c r="N66" s="1298"/>
      <c r="O66" s="142"/>
      <c r="P66" s="115"/>
      <c r="R66" s="499" t="str">
        <f t="shared" si="0"/>
        <v>n.a.</v>
      </c>
    </row>
    <row r="67" spans="1:18" ht="12.75" hidden="1" customHeight="1" x14ac:dyDescent="0.25">
      <c r="A67" s="113" t="s">
        <v>0</v>
      </c>
      <c r="B67" s="132"/>
      <c r="C67" s="132"/>
      <c r="D67" s="496">
        <v>38</v>
      </c>
      <c r="E67" s="25"/>
      <c r="F67" s="26"/>
      <c r="G67" s="1296"/>
      <c r="H67" s="1297"/>
      <c r="I67" s="1298"/>
      <c r="J67" s="1296"/>
      <c r="K67" s="1297"/>
      <c r="L67" s="1297"/>
      <c r="M67" s="1297"/>
      <c r="N67" s="1298"/>
      <c r="O67" s="142"/>
      <c r="P67" s="115"/>
      <c r="R67" s="499" t="str">
        <f t="shared" si="0"/>
        <v>n.a.</v>
      </c>
    </row>
    <row r="68" spans="1:18" ht="12.75" hidden="1" customHeight="1" x14ac:dyDescent="0.25">
      <c r="A68" s="113" t="s">
        <v>0</v>
      </c>
      <c r="B68" s="132"/>
      <c r="C68" s="132"/>
      <c r="D68" s="496">
        <v>39</v>
      </c>
      <c r="E68" s="25"/>
      <c r="F68" s="26"/>
      <c r="G68" s="1296"/>
      <c r="H68" s="1297"/>
      <c r="I68" s="1298"/>
      <c r="J68" s="1296"/>
      <c r="K68" s="1297"/>
      <c r="L68" s="1297"/>
      <c r="M68" s="1297"/>
      <c r="N68" s="1298"/>
      <c r="O68" s="142"/>
      <c r="P68" s="115"/>
      <c r="R68" s="499" t="str">
        <f t="shared" si="0"/>
        <v>n.a.</v>
      </c>
    </row>
    <row r="69" spans="1:18" ht="12.75" hidden="1" customHeight="1" x14ac:dyDescent="0.25">
      <c r="A69" s="113" t="s">
        <v>0</v>
      </c>
      <c r="B69" s="132"/>
      <c r="C69" s="132"/>
      <c r="D69" s="496">
        <v>40</v>
      </c>
      <c r="E69" s="25"/>
      <c r="F69" s="26"/>
      <c r="G69" s="1296"/>
      <c r="H69" s="1297"/>
      <c r="I69" s="1298"/>
      <c r="J69" s="1296"/>
      <c r="K69" s="1297"/>
      <c r="L69" s="1297"/>
      <c r="M69" s="1297"/>
      <c r="N69" s="1298"/>
      <c r="O69" s="142"/>
      <c r="P69" s="115"/>
      <c r="R69" s="499" t="str">
        <f t="shared" si="0"/>
        <v>n.a.</v>
      </c>
    </row>
    <row r="70" spans="1:18" ht="12.75" hidden="1" customHeight="1" x14ac:dyDescent="0.25">
      <c r="A70" s="113" t="s">
        <v>0</v>
      </c>
      <c r="B70" s="132"/>
      <c r="C70" s="132"/>
      <c r="D70" s="496">
        <v>41</v>
      </c>
      <c r="E70" s="25"/>
      <c r="F70" s="26"/>
      <c r="G70" s="1296"/>
      <c r="H70" s="1297"/>
      <c r="I70" s="1298"/>
      <c r="J70" s="1296"/>
      <c r="K70" s="1297"/>
      <c r="L70" s="1297"/>
      <c r="M70" s="1297"/>
      <c r="N70" s="1298"/>
      <c r="O70" s="142"/>
      <c r="P70" s="115"/>
      <c r="R70" s="499" t="str">
        <f t="shared" si="0"/>
        <v>n.a.</v>
      </c>
    </row>
    <row r="71" spans="1:18" ht="12.75" hidden="1" customHeight="1" x14ac:dyDescent="0.25">
      <c r="A71" s="113" t="s">
        <v>0</v>
      </c>
      <c r="B71" s="132"/>
      <c r="C71" s="132"/>
      <c r="D71" s="496">
        <v>42</v>
      </c>
      <c r="E71" s="25"/>
      <c r="F71" s="26"/>
      <c r="G71" s="1296"/>
      <c r="H71" s="1297"/>
      <c r="I71" s="1298"/>
      <c r="J71" s="1296"/>
      <c r="K71" s="1297"/>
      <c r="L71" s="1297"/>
      <c r="M71" s="1297"/>
      <c r="N71" s="1298"/>
      <c r="O71" s="142"/>
      <c r="P71" s="115"/>
      <c r="R71" s="499" t="str">
        <f t="shared" si="0"/>
        <v>n.a.</v>
      </c>
    </row>
    <row r="72" spans="1:18" ht="12.75" hidden="1" customHeight="1" x14ac:dyDescent="0.25">
      <c r="A72" s="113" t="s">
        <v>0</v>
      </c>
      <c r="B72" s="132"/>
      <c r="C72" s="132"/>
      <c r="D72" s="496">
        <v>43</v>
      </c>
      <c r="E72" s="25"/>
      <c r="F72" s="26"/>
      <c r="G72" s="1296"/>
      <c r="H72" s="1297"/>
      <c r="I72" s="1298"/>
      <c r="J72" s="1296"/>
      <c r="K72" s="1297"/>
      <c r="L72" s="1297"/>
      <c r="M72" s="1297"/>
      <c r="N72" s="1298"/>
      <c r="O72" s="142"/>
      <c r="P72" s="115"/>
      <c r="R72" s="499" t="str">
        <f t="shared" si="0"/>
        <v>n.a.</v>
      </c>
    </row>
    <row r="73" spans="1:18" ht="12.75" hidden="1" customHeight="1" x14ac:dyDescent="0.25">
      <c r="A73" s="113" t="s">
        <v>0</v>
      </c>
      <c r="B73" s="132"/>
      <c r="C73" s="132"/>
      <c r="D73" s="496">
        <v>44</v>
      </c>
      <c r="E73" s="25"/>
      <c r="F73" s="26"/>
      <c r="G73" s="1296"/>
      <c r="H73" s="1297"/>
      <c r="I73" s="1298"/>
      <c r="J73" s="1296"/>
      <c r="K73" s="1297"/>
      <c r="L73" s="1297"/>
      <c r="M73" s="1297"/>
      <c r="N73" s="1298"/>
      <c r="O73" s="142"/>
      <c r="P73" s="115"/>
      <c r="R73" s="499" t="str">
        <f t="shared" si="0"/>
        <v>n.a.</v>
      </c>
    </row>
    <row r="74" spans="1:18" ht="12.75" hidden="1" customHeight="1" x14ac:dyDescent="0.25">
      <c r="A74" s="113" t="s">
        <v>0</v>
      </c>
      <c r="B74" s="132"/>
      <c r="C74" s="132"/>
      <c r="D74" s="496">
        <v>45</v>
      </c>
      <c r="E74" s="25"/>
      <c r="F74" s="26"/>
      <c r="G74" s="1296"/>
      <c r="H74" s="1297"/>
      <c r="I74" s="1298"/>
      <c r="J74" s="1296"/>
      <c r="K74" s="1297"/>
      <c r="L74" s="1297"/>
      <c r="M74" s="1297"/>
      <c r="N74" s="1298"/>
      <c r="O74" s="142"/>
      <c r="P74" s="115"/>
      <c r="R74" s="499" t="str">
        <f t="shared" si="0"/>
        <v>n.a.</v>
      </c>
    </row>
    <row r="75" spans="1:18" ht="12.75" hidden="1" customHeight="1" x14ac:dyDescent="0.25">
      <c r="A75" s="113" t="s">
        <v>0</v>
      </c>
      <c r="B75" s="132"/>
      <c r="C75" s="132"/>
      <c r="D75" s="496">
        <v>46</v>
      </c>
      <c r="E75" s="25"/>
      <c r="F75" s="26"/>
      <c r="G75" s="1296"/>
      <c r="H75" s="1297"/>
      <c r="I75" s="1298"/>
      <c r="J75" s="1296"/>
      <c r="K75" s="1297"/>
      <c r="L75" s="1297"/>
      <c r="M75" s="1297"/>
      <c r="N75" s="1298"/>
      <c r="O75" s="142"/>
      <c r="P75" s="115"/>
      <c r="R75" s="499" t="str">
        <f t="shared" si="0"/>
        <v>n.a.</v>
      </c>
    </row>
    <row r="76" spans="1:18" ht="12.75" hidden="1" customHeight="1" x14ac:dyDescent="0.25">
      <c r="A76" s="113" t="s">
        <v>0</v>
      </c>
      <c r="B76" s="132"/>
      <c r="C76" s="132"/>
      <c r="D76" s="496">
        <v>47</v>
      </c>
      <c r="E76" s="25"/>
      <c r="F76" s="26"/>
      <c r="G76" s="1296"/>
      <c r="H76" s="1297"/>
      <c r="I76" s="1298"/>
      <c r="J76" s="1296"/>
      <c r="K76" s="1297"/>
      <c r="L76" s="1297"/>
      <c r="M76" s="1297"/>
      <c r="N76" s="1298"/>
      <c r="O76" s="142"/>
      <c r="P76" s="115"/>
      <c r="R76" s="499" t="str">
        <f t="shared" si="0"/>
        <v>n.a.</v>
      </c>
    </row>
    <row r="77" spans="1:18" ht="12.75" hidden="1" customHeight="1" x14ac:dyDescent="0.25">
      <c r="A77" s="113" t="s">
        <v>0</v>
      </c>
      <c r="B77" s="132"/>
      <c r="C77" s="132"/>
      <c r="D77" s="496">
        <v>48</v>
      </c>
      <c r="E77" s="25"/>
      <c r="F77" s="26"/>
      <c r="G77" s="1296"/>
      <c r="H77" s="1297"/>
      <c r="I77" s="1298"/>
      <c r="J77" s="1296"/>
      <c r="K77" s="1297"/>
      <c r="L77" s="1297"/>
      <c r="M77" s="1297"/>
      <c r="N77" s="1298"/>
      <c r="O77" s="142"/>
      <c r="P77" s="115"/>
      <c r="R77" s="499" t="str">
        <f t="shared" si="0"/>
        <v>n.a.</v>
      </c>
    </row>
    <row r="78" spans="1:18" ht="12.75" hidden="1" customHeight="1" x14ac:dyDescent="0.25">
      <c r="A78" s="113" t="s">
        <v>0</v>
      </c>
      <c r="B78" s="132"/>
      <c r="C78" s="132"/>
      <c r="D78" s="496">
        <v>49</v>
      </c>
      <c r="E78" s="25"/>
      <c r="F78" s="26"/>
      <c r="G78" s="1296"/>
      <c r="H78" s="1297"/>
      <c r="I78" s="1298"/>
      <c r="J78" s="1296"/>
      <c r="K78" s="1297"/>
      <c r="L78" s="1297"/>
      <c r="M78" s="1297"/>
      <c r="N78" s="1298"/>
      <c r="O78" s="142"/>
      <c r="P78" s="115"/>
      <c r="R78" s="499" t="str">
        <f t="shared" si="0"/>
        <v>n.a.</v>
      </c>
    </row>
    <row r="79" spans="1:18" ht="12.75" hidden="1" customHeight="1" x14ac:dyDescent="0.25">
      <c r="A79" s="113" t="s">
        <v>0</v>
      </c>
      <c r="B79" s="132"/>
      <c r="C79" s="132"/>
      <c r="D79" s="496">
        <v>50</v>
      </c>
      <c r="E79" s="25"/>
      <c r="F79" s="26"/>
      <c r="G79" s="1296"/>
      <c r="H79" s="1297"/>
      <c r="I79" s="1298"/>
      <c r="J79" s="1296"/>
      <c r="K79" s="1297"/>
      <c r="L79" s="1297"/>
      <c r="M79" s="1297"/>
      <c r="N79" s="1298"/>
      <c r="O79" s="142"/>
      <c r="P79" s="115"/>
      <c r="R79" s="499" t="str">
        <f t="shared" si="0"/>
        <v>n.a.</v>
      </c>
    </row>
    <row r="80" spans="1:18" ht="12.75" hidden="1" customHeight="1" x14ac:dyDescent="0.25">
      <c r="A80" s="113" t="s">
        <v>0</v>
      </c>
      <c r="B80" s="132"/>
      <c r="C80" s="132"/>
      <c r="D80" s="496">
        <v>51</v>
      </c>
      <c r="E80" s="25"/>
      <c r="F80" s="26"/>
      <c r="G80" s="1296"/>
      <c r="H80" s="1297"/>
      <c r="I80" s="1298"/>
      <c r="J80" s="1296"/>
      <c r="K80" s="1297"/>
      <c r="L80" s="1297"/>
      <c r="M80" s="1297"/>
      <c r="N80" s="1298"/>
      <c r="O80" s="142"/>
      <c r="P80" s="115"/>
      <c r="R80" s="499" t="str">
        <f t="shared" si="0"/>
        <v>n.a.</v>
      </c>
    </row>
    <row r="81" spans="1:18" ht="12.75" hidden="1" customHeight="1" x14ac:dyDescent="0.25">
      <c r="A81" s="113" t="s">
        <v>0</v>
      </c>
      <c r="B81" s="132"/>
      <c r="C81" s="132"/>
      <c r="D81" s="496">
        <v>52</v>
      </c>
      <c r="E81" s="25"/>
      <c r="F81" s="26"/>
      <c r="G81" s="1296"/>
      <c r="H81" s="1297"/>
      <c r="I81" s="1298"/>
      <c r="J81" s="1296"/>
      <c r="K81" s="1297"/>
      <c r="L81" s="1297"/>
      <c r="M81" s="1297"/>
      <c r="N81" s="1298"/>
      <c r="O81" s="142"/>
      <c r="P81" s="115"/>
      <c r="R81" s="499" t="str">
        <f t="shared" si="0"/>
        <v>n.a.</v>
      </c>
    </row>
    <row r="82" spans="1:18" ht="12.75" hidden="1" customHeight="1" x14ac:dyDescent="0.25">
      <c r="A82" s="113" t="s">
        <v>0</v>
      </c>
      <c r="B82" s="132"/>
      <c r="C82" s="132"/>
      <c r="D82" s="496">
        <v>53</v>
      </c>
      <c r="E82" s="25"/>
      <c r="F82" s="26"/>
      <c r="G82" s="1296"/>
      <c r="H82" s="1297"/>
      <c r="I82" s="1298"/>
      <c r="J82" s="1296"/>
      <c r="K82" s="1297"/>
      <c r="L82" s="1297"/>
      <c r="M82" s="1297"/>
      <c r="N82" s="1298"/>
      <c r="O82" s="142"/>
      <c r="P82" s="115"/>
      <c r="R82" s="499" t="str">
        <f t="shared" si="0"/>
        <v>n.a.</v>
      </c>
    </row>
    <row r="83" spans="1:18" ht="12.75" hidden="1" customHeight="1" x14ac:dyDescent="0.25">
      <c r="A83" s="113" t="s">
        <v>0</v>
      </c>
      <c r="B83" s="132"/>
      <c r="C83" s="132"/>
      <c r="D83" s="496">
        <v>54</v>
      </c>
      <c r="E83" s="25"/>
      <c r="F83" s="26"/>
      <c r="G83" s="1296"/>
      <c r="H83" s="1297"/>
      <c r="I83" s="1298"/>
      <c r="J83" s="1296"/>
      <c r="K83" s="1297"/>
      <c r="L83" s="1297"/>
      <c r="M83" s="1297"/>
      <c r="N83" s="1298"/>
      <c r="O83" s="142"/>
      <c r="P83" s="115"/>
      <c r="R83" s="499" t="str">
        <f t="shared" si="0"/>
        <v>n.a.</v>
      </c>
    </row>
    <row r="84" spans="1:18" ht="12.75" hidden="1" customHeight="1" x14ac:dyDescent="0.25">
      <c r="A84" s="113" t="s">
        <v>0</v>
      </c>
      <c r="B84" s="132"/>
      <c r="C84" s="132"/>
      <c r="D84" s="496">
        <v>55</v>
      </c>
      <c r="E84" s="25"/>
      <c r="F84" s="26"/>
      <c r="G84" s="1296"/>
      <c r="H84" s="1297"/>
      <c r="I84" s="1298"/>
      <c r="J84" s="1296"/>
      <c r="K84" s="1297"/>
      <c r="L84" s="1297"/>
      <c r="M84" s="1297"/>
      <c r="N84" s="1298"/>
      <c r="O84" s="142"/>
      <c r="P84" s="115"/>
      <c r="R84" s="499" t="str">
        <f t="shared" si="0"/>
        <v>n.a.</v>
      </c>
    </row>
    <row r="85" spans="1:18" ht="12.75" hidden="1" customHeight="1" x14ac:dyDescent="0.25">
      <c r="A85" s="113" t="s">
        <v>0</v>
      </c>
      <c r="B85" s="132"/>
      <c r="C85" s="132"/>
      <c r="D85" s="496">
        <v>56</v>
      </c>
      <c r="E85" s="25"/>
      <c r="F85" s="26"/>
      <c r="G85" s="1296"/>
      <c r="H85" s="1297"/>
      <c r="I85" s="1298"/>
      <c r="J85" s="1296"/>
      <c r="K85" s="1297"/>
      <c r="L85" s="1297"/>
      <c r="M85" s="1297"/>
      <c r="N85" s="1298"/>
      <c r="O85" s="142"/>
      <c r="P85" s="115"/>
      <c r="R85" s="499" t="str">
        <f t="shared" si="0"/>
        <v>n.a.</v>
      </c>
    </row>
    <row r="86" spans="1:18" ht="12.75" hidden="1" customHeight="1" x14ac:dyDescent="0.25">
      <c r="A86" s="113" t="s">
        <v>0</v>
      </c>
      <c r="B86" s="132"/>
      <c r="C86" s="132"/>
      <c r="D86" s="496">
        <v>57</v>
      </c>
      <c r="E86" s="25"/>
      <c r="F86" s="26"/>
      <c r="G86" s="1296"/>
      <c r="H86" s="1297"/>
      <c r="I86" s="1298"/>
      <c r="J86" s="1296"/>
      <c r="K86" s="1297"/>
      <c r="L86" s="1297"/>
      <c r="M86" s="1297"/>
      <c r="N86" s="1298"/>
      <c r="O86" s="142"/>
      <c r="P86" s="115"/>
      <c r="R86" s="499" t="str">
        <f t="shared" si="0"/>
        <v>n.a.</v>
      </c>
    </row>
    <row r="87" spans="1:18" ht="12.75" hidden="1" customHeight="1" x14ac:dyDescent="0.25">
      <c r="A87" s="113" t="s">
        <v>0</v>
      </c>
      <c r="B87" s="132"/>
      <c r="C87" s="132"/>
      <c r="D87" s="496">
        <v>58</v>
      </c>
      <c r="E87" s="25"/>
      <c r="F87" s="26"/>
      <c r="G87" s="1296"/>
      <c r="H87" s="1297"/>
      <c r="I87" s="1298"/>
      <c r="J87" s="1296"/>
      <c r="K87" s="1297"/>
      <c r="L87" s="1297"/>
      <c r="M87" s="1297"/>
      <c r="N87" s="1298"/>
      <c r="O87" s="142"/>
      <c r="P87" s="115"/>
      <c r="R87" s="499" t="str">
        <f t="shared" si="0"/>
        <v>n.a.</v>
      </c>
    </row>
    <row r="88" spans="1:18" ht="12.75" hidden="1" customHeight="1" x14ac:dyDescent="0.25">
      <c r="A88" s="113" t="s">
        <v>0</v>
      </c>
      <c r="B88" s="132"/>
      <c r="C88" s="132"/>
      <c r="D88" s="496">
        <v>59</v>
      </c>
      <c r="E88" s="25"/>
      <c r="F88" s="26"/>
      <c r="G88" s="1296"/>
      <c r="H88" s="1297"/>
      <c r="I88" s="1298"/>
      <c r="J88" s="1296"/>
      <c r="K88" s="1297"/>
      <c r="L88" s="1297"/>
      <c r="M88" s="1297"/>
      <c r="N88" s="1298"/>
      <c r="O88" s="142"/>
      <c r="P88" s="115"/>
      <c r="R88" s="499" t="str">
        <f t="shared" si="0"/>
        <v>n.a.</v>
      </c>
    </row>
    <row r="89" spans="1:18" ht="12.75" hidden="1" customHeight="1" x14ac:dyDescent="0.25">
      <c r="A89" s="113" t="s">
        <v>0</v>
      </c>
      <c r="B89" s="132"/>
      <c r="C89" s="132"/>
      <c r="D89" s="496">
        <v>60</v>
      </c>
      <c r="E89" s="25"/>
      <c r="F89" s="26"/>
      <c r="G89" s="1296"/>
      <c r="H89" s="1297"/>
      <c r="I89" s="1298"/>
      <c r="J89" s="1296"/>
      <c r="K89" s="1297"/>
      <c r="L89" s="1297"/>
      <c r="M89" s="1297"/>
      <c r="N89" s="1298"/>
      <c r="O89" s="142"/>
      <c r="P89" s="115"/>
      <c r="R89" s="499" t="str">
        <f t="shared" si="0"/>
        <v>n.a.</v>
      </c>
    </row>
    <row r="90" spans="1:18" ht="12.75" hidden="1" customHeight="1" x14ac:dyDescent="0.25">
      <c r="A90" s="113" t="s">
        <v>0</v>
      </c>
      <c r="B90" s="132"/>
      <c r="C90" s="132"/>
      <c r="D90" s="496">
        <v>61</v>
      </c>
      <c r="E90" s="25"/>
      <c r="F90" s="26"/>
      <c r="G90" s="1296"/>
      <c r="H90" s="1297"/>
      <c r="I90" s="1298"/>
      <c r="J90" s="1296"/>
      <c r="K90" s="1297"/>
      <c r="L90" s="1297"/>
      <c r="M90" s="1297"/>
      <c r="N90" s="1298"/>
      <c r="O90" s="142"/>
      <c r="P90" s="115"/>
      <c r="R90" s="499" t="str">
        <f t="shared" si="0"/>
        <v>n.a.</v>
      </c>
    </row>
    <row r="91" spans="1:18" ht="12.75" hidden="1" customHeight="1" x14ac:dyDescent="0.25">
      <c r="A91" s="113" t="s">
        <v>0</v>
      </c>
      <c r="B91" s="132"/>
      <c r="C91" s="132"/>
      <c r="D91" s="496">
        <v>62</v>
      </c>
      <c r="E91" s="25"/>
      <c r="F91" s="26"/>
      <c r="G91" s="1296"/>
      <c r="H91" s="1297"/>
      <c r="I91" s="1298"/>
      <c r="J91" s="1296"/>
      <c r="K91" s="1297"/>
      <c r="L91" s="1297"/>
      <c r="M91" s="1297"/>
      <c r="N91" s="1298"/>
      <c r="O91" s="142"/>
      <c r="P91" s="115"/>
      <c r="R91" s="499" t="str">
        <f t="shared" si="0"/>
        <v>n.a.</v>
      </c>
    </row>
    <row r="92" spans="1:18" ht="12.75" hidden="1" customHeight="1" x14ac:dyDescent="0.25">
      <c r="A92" s="113" t="s">
        <v>0</v>
      </c>
      <c r="B92" s="132"/>
      <c r="C92" s="132"/>
      <c r="D92" s="496">
        <v>63</v>
      </c>
      <c r="E92" s="25"/>
      <c r="F92" s="26"/>
      <c r="G92" s="1296"/>
      <c r="H92" s="1297"/>
      <c r="I92" s="1298"/>
      <c r="J92" s="1296"/>
      <c r="K92" s="1297"/>
      <c r="L92" s="1297"/>
      <c r="M92" s="1297"/>
      <c r="N92" s="1298"/>
      <c r="O92" s="142"/>
      <c r="P92" s="115"/>
      <c r="R92" s="499" t="str">
        <f t="shared" si="0"/>
        <v>n.a.</v>
      </c>
    </row>
    <row r="93" spans="1:18" ht="12.75" hidden="1" customHeight="1" x14ac:dyDescent="0.25">
      <c r="A93" s="113" t="s">
        <v>0</v>
      </c>
      <c r="B93" s="132"/>
      <c r="C93" s="132"/>
      <c r="D93" s="496">
        <v>64</v>
      </c>
      <c r="E93" s="25"/>
      <c r="F93" s="26"/>
      <c r="G93" s="1296"/>
      <c r="H93" s="1297"/>
      <c r="I93" s="1298"/>
      <c r="J93" s="1296"/>
      <c r="K93" s="1297"/>
      <c r="L93" s="1297"/>
      <c r="M93" s="1297"/>
      <c r="N93" s="1298"/>
      <c r="O93" s="142"/>
      <c r="P93" s="115"/>
      <c r="R93" s="499" t="str">
        <f t="shared" si="0"/>
        <v>n.a.</v>
      </c>
    </row>
    <row r="94" spans="1:18" ht="12.75" hidden="1" customHeight="1" x14ac:dyDescent="0.25">
      <c r="A94" s="113" t="s">
        <v>0</v>
      </c>
      <c r="B94" s="132"/>
      <c r="C94" s="132"/>
      <c r="D94" s="496">
        <v>65</v>
      </c>
      <c r="E94" s="25"/>
      <c r="F94" s="26"/>
      <c r="G94" s="1296"/>
      <c r="H94" s="1297"/>
      <c r="I94" s="1298"/>
      <c r="J94" s="1296"/>
      <c r="K94" s="1297"/>
      <c r="L94" s="1297"/>
      <c r="M94" s="1297"/>
      <c r="N94" s="1298"/>
      <c r="O94" s="142"/>
      <c r="P94" s="115"/>
      <c r="R94" s="499" t="str">
        <f t="shared" si="0"/>
        <v>n.a.</v>
      </c>
    </row>
    <row r="95" spans="1:18" ht="12.75" hidden="1" customHeight="1" x14ac:dyDescent="0.25">
      <c r="A95" s="113" t="s">
        <v>0</v>
      </c>
      <c r="B95" s="132"/>
      <c r="C95" s="132"/>
      <c r="D95" s="496">
        <v>66</v>
      </c>
      <c r="E95" s="25"/>
      <c r="F95" s="26"/>
      <c r="G95" s="1296"/>
      <c r="H95" s="1297"/>
      <c r="I95" s="1298"/>
      <c r="J95" s="1296"/>
      <c r="K95" s="1297"/>
      <c r="L95" s="1297"/>
      <c r="M95" s="1297"/>
      <c r="N95" s="1298"/>
      <c r="O95" s="142"/>
      <c r="P95" s="115"/>
      <c r="R95" s="499" t="str">
        <f t="shared" si="0"/>
        <v>n.a.</v>
      </c>
    </row>
    <row r="96" spans="1:18" ht="12.75" hidden="1" customHeight="1" x14ac:dyDescent="0.25">
      <c r="A96" s="113" t="s">
        <v>0</v>
      </c>
      <c r="B96" s="132"/>
      <c r="C96" s="132"/>
      <c r="D96" s="496">
        <v>67</v>
      </c>
      <c r="E96" s="25"/>
      <c r="F96" s="26"/>
      <c r="G96" s="1296"/>
      <c r="H96" s="1297"/>
      <c r="I96" s="1298"/>
      <c r="J96" s="1296"/>
      <c r="K96" s="1297"/>
      <c r="L96" s="1297"/>
      <c r="M96" s="1297"/>
      <c r="N96" s="1298"/>
      <c r="O96" s="142"/>
      <c r="P96" s="115"/>
      <c r="R96" s="499" t="str">
        <f t="shared" si="0"/>
        <v>n.a.</v>
      </c>
    </row>
    <row r="97" spans="1:18" ht="12.75" hidden="1" customHeight="1" x14ac:dyDescent="0.25">
      <c r="A97" s="113" t="s">
        <v>0</v>
      </c>
      <c r="B97" s="132"/>
      <c r="C97" s="132"/>
      <c r="D97" s="496">
        <v>68</v>
      </c>
      <c r="E97" s="25"/>
      <c r="F97" s="26"/>
      <c r="G97" s="1296"/>
      <c r="H97" s="1297"/>
      <c r="I97" s="1298"/>
      <c r="J97" s="1296"/>
      <c r="K97" s="1297"/>
      <c r="L97" s="1297"/>
      <c r="M97" s="1297"/>
      <c r="N97" s="1298"/>
      <c r="O97" s="142"/>
      <c r="P97" s="115"/>
      <c r="R97" s="499" t="str">
        <f t="shared" si="0"/>
        <v>n.a.</v>
      </c>
    </row>
    <row r="98" spans="1:18" ht="12.75" hidden="1" customHeight="1" x14ac:dyDescent="0.25">
      <c r="A98" s="113" t="s">
        <v>0</v>
      </c>
      <c r="B98" s="132"/>
      <c r="C98" s="132"/>
      <c r="D98" s="496">
        <v>69</v>
      </c>
      <c r="E98" s="25"/>
      <c r="F98" s="26"/>
      <c r="G98" s="1296"/>
      <c r="H98" s="1297"/>
      <c r="I98" s="1298"/>
      <c r="J98" s="1296"/>
      <c r="K98" s="1297"/>
      <c r="L98" s="1297"/>
      <c r="M98" s="1297"/>
      <c r="N98" s="1298"/>
      <c r="O98" s="142"/>
      <c r="P98" s="115"/>
      <c r="R98" s="499" t="str">
        <f t="shared" si="0"/>
        <v>n.a.</v>
      </c>
    </row>
    <row r="99" spans="1:18" ht="12.75" hidden="1" customHeight="1" x14ac:dyDescent="0.25">
      <c r="A99" s="113" t="s">
        <v>0</v>
      </c>
      <c r="B99" s="132"/>
      <c r="C99" s="132"/>
      <c r="D99" s="496">
        <v>70</v>
      </c>
      <c r="E99" s="25"/>
      <c r="F99" s="26"/>
      <c r="G99" s="1296"/>
      <c r="H99" s="1297"/>
      <c r="I99" s="1298"/>
      <c r="J99" s="1296"/>
      <c r="K99" s="1297"/>
      <c r="L99" s="1297"/>
      <c r="M99" s="1297"/>
      <c r="N99" s="1298"/>
      <c r="O99" s="142"/>
      <c r="P99" s="115"/>
      <c r="R99" s="499" t="str">
        <f t="shared" si="0"/>
        <v>n.a.</v>
      </c>
    </row>
    <row r="100" spans="1:18" ht="12.75" hidden="1" customHeight="1" x14ac:dyDescent="0.25">
      <c r="A100" s="113" t="s">
        <v>0</v>
      </c>
      <c r="B100" s="132"/>
      <c r="C100" s="132"/>
      <c r="D100" s="496">
        <v>71</v>
      </c>
      <c r="E100" s="25"/>
      <c r="F100" s="26"/>
      <c r="G100" s="1296"/>
      <c r="H100" s="1297"/>
      <c r="I100" s="1298"/>
      <c r="J100" s="1296"/>
      <c r="K100" s="1297"/>
      <c r="L100" s="1297"/>
      <c r="M100" s="1297"/>
      <c r="N100" s="1298"/>
      <c r="O100" s="142"/>
      <c r="P100" s="115"/>
      <c r="R100" s="499" t="str">
        <f t="shared" si="0"/>
        <v>n.a.</v>
      </c>
    </row>
    <row r="101" spans="1:18" ht="12.75" hidden="1" customHeight="1" x14ac:dyDescent="0.25">
      <c r="A101" s="113" t="s">
        <v>0</v>
      </c>
      <c r="B101" s="132"/>
      <c r="C101" s="132"/>
      <c r="D101" s="496">
        <v>72</v>
      </c>
      <c r="E101" s="25"/>
      <c r="F101" s="26"/>
      <c r="G101" s="1296"/>
      <c r="H101" s="1297"/>
      <c r="I101" s="1298"/>
      <c r="J101" s="1296"/>
      <c r="K101" s="1297"/>
      <c r="L101" s="1297"/>
      <c r="M101" s="1297"/>
      <c r="N101" s="1298"/>
      <c r="O101" s="142"/>
      <c r="P101" s="115"/>
      <c r="R101" s="499" t="str">
        <f t="shared" si="0"/>
        <v>n.a.</v>
      </c>
    </row>
    <row r="102" spans="1:18" ht="12.75" hidden="1" customHeight="1" x14ac:dyDescent="0.25">
      <c r="A102" s="113" t="s">
        <v>0</v>
      </c>
      <c r="B102" s="132"/>
      <c r="C102" s="132"/>
      <c r="D102" s="496">
        <v>73</v>
      </c>
      <c r="E102" s="25"/>
      <c r="F102" s="26"/>
      <c r="G102" s="1296"/>
      <c r="H102" s="1297"/>
      <c r="I102" s="1298"/>
      <c r="J102" s="1296"/>
      <c r="K102" s="1297"/>
      <c r="L102" s="1297"/>
      <c r="M102" s="1297"/>
      <c r="N102" s="1298"/>
      <c r="O102" s="142"/>
      <c r="P102" s="115"/>
      <c r="R102" s="499" t="str">
        <f t="shared" si="0"/>
        <v>n.a.</v>
      </c>
    </row>
    <row r="103" spans="1:18" ht="12.75" hidden="1" customHeight="1" x14ac:dyDescent="0.25">
      <c r="A103" s="113" t="s">
        <v>0</v>
      </c>
      <c r="B103" s="132"/>
      <c r="C103" s="132"/>
      <c r="D103" s="496">
        <v>74</v>
      </c>
      <c r="E103" s="25"/>
      <c r="F103" s="26"/>
      <c r="G103" s="1296"/>
      <c r="H103" s="1297"/>
      <c r="I103" s="1298"/>
      <c r="J103" s="1296"/>
      <c r="K103" s="1297"/>
      <c r="L103" s="1297"/>
      <c r="M103" s="1297"/>
      <c r="N103" s="1298"/>
      <c r="O103" s="142"/>
      <c r="P103" s="115"/>
      <c r="R103" s="499" t="str">
        <f t="shared" si="0"/>
        <v>n.a.</v>
      </c>
    </row>
    <row r="104" spans="1:18" ht="12.75" hidden="1" customHeight="1" x14ac:dyDescent="0.25">
      <c r="A104" s="113" t="s">
        <v>0</v>
      </c>
      <c r="B104" s="132"/>
      <c r="C104" s="132"/>
      <c r="D104" s="496">
        <v>75</v>
      </c>
      <c r="E104" s="25"/>
      <c r="F104" s="26"/>
      <c r="G104" s="1296"/>
      <c r="H104" s="1297"/>
      <c r="I104" s="1298"/>
      <c r="J104" s="1296"/>
      <c r="K104" s="1297"/>
      <c r="L104" s="1297"/>
      <c r="M104" s="1297"/>
      <c r="N104" s="1298"/>
      <c r="O104" s="142"/>
      <c r="P104" s="115"/>
      <c r="R104" s="499" t="str">
        <f t="shared" si="0"/>
        <v>n.a.</v>
      </c>
    </row>
    <row r="105" spans="1:18" ht="12.75" hidden="1" customHeight="1" x14ac:dyDescent="0.25">
      <c r="A105" s="113" t="s">
        <v>0</v>
      </c>
      <c r="B105" s="132"/>
      <c r="C105" s="132"/>
      <c r="D105" s="496">
        <v>76</v>
      </c>
      <c r="E105" s="25"/>
      <c r="F105" s="26"/>
      <c r="G105" s="1296"/>
      <c r="H105" s="1297"/>
      <c r="I105" s="1298"/>
      <c r="J105" s="1296"/>
      <c r="K105" s="1297"/>
      <c r="L105" s="1297"/>
      <c r="M105" s="1297"/>
      <c r="N105" s="1298"/>
      <c r="O105" s="142"/>
      <c r="P105" s="115"/>
      <c r="R105" s="499" t="str">
        <f t="shared" si="0"/>
        <v>n.a.</v>
      </c>
    </row>
    <row r="106" spans="1:18" ht="12.75" hidden="1" customHeight="1" x14ac:dyDescent="0.25">
      <c r="A106" s="113" t="s">
        <v>0</v>
      </c>
      <c r="B106" s="132"/>
      <c r="C106" s="132"/>
      <c r="D106" s="496">
        <v>77</v>
      </c>
      <c r="E106" s="25"/>
      <c r="F106" s="26"/>
      <c r="G106" s="1296"/>
      <c r="H106" s="1297"/>
      <c r="I106" s="1298"/>
      <c r="J106" s="1296"/>
      <c r="K106" s="1297"/>
      <c r="L106" s="1297"/>
      <c r="M106" s="1297"/>
      <c r="N106" s="1298"/>
      <c r="O106" s="142"/>
      <c r="P106" s="115"/>
      <c r="R106" s="499" t="str">
        <f t="shared" si="0"/>
        <v>n.a.</v>
      </c>
    </row>
    <row r="107" spans="1:18" ht="12.75" hidden="1" customHeight="1" x14ac:dyDescent="0.25">
      <c r="A107" s="113" t="s">
        <v>0</v>
      </c>
      <c r="B107" s="132"/>
      <c r="C107" s="132"/>
      <c r="D107" s="496">
        <v>78</v>
      </c>
      <c r="E107" s="25"/>
      <c r="F107" s="26"/>
      <c r="G107" s="1296"/>
      <c r="H107" s="1297"/>
      <c r="I107" s="1298"/>
      <c r="J107" s="1296"/>
      <c r="K107" s="1297"/>
      <c r="L107" s="1297"/>
      <c r="M107" s="1297"/>
      <c r="N107" s="1298"/>
      <c r="O107" s="142"/>
      <c r="P107" s="115"/>
      <c r="R107" s="499" t="str">
        <f t="shared" si="0"/>
        <v>n.a.</v>
      </c>
    </row>
    <row r="108" spans="1:18" ht="12.75" hidden="1" customHeight="1" x14ac:dyDescent="0.25">
      <c r="A108" s="113" t="s">
        <v>0</v>
      </c>
      <c r="B108" s="132"/>
      <c r="C108" s="132"/>
      <c r="D108" s="496">
        <v>79</v>
      </c>
      <c r="E108" s="25"/>
      <c r="F108" s="26"/>
      <c r="G108" s="1296"/>
      <c r="H108" s="1297"/>
      <c r="I108" s="1298"/>
      <c r="J108" s="1296"/>
      <c r="K108" s="1297"/>
      <c r="L108" s="1297"/>
      <c r="M108" s="1297"/>
      <c r="N108" s="1298"/>
      <c r="O108" s="142"/>
      <c r="P108" s="115"/>
      <c r="R108" s="499" t="str">
        <f t="shared" si="0"/>
        <v>n.a.</v>
      </c>
    </row>
    <row r="109" spans="1:18" ht="12.75" hidden="1" customHeight="1" x14ac:dyDescent="0.25">
      <c r="A109" s="113" t="s">
        <v>0</v>
      </c>
      <c r="B109" s="132"/>
      <c r="C109" s="132"/>
      <c r="D109" s="496">
        <v>80</v>
      </c>
      <c r="E109" s="25"/>
      <c r="F109" s="26"/>
      <c r="G109" s="1296"/>
      <c r="H109" s="1297"/>
      <c r="I109" s="1298"/>
      <c r="J109" s="1296"/>
      <c r="K109" s="1297"/>
      <c r="L109" s="1297"/>
      <c r="M109" s="1297"/>
      <c r="N109" s="1298"/>
      <c r="O109" s="142"/>
      <c r="P109" s="115"/>
      <c r="R109" s="499" t="str">
        <f t="shared" si="0"/>
        <v>n.a.</v>
      </c>
    </row>
    <row r="110" spans="1:18" ht="12.75" hidden="1" customHeight="1" x14ac:dyDescent="0.25">
      <c r="A110" s="113" t="s">
        <v>0</v>
      </c>
      <c r="B110" s="132"/>
      <c r="C110" s="132"/>
      <c r="D110" s="496">
        <v>81</v>
      </c>
      <c r="E110" s="25"/>
      <c r="F110" s="26"/>
      <c r="G110" s="1296"/>
      <c r="H110" s="1297"/>
      <c r="I110" s="1298"/>
      <c r="J110" s="1296"/>
      <c r="K110" s="1297"/>
      <c r="L110" s="1297"/>
      <c r="M110" s="1297"/>
      <c r="N110" s="1298"/>
      <c r="O110" s="142"/>
      <c r="P110" s="115"/>
      <c r="R110" s="499" t="str">
        <f t="shared" si="0"/>
        <v>n.a.</v>
      </c>
    </row>
    <row r="111" spans="1:18" ht="12.75" hidden="1" customHeight="1" x14ac:dyDescent="0.25">
      <c r="A111" s="113" t="s">
        <v>0</v>
      </c>
      <c r="B111" s="132"/>
      <c r="C111" s="132"/>
      <c r="D111" s="496">
        <v>82</v>
      </c>
      <c r="E111" s="25"/>
      <c r="F111" s="26"/>
      <c r="G111" s="1296"/>
      <c r="H111" s="1297"/>
      <c r="I111" s="1298"/>
      <c r="J111" s="1296"/>
      <c r="K111" s="1297"/>
      <c r="L111" s="1297"/>
      <c r="M111" s="1297"/>
      <c r="N111" s="1298"/>
      <c r="O111" s="142"/>
      <c r="P111" s="115"/>
      <c r="R111" s="499" t="str">
        <f t="shared" si="0"/>
        <v>n.a.</v>
      </c>
    </row>
    <row r="112" spans="1:18" ht="12.75" hidden="1" customHeight="1" x14ac:dyDescent="0.25">
      <c r="A112" s="113" t="s">
        <v>0</v>
      </c>
      <c r="B112" s="132"/>
      <c r="C112" s="132"/>
      <c r="D112" s="496">
        <v>83</v>
      </c>
      <c r="E112" s="25"/>
      <c r="F112" s="26"/>
      <c r="G112" s="1296"/>
      <c r="H112" s="1297"/>
      <c r="I112" s="1298"/>
      <c r="J112" s="1296"/>
      <c r="K112" s="1297"/>
      <c r="L112" s="1297"/>
      <c r="M112" s="1297"/>
      <c r="N112" s="1298"/>
      <c r="O112" s="142"/>
      <c r="P112" s="115"/>
      <c r="R112" s="499" t="str">
        <f t="shared" si="0"/>
        <v>n.a.</v>
      </c>
    </row>
    <row r="113" spans="1:18" ht="12.75" hidden="1" customHeight="1" x14ac:dyDescent="0.25">
      <c r="A113" s="113" t="s">
        <v>0</v>
      </c>
      <c r="B113" s="132"/>
      <c r="C113" s="132"/>
      <c r="D113" s="496">
        <v>84</v>
      </c>
      <c r="E113" s="25"/>
      <c r="F113" s="26"/>
      <c r="G113" s="1296"/>
      <c r="H113" s="1297"/>
      <c r="I113" s="1298"/>
      <c r="J113" s="1296"/>
      <c r="K113" s="1297"/>
      <c r="L113" s="1297"/>
      <c r="M113" s="1297"/>
      <c r="N113" s="1298"/>
      <c r="O113" s="142"/>
      <c r="P113" s="115"/>
      <c r="R113" s="499" t="str">
        <f t="shared" si="0"/>
        <v>n.a.</v>
      </c>
    </row>
    <row r="114" spans="1:18" ht="12.75" hidden="1" customHeight="1" x14ac:dyDescent="0.25">
      <c r="A114" s="113" t="s">
        <v>0</v>
      </c>
      <c r="B114" s="132"/>
      <c r="C114" s="132"/>
      <c r="D114" s="496">
        <v>85</v>
      </c>
      <c r="E114" s="25"/>
      <c r="F114" s="26"/>
      <c r="G114" s="1296"/>
      <c r="H114" s="1297"/>
      <c r="I114" s="1298"/>
      <c r="J114" s="1296"/>
      <c r="K114" s="1297"/>
      <c r="L114" s="1297"/>
      <c r="M114" s="1297"/>
      <c r="N114" s="1298"/>
      <c r="O114" s="142"/>
      <c r="P114" s="115"/>
      <c r="R114" s="499" t="str">
        <f t="shared" si="0"/>
        <v>n.a.</v>
      </c>
    </row>
    <row r="115" spans="1:18" ht="12.75" hidden="1" customHeight="1" x14ac:dyDescent="0.25">
      <c r="A115" s="113" t="s">
        <v>0</v>
      </c>
      <c r="B115" s="132"/>
      <c r="C115" s="132"/>
      <c r="D115" s="496">
        <v>86</v>
      </c>
      <c r="E115" s="25"/>
      <c r="F115" s="26"/>
      <c r="G115" s="1296"/>
      <c r="H115" s="1297"/>
      <c r="I115" s="1298"/>
      <c r="J115" s="1296"/>
      <c r="K115" s="1297"/>
      <c r="L115" s="1297"/>
      <c r="M115" s="1297"/>
      <c r="N115" s="1298"/>
      <c r="O115" s="142"/>
      <c r="P115" s="115"/>
      <c r="R115" s="499" t="str">
        <f t="shared" si="0"/>
        <v>n.a.</v>
      </c>
    </row>
    <row r="116" spans="1:18" ht="12.75" hidden="1" customHeight="1" x14ac:dyDescent="0.25">
      <c r="A116" s="113" t="s">
        <v>0</v>
      </c>
      <c r="B116" s="132"/>
      <c r="C116" s="132"/>
      <c r="D116" s="496">
        <v>87</v>
      </c>
      <c r="E116" s="25"/>
      <c r="F116" s="26"/>
      <c r="G116" s="1296"/>
      <c r="H116" s="1297"/>
      <c r="I116" s="1298"/>
      <c r="J116" s="1296"/>
      <c r="K116" s="1297"/>
      <c r="L116" s="1297"/>
      <c r="M116" s="1297"/>
      <c r="N116" s="1298"/>
      <c r="O116" s="142"/>
      <c r="P116" s="115"/>
      <c r="R116" s="499" t="str">
        <f t="shared" si="0"/>
        <v>n.a.</v>
      </c>
    </row>
    <row r="117" spans="1:18" ht="12.75" hidden="1" customHeight="1" x14ac:dyDescent="0.25">
      <c r="A117" s="113" t="s">
        <v>0</v>
      </c>
      <c r="B117" s="132"/>
      <c r="C117" s="132"/>
      <c r="D117" s="496">
        <v>88</v>
      </c>
      <c r="E117" s="25"/>
      <c r="F117" s="26"/>
      <c r="G117" s="1296"/>
      <c r="H117" s="1297"/>
      <c r="I117" s="1298"/>
      <c r="J117" s="1296"/>
      <c r="K117" s="1297"/>
      <c r="L117" s="1297"/>
      <c r="M117" s="1297"/>
      <c r="N117" s="1298"/>
      <c r="O117" s="142"/>
      <c r="P117" s="115"/>
      <c r="R117" s="499" t="str">
        <f t="shared" si="0"/>
        <v>n.a.</v>
      </c>
    </row>
    <row r="118" spans="1:18" ht="12.75" hidden="1" customHeight="1" x14ac:dyDescent="0.25">
      <c r="A118" s="113" t="s">
        <v>0</v>
      </c>
      <c r="B118" s="132"/>
      <c r="C118" s="132"/>
      <c r="D118" s="496">
        <v>89</v>
      </c>
      <c r="E118" s="25"/>
      <c r="F118" s="26"/>
      <c r="G118" s="1296"/>
      <c r="H118" s="1297"/>
      <c r="I118" s="1298"/>
      <c r="J118" s="1296"/>
      <c r="K118" s="1297"/>
      <c r="L118" s="1297"/>
      <c r="M118" s="1297"/>
      <c r="N118" s="1298"/>
      <c r="O118" s="142"/>
      <c r="P118" s="115"/>
      <c r="R118" s="499" t="str">
        <f t="shared" si="0"/>
        <v>n.a.</v>
      </c>
    </row>
    <row r="119" spans="1:18" ht="12.75" hidden="1" customHeight="1" x14ac:dyDescent="0.25">
      <c r="A119" s="113" t="s">
        <v>0</v>
      </c>
      <c r="B119" s="132"/>
      <c r="C119" s="132"/>
      <c r="D119" s="496">
        <v>90</v>
      </c>
      <c r="E119" s="25"/>
      <c r="F119" s="26"/>
      <c r="G119" s="1296"/>
      <c r="H119" s="1297"/>
      <c r="I119" s="1298"/>
      <c r="J119" s="1296"/>
      <c r="K119" s="1297"/>
      <c r="L119" s="1297"/>
      <c r="M119" s="1297"/>
      <c r="N119" s="1298"/>
      <c r="O119" s="142"/>
      <c r="P119" s="115"/>
      <c r="R119" s="499" t="str">
        <f t="shared" si="0"/>
        <v>n.a.</v>
      </c>
    </row>
    <row r="120" spans="1:18" ht="12.75" hidden="1" customHeight="1" x14ac:dyDescent="0.25">
      <c r="A120" s="113" t="s">
        <v>0</v>
      </c>
      <c r="B120" s="132"/>
      <c r="C120" s="132"/>
      <c r="D120" s="496">
        <v>91</v>
      </c>
      <c r="E120" s="25"/>
      <c r="F120" s="26"/>
      <c r="G120" s="1296"/>
      <c r="H120" s="1297"/>
      <c r="I120" s="1298"/>
      <c r="J120" s="1296"/>
      <c r="K120" s="1297"/>
      <c r="L120" s="1297"/>
      <c r="M120" s="1297"/>
      <c r="N120" s="1298"/>
      <c r="O120" s="142"/>
      <c r="P120" s="115"/>
      <c r="R120" s="499" t="str">
        <f t="shared" si="0"/>
        <v>n.a.</v>
      </c>
    </row>
    <row r="121" spans="1:18" ht="12.75" hidden="1" customHeight="1" x14ac:dyDescent="0.25">
      <c r="A121" s="113" t="s">
        <v>0</v>
      </c>
      <c r="B121" s="132"/>
      <c r="C121" s="132"/>
      <c r="D121" s="496">
        <v>92</v>
      </c>
      <c r="E121" s="25"/>
      <c r="F121" s="26"/>
      <c r="G121" s="1296"/>
      <c r="H121" s="1297"/>
      <c r="I121" s="1298"/>
      <c r="J121" s="1296"/>
      <c r="K121" s="1297"/>
      <c r="L121" s="1297"/>
      <c r="M121" s="1297"/>
      <c r="N121" s="1298"/>
      <c r="O121" s="142"/>
      <c r="P121" s="115"/>
      <c r="R121" s="499" t="str">
        <f t="shared" si="0"/>
        <v>n.a.</v>
      </c>
    </row>
    <row r="122" spans="1:18" ht="12.75" hidden="1" customHeight="1" x14ac:dyDescent="0.25">
      <c r="A122" s="113" t="s">
        <v>0</v>
      </c>
      <c r="B122" s="132"/>
      <c r="C122" s="132"/>
      <c r="D122" s="496">
        <v>93</v>
      </c>
      <c r="E122" s="25"/>
      <c r="F122" s="26"/>
      <c r="G122" s="1296"/>
      <c r="H122" s="1297"/>
      <c r="I122" s="1298"/>
      <c r="J122" s="1296"/>
      <c r="K122" s="1297"/>
      <c r="L122" s="1297"/>
      <c r="M122" s="1297"/>
      <c r="N122" s="1298"/>
      <c r="O122" s="142"/>
      <c r="P122" s="115"/>
      <c r="R122" s="499" t="str">
        <f t="shared" si="0"/>
        <v>n.a.</v>
      </c>
    </row>
    <row r="123" spans="1:18" ht="12.75" hidden="1" customHeight="1" x14ac:dyDescent="0.25">
      <c r="A123" s="113" t="s">
        <v>0</v>
      </c>
      <c r="B123" s="132"/>
      <c r="C123" s="132"/>
      <c r="D123" s="496">
        <v>94</v>
      </c>
      <c r="E123" s="25"/>
      <c r="F123" s="26"/>
      <c r="G123" s="1296"/>
      <c r="H123" s="1297"/>
      <c r="I123" s="1298"/>
      <c r="J123" s="1296"/>
      <c r="K123" s="1297"/>
      <c r="L123" s="1297"/>
      <c r="M123" s="1297"/>
      <c r="N123" s="1298"/>
      <c r="O123" s="142"/>
      <c r="P123" s="115"/>
      <c r="R123" s="499" t="str">
        <f t="shared" si="0"/>
        <v>n.a.</v>
      </c>
    </row>
    <row r="124" spans="1:18" ht="12.75" hidden="1" customHeight="1" x14ac:dyDescent="0.25">
      <c r="A124" s="113" t="s">
        <v>0</v>
      </c>
      <c r="B124" s="132"/>
      <c r="C124" s="132"/>
      <c r="D124" s="496">
        <v>95</v>
      </c>
      <c r="E124" s="25"/>
      <c r="F124" s="26"/>
      <c r="G124" s="1296"/>
      <c r="H124" s="1297"/>
      <c r="I124" s="1298"/>
      <c r="J124" s="1296"/>
      <c r="K124" s="1297"/>
      <c r="L124" s="1297"/>
      <c r="M124" s="1297"/>
      <c r="N124" s="1298"/>
      <c r="O124" s="142"/>
      <c r="P124" s="115"/>
      <c r="R124" s="499" t="str">
        <f t="shared" si="0"/>
        <v>n.a.</v>
      </c>
    </row>
    <row r="125" spans="1:18" ht="12.75" hidden="1" customHeight="1" x14ac:dyDescent="0.25">
      <c r="A125" s="113" t="s">
        <v>0</v>
      </c>
      <c r="B125" s="132"/>
      <c r="C125" s="132"/>
      <c r="D125" s="496">
        <v>96</v>
      </c>
      <c r="E125" s="25"/>
      <c r="F125" s="26"/>
      <c r="G125" s="1296"/>
      <c r="H125" s="1297"/>
      <c r="I125" s="1298"/>
      <c r="J125" s="1296"/>
      <c r="K125" s="1297"/>
      <c r="L125" s="1297"/>
      <c r="M125" s="1297"/>
      <c r="N125" s="1298"/>
      <c r="O125" s="142"/>
      <c r="P125" s="115"/>
      <c r="R125" s="499" t="str">
        <f t="shared" si="0"/>
        <v>n.a.</v>
      </c>
    </row>
    <row r="126" spans="1:18" ht="12.75" hidden="1" customHeight="1" x14ac:dyDescent="0.25">
      <c r="A126" s="113" t="s">
        <v>0</v>
      </c>
      <c r="B126" s="132"/>
      <c r="C126" s="132"/>
      <c r="D126" s="496">
        <v>97</v>
      </c>
      <c r="E126" s="25"/>
      <c r="F126" s="26"/>
      <c r="G126" s="1296"/>
      <c r="H126" s="1297"/>
      <c r="I126" s="1298"/>
      <c r="J126" s="1296"/>
      <c r="K126" s="1297"/>
      <c r="L126" s="1297"/>
      <c r="M126" s="1297"/>
      <c r="N126" s="1298"/>
      <c r="O126" s="142"/>
      <c r="P126" s="115"/>
      <c r="R126" s="499" t="str">
        <f t="shared" si="0"/>
        <v>n.a.</v>
      </c>
    </row>
    <row r="127" spans="1:18" ht="12.75" hidden="1" customHeight="1" x14ac:dyDescent="0.25">
      <c r="A127" s="113" t="s">
        <v>0</v>
      </c>
      <c r="B127" s="132"/>
      <c r="C127" s="132"/>
      <c r="D127" s="496">
        <v>98</v>
      </c>
      <c r="E127" s="25"/>
      <c r="F127" s="26"/>
      <c r="G127" s="1296"/>
      <c r="H127" s="1297"/>
      <c r="I127" s="1298"/>
      <c r="J127" s="1296"/>
      <c r="K127" s="1297"/>
      <c r="L127" s="1297"/>
      <c r="M127" s="1297"/>
      <c r="N127" s="1298"/>
      <c r="O127" s="142"/>
      <c r="P127" s="115"/>
      <c r="R127" s="499" t="str">
        <f t="shared" si="0"/>
        <v>n.a.</v>
      </c>
    </row>
    <row r="128" spans="1:18" ht="12.75" hidden="1" customHeight="1" x14ac:dyDescent="0.25">
      <c r="A128" s="113" t="s">
        <v>0</v>
      </c>
      <c r="B128" s="132"/>
      <c r="C128" s="132"/>
      <c r="D128" s="496">
        <v>99</v>
      </c>
      <c r="E128" s="25"/>
      <c r="F128" s="26"/>
      <c r="G128" s="1296"/>
      <c r="H128" s="1297"/>
      <c r="I128" s="1298"/>
      <c r="J128" s="1296"/>
      <c r="K128" s="1297"/>
      <c r="L128" s="1297"/>
      <c r="M128" s="1297"/>
      <c r="N128" s="1298"/>
      <c r="O128" s="142"/>
      <c r="P128" s="115"/>
      <c r="R128" s="499" t="str">
        <f t="shared" si="0"/>
        <v>n.a.</v>
      </c>
    </row>
    <row r="129" spans="1:18" ht="12.75" hidden="1" customHeight="1" x14ac:dyDescent="0.25">
      <c r="A129" s="113" t="s">
        <v>0</v>
      </c>
      <c r="B129" s="132"/>
      <c r="C129" s="132"/>
      <c r="D129" s="496">
        <v>100</v>
      </c>
      <c r="E129" s="25"/>
      <c r="F129" s="26"/>
      <c r="G129" s="1296"/>
      <c r="H129" s="1297"/>
      <c r="I129" s="1298"/>
      <c r="J129" s="1296"/>
      <c r="K129" s="1297"/>
      <c r="L129" s="1297"/>
      <c r="M129" s="1297"/>
      <c r="N129" s="1298"/>
      <c r="O129" s="142"/>
      <c r="P129" s="115"/>
      <c r="R129" s="499" t="str">
        <f t="shared" si="0"/>
        <v>n.a.</v>
      </c>
    </row>
    <row r="130" spans="1:18" ht="12.75" hidden="1" customHeight="1" x14ac:dyDescent="0.25">
      <c r="A130" s="113" t="s">
        <v>0</v>
      </c>
      <c r="B130" s="132"/>
      <c r="C130" s="132"/>
      <c r="D130" s="496">
        <v>101</v>
      </c>
      <c r="E130" s="25"/>
      <c r="F130" s="26"/>
      <c r="G130" s="1296"/>
      <c r="H130" s="1297"/>
      <c r="I130" s="1298"/>
      <c r="J130" s="1296"/>
      <c r="K130" s="1297"/>
      <c r="L130" s="1297"/>
      <c r="M130" s="1297"/>
      <c r="N130" s="1298"/>
      <c r="O130" s="142"/>
      <c r="P130" s="115"/>
      <c r="R130" s="499" t="str">
        <f t="shared" si="0"/>
        <v>n.a.</v>
      </c>
    </row>
    <row r="131" spans="1:18" ht="12.75" hidden="1" customHeight="1" x14ac:dyDescent="0.25">
      <c r="A131" s="113" t="s">
        <v>0</v>
      </c>
      <c r="B131" s="132"/>
      <c r="C131" s="132"/>
      <c r="D131" s="496">
        <v>102</v>
      </c>
      <c r="E131" s="25"/>
      <c r="F131" s="26"/>
      <c r="G131" s="1296"/>
      <c r="H131" s="1297"/>
      <c r="I131" s="1298"/>
      <c r="J131" s="1296"/>
      <c r="K131" s="1297"/>
      <c r="L131" s="1297"/>
      <c r="M131" s="1297"/>
      <c r="N131" s="1298"/>
      <c r="O131" s="142"/>
      <c r="P131" s="115"/>
      <c r="R131" s="499" t="str">
        <f t="shared" si="0"/>
        <v>n.a.</v>
      </c>
    </row>
    <row r="132" spans="1:18" ht="12.75" hidden="1" customHeight="1" x14ac:dyDescent="0.25">
      <c r="A132" s="113" t="s">
        <v>0</v>
      </c>
      <c r="B132" s="132"/>
      <c r="C132" s="132"/>
      <c r="D132" s="496">
        <v>103</v>
      </c>
      <c r="E132" s="25"/>
      <c r="F132" s="26"/>
      <c r="G132" s="1296"/>
      <c r="H132" s="1297"/>
      <c r="I132" s="1298"/>
      <c r="J132" s="1296"/>
      <c r="K132" s="1297"/>
      <c r="L132" s="1297"/>
      <c r="M132" s="1297"/>
      <c r="N132" s="1298"/>
      <c r="O132" s="142"/>
      <c r="P132" s="115"/>
      <c r="R132" s="499" t="str">
        <f t="shared" si="0"/>
        <v>n.a.</v>
      </c>
    </row>
    <row r="133" spans="1:18" ht="12.75" hidden="1" customHeight="1" x14ac:dyDescent="0.25">
      <c r="A133" s="113" t="s">
        <v>0</v>
      </c>
      <c r="B133" s="132"/>
      <c r="C133" s="132"/>
      <c r="D133" s="496">
        <v>104</v>
      </c>
      <c r="E133" s="25"/>
      <c r="F133" s="26"/>
      <c r="G133" s="1296"/>
      <c r="H133" s="1297"/>
      <c r="I133" s="1298"/>
      <c r="J133" s="1296"/>
      <c r="K133" s="1297"/>
      <c r="L133" s="1297"/>
      <c r="M133" s="1297"/>
      <c r="N133" s="1298"/>
      <c r="O133" s="142"/>
      <c r="P133" s="115"/>
      <c r="R133" s="499" t="str">
        <f t="shared" si="0"/>
        <v>n.a.</v>
      </c>
    </row>
    <row r="134" spans="1:18" ht="12.75" hidden="1" customHeight="1" x14ac:dyDescent="0.25">
      <c r="A134" s="113" t="s">
        <v>0</v>
      </c>
      <c r="B134" s="132"/>
      <c r="C134" s="132"/>
      <c r="D134" s="496">
        <v>105</v>
      </c>
      <c r="E134" s="25"/>
      <c r="F134" s="26"/>
      <c r="G134" s="1296"/>
      <c r="H134" s="1297"/>
      <c r="I134" s="1298"/>
      <c r="J134" s="1296"/>
      <c r="K134" s="1297"/>
      <c r="L134" s="1297"/>
      <c r="M134" s="1297"/>
      <c r="N134" s="1298"/>
      <c r="O134" s="142"/>
      <c r="P134" s="115"/>
      <c r="R134" s="499" t="str">
        <f t="shared" si="0"/>
        <v>n.a.</v>
      </c>
    </row>
    <row r="135" spans="1:18" ht="12.75" hidden="1" customHeight="1" x14ac:dyDescent="0.25">
      <c r="A135" s="113" t="s">
        <v>0</v>
      </c>
      <c r="B135" s="132"/>
      <c r="C135" s="132"/>
      <c r="D135" s="496">
        <v>106</v>
      </c>
      <c r="E135" s="25"/>
      <c r="F135" s="26"/>
      <c r="G135" s="1296"/>
      <c r="H135" s="1297"/>
      <c r="I135" s="1298"/>
      <c r="J135" s="1296"/>
      <c r="K135" s="1297"/>
      <c r="L135" s="1297"/>
      <c r="M135" s="1297"/>
      <c r="N135" s="1298"/>
      <c r="O135" s="142"/>
      <c r="P135" s="115"/>
      <c r="R135" s="499" t="str">
        <f t="shared" si="0"/>
        <v>n.a.</v>
      </c>
    </row>
    <row r="136" spans="1:18" ht="12.75" hidden="1" customHeight="1" x14ac:dyDescent="0.25">
      <c r="A136" s="113" t="s">
        <v>0</v>
      </c>
      <c r="B136" s="132"/>
      <c r="C136" s="132"/>
      <c r="D136" s="496">
        <v>107</v>
      </c>
      <c r="E136" s="25"/>
      <c r="F136" s="26"/>
      <c r="G136" s="1296"/>
      <c r="H136" s="1297"/>
      <c r="I136" s="1298"/>
      <c r="J136" s="1296"/>
      <c r="K136" s="1297"/>
      <c r="L136" s="1297"/>
      <c r="M136" s="1297"/>
      <c r="N136" s="1298"/>
      <c r="O136" s="142"/>
      <c r="P136" s="115"/>
      <c r="R136" s="499" t="str">
        <f t="shared" si="0"/>
        <v>n.a.</v>
      </c>
    </row>
    <row r="137" spans="1:18" ht="12.75" hidden="1" customHeight="1" x14ac:dyDescent="0.25">
      <c r="A137" s="113" t="s">
        <v>0</v>
      </c>
      <c r="B137" s="132"/>
      <c r="C137" s="132"/>
      <c r="D137" s="496">
        <v>108</v>
      </c>
      <c r="E137" s="25"/>
      <c r="F137" s="26"/>
      <c r="G137" s="1296"/>
      <c r="H137" s="1297"/>
      <c r="I137" s="1298"/>
      <c r="J137" s="1296"/>
      <c r="K137" s="1297"/>
      <c r="L137" s="1297"/>
      <c r="M137" s="1297"/>
      <c r="N137" s="1298"/>
      <c r="O137" s="142"/>
      <c r="P137" s="115"/>
      <c r="R137" s="499" t="str">
        <f t="shared" si="0"/>
        <v>n.a.</v>
      </c>
    </row>
    <row r="138" spans="1:18" ht="12.75" hidden="1" customHeight="1" x14ac:dyDescent="0.25">
      <c r="A138" s="113" t="s">
        <v>0</v>
      </c>
      <c r="B138" s="132"/>
      <c r="C138" s="132"/>
      <c r="D138" s="496">
        <v>109</v>
      </c>
      <c r="E138" s="25"/>
      <c r="F138" s="26"/>
      <c r="G138" s="1296"/>
      <c r="H138" s="1297"/>
      <c r="I138" s="1298"/>
      <c r="J138" s="1296"/>
      <c r="K138" s="1297"/>
      <c r="L138" s="1297"/>
      <c r="M138" s="1297"/>
      <c r="N138" s="1298"/>
      <c r="O138" s="142"/>
      <c r="P138" s="115"/>
      <c r="R138" s="499" t="str">
        <f t="shared" si="0"/>
        <v>n.a.</v>
      </c>
    </row>
    <row r="139" spans="1:18" ht="12.75" hidden="1" customHeight="1" x14ac:dyDescent="0.25">
      <c r="A139" s="113" t="s">
        <v>0</v>
      </c>
      <c r="B139" s="132"/>
      <c r="C139" s="132"/>
      <c r="D139" s="496">
        <v>110</v>
      </c>
      <c r="E139" s="25"/>
      <c r="F139" s="26"/>
      <c r="G139" s="1296"/>
      <c r="H139" s="1297"/>
      <c r="I139" s="1298"/>
      <c r="J139" s="1296"/>
      <c r="K139" s="1297"/>
      <c r="L139" s="1297"/>
      <c r="M139" s="1297"/>
      <c r="N139" s="1298"/>
      <c r="O139" s="142"/>
      <c r="P139" s="115"/>
      <c r="R139" s="499" t="str">
        <f t="shared" si="0"/>
        <v>n.a.</v>
      </c>
    </row>
    <row r="140" spans="1:18" ht="12.75" hidden="1" customHeight="1" x14ac:dyDescent="0.25">
      <c r="A140" s="113" t="s">
        <v>0</v>
      </c>
      <c r="B140" s="132"/>
      <c r="C140" s="132"/>
      <c r="D140" s="496">
        <v>111</v>
      </c>
      <c r="E140" s="25"/>
      <c r="F140" s="26"/>
      <c r="G140" s="1296"/>
      <c r="H140" s="1297"/>
      <c r="I140" s="1298"/>
      <c r="J140" s="1296"/>
      <c r="K140" s="1297"/>
      <c r="L140" s="1297"/>
      <c r="M140" s="1297"/>
      <c r="N140" s="1298"/>
      <c r="O140" s="142"/>
      <c r="P140" s="115"/>
      <c r="R140" s="499" t="str">
        <f t="shared" si="0"/>
        <v>n.a.</v>
      </c>
    </row>
    <row r="141" spans="1:18" ht="12.75" hidden="1" customHeight="1" x14ac:dyDescent="0.25">
      <c r="A141" s="113" t="s">
        <v>0</v>
      </c>
      <c r="B141" s="132"/>
      <c r="C141" s="132"/>
      <c r="D141" s="496">
        <v>112</v>
      </c>
      <c r="E141" s="25"/>
      <c r="F141" s="26"/>
      <c r="G141" s="1296"/>
      <c r="H141" s="1297"/>
      <c r="I141" s="1298"/>
      <c r="J141" s="1296"/>
      <c r="K141" s="1297"/>
      <c r="L141" s="1297"/>
      <c r="M141" s="1297"/>
      <c r="N141" s="1298"/>
      <c r="O141" s="142"/>
      <c r="P141" s="115"/>
      <c r="R141" s="499" t="str">
        <f t="shared" si="0"/>
        <v>n.a.</v>
      </c>
    </row>
    <row r="142" spans="1:18" ht="12.75" hidden="1" customHeight="1" x14ac:dyDescent="0.25">
      <c r="A142" s="113" t="s">
        <v>0</v>
      </c>
      <c r="B142" s="132"/>
      <c r="C142" s="132"/>
      <c r="D142" s="496">
        <v>113</v>
      </c>
      <c r="E142" s="25"/>
      <c r="F142" s="26"/>
      <c r="G142" s="1296"/>
      <c r="H142" s="1297"/>
      <c r="I142" s="1298"/>
      <c r="J142" s="1296"/>
      <c r="K142" s="1297"/>
      <c r="L142" s="1297"/>
      <c r="M142" s="1297"/>
      <c r="N142" s="1298"/>
      <c r="O142" s="142"/>
      <c r="P142" s="115"/>
      <c r="R142" s="499" t="str">
        <f t="shared" si="0"/>
        <v>n.a.</v>
      </c>
    </row>
    <row r="143" spans="1:18" ht="12.75" hidden="1" customHeight="1" x14ac:dyDescent="0.25">
      <c r="A143" s="113" t="s">
        <v>0</v>
      </c>
      <c r="B143" s="132"/>
      <c r="C143" s="132"/>
      <c r="D143" s="496">
        <v>114</v>
      </c>
      <c r="E143" s="25"/>
      <c r="F143" s="26"/>
      <c r="G143" s="1296"/>
      <c r="H143" s="1297"/>
      <c r="I143" s="1298"/>
      <c r="J143" s="1296"/>
      <c r="K143" s="1297"/>
      <c r="L143" s="1297"/>
      <c r="M143" s="1297"/>
      <c r="N143" s="1298"/>
      <c r="O143" s="142"/>
      <c r="P143" s="115"/>
      <c r="R143" s="499" t="str">
        <f t="shared" si="0"/>
        <v>n.a.</v>
      </c>
    </row>
    <row r="144" spans="1:18" ht="12.75" hidden="1" customHeight="1" x14ac:dyDescent="0.25">
      <c r="A144" s="113" t="s">
        <v>0</v>
      </c>
      <c r="B144" s="132"/>
      <c r="C144" s="132"/>
      <c r="D144" s="496">
        <v>115</v>
      </c>
      <c r="E144" s="25"/>
      <c r="F144" s="26"/>
      <c r="G144" s="1296"/>
      <c r="H144" s="1297"/>
      <c r="I144" s="1298"/>
      <c r="J144" s="1296"/>
      <c r="K144" s="1297"/>
      <c r="L144" s="1297"/>
      <c r="M144" s="1297"/>
      <c r="N144" s="1298"/>
      <c r="O144" s="142"/>
      <c r="P144" s="115"/>
      <c r="R144" s="499" t="str">
        <f t="shared" si="0"/>
        <v>n.a.</v>
      </c>
    </row>
    <row r="145" spans="1:18" ht="12.75" hidden="1" customHeight="1" x14ac:dyDescent="0.25">
      <c r="A145" s="113" t="s">
        <v>0</v>
      </c>
      <c r="B145" s="132"/>
      <c r="C145" s="132"/>
      <c r="D145" s="496">
        <v>116</v>
      </c>
      <c r="E145" s="25"/>
      <c r="F145" s="26"/>
      <c r="G145" s="1296"/>
      <c r="H145" s="1297"/>
      <c r="I145" s="1298"/>
      <c r="J145" s="1296"/>
      <c r="K145" s="1297"/>
      <c r="L145" s="1297"/>
      <c r="M145" s="1297"/>
      <c r="N145" s="1298"/>
      <c r="O145" s="142"/>
      <c r="P145" s="115"/>
      <c r="R145" s="499" t="str">
        <f t="shared" si="0"/>
        <v>n.a.</v>
      </c>
    </row>
    <row r="146" spans="1:18" ht="12.75" hidden="1" customHeight="1" x14ac:dyDescent="0.25">
      <c r="A146" s="113" t="s">
        <v>0</v>
      </c>
      <c r="B146" s="132"/>
      <c r="C146" s="132"/>
      <c r="D146" s="496">
        <v>117</v>
      </c>
      <c r="E146" s="25"/>
      <c r="F146" s="26"/>
      <c r="G146" s="1296"/>
      <c r="H146" s="1297"/>
      <c r="I146" s="1298"/>
      <c r="J146" s="1296"/>
      <c r="K146" s="1297"/>
      <c r="L146" s="1297"/>
      <c r="M146" s="1297"/>
      <c r="N146" s="1298"/>
      <c r="O146" s="142"/>
      <c r="P146" s="115"/>
      <c r="R146" s="499" t="str">
        <f t="shared" si="0"/>
        <v>n.a.</v>
      </c>
    </row>
    <row r="147" spans="1:18" ht="12.75" hidden="1" customHeight="1" x14ac:dyDescent="0.25">
      <c r="A147" s="113" t="s">
        <v>0</v>
      </c>
      <c r="B147" s="132"/>
      <c r="C147" s="132"/>
      <c r="D147" s="496">
        <v>118</v>
      </c>
      <c r="E147" s="25"/>
      <c r="F147" s="26"/>
      <c r="G147" s="1296"/>
      <c r="H147" s="1297"/>
      <c r="I147" s="1298"/>
      <c r="J147" s="1296"/>
      <c r="K147" s="1297"/>
      <c r="L147" s="1297"/>
      <c r="M147" s="1297"/>
      <c r="N147" s="1298"/>
      <c r="O147" s="142"/>
      <c r="P147" s="115"/>
      <c r="R147" s="499" t="str">
        <f t="shared" si="0"/>
        <v>n.a.</v>
      </c>
    </row>
    <row r="148" spans="1:18" ht="12.75" hidden="1" customHeight="1" x14ac:dyDescent="0.25">
      <c r="A148" s="113" t="s">
        <v>0</v>
      </c>
      <c r="B148" s="132"/>
      <c r="C148" s="132"/>
      <c r="D148" s="496">
        <v>119</v>
      </c>
      <c r="E148" s="25"/>
      <c r="F148" s="26"/>
      <c r="G148" s="1296"/>
      <c r="H148" s="1297"/>
      <c r="I148" s="1298"/>
      <c r="J148" s="1296"/>
      <c r="K148" s="1297"/>
      <c r="L148" s="1297"/>
      <c r="M148" s="1297"/>
      <c r="N148" s="1298"/>
      <c r="O148" s="142"/>
      <c r="P148" s="115"/>
      <c r="R148" s="499" t="str">
        <f t="shared" si="0"/>
        <v>n.a.</v>
      </c>
    </row>
    <row r="149" spans="1:18" ht="12.75" hidden="1" customHeight="1" x14ac:dyDescent="0.25">
      <c r="A149" s="113" t="s">
        <v>0</v>
      </c>
      <c r="B149" s="132"/>
      <c r="C149" s="132"/>
      <c r="D149" s="496">
        <v>120</v>
      </c>
      <c r="E149" s="25"/>
      <c r="F149" s="26"/>
      <c r="G149" s="1296"/>
      <c r="H149" s="1297"/>
      <c r="I149" s="1298"/>
      <c r="J149" s="1296"/>
      <c r="K149" s="1297"/>
      <c r="L149" s="1297"/>
      <c r="M149" s="1297"/>
      <c r="N149" s="1298"/>
      <c r="O149" s="142"/>
      <c r="P149" s="115"/>
      <c r="R149" s="499" t="str">
        <f t="shared" si="0"/>
        <v>n.a.</v>
      </c>
    </row>
    <row r="150" spans="1:18" ht="12.75" hidden="1" customHeight="1" x14ac:dyDescent="0.25">
      <c r="A150" s="113" t="s">
        <v>0</v>
      </c>
      <c r="B150" s="132"/>
      <c r="C150" s="132"/>
      <c r="D150" s="496">
        <v>121</v>
      </c>
      <c r="E150" s="25"/>
      <c r="F150" s="26"/>
      <c r="G150" s="1296"/>
      <c r="H150" s="1297"/>
      <c r="I150" s="1298"/>
      <c r="J150" s="1296"/>
      <c r="K150" s="1297"/>
      <c r="L150" s="1297"/>
      <c r="M150" s="1297"/>
      <c r="N150" s="1298"/>
      <c r="O150" s="142"/>
      <c r="P150" s="115"/>
      <c r="R150" s="499" t="str">
        <f t="shared" si="0"/>
        <v>n.a.</v>
      </c>
    </row>
    <row r="151" spans="1:18" ht="12.75" hidden="1" customHeight="1" x14ac:dyDescent="0.25">
      <c r="A151" s="113" t="s">
        <v>0</v>
      </c>
      <c r="B151" s="132"/>
      <c r="C151" s="132"/>
      <c r="D151" s="496">
        <v>122</v>
      </c>
      <c r="E151" s="25"/>
      <c r="F151" s="26"/>
      <c r="G151" s="1296"/>
      <c r="H151" s="1297"/>
      <c r="I151" s="1298"/>
      <c r="J151" s="1296"/>
      <c r="K151" s="1297"/>
      <c r="L151" s="1297"/>
      <c r="M151" s="1297"/>
      <c r="N151" s="1298"/>
      <c r="O151" s="142"/>
      <c r="P151" s="115"/>
      <c r="R151" s="499" t="str">
        <f t="shared" si="0"/>
        <v>n.a.</v>
      </c>
    </row>
    <row r="152" spans="1:18" ht="12.75" hidden="1" customHeight="1" x14ac:dyDescent="0.25">
      <c r="A152" s="113" t="s">
        <v>0</v>
      </c>
      <c r="B152" s="132"/>
      <c r="C152" s="132"/>
      <c r="D152" s="496">
        <v>123</v>
      </c>
      <c r="E152" s="25"/>
      <c r="F152" s="26"/>
      <c r="G152" s="1296"/>
      <c r="H152" s="1297"/>
      <c r="I152" s="1298"/>
      <c r="J152" s="1296"/>
      <c r="K152" s="1297"/>
      <c r="L152" s="1297"/>
      <c r="M152" s="1297"/>
      <c r="N152" s="1298"/>
      <c r="O152" s="142"/>
      <c r="P152" s="115"/>
      <c r="R152" s="499" t="str">
        <f t="shared" si="0"/>
        <v>n.a.</v>
      </c>
    </row>
    <row r="153" spans="1:18" ht="12.75" hidden="1" customHeight="1" x14ac:dyDescent="0.25">
      <c r="A153" s="113" t="s">
        <v>0</v>
      </c>
      <c r="B153" s="132"/>
      <c r="C153" s="132"/>
      <c r="D153" s="496">
        <v>124</v>
      </c>
      <c r="E153" s="25"/>
      <c r="F153" s="26"/>
      <c r="G153" s="1296"/>
      <c r="H153" s="1297"/>
      <c r="I153" s="1298"/>
      <c r="J153" s="1296"/>
      <c r="K153" s="1297"/>
      <c r="L153" s="1297"/>
      <c r="M153" s="1297"/>
      <c r="N153" s="1298"/>
      <c r="O153" s="142"/>
      <c r="P153" s="115"/>
      <c r="R153" s="499" t="str">
        <f t="shared" si="0"/>
        <v>n.a.</v>
      </c>
    </row>
    <row r="154" spans="1:18" ht="12.75" hidden="1" customHeight="1" x14ac:dyDescent="0.25">
      <c r="A154" s="113" t="s">
        <v>0</v>
      </c>
      <c r="B154" s="132"/>
      <c r="C154" s="132"/>
      <c r="D154" s="496">
        <v>125</v>
      </c>
      <c r="E154" s="25"/>
      <c r="F154" s="26"/>
      <c r="G154" s="1296"/>
      <c r="H154" s="1297"/>
      <c r="I154" s="1298"/>
      <c r="J154" s="1296"/>
      <c r="K154" s="1297"/>
      <c r="L154" s="1297"/>
      <c r="M154" s="1297"/>
      <c r="N154" s="1298"/>
      <c r="O154" s="142"/>
      <c r="P154" s="115"/>
      <c r="R154" s="499" t="str">
        <f t="shared" si="0"/>
        <v>n.a.</v>
      </c>
    </row>
    <row r="155" spans="1:18" ht="12.75" hidden="1" customHeight="1" x14ac:dyDescent="0.25">
      <c r="A155" s="113" t="s">
        <v>0</v>
      </c>
      <c r="B155" s="132"/>
      <c r="C155" s="132"/>
      <c r="D155" s="496">
        <v>126</v>
      </c>
      <c r="E155" s="25"/>
      <c r="F155" s="26"/>
      <c r="G155" s="1296"/>
      <c r="H155" s="1297"/>
      <c r="I155" s="1298"/>
      <c r="J155" s="1296"/>
      <c r="K155" s="1297"/>
      <c r="L155" s="1297"/>
      <c r="M155" s="1297"/>
      <c r="N155" s="1298"/>
      <c r="O155" s="142"/>
      <c r="P155" s="115"/>
      <c r="R155" s="499" t="str">
        <f t="shared" si="0"/>
        <v>n.a.</v>
      </c>
    </row>
    <row r="156" spans="1:18" ht="12.75" hidden="1" customHeight="1" x14ac:dyDescent="0.25">
      <c r="A156" s="113" t="s">
        <v>0</v>
      </c>
      <c r="B156" s="132"/>
      <c r="C156" s="132"/>
      <c r="D156" s="496">
        <v>127</v>
      </c>
      <c r="E156" s="25"/>
      <c r="F156" s="26"/>
      <c r="G156" s="1296"/>
      <c r="H156" s="1297"/>
      <c r="I156" s="1298"/>
      <c r="J156" s="1296"/>
      <c r="K156" s="1297"/>
      <c r="L156" s="1297"/>
      <c r="M156" s="1297"/>
      <c r="N156" s="1298"/>
      <c r="O156" s="142"/>
      <c r="P156" s="115"/>
      <c r="R156" s="499" t="str">
        <f t="shared" si="0"/>
        <v>n.a.</v>
      </c>
    </row>
    <row r="157" spans="1:18" ht="12.75" hidden="1" customHeight="1" x14ac:dyDescent="0.25">
      <c r="A157" s="113" t="s">
        <v>0</v>
      </c>
      <c r="B157" s="132"/>
      <c r="C157" s="132"/>
      <c r="D157" s="496">
        <v>128</v>
      </c>
      <c r="E157" s="25"/>
      <c r="F157" s="26"/>
      <c r="G157" s="1296"/>
      <c r="H157" s="1297"/>
      <c r="I157" s="1298"/>
      <c r="J157" s="1296"/>
      <c r="K157" s="1297"/>
      <c r="L157" s="1297"/>
      <c r="M157" s="1297"/>
      <c r="N157" s="1298"/>
      <c r="O157" s="142"/>
      <c r="P157" s="115"/>
      <c r="R157" s="499" t="str">
        <f t="shared" si="0"/>
        <v>n.a.</v>
      </c>
    </row>
    <row r="158" spans="1:18" ht="12.75" hidden="1" customHeight="1" x14ac:dyDescent="0.25">
      <c r="A158" s="113" t="s">
        <v>0</v>
      </c>
      <c r="B158" s="132"/>
      <c r="C158" s="132"/>
      <c r="D158" s="496">
        <v>129</v>
      </c>
      <c r="E158" s="25"/>
      <c r="F158" s="26"/>
      <c r="G158" s="1296"/>
      <c r="H158" s="1297"/>
      <c r="I158" s="1298"/>
      <c r="J158" s="1296"/>
      <c r="K158" s="1297"/>
      <c r="L158" s="1297"/>
      <c r="M158" s="1297"/>
      <c r="N158" s="1298"/>
      <c r="O158" s="142"/>
      <c r="P158" s="115"/>
      <c r="R158" s="499" t="str">
        <f t="shared" si="0"/>
        <v>n.a.</v>
      </c>
    </row>
    <row r="159" spans="1:18" ht="12.75" hidden="1" customHeight="1" x14ac:dyDescent="0.25">
      <c r="A159" s="113" t="s">
        <v>0</v>
      </c>
      <c r="B159" s="132"/>
      <c r="C159" s="132"/>
      <c r="D159" s="496">
        <v>130</v>
      </c>
      <c r="E159" s="25"/>
      <c r="F159" s="26"/>
      <c r="G159" s="1296"/>
      <c r="H159" s="1297"/>
      <c r="I159" s="1298"/>
      <c r="J159" s="1296"/>
      <c r="K159" s="1297"/>
      <c r="L159" s="1297"/>
      <c r="M159" s="1297"/>
      <c r="N159" s="1298"/>
      <c r="O159" s="142"/>
      <c r="P159" s="115"/>
      <c r="R159" s="499" t="str">
        <f t="shared" si="0"/>
        <v>n.a.</v>
      </c>
    </row>
    <row r="160" spans="1:18" ht="12.75" hidden="1" customHeight="1" x14ac:dyDescent="0.25">
      <c r="A160" s="113" t="s">
        <v>0</v>
      </c>
      <c r="B160" s="132"/>
      <c r="C160" s="132"/>
      <c r="D160" s="496">
        <v>131</v>
      </c>
      <c r="E160" s="25"/>
      <c r="F160" s="26"/>
      <c r="G160" s="1296"/>
      <c r="H160" s="1297"/>
      <c r="I160" s="1298"/>
      <c r="J160" s="1296"/>
      <c r="K160" s="1297"/>
      <c r="L160" s="1297"/>
      <c r="M160" s="1297"/>
      <c r="N160" s="1298"/>
      <c r="O160" s="142"/>
      <c r="P160" s="115"/>
      <c r="R160" s="499" t="str">
        <f t="shared" si="0"/>
        <v>n.a.</v>
      </c>
    </row>
    <row r="161" spans="1:18" ht="12.75" hidden="1" customHeight="1" x14ac:dyDescent="0.25">
      <c r="A161" s="113" t="s">
        <v>0</v>
      </c>
      <c r="B161" s="132"/>
      <c r="C161" s="132"/>
      <c r="D161" s="496">
        <v>132</v>
      </c>
      <c r="E161" s="25"/>
      <c r="F161" s="26"/>
      <c r="G161" s="1296"/>
      <c r="H161" s="1297"/>
      <c r="I161" s="1298"/>
      <c r="J161" s="1296"/>
      <c r="K161" s="1297"/>
      <c r="L161" s="1297"/>
      <c r="M161" s="1297"/>
      <c r="N161" s="1298"/>
      <c r="O161" s="142"/>
      <c r="P161" s="115"/>
      <c r="R161" s="499" t="str">
        <f t="shared" si="0"/>
        <v>n.a.</v>
      </c>
    </row>
    <row r="162" spans="1:18" ht="12.75" hidden="1" customHeight="1" x14ac:dyDescent="0.25">
      <c r="A162" s="113" t="s">
        <v>0</v>
      </c>
      <c r="B162" s="132"/>
      <c r="C162" s="132"/>
      <c r="D162" s="496">
        <v>133</v>
      </c>
      <c r="E162" s="25"/>
      <c r="F162" s="26"/>
      <c r="G162" s="1296"/>
      <c r="H162" s="1297"/>
      <c r="I162" s="1298"/>
      <c r="J162" s="1296"/>
      <c r="K162" s="1297"/>
      <c r="L162" s="1297"/>
      <c r="M162" s="1297"/>
      <c r="N162" s="1298"/>
      <c r="O162" s="142"/>
      <c r="P162" s="115"/>
      <c r="R162" s="499" t="str">
        <f t="shared" si="0"/>
        <v>n.a.</v>
      </c>
    </row>
    <row r="163" spans="1:18" ht="12.75" hidden="1" customHeight="1" x14ac:dyDescent="0.25">
      <c r="A163" s="113" t="s">
        <v>0</v>
      </c>
      <c r="B163" s="132"/>
      <c r="C163" s="132"/>
      <c r="D163" s="496">
        <v>134</v>
      </c>
      <c r="E163" s="25"/>
      <c r="F163" s="26"/>
      <c r="G163" s="1296"/>
      <c r="H163" s="1297"/>
      <c r="I163" s="1298"/>
      <c r="J163" s="1296"/>
      <c r="K163" s="1297"/>
      <c r="L163" s="1297"/>
      <c r="M163" s="1297"/>
      <c r="N163" s="1298"/>
      <c r="O163" s="142"/>
      <c r="P163" s="115"/>
      <c r="R163" s="499" t="str">
        <f t="shared" si="0"/>
        <v>n.a.</v>
      </c>
    </row>
    <row r="164" spans="1:18" ht="12.75" hidden="1" customHeight="1" x14ac:dyDescent="0.25">
      <c r="A164" s="113" t="s">
        <v>0</v>
      </c>
      <c r="B164" s="132"/>
      <c r="C164" s="132"/>
      <c r="D164" s="496">
        <v>135</v>
      </c>
      <c r="E164" s="25"/>
      <c r="F164" s="26"/>
      <c r="G164" s="1296"/>
      <c r="H164" s="1297"/>
      <c r="I164" s="1298"/>
      <c r="J164" s="1296"/>
      <c r="K164" s="1297"/>
      <c r="L164" s="1297"/>
      <c r="M164" s="1297"/>
      <c r="N164" s="1298"/>
      <c r="O164" s="142"/>
      <c r="P164" s="115"/>
      <c r="R164" s="499" t="str">
        <f t="shared" si="0"/>
        <v>n.a.</v>
      </c>
    </row>
    <row r="165" spans="1:18" ht="12.75" hidden="1" customHeight="1" x14ac:dyDescent="0.25">
      <c r="A165" s="113" t="s">
        <v>0</v>
      </c>
      <c r="B165" s="132"/>
      <c r="C165" s="132"/>
      <c r="D165" s="496">
        <v>136</v>
      </c>
      <c r="E165" s="25"/>
      <c r="F165" s="26"/>
      <c r="G165" s="1296"/>
      <c r="H165" s="1297"/>
      <c r="I165" s="1298"/>
      <c r="J165" s="1296"/>
      <c r="K165" s="1297"/>
      <c r="L165" s="1297"/>
      <c r="M165" s="1297"/>
      <c r="N165" s="1298"/>
      <c r="O165" s="142"/>
      <c r="P165" s="115"/>
      <c r="R165" s="499" t="str">
        <f t="shared" si="0"/>
        <v>n.a.</v>
      </c>
    </row>
    <row r="166" spans="1:18" ht="12.75" hidden="1" customHeight="1" x14ac:dyDescent="0.25">
      <c r="A166" s="113" t="s">
        <v>0</v>
      </c>
      <c r="B166" s="132"/>
      <c r="C166" s="132"/>
      <c r="D166" s="496">
        <v>137</v>
      </c>
      <c r="E166" s="25"/>
      <c r="F166" s="26"/>
      <c r="G166" s="1296"/>
      <c r="H166" s="1297"/>
      <c r="I166" s="1298"/>
      <c r="J166" s="1296"/>
      <c r="K166" s="1297"/>
      <c r="L166" s="1297"/>
      <c r="M166" s="1297"/>
      <c r="N166" s="1298"/>
      <c r="O166" s="142"/>
      <c r="P166" s="115"/>
      <c r="R166" s="499" t="str">
        <f t="shared" si="0"/>
        <v>n.a.</v>
      </c>
    </row>
    <row r="167" spans="1:18" ht="12.75" hidden="1" customHeight="1" x14ac:dyDescent="0.25">
      <c r="A167" s="113" t="s">
        <v>0</v>
      </c>
      <c r="B167" s="132"/>
      <c r="C167" s="132"/>
      <c r="D167" s="496">
        <v>138</v>
      </c>
      <c r="E167" s="25"/>
      <c r="F167" s="26"/>
      <c r="G167" s="1296"/>
      <c r="H167" s="1297"/>
      <c r="I167" s="1298"/>
      <c r="J167" s="1296"/>
      <c r="K167" s="1297"/>
      <c r="L167" s="1297"/>
      <c r="M167" s="1297"/>
      <c r="N167" s="1298"/>
      <c r="O167" s="142"/>
      <c r="P167" s="115"/>
      <c r="R167" s="499" t="str">
        <f t="shared" si="0"/>
        <v>n.a.</v>
      </c>
    </row>
    <row r="168" spans="1:18" ht="12.75" hidden="1" customHeight="1" x14ac:dyDescent="0.25">
      <c r="A168" s="113" t="s">
        <v>0</v>
      </c>
      <c r="B168" s="132"/>
      <c r="C168" s="132"/>
      <c r="D168" s="496">
        <v>139</v>
      </c>
      <c r="E168" s="25"/>
      <c r="F168" s="26"/>
      <c r="G168" s="1296"/>
      <c r="H168" s="1297"/>
      <c r="I168" s="1298"/>
      <c r="J168" s="1296"/>
      <c r="K168" s="1297"/>
      <c r="L168" s="1297"/>
      <c r="M168" s="1297"/>
      <c r="N168" s="1298"/>
      <c r="O168" s="142"/>
      <c r="P168" s="115"/>
      <c r="R168" s="499" t="str">
        <f t="shared" si="0"/>
        <v>n.a.</v>
      </c>
    </row>
    <row r="169" spans="1:18" ht="12.75" hidden="1" customHeight="1" x14ac:dyDescent="0.25">
      <c r="A169" s="113" t="s">
        <v>0</v>
      </c>
      <c r="B169" s="132"/>
      <c r="C169" s="132"/>
      <c r="D169" s="496">
        <v>140</v>
      </c>
      <c r="E169" s="25"/>
      <c r="F169" s="26"/>
      <c r="G169" s="1296"/>
      <c r="H169" s="1297"/>
      <c r="I169" s="1298"/>
      <c r="J169" s="1296"/>
      <c r="K169" s="1297"/>
      <c r="L169" s="1297"/>
      <c r="M169" s="1297"/>
      <c r="N169" s="1298"/>
      <c r="O169" s="142"/>
      <c r="P169" s="115"/>
      <c r="R169" s="499" t="str">
        <f t="shared" si="0"/>
        <v>n.a.</v>
      </c>
    </row>
    <row r="170" spans="1:18" ht="12.75" hidden="1" customHeight="1" x14ac:dyDescent="0.25">
      <c r="A170" s="113" t="s">
        <v>0</v>
      </c>
      <c r="B170" s="132"/>
      <c r="C170" s="132"/>
      <c r="D170" s="496">
        <v>141</v>
      </c>
      <c r="E170" s="25"/>
      <c r="F170" s="26"/>
      <c r="G170" s="1296"/>
      <c r="H170" s="1297"/>
      <c r="I170" s="1298"/>
      <c r="J170" s="1296"/>
      <c r="K170" s="1297"/>
      <c r="L170" s="1297"/>
      <c r="M170" s="1297"/>
      <c r="N170" s="1298"/>
      <c r="O170" s="142"/>
      <c r="P170" s="115"/>
      <c r="R170" s="499" t="str">
        <f t="shared" si="0"/>
        <v>n.a.</v>
      </c>
    </row>
    <row r="171" spans="1:18" ht="12.75" hidden="1" customHeight="1" x14ac:dyDescent="0.25">
      <c r="A171" s="113" t="s">
        <v>0</v>
      </c>
      <c r="B171" s="132"/>
      <c r="C171" s="132"/>
      <c r="D171" s="496">
        <v>142</v>
      </c>
      <c r="E171" s="25"/>
      <c r="F171" s="26"/>
      <c r="G171" s="1296"/>
      <c r="H171" s="1297"/>
      <c r="I171" s="1298"/>
      <c r="J171" s="1296"/>
      <c r="K171" s="1297"/>
      <c r="L171" s="1297"/>
      <c r="M171" s="1297"/>
      <c r="N171" s="1298"/>
      <c r="O171" s="142"/>
      <c r="P171" s="115"/>
      <c r="R171" s="499" t="str">
        <f t="shared" si="0"/>
        <v>n.a.</v>
      </c>
    </row>
    <row r="172" spans="1:18" ht="12.75" hidden="1" customHeight="1" x14ac:dyDescent="0.25">
      <c r="A172" s="113" t="s">
        <v>0</v>
      </c>
      <c r="B172" s="132"/>
      <c r="C172" s="132"/>
      <c r="D172" s="496">
        <v>143</v>
      </c>
      <c r="E172" s="25"/>
      <c r="F172" s="26"/>
      <c r="G172" s="1296"/>
      <c r="H172" s="1297"/>
      <c r="I172" s="1298"/>
      <c r="J172" s="1296"/>
      <c r="K172" s="1297"/>
      <c r="L172" s="1297"/>
      <c r="M172" s="1297"/>
      <c r="N172" s="1298"/>
      <c r="O172" s="142"/>
      <c r="P172" s="115"/>
      <c r="R172" s="499" t="str">
        <f t="shared" si="0"/>
        <v>n.a.</v>
      </c>
    </row>
    <row r="173" spans="1:18" ht="12.75" hidden="1" customHeight="1" x14ac:dyDescent="0.25">
      <c r="A173" s="113" t="s">
        <v>0</v>
      </c>
      <c r="B173" s="132"/>
      <c r="C173" s="132"/>
      <c r="D173" s="496">
        <v>144</v>
      </c>
      <c r="E173" s="25"/>
      <c r="F173" s="26"/>
      <c r="G173" s="1296"/>
      <c r="H173" s="1297"/>
      <c r="I173" s="1298"/>
      <c r="J173" s="1296"/>
      <c r="K173" s="1297"/>
      <c r="L173" s="1297"/>
      <c r="M173" s="1297"/>
      <c r="N173" s="1298"/>
      <c r="O173" s="142"/>
      <c r="P173" s="115"/>
      <c r="R173" s="499" t="str">
        <f t="shared" si="0"/>
        <v>n.a.</v>
      </c>
    </row>
    <row r="174" spans="1:18" ht="12.75" hidden="1" customHeight="1" x14ac:dyDescent="0.25">
      <c r="A174" s="113" t="s">
        <v>0</v>
      </c>
      <c r="B174" s="132"/>
      <c r="C174" s="132"/>
      <c r="D174" s="496">
        <v>145</v>
      </c>
      <c r="E174" s="25"/>
      <c r="F174" s="26"/>
      <c r="G174" s="1296"/>
      <c r="H174" s="1297"/>
      <c r="I174" s="1298"/>
      <c r="J174" s="1296"/>
      <c r="K174" s="1297"/>
      <c r="L174" s="1297"/>
      <c r="M174" s="1297"/>
      <c r="N174" s="1298"/>
      <c r="O174" s="142"/>
      <c r="P174" s="115"/>
      <c r="R174" s="499" t="str">
        <f t="shared" si="0"/>
        <v>n.a.</v>
      </c>
    </row>
    <row r="175" spans="1:18" ht="12.75" hidden="1" customHeight="1" x14ac:dyDescent="0.25">
      <c r="A175" s="113" t="s">
        <v>0</v>
      </c>
      <c r="B175" s="132"/>
      <c r="C175" s="132"/>
      <c r="D175" s="496">
        <v>146</v>
      </c>
      <c r="E175" s="25"/>
      <c r="F175" s="26"/>
      <c r="G175" s="1296"/>
      <c r="H175" s="1297"/>
      <c r="I175" s="1298"/>
      <c r="J175" s="1296"/>
      <c r="K175" s="1297"/>
      <c r="L175" s="1297"/>
      <c r="M175" s="1297"/>
      <c r="N175" s="1298"/>
      <c r="O175" s="142"/>
      <c r="P175" s="115"/>
      <c r="R175" s="499" t="str">
        <f t="shared" si="0"/>
        <v>n.a.</v>
      </c>
    </row>
    <row r="176" spans="1:18" ht="12.75" hidden="1" customHeight="1" x14ac:dyDescent="0.25">
      <c r="A176" s="113" t="s">
        <v>0</v>
      </c>
      <c r="B176" s="132"/>
      <c r="C176" s="132"/>
      <c r="D176" s="496">
        <v>147</v>
      </c>
      <c r="E176" s="25"/>
      <c r="F176" s="26"/>
      <c r="G176" s="1296"/>
      <c r="H176" s="1297"/>
      <c r="I176" s="1298"/>
      <c r="J176" s="1296"/>
      <c r="K176" s="1297"/>
      <c r="L176" s="1297"/>
      <c r="M176" s="1297"/>
      <c r="N176" s="1298"/>
      <c r="O176" s="142"/>
      <c r="P176" s="115"/>
      <c r="R176" s="499" t="str">
        <f t="shared" si="0"/>
        <v>n.a.</v>
      </c>
    </row>
    <row r="177" spans="1:18" ht="12.75" hidden="1" customHeight="1" x14ac:dyDescent="0.25">
      <c r="A177" s="113" t="s">
        <v>0</v>
      </c>
      <c r="B177" s="132"/>
      <c r="C177" s="132"/>
      <c r="D177" s="496">
        <v>148</v>
      </c>
      <c r="E177" s="25"/>
      <c r="F177" s="26"/>
      <c r="G177" s="1296"/>
      <c r="H177" s="1297"/>
      <c r="I177" s="1298"/>
      <c r="J177" s="1296"/>
      <c r="K177" s="1297"/>
      <c r="L177" s="1297"/>
      <c r="M177" s="1297"/>
      <c r="N177" s="1298"/>
      <c r="O177" s="142"/>
      <c r="P177" s="115"/>
      <c r="R177" s="499" t="str">
        <f t="shared" si="0"/>
        <v>n.a.</v>
      </c>
    </row>
    <row r="178" spans="1:18" ht="12.75" hidden="1" customHeight="1" x14ac:dyDescent="0.25">
      <c r="A178" s="113" t="s">
        <v>0</v>
      </c>
      <c r="B178" s="132"/>
      <c r="C178" s="132"/>
      <c r="D178" s="496">
        <v>149</v>
      </c>
      <c r="E178" s="25"/>
      <c r="F178" s="26"/>
      <c r="G178" s="1296"/>
      <c r="H178" s="1297"/>
      <c r="I178" s="1298"/>
      <c r="J178" s="1296"/>
      <c r="K178" s="1297"/>
      <c r="L178" s="1297"/>
      <c r="M178" s="1297"/>
      <c r="N178" s="1298"/>
      <c r="O178" s="142"/>
      <c r="P178" s="115"/>
      <c r="R178" s="499" t="str">
        <f t="shared" si="0"/>
        <v>n.a.</v>
      </c>
    </row>
    <row r="179" spans="1:18" ht="12.75" hidden="1" customHeight="1" x14ac:dyDescent="0.25">
      <c r="A179" s="113" t="s">
        <v>0</v>
      </c>
      <c r="B179" s="132"/>
      <c r="C179" s="132"/>
      <c r="D179" s="496">
        <v>150</v>
      </c>
      <c r="E179" s="25"/>
      <c r="F179" s="26"/>
      <c r="G179" s="1296"/>
      <c r="H179" s="1297"/>
      <c r="I179" s="1298"/>
      <c r="J179" s="1296"/>
      <c r="K179" s="1297"/>
      <c r="L179" s="1297"/>
      <c r="M179" s="1297"/>
      <c r="N179" s="1298"/>
      <c r="O179" s="142"/>
      <c r="P179" s="115"/>
      <c r="R179" s="499" t="str">
        <f t="shared" si="0"/>
        <v>n.a.</v>
      </c>
    </row>
    <row r="180" spans="1:18" ht="12.75" hidden="1" customHeight="1" x14ac:dyDescent="0.25">
      <c r="A180" s="113" t="s">
        <v>0</v>
      </c>
      <c r="B180" s="132"/>
      <c r="C180" s="132"/>
      <c r="D180" s="496">
        <v>151</v>
      </c>
      <c r="E180" s="25"/>
      <c r="F180" s="26"/>
      <c r="G180" s="1296"/>
      <c r="H180" s="1297"/>
      <c r="I180" s="1298"/>
      <c r="J180" s="1296"/>
      <c r="K180" s="1297"/>
      <c r="L180" s="1297"/>
      <c r="M180" s="1297"/>
      <c r="N180" s="1298"/>
      <c r="O180" s="142"/>
      <c r="P180" s="115"/>
      <c r="R180" s="499" t="str">
        <f t="shared" si="0"/>
        <v>n.a.</v>
      </c>
    </row>
    <row r="181" spans="1:18" ht="12.75" hidden="1" customHeight="1" x14ac:dyDescent="0.25">
      <c r="A181" s="113" t="s">
        <v>0</v>
      </c>
      <c r="B181" s="132"/>
      <c r="C181" s="132"/>
      <c r="D181" s="496">
        <v>152</v>
      </c>
      <c r="E181" s="25"/>
      <c r="F181" s="26"/>
      <c r="G181" s="1296"/>
      <c r="H181" s="1297"/>
      <c r="I181" s="1298"/>
      <c r="J181" s="1296"/>
      <c r="K181" s="1297"/>
      <c r="L181" s="1297"/>
      <c r="M181" s="1297"/>
      <c r="N181" s="1298"/>
      <c r="O181" s="142"/>
      <c r="P181" s="115"/>
      <c r="R181" s="499" t="str">
        <f t="shared" si="0"/>
        <v>n.a.</v>
      </c>
    </row>
    <row r="182" spans="1:18" ht="12.75" hidden="1" customHeight="1" x14ac:dyDescent="0.25">
      <c r="A182" s="113" t="s">
        <v>0</v>
      </c>
      <c r="B182" s="132"/>
      <c r="C182" s="132"/>
      <c r="D182" s="496">
        <v>153</v>
      </c>
      <c r="E182" s="25"/>
      <c r="F182" s="26"/>
      <c r="G182" s="1296"/>
      <c r="H182" s="1297"/>
      <c r="I182" s="1298"/>
      <c r="J182" s="1296"/>
      <c r="K182" s="1297"/>
      <c r="L182" s="1297"/>
      <c r="M182" s="1297"/>
      <c r="N182" s="1298"/>
      <c r="O182" s="142"/>
      <c r="P182" s="115"/>
      <c r="R182" s="499" t="str">
        <f t="shared" si="0"/>
        <v>n.a.</v>
      </c>
    </row>
    <row r="183" spans="1:18" ht="12.75" hidden="1" customHeight="1" x14ac:dyDescent="0.25">
      <c r="A183" s="113" t="s">
        <v>0</v>
      </c>
      <c r="B183" s="132"/>
      <c r="C183" s="132"/>
      <c r="D183" s="496">
        <v>154</v>
      </c>
      <c r="E183" s="25"/>
      <c r="F183" s="26"/>
      <c r="G183" s="1296"/>
      <c r="H183" s="1297"/>
      <c r="I183" s="1298"/>
      <c r="J183" s="1296"/>
      <c r="K183" s="1297"/>
      <c r="L183" s="1297"/>
      <c r="M183" s="1297"/>
      <c r="N183" s="1298"/>
      <c r="O183" s="142"/>
      <c r="P183" s="115"/>
      <c r="R183" s="499" t="str">
        <f t="shared" si="0"/>
        <v>n.a.</v>
      </c>
    </row>
    <row r="184" spans="1:18" ht="12.75" hidden="1" customHeight="1" x14ac:dyDescent="0.25">
      <c r="A184" s="113" t="s">
        <v>0</v>
      </c>
      <c r="B184" s="132"/>
      <c r="C184" s="132"/>
      <c r="D184" s="496">
        <v>155</v>
      </c>
      <c r="E184" s="25"/>
      <c r="F184" s="26"/>
      <c r="G184" s="1296"/>
      <c r="H184" s="1297"/>
      <c r="I184" s="1298"/>
      <c r="J184" s="1296"/>
      <c r="K184" s="1297"/>
      <c r="L184" s="1297"/>
      <c r="M184" s="1297"/>
      <c r="N184" s="1298"/>
      <c r="O184" s="142"/>
      <c r="P184" s="115"/>
      <c r="R184" s="499" t="str">
        <f t="shared" si="0"/>
        <v>n.a.</v>
      </c>
    </row>
    <row r="185" spans="1:18" ht="12.75" hidden="1" customHeight="1" x14ac:dyDescent="0.25">
      <c r="A185" s="113" t="s">
        <v>0</v>
      </c>
      <c r="B185" s="132"/>
      <c r="C185" s="132"/>
      <c r="D185" s="496">
        <v>156</v>
      </c>
      <c r="E185" s="25"/>
      <c r="F185" s="26"/>
      <c r="G185" s="1296"/>
      <c r="H185" s="1297"/>
      <c r="I185" s="1298"/>
      <c r="J185" s="1296"/>
      <c r="K185" s="1297"/>
      <c r="L185" s="1297"/>
      <c r="M185" s="1297"/>
      <c r="N185" s="1298"/>
      <c r="O185" s="142"/>
      <c r="P185" s="115"/>
      <c r="R185" s="499" t="str">
        <f t="shared" si="0"/>
        <v>n.a.</v>
      </c>
    </row>
    <row r="186" spans="1:18" ht="12.75" hidden="1" customHeight="1" x14ac:dyDescent="0.25">
      <c r="A186" s="113" t="s">
        <v>0</v>
      </c>
      <c r="B186" s="132"/>
      <c r="C186" s="132"/>
      <c r="D186" s="496">
        <v>157</v>
      </c>
      <c r="E186" s="25"/>
      <c r="F186" s="26"/>
      <c r="G186" s="1296"/>
      <c r="H186" s="1297"/>
      <c r="I186" s="1298"/>
      <c r="J186" s="1296"/>
      <c r="K186" s="1297"/>
      <c r="L186" s="1297"/>
      <c r="M186" s="1297"/>
      <c r="N186" s="1298"/>
      <c r="O186" s="142"/>
      <c r="P186" s="115"/>
      <c r="R186" s="499" t="str">
        <f t="shared" si="0"/>
        <v>n.a.</v>
      </c>
    </row>
    <row r="187" spans="1:18" ht="12.75" hidden="1" customHeight="1" x14ac:dyDescent="0.25">
      <c r="A187" s="113" t="s">
        <v>0</v>
      </c>
      <c r="B187" s="132"/>
      <c r="C187" s="132"/>
      <c r="D187" s="496">
        <v>158</v>
      </c>
      <c r="E187" s="25"/>
      <c r="F187" s="26"/>
      <c r="G187" s="1296"/>
      <c r="H187" s="1297"/>
      <c r="I187" s="1298"/>
      <c r="J187" s="1296"/>
      <c r="K187" s="1297"/>
      <c r="L187" s="1297"/>
      <c r="M187" s="1297"/>
      <c r="N187" s="1298"/>
      <c r="O187" s="142"/>
      <c r="P187" s="115"/>
      <c r="R187" s="499" t="str">
        <f t="shared" si="0"/>
        <v>n.a.</v>
      </c>
    </row>
    <row r="188" spans="1:18" ht="12.75" hidden="1" customHeight="1" x14ac:dyDescent="0.25">
      <c r="A188" s="113" t="s">
        <v>0</v>
      </c>
      <c r="B188" s="132"/>
      <c r="C188" s="132"/>
      <c r="D188" s="496">
        <v>159</v>
      </c>
      <c r="E188" s="25"/>
      <c r="F188" s="26"/>
      <c r="G188" s="1296"/>
      <c r="H188" s="1297"/>
      <c r="I188" s="1298"/>
      <c r="J188" s="1296"/>
      <c r="K188" s="1297"/>
      <c r="L188" s="1297"/>
      <c r="M188" s="1297"/>
      <c r="N188" s="1298"/>
      <c r="O188" s="142"/>
      <c r="P188" s="115"/>
      <c r="R188" s="499" t="str">
        <f t="shared" si="0"/>
        <v>n.a.</v>
      </c>
    </row>
    <row r="189" spans="1:18" ht="12.75" hidden="1" customHeight="1" x14ac:dyDescent="0.25">
      <c r="A189" s="113" t="s">
        <v>0</v>
      </c>
      <c r="B189" s="132"/>
      <c r="C189" s="132"/>
      <c r="D189" s="496">
        <v>160</v>
      </c>
      <c r="E189" s="25"/>
      <c r="F189" s="26"/>
      <c r="G189" s="1296"/>
      <c r="H189" s="1297"/>
      <c r="I189" s="1298"/>
      <c r="J189" s="1296"/>
      <c r="K189" s="1297"/>
      <c r="L189" s="1297"/>
      <c r="M189" s="1297"/>
      <c r="N189" s="1298"/>
      <c r="O189" s="142"/>
      <c r="P189" s="115"/>
      <c r="R189" s="499" t="str">
        <f t="shared" si="0"/>
        <v>n.a.</v>
      </c>
    </row>
    <row r="190" spans="1:18" ht="12.75" hidden="1" customHeight="1" x14ac:dyDescent="0.25">
      <c r="A190" s="113" t="s">
        <v>0</v>
      </c>
      <c r="B190" s="132"/>
      <c r="C190" s="132"/>
      <c r="D190" s="496">
        <v>161</v>
      </c>
      <c r="E190" s="25"/>
      <c r="F190" s="26"/>
      <c r="G190" s="1296"/>
      <c r="H190" s="1297"/>
      <c r="I190" s="1298"/>
      <c r="J190" s="1296"/>
      <c r="K190" s="1297"/>
      <c r="L190" s="1297"/>
      <c r="M190" s="1297"/>
      <c r="N190" s="1298"/>
      <c r="O190" s="142"/>
      <c r="P190" s="115"/>
      <c r="R190" s="499" t="str">
        <f t="shared" si="0"/>
        <v>n.a.</v>
      </c>
    </row>
    <row r="191" spans="1:18" ht="12.75" hidden="1" customHeight="1" x14ac:dyDescent="0.25">
      <c r="A191" s="113" t="s">
        <v>0</v>
      </c>
      <c r="B191" s="132"/>
      <c r="C191" s="132"/>
      <c r="D191" s="496">
        <v>162</v>
      </c>
      <c r="E191" s="25"/>
      <c r="F191" s="26"/>
      <c r="G191" s="1296"/>
      <c r="H191" s="1297"/>
      <c r="I191" s="1298"/>
      <c r="J191" s="1296"/>
      <c r="K191" s="1297"/>
      <c r="L191" s="1297"/>
      <c r="M191" s="1297"/>
      <c r="N191" s="1298"/>
      <c r="O191" s="142"/>
      <c r="P191" s="115"/>
      <c r="R191" s="499" t="str">
        <f t="shared" si="0"/>
        <v>n.a.</v>
      </c>
    </row>
    <row r="192" spans="1:18" ht="12.75" hidden="1" customHeight="1" x14ac:dyDescent="0.25">
      <c r="A192" s="113" t="s">
        <v>0</v>
      </c>
      <c r="B192" s="132"/>
      <c r="C192" s="132"/>
      <c r="D192" s="496">
        <v>163</v>
      </c>
      <c r="E192" s="25"/>
      <c r="F192" s="26"/>
      <c r="G192" s="1296"/>
      <c r="H192" s="1297"/>
      <c r="I192" s="1298"/>
      <c r="J192" s="1296"/>
      <c r="K192" s="1297"/>
      <c r="L192" s="1297"/>
      <c r="M192" s="1297"/>
      <c r="N192" s="1298"/>
      <c r="O192" s="142"/>
      <c r="P192" s="115"/>
      <c r="R192" s="499" t="str">
        <f t="shared" si="0"/>
        <v>n.a.</v>
      </c>
    </row>
    <row r="193" spans="1:18" ht="12.75" hidden="1" customHeight="1" x14ac:dyDescent="0.25">
      <c r="A193" s="113" t="s">
        <v>0</v>
      </c>
      <c r="B193" s="132"/>
      <c r="C193" s="132"/>
      <c r="D193" s="496">
        <v>164</v>
      </c>
      <c r="E193" s="25"/>
      <c r="F193" s="26"/>
      <c r="G193" s="1296"/>
      <c r="H193" s="1297"/>
      <c r="I193" s="1298"/>
      <c r="J193" s="1296"/>
      <c r="K193" s="1297"/>
      <c r="L193" s="1297"/>
      <c r="M193" s="1297"/>
      <c r="N193" s="1298"/>
      <c r="O193" s="142"/>
      <c r="P193" s="115"/>
      <c r="R193" s="499" t="str">
        <f t="shared" si="0"/>
        <v>n.a.</v>
      </c>
    </row>
    <row r="194" spans="1:18" ht="12.75" hidden="1" customHeight="1" x14ac:dyDescent="0.25">
      <c r="A194" s="113" t="s">
        <v>0</v>
      </c>
      <c r="B194" s="132"/>
      <c r="C194" s="132"/>
      <c r="D194" s="496">
        <v>165</v>
      </c>
      <c r="E194" s="25"/>
      <c r="F194" s="26"/>
      <c r="G194" s="1296"/>
      <c r="H194" s="1297"/>
      <c r="I194" s="1298"/>
      <c r="J194" s="1296"/>
      <c r="K194" s="1297"/>
      <c r="L194" s="1297"/>
      <c r="M194" s="1297"/>
      <c r="N194" s="1298"/>
      <c r="O194" s="142"/>
      <c r="P194" s="115"/>
      <c r="R194" s="499" t="str">
        <f t="shared" si="0"/>
        <v>n.a.</v>
      </c>
    </row>
    <row r="195" spans="1:18" ht="12.75" hidden="1" customHeight="1" x14ac:dyDescent="0.25">
      <c r="A195" s="113" t="s">
        <v>0</v>
      </c>
      <c r="B195" s="132"/>
      <c r="C195" s="132"/>
      <c r="D195" s="496">
        <v>166</v>
      </c>
      <c r="E195" s="25"/>
      <c r="F195" s="26"/>
      <c r="G195" s="1296"/>
      <c r="H195" s="1297"/>
      <c r="I195" s="1298"/>
      <c r="J195" s="1296"/>
      <c r="K195" s="1297"/>
      <c r="L195" s="1297"/>
      <c r="M195" s="1297"/>
      <c r="N195" s="1298"/>
      <c r="O195" s="142"/>
      <c r="P195" s="115"/>
      <c r="R195" s="499" t="str">
        <f t="shared" si="0"/>
        <v>n.a.</v>
      </c>
    </row>
    <row r="196" spans="1:18" ht="12.75" hidden="1" customHeight="1" x14ac:dyDescent="0.25">
      <c r="A196" s="113" t="s">
        <v>0</v>
      </c>
      <c r="B196" s="132"/>
      <c r="C196" s="132"/>
      <c r="D196" s="496">
        <v>167</v>
      </c>
      <c r="E196" s="25"/>
      <c r="F196" s="26"/>
      <c r="G196" s="1296"/>
      <c r="H196" s="1297"/>
      <c r="I196" s="1298"/>
      <c r="J196" s="1296"/>
      <c r="K196" s="1297"/>
      <c r="L196" s="1297"/>
      <c r="M196" s="1297"/>
      <c r="N196" s="1298"/>
      <c r="O196" s="142"/>
      <c r="P196" s="115"/>
      <c r="R196" s="499" t="str">
        <f t="shared" si="0"/>
        <v>n.a.</v>
      </c>
    </row>
    <row r="197" spans="1:18" ht="12.75" hidden="1" customHeight="1" x14ac:dyDescent="0.25">
      <c r="A197" s="113" t="s">
        <v>0</v>
      </c>
      <c r="B197" s="132"/>
      <c r="C197" s="132"/>
      <c r="D197" s="496">
        <v>168</v>
      </c>
      <c r="E197" s="25"/>
      <c r="F197" s="26"/>
      <c r="G197" s="1296"/>
      <c r="H197" s="1297"/>
      <c r="I197" s="1298"/>
      <c r="J197" s="1296"/>
      <c r="K197" s="1297"/>
      <c r="L197" s="1297"/>
      <c r="M197" s="1297"/>
      <c r="N197" s="1298"/>
      <c r="O197" s="142"/>
      <c r="P197" s="115"/>
      <c r="R197" s="499" t="str">
        <f t="shared" si="0"/>
        <v>n.a.</v>
      </c>
    </row>
    <row r="198" spans="1:18" ht="12.75" hidden="1" customHeight="1" x14ac:dyDescent="0.25">
      <c r="A198" s="113" t="s">
        <v>0</v>
      </c>
      <c r="B198" s="132"/>
      <c r="C198" s="132"/>
      <c r="D198" s="496">
        <v>169</v>
      </c>
      <c r="E198" s="25"/>
      <c r="F198" s="26"/>
      <c r="G198" s="1296"/>
      <c r="H198" s="1297"/>
      <c r="I198" s="1298"/>
      <c r="J198" s="1296"/>
      <c r="K198" s="1297"/>
      <c r="L198" s="1297"/>
      <c r="M198" s="1297"/>
      <c r="N198" s="1298"/>
      <c r="O198" s="142"/>
      <c r="P198" s="115"/>
      <c r="R198" s="499" t="str">
        <f t="shared" si="0"/>
        <v>n.a.</v>
      </c>
    </row>
    <row r="199" spans="1:18" ht="12.75" hidden="1" customHeight="1" x14ac:dyDescent="0.25">
      <c r="A199" s="113" t="s">
        <v>0</v>
      </c>
      <c r="B199" s="132"/>
      <c r="C199" s="132"/>
      <c r="D199" s="496">
        <v>170</v>
      </c>
      <c r="E199" s="25"/>
      <c r="F199" s="26"/>
      <c r="G199" s="1296"/>
      <c r="H199" s="1297"/>
      <c r="I199" s="1298"/>
      <c r="J199" s="1296"/>
      <c r="K199" s="1297"/>
      <c r="L199" s="1297"/>
      <c r="M199" s="1297"/>
      <c r="N199" s="1298"/>
      <c r="O199" s="142"/>
      <c r="P199" s="115"/>
      <c r="R199" s="499" t="str">
        <f t="shared" si="0"/>
        <v>n.a.</v>
      </c>
    </row>
    <row r="200" spans="1:18" ht="12.75" hidden="1" customHeight="1" x14ac:dyDescent="0.25">
      <c r="A200" s="113" t="s">
        <v>0</v>
      </c>
      <c r="B200" s="132"/>
      <c r="C200" s="132"/>
      <c r="D200" s="496">
        <v>171</v>
      </c>
      <c r="E200" s="25"/>
      <c r="F200" s="26"/>
      <c r="G200" s="1296"/>
      <c r="H200" s="1297"/>
      <c r="I200" s="1298"/>
      <c r="J200" s="1296"/>
      <c r="K200" s="1297"/>
      <c r="L200" s="1297"/>
      <c r="M200" s="1297"/>
      <c r="N200" s="1298"/>
      <c r="O200" s="142"/>
      <c r="P200" s="115"/>
      <c r="R200" s="499" t="str">
        <f t="shared" si="0"/>
        <v>n.a.</v>
      </c>
    </row>
    <row r="201" spans="1:18" ht="12.75" hidden="1" customHeight="1" x14ac:dyDescent="0.25">
      <c r="A201" s="113" t="s">
        <v>0</v>
      </c>
      <c r="B201" s="132"/>
      <c r="C201" s="132"/>
      <c r="D201" s="496">
        <v>172</v>
      </c>
      <c r="E201" s="25"/>
      <c r="F201" s="26"/>
      <c r="G201" s="1296"/>
      <c r="H201" s="1297"/>
      <c r="I201" s="1298"/>
      <c r="J201" s="1296"/>
      <c r="K201" s="1297"/>
      <c r="L201" s="1297"/>
      <c r="M201" s="1297"/>
      <c r="N201" s="1298"/>
      <c r="O201" s="142"/>
      <c r="P201" s="115"/>
      <c r="R201" s="499" t="str">
        <f t="shared" si="0"/>
        <v>n.a.</v>
      </c>
    </row>
    <row r="202" spans="1:18" ht="12.75" hidden="1" customHeight="1" x14ac:dyDescent="0.25">
      <c r="A202" s="113" t="s">
        <v>0</v>
      </c>
      <c r="B202" s="132"/>
      <c r="C202" s="132"/>
      <c r="D202" s="496">
        <v>173</v>
      </c>
      <c r="E202" s="25"/>
      <c r="F202" s="26"/>
      <c r="G202" s="1296"/>
      <c r="H202" s="1297"/>
      <c r="I202" s="1298"/>
      <c r="J202" s="1296"/>
      <c r="K202" s="1297"/>
      <c r="L202" s="1297"/>
      <c r="M202" s="1297"/>
      <c r="N202" s="1298"/>
      <c r="O202" s="142"/>
      <c r="P202" s="115"/>
      <c r="R202" s="499" t="str">
        <f t="shared" si="0"/>
        <v>n.a.</v>
      </c>
    </row>
    <row r="203" spans="1:18" ht="12.75" hidden="1" customHeight="1" x14ac:dyDescent="0.25">
      <c r="A203" s="113" t="s">
        <v>0</v>
      </c>
      <c r="B203" s="132"/>
      <c r="C203" s="132"/>
      <c r="D203" s="496">
        <v>174</v>
      </c>
      <c r="E203" s="25"/>
      <c r="F203" s="26"/>
      <c r="G203" s="1296"/>
      <c r="H203" s="1297"/>
      <c r="I203" s="1298"/>
      <c r="J203" s="1296"/>
      <c r="K203" s="1297"/>
      <c r="L203" s="1297"/>
      <c r="M203" s="1297"/>
      <c r="N203" s="1298"/>
      <c r="O203" s="142"/>
      <c r="P203" s="115"/>
      <c r="R203" s="499" t="str">
        <f t="shared" si="0"/>
        <v>n.a.</v>
      </c>
    </row>
    <row r="204" spans="1:18" ht="12.75" hidden="1" customHeight="1" x14ac:dyDescent="0.25">
      <c r="A204" s="113" t="s">
        <v>0</v>
      </c>
      <c r="B204" s="132"/>
      <c r="C204" s="132"/>
      <c r="D204" s="496">
        <v>175</v>
      </c>
      <c r="E204" s="25"/>
      <c r="F204" s="26"/>
      <c r="G204" s="1296"/>
      <c r="H204" s="1297"/>
      <c r="I204" s="1298"/>
      <c r="J204" s="1296"/>
      <c r="K204" s="1297"/>
      <c r="L204" s="1297"/>
      <c r="M204" s="1297"/>
      <c r="N204" s="1298"/>
      <c r="O204" s="142"/>
      <c r="P204" s="115"/>
      <c r="R204" s="499" t="str">
        <f t="shared" si="0"/>
        <v>n.a.</v>
      </c>
    </row>
    <row r="205" spans="1:18" ht="12.75" hidden="1" customHeight="1" x14ac:dyDescent="0.25">
      <c r="A205" s="113" t="s">
        <v>0</v>
      </c>
      <c r="B205" s="132"/>
      <c r="C205" s="132"/>
      <c r="D205" s="496">
        <v>176</v>
      </c>
      <c r="E205" s="25"/>
      <c r="F205" s="26"/>
      <c r="G205" s="1296"/>
      <c r="H205" s="1297"/>
      <c r="I205" s="1298"/>
      <c r="J205" s="1296"/>
      <c r="K205" s="1297"/>
      <c r="L205" s="1297"/>
      <c r="M205" s="1297"/>
      <c r="N205" s="1298"/>
      <c r="O205" s="142"/>
      <c r="P205" s="115"/>
      <c r="R205" s="499" t="str">
        <f t="shared" si="0"/>
        <v>n.a.</v>
      </c>
    </row>
    <row r="206" spans="1:18" ht="12.75" hidden="1" customHeight="1" x14ac:dyDescent="0.25">
      <c r="A206" s="113" t="s">
        <v>0</v>
      </c>
      <c r="B206" s="132"/>
      <c r="C206" s="132"/>
      <c r="D206" s="496">
        <v>177</v>
      </c>
      <c r="E206" s="25"/>
      <c r="F206" s="26"/>
      <c r="G206" s="1296"/>
      <c r="H206" s="1297"/>
      <c r="I206" s="1298"/>
      <c r="J206" s="1296"/>
      <c r="K206" s="1297"/>
      <c r="L206" s="1297"/>
      <c r="M206" s="1297"/>
      <c r="N206" s="1298"/>
      <c r="O206" s="142"/>
      <c r="P206" s="115"/>
      <c r="R206" s="499" t="str">
        <f t="shared" si="0"/>
        <v>n.a.</v>
      </c>
    </row>
    <row r="207" spans="1:18" ht="12.75" hidden="1" customHeight="1" x14ac:dyDescent="0.25">
      <c r="A207" s="113" t="s">
        <v>0</v>
      </c>
      <c r="B207" s="132"/>
      <c r="C207" s="132"/>
      <c r="D207" s="496">
        <v>178</v>
      </c>
      <c r="E207" s="25"/>
      <c r="F207" s="26"/>
      <c r="G207" s="1296"/>
      <c r="H207" s="1297"/>
      <c r="I207" s="1298"/>
      <c r="J207" s="1296"/>
      <c r="K207" s="1297"/>
      <c r="L207" s="1297"/>
      <c r="M207" s="1297"/>
      <c r="N207" s="1298"/>
      <c r="O207" s="142"/>
      <c r="P207" s="115"/>
      <c r="R207" s="499" t="str">
        <f t="shared" si="0"/>
        <v>n.a.</v>
      </c>
    </row>
    <row r="208" spans="1:18" ht="12.75" hidden="1" customHeight="1" x14ac:dyDescent="0.25">
      <c r="A208" s="113" t="s">
        <v>0</v>
      </c>
      <c r="B208" s="132"/>
      <c r="C208" s="132"/>
      <c r="D208" s="496">
        <v>179</v>
      </c>
      <c r="E208" s="25"/>
      <c r="F208" s="26"/>
      <c r="G208" s="1296"/>
      <c r="H208" s="1297"/>
      <c r="I208" s="1298"/>
      <c r="J208" s="1296"/>
      <c r="K208" s="1297"/>
      <c r="L208" s="1297"/>
      <c r="M208" s="1297"/>
      <c r="N208" s="1298"/>
      <c r="O208" s="142"/>
      <c r="P208" s="115"/>
      <c r="R208" s="499" t="str">
        <f t="shared" si="0"/>
        <v>n.a.</v>
      </c>
    </row>
    <row r="209" spans="1:18" ht="12.75" hidden="1" customHeight="1" x14ac:dyDescent="0.25">
      <c r="A209" s="113" t="s">
        <v>0</v>
      </c>
      <c r="B209" s="132"/>
      <c r="C209" s="132"/>
      <c r="D209" s="496">
        <v>180</v>
      </c>
      <c r="E209" s="25"/>
      <c r="F209" s="26"/>
      <c r="G209" s="1296"/>
      <c r="H209" s="1297"/>
      <c r="I209" s="1298"/>
      <c r="J209" s="1296"/>
      <c r="K209" s="1297"/>
      <c r="L209" s="1297"/>
      <c r="M209" s="1297"/>
      <c r="N209" s="1298"/>
      <c r="O209" s="142"/>
      <c r="P209" s="115"/>
      <c r="R209" s="499" t="str">
        <f t="shared" si="0"/>
        <v>n.a.</v>
      </c>
    </row>
    <row r="210" spans="1:18" ht="12.75" hidden="1" customHeight="1" x14ac:dyDescent="0.25">
      <c r="A210" s="113" t="s">
        <v>0</v>
      </c>
      <c r="B210" s="132"/>
      <c r="C210" s="132"/>
      <c r="D210" s="496">
        <v>181</v>
      </c>
      <c r="E210" s="25"/>
      <c r="F210" s="26"/>
      <c r="G210" s="1296"/>
      <c r="H210" s="1297"/>
      <c r="I210" s="1298"/>
      <c r="J210" s="1296"/>
      <c r="K210" s="1297"/>
      <c r="L210" s="1297"/>
      <c r="M210" s="1297"/>
      <c r="N210" s="1298"/>
      <c r="O210" s="142"/>
      <c r="P210" s="115"/>
      <c r="R210" s="499" t="str">
        <f t="shared" si="0"/>
        <v>n.a.</v>
      </c>
    </row>
    <row r="211" spans="1:18" ht="12.75" hidden="1" customHeight="1" x14ac:dyDescent="0.25">
      <c r="A211" s="113" t="s">
        <v>0</v>
      </c>
      <c r="B211" s="132"/>
      <c r="C211" s="132"/>
      <c r="D211" s="496">
        <v>182</v>
      </c>
      <c r="E211" s="25"/>
      <c r="F211" s="26"/>
      <c r="G211" s="1296"/>
      <c r="H211" s="1297"/>
      <c r="I211" s="1298"/>
      <c r="J211" s="1296"/>
      <c r="K211" s="1297"/>
      <c r="L211" s="1297"/>
      <c r="M211" s="1297"/>
      <c r="N211" s="1298"/>
      <c r="O211" s="142"/>
      <c r="P211" s="115"/>
      <c r="R211" s="499" t="str">
        <f t="shared" si="0"/>
        <v>n.a.</v>
      </c>
    </row>
    <row r="212" spans="1:18" ht="12.75" hidden="1" customHeight="1" x14ac:dyDescent="0.25">
      <c r="A212" s="113" t="s">
        <v>0</v>
      </c>
      <c r="B212" s="132"/>
      <c r="C212" s="132"/>
      <c r="D212" s="496">
        <v>183</v>
      </c>
      <c r="E212" s="25"/>
      <c r="F212" s="26"/>
      <c r="G212" s="1296"/>
      <c r="H212" s="1297"/>
      <c r="I212" s="1298"/>
      <c r="J212" s="1296"/>
      <c r="K212" s="1297"/>
      <c r="L212" s="1297"/>
      <c r="M212" s="1297"/>
      <c r="N212" s="1298"/>
      <c r="O212" s="142"/>
      <c r="P212" s="115"/>
      <c r="R212" s="499" t="str">
        <f t="shared" si="0"/>
        <v>n.a.</v>
      </c>
    </row>
    <row r="213" spans="1:18" ht="12.75" hidden="1" customHeight="1" x14ac:dyDescent="0.25">
      <c r="A213" s="113" t="s">
        <v>0</v>
      </c>
      <c r="B213" s="132"/>
      <c r="C213" s="132"/>
      <c r="D213" s="496">
        <v>184</v>
      </c>
      <c r="E213" s="25"/>
      <c r="F213" s="26"/>
      <c r="G213" s="1296"/>
      <c r="H213" s="1297"/>
      <c r="I213" s="1298"/>
      <c r="J213" s="1296"/>
      <c r="K213" s="1297"/>
      <c r="L213" s="1297"/>
      <c r="M213" s="1297"/>
      <c r="N213" s="1298"/>
      <c r="O213" s="142"/>
      <c r="P213" s="115"/>
      <c r="R213" s="499" t="str">
        <f t="shared" si="0"/>
        <v>n.a.</v>
      </c>
    </row>
    <row r="214" spans="1:18" ht="12.75" hidden="1" customHeight="1" x14ac:dyDescent="0.25">
      <c r="A214" s="113" t="s">
        <v>0</v>
      </c>
      <c r="B214" s="132"/>
      <c r="C214" s="132"/>
      <c r="D214" s="496">
        <v>185</v>
      </c>
      <c r="E214" s="25"/>
      <c r="F214" s="26"/>
      <c r="G214" s="1296"/>
      <c r="H214" s="1297"/>
      <c r="I214" s="1298"/>
      <c r="J214" s="1296"/>
      <c r="K214" s="1297"/>
      <c r="L214" s="1297"/>
      <c r="M214" s="1297"/>
      <c r="N214" s="1298"/>
      <c r="O214" s="142"/>
      <c r="P214" s="115"/>
      <c r="R214" s="499" t="str">
        <f t="shared" si="0"/>
        <v>n.a.</v>
      </c>
    </row>
    <row r="215" spans="1:18" ht="12.75" hidden="1" customHeight="1" x14ac:dyDescent="0.25">
      <c r="A215" s="113" t="s">
        <v>0</v>
      </c>
      <c r="B215" s="132"/>
      <c r="C215" s="132"/>
      <c r="D215" s="496">
        <v>186</v>
      </c>
      <c r="E215" s="25"/>
      <c r="F215" s="26"/>
      <c r="G215" s="1296"/>
      <c r="H215" s="1297"/>
      <c r="I215" s="1298"/>
      <c r="J215" s="1296"/>
      <c r="K215" s="1297"/>
      <c r="L215" s="1297"/>
      <c r="M215" s="1297"/>
      <c r="N215" s="1298"/>
      <c r="O215" s="142"/>
      <c r="P215" s="115"/>
      <c r="R215" s="499" t="str">
        <f t="shared" si="0"/>
        <v>n.a.</v>
      </c>
    </row>
    <row r="216" spans="1:18" ht="12.75" hidden="1" customHeight="1" x14ac:dyDescent="0.25">
      <c r="A216" s="113" t="s">
        <v>0</v>
      </c>
      <c r="B216" s="132"/>
      <c r="C216" s="132"/>
      <c r="D216" s="496">
        <v>187</v>
      </c>
      <c r="E216" s="25"/>
      <c r="F216" s="26"/>
      <c r="G216" s="1296"/>
      <c r="H216" s="1297"/>
      <c r="I216" s="1298"/>
      <c r="J216" s="1296"/>
      <c r="K216" s="1297"/>
      <c r="L216" s="1297"/>
      <c r="M216" s="1297"/>
      <c r="N216" s="1298"/>
      <c r="O216" s="142"/>
      <c r="P216" s="115"/>
      <c r="R216" s="499" t="str">
        <f t="shared" si="0"/>
        <v>n.a.</v>
      </c>
    </row>
    <row r="217" spans="1:18" ht="12.75" hidden="1" customHeight="1" x14ac:dyDescent="0.25">
      <c r="A217" s="113" t="s">
        <v>0</v>
      </c>
      <c r="B217" s="132"/>
      <c r="C217" s="132"/>
      <c r="D217" s="496">
        <v>188</v>
      </c>
      <c r="E217" s="25"/>
      <c r="F217" s="26"/>
      <c r="G217" s="1296"/>
      <c r="H217" s="1297"/>
      <c r="I217" s="1298"/>
      <c r="J217" s="1296"/>
      <c r="K217" s="1297"/>
      <c r="L217" s="1297"/>
      <c r="M217" s="1297"/>
      <c r="N217" s="1298"/>
      <c r="O217" s="142"/>
      <c r="P217" s="115"/>
      <c r="R217" s="499" t="str">
        <f t="shared" si="0"/>
        <v>n.a.</v>
      </c>
    </row>
    <row r="218" spans="1:18" ht="12.75" hidden="1" customHeight="1" x14ac:dyDescent="0.25">
      <c r="A218" s="113" t="s">
        <v>0</v>
      </c>
      <c r="B218" s="132"/>
      <c r="C218" s="132"/>
      <c r="D218" s="496">
        <v>189</v>
      </c>
      <c r="E218" s="25"/>
      <c r="F218" s="26"/>
      <c r="G218" s="1296"/>
      <c r="H218" s="1297"/>
      <c r="I218" s="1298"/>
      <c r="J218" s="1296"/>
      <c r="K218" s="1297"/>
      <c r="L218" s="1297"/>
      <c r="M218" s="1297"/>
      <c r="N218" s="1298"/>
      <c r="O218" s="142"/>
      <c r="P218" s="115"/>
      <c r="R218" s="499" t="str">
        <f t="shared" si="0"/>
        <v>n.a.</v>
      </c>
    </row>
    <row r="219" spans="1:18" ht="12.75" hidden="1" customHeight="1" x14ac:dyDescent="0.25">
      <c r="A219" s="113" t="s">
        <v>0</v>
      </c>
      <c r="B219" s="132"/>
      <c r="C219" s="132"/>
      <c r="D219" s="496">
        <v>190</v>
      </c>
      <c r="E219" s="25"/>
      <c r="F219" s="26"/>
      <c r="G219" s="1296"/>
      <c r="H219" s="1297"/>
      <c r="I219" s="1298"/>
      <c r="J219" s="1296"/>
      <c r="K219" s="1297"/>
      <c r="L219" s="1297"/>
      <c r="M219" s="1297"/>
      <c r="N219" s="1298"/>
      <c r="O219" s="142"/>
      <c r="P219" s="115"/>
      <c r="R219" s="499" t="str">
        <f t="shared" si="0"/>
        <v>n.a.</v>
      </c>
    </row>
    <row r="220" spans="1:18" ht="12.75" hidden="1" customHeight="1" x14ac:dyDescent="0.25">
      <c r="A220" s="113" t="s">
        <v>0</v>
      </c>
      <c r="B220" s="132"/>
      <c r="C220" s="132"/>
      <c r="D220" s="496">
        <v>191</v>
      </c>
      <c r="E220" s="25"/>
      <c r="F220" s="26"/>
      <c r="G220" s="1296"/>
      <c r="H220" s="1297"/>
      <c r="I220" s="1298"/>
      <c r="J220" s="1296"/>
      <c r="K220" s="1297"/>
      <c r="L220" s="1297"/>
      <c r="M220" s="1297"/>
      <c r="N220" s="1298"/>
      <c r="O220" s="142"/>
      <c r="P220" s="115"/>
      <c r="R220" s="499" t="str">
        <f t="shared" si="0"/>
        <v>n.a.</v>
      </c>
    </row>
    <row r="221" spans="1:18" ht="12.75" hidden="1" customHeight="1" x14ac:dyDescent="0.25">
      <c r="A221" s="113" t="s">
        <v>0</v>
      </c>
      <c r="B221" s="132"/>
      <c r="C221" s="132"/>
      <c r="D221" s="496">
        <v>192</v>
      </c>
      <c r="E221" s="25"/>
      <c r="F221" s="26"/>
      <c r="G221" s="1296"/>
      <c r="H221" s="1297"/>
      <c r="I221" s="1298"/>
      <c r="J221" s="1296"/>
      <c r="K221" s="1297"/>
      <c r="L221" s="1297"/>
      <c r="M221" s="1297"/>
      <c r="N221" s="1298"/>
      <c r="O221" s="142"/>
      <c r="P221" s="115"/>
      <c r="R221" s="499" t="str">
        <f t="shared" si="0"/>
        <v>n.a.</v>
      </c>
    </row>
    <row r="222" spans="1:18" ht="12.75" hidden="1" customHeight="1" x14ac:dyDescent="0.25">
      <c r="A222" s="113" t="s">
        <v>0</v>
      </c>
      <c r="B222" s="132"/>
      <c r="C222" s="132"/>
      <c r="D222" s="496">
        <v>193</v>
      </c>
      <c r="E222" s="25"/>
      <c r="F222" s="26"/>
      <c r="G222" s="1296"/>
      <c r="H222" s="1297"/>
      <c r="I222" s="1298"/>
      <c r="J222" s="1296"/>
      <c r="K222" s="1297"/>
      <c r="L222" s="1297"/>
      <c r="M222" s="1297"/>
      <c r="N222" s="1298"/>
      <c r="O222" s="142"/>
      <c r="P222" s="115"/>
      <c r="R222" s="499" t="str">
        <f t="shared" si="0"/>
        <v>n.a.</v>
      </c>
    </row>
    <row r="223" spans="1:18" ht="12.75" hidden="1" customHeight="1" x14ac:dyDescent="0.25">
      <c r="A223" s="113" t="s">
        <v>0</v>
      </c>
      <c r="B223" s="132"/>
      <c r="C223" s="132"/>
      <c r="D223" s="496">
        <v>194</v>
      </c>
      <c r="E223" s="25"/>
      <c r="F223" s="26"/>
      <c r="G223" s="1296"/>
      <c r="H223" s="1297"/>
      <c r="I223" s="1298"/>
      <c r="J223" s="1296"/>
      <c r="K223" s="1297"/>
      <c r="L223" s="1297"/>
      <c r="M223" s="1297"/>
      <c r="N223" s="1298"/>
      <c r="O223" s="142"/>
      <c r="P223" s="115"/>
      <c r="R223" s="499" t="str">
        <f t="shared" si="0"/>
        <v>n.a.</v>
      </c>
    </row>
    <row r="224" spans="1:18" ht="12.75" hidden="1" customHeight="1" x14ac:dyDescent="0.25">
      <c r="A224" s="113" t="s">
        <v>0</v>
      </c>
      <c r="B224" s="132"/>
      <c r="C224" s="132"/>
      <c r="D224" s="496">
        <v>195</v>
      </c>
      <c r="E224" s="25"/>
      <c r="F224" s="26"/>
      <c r="G224" s="1296"/>
      <c r="H224" s="1297"/>
      <c r="I224" s="1298"/>
      <c r="J224" s="1296"/>
      <c r="K224" s="1297"/>
      <c r="L224" s="1297"/>
      <c r="M224" s="1297"/>
      <c r="N224" s="1298"/>
      <c r="O224" s="142"/>
      <c r="P224" s="115"/>
      <c r="R224" s="499" t="str">
        <f t="shared" si="0"/>
        <v>n.a.</v>
      </c>
    </row>
    <row r="225" spans="1:18" ht="12.75" hidden="1" customHeight="1" x14ac:dyDescent="0.25">
      <c r="A225" s="113" t="s">
        <v>0</v>
      </c>
      <c r="B225" s="132"/>
      <c r="C225" s="132"/>
      <c r="D225" s="496">
        <v>196</v>
      </c>
      <c r="E225" s="25"/>
      <c r="F225" s="26"/>
      <c r="G225" s="1296"/>
      <c r="H225" s="1297"/>
      <c r="I225" s="1298"/>
      <c r="J225" s="1296"/>
      <c r="K225" s="1297"/>
      <c r="L225" s="1297"/>
      <c r="M225" s="1297"/>
      <c r="N225" s="1298"/>
      <c r="O225" s="142"/>
      <c r="P225" s="115"/>
      <c r="R225" s="499" t="str">
        <f t="shared" si="0"/>
        <v>n.a.</v>
      </c>
    </row>
    <row r="226" spans="1:18" ht="12.75" hidden="1" customHeight="1" x14ac:dyDescent="0.25">
      <c r="A226" s="113" t="s">
        <v>0</v>
      </c>
      <c r="B226" s="132"/>
      <c r="C226" s="132"/>
      <c r="D226" s="496">
        <v>197</v>
      </c>
      <c r="E226" s="25"/>
      <c r="F226" s="26"/>
      <c r="G226" s="1296"/>
      <c r="H226" s="1297"/>
      <c r="I226" s="1298"/>
      <c r="J226" s="1296"/>
      <c r="K226" s="1297"/>
      <c r="L226" s="1297"/>
      <c r="M226" s="1297"/>
      <c r="N226" s="1298"/>
      <c r="O226" s="142"/>
      <c r="P226" s="115"/>
      <c r="R226" s="499" t="str">
        <f t="shared" si="0"/>
        <v>n.a.</v>
      </c>
    </row>
    <row r="227" spans="1:18" ht="12.75" hidden="1" customHeight="1" x14ac:dyDescent="0.25">
      <c r="A227" s="113" t="s">
        <v>0</v>
      </c>
      <c r="B227" s="132"/>
      <c r="C227" s="132"/>
      <c r="D227" s="496">
        <v>198</v>
      </c>
      <c r="E227" s="25"/>
      <c r="F227" s="26"/>
      <c r="G227" s="1296"/>
      <c r="H227" s="1297"/>
      <c r="I227" s="1298"/>
      <c r="J227" s="1296"/>
      <c r="K227" s="1297"/>
      <c r="L227" s="1297"/>
      <c r="M227" s="1297"/>
      <c r="N227" s="1298"/>
      <c r="O227" s="142"/>
      <c r="P227" s="115"/>
      <c r="R227" s="499" t="str">
        <f t="shared" si="0"/>
        <v>n.a.</v>
      </c>
    </row>
    <row r="228" spans="1:18" ht="12.75" hidden="1" customHeight="1" x14ac:dyDescent="0.25">
      <c r="A228" s="113" t="s">
        <v>0</v>
      </c>
      <c r="B228" s="132"/>
      <c r="C228" s="132"/>
      <c r="D228" s="496">
        <v>199</v>
      </c>
      <c r="E228" s="25"/>
      <c r="F228" s="26"/>
      <c r="G228" s="1296"/>
      <c r="H228" s="1297"/>
      <c r="I228" s="1298"/>
      <c r="J228" s="1296"/>
      <c r="K228" s="1297"/>
      <c r="L228" s="1297"/>
      <c r="M228" s="1297"/>
      <c r="N228" s="1298"/>
      <c r="O228" s="142"/>
      <c r="P228" s="115"/>
      <c r="R228" s="499" t="str">
        <f t="shared" si="0"/>
        <v>n.a.</v>
      </c>
    </row>
    <row r="229" spans="1:18" ht="12.75" hidden="1" customHeight="1" x14ac:dyDescent="0.25">
      <c r="A229" s="113" t="s">
        <v>0</v>
      </c>
      <c r="B229" s="132"/>
      <c r="C229" s="132"/>
      <c r="D229" s="496">
        <v>200</v>
      </c>
      <c r="E229" s="25"/>
      <c r="F229" s="26"/>
      <c r="G229" s="1296"/>
      <c r="H229" s="1297"/>
      <c r="I229" s="1298"/>
      <c r="J229" s="1296"/>
      <c r="K229" s="1297"/>
      <c r="L229" s="1297"/>
      <c r="M229" s="1297"/>
      <c r="N229" s="1298"/>
      <c r="O229" s="142"/>
      <c r="P229" s="115"/>
      <c r="R229" s="499" t="str">
        <f t="shared" si="0"/>
        <v>n.a.</v>
      </c>
    </row>
    <row r="230" spans="1:18" ht="12.75" hidden="1" customHeight="1" x14ac:dyDescent="0.25">
      <c r="A230" s="113" t="s">
        <v>0</v>
      </c>
      <c r="B230" s="132"/>
      <c r="C230" s="132"/>
      <c r="D230" s="496">
        <v>201</v>
      </c>
      <c r="E230" s="25"/>
      <c r="F230" s="26"/>
      <c r="G230" s="1296"/>
      <c r="H230" s="1297"/>
      <c r="I230" s="1298"/>
      <c r="J230" s="1296"/>
      <c r="K230" s="1297"/>
      <c r="L230" s="1297"/>
      <c r="M230" s="1297"/>
      <c r="N230" s="1298"/>
      <c r="O230" s="142"/>
      <c r="P230" s="115"/>
      <c r="R230" s="499" t="str">
        <f t="shared" si="0"/>
        <v>n.a.</v>
      </c>
    </row>
    <row r="231" spans="1:18" ht="12.75" hidden="1" customHeight="1" x14ac:dyDescent="0.25">
      <c r="A231" s="113" t="s">
        <v>0</v>
      </c>
      <c r="B231" s="132"/>
      <c r="C231" s="132"/>
      <c r="D231" s="496">
        <v>202</v>
      </c>
      <c r="E231" s="25"/>
      <c r="F231" s="26"/>
      <c r="G231" s="1296"/>
      <c r="H231" s="1297"/>
      <c r="I231" s="1298"/>
      <c r="J231" s="1296"/>
      <c r="K231" s="1297"/>
      <c r="L231" s="1297"/>
      <c r="M231" s="1297"/>
      <c r="N231" s="1298"/>
      <c r="O231" s="142"/>
      <c r="P231" s="115"/>
      <c r="R231" s="499" t="str">
        <f t="shared" si="0"/>
        <v>n.a.</v>
      </c>
    </row>
    <row r="232" spans="1:18" ht="12.75" hidden="1" customHeight="1" x14ac:dyDescent="0.25">
      <c r="A232" s="113" t="s">
        <v>0</v>
      </c>
      <c r="B232" s="132"/>
      <c r="C232" s="132"/>
      <c r="D232" s="496">
        <v>203</v>
      </c>
      <c r="E232" s="25"/>
      <c r="F232" s="26"/>
      <c r="G232" s="1296"/>
      <c r="H232" s="1297"/>
      <c r="I232" s="1298"/>
      <c r="J232" s="1296"/>
      <c r="K232" s="1297"/>
      <c r="L232" s="1297"/>
      <c r="M232" s="1297"/>
      <c r="N232" s="1298"/>
      <c r="O232" s="142"/>
      <c r="P232" s="115"/>
      <c r="R232" s="499" t="str">
        <f t="shared" si="0"/>
        <v>n.a.</v>
      </c>
    </row>
    <row r="233" spans="1:18" ht="12.75" hidden="1" customHeight="1" x14ac:dyDescent="0.25">
      <c r="A233" s="113" t="s">
        <v>0</v>
      </c>
      <c r="B233" s="132"/>
      <c r="C233" s="132"/>
      <c r="D233" s="496">
        <v>204</v>
      </c>
      <c r="E233" s="25"/>
      <c r="F233" s="26"/>
      <c r="G233" s="1296"/>
      <c r="H233" s="1297"/>
      <c r="I233" s="1298"/>
      <c r="J233" s="1296"/>
      <c r="K233" s="1297"/>
      <c r="L233" s="1297"/>
      <c r="M233" s="1297"/>
      <c r="N233" s="1298"/>
      <c r="O233" s="142"/>
      <c r="P233" s="115"/>
      <c r="R233" s="499" t="str">
        <f t="shared" si="0"/>
        <v>n.a.</v>
      </c>
    </row>
    <row r="234" spans="1:18" ht="12.75" hidden="1" customHeight="1" x14ac:dyDescent="0.25">
      <c r="A234" s="113" t="s">
        <v>0</v>
      </c>
      <c r="B234" s="132"/>
      <c r="C234" s="132"/>
      <c r="D234" s="496">
        <v>205</v>
      </c>
      <c r="E234" s="25"/>
      <c r="F234" s="26"/>
      <c r="G234" s="1296"/>
      <c r="H234" s="1297"/>
      <c r="I234" s="1298"/>
      <c r="J234" s="1296"/>
      <c r="K234" s="1297"/>
      <c r="L234" s="1297"/>
      <c r="M234" s="1297"/>
      <c r="N234" s="1298"/>
      <c r="O234" s="142"/>
      <c r="P234" s="115"/>
      <c r="R234" s="499" t="str">
        <f t="shared" si="0"/>
        <v>n.a.</v>
      </c>
    </row>
    <row r="235" spans="1:18" ht="12.75" hidden="1" customHeight="1" x14ac:dyDescent="0.25">
      <c r="A235" s="113" t="s">
        <v>0</v>
      </c>
      <c r="B235" s="132"/>
      <c r="C235" s="132"/>
      <c r="D235" s="496">
        <v>206</v>
      </c>
      <c r="E235" s="25"/>
      <c r="F235" s="26"/>
      <c r="G235" s="1296"/>
      <c r="H235" s="1297"/>
      <c r="I235" s="1298"/>
      <c r="J235" s="1296"/>
      <c r="K235" s="1297"/>
      <c r="L235" s="1297"/>
      <c r="M235" s="1297"/>
      <c r="N235" s="1298"/>
      <c r="O235" s="142"/>
      <c r="P235" s="115"/>
      <c r="R235" s="499" t="str">
        <f t="shared" si="0"/>
        <v>n.a.</v>
      </c>
    </row>
    <row r="236" spans="1:18" ht="12.75" hidden="1" customHeight="1" x14ac:dyDescent="0.25">
      <c r="A236" s="113" t="s">
        <v>0</v>
      </c>
      <c r="B236" s="132"/>
      <c r="C236" s="132"/>
      <c r="D236" s="496">
        <v>207</v>
      </c>
      <c r="E236" s="25"/>
      <c r="F236" s="26"/>
      <c r="G236" s="1296"/>
      <c r="H236" s="1297"/>
      <c r="I236" s="1298"/>
      <c r="J236" s="1296"/>
      <c r="K236" s="1297"/>
      <c r="L236" s="1297"/>
      <c r="M236" s="1297"/>
      <c r="N236" s="1298"/>
      <c r="O236" s="142"/>
      <c r="P236" s="115"/>
      <c r="R236" s="499" t="str">
        <f t="shared" si="0"/>
        <v>n.a.</v>
      </c>
    </row>
    <row r="237" spans="1:18" ht="12.75" hidden="1" customHeight="1" x14ac:dyDescent="0.25">
      <c r="A237" s="113" t="s">
        <v>0</v>
      </c>
      <c r="B237" s="132"/>
      <c r="C237" s="132"/>
      <c r="D237" s="496">
        <v>208</v>
      </c>
      <c r="E237" s="25"/>
      <c r="F237" s="26"/>
      <c r="G237" s="1296"/>
      <c r="H237" s="1297"/>
      <c r="I237" s="1298"/>
      <c r="J237" s="1296"/>
      <c r="K237" s="1297"/>
      <c r="L237" s="1297"/>
      <c r="M237" s="1297"/>
      <c r="N237" s="1298"/>
      <c r="O237" s="142"/>
      <c r="P237" s="115"/>
      <c r="R237" s="499" t="str">
        <f t="shared" si="0"/>
        <v>n.a.</v>
      </c>
    </row>
    <row r="238" spans="1:18" ht="12.75" hidden="1" customHeight="1" x14ac:dyDescent="0.25">
      <c r="A238" s="113" t="s">
        <v>0</v>
      </c>
      <c r="B238" s="132"/>
      <c r="C238" s="132"/>
      <c r="D238" s="496">
        <v>209</v>
      </c>
      <c r="E238" s="25"/>
      <c r="F238" s="26"/>
      <c r="G238" s="1296"/>
      <c r="H238" s="1297"/>
      <c r="I238" s="1298"/>
      <c r="J238" s="1296"/>
      <c r="K238" s="1297"/>
      <c r="L238" s="1297"/>
      <c r="M238" s="1297"/>
      <c r="N238" s="1298"/>
      <c r="O238" s="142"/>
      <c r="P238" s="115"/>
      <c r="R238" s="499" t="str">
        <f t="shared" si="0"/>
        <v>n.a.</v>
      </c>
    </row>
    <row r="239" spans="1:18" ht="12.75" hidden="1" customHeight="1" x14ac:dyDescent="0.25">
      <c r="A239" s="113" t="s">
        <v>0</v>
      </c>
      <c r="B239" s="132"/>
      <c r="C239" s="132"/>
      <c r="D239" s="496">
        <v>210</v>
      </c>
      <c r="E239" s="25"/>
      <c r="F239" s="26"/>
      <c r="G239" s="1296"/>
      <c r="H239" s="1297"/>
      <c r="I239" s="1298"/>
      <c r="J239" s="1296"/>
      <c r="K239" s="1297"/>
      <c r="L239" s="1297"/>
      <c r="M239" s="1297"/>
      <c r="N239" s="1298"/>
      <c r="O239" s="142"/>
      <c r="P239" s="115"/>
      <c r="R239" s="499" t="str">
        <f t="shared" si="0"/>
        <v>n.a.</v>
      </c>
    </row>
    <row r="240" spans="1:18" ht="12.75" hidden="1" customHeight="1" x14ac:dyDescent="0.25">
      <c r="A240" s="113" t="s">
        <v>0</v>
      </c>
      <c r="B240" s="132"/>
      <c r="C240" s="132"/>
      <c r="D240" s="496">
        <v>211</v>
      </c>
      <c r="E240" s="25"/>
      <c r="F240" s="26"/>
      <c r="G240" s="1296"/>
      <c r="H240" s="1297"/>
      <c r="I240" s="1298"/>
      <c r="J240" s="1296"/>
      <c r="K240" s="1297"/>
      <c r="L240" s="1297"/>
      <c r="M240" s="1297"/>
      <c r="N240" s="1298"/>
      <c r="O240" s="142"/>
      <c r="P240" s="115"/>
      <c r="R240" s="499" t="str">
        <f t="shared" si="0"/>
        <v>n.a.</v>
      </c>
    </row>
    <row r="241" spans="1:18" ht="12.75" hidden="1" customHeight="1" x14ac:dyDescent="0.25">
      <c r="A241" s="113" t="s">
        <v>0</v>
      </c>
      <c r="B241" s="132"/>
      <c r="C241" s="132"/>
      <c r="D241" s="496">
        <v>212</v>
      </c>
      <c r="E241" s="25"/>
      <c r="F241" s="26"/>
      <c r="G241" s="1296"/>
      <c r="H241" s="1297"/>
      <c r="I241" s="1298"/>
      <c r="J241" s="1296"/>
      <c r="K241" s="1297"/>
      <c r="L241" s="1297"/>
      <c r="M241" s="1297"/>
      <c r="N241" s="1298"/>
      <c r="O241" s="142"/>
      <c r="P241" s="115"/>
      <c r="R241" s="499" t="str">
        <f t="shared" si="0"/>
        <v>n.a.</v>
      </c>
    </row>
    <row r="242" spans="1:18" ht="12.75" hidden="1" customHeight="1" x14ac:dyDescent="0.25">
      <c r="A242" s="113" t="s">
        <v>0</v>
      </c>
      <c r="B242" s="132"/>
      <c r="C242" s="132"/>
      <c r="D242" s="496">
        <v>213</v>
      </c>
      <c r="E242" s="25"/>
      <c r="F242" s="26"/>
      <c r="G242" s="1296"/>
      <c r="H242" s="1297"/>
      <c r="I242" s="1298"/>
      <c r="J242" s="1296"/>
      <c r="K242" s="1297"/>
      <c r="L242" s="1297"/>
      <c r="M242" s="1297"/>
      <c r="N242" s="1298"/>
      <c r="O242" s="142"/>
      <c r="P242" s="115"/>
      <c r="R242" s="499" t="str">
        <f t="shared" si="0"/>
        <v>n.a.</v>
      </c>
    </row>
    <row r="243" spans="1:18" ht="12.75" hidden="1" customHeight="1" x14ac:dyDescent="0.25">
      <c r="A243" s="113" t="s">
        <v>0</v>
      </c>
      <c r="B243" s="132"/>
      <c r="C243" s="132"/>
      <c r="D243" s="496">
        <v>214</v>
      </c>
      <c r="E243" s="25"/>
      <c r="F243" s="26"/>
      <c r="G243" s="1296"/>
      <c r="H243" s="1297"/>
      <c r="I243" s="1298"/>
      <c r="J243" s="1296"/>
      <c r="K243" s="1297"/>
      <c r="L243" s="1297"/>
      <c r="M243" s="1297"/>
      <c r="N243" s="1298"/>
      <c r="O243" s="142"/>
      <c r="P243" s="115"/>
      <c r="R243" s="499" t="str">
        <f t="shared" si="0"/>
        <v>n.a.</v>
      </c>
    </row>
    <row r="244" spans="1:18" ht="12.75" hidden="1" customHeight="1" x14ac:dyDescent="0.25">
      <c r="A244" s="113" t="s">
        <v>0</v>
      </c>
      <c r="B244" s="132"/>
      <c r="C244" s="132"/>
      <c r="D244" s="496">
        <v>215</v>
      </c>
      <c r="E244" s="25"/>
      <c r="F244" s="26"/>
      <c r="G244" s="1296"/>
      <c r="H244" s="1297"/>
      <c r="I244" s="1298"/>
      <c r="J244" s="1296"/>
      <c r="K244" s="1297"/>
      <c r="L244" s="1297"/>
      <c r="M244" s="1297"/>
      <c r="N244" s="1298"/>
      <c r="O244" s="142"/>
      <c r="P244" s="115"/>
      <c r="R244" s="499" t="str">
        <f t="shared" si="0"/>
        <v>n.a.</v>
      </c>
    </row>
    <row r="245" spans="1:18" ht="12.75" hidden="1" customHeight="1" x14ac:dyDescent="0.25">
      <c r="A245" s="113" t="s">
        <v>0</v>
      </c>
      <c r="B245" s="132"/>
      <c r="C245" s="132"/>
      <c r="D245" s="496">
        <v>216</v>
      </c>
      <c r="E245" s="25"/>
      <c r="F245" s="26"/>
      <c r="G245" s="1296"/>
      <c r="H245" s="1297"/>
      <c r="I245" s="1298"/>
      <c r="J245" s="1296"/>
      <c r="K245" s="1297"/>
      <c r="L245" s="1297"/>
      <c r="M245" s="1297"/>
      <c r="N245" s="1298"/>
      <c r="O245" s="142"/>
      <c r="P245" s="115"/>
      <c r="R245" s="499" t="str">
        <f t="shared" si="0"/>
        <v>n.a.</v>
      </c>
    </row>
    <row r="246" spans="1:18" ht="12.75" hidden="1" customHeight="1" x14ac:dyDescent="0.25">
      <c r="A246" s="113" t="s">
        <v>0</v>
      </c>
      <c r="B246" s="132"/>
      <c r="C246" s="132"/>
      <c r="D246" s="496">
        <v>217</v>
      </c>
      <c r="E246" s="25"/>
      <c r="F246" s="26"/>
      <c r="G246" s="1296"/>
      <c r="H246" s="1297"/>
      <c r="I246" s="1298"/>
      <c r="J246" s="1296"/>
      <c r="K246" s="1297"/>
      <c r="L246" s="1297"/>
      <c r="M246" s="1297"/>
      <c r="N246" s="1298"/>
      <c r="O246" s="142"/>
      <c r="P246" s="115"/>
      <c r="R246" s="499" t="str">
        <f t="shared" si="0"/>
        <v>n.a.</v>
      </c>
    </row>
    <row r="247" spans="1:18" ht="12.75" hidden="1" customHeight="1" x14ac:dyDescent="0.25">
      <c r="A247" s="113" t="s">
        <v>0</v>
      </c>
      <c r="B247" s="132"/>
      <c r="C247" s="132"/>
      <c r="D247" s="496">
        <v>218</v>
      </c>
      <c r="E247" s="25"/>
      <c r="F247" s="26"/>
      <c r="G247" s="1296"/>
      <c r="H247" s="1297"/>
      <c r="I247" s="1298"/>
      <c r="J247" s="1296"/>
      <c r="K247" s="1297"/>
      <c r="L247" s="1297"/>
      <c r="M247" s="1297"/>
      <c r="N247" s="1298"/>
      <c r="O247" s="142"/>
      <c r="P247" s="115"/>
      <c r="R247" s="499" t="str">
        <f t="shared" si="0"/>
        <v>n.a.</v>
      </c>
    </row>
    <row r="248" spans="1:18" ht="12.75" hidden="1" customHeight="1" x14ac:dyDescent="0.25">
      <c r="A248" s="113" t="s">
        <v>0</v>
      </c>
      <c r="B248" s="132"/>
      <c r="C248" s="132"/>
      <c r="D248" s="496">
        <v>219</v>
      </c>
      <c r="E248" s="25"/>
      <c r="F248" s="26"/>
      <c r="G248" s="1296"/>
      <c r="H248" s="1297"/>
      <c r="I248" s="1298"/>
      <c r="J248" s="1296"/>
      <c r="K248" s="1297"/>
      <c r="L248" s="1297"/>
      <c r="M248" s="1297"/>
      <c r="N248" s="1298"/>
      <c r="O248" s="142"/>
      <c r="P248" s="115"/>
      <c r="R248" s="499" t="str">
        <f t="shared" si="0"/>
        <v>n.a.</v>
      </c>
    </row>
    <row r="249" spans="1:18" ht="12.75" hidden="1" customHeight="1" x14ac:dyDescent="0.25">
      <c r="A249" s="113" t="s">
        <v>0</v>
      </c>
      <c r="B249" s="132"/>
      <c r="C249" s="132"/>
      <c r="D249" s="496">
        <v>220</v>
      </c>
      <c r="E249" s="25"/>
      <c r="F249" s="26"/>
      <c r="G249" s="1296"/>
      <c r="H249" s="1297"/>
      <c r="I249" s="1298"/>
      <c r="J249" s="1296"/>
      <c r="K249" s="1297"/>
      <c r="L249" s="1297"/>
      <c r="M249" s="1297"/>
      <c r="N249" s="1298"/>
      <c r="O249" s="142"/>
      <c r="P249" s="115"/>
      <c r="R249" s="499" t="str">
        <f t="shared" si="0"/>
        <v>n.a.</v>
      </c>
    </row>
    <row r="250" spans="1:18" ht="12.75" hidden="1" customHeight="1" x14ac:dyDescent="0.25">
      <c r="A250" s="113" t="s">
        <v>0</v>
      </c>
      <c r="B250" s="132"/>
      <c r="C250" s="132"/>
      <c r="D250" s="496">
        <v>221</v>
      </c>
      <c r="E250" s="25"/>
      <c r="F250" s="26"/>
      <c r="G250" s="1296"/>
      <c r="H250" s="1297"/>
      <c r="I250" s="1298"/>
      <c r="J250" s="1296"/>
      <c r="K250" s="1297"/>
      <c r="L250" s="1297"/>
      <c r="M250" s="1297"/>
      <c r="N250" s="1298"/>
      <c r="O250" s="142"/>
      <c r="P250" s="115"/>
      <c r="R250" s="499" t="str">
        <f t="shared" si="0"/>
        <v>n.a.</v>
      </c>
    </row>
    <row r="251" spans="1:18" ht="12.75" hidden="1" customHeight="1" x14ac:dyDescent="0.25">
      <c r="A251" s="113" t="s">
        <v>0</v>
      </c>
      <c r="B251" s="132"/>
      <c r="C251" s="132"/>
      <c r="D251" s="496">
        <v>222</v>
      </c>
      <c r="E251" s="25"/>
      <c r="F251" s="26"/>
      <c r="G251" s="1296"/>
      <c r="H251" s="1297"/>
      <c r="I251" s="1298"/>
      <c r="J251" s="1296"/>
      <c r="K251" s="1297"/>
      <c r="L251" s="1297"/>
      <c r="M251" s="1297"/>
      <c r="N251" s="1298"/>
      <c r="O251" s="142"/>
      <c r="P251" s="115"/>
      <c r="R251" s="499" t="str">
        <f t="shared" si="0"/>
        <v>n.a.</v>
      </c>
    </row>
    <row r="252" spans="1:18" ht="12.75" hidden="1" customHeight="1" x14ac:dyDescent="0.25">
      <c r="A252" s="113" t="s">
        <v>0</v>
      </c>
      <c r="B252" s="132"/>
      <c r="C252" s="132"/>
      <c r="D252" s="496">
        <v>223</v>
      </c>
      <c r="E252" s="25"/>
      <c r="F252" s="26"/>
      <c r="G252" s="1296"/>
      <c r="H252" s="1297"/>
      <c r="I252" s="1298"/>
      <c r="J252" s="1296"/>
      <c r="K252" s="1297"/>
      <c r="L252" s="1297"/>
      <c r="M252" s="1297"/>
      <c r="N252" s="1298"/>
      <c r="O252" s="142"/>
      <c r="P252" s="115"/>
      <c r="R252" s="499" t="str">
        <f t="shared" si="0"/>
        <v>n.a.</v>
      </c>
    </row>
    <row r="253" spans="1:18" ht="12.75" hidden="1" customHeight="1" x14ac:dyDescent="0.25">
      <c r="A253" s="113" t="s">
        <v>0</v>
      </c>
      <c r="B253" s="132"/>
      <c r="C253" s="132"/>
      <c r="D253" s="496">
        <v>224</v>
      </c>
      <c r="E253" s="25"/>
      <c r="F253" s="26"/>
      <c r="G253" s="1296"/>
      <c r="H253" s="1297"/>
      <c r="I253" s="1298"/>
      <c r="J253" s="1296"/>
      <c r="K253" s="1297"/>
      <c r="L253" s="1297"/>
      <c r="M253" s="1297"/>
      <c r="N253" s="1298"/>
      <c r="O253" s="142"/>
      <c r="P253" s="115"/>
      <c r="R253" s="499" t="str">
        <f t="shared" si="0"/>
        <v>n.a.</v>
      </c>
    </row>
    <row r="254" spans="1:18" ht="12.75" hidden="1" customHeight="1" x14ac:dyDescent="0.25">
      <c r="A254" s="113" t="s">
        <v>0</v>
      </c>
      <c r="B254" s="132"/>
      <c r="C254" s="132"/>
      <c r="D254" s="496">
        <v>225</v>
      </c>
      <c r="E254" s="25"/>
      <c r="F254" s="26"/>
      <c r="G254" s="1296"/>
      <c r="H254" s="1297"/>
      <c r="I254" s="1298"/>
      <c r="J254" s="1296"/>
      <c r="K254" s="1297"/>
      <c r="L254" s="1297"/>
      <c r="M254" s="1297"/>
      <c r="N254" s="1298"/>
      <c r="O254" s="142"/>
      <c r="P254" s="115"/>
      <c r="R254" s="499" t="str">
        <f t="shared" si="0"/>
        <v>n.a.</v>
      </c>
    </row>
    <row r="255" spans="1:18" ht="12.75" hidden="1" customHeight="1" x14ac:dyDescent="0.25">
      <c r="A255" s="113" t="s">
        <v>0</v>
      </c>
      <c r="B255" s="132"/>
      <c r="C255" s="132"/>
      <c r="D255" s="496">
        <v>226</v>
      </c>
      <c r="E255" s="25"/>
      <c r="F255" s="26"/>
      <c r="G255" s="1296"/>
      <c r="H255" s="1297"/>
      <c r="I255" s="1298"/>
      <c r="J255" s="1296"/>
      <c r="K255" s="1297"/>
      <c r="L255" s="1297"/>
      <c r="M255" s="1297"/>
      <c r="N255" s="1298"/>
      <c r="O255" s="142"/>
      <c r="P255" s="115"/>
      <c r="R255" s="499" t="str">
        <f t="shared" si="0"/>
        <v>n.a.</v>
      </c>
    </row>
    <row r="256" spans="1:18" ht="12.75" hidden="1" customHeight="1" x14ac:dyDescent="0.25">
      <c r="A256" s="113" t="s">
        <v>0</v>
      </c>
      <c r="B256" s="132"/>
      <c r="C256" s="132"/>
      <c r="D256" s="496">
        <v>227</v>
      </c>
      <c r="E256" s="25"/>
      <c r="F256" s="26"/>
      <c r="G256" s="1296"/>
      <c r="H256" s="1297"/>
      <c r="I256" s="1298"/>
      <c r="J256" s="1296"/>
      <c r="K256" s="1297"/>
      <c r="L256" s="1297"/>
      <c r="M256" s="1297"/>
      <c r="N256" s="1298"/>
      <c r="O256" s="142"/>
      <c r="P256" s="115"/>
      <c r="R256" s="499" t="str">
        <f t="shared" si="0"/>
        <v>n.a.</v>
      </c>
    </row>
    <row r="257" spans="1:18" ht="12.75" hidden="1" customHeight="1" x14ac:dyDescent="0.25">
      <c r="A257" s="113" t="s">
        <v>0</v>
      </c>
      <c r="B257" s="132"/>
      <c r="C257" s="132"/>
      <c r="D257" s="496">
        <v>228</v>
      </c>
      <c r="E257" s="25"/>
      <c r="F257" s="26"/>
      <c r="G257" s="1296"/>
      <c r="H257" s="1297"/>
      <c r="I257" s="1298"/>
      <c r="J257" s="1296"/>
      <c r="K257" s="1297"/>
      <c r="L257" s="1297"/>
      <c r="M257" s="1297"/>
      <c r="N257" s="1298"/>
      <c r="O257" s="142"/>
      <c r="P257" s="115"/>
      <c r="R257" s="499" t="str">
        <f t="shared" si="0"/>
        <v>n.a.</v>
      </c>
    </row>
    <row r="258" spans="1:18" ht="12.75" hidden="1" customHeight="1" x14ac:dyDescent="0.25">
      <c r="A258" s="113" t="s">
        <v>0</v>
      </c>
      <c r="B258" s="132"/>
      <c r="C258" s="132"/>
      <c r="D258" s="496">
        <v>229</v>
      </c>
      <c r="E258" s="25"/>
      <c r="F258" s="26"/>
      <c r="G258" s="1296"/>
      <c r="H258" s="1297"/>
      <c r="I258" s="1298"/>
      <c r="J258" s="1296"/>
      <c r="K258" s="1297"/>
      <c r="L258" s="1297"/>
      <c r="M258" s="1297"/>
      <c r="N258" s="1298"/>
      <c r="O258" s="142"/>
      <c r="P258" s="115"/>
      <c r="R258" s="499" t="str">
        <f t="shared" si="0"/>
        <v>n.a.</v>
      </c>
    </row>
    <row r="259" spans="1:18" ht="12.75" hidden="1" customHeight="1" x14ac:dyDescent="0.25">
      <c r="A259" s="113" t="s">
        <v>0</v>
      </c>
      <c r="B259" s="132"/>
      <c r="C259" s="132"/>
      <c r="D259" s="496">
        <v>230</v>
      </c>
      <c r="E259" s="25"/>
      <c r="F259" s="26"/>
      <c r="G259" s="1296"/>
      <c r="H259" s="1297"/>
      <c r="I259" s="1298"/>
      <c r="J259" s="1296"/>
      <c r="K259" s="1297"/>
      <c r="L259" s="1297"/>
      <c r="M259" s="1297"/>
      <c r="N259" s="1298"/>
      <c r="O259" s="142"/>
      <c r="P259" s="115"/>
      <c r="R259" s="499" t="str">
        <f t="shared" si="0"/>
        <v>n.a.</v>
      </c>
    </row>
    <row r="260" spans="1:18" ht="12.75" hidden="1" customHeight="1" x14ac:dyDescent="0.25">
      <c r="A260" s="113" t="s">
        <v>0</v>
      </c>
      <c r="B260" s="132"/>
      <c r="C260" s="132"/>
      <c r="D260" s="496">
        <v>231</v>
      </c>
      <c r="E260" s="25"/>
      <c r="F260" s="26"/>
      <c r="G260" s="1296"/>
      <c r="H260" s="1297"/>
      <c r="I260" s="1298"/>
      <c r="J260" s="1296"/>
      <c r="K260" s="1297"/>
      <c r="L260" s="1297"/>
      <c r="M260" s="1297"/>
      <c r="N260" s="1298"/>
      <c r="O260" s="142"/>
      <c r="P260" s="115"/>
      <c r="R260" s="499" t="str">
        <f t="shared" si="0"/>
        <v>n.a.</v>
      </c>
    </row>
    <row r="261" spans="1:18" ht="12.75" hidden="1" customHeight="1" x14ac:dyDescent="0.25">
      <c r="A261" s="113" t="s">
        <v>0</v>
      </c>
      <c r="B261" s="132"/>
      <c r="C261" s="132"/>
      <c r="D261" s="496">
        <v>232</v>
      </c>
      <c r="E261" s="25"/>
      <c r="F261" s="26"/>
      <c r="G261" s="1296"/>
      <c r="H261" s="1297"/>
      <c r="I261" s="1298"/>
      <c r="J261" s="1296"/>
      <c r="K261" s="1297"/>
      <c r="L261" s="1297"/>
      <c r="M261" s="1297"/>
      <c r="N261" s="1298"/>
      <c r="O261" s="142"/>
      <c r="P261" s="115"/>
      <c r="R261" s="499" t="str">
        <f t="shared" si="0"/>
        <v>n.a.</v>
      </c>
    </row>
    <row r="262" spans="1:18" ht="12.75" hidden="1" customHeight="1" x14ac:dyDescent="0.25">
      <c r="A262" s="113" t="s">
        <v>0</v>
      </c>
      <c r="B262" s="132"/>
      <c r="C262" s="132"/>
      <c r="D262" s="496">
        <v>233</v>
      </c>
      <c r="E262" s="25"/>
      <c r="F262" s="26"/>
      <c r="G262" s="1296"/>
      <c r="H262" s="1297"/>
      <c r="I262" s="1298"/>
      <c r="J262" s="1296"/>
      <c r="K262" s="1297"/>
      <c r="L262" s="1297"/>
      <c r="M262" s="1297"/>
      <c r="N262" s="1298"/>
      <c r="O262" s="142"/>
      <c r="P262" s="115"/>
      <c r="R262" s="499" t="str">
        <f t="shared" si="0"/>
        <v>n.a.</v>
      </c>
    </row>
    <row r="263" spans="1:18" ht="12.75" hidden="1" customHeight="1" x14ac:dyDescent="0.25">
      <c r="A263" s="113" t="s">
        <v>0</v>
      </c>
      <c r="B263" s="132"/>
      <c r="C263" s="132"/>
      <c r="D263" s="496">
        <v>234</v>
      </c>
      <c r="E263" s="25"/>
      <c r="F263" s="26"/>
      <c r="G263" s="1296"/>
      <c r="H263" s="1297"/>
      <c r="I263" s="1298"/>
      <c r="J263" s="1296"/>
      <c r="K263" s="1297"/>
      <c r="L263" s="1297"/>
      <c r="M263" s="1297"/>
      <c r="N263" s="1298"/>
      <c r="O263" s="142"/>
      <c r="P263" s="115"/>
      <c r="R263" s="499" t="str">
        <f t="shared" si="0"/>
        <v>n.a.</v>
      </c>
    </row>
    <row r="264" spans="1:18" ht="12.75" hidden="1" customHeight="1" x14ac:dyDescent="0.25">
      <c r="A264" s="113" t="s">
        <v>0</v>
      </c>
      <c r="B264" s="132"/>
      <c r="C264" s="132"/>
      <c r="D264" s="496">
        <v>235</v>
      </c>
      <c r="E264" s="25"/>
      <c r="F264" s="26"/>
      <c r="G264" s="1296"/>
      <c r="H264" s="1297"/>
      <c r="I264" s="1298"/>
      <c r="J264" s="1296"/>
      <c r="K264" s="1297"/>
      <c r="L264" s="1297"/>
      <c r="M264" s="1297"/>
      <c r="N264" s="1298"/>
      <c r="O264" s="142"/>
      <c r="P264" s="115"/>
      <c r="R264" s="499" t="str">
        <f t="shared" si="0"/>
        <v>n.a.</v>
      </c>
    </row>
    <row r="265" spans="1:18" ht="12.75" hidden="1" customHeight="1" x14ac:dyDescent="0.25">
      <c r="A265" s="113" t="s">
        <v>0</v>
      </c>
      <c r="B265" s="132"/>
      <c r="C265" s="132"/>
      <c r="D265" s="496">
        <v>236</v>
      </c>
      <c r="E265" s="25"/>
      <c r="F265" s="26"/>
      <c r="G265" s="1296"/>
      <c r="H265" s="1297"/>
      <c r="I265" s="1298"/>
      <c r="J265" s="1296"/>
      <c r="K265" s="1297"/>
      <c r="L265" s="1297"/>
      <c r="M265" s="1297"/>
      <c r="N265" s="1298"/>
      <c r="O265" s="142"/>
      <c r="P265" s="115"/>
      <c r="R265" s="499" t="str">
        <f t="shared" si="0"/>
        <v>n.a.</v>
      </c>
    </row>
    <row r="266" spans="1:18" ht="12.75" hidden="1" customHeight="1" x14ac:dyDescent="0.25">
      <c r="A266" s="113" t="s">
        <v>0</v>
      </c>
      <c r="B266" s="132"/>
      <c r="C266" s="132"/>
      <c r="D266" s="496">
        <v>237</v>
      </c>
      <c r="E266" s="25"/>
      <c r="F266" s="26"/>
      <c r="G266" s="1296"/>
      <c r="H266" s="1297"/>
      <c r="I266" s="1298"/>
      <c r="J266" s="1296"/>
      <c r="K266" s="1297"/>
      <c r="L266" s="1297"/>
      <c r="M266" s="1297"/>
      <c r="N266" s="1298"/>
      <c r="O266" s="142"/>
      <c r="P266" s="115"/>
      <c r="R266" s="499" t="str">
        <f t="shared" si="0"/>
        <v>n.a.</v>
      </c>
    </row>
    <row r="267" spans="1:18" ht="12.75" hidden="1" customHeight="1" x14ac:dyDescent="0.25">
      <c r="A267" s="113" t="s">
        <v>0</v>
      </c>
      <c r="B267" s="132"/>
      <c r="C267" s="132"/>
      <c r="D267" s="496">
        <v>238</v>
      </c>
      <c r="E267" s="25"/>
      <c r="F267" s="26"/>
      <c r="G267" s="1296"/>
      <c r="H267" s="1297"/>
      <c r="I267" s="1298"/>
      <c r="J267" s="1296"/>
      <c r="K267" s="1297"/>
      <c r="L267" s="1297"/>
      <c r="M267" s="1297"/>
      <c r="N267" s="1298"/>
      <c r="O267" s="142"/>
      <c r="P267" s="115"/>
      <c r="R267" s="499" t="str">
        <f t="shared" si="0"/>
        <v>n.a.</v>
      </c>
    </row>
    <row r="268" spans="1:18" ht="12.75" hidden="1" customHeight="1" x14ac:dyDescent="0.25">
      <c r="A268" s="113" t="s">
        <v>0</v>
      </c>
      <c r="B268" s="132"/>
      <c r="C268" s="132"/>
      <c r="D268" s="496">
        <v>239</v>
      </c>
      <c r="E268" s="25"/>
      <c r="F268" s="26"/>
      <c r="G268" s="1296"/>
      <c r="H268" s="1297"/>
      <c r="I268" s="1298"/>
      <c r="J268" s="1296"/>
      <c r="K268" s="1297"/>
      <c r="L268" s="1297"/>
      <c r="M268" s="1297"/>
      <c r="N268" s="1298"/>
      <c r="O268" s="142"/>
      <c r="P268" s="115"/>
      <c r="R268" s="499" t="str">
        <f t="shared" si="0"/>
        <v>n.a.</v>
      </c>
    </row>
    <row r="269" spans="1:18" ht="12.75" hidden="1" customHeight="1" x14ac:dyDescent="0.25">
      <c r="A269" s="113" t="s">
        <v>0</v>
      </c>
      <c r="B269" s="132"/>
      <c r="C269" s="132"/>
      <c r="D269" s="496">
        <v>240</v>
      </c>
      <c r="E269" s="25"/>
      <c r="F269" s="26"/>
      <c r="G269" s="1296"/>
      <c r="H269" s="1297"/>
      <c r="I269" s="1298"/>
      <c r="J269" s="1296"/>
      <c r="K269" s="1297"/>
      <c r="L269" s="1297"/>
      <c r="M269" s="1297"/>
      <c r="N269" s="1298"/>
      <c r="O269" s="142"/>
      <c r="P269" s="115"/>
      <c r="R269" s="499" t="str">
        <f t="shared" si="0"/>
        <v>n.a.</v>
      </c>
    </row>
    <row r="270" spans="1:18" ht="12.75" hidden="1" customHeight="1" x14ac:dyDescent="0.25">
      <c r="A270" s="113" t="s">
        <v>0</v>
      </c>
      <c r="B270" s="132"/>
      <c r="C270" s="132"/>
      <c r="D270" s="496">
        <v>241</v>
      </c>
      <c r="E270" s="25"/>
      <c r="F270" s="26"/>
      <c r="G270" s="1296"/>
      <c r="H270" s="1297"/>
      <c r="I270" s="1298"/>
      <c r="J270" s="1296"/>
      <c r="K270" s="1297"/>
      <c r="L270" s="1297"/>
      <c r="M270" s="1297"/>
      <c r="N270" s="1298"/>
      <c r="O270" s="142"/>
      <c r="P270" s="115"/>
      <c r="R270" s="499" t="str">
        <f t="shared" si="0"/>
        <v>n.a.</v>
      </c>
    </row>
    <row r="271" spans="1:18" ht="12.75" hidden="1" customHeight="1" x14ac:dyDescent="0.25">
      <c r="A271" s="113" t="s">
        <v>0</v>
      </c>
      <c r="B271" s="132"/>
      <c r="C271" s="132"/>
      <c r="D271" s="496">
        <v>242</v>
      </c>
      <c r="E271" s="25"/>
      <c r="F271" s="26"/>
      <c r="G271" s="1296"/>
      <c r="H271" s="1297"/>
      <c r="I271" s="1298"/>
      <c r="J271" s="1296"/>
      <c r="K271" s="1297"/>
      <c r="L271" s="1297"/>
      <c r="M271" s="1297"/>
      <c r="N271" s="1298"/>
      <c r="O271" s="142"/>
      <c r="P271" s="115"/>
      <c r="R271" s="499" t="str">
        <f t="shared" si="0"/>
        <v>n.a.</v>
      </c>
    </row>
    <row r="272" spans="1:18" ht="12.75" hidden="1" customHeight="1" x14ac:dyDescent="0.25">
      <c r="A272" s="113" t="s">
        <v>0</v>
      </c>
      <c r="B272" s="132"/>
      <c r="C272" s="132"/>
      <c r="D272" s="496">
        <v>243</v>
      </c>
      <c r="E272" s="25"/>
      <c r="F272" s="26"/>
      <c r="G272" s="1296"/>
      <c r="H272" s="1297"/>
      <c r="I272" s="1298"/>
      <c r="J272" s="1296"/>
      <c r="K272" s="1297"/>
      <c r="L272" s="1297"/>
      <c r="M272" s="1297"/>
      <c r="N272" s="1298"/>
      <c r="O272" s="142"/>
      <c r="P272" s="115"/>
      <c r="R272" s="499" t="str">
        <f t="shared" si="0"/>
        <v>n.a.</v>
      </c>
    </row>
    <row r="273" spans="1:24" ht="12.75" hidden="1" customHeight="1" x14ac:dyDescent="0.25">
      <c r="A273" s="113" t="s">
        <v>0</v>
      </c>
      <c r="B273" s="132"/>
      <c r="C273" s="132"/>
      <c r="D273" s="496">
        <v>244</v>
      </c>
      <c r="E273" s="25"/>
      <c r="F273" s="26"/>
      <c r="G273" s="1296"/>
      <c r="H273" s="1297"/>
      <c r="I273" s="1298"/>
      <c r="J273" s="1296"/>
      <c r="K273" s="1297"/>
      <c r="L273" s="1297"/>
      <c r="M273" s="1297"/>
      <c r="N273" s="1298"/>
      <c r="O273" s="142"/>
      <c r="P273" s="115"/>
      <c r="R273" s="499" t="str">
        <f t="shared" si="0"/>
        <v>n.a.</v>
      </c>
    </row>
    <row r="274" spans="1:24" ht="12.75" hidden="1" customHeight="1" x14ac:dyDescent="0.25">
      <c r="A274" s="113" t="s">
        <v>0</v>
      </c>
      <c r="B274" s="132"/>
      <c r="C274" s="132"/>
      <c r="D274" s="496">
        <v>245</v>
      </c>
      <c r="E274" s="25"/>
      <c r="F274" s="26"/>
      <c r="G274" s="1296"/>
      <c r="H274" s="1297"/>
      <c r="I274" s="1298"/>
      <c r="J274" s="1296"/>
      <c r="K274" s="1297"/>
      <c r="L274" s="1297"/>
      <c r="M274" s="1297"/>
      <c r="N274" s="1298"/>
      <c r="O274" s="142"/>
      <c r="P274" s="115"/>
      <c r="R274" s="499" t="str">
        <f t="shared" si="0"/>
        <v>n.a.</v>
      </c>
    </row>
    <row r="275" spans="1:24" ht="12.75" hidden="1" customHeight="1" x14ac:dyDescent="0.25">
      <c r="A275" s="113" t="s">
        <v>0</v>
      </c>
      <c r="B275" s="132"/>
      <c r="C275" s="132"/>
      <c r="D275" s="496">
        <v>246</v>
      </c>
      <c r="E275" s="25"/>
      <c r="F275" s="26"/>
      <c r="G275" s="1296"/>
      <c r="H275" s="1297"/>
      <c r="I275" s="1298"/>
      <c r="J275" s="1296"/>
      <c r="K275" s="1297"/>
      <c r="L275" s="1297"/>
      <c r="M275" s="1297"/>
      <c r="N275" s="1298"/>
      <c r="O275" s="142"/>
      <c r="P275" s="115"/>
      <c r="R275" s="499" t="str">
        <f t="shared" si="0"/>
        <v>n.a.</v>
      </c>
    </row>
    <row r="276" spans="1:24" ht="12.75" hidden="1" customHeight="1" x14ac:dyDescent="0.25">
      <c r="A276" s="113" t="s">
        <v>0</v>
      </c>
      <c r="B276" s="132"/>
      <c r="C276" s="132"/>
      <c r="D276" s="496">
        <v>247</v>
      </c>
      <c r="E276" s="25"/>
      <c r="F276" s="26"/>
      <c r="G276" s="1296"/>
      <c r="H276" s="1297"/>
      <c r="I276" s="1298"/>
      <c r="J276" s="1296"/>
      <c r="K276" s="1297"/>
      <c r="L276" s="1297"/>
      <c r="M276" s="1297"/>
      <c r="N276" s="1298"/>
      <c r="O276" s="142"/>
      <c r="P276" s="115"/>
      <c r="R276" s="499" t="str">
        <f t="shared" si="0"/>
        <v>n.a.</v>
      </c>
    </row>
    <row r="277" spans="1:24" ht="12.75" hidden="1" customHeight="1" x14ac:dyDescent="0.25">
      <c r="A277" s="113" t="s">
        <v>0</v>
      </c>
      <c r="B277" s="132"/>
      <c r="C277" s="132"/>
      <c r="D277" s="496">
        <v>248</v>
      </c>
      <c r="E277" s="25"/>
      <c r="F277" s="26"/>
      <c r="G277" s="1296"/>
      <c r="H277" s="1297"/>
      <c r="I277" s="1298"/>
      <c r="J277" s="1296"/>
      <c r="K277" s="1297"/>
      <c r="L277" s="1297"/>
      <c r="M277" s="1297"/>
      <c r="N277" s="1298"/>
      <c r="O277" s="142"/>
      <c r="P277" s="115"/>
      <c r="R277" s="499" t="str">
        <f t="shared" si="0"/>
        <v>n.a.</v>
      </c>
    </row>
    <row r="278" spans="1:24" ht="12.75" hidden="1" customHeight="1" x14ac:dyDescent="0.25">
      <c r="A278" s="113" t="s">
        <v>0</v>
      </c>
      <c r="B278" s="132"/>
      <c r="C278" s="132"/>
      <c r="D278" s="496">
        <v>249</v>
      </c>
      <c r="E278" s="25"/>
      <c r="F278" s="26"/>
      <c r="G278" s="1296"/>
      <c r="H278" s="1297"/>
      <c r="I278" s="1298"/>
      <c r="J278" s="1296"/>
      <c r="K278" s="1297"/>
      <c r="L278" s="1297"/>
      <c r="M278" s="1297"/>
      <c r="N278" s="1298"/>
      <c r="O278" s="142"/>
      <c r="P278" s="115"/>
      <c r="R278" s="499" t="str">
        <f t="shared" si="0"/>
        <v>n.a.</v>
      </c>
    </row>
    <row r="279" spans="1:24" ht="12.75" hidden="1" customHeight="1" thickBot="1" x14ac:dyDescent="0.3">
      <c r="A279" s="113" t="s">
        <v>0</v>
      </c>
      <c r="B279" s="132"/>
      <c r="C279" s="132"/>
      <c r="D279" s="496">
        <v>250</v>
      </c>
      <c r="E279" s="25"/>
      <c r="F279" s="26"/>
      <c r="G279" s="1296"/>
      <c r="H279" s="1297"/>
      <c r="I279" s="1298"/>
      <c r="J279" s="1296"/>
      <c r="K279" s="1297"/>
      <c r="L279" s="1297"/>
      <c r="M279" s="1297"/>
      <c r="N279" s="1298"/>
      <c r="O279" s="142"/>
      <c r="P279" s="115"/>
      <c r="R279" s="500" t="str">
        <f t="shared" si="0"/>
        <v>n.a.</v>
      </c>
    </row>
    <row r="280" spans="1:24" ht="12.75" customHeight="1" x14ac:dyDescent="0.25">
      <c r="B280" s="132"/>
      <c r="C280" s="132"/>
      <c r="D280" s="132"/>
      <c r="E280" s="191"/>
      <c r="F280" s="116"/>
      <c r="G280" s="116"/>
      <c r="H280" s="116"/>
      <c r="I280" s="116"/>
      <c r="J280" s="116"/>
      <c r="K280" s="116"/>
      <c r="L280" s="116"/>
      <c r="M280" s="116"/>
      <c r="N280" s="132"/>
      <c r="O280" s="142"/>
      <c r="P280" s="115"/>
    </row>
    <row r="281" spans="1:24" ht="12.75" customHeight="1" x14ac:dyDescent="0.25">
      <c r="B281" s="132"/>
      <c r="C281" s="132"/>
      <c r="D281" s="295" t="s">
        <v>7</v>
      </c>
      <c r="E281" s="1103" t="str">
        <f>Translations!$B$438</f>
        <v>Amount of fuel sold to ETS1 operators and used for Annex I activities</v>
      </c>
      <c r="F281" s="1309"/>
      <c r="G281" s="1309"/>
      <c r="H281" s="1309"/>
      <c r="I281" s="1309"/>
      <c r="J281" s="1309"/>
      <c r="K281" s="1309"/>
      <c r="L281" s="1309"/>
      <c r="M281" s="1309"/>
      <c r="N281" s="1309"/>
      <c r="O281" s="142"/>
      <c r="P281" s="115"/>
    </row>
    <row r="282" spans="1:24" ht="12.75" customHeight="1" x14ac:dyDescent="0.25">
      <c r="B282" s="132"/>
      <c r="C282" s="132"/>
      <c r="D282" s="132"/>
      <c r="E282" s="1090" t="str">
        <f>Translations!$B$439</f>
        <v>Where more than one fuel stream is supplied to the same ETS1 operator, multiple selections of the same ETS1 unique ID are possible in the first column.</v>
      </c>
      <c r="F282" s="1045"/>
      <c r="G282" s="1045"/>
      <c r="H282" s="1045"/>
      <c r="I282" s="1045"/>
      <c r="J282" s="1045"/>
      <c r="K282" s="1045"/>
      <c r="L282" s="1045"/>
      <c r="M282" s="1045"/>
      <c r="N282" s="1045"/>
      <c r="O282" s="142"/>
      <c r="P282" s="115"/>
    </row>
    <row r="283" spans="1:24" ht="12.75" customHeight="1" x14ac:dyDescent="0.25">
      <c r="B283" s="132"/>
      <c r="C283" s="132"/>
      <c r="D283" s="132"/>
      <c r="E283" s="1197" t="str">
        <f>Translations!$B$429</f>
        <v>The first two lines show examples for how this section should be completed.</v>
      </c>
      <c r="F283" s="1198"/>
      <c r="G283" s="1198"/>
      <c r="H283" s="1198"/>
      <c r="I283" s="1198"/>
      <c r="J283" s="1198"/>
      <c r="K283" s="1198"/>
      <c r="L283" s="1198"/>
      <c r="M283" s="1198"/>
      <c r="N283" s="1198"/>
      <c r="O283" s="142"/>
      <c r="P283" s="115"/>
    </row>
    <row r="284" spans="1:24" ht="12.75" customHeight="1" x14ac:dyDescent="0.25">
      <c r="B284" s="132"/>
      <c r="D284" s="132"/>
      <c r="E284" s="489" t="str">
        <f>Translations!$B$415</f>
        <v>ETS1 Unique ID</v>
      </c>
      <c r="F284" s="1290" t="s">
        <v>52</v>
      </c>
      <c r="G284" s="1290"/>
      <c r="H284" s="1290" t="str">
        <f>Translations!$B$420</f>
        <v>Fuel stream</v>
      </c>
      <c r="I284" s="1290"/>
      <c r="J284" s="244" t="s">
        <v>108</v>
      </c>
      <c r="K284" s="223" t="str">
        <f>Translations!$B$426</f>
        <v>Available RFA</v>
      </c>
      <c r="L284" s="244" t="str">
        <f>Translations!$B$422</f>
        <v>RFA sold</v>
      </c>
      <c r="M284" s="244" t="str">
        <f>Translations!$B$424</f>
        <v>RFA used</v>
      </c>
      <c r="N284" s="244" t="s">
        <v>179</v>
      </c>
      <c r="O284" s="142"/>
      <c r="P284" s="115"/>
      <c r="R284" s="113" t="s">
        <v>180</v>
      </c>
      <c r="S284" s="110" t="str">
        <f>Translations!$B$390</f>
        <v>CO2 fossil</v>
      </c>
      <c r="T284" s="110" t="s">
        <v>181</v>
      </c>
    </row>
    <row r="285" spans="1:24" ht="12.75" customHeight="1" x14ac:dyDescent="0.25">
      <c r="B285" s="132"/>
      <c r="D285" s="490" t="str">
        <f>Translations!$B$432</f>
        <v>Ex.1</v>
      </c>
      <c r="E285" s="501" t="str">
        <f>Translations!$B$440</f>
        <v>BE000000000006563</v>
      </c>
      <c r="F285" s="1311" t="str">
        <f>G28</f>
        <v>ACME chemical plant</v>
      </c>
      <c r="G285" s="1311"/>
      <c r="H285" s="1307" t="str">
        <f>Translations!$B$348</f>
        <v>F1. Gaseous - Natural Gas</v>
      </c>
      <c r="I285" s="1307"/>
      <c r="J285" s="502" t="str">
        <f>EUconst_t</f>
        <v>t</v>
      </c>
      <c r="K285" s="503">
        <v>25000</v>
      </c>
      <c r="L285" s="503">
        <v>25000</v>
      </c>
      <c r="M285" s="503">
        <v>25000</v>
      </c>
      <c r="N285" s="504"/>
      <c r="O285" s="142"/>
      <c r="P285" s="115"/>
    </row>
    <row r="286" spans="1:24" ht="12.75" customHeight="1" x14ac:dyDescent="0.25">
      <c r="B286" s="132"/>
      <c r="D286" s="490" t="str">
        <f>Translations!$B$435</f>
        <v>Ex.2</v>
      </c>
      <c r="E286" s="505" t="str">
        <f>Translations!$B$441</f>
        <v>NL000000000002012</v>
      </c>
      <c r="F286" s="1312" t="str">
        <f>G29</f>
        <v>Superman Steel</v>
      </c>
      <c r="G286" s="1312"/>
      <c r="H286" s="1313" t="str">
        <f>Translations!$B$442</f>
        <v>F2. Liquid - Heavy Fuel Oil</v>
      </c>
      <c r="I286" s="1313"/>
      <c r="J286" s="507" t="s">
        <v>182</v>
      </c>
      <c r="K286" s="508">
        <v>50000</v>
      </c>
      <c r="L286" s="508">
        <v>47000</v>
      </c>
      <c r="M286" s="508">
        <v>42000</v>
      </c>
      <c r="N286" s="509"/>
      <c r="O286" s="142"/>
      <c r="P286" s="115"/>
    </row>
    <row r="287" spans="1:24" ht="12.75" customHeight="1" x14ac:dyDescent="0.25">
      <c r="B287" s="132"/>
      <c r="D287" s="496">
        <v>1</v>
      </c>
      <c r="E287" s="27"/>
      <c r="F287" s="1310" t="str">
        <f t="shared" ref="F287:F305" si="1">IF(E287="","",INDEX($G$30:$G$279,MATCH(E287,$R$30:$R$279,0)))</f>
        <v/>
      </c>
      <c r="G287" s="1310"/>
      <c r="H287" s="1306"/>
      <c r="I287" s="1306"/>
      <c r="J287" s="510" t="str">
        <f>IF(H287="","",INDEX(C_FuelStreams!BM:BM,MATCH(H287,C_FuelStreams!BI:BI,0)))</f>
        <v/>
      </c>
      <c r="K287" s="511" t="str">
        <f>IF(H287="","",SUMIFS(C_FuelStreams!BL:BL,C_FuelStreams!BI:BI,H287))</f>
        <v/>
      </c>
      <c r="L287" s="28"/>
      <c r="M287" s="28"/>
      <c r="N287" s="512" t="str">
        <f t="shared" ref="N287:N350" si="2">IF(COUNT(L287:M287)=0,"",IF(OR(SUMIFS($L$287:$L$536,$H$287:$H$536,H287)&gt;K287,SUMIFS($M$287:$M$536,$H$287:$H$536,H287)&gt;K287),EUconst_ERR_Inconsistent,""))</f>
        <v/>
      </c>
      <c r="O287" s="142"/>
      <c r="P287" s="115"/>
      <c r="R287" s="513" t="str">
        <f>IF(H287="","",SUMIFS(C_FuelStreams!BK:BK,C_FuelStreams!BI:BI,H287))</f>
        <v/>
      </c>
      <c r="S287" s="513" t="str">
        <f>IF(H287="","",SUMIFS(C_FuelStreams!CP:CP,C_FuelStreams!BI:BI,H287))</f>
        <v/>
      </c>
      <c r="T287" s="513" t="str">
        <f t="shared" ref="T287:T536" si="3">IF(H287="","",IF(SUM(R287)=0,0,S287/R287*L287))</f>
        <v/>
      </c>
      <c r="X287" s="514" t="b">
        <f t="shared" ref="X287:X305" si="4">AND(COUNTA($E$30:$E$279)&gt;0,E287="")</f>
        <v>0</v>
      </c>
    </row>
    <row r="288" spans="1:24" ht="12.75" customHeight="1" x14ac:dyDescent="0.25">
      <c r="B288" s="132"/>
      <c r="D288" s="496">
        <v>2</v>
      </c>
      <c r="E288" s="27"/>
      <c r="F288" s="1308" t="str">
        <f t="shared" si="1"/>
        <v/>
      </c>
      <c r="G288" s="1308"/>
      <c r="H288" s="1306"/>
      <c r="I288" s="1306"/>
      <c r="J288" s="510" t="str">
        <f>IF(H288="","",INDEX(C_FuelStreams!BM:BM,MATCH(H288,C_FuelStreams!BI:BI,0)))</f>
        <v/>
      </c>
      <c r="K288" s="511" t="str">
        <f>IF(H288="","",SUMIFS(C_FuelStreams!BL:BL,C_FuelStreams!BI:BI,H288))</f>
        <v/>
      </c>
      <c r="L288" s="28"/>
      <c r="M288" s="28"/>
      <c r="N288" s="512" t="str">
        <f t="shared" si="2"/>
        <v/>
      </c>
      <c r="O288" s="142"/>
      <c r="P288" s="115"/>
      <c r="R288" s="513" t="str">
        <f>IF(H288="","",SUMIFS(C_FuelStreams!BK:BK,C_FuelStreams!BI:BI,H288))</f>
        <v/>
      </c>
      <c r="S288" s="513" t="str">
        <f>IF(H288="","",SUMIFS(C_FuelStreams!CP:CP,C_FuelStreams!BI:BI,H288))</f>
        <v/>
      </c>
      <c r="T288" s="513" t="str">
        <f t="shared" si="3"/>
        <v/>
      </c>
      <c r="X288" s="514" t="b">
        <f t="shared" si="4"/>
        <v>0</v>
      </c>
    </row>
    <row r="289" spans="2:24" ht="12.75" customHeight="1" x14ac:dyDescent="0.25">
      <c r="B289" s="132"/>
      <c r="D289" s="496">
        <v>3</v>
      </c>
      <c r="E289" s="27"/>
      <c r="F289" s="1308" t="str">
        <f t="shared" si="1"/>
        <v/>
      </c>
      <c r="G289" s="1308"/>
      <c r="H289" s="1306"/>
      <c r="I289" s="1306"/>
      <c r="J289" s="510" t="str">
        <f>IF(H289="","",INDEX(C_FuelStreams!BM:BM,MATCH(H289,C_FuelStreams!BI:BI,0)))</f>
        <v/>
      </c>
      <c r="K289" s="511" t="str">
        <f>IF(H289="","",SUMIFS(C_FuelStreams!BL:BL,C_FuelStreams!BI:BI,H289))</f>
        <v/>
      </c>
      <c r="L289" s="28"/>
      <c r="M289" s="28"/>
      <c r="N289" s="512" t="str">
        <f t="shared" si="2"/>
        <v/>
      </c>
      <c r="O289" s="142"/>
      <c r="P289" s="115"/>
      <c r="R289" s="513" t="str">
        <f>IF(H289="","",SUMIFS(C_FuelStreams!BK:BK,C_FuelStreams!BI:BI,H289))</f>
        <v/>
      </c>
      <c r="S289" s="513" t="str">
        <f>IF(H289="","",SUMIFS(C_FuelStreams!CP:CP,C_FuelStreams!BI:BI,H289))</f>
        <v/>
      </c>
      <c r="T289" s="513" t="str">
        <f t="shared" si="3"/>
        <v/>
      </c>
      <c r="X289" s="514" t="b">
        <f t="shared" si="4"/>
        <v>0</v>
      </c>
    </row>
    <row r="290" spans="2:24" ht="12.75" customHeight="1" x14ac:dyDescent="0.25">
      <c r="B290" s="132"/>
      <c r="D290" s="496">
        <v>4</v>
      </c>
      <c r="E290" s="27"/>
      <c r="F290" s="1308" t="str">
        <f t="shared" si="1"/>
        <v/>
      </c>
      <c r="G290" s="1308"/>
      <c r="H290" s="1306"/>
      <c r="I290" s="1306"/>
      <c r="J290" s="510" t="str">
        <f>IF(H290="","",INDEX(C_FuelStreams!BM:BM,MATCH(H290,C_FuelStreams!BI:BI,0)))</f>
        <v/>
      </c>
      <c r="K290" s="511" t="str">
        <f>IF(H290="","",SUMIFS(C_FuelStreams!BL:BL,C_FuelStreams!BI:BI,H290))</f>
        <v/>
      </c>
      <c r="L290" s="28"/>
      <c r="M290" s="28"/>
      <c r="N290" s="512" t="str">
        <f t="shared" si="2"/>
        <v/>
      </c>
      <c r="O290" s="142"/>
      <c r="P290" s="115"/>
      <c r="R290" s="513" t="str">
        <f>IF(H290="","",SUMIFS(C_FuelStreams!BK:BK,C_FuelStreams!BI:BI,H290))</f>
        <v/>
      </c>
      <c r="S290" s="513" t="str">
        <f>IF(H290="","",SUMIFS(C_FuelStreams!CP:CP,C_FuelStreams!BI:BI,H290))</f>
        <v/>
      </c>
      <c r="T290" s="513" t="str">
        <f t="shared" si="3"/>
        <v/>
      </c>
      <c r="X290" s="514" t="b">
        <f t="shared" si="4"/>
        <v>0</v>
      </c>
    </row>
    <row r="291" spans="2:24" ht="12.75" customHeight="1" x14ac:dyDescent="0.25">
      <c r="B291" s="132"/>
      <c r="D291" s="496">
        <v>5</v>
      </c>
      <c r="E291" s="27"/>
      <c r="F291" s="1308" t="str">
        <f t="shared" si="1"/>
        <v/>
      </c>
      <c r="G291" s="1308"/>
      <c r="H291" s="1306"/>
      <c r="I291" s="1306"/>
      <c r="J291" s="510" t="str">
        <f>IF(H291="","",INDEX(C_FuelStreams!BM:BM,MATCH(H291,C_FuelStreams!BI:BI,0)))</f>
        <v/>
      </c>
      <c r="K291" s="511" t="str">
        <f>IF(H291="","",SUMIFS(C_FuelStreams!BL:BL,C_FuelStreams!BI:BI,H291))</f>
        <v/>
      </c>
      <c r="L291" s="28"/>
      <c r="M291" s="28"/>
      <c r="N291" s="512" t="str">
        <f t="shared" si="2"/>
        <v/>
      </c>
      <c r="O291" s="142"/>
      <c r="P291" s="115"/>
      <c r="R291" s="513" t="str">
        <f>IF(H291="","",SUMIFS(C_FuelStreams!BK:BK,C_FuelStreams!BI:BI,H291))</f>
        <v/>
      </c>
      <c r="S291" s="513" t="str">
        <f>IF(H291="","",SUMIFS(C_FuelStreams!CP:CP,C_FuelStreams!BI:BI,H291))</f>
        <v/>
      </c>
      <c r="T291" s="513" t="str">
        <f t="shared" si="3"/>
        <v/>
      </c>
      <c r="X291" s="514" t="b">
        <f t="shared" si="4"/>
        <v>0</v>
      </c>
    </row>
    <row r="292" spans="2:24" ht="12.75" customHeight="1" x14ac:dyDescent="0.25">
      <c r="B292" s="132"/>
      <c r="D292" s="496">
        <v>6</v>
      </c>
      <c r="E292" s="27"/>
      <c r="F292" s="1308" t="str">
        <f t="shared" si="1"/>
        <v/>
      </c>
      <c r="G292" s="1308"/>
      <c r="H292" s="1306"/>
      <c r="I292" s="1306"/>
      <c r="J292" s="510" t="str">
        <f>IF(H292="","",INDEX(C_FuelStreams!BM:BM,MATCH(H292,C_FuelStreams!BI:BI,0)))</f>
        <v/>
      </c>
      <c r="K292" s="511" t="str">
        <f>IF(H292="","",SUMIFS(C_FuelStreams!BL:BL,C_FuelStreams!BI:BI,H292))</f>
        <v/>
      </c>
      <c r="L292" s="28"/>
      <c r="M292" s="28"/>
      <c r="N292" s="512" t="str">
        <f t="shared" si="2"/>
        <v/>
      </c>
      <c r="O292" s="142"/>
      <c r="P292" s="115"/>
      <c r="R292" s="513" t="str">
        <f>IF(H292="","",SUMIFS(C_FuelStreams!BK:BK,C_FuelStreams!BI:BI,H292))</f>
        <v/>
      </c>
      <c r="S292" s="513" t="str">
        <f>IF(H292="","",SUMIFS(C_FuelStreams!CP:CP,C_FuelStreams!BI:BI,H292))</f>
        <v/>
      </c>
      <c r="T292" s="513" t="str">
        <f t="shared" si="3"/>
        <v/>
      </c>
      <c r="X292" s="514" t="b">
        <f t="shared" si="4"/>
        <v>0</v>
      </c>
    </row>
    <row r="293" spans="2:24" ht="12.75" customHeight="1" x14ac:dyDescent="0.25">
      <c r="B293" s="132"/>
      <c r="D293" s="496">
        <v>7</v>
      </c>
      <c r="E293" s="27"/>
      <c r="F293" s="1308" t="str">
        <f t="shared" si="1"/>
        <v/>
      </c>
      <c r="G293" s="1308"/>
      <c r="H293" s="1306"/>
      <c r="I293" s="1306"/>
      <c r="J293" s="510" t="str">
        <f>IF(H293="","",INDEX(C_FuelStreams!BM:BM,MATCH(H293,C_FuelStreams!BI:BI,0)))</f>
        <v/>
      </c>
      <c r="K293" s="511" t="str">
        <f>IF(H293="","",SUMIFS(C_FuelStreams!BL:BL,C_FuelStreams!BI:BI,H293))</f>
        <v/>
      </c>
      <c r="L293" s="28"/>
      <c r="M293" s="28"/>
      <c r="N293" s="512" t="str">
        <f t="shared" si="2"/>
        <v/>
      </c>
      <c r="O293" s="142"/>
      <c r="P293" s="115"/>
      <c r="R293" s="513" t="str">
        <f>IF(H293="","",SUMIFS(C_FuelStreams!BK:BK,C_FuelStreams!BI:BI,H293))</f>
        <v/>
      </c>
      <c r="S293" s="513" t="str">
        <f>IF(H293="","",SUMIFS(C_FuelStreams!CP:CP,C_FuelStreams!BI:BI,H293))</f>
        <v/>
      </c>
      <c r="T293" s="513" t="str">
        <f t="shared" si="3"/>
        <v/>
      </c>
      <c r="X293" s="514" t="b">
        <f t="shared" si="4"/>
        <v>0</v>
      </c>
    </row>
    <row r="294" spans="2:24" ht="12.75" customHeight="1" x14ac:dyDescent="0.25">
      <c r="B294" s="132"/>
      <c r="D294" s="496">
        <v>8</v>
      </c>
      <c r="E294" s="27"/>
      <c r="F294" s="1308" t="str">
        <f t="shared" si="1"/>
        <v/>
      </c>
      <c r="G294" s="1308"/>
      <c r="H294" s="1306"/>
      <c r="I294" s="1306"/>
      <c r="J294" s="510" t="str">
        <f>IF(H294="","",INDEX(C_FuelStreams!BM:BM,MATCH(H294,C_FuelStreams!BI:BI,0)))</f>
        <v/>
      </c>
      <c r="K294" s="511" t="str">
        <f>IF(H294="","",SUMIFS(C_FuelStreams!BL:BL,C_FuelStreams!BI:BI,H294))</f>
        <v/>
      </c>
      <c r="L294" s="28"/>
      <c r="M294" s="28"/>
      <c r="N294" s="512" t="str">
        <f t="shared" si="2"/>
        <v/>
      </c>
      <c r="O294" s="142"/>
      <c r="P294" s="115"/>
      <c r="R294" s="513" t="str">
        <f>IF(H294="","",SUMIFS(C_FuelStreams!BK:BK,C_FuelStreams!BI:BI,H294))</f>
        <v/>
      </c>
      <c r="S294" s="513" t="str">
        <f>IF(H294="","",SUMIFS(C_FuelStreams!CP:CP,C_FuelStreams!BI:BI,H294))</f>
        <v/>
      </c>
      <c r="T294" s="513" t="str">
        <f t="shared" si="3"/>
        <v/>
      </c>
      <c r="X294" s="514" t="b">
        <f t="shared" si="4"/>
        <v>0</v>
      </c>
    </row>
    <row r="295" spans="2:24" ht="12.75" customHeight="1" x14ac:dyDescent="0.25">
      <c r="B295" s="132"/>
      <c r="D295" s="496">
        <v>9</v>
      </c>
      <c r="E295" s="27"/>
      <c r="F295" s="1308" t="str">
        <f t="shared" si="1"/>
        <v/>
      </c>
      <c r="G295" s="1308"/>
      <c r="H295" s="1306"/>
      <c r="I295" s="1306"/>
      <c r="J295" s="510" t="str">
        <f>IF(H295="","",INDEX(C_FuelStreams!BM:BM,MATCH(H295,C_FuelStreams!BI:BI,0)))</f>
        <v/>
      </c>
      <c r="K295" s="511" t="str">
        <f>IF(H295="","",SUMIFS(C_FuelStreams!BL:BL,C_FuelStreams!BI:BI,H295))</f>
        <v/>
      </c>
      <c r="L295" s="28"/>
      <c r="M295" s="28"/>
      <c r="N295" s="512" t="str">
        <f t="shared" si="2"/>
        <v/>
      </c>
      <c r="O295" s="142"/>
      <c r="P295" s="115"/>
      <c r="R295" s="513" t="str">
        <f>IF(H295="","",SUMIFS(C_FuelStreams!BK:BK,C_FuelStreams!BI:BI,H295))</f>
        <v/>
      </c>
      <c r="S295" s="513" t="str">
        <f>IF(H295="","",SUMIFS(C_FuelStreams!CP:CP,C_FuelStreams!BI:BI,H295))</f>
        <v/>
      </c>
      <c r="T295" s="513" t="str">
        <f t="shared" si="3"/>
        <v/>
      </c>
      <c r="X295" s="514" t="b">
        <f t="shared" si="4"/>
        <v>0</v>
      </c>
    </row>
    <row r="296" spans="2:24" ht="12.75" customHeight="1" x14ac:dyDescent="0.25">
      <c r="B296" s="132"/>
      <c r="D296" s="496">
        <v>10</v>
      </c>
      <c r="E296" s="27"/>
      <c r="F296" s="1308" t="str">
        <f t="shared" si="1"/>
        <v/>
      </c>
      <c r="G296" s="1308"/>
      <c r="H296" s="1306"/>
      <c r="I296" s="1306"/>
      <c r="J296" s="510" t="str">
        <f>IF(H296="","",INDEX(C_FuelStreams!BM:BM,MATCH(H296,C_FuelStreams!BI:BI,0)))</f>
        <v/>
      </c>
      <c r="K296" s="511" t="str">
        <f>IF(H296="","",SUMIFS(C_FuelStreams!BL:BL,C_FuelStreams!BI:BI,H296))</f>
        <v/>
      </c>
      <c r="L296" s="28"/>
      <c r="M296" s="28"/>
      <c r="N296" s="512" t="str">
        <f t="shared" si="2"/>
        <v/>
      </c>
      <c r="O296" s="142"/>
      <c r="P296" s="115"/>
      <c r="R296" s="513" t="str">
        <f>IF(H296="","",SUMIFS(C_FuelStreams!BK:BK,C_FuelStreams!BI:BI,H296))</f>
        <v/>
      </c>
      <c r="S296" s="513" t="str">
        <f>IF(H296="","",SUMIFS(C_FuelStreams!CP:CP,C_FuelStreams!BI:BI,H296))</f>
        <v/>
      </c>
      <c r="T296" s="513" t="str">
        <f t="shared" si="3"/>
        <v/>
      </c>
      <c r="X296" s="514" t="b">
        <f t="shared" si="4"/>
        <v>0</v>
      </c>
    </row>
    <row r="297" spans="2:24" ht="12.75" customHeight="1" x14ac:dyDescent="0.25">
      <c r="B297" s="132"/>
      <c r="D297" s="496">
        <v>11</v>
      </c>
      <c r="E297" s="27"/>
      <c r="F297" s="1308" t="str">
        <f t="shared" si="1"/>
        <v/>
      </c>
      <c r="G297" s="1308"/>
      <c r="H297" s="1306"/>
      <c r="I297" s="1306"/>
      <c r="J297" s="510" t="str">
        <f>IF(H297="","",INDEX(C_FuelStreams!BM:BM,MATCH(H297,C_FuelStreams!BI:BI,0)))</f>
        <v/>
      </c>
      <c r="K297" s="511" t="str">
        <f>IF(H297="","",SUMIFS(C_FuelStreams!BL:BL,C_FuelStreams!BI:BI,H297))</f>
        <v/>
      </c>
      <c r="L297" s="28"/>
      <c r="M297" s="28"/>
      <c r="N297" s="512" t="str">
        <f t="shared" si="2"/>
        <v/>
      </c>
      <c r="O297" s="142"/>
      <c r="P297" s="115"/>
      <c r="R297" s="513" t="str">
        <f>IF(H297="","",SUMIFS(C_FuelStreams!BK:BK,C_FuelStreams!BI:BI,H297))</f>
        <v/>
      </c>
      <c r="S297" s="513" t="str">
        <f>IF(H297="","",SUMIFS(C_FuelStreams!CP:CP,C_FuelStreams!BI:BI,H297))</f>
        <v/>
      </c>
      <c r="T297" s="513" t="str">
        <f t="shared" si="3"/>
        <v/>
      </c>
      <c r="X297" s="514" t="b">
        <f t="shared" si="4"/>
        <v>0</v>
      </c>
    </row>
    <row r="298" spans="2:24" ht="12.75" customHeight="1" x14ac:dyDescent="0.25">
      <c r="B298" s="132"/>
      <c r="D298" s="496">
        <v>12</v>
      </c>
      <c r="E298" s="27"/>
      <c r="F298" s="1308" t="str">
        <f t="shared" si="1"/>
        <v/>
      </c>
      <c r="G298" s="1308"/>
      <c r="H298" s="1306"/>
      <c r="I298" s="1306"/>
      <c r="J298" s="510" t="str">
        <f>IF(H298="","",INDEX(C_FuelStreams!BM:BM,MATCH(H298,C_FuelStreams!BI:BI,0)))</f>
        <v/>
      </c>
      <c r="K298" s="511" t="str">
        <f>IF(H298="","",SUMIFS(C_FuelStreams!BL:BL,C_FuelStreams!BI:BI,H298))</f>
        <v/>
      </c>
      <c r="L298" s="28"/>
      <c r="M298" s="28"/>
      <c r="N298" s="512" t="str">
        <f t="shared" si="2"/>
        <v/>
      </c>
      <c r="O298" s="142"/>
      <c r="P298" s="115"/>
      <c r="R298" s="513" t="str">
        <f>IF(H298="","",SUMIFS(C_FuelStreams!BK:BK,C_FuelStreams!BI:BI,H298))</f>
        <v/>
      </c>
      <c r="S298" s="513" t="str">
        <f>IF(H298="","",SUMIFS(C_FuelStreams!CP:CP,C_FuelStreams!BI:BI,H298))</f>
        <v/>
      </c>
      <c r="T298" s="513" t="str">
        <f t="shared" si="3"/>
        <v/>
      </c>
      <c r="X298" s="514" t="b">
        <f t="shared" si="4"/>
        <v>0</v>
      </c>
    </row>
    <row r="299" spans="2:24" ht="12.75" customHeight="1" x14ac:dyDescent="0.25">
      <c r="B299" s="132"/>
      <c r="D299" s="496">
        <v>13</v>
      </c>
      <c r="E299" s="27"/>
      <c r="F299" s="1308" t="str">
        <f t="shared" si="1"/>
        <v/>
      </c>
      <c r="G299" s="1308"/>
      <c r="H299" s="1306"/>
      <c r="I299" s="1306"/>
      <c r="J299" s="510" t="str">
        <f>IF(H299="","",INDEX(C_FuelStreams!BM:BM,MATCH(H299,C_FuelStreams!BI:BI,0)))</f>
        <v/>
      </c>
      <c r="K299" s="511" t="str">
        <f>IF(H299="","",SUMIFS(C_FuelStreams!BL:BL,C_FuelStreams!BI:BI,H299))</f>
        <v/>
      </c>
      <c r="L299" s="28"/>
      <c r="M299" s="28"/>
      <c r="N299" s="512" t="str">
        <f t="shared" si="2"/>
        <v/>
      </c>
      <c r="O299" s="142"/>
      <c r="P299" s="115"/>
      <c r="R299" s="513" t="str">
        <f>IF(H299="","",SUMIFS(C_FuelStreams!BK:BK,C_FuelStreams!BI:BI,H299))</f>
        <v/>
      </c>
      <c r="S299" s="513" t="str">
        <f>IF(H299="","",SUMIFS(C_FuelStreams!CP:CP,C_FuelStreams!BI:BI,H299))</f>
        <v/>
      </c>
      <c r="T299" s="513" t="str">
        <f t="shared" si="3"/>
        <v/>
      </c>
      <c r="X299" s="514" t="b">
        <f t="shared" si="4"/>
        <v>0</v>
      </c>
    </row>
    <row r="300" spans="2:24" ht="12.75" customHeight="1" x14ac:dyDescent="0.25">
      <c r="B300" s="132"/>
      <c r="D300" s="496">
        <v>14</v>
      </c>
      <c r="E300" s="27"/>
      <c r="F300" s="1308" t="str">
        <f t="shared" si="1"/>
        <v/>
      </c>
      <c r="G300" s="1308"/>
      <c r="H300" s="1306"/>
      <c r="I300" s="1306"/>
      <c r="J300" s="510" t="str">
        <f>IF(H300="","",INDEX(C_FuelStreams!BM:BM,MATCH(H300,C_FuelStreams!BI:BI,0)))</f>
        <v/>
      </c>
      <c r="K300" s="511" t="str">
        <f>IF(H300="","",SUMIFS(C_FuelStreams!BL:BL,C_FuelStreams!BI:BI,H300))</f>
        <v/>
      </c>
      <c r="L300" s="28"/>
      <c r="M300" s="28"/>
      <c r="N300" s="512" t="str">
        <f t="shared" si="2"/>
        <v/>
      </c>
      <c r="O300" s="142"/>
      <c r="P300" s="115"/>
      <c r="R300" s="513" t="str">
        <f>IF(H300="","",SUMIFS(C_FuelStreams!BK:BK,C_FuelStreams!BI:BI,H300))</f>
        <v/>
      </c>
      <c r="S300" s="513" t="str">
        <f>IF(H300="","",SUMIFS(C_FuelStreams!CP:CP,C_FuelStreams!BI:BI,H300))</f>
        <v/>
      </c>
      <c r="T300" s="513" t="str">
        <f t="shared" si="3"/>
        <v/>
      </c>
      <c r="X300" s="514" t="b">
        <f t="shared" si="4"/>
        <v>0</v>
      </c>
    </row>
    <row r="301" spans="2:24" ht="12.75" customHeight="1" x14ac:dyDescent="0.25">
      <c r="B301" s="132"/>
      <c r="D301" s="496">
        <v>15</v>
      </c>
      <c r="E301" s="27"/>
      <c r="F301" s="1308" t="str">
        <f t="shared" si="1"/>
        <v/>
      </c>
      <c r="G301" s="1308"/>
      <c r="H301" s="1306"/>
      <c r="I301" s="1306"/>
      <c r="J301" s="510" t="str">
        <f>IF(H301="","",INDEX(C_FuelStreams!BM:BM,MATCH(H301,C_FuelStreams!BI:BI,0)))</f>
        <v/>
      </c>
      <c r="K301" s="511" t="str">
        <f>IF(H301="","",SUMIFS(C_FuelStreams!BL:BL,C_FuelStreams!BI:BI,H301))</f>
        <v/>
      </c>
      <c r="L301" s="28"/>
      <c r="M301" s="28"/>
      <c r="N301" s="512" t="str">
        <f t="shared" si="2"/>
        <v/>
      </c>
      <c r="O301" s="142"/>
      <c r="P301" s="115"/>
      <c r="R301" s="513" t="str">
        <f>IF(H301="","",SUMIFS(C_FuelStreams!BK:BK,C_FuelStreams!BI:BI,H301))</f>
        <v/>
      </c>
      <c r="S301" s="513" t="str">
        <f>IF(H301="","",SUMIFS(C_FuelStreams!CP:CP,C_FuelStreams!BI:BI,H301))</f>
        <v/>
      </c>
      <c r="T301" s="513" t="str">
        <f t="shared" si="3"/>
        <v/>
      </c>
      <c r="X301" s="514" t="b">
        <f t="shared" si="4"/>
        <v>0</v>
      </c>
    </row>
    <row r="302" spans="2:24" ht="12.75" customHeight="1" x14ac:dyDescent="0.25">
      <c r="B302" s="132"/>
      <c r="D302" s="496">
        <v>16</v>
      </c>
      <c r="E302" s="27"/>
      <c r="F302" s="1308" t="str">
        <f t="shared" si="1"/>
        <v/>
      </c>
      <c r="G302" s="1308"/>
      <c r="H302" s="1306"/>
      <c r="I302" s="1306"/>
      <c r="J302" s="510" t="str">
        <f>IF(H302="","",INDEX(C_FuelStreams!BM:BM,MATCH(H302,C_FuelStreams!BI:BI,0)))</f>
        <v/>
      </c>
      <c r="K302" s="511" t="str">
        <f>IF(H302="","",SUMIFS(C_FuelStreams!BL:BL,C_FuelStreams!BI:BI,H302))</f>
        <v/>
      </c>
      <c r="L302" s="28"/>
      <c r="M302" s="28"/>
      <c r="N302" s="512" t="str">
        <f t="shared" si="2"/>
        <v/>
      </c>
      <c r="O302" s="142"/>
      <c r="P302" s="115"/>
      <c r="R302" s="513" t="str">
        <f>IF(H302="","",SUMIFS(C_FuelStreams!BK:BK,C_FuelStreams!BI:BI,H302))</f>
        <v/>
      </c>
      <c r="S302" s="513" t="str">
        <f>IF(H302="","",SUMIFS(C_FuelStreams!CP:CP,C_FuelStreams!BI:BI,H302))</f>
        <v/>
      </c>
      <c r="T302" s="513" t="str">
        <f t="shared" si="3"/>
        <v/>
      </c>
      <c r="X302" s="514" t="b">
        <f t="shared" si="4"/>
        <v>0</v>
      </c>
    </row>
    <row r="303" spans="2:24" ht="12.75" customHeight="1" x14ac:dyDescent="0.25">
      <c r="B303" s="132"/>
      <c r="D303" s="496">
        <v>17</v>
      </c>
      <c r="E303" s="27"/>
      <c r="F303" s="1308" t="str">
        <f t="shared" si="1"/>
        <v/>
      </c>
      <c r="G303" s="1308"/>
      <c r="H303" s="1306"/>
      <c r="I303" s="1306"/>
      <c r="J303" s="510" t="str">
        <f>IF(H303="","",INDEX(C_FuelStreams!BM:BM,MATCH(H303,C_FuelStreams!BI:BI,0)))</f>
        <v/>
      </c>
      <c r="K303" s="511" t="str">
        <f>IF(H303="","",SUMIFS(C_FuelStreams!BL:BL,C_FuelStreams!BI:BI,H303))</f>
        <v/>
      </c>
      <c r="L303" s="28"/>
      <c r="M303" s="28"/>
      <c r="N303" s="512" t="str">
        <f t="shared" si="2"/>
        <v/>
      </c>
      <c r="O303" s="142"/>
      <c r="P303" s="115"/>
      <c r="R303" s="513" t="str">
        <f>IF(H303="","",SUMIFS(C_FuelStreams!BK:BK,C_FuelStreams!BI:BI,H303))</f>
        <v/>
      </c>
      <c r="S303" s="513" t="str">
        <f>IF(H303="","",SUMIFS(C_FuelStreams!CP:CP,C_FuelStreams!BI:BI,H303))</f>
        <v/>
      </c>
      <c r="T303" s="513" t="str">
        <f t="shared" si="3"/>
        <v/>
      </c>
      <c r="X303" s="514" t="b">
        <f t="shared" si="4"/>
        <v>0</v>
      </c>
    </row>
    <row r="304" spans="2:24" ht="12.75" customHeight="1" x14ac:dyDescent="0.25">
      <c r="B304" s="132"/>
      <c r="D304" s="496">
        <v>18</v>
      </c>
      <c r="E304" s="27"/>
      <c r="F304" s="1308" t="str">
        <f t="shared" si="1"/>
        <v/>
      </c>
      <c r="G304" s="1308"/>
      <c r="H304" s="1306"/>
      <c r="I304" s="1306"/>
      <c r="J304" s="510" t="str">
        <f>IF(H304="","",INDEX(C_FuelStreams!BM:BM,MATCH(H304,C_FuelStreams!BI:BI,0)))</f>
        <v/>
      </c>
      <c r="K304" s="511" t="str">
        <f>IF(H304="","",SUMIFS(C_FuelStreams!BL:BL,C_FuelStreams!BI:BI,H304))</f>
        <v/>
      </c>
      <c r="L304" s="28"/>
      <c r="M304" s="28"/>
      <c r="N304" s="512" t="str">
        <f t="shared" si="2"/>
        <v/>
      </c>
      <c r="O304" s="142"/>
      <c r="P304" s="115"/>
      <c r="R304" s="513" t="str">
        <f>IF(H304="","",SUMIFS(C_FuelStreams!BK:BK,C_FuelStreams!BI:BI,H304))</f>
        <v/>
      </c>
      <c r="S304" s="513" t="str">
        <f>IF(H304="","",SUMIFS(C_FuelStreams!CP:CP,C_FuelStreams!BI:BI,H304))</f>
        <v/>
      </c>
      <c r="T304" s="513" t="str">
        <f t="shared" si="3"/>
        <v/>
      </c>
      <c r="X304" s="514" t="b">
        <f t="shared" si="4"/>
        <v>0</v>
      </c>
    </row>
    <row r="305" spans="1:24" ht="12.75" customHeight="1" x14ac:dyDescent="0.25">
      <c r="B305" s="132"/>
      <c r="D305" s="496">
        <v>19</v>
      </c>
      <c r="E305" s="27"/>
      <c r="F305" s="1308" t="str">
        <f t="shared" si="1"/>
        <v/>
      </c>
      <c r="G305" s="1308"/>
      <c r="H305" s="1306"/>
      <c r="I305" s="1306"/>
      <c r="J305" s="510" t="str">
        <f>IF(H305="","",INDEX(C_FuelStreams!BM:BM,MATCH(H305,C_FuelStreams!BI:BI,0)))</f>
        <v/>
      </c>
      <c r="K305" s="511" t="str">
        <f>IF(H305="","",SUMIFS(C_FuelStreams!BL:BL,C_FuelStreams!BI:BI,H305))</f>
        <v/>
      </c>
      <c r="L305" s="28"/>
      <c r="M305" s="28"/>
      <c r="N305" s="512" t="str">
        <f t="shared" si="2"/>
        <v/>
      </c>
      <c r="O305" s="142"/>
      <c r="P305" s="115"/>
      <c r="R305" s="513" t="str">
        <f>IF(H305="","",SUMIFS(C_FuelStreams!BK:BK,C_FuelStreams!BI:BI,H305))</f>
        <v/>
      </c>
      <c r="S305" s="513" t="str">
        <f>IF(H305="","",SUMIFS(C_FuelStreams!CP:CP,C_FuelStreams!BI:BI,H305))</f>
        <v/>
      </c>
      <c r="T305" s="513" t="str">
        <f t="shared" si="3"/>
        <v/>
      </c>
      <c r="X305" s="514" t="b">
        <f t="shared" si="4"/>
        <v>0</v>
      </c>
    </row>
    <row r="306" spans="1:24" ht="12.75" customHeight="1" x14ac:dyDescent="0.25">
      <c r="B306" s="132"/>
      <c r="D306" s="496">
        <v>20</v>
      </c>
      <c r="E306" s="27"/>
      <c r="F306" s="1308" t="str">
        <f t="shared" ref="F306:F369" si="5">IF(E306="","",INDEX($G$30:$G$279,MATCH(E306,$R$30:$R$279,0)))</f>
        <v/>
      </c>
      <c r="G306" s="1308"/>
      <c r="H306" s="1306"/>
      <c r="I306" s="1306"/>
      <c r="J306" s="510" t="str">
        <f>IF(H306="","",INDEX(C_FuelStreams!BM:BM,MATCH(H306,C_FuelStreams!BI:BI,0)))</f>
        <v/>
      </c>
      <c r="K306" s="511" t="str">
        <f>IF(H306="","",SUMIFS(C_FuelStreams!BL:BL,C_FuelStreams!BI:BI,H306))</f>
        <v/>
      </c>
      <c r="L306" s="28"/>
      <c r="M306" s="28"/>
      <c r="N306" s="512" t="str">
        <f t="shared" si="2"/>
        <v/>
      </c>
      <c r="O306" s="142"/>
      <c r="P306" s="115"/>
      <c r="R306" s="513" t="str">
        <f>IF(H306="","",SUMIFS(C_FuelStreams!BK:BK,C_FuelStreams!BI:BI,H306))</f>
        <v/>
      </c>
      <c r="S306" s="513" t="str">
        <f>IF(H306="","",SUMIFS(C_FuelStreams!CP:CP,C_FuelStreams!BI:BI,H306))</f>
        <v/>
      </c>
      <c r="T306" s="513" t="str">
        <f t="shared" ref="T306:T369" si="6">IF(H306="","",IF(SUM(R306)=0,0,S306/R306*L306))</f>
        <v/>
      </c>
      <c r="X306" s="514" t="b">
        <f t="shared" ref="X306:X369" si="7">AND(COUNTA($E$30:$E$279)&gt;0,E306="")</f>
        <v>0</v>
      </c>
    </row>
    <row r="307" spans="1:24" ht="12.75" hidden="1" customHeight="1" x14ac:dyDescent="0.25">
      <c r="A307" s="113" t="s">
        <v>0</v>
      </c>
      <c r="B307" s="132"/>
      <c r="D307" s="496">
        <v>21</v>
      </c>
      <c r="E307" s="27"/>
      <c r="F307" s="1308" t="str">
        <f t="shared" si="5"/>
        <v/>
      </c>
      <c r="G307" s="1308"/>
      <c r="H307" s="1306"/>
      <c r="I307" s="1306"/>
      <c r="J307" s="510" t="str">
        <f>IF(H307="","",INDEX(C_FuelStreams!BM:BM,MATCH(H307,C_FuelStreams!BI:BI,0)))</f>
        <v/>
      </c>
      <c r="K307" s="511" t="str">
        <f>IF(H307="","",SUMIFS(C_FuelStreams!BL:BL,C_FuelStreams!BI:BI,H307))</f>
        <v/>
      </c>
      <c r="L307" s="28"/>
      <c r="M307" s="28"/>
      <c r="N307" s="512" t="str">
        <f t="shared" si="2"/>
        <v/>
      </c>
      <c r="O307" s="142"/>
      <c r="P307" s="115"/>
      <c r="R307" s="513" t="str">
        <f>IF(H307="","",SUMIFS(C_FuelStreams!BK:BK,C_FuelStreams!BI:BI,H307))</f>
        <v/>
      </c>
      <c r="S307" s="513" t="str">
        <f>IF(H307="","",SUMIFS(C_FuelStreams!CP:CP,C_FuelStreams!BI:BI,H307))</f>
        <v/>
      </c>
      <c r="T307" s="513" t="str">
        <f t="shared" si="6"/>
        <v/>
      </c>
      <c r="X307" s="514" t="b">
        <f t="shared" si="7"/>
        <v>0</v>
      </c>
    </row>
    <row r="308" spans="1:24" ht="12.75" hidden="1" customHeight="1" x14ac:dyDescent="0.25">
      <c r="A308" s="113" t="s">
        <v>0</v>
      </c>
      <c r="B308" s="132"/>
      <c r="D308" s="496">
        <v>22</v>
      </c>
      <c r="E308" s="27"/>
      <c r="F308" s="1308" t="str">
        <f t="shared" si="5"/>
        <v/>
      </c>
      <c r="G308" s="1308"/>
      <c r="H308" s="1306"/>
      <c r="I308" s="1306"/>
      <c r="J308" s="510" t="str">
        <f>IF(H308="","",INDEX(C_FuelStreams!BM:BM,MATCH(H308,C_FuelStreams!BI:BI,0)))</f>
        <v/>
      </c>
      <c r="K308" s="511" t="str">
        <f>IF(H308="","",SUMIFS(C_FuelStreams!BL:BL,C_FuelStreams!BI:BI,H308))</f>
        <v/>
      </c>
      <c r="L308" s="28"/>
      <c r="M308" s="28"/>
      <c r="N308" s="512" t="str">
        <f t="shared" si="2"/>
        <v/>
      </c>
      <c r="O308" s="142"/>
      <c r="P308" s="115"/>
      <c r="R308" s="513" t="str">
        <f>IF(H308="","",SUMIFS(C_FuelStreams!BK:BK,C_FuelStreams!BI:BI,H308))</f>
        <v/>
      </c>
      <c r="S308" s="513" t="str">
        <f>IF(H308="","",SUMIFS(C_FuelStreams!CP:CP,C_FuelStreams!BI:BI,H308))</f>
        <v/>
      </c>
      <c r="T308" s="513" t="str">
        <f t="shared" si="6"/>
        <v/>
      </c>
      <c r="X308" s="514" t="b">
        <f t="shared" si="7"/>
        <v>0</v>
      </c>
    </row>
    <row r="309" spans="1:24" ht="12.75" hidden="1" customHeight="1" x14ac:dyDescent="0.25">
      <c r="A309" s="113" t="s">
        <v>0</v>
      </c>
      <c r="B309" s="132"/>
      <c r="D309" s="496">
        <v>23</v>
      </c>
      <c r="E309" s="27"/>
      <c r="F309" s="1308" t="str">
        <f t="shared" si="5"/>
        <v/>
      </c>
      <c r="G309" s="1308"/>
      <c r="H309" s="1306"/>
      <c r="I309" s="1306"/>
      <c r="J309" s="510" t="str">
        <f>IF(H309="","",INDEX(C_FuelStreams!BM:BM,MATCH(H309,C_FuelStreams!BI:BI,0)))</f>
        <v/>
      </c>
      <c r="K309" s="511" t="str">
        <f>IF(H309="","",SUMIFS(C_FuelStreams!BL:BL,C_FuelStreams!BI:BI,H309))</f>
        <v/>
      </c>
      <c r="L309" s="28"/>
      <c r="M309" s="28"/>
      <c r="N309" s="512" t="str">
        <f t="shared" si="2"/>
        <v/>
      </c>
      <c r="O309" s="142"/>
      <c r="P309" s="115"/>
      <c r="R309" s="513" t="str">
        <f>IF(H309="","",SUMIFS(C_FuelStreams!BK:BK,C_FuelStreams!BI:BI,H309))</f>
        <v/>
      </c>
      <c r="S309" s="513" t="str">
        <f>IF(H309="","",SUMIFS(C_FuelStreams!CP:CP,C_FuelStreams!BI:BI,H309))</f>
        <v/>
      </c>
      <c r="T309" s="513" t="str">
        <f t="shared" si="6"/>
        <v/>
      </c>
      <c r="X309" s="514" t="b">
        <f t="shared" si="7"/>
        <v>0</v>
      </c>
    </row>
    <row r="310" spans="1:24" ht="12.75" hidden="1" customHeight="1" x14ac:dyDescent="0.25">
      <c r="A310" s="113" t="s">
        <v>0</v>
      </c>
      <c r="B310" s="132"/>
      <c r="D310" s="496">
        <v>24</v>
      </c>
      <c r="E310" s="27"/>
      <c r="F310" s="1308" t="str">
        <f t="shared" si="5"/>
        <v/>
      </c>
      <c r="G310" s="1308"/>
      <c r="H310" s="1306"/>
      <c r="I310" s="1306"/>
      <c r="J310" s="510" t="str">
        <f>IF(H310="","",INDEX(C_FuelStreams!BM:BM,MATCH(H310,C_FuelStreams!BI:BI,0)))</f>
        <v/>
      </c>
      <c r="K310" s="511" t="str">
        <f>IF(H310="","",SUMIFS(C_FuelStreams!BL:BL,C_FuelStreams!BI:BI,H310))</f>
        <v/>
      </c>
      <c r="L310" s="28"/>
      <c r="M310" s="28"/>
      <c r="N310" s="512" t="str">
        <f t="shared" si="2"/>
        <v/>
      </c>
      <c r="O310" s="142"/>
      <c r="P310" s="115"/>
      <c r="R310" s="513" t="str">
        <f>IF(H310="","",SUMIFS(C_FuelStreams!BK:BK,C_FuelStreams!BI:BI,H310))</f>
        <v/>
      </c>
      <c r="S310" s="513" t="str">
        <f>IF(H310="","",SUMIFS(C_FuelStreams!CP:CP,C_FuelStreams!BI:BI,H310))</f>
        <v/>
      </c>
      <c r="T310" s="513" t="str">
        <f t="shared" si="6"/>
        <v/>
      </c>
      <c r="X310" s="514" t="b">
        <f t="shared" si="7"/>
        <v>0</v>
      </c>
    </row>
    <row r="311" spans="1:24" ht="12.75" hidden="1" customHeight="1" x14ac:dyDescent="0.25">
      <c r="A311" s="113" t="s">
        <v>0</v>
      </c>
      <c r="B311" s="132"/>
      <c r="D311" s="496">
        <v>25</v>
      </c>
      <c r="E311" s="27"/>
      <c r="F311" s="1308" t="str">
        <f t="shared" si="5"/>
        <v/>
      </c>
      <c r="G311" s="1308"/>
      <c r="H311" s="1306"/>
      <c r="I311" s="1306"/>
      <c r="J311" s="510" t="str">
        <f>IF(H311="","",INDEX(C_FuelStreams!BM:BM,MATCH(H311,C_FuelStreams!BI:BI,0)))</f>
        <v/>
      </c>
      <c r="K311" s="511" t="str">
        <f>IF(H311="","",SUMIFS(C_FuelStreams!BL:BL,C_FuelStreams!BI:BI,H311))</f>
        <v/>
      </c>
      <c r="L311" s="28"/>
      <c r="M311" s="28"/>
      <c r="N311" s="512" t="str">
        <f t="shared" si="2"/>
        <v/>
      </c>
      <c r="O311" s="142"/>
      <c r="P311" s="115"/>
      <c r="R311" s="513" t="str">
        <f>IF(H311="","",SUMIFS(C_FuelStreams!BK:BK,C_FuelStreams!BI:BI,H311))</f>
        <v/>
      </c>
      <c r="S311" s="513" t="str">
        <f>IF(H311="","",SUMIFS(C_FuelStreams!CP:CP,C_FuelStreams!BI:BI,H311))</f>
        <v/>
      </c>
      <c r="T311" s="513" t="str">
        <f t="shared" si="6"/>
        <v/>
      </c>
      <c r="X311" s="514" t="b">
        <f t="shared" si="7"/>
        <v>0</v>
      </c>
    </row>
    <row r="312" spans="1:24" ht="12.75" hidden="1" customHeight="1" x14ac:dyDescent="0.25">
      <c r="A312" s="113" t="s">
        <v>0</v>
      </c>
      <c r="B312" s="132"/>
      <c r="D312" s="496">
        <v>26</v>
      </c>
      <c r="E312" s="27"/>
      <c r="F312" s="1308" t="str">
        <f t="shared" si="5"/>
        <v/>
      </c>
      <c r="G312" s="1308"/>
      <c r="H312" s="1306"/>
      <c r="I312" s="1306"/>
      <c r="J312" s="510" t="str">
        <f>IF(H312="","",INDEX(C_FuelStreams!BM:BM,MATCH(H312,C_FuelStreams!BI:BI,0)))</f>
        <v/>
      </c>
      <c r="K312" s="511" t="str">
        <f>IF(H312="","",SUMIFS(C_FuelStreams!BL:BL,C_FuelStreams!BI:BI,H312))</f>
        <v/>
      </c>
      <c r="L312" s="28"/>
      <c r="M312" s="28"/>
      <c r="N312" s="512" t="str">
        <f t="shared" si="2"/>
        <v/>
      </c>
      <c r="O312" s="142"/>
      <c r="P312" s="115"/>
      <c r="R312" s="513" t="str">
        <f>IF(H312="","",SUMIFS(C_FuelStreams!BK:BK,C_FuelStreams!BI:BI,H312))</f>
        <v/>
      </c>
      <c r="S312" s="513" t="str">
        <f>IF(H312="","",SUMIFS(C_FuelStreams!CP:CP,C_FuelStreams!BI:BI,H312))</f>
        <v/>
      </c>
      <c r="T312" s="513" t="str">
        <f t="shared" si="6"/>
        <v/>
      </c>
      <c r="X312" s="514" t="b">
        <f t="shared" si="7"/>
        <v>0</v>
      </c>
    </row>
    <row r="313" spans="1:24" ht="12.75" hidden="1" customHeight="1" x14ac:dyDescent="0.25">
      <c r="A313" s="113" t="s">
        <v>0</v>
      </c>
      <c r="B313" s="132"/>
      <c r="D313" s="496">
        <v>27</v>
      </c>
      <c r="E313" s="27"/>
      <c r="F313" s="1308" t="str">
        <f t="shared" si="5"/>
        <v/>
      </c>
      <c r="G313" s="1308"/>
      <c r="H313" s="1306"/>
      <c r="I313" s="1306"/>
      <c r="J313" s="510" t="str">
        <f>IF(H313="","",INDEX(C_FuelStreams!BM:BM,MATCH(H313,C_FuelStreams!BI:BI,0)))</f>
        <v/>
      </c>
      <c r="K313" s="511" t="str">
        <f>IF(H313="","",SUMIFS(C_FuelStreams!BL:BL,C_FuelStreams!BI:BI,H313))</f>
        <v/>
      </c>
      <c r="L313" s="28"/>
      <c r="M313" s="28"/>
      <c r="N313" s="512" t="str">
        <f t="shared" si="2"/>
        <v/>
      </c>
      <c r="O313" s="142"/>
      <c r="P313" s="115"/>
      <c r="R313" s="513" t="str">
        <f>IF(H313="","",SUMIFS(C_FuelStreams!BK:BK,C_FuelStreams!BI:BI,H313))</f>
        <v/>
      </c>
      <c r="S313" s="513" t="str">
        <f>IF(H313="","",SUMIFS(C_FuelStreams!CP:CP,C_FuelStreams!BI:BI,H313))</f>
        <v/>
      </c>
      <c r="T313" s="513" t="str">
        <f t="shared" si="6"/>
        <v/>
      </c>
      <c r="X313" s="514" t="b">
        <f t="shared" si="7"/>
        <v>0</v>
      </c>
    </row>
    <row r="314" spans="1:24" ht="12.75" hidden="1" customHeight="1" x14ac:dyDescent="0.25">
      <c r="A314" s="113" t="s">
        <v>0</v>
      </c>
      <c r="B314" s="132"/>
      <c r="D314" s="496">
        <v>28</v>
      </c>
      <c r="E314" s="27"/>
      <c r="F314" s="1308" t="str">
        <f t="shared" si="5"/>
        <v/>
      </c>
      <c r="G314" s="1308"/>
      <c r="H314" s="1306"/>
      <c r="I314" s="1306"/>
      <c r="J314" s="510" t="str">
        <f>IF(H314="","",INDEX(C_FuelStreams!BM:BM,MATCH(H314,C_FuelStreams!BI:BI,0)))</f>
        <v/>
      </c>
      <c r="K314" s="511" t="str">
        <f>IF(H314="","",SUMIFS(C_FuelStreams!BL:BL,C_FuelStreams!BI:BI,H314))</f>
        <v/>
      </c>
      <c r="L314" s="28"/>
      <c r="M314" s="28"/>
      <c r="N314" s="512" t="str">
        <f t="shared" si="2"/>
        <v/>
      </c>
      <c r="O314" s="142"/>
      <c r="P314" s="115"/>
      <c r="R314" s="513" t="str">
        <f>IF(H314="","",SUMIFS(C_FuelStreams!BK:BK,C_FuelStreams!BI:BI,H314))</f>
        <v/>
      </c>
      <c r="S314" s="513" t="str">
        <f>IF(H314="","",SUMIFS(C_FuelStreams!CP:CP,C_FuelStreams!BI:BI,H314))</f>
        <v/>
      </c>
      <c r="T314" s="513" t="str">
        <f t="shared" si="6"/>
        <v/>
      </c>
      <c r="X314" s="514" t="b">
        <f t="shared" si="7"/>
        <v>0</v>
      </c>
    </row>
    <row r="315" spans="1:24" ht="12.75" hidden="1" customHeight="1" x14ac:dyDescent="0.25">
      <c r="A315" s="113" t="s">
        <v>0</v>
      </c>
      <c r="B315" s="132"/>
      <c r="D315" s="496">
        <v>29</v>
      </c>
      <c r="E315" s="27"/>
      <c r="F315" s="1308" t="str">
        <f t="shared" si="5"/>
        <v/>
      </c>
      <c r="G315" s="1308"/>
      <c r="H315" s="1306"/>
      <c r="I315" s="1306"/>
      <c r="J315" s="510" t="str">
        <f>IF(H315="","",INDEX(C_FuelStreams!BM:BM,MATCH(H315,C_FuelStreams!BI:BI,0)))</f>
        <v/>
      </c>
      <c r="K315" s="511" t="str">
        <f>IF(H315="","",SUMIFS(C_FuelStreams!BL:BL,C_FuelStreams!BI:BI,H315))</f>
        <v/>
      </c>
      <c r="L315" s="28"/>
      <c r="M315" s="28"/>
      <c r="N315" s="512" t="str">
        <f t="shared" si="2"/>
        <v/>
      </c>
      <c r="O315" s="142"/>
      <c r="P315" s="115"/>
      <c r="R315" s="513" t="str">
        <f>IF(H315="","",SUMIFS(C_FuelStreams!BK:BK,C_FuelStreams!BI:BI,H315))</f>
        <v/>
      </c>
      <c r="S315" s="513" t="str">
        <f>IF(H315="","",SUMIFS(C_FuelStreams!CP:CP,C_FuelStreams!BI:BI,H315))</f>
        <v/>
      </c>
      <c r="T315" s="513" t="str">
        <f t="shared" si="6"/>
        <v/>
      </c>
      <c r="X315" s="514" t="b">
        <f t="shared" si="7"/>
        <v>0</v>
      </c>
    </row>
    <row r="316" spans="1:24" ht="12.75" hidden="1" customHeight="1" x14ac:dyDescent="0.25">
      <c r="A316" s="113" t="s">
        <v>0</v>
      </c>
      <c r="B316" s="132"/>
      <c r="D316" s="496">
        <v>30</v>
      </c>
      <c r="E316" s="27"/>
      <c r="F316" s="1308" t="str">
        <f t="shared" si="5"/>
        <v/>
      </c>
      <c r="G316" s="1308"/>
      <c r="H316" s="1306"/>
      <c r="I316" s="1306"/>
      <c r="J316" s="510" t="str">
        <f>IF(H316="","",INDEX(C_FuelStreams!BM:BM,MATCH(H316,C_FuelStreams!BI:BI,0)))</f>
        <v/>
      </c>
      <c r="K316" s="511" t="str">
        <f>IF(H316="","",SUMIFS(C_FuelStreams!BL:BL,C_FuelStreams!BI:BI,H316))</f>
        <v/>
      </c>
      <c r="L316" s="28"/>
      <c r="M316" s="28"/>
      <c r="N316" s="512" t="str">
        <f t="shared" si="2"/>
        <v/>
      </c>
      <c r="O316" s="142"/>
      <c r="P316" s="115"/>
      <c r="R316" s="513" t="str">
        <f>IF(H316="","",SUMIFS(C_FuelStreams!BK:BK,C_FuelStreams!BI:BI,H316))</f>
        <v/>
      </c>
      <c r="S316" s="513" t="str">
        <f>IF(H316="","",SUMIFS(C_FuelStreams!CP:CP,C_FuelStreams!BI:BI,H316))</f>
        <v/>
      </c>
      <c r="T316" s="513" t="str">
        <f t="shared" si="6"/>
        <v/>
      </c>
      <c r="X316" s="514" t="b">
        <f t="shared" si="7"/>
        <v>0</v>
      </c>
    </row>
    <row r="317" spans="1:24" ht="12.75" hidden="1" customHeight="1" x14ac:dyDescent="0.25">
      <c r="A317" s="113" t="s">
        <v>0</v>
      </c>
      <c r="B317" s="132"/>
      <c r="D317" s="496">
        <v>31</v>
      </c>
      <c r="E317" s="27"/>
      <c r="F317" s="1308" t="str">
        <f t="shared" si="5"/>
        <v/>
      </c>
      <c r="G317" s="1308"/>
      <c r="H317" s="1306"/>
      <c r="I317" s="1306"/>
      <c r="J317" s="510" t="str">
        <f>IF(H317="","",INDEX(C_FuelStreams!BM:BM,MATCH(H317,C_FuelStreams!BI:BI,0)))</f>
        <v/>
      </c>
      <c r="K317" s="511" t="str">
        <f>IF(H317="","",SUMIFS(C_FuelStreams!BL:BL,C_FuelStreams!BI:BI,H317))</f>
        <v/>
      </c>
      <c r="L317" s="28"/>
      <c r="M317" s="28"/>
      <c r="N317" s="512" t="str">
        <f t="shared" si="2"/>
        <v/>
      </c>
      <c r="O317" s="142"/>
      <c r="P317" s="115"/>
      <c r="R317" s="513" t="str">
        <f>IF(H317="","",SUMIFS(C_FuelStreams!BK:BK,C_FuelStreams!BI:BI,H317))</f>
        <v/>
      </c>
      <c r="S317" s="513" t="str">
        <f>IF(H317="","",SUMIFS(C_FuelStreams!CP:CP,C_FuelStreams!BI:BI,H317))</f>
        <v/>
      </c>
      <c r="T317" s="513" t="str">
        <f t="shared" si="6"/>
        <v/>
      </c>
      <c r="X317" s="514" t="b">
        <f t="shared" si="7"/>
        <v>0</v>
      </c>
    </row>
    <row r="318" spans="1:24" ht="12.75" hidden="1" customHeight="1" x14ac:dyDescent="0.25">
      <c r="A318" s="113" t="s">
        <v>0</v>
      </c>
      <c r="B318" s="132"/>
      <c r="D318" s="496">
        <v>32</v>
      </c>
      <c r="E318" s="27"/>
      <c r="F318" s="1308" t="str">
        <f t="shared" si="5"/>
        <v/>
      </c>
      <c r="G318" s="1308"/>
      <c r="H318" s="1306"/>
      <c r="I318" s="1306"/>
      <c r="J318" s="510" t="str">
        <f>IF(H318="","",INDEX(C_FuelStreams!BM:BM,MATCH(H318,C_FuelStreams!BI:BI,0)))</f>
        <v/>
      </c>
      <c r="K318" s="511" t="str">
        <f>IF(H318="","",SUMIFS(C_FuelStreams!BL:BL,C_FuelStreams!BI:BI,H318))</f>
        <v/>
      </c>
      <c r="L318" s="28"/>
      <c r="M318" s="28"/>
      <c r="N318" s="512" t="str">
        <f t="shared" si="2"/>
        <v/>
      </c>
      <c r="O318" s="142"/>
      <c r="P318" s="115"/>
      <c r="R318" s="513" t="str">
        <f>IF(H318="","",SUMIFS(C_FuelStreams!BK:BK,C_FuelStreams!BI:BI,H318))</f>
        <v/>
      </c>
      <c r="S318" s="513" t="str">
        <f>IF(H318="","",SUMIFS(C_FuelStreams!CP:CP,C_FuelStreams!BI:BI,H318))</f>
        <v/>
      </c>
      <c r="T318" s="513" t="str">
        <f t="shared" si="6"/>
        <v/>
      </c>
      <c r="X318" s="514" t="b">
        <f t="shared" si="7"/>
        <v>0</v>
      </c>
    </row>
    <row r="319" spans="1:24" ht="12.75" hidden="1" customHeight="1" x14ac:dyDescent="0.25">
      <c r="A319" s="113" t="s">
        <v>0</v>
      </c>
      <c r="B319" s="132"/>
      <c r="D319" s="496">
        <v>33</v>
      </c>
      <c r="E319" s="27"/>
      <c r="F319" s="1308" t="str">
        <f t="shared" si="5"/>
        <v/>
      </c>
      <c r="G319" s="1308"/>
      <c r="H319" s="1306"/>
      <c r="I319" s="1306"/>
      <c r="J319" s="510" t="str">
        <f>IF(H319="","",INDEX(C_FuelStreams!BM:BM,MATCH(H319,C_FuelStreams!BI:BI,0)))</f>
        <v/>
      </c>
      <c r="K319" s="511" t="str">
        <f>IF(H319="","",SUMIFS(C_FuelStreams!BL:BL,C_FuelStreams!BI:BI,H319))</f>
        <v/>
      </c>
      <c r="L319" s="28"/>
      <c r="M319" s="28"/>
      <c r="N319" s="512" t="str">
        <f t="shared" si="2"/>
        <v/>
      </c>
      <c r="O319" s="142"/>
      <c r="P319" s="115"/>
      <c r="R319" s="513" t="str">
        <f>IF(H319="","",SUMIFS(C_FuelStreams!BK:BK,C_FuelStreams!BI:BI,H319))</f>
        <v/>
      </c>
      <c r="S319" s="513" t="str">
        <f>IF(H319="","",SUMIFS(C_FuelStreams!CP:CP,C_FuelStreams!BI:BI,H319))</f>
        <v/>
      </c>
      <c r="T319" s="513" t="str">
        <f t="shared" si="6"/>
        <v/>
      </c>
      <c r="X319" s="514" t="b">
        <f t="shared" si="7"/>
        <v>0</v>
      </c>
    </row>
    <row r="320" spans="1:24" ht="12.75" hidden="1" customHeight="1" x14ac:dyDescent="0.25">
      <c r="A320" s="113" t="s">
        <v>0</v>
      </c>
      <c r="B320" s="132"/>
      <c r="D320" s="496">
        <v>34</v>
      </c>
      <c r="E320" s="27"/>
      <c r="F320" s="1308" t="str">
        <f t="shared" si="5"/>
        <v/>
      </c>
      <c r="G320" s="1308"/>
      <c r="H320" s="1306"/>
      <c r="I320" s="1306"/>
      <c r="J320" s="510" t="str">
        <f>IF(H320="","",INDEX(C_FuelStreams!BM:BM,MATCH(H320,C_FuelStreams!BI:BI,0)))</f>
        <v/>
      </c>
      <c r="K320" s="511" t="str">
        <f>IF(H320="","",SUMIFS(C_FuelStreams!BL:BL,C_FuelStreams!BI:BI,H320))</f>
        <v/>
      </c>
      <c r="L320" s="28"/>
      <c r="M320" s="28"/>
      <c r="N320" s="512" t="str">
        <f t="shared" si="2"/>
        <v/>
      </c>
      <c r="O320" s="142"/>
      <c r="P320" s="115"/>
      <c r="R320" s="513" t="str">
        <f>IF(H320="","",SUMIFS(C_FuelStreams!BK:BK,C_FuelStreams!BI:BI,H320))</f>
        <v/>
      </c>
      <c r="S320" s="513" t="str">
        <f>IF(H320="","",SUMIFS(C_FuelStreams!CP:CP,C_FuelStreams!BI:BI,H320))</f>
        <v/>
      </c>
      <c r="T320" s="513" t="str">
        <f t="shared" si="6"/>
        <v/>
      </c>
      <c r="X320" s="514" t="b">
        <f t="shared" si="7"/>
        <v>0</v>
      </c>
    </row>
    <row r="321" spans="1:24" ht="12.75" hidden="1" customHeight="1" x14ac:dyDescent="0.25">
      <c r="A321" s="113" t="s">
        <v>0</v>
      </c>
      <c r="B321" s="132"/>
      <c r="D321" s="496">
        <v>35</v>
      </c>
      <c r="E321" s="27"/>
      <c r="F321" s="1308" t="str">
        <f t="shared" si="5"/>
        <v/>
      </c>
      <c r="G321" s="1308"/>
      <c r="H321" s="1306"/>
      <c r="I321" s="1306"/>
      <c r="J321" s="510" t="str">
        <f>IF(H321="","",INDEX(C_FuelStreams!BM:BM,MATCH(H321,C_FuelStreams!BI:BI,0)))</f>
        <v/>
      </c>
      <c r="K321" s="511" t="str">
        <f>IF(H321="","",SUMIFS(C_FuelStreams!BL:BL,C_FuelStreams!BI:BI,H321))</f>
        <v/>
      </c>
      <c r="L321" s="28"/>
      <c r="M321" s="28"/>
      <c r="N321" s="512" t="str">
        <f t="shared" si="2"/>
        <v/>
      </c>
      <c r="O321" s="142"/>
      <c r="P321" s="115"/>
      <c r="R321" s="513" t="str">
        <f>IF(H321="","",SUMIFS(C_FuelStreams!BK:BK,C_FuelStreams!BI:BI,H321))</f>
        <v/>
      </c>
      <c r="S321" s="513" t="str">
        <f>IF(H321="","",SUMIFS(C_FuelStreams!CP:CP,C_FuelStreams!BI:BI,H321))</f>
        <v/>
      </c>
      <c r="T321" s="513" t="str">
        <f t="shared" si="6"/>
        <v/>
      </c>
      <c r="X321" s="514" t="b">
        <f t="shared" si="7"/>
        <v>0</v>
      </c>
    </row>
    <row r="322" spans="1:24" ht="12.75" hidden="1" customHeight="1" x14ac:dyDescent="0.25">
      <c r="A322" s="113" t="s">
        <v>0</v>
      </c>
      <c r="B322" s="132"/>
      <c r="D322" s="496">
        <v>36</v>
      </c>
      <c r="E322" s="27"/>
      <c r="F322" s="1308" t="str">
        <f t="shared" si="5"/>
        <v/>
      </c>
      <c r="G322" s="1308"/>
      <c r="H322" s="1306"/>
      <c r="I322" s="1306"/>
      <c r="J322" s="510" t="str">
        <f>IF(H322="","",INDEX(C_FuelStreams!BM:BM,MATCH(H322,C_FuelStreams!BI:BI,0)))</f>
        <v/>
      </c>
      <c r="K322" s="511" t="str">
        <f>IF(H322="","",SUMIFS(C_FuelStreams!BL:BL,C_FuelStreams!BI:BI,H322))</f>
        <v/>
      </c>
      <c r="L322" s="28"/>
      <c r="M322" s="28"/>
      <c r="N322" s="512" t="str">
        <f t="shared" si="2"/>
        <v/>
      </c>
      <c r="O322" s="142"/>
      <c r="P322" s="115"/>
      <c r="R322" s="513" t="str">
        <f>IF(H322="","",SUMIFS(C_FuelStreams!BK:BK,C_FuelStreams!BI:BI,H322))</f>
        <v/>
      </c>
      <c r="S322" s="513" t="str">
        <f>IF(H322="","",SUMIFS(C_FuelStreams!CP:CP,C_FuelStreams!BI:BI,H322))</f>
        <v/>
      </c>
      <c r="T322" s="513" t="str">
        <f t="shared" si="6"/>
        <v/>
      </c>
      <c r="X322" s="514" t="b">
        <f t="shared" si="7"/>
        <v>0</v>
      </c>
    </row>
    <row r="323" spans="1:24" ht="12.75" hidden="1" customHeight="1" x14ac:dyDescent="0.25">
      <c r="A323" s="113" t="s">
        <v>0</v>
      </c>
      <c r="B323" s="132"/>
      <c r="D323" s="496">
        <v>37</v>
      </c>
      <c r="E323" s="27"/>
      <c r="F323" s="1308" t="str">
        <f t="shared" si="5"/>
        <v/>
      </c>
      <c r="G323" s="1308"/>
      <c r="H323" s="1306"/>
      <c r="I323" s="1306"/>
      <c r="J323" s="510" t="str">
        <f>IF(H323="","",INDEX(C_FuelStreams!BM:BM,MATCH(H323,C_FuelStreams!BI:BI,0)))</f>
        <v/>
      </c>
      <c r="K323" s="511" t="str">
        <f>IF(H323="","",SUMIFS(C_FuelStreams!BL:BL,C_FuelStreams!BI:BI,H323))</f>
        <v/>
      </c>
      <c r="L323" s="28"/>
      <c r="M323" s="28"/>
      <c r="N323" s="512" t="str">
        <f t="shared" si="2"/>
        <v/>
      </c>
      <c r="O323" s="142"/>
      <c r="P323" s="115"/>
      <c r="R323" s="513" t="str">
        <f>IF(H323="","",SUMIFS(C_FuelStreams!BK:BK,C_FuelStreams!BI:BI,H323))</f>
        <v/>
      </c>
      <c r="S323" s="513" t="str">
        <f>IF(H323="","",SUMIFS(C_FuelStreams!CP:CP,C_FuelStreams!BI:BI,H323))</f>
        <v/>
      </c>
      <c r="T323" s="513" t="str">
        <f t="shared" si="6"/>
        <v/>
      </c>
      <c r="X323" s="514" t="b">
        <f t="shared" si="7"/>
        <v>0</v>
      </c>
    </row>
    <row r="324" spans="1:24" ht="12.75" hidden="1" customHeight="1" x14ac:dyDescent="0.25">
      <c r="A324" s="113" t="s">
        <v>0</v>
      </c>
      <c r="B324" s="132"/>
      <c r="D324" s="496">
        <v>38</v>
      </c>
      <c r="E324" s="27"/>
      <c r="F324" s="1308" t="str">
        <f t="shared" si="5"/>
        <v/>
      </c>
      <c r="G324" s="1308"/>
      <c r="H324" s="1306"/>
      <c r="I324" s="1306"/>
      <c r="J324" s="510" t="str">
        <f>IF(H324="","",INDEX(C_FuelStreams!BM:BM,MATCH(H324,C_FuelStreams!BI:BI,0)))</f>
        <v/>
      </c>
      <c r="K324" s="511" t="str">
        <f>IF(H324="","",SUMIFS(C_FuelStreams!BL:BL,C_FuelStreams!BI:BI,H324))</f>
        <v/>
      </c>
      <c r="L324" s="28"/>
      <c r="M324" s="28"/>
      <c r="N324" s="512" t="str">
        <f t="shared" si="2"/>
        <v/>
      </c>
      <c r="O324" s="142"/>
      <c r="P324" s="115"/>
      <c r="R324" s="513" t="str">
        <f>IF(H324="","",SUMIFS(C_FuelStreams!BK:BK,C_FuelStreams!BI:BI,H324))</f>
        <v/>
      </c>
      <c r="S324" s="513" t="str">
        <f>IF(H324="","",SUMIFS(C_FuelStreams!CP:CP,C_FuelStreams!BI:BI,H324))</f>
        <v/>
      </c>
      <c r="T324" s="513" t="str">
        <f t="shared" si="6"/>
        <v/>
      </c>
      <c r="X324" s="514" t="b">
        <f t="shared" si="7"/>
        <v>0</v>
      </c>
    </row>
    <row r="325" spans="1:24" ht="12.75" hidden="1" customHeight="1" x14ac:dyDescent="0.25">
      <c r="A325" s="113" t="s">
        <v>0</v>
      </c>
      <c r="B325" s="132"/>
      <c r="D325" s="496">
        <v>39</v>
      </c>
      <c r="E325" s="27"/>
      <c r="F325" s="1308" t="str">
        <f t="shared" si="5"/>
        <v/>
      </c>
      <c r="G325" s="1308"/>
      <c r="H325" s="1306"/>
      <c r="I325" s="1306"/>
      <c r="J325" s="510" t="str">
        <f>IF(H325="","",INDEX(C_FuelStreams!BM:BM,MATCH(H325,C_FuelStreams!BI:BI,0)))</f>
        <v/>
      </c>
      <c r="K325" s="511" t="str">
        <f>IF(H325="","",SUMIFS(C_FuelStreams!BL:BL,C_FuelStreams!BI:BI,H325))</f>
        <v/>
      </c>
      <c r="L325" s="28"/>
      <c r="M325" s="28"/>
      <c r="N325" s="512" t="str">
        <f t="shared" si="2"/>
        <v/>
      </c>
      <c r="O325" s="142"/>
      <c r="P325" s="115"/>
      <c r="R325" s="513" t="str">
        <f>IF(H325="","",SUMIFS(C_FuelStreams!BK:BK,C_FuelStreams!BI:BI,H325))</f>
        <v/>
      </c>
      <c r="S325" s="513" t="str">
        <f>IF(H325="","",SUMIFS(C_FuelStreams!CP:CP,C_FuelStreams!BI:BI,H325))</f>
        <v/>
      </c>
      <c r="T325" s="513" t="str">
        <f t="shared" si="6"/>
        <v/>
      </c>
      <c r="X325" s="514" t="b">
        <f t="shared" si="7"/>
        <v>0</v>
      </c>
    </row>
    <row r="326" spans="1:24" ht="12.75" hidden="1" customHeight="1" x14ac:dyDescent="0.25">
      <c r="A326" s="113" t="s">
        <v>0</v>
      </c>
      <c r="B326" s="132"/>
      <c r="D326" s="496">
        <v>40</v>
      </c>
      <c r="E326" s="27"/>
      <c r="F326" s="1308" t="str">
        <f t="shared" si="5"/>
        <v/>
      </c>
      <c r="G326" s="1308"/>
      <c r="H326" s="1306"/>
      <c r="I326" s="1306"/>
      <c r="J326" s="510" t="str">
        <f>IF(H326="","",INDEX(C_FuelStreams!BM:BM,MATCH(H326,C_FuelStreams!BI:BI,0)))</f>
        <v/>
      </c>
      <c r="K326" s="511" t="str">
        <f>IF(H326="","",SUMIFS(C_FuelStreams!BL:BL,C_FuelStreams!BI:BI,H326))</f>
        <v/>
      </c>
      <c r="L326" s="28"/>
      <c r="M326" s="28"/>
      <c r="N326" s="512" t="str">
        <f t="shared" si="2"/>
        <v/>
      </c>
      <c r="O326" s="142"/>
      <c r="P326" s="115"/>
      <c r="R326" s="513" t="str">
        <f>IF(H326="","",SUMIFS(C_FuelStreams!BK:BK,C_FuelStreams!BI:BI,H326))</f>
        <v/>
      </c>
      <c r="S326" s="513" t="str">
        <f>IF(H326="","",SUMIFS(C_FuelStreams!CP:CP,C_FuelStreams!BI:BI,H326))</f>
        <v/>
      </c>
      <c r="T326" s="513" t="str">
        <f t="shared" si="6"/>
        <v/>
      </c>
      <c r="X326" s="514" t="b">
        <f t="shared" si="7"/>
        <v>0</v>
      </c>
    </row>
    <row r="327" spans="1:24" ht="12.75" hidden="1" customHeight="1" x14ac:dyDescent="0.25">
      <c r="A327" s="113" t="s">
        <v>0</v>
      </c>
      <c r="B327" s="132"/>
      <c r="D327" s="496">
        <v>41</v>
      </c>
      <c r="E327" s="27"/>
      <c r="F327" s="1308" t="str">
        <f t="shared" si="5"/>
        <v/>
      </c>
      <c r="G327" s="1308"/>
      <c r="H327" s="1306"/>
      <c r="I327" s="1306"/>
      <c r="J327" s="510" t="str">
        <f>IF(H327="","",INDEX(C_FuelStreams!BM:BM,MATCH(H327,C_FuelStreams!BI:BI,0)))</f>
        <v/>
      </c>
      <c r="K327" s="511" t="str">
        <f>IF(H327="","",SUMIFS(C_FuelStreams!BL:BL,C_FuelStreams!BI:BI,H327))</f>
        <v/>
      </c>
      <c r="L327" s="28"/>
      <c r="M327" s="28"/>
      <c r="N327" s="512" t="str">
        <f t="shared" si="2"/>
        <v/>
      </c>
      <c r="O327" s="142"/>
      <c r="P327" s="115"/>
      <c r="R327" s="513" t="str">
        <f>IF(H327="","",SUMIFS(C_FuelStreams!BK:BK,C_FuelStreams!BI:BI,H327))</f>
        <v/>
      </c>
      <c r="S327" s="513" t="str">
        <f>IF(H327="","",SUMIFS(C_FuelStreams!CP:CP,C_FuelStreams!BI:BI,H327))</f>
        <v/>
      </c>
      <c r="T327" s="513" t="str">
        <f t="shared" si="6"/>
        <v/>
      </c>
      <c r="X327" s="514" t="b">
        <f t="shared" si="7"/>
        <v>0</v>
      </c>
    </row>
    <row r="328" spans="1:24" ht="12.75" hidden="1" customHeight="1" x14ac:dyDescent="0.25">
      <c r="A328" s="113" t="s">
        <v>0</v>
      </c>
      <c r="B328" s="132"/>
      <c r="D328" s="496">
        <v>42</v>
      </c>
      <c r="E328" s="27"/>
      <c r="F328" s="1308" t="str">
        <f t="shared" si="5"/>
        <v/>
      </c>
      <c r="G328" s="1308"/>
      <c r="H328" s="1306"/>
      <c r="I328" s="1306"/>
      <c r="J328" s="510" t="str">
        <f>IF(H328="","",INDEX(C_FuelStreams!BM:BM,MATCH(H328,C_FuelStreams!BI:BI,0)))</f>
        <v/>
      </c>
      <c r="K328" s="511" t="str">
        <f>IF(H328="","",SUMIFS(C_FuelStreams!BL:BL,C_FuelStreams!BI:BI,H328))</f>
        <v/>
      </c>
      <c r="L328" s="28"/>
      <c r="M328" s="28"/>
      <c r="N328" s="512" t="str">
        <f t="shared" si="2"/>
        <v/>
      </c>
      <c r="O328" s="142"/>
      <c r="P328" s="115"/>
      <c r="R328" s="513" t="str">
        <f>IF(H328="","",SUMIFS(C_FuelStreams!BK:BK,C_FuelStreams!BI:BI,H328))</f>
        <v/>
      </c>
      <c r="S328" s="513" t="str">
        <f>IF(H328="","",SUMIFS(C_FuelStreams!CP:CP,C_FuelStreams!BI:BI,H328))</f>
        <v/>
      </c>
      <c r="T328" s="513" t="str">
        <f t="shared" si="6"/>
        <v/>
      </c>
      <c r="X328" s="514" t="b">
        <f t="shared" si="7"/>
        <v>0</v>
      </c>
    </row>
    <row r="329" spans="1:24" ht="12.75" hidden="1" customHeight="1" x14ac:dyDescent="0.25">
      <c r="A329" s="113" t="s">
        <v>0</v>
      </c>
      <c r="B329" s="132"/>
      <c r="D329" s="496">
        <v>43</v>
      </c>
      <c r="E329" s="27"/>
      <c r="F329" s="1308" t="str">
        <f t="shared" si="5"/>
        <v/>
      </c>
      <c r="G329" s="1308"/>
      <c r="H329" s="1306"/>
      <c r="I329" s="1306"/>
      <c r="J329" s="510" t="str">
        <f>IF(H329="","",INDEX(C_FuelStreams!BM:BM,MATCH(H329,C_FuelStreams!BI:BI,0)))</f>
        <v/>
      </c>
      <c r="K329" s="511" t="str">
        <f>IF(H329="","",SUMIFS(C_FuelStreams!BL:BL,C_FuelStreams!BI:BI,H329))</f>
        <v/>
      </c>
      <c r="L329" s="28"/>
      <c r="M329" s="28"/>
      <c r="N329" s="512" t="str">
        <f t="shared" si="2"/>
        <v/>
      </c>
      <c r="O329" s="142"/>
      <c r="P329" s="115"/>
      <c r="R329" s="513" t="str">
        <f>IF(H329="","",SUMIFS(C_FuelStreams!BK:BK,C_FuelStreams!BI:BI,H329))</f>
        <v/>
      </c>
      <c r="S329" s="513" t="str">
        <f>IF(H329="","",SUMIFS(C_FuelStreams!CP:CP,C_FuelStreams!BI:BI,H329))</f>
        <v/>
      </c>
      <c r="T329" s="513" t="str">
        <f t="shared" si="6"/>
        <v/>
      </c>
      <c r="X329" s="514" t="b">
        <f t="shared" si="7"/>
        <v>0</v>
      </c>
    </row>
    <row r="330" spans="1:24" ht="12.75" hidden="1" customHeight="1" x14ac:dyDescent="0.25">
      <c r="A330" s="113" t="s">
        <v>0</v>
      </c>
      <c r="B330" s="132"/>
      <c r="D330" s="496">
        <v>44</v>
      </c>
      <c r="E330" s="27"/>
      <c r="F330" s="1308" t="str">
        <f t="shared" si="5"/>
        <v/>
      </c>
      <c r="G330" s="1308"/>
      <c r="H330" s="1306"/>
      <c r="I330" s="1306"/>
      <c r="J330" s="510" t="str">
        <f>IF(H330="","",INDEX(C_FuelStreams!BM:BM,MATCH(H330,C_FuelStreams!BI:BI,0)))</f>
        <v/>
      </c>
      <c r="K330" s="511" t="str">
        <f>IF(H330="","",SUMIFS(C_FuelStreams!BL:BL,C_FuelStreams!BI:BI,H330))</f>
        <v/>
      </c>
      <c r="L330" s="28"/>
      <c r="M330" s="28"/>
      <c r="N330" s="512" t="str">
        <f t="shared" si="2"/>
        <v/>
      </c>
      <c r="O330" s="142"/>
      <c r="P330" s="115"/>
      <c r="R330" s="513" t="str">
        <f>IF(H330="","",SUMIFS(C_FuelStreams!BK:BK,C_FuelStreams!BI:BI,H330))</f>
        <v/>
      </c>
      <c r="S330" s="513" t="str">
        <f>IF(H330="","",SUMIFS(C_FuelStreams!CP:CP,C_FuelStreams!BI:BI,H330))</f>
        <v/>
      </c>
      <c r="T330" s="513" t="str">
        <f t="shared" si="6"/>
        <v/>
      </c>
      <c r="X330" s="514" t="b">
        <f t="shared" si="7"/>
        <v>0</v>
      </c>
    </row>
    <row r="331" spans="1:24" ht="12.75" hidden="1" customHeight="1" x14ac:dyDescent="0.25">
      <c r="A331" s="113" t="s">
        <v>0</v>
      </c>
      <c r="B331" s="132"/>
      <c r="D331" s="496">
        <v>45</v>
      </c>
      <c r="E331" s="27"/>
      <c r="F331" s="1308" t="str">
        <f t="shared" si="5"/>
        <v/>
      </c>
      <c r="G331" s="1308"/>
      <c r="H331" s="1306"/>
      <c r="I331" s="1306"/>
      <c r="J331" s="510" t="str">
        <f>IF(H331="","",INDEX(C_FuelStreams!BM:BM,MATCH(H331,C_FuelStreams!BI:BI,0)))</f>
        <v/>
      </c>
      <c r="K331" s="511" t="str">
        <f>IF(H331="","",SUMIFS(C_FuelStreams!BL:BL,C_FuelStreams!BI:BI,H331))</f>
        <v/>
      </c>
      <c r="L331" s="28"/>
      <c r="M331" s="28"/>
      <c r="N331" s="512" t="str">
        <f t="shared" si="2"/>
        <v/>
      </c>
      <c r="O331" s="142"/>
      <c r="P331" s="115"/>
      <c r="R331" s="513" t="str">
        <f>IF(H331="","",SUMIFS(C_FuelStreams!BK:BK,C_FuelStreams!BI:BI,H331))</f>
        <v/>
      </c>
      <c r="S331" s="513" t="str">
        <f>IF(H331="","",SUMIFS(C_FuelStreams!CP:CP,C_FuelStreams!BI:BI,H331))</f>
        <v/>
      </c>
      <c r="T331" s="513" t="str">
        <f t="shared" si="6"/>
        <v/>
      </c>
      <c r="X331" s="514" t="b">
        <f t="shared" si="7"/>
        <v>0</v>
      </c>
    </row>
    <row r="332" spans="1:24" ht="12.75" hidden="1" customHeight="1" x14ac:dyDescent="0.25">
      <c r="A332" s="113" t="s">
        <v>0</v>
      </c>
      <c r="B332" s="132"/>
      <c r="D332" s="496">
        <v>46</v>
      </c>
      <c r="E332" s="27"/>
      <c r="F332" s="1308" t="str">
        <f t="shared" si="5"/>
        <v/>
      </c>
      <c r="G332" s="1308"/>
      <c r="H332" s="1306"/>
      <c r="I332" s="1306"/>
      <c r="J332" s="510" t="str">
        <f>IF(H332="","",INDEX(C_FuelStreams!BM:BM,MATCH(H332,C_FuelStreams!BI:BI,0)))</f>
        <v/>
      </c>
      <c r="K332" s="511" t="str">
        <f>IF(H332="","",SUMIFS(C_FuelStreams!BL:BL,C_FuelStreams!BI:BI,H332))</f>
        <v/>
      </c>
      <c r="L332" s="28"/>
      <c r="M332" s="28"/>
      <c r="N332" s="512" t="str">
        <f t="shared" si="2"/>
        <v/>
      </c>
      <c r="O332" s="142"/>
      <c r="P332" s="115"/>
      <c r="R332" s="513" t="str">
        <f>IF(H332="","",SUMIFS(C_FuelStreams!BK:BK,C_FuelStreams!BI:BI,H332))</f>
        <v/>
      </c>
      <c r="S332" s="513" t="str">
        <f>IF(H332="","",SUMIFS(C_FuelStreams!CP:CP,C_FuelStreams!BI:BI,H332))</f>
        <v/>
      </c>
      <c r="T332" s="513" t="str">
        <f t="shared" si="6"/>
        <v/>
      </c>
      <c r="X332" s="514" t="b">
        <f t="shared" si="7"/>
        <v>0</v>
      </c>
    </row>
    <row r="333" spans="1:24" ht="12.75" hidden="1" customHeight="1" x14ac:dyDescent="0.25">
      <c r="A333" s="113" t="s">
        <v>0</v>
      </c>
      <c r="B333" s="132"/>
      <c r="D333" s="496">
        <v>47</v>
      </c>
      <c r="E333" s="27"/>
      <c r="F333" s="1308" t="str">
        <f t="shared" si="5"/>
        <v/>
      </c>
      <c r="G333" s="1308"/>
      <c r="H333" s="1306"/>
      <c r="I333" s="1306"/>
      <c r="J333" s="510" t="str">
        <f>IF(H333="","",INDEX(C_FuelStreams!BM:BM,MATCH(H333,C_FuelStreams!BI:BI,0)))</f>
        <v/>
      </c>
      <c r="K333" s="511" t="str">
        <f>IF(H333="","",SUMIFS(C_FuelStreams!BL:BL,C_FuelStreams!BI:BI,H333))</f>
        <v/>
      </c>
      <c r="L333" s="28"/>
      <c r="M333" s="28"/>
      <c r="N333" s="512" t="str">
        <f t="shared" si="2"/>
        <v/>
      </c>
      <c r="O333" s="142"/>
      <c r="P333" s="115"/>
      <c r="R333" s="513" t="str">
        <f>IF(H333="","",SUMIFS(C_FuelStreams!BK:BK,C_FuelStreams!BI:BI,H333))</f>
        <v/>
      </c>
      <c r="S333" s="513" t="str">
        <f>IF(H333="","",SUMIFS(C_FuelStreams!CP:CP,C_FuelStreams!BI:BI,H333))</f>
        <v/>
      </c>
      <c r="T333" s="513" t="str">
        <f t="shared" si="6"/>
        <v/>
      </c>
      <c r="X333" s="514" t="b">
        <f t="shared" si="7"/>
        <v>0</v>
      </c>
    </row>
    <row r="334" spans="1:24" ht="12.75" hidden="1" customHeight="1" x14ac:dyDescent="0.25">
      <c r="A334" s="113" t="s">
        <v>0</v>
      </c>
      <c r="B334" s="132"/>
      <c r="D334" s="496">
        <v>48</v>
      </c>
      <c r="E334" s="27"/>
      <c r="F334" s="1308" t="str">
        <f t="shared" si="5"/>
        <v/>
      </c>
      <c r="G334" s="1308"/>
      <c r="H334" s="1306"/>
      <c r="I334" s="1306"/>
      <c r="J334" s="510" t="str">
        <f>IF(H334="","",INDEX(C_FuelStreams!BM:BM,MATCH(H334,C_FuelStreams!BI:BI,0)))</f>
        <v/>
      </c>
      <c r="K334" s="511" t="str">
        <f>IF(H334="","",SUMIFS(C_FuelStreams!BL:BL,C_FuelStreams!BI:BI,H334))</f>
        <v/>
      </c>
      <c r="L334" s="28"/>
      <c r="M334" s="28"/>
      <c r="N334" s="512" t="str">
        <f t="shared" si="2"/>
        <v/>
      </c>
      <c r="O334" s="142"/>
      <c r="P334" s="115"/>
      <c r="R334" s="513" t="str">
        <f>IF(H334="","",SUMIFS(C_FuelStreams!BK:BK,C_FuelStreams!BI:BI,H334))</f>
        <v/>
      </c>
      <c r="S334" s="513" t="str">
        <f>IF(H334="","",SUMIFS(C_FuelStreams!CP:CP,C_FuelStreams!BI:BI,H334))</f>
        <v/>
      </c>
      <c r="T334" s="513" t="str">
        <f t="shared" si="6"/>
        <v/>
      </c>
      <c r="X334" s="514" t="b">
        <f t="shared" si="7"/>
        <v>0</v>
      </c>
    </row>
    <row r="335" spans="1:24" ht="12.75" hidden="1" customHeight="1" x14ac:dyDescent="0.25">
      <c r="A335" s="113" t="s">
        <v>0</v>
      </c>
      <c r="B335" s="132"/>
      <c r="D335" s="496">
        <v>49</v>
      </c>
      <c r="E335" s="27"/>
      <c r="F335" s="1308" t="str">
        <f t="shared" si="5"/>
        <v/>
      </c>
      <c r="G335" s="1308"/>
      <c r="H335" s="1306"/>
      <c r="I335" s="1306"/>
      <c r="J335" s="510" t="str">
        <f>IF(H335="","",INDEX(C_FuelStreams!BM:BM,MATCH(H335,C_FuelStreams!BI:BI,0)))</f>
        <v/>
      </c>
      <c r="K335" s="511" t="str">
        <f>IF(H335="","",SUMIFS(C_FuelStreams!BL:BL,C_FuelStreams!BI:BI,H335))</f>
        <v/>
      </c>
      <c r="L335" s="28"/>
      <c r="M335" s="28"/>
      <c r="N335" s="512" t="str">
        <f t="shared" si="2"/>
        <v/>
      </c>
      <c r="O335" s="142"/>
      <c r="P335" s="115"/>
      <c r="R335" s="513" t="str">
        <f>IF(H335="","",SUMIFS(C_FuelStreams!BK:BK,C_FuelStreams!BI:BI,H335))</f>
        <v/>
      </c>
      <c r="S335" s="513" t="str">
        <f>IF(H335="","",SUMIFS(C_FuelStreams!CP:CP,C_FuelStreams!BI:BI,H335))</f>
        <v/>
      </c>
      <c r="T335" s="513" t="str">
        <f t="shared" si="6"/>
        <v/>
      </c>
      <c r="X335" s="514" t="b">
        <f t="shared" si="7"/>
        <v>0</v>
      </c>
    </row>
    <row r="336" spans="1:24" ht="12.75" hidden="1" customHeight="1" x14ac:dyDescent="0.25">
      <c r="A336" s="113" t="s">
        <v>0</v>
      </c>
      <c r="B336" s="132"/>
      <c r="D336" s="496">
        <v>50</v>
      </c>
      <c r="E336" s="27"/>
      <c r="F336" s="1308" t="str">
        <f t="shared" si="5"/>
        <v/>
      </c>
      <c r="G336" s="1308"/>
      <c r="H336" s="1306"/>
      <c r="I336" s="1306"/>
      <c r="J336" s="510" t="str">
        <f>IF(H336="","",INDEX(C_FuelStreams!BM:BM,MATCH(H336,C_FuelStreams!BI:BI,0)))</f>
        <v/>
      </c>
      <c r="K336" s="511" t="str">
        <f>IF(H336="","",SUMIFS(C_FuelStreams!BL:BL,C_FuelStreams!BI:BI,H336))</f>
        <v/>
      </c>
      <c r="L336" s="28"/>
      <c r="M336" s="28"/>
      <c r="N336" s="512" t="str">
        <f t="shared" si="2"/>
        <v/>
      </c>
      <c r="O336" s="142"/>
      <c r="P336" s="115"/>
      <c r="R336" s="513" t="str">
        <f>IF(H336="","",SUMIFS(C_FuelStreams!BK:BK,C_FuelStreams!BI:BI,H336))</f>
        <v/>
      </c>
      <c r="S336" s="513" t="str">
        <f>IF(H336="","",SUMIFS(C_FuelStreams!CP:CP,C_FuelStreams!BI:BI,H336))</f>
        <v/>
      </c>
      <c r="T336" s="513" t="str">
        <f t="shared" si="6"/>
        <v/>
      </c>
      <c r="X336" s="514" t="b">
        <f t="shared" si="7"/>
        <v>0</v>
      </c>
    </row>
    <row r="337" spans="1:24" ht="12.75" hidden="1" customHeight="1" x14ac:dyDescent="0.25">
      <c r="A337" s="113" t="s">
        <v>0</v>
      </c>
      <c r="B337" s="132"/>
      <c r="D337" s="496">
        <v>51</v>
      </c>
      <c r="E337" s="27"/>
      <c r="F337" s="1308" t="str">
        <f t="shared" si="5"/>
        <v/>
      </c>
      <c r="G337" s="1308"/>
      <c r="H337" s="1306"/>
      <c r="I337" s="1306"/>
      <c r="J337" s="510" t="str">
        <f>IF(H337="","",INDEX(C_FuelStreams!BM:BM,MATCH(H337,C_FuelStreams!BI:BI,0)))</f>
        <v/>
      </c>
      <c r="K337" s="511" t="str">
        <f>IF(H337="","",SUMIFS(C_FuelStreams!BL:BL,C_FuelStreams!BI:BI,H337))</f>
        <v/>
      </c>
      <c r="L337" s="28"/>
      <c r="M337" s="28"/>
      <c r="N337" s="512" t="str">
        <f t="shared" si="2"/>
        <v/>
      </c>
      <c r="O337" s="142"/>
      <c r="P337" s="115"/>
      <c r="R337" s="513" t="str">
        <f>IF(H337="","",SUMIFS(C_FuelStreams!BK:BK,C_FuelStreams!BI:BI,H337))</f>
        <v/>
      </c>
      <c r="S337" s="513" t="str">
        <f>IF(H337="","",SUMIFS(C_FuelStreams!CP:CP,C_FuelStreams!BI:BI,H337))</f>
        <v/>
      </c>
      <c r="T337" s="513" t="str">
        <f t="shared" si="6"/>
        <v/>
      </c>
      <c r="X337" s="514" t="b">
        <f t="shared" si="7"/>
        <v>0</v>
      </c>
    </row>
    <row r="338" spans="1:24" ht="12.75" hidden="1" customHeight="1" x14ac:dyDescent="0.25">
      <c r="A338" s="113" t="s">
        <v>0</v>
      </c>
      <c r="B338" s="132"/>
      <c r="D338" s="496">
        <v>52</v>
      </c>
      <c r="E338" s="27"/>
      <c r="F338" s="1308" t="str">
        <f t="shared" si="5"/>
        <v/>
      </c>
      <c r="G338" s="1308"/>
      <c r="H338" s="1306"/>
      <c r="I338" s="1306"/>
      <c r="J338" s="510" t="str">
        <f>IF(H338="","",INDEX(C_FuelStreams!BM:BM,MATCH(H338,C_FuelStreams!BI:BI,0)))</f>
        <v/>
      </c>
      <c r="K338" s="511" t="str">
        <f>IF(H338="","",SUMIFS(C_FuelStreams!BL:BL,C_FuelStreams!BI:BI,H338))</f>
        <v/>
      </c>
      <c r="L338" s="28"/>
      <c r="M338" s="28"/>
      <c r="N338" s="512" t="str">
        <f t="shared" si="2"/>
        <v/>
      </c>
      <c r="O338" s="142"/>
      <c r="P338" s="115"/>
      <c r="R338" s="513" t="str">
        <f>IF(H338="","",SUMIFS(C_FuelStreams!BK:BK,C_FuelStreams!BI:BI,H338))</f>
        <v/>
      </c>
      <c r="S338" s="513" t="str">
        <f>IF(H338="","",SUMIFS(C_FuelStreams!CP:CP,C_FuelStreams!BI:BI,H338))</f>
        <v/>
      </c>
      <c r="T338" s="513" t="str">
        <f t="shared" si="6"/>
        <v/>
      </c>
      <c r="X338" s="514" t="b">
        <f t="shared" si="7"/>
        <v>0</v>
      </c>
    </row>
    <row r="339" spans="1:24" ht="12.75" hidden="1" customHeight="1" x14ac:dyDescent="0.25">
      <c r="A339" s="113" t="s">
        <v>0</v>
      </c>
      <c r="B339" s="132"/>
      <c r="D339" s="496">
        <v>53</v>
      </c>
      <c r="E339" s="27"/>
      <c r="F339" s="1308" t="str">
        <f t="shared" si="5"/>
        <v/>
      </c>
      <c r="G339" s="1308"/>
      <c r="H339" s="1306"/>
      <c r="I339" s="1306"/>
      <c r="J339" s="510" t="str">
        <f>IF(H339="","",INDEX(C_FuelStreams!BM:BM,MATCH(H339,C_FuelStreams!BI:BI,0)))</f>
        <v/>
      </c>
      <c r="K339" s="511" t="str">
        <f>IF(H339="","",SUMIFS(C_FuelStreams!BL:BL,C_FuelStreams!BI:BI,H339))</f>
        <v/>
      </c>
      <c r="L339" s="28"/>
      <c r="M339" s="28"/>
      <c r="N339" s="512" t="str">
        <f t="shared" si="2"/>
        <v/>
      </c>
      <c r="O339" s="142"/>
      <c r="P339" s="115"/>
      <c r="R339" s="513" t="str">
        <f>IF(H339="","",SUMIFS(C_FuelStreams!BK:BK,C_FuelStreams!BI:BI,H339))</f>
        <v/>
      </c>
      <c r="S339" s="513" t="str">
        <f>IF(H339="","",SUMIFS(C_FuelStreams!CP:CP,C_FuelStreams!BI:BI,H339))</f>
        <v/>
      </c>
      <c r="T339" s="513" t="str">
        <f t="shared" si="6"/>
        <v/>
      </c>
      <c r="X339" s="514" t="b">
        <f t="shared" si="7"/>
        <v>0</v>
      </c>
    </row>
    <row r="340" spans="1:24" ht="12.75" hidden="1" customHeight="1" x14ac:dyDescent="0.25">
      <c r="A340" s="113" t="s">
        <v>0</v>
      </c>
      <c r="B340" s="132"/>
      <c r="D340" s="496">
        <v>54</v>
      </c>
      <c r="E340" s="27"/>
      <c r="F340" s="1308" t="str">
        <f t="shared" si="5"/>
        <v/>
      </c>
      <c r="G340" s="1308"/>
      <c r="H340" s="1306"/>
      <c r="I340" s="1306"/>
      <c r="J340" s="510" t="str">
        <f>IF(H340="","",INDEX(C_FuelStreams!BM:BM,MATCH(H340,C_FuelStreams!BI:BI,0)))</f>
        <v/>
      </c>
      <c r="K340" s="511" t="str">
        <f>IF(H340="","",SUMIFS(C_FuelStreams!BL:BL,C_FuelStreams!BI:BI,H340))</f>
        <v/>
      </c>
      <c r="L340" s="28"/>
      <c r="M340" s="28"/>
      <c r="N340" s="512" t="str">
        <f t="shared" si="2"/>
        <v/>
      </c>
      <c r="O340" s="142"/>
      <c r="P340" s="115"/>
      <c r="R340" s="513" t="str">
        <f>IF(H340="","",SUMIFS(C_FuelStreams!BK:BK,C_FuelStreams!BI:BI,H340))</f>
        <v/>
      </c>
      <c r="S340" s="513" t="str">
        <f>IF(H340="","",SUMIFS(C_FuelStreams!CP:CP,C_FuelStreams!BI:BI,H340))</f>
        <v/>
      </c>
      <c r="T340" s="513" t="str">
        <f t="shared" si="6"/>
        <v/>
      </c>
      <c r="X340" s="514" t="b">
        <f t="shared" si="7"/>
        <v>0</v>
      </c>
    </row>
    <row r="341" spans="1:24" ht="12.75" hidden="1" customHeight="1" x14ac:dyDescent="0.25">
      <c r="A341" s="113" t="s">
        <v>0</v>
      </c>
      <c r="B341" s="132"/>
      <c r="D341" s="496">
        <v>55</v>
      </c>
      <c r="E341" s="27"/>
      <c r="F341" s="1308" t="str">
        <f t="shared" si="5"/>
        <v/>
      </c>
      <c r="G341" s="1308"/>
      <c r="H341" s="1306"/>
      <c r="I341" s="1306"/>
      <c r="J341" s="510" t="str">
        <f>IF(H341="","",INDEX(C_FuelStreams!BM:BM,MATCH(H341,C_FuelStreams!BI:BI,0)))</f>
        <v/>
      </c>
      <c r="K341" s="511" t="str">
        <f>IF(H341="","",SUMIFS(C_FuelStreams!BL:BL,C_FuelStreams!BI:BI,H341))</f>
        <v/>
      </c>
      <c r="L341" s="28"/>
      <c r="M341" s="28"/>
      <c r="N341" s="512" t="str">
        <f t="shared" si="2"/>
        <v/>
      </c>
      <c r="O341" s="142"/>
      <c r="P341" s="115"/>
      <c r="R341" s="513" t="str">
        <f>IF(H341="","",SUMIFS(C_FuelStreams!BK:BK,C_FuelStreams!BI:BI,H341))</f>
        <v/>
      </c>
      <c r="S341" s="513" t="str">
        <f>IF(H341="","",SUMIFS(C_FuelStreams!CP:CP,C_FuelStreams!BI:BI,H341))</f>
        <v/>
      </c>
      <c r="T341" s="513" t="str">
        <f t="shared" si="6"/>
        <v/>
      </c>
      <c r="X341" s="514" t="b">
        <f t="shared" si="7"/>
        <v>0</v>
      </c>
    </row>
    <row r="342" spans="1:24" ht="12.75" hidden="1" customHeight="1" x14ac:dyDescent="0.25">
      <c r="A342" s="113" t="s">
        <v>0</v>
      </c>
      <c r="B342" s="132"/>
      <c r="D342" s="496">
        <v>56</v>
      </c>
      <c r="E342" s="27"/>
      <c r="F342" s="1308" t="str">
        <f t="shared" si="5"/>
        <v/>
      </c>
      <c r="G342" s="1308"/>
      <c r="H342" s="1306"/>
      <c r="I342" s="1306"/>
      <c r="J342" s="510" t="str">
        <f>IF(H342="","",INDEX(C_FuelStreams!BM:BM,MATCH(H342,C_FuelStreams!BI:BI,0)))</f>
        <v/>
      </c>
      <c r="K342" s="511" t="str">
        <f>IF(H342="","",SUMIFS(C_FuelStreams!BL:BL,C_FuelStreams!BI:BI,H342))</f>
        <v/>
      </c>
      <c r="L342" s="28"/>
      <c r="M342" s="28"/>
      <c r="N342" s="512" t="str">
        <f t="shared" si="2"/>
        <v/>
      </c>
      <c r="O342" s="142"/>
      <c r="P342" s="115"/>
      <c r="R342" s="513" t="str">
        <f>IF(H342="","",SUMIFS(C_FuelStreams!BK:BK,C_FuelStreams!BI:BI,H342))</f>
        <v/>
      </c>
      <c r="S342" s="513" t="str">
        <f>IF(H342="","",SUMIFS(C_FuelStreams!CP:CP,C_FuelStreams!BI:BI,H342))</f>
        <v/>
      </c>
      <c r="T342" s="513" t="str">
        <f t="shared" si="6"/>
        <v/>
      </c>
      <c r="X342" s="514" t="b">
        <f t="shared" si="7"/>
        <v>0</v>
      </c>
    </row>
    <row r="343" spans="1:24" ht="12.75" hidden="1" customHeight="1" x14ac:dyDescent="0.25">
      <c r="A343" s="113" t="s">
        <v>0</v>
      </c>
      <c r="B343" s="132"/>
      <c r="D343" s="496">
        <v>57</v>
      </c>
      <c r="E343" s="27"/>
      <c r="F343" s="1308" t="str">
        <f t="shared" si="5"/>
        <v/>
      </c>
      <c r="G343" s="1308"/>
      <c r="H343" s="1306"/>
      <c r="I343" s="1306"/>
      <c r="J343" s="510" t="str">
        <f>IF(H343="","",INDEX(C_FuelStreams!BM:BM,MATCH(H343,C_FuelStreams!BI:BI,0)))</f>
        <v/>
      </c>
      <c r="K343" s="511" t="str">
        <f>IF(H343="","",SUMIFS(C_FuelStreams!BL:BL,C_FuelStreams!BI:BI,H343))</f>
        <v/>
      </c>
      <c r="L343" s="28"/>
      <c r="M343" s="28"/>
      <c r="N343" s="512" t="str">
        <f t="shared" si="2"/>
        <v/>
      </c>
      <c r="O343" s="142"/>
      <c r="P343" s="115"/>
      <c r="R343" s="513" t="str">
        <f>IF(H343="","",SUMIFS(C_FuelStreams!BK:BK,C_FuelStreams!BI:BI,H343))</f>
        <v/>
      </c>
      <c r="S343" s="513" t="str">
        <f>IF(H343="","",SUMIFS(C_FuelStreams!CP:CP,C_FuelStreams!BI:BI,H343))</f>
        <v/>
      </c>
      <c r="T343" s="513" t="str">
        <f t="shared" si="6"/>
        <v/>
      </c>
      <c r="X343" s="514" t="b">
        <f t="shared" si="7"/>
        <v>0</v>
      </c>
    </row>
    <row r="344" spans="1:24" ht="12.75" hidden="1" customHeight="1" x14ac:dyDescent="0.25">
      <c r="A344" s="113" t="s">
        <v>0</v>
      </c>
      <c r="B344" s="132"/>
      <c r="D344" s="496">
        <v>58</v>
      </c>
      <c r="E344" s="27"/>
      <c r="F344" s="1308" t="str">
        <f t="shared" si="5"/>
        <v/>
      </c>
      <c r="G344" s="1308"/>
      <c r="H344" s="1306"/>
      <c r="I344" s="1306"/>
      <c r="J344" s="510" t="str">
        <f>IF(H344="","",INDEX(C_FuelStreams!BM:BM,MATCH(H344,C_FuelStreams!BI:BI,0)))</f>
        <v/>
      </c>
      <c r="K344" s="511" t="str">
        <f>IF(H344="","",SUMIFS(C_FuelStreams!BL:BL,C_FuelStreams!BI:BI,H344))</f>
        <v/>
      </c>
      <c r="L344" s="28"/>
      <c r="M344" s="28"/>
      <c r="N344" s="512" t="str">
        <f t="shared" si="2"/>
        <v/>
      </c>
      <c r="O344" s="142"/>
      <c r="P344" s="115"/>
      <c r="R344" s="513" t="str">
        <f>IF(H344="","",SUMIFS(C_FuelStreams!BK:BK,C_FuelStreams!BI:BI,H344))</f>
        <v/>
      </c>
      <c r="S344" s="513" t="str">
        <f>IF(H344="","",SUMIFS(C_FuelStreams!CP:CP,C_FuelStreams!BI:BI,H344))</f>
        <v/>
      </c>
      <c r="T344" s="513" t="str">
        <f t="shared" si="6"/>
        <v/>
      </c>
      <c r="X344" s="514" t="b">
        <f t="shared" si="7"/>
        <v>0</v>
      </c>
    </row>
    <row r="345" spans="1:24" ht="12.75" hidden="1" customHeight="1" x14ac:dyDescent="0.25">
      <c r="A345" s="113" t="s">
        <v>0</v>
      </c>
      <c r="B345" s="132"/>
      <c r="D345" s="496">
        <v>59</v>
      </c>
      <c r="E345" s="27"/>
      <c r="F345" s="1308" t="str">
        <f t="shared" si="5"/>
        <v/>
      </c>
      <c r="G345" s="1308"/>
      <c r="H345" s="1306"/>
      <c r="I345" s="1306"/>
      <c r="J345" s="510" t="str">
        <f>IF(H345="","",INDEX(C_FuelStreams!BM:BM,MATCH(H345,C_FuelStreams!BI:BI,0)))</f>
        <v/>
      </c>
      <c r="K345" s="511" t="str">
        <f>IF(H345="","",SUMIFS(C_FuelStreams!BL:BL,C_FuelStreams!BI:BI,H345))</f>
        <v/>
      </c>
      <c r="L345" s="28"/>
      <c r="M345" s="28"/>
      <c r="N345" s="512" t="str">
        <f t="shared" si="2"/>
        <v/>
      </c>
      <c r="O345" s="142"/>
      <c r="P345" s="115"/>
      <c r="R345" s="513" t="str">
        <f>IF(H345="","",SUMIFS(C_FuelStreams!BK:BK,C_FuelStreams!BI:BI,H345))</f>
        <v/>
      </c>
      <c r="S345" s="513" t="str">
        <f>IF(H345="","",SUMIFS(C_FuelStreams!CP:CP,C_FuelStreams!BI:BI,H345))</f>
        <v/>
      </c>
      <c r="T345" s="513" t="str">
        <f t="shared" si="6"/>
        <v/>
      </c>
      <c r="X345" s="514" t="b">
        <f t="shared" si="7"/>
        <v>0</v>
      </c>
    </row>
    <row r="346" spans="1:24" ht="12.75" hidden="1" customHeight="1" x14ac:dyDescent="0.25">
      <c r="A346" s="113" t="s">
        <v>0</v>
      </c>
      <c r="B346" s="132"/>
      <c r="D346" s="496">
        <v>60</v>
      </c>
      <c r="E346" s="27"/>
      <c r="F346" s="1308" t="str">
        <f t="shared" si="5"/>
        <v/>
      </c>
      <c r="G346" s="1308"/>
      <c r="H346" s="1306"/>
      <c r="I346" s="1306"/>
      <c r="J346" s="510" t="str">
        <f>IF(H346="","",INDEX(C_FuelStreams!BM:BM,MATCH(H346,C_FuelStreams!BI:BI,0)))</f>
        <v/>
      </c>
      <c r="K346" s="511" t="str">
        <f>IF(H346="","",SUMIFS(C_FuelStreams!BL:BL,C_FuelStreams!BI:BI,H346))</f>
        <v/>
      </c>
      <c r="L346" s="28"/>
      <c r="M346" s="28"/>
      <c r="N346" s="512" t="str">
        <f t="shared" si="2"/>
        <v/>
      </c>
      <c r="O346" s="142"/>
      <c r="P346" s="115"/>
      <c r="R346" s="513" t="str">
        <f>IF(H346="","",SUMIFS(C_FuelStreams!BK:BK,C_FuelStreams!BI:BI,H346))</f>
        <v/>
      </c>
      <c r="S346" s="513" t="str">
        <f>IF(H346="","",SUMIFS(C_FuelStreams!CP:CP,C_FuelStreams!BI:BI,H346))</f>
        <v/>
      </c>
      <c r="T346" s="513" t="str">
        <f t="shared" si="6"/>
        <v/>
      </c>
      <c r="X346" s="514" t="b">
        <f t="shared" si="7"/>
        <v>0</v>
      </c>
    </row>
    <row r="347" spans="1:24" ht="12.75" hidden="1" customHeight="1" x14ac:dyDescent="0.25">
      <c r="A347" s="113" t="s">
        <v>0</v>
      </c>
      <c r="B347" s="132"/>
      <c r="D347" s="496">
        <v>61</v>
      </c>
      <c r="E347" s="27"/>
      <c r="F347" s="1308" t="str">
        <f t="shared" si="5"/>
        <v/>
      </c>
      <c r="G347" s="1308"/>
      <c r="H347" s="1306"/>
      <c r="I347" s="1306"/>
      <c r="J347" s="510" t="str">
        <f>IF(H347="","",INDEX(C_FuelStreams!BM:BM,MATCH(H347,C_FuelStreams!BI:BI,0)))</f>
        <v/>
      </c>
      <c r="K347" s="511" t="str">
        <f>IF(H347="","",SUMIFS(C_FuelStreams!BL:BL,C_FuelStreams!BI:BI,H347))</f>
        <v/>
      </c>
      <c r="L347" s="28"/>
      <c r="M347" s="28"/>
      <c r="N347" s="512" t="str">
        <f t="shared" si="2"/>
        <v/>
      </c>
      <c r="O347" s="142"/>
      <c r="P347" s="115"/>
      <c r="R347" s="513" t="str">
        <f>IF(H347="","",SUMIFS(C_FuelStreams!BK:BK,C_FuelStreams!BI:BI,H347))</f>
        <v/>
      </c>
      <c r="S347" s="513" t="str">
        <f>IF(H347="","",SUMIFS(C_FuelStreams!CP:CP,C_FuelStreams!BI:BI,H347))</f>
        <v/>
      </c>
      <c r="T347" s="513" t="str">
        <f t="shared" si="6"/>
        <v/>
      </c>
      <c r="X347" s="514" t="b">
        <f t="shared" si="7"/>
        <v>0</v>
      </c>
    </row>
    <row r="348" spans="1:24" ht="12.75" hidden="1" customHeight="1" x14ac:dyDescent="0.25">
      <c r="A348" s="113" t="s">
        <v>0</v>
      </c>
      <c r="B348" s="132"/>
      <c r="D348" s="496">
        <v>62</v>
      </c>
      <c r="E348" s="27"/>
      <c r="F348" s="1308" t="str">
        <f t="shared" si="5"/>
        <v/>
      </c>
      <c r="G348" s="1308"/>
      <c r="H348" s="1306"/>
      <c r="I348" s="1306"/>
      <c r="J348" s="510" t="str">
        <f>IF(H348="","",INDEX(C_FuelStreams!BM:BM,MATCH(H348,C_FuelStreams!BI:BI,0)))</f>
        <v/>
      </c>
      <c r="K348" s="511" t="str">
        <f>IF(H348="","",SUMIFS(C_FuelStreams!BL:BL,C_FuelStreams!BI:BI,H348))</f>
        <v/>
      </c>
      <c r="L348" s="28"/>
      <c r="M348" s="28"/>
      <c r="N348" s="512" t="str">
        <f t="shared" si="2"/>
        <v/>
      </c>
      <c r="O348" s="142"/>
      <c r="P348" s="115"/>
      <c r="R348" s="513" t="str">
        <f>IF(H348="","",SUMIFS(C_FuelStreams!BK:BK,C_FuelStreams!BI:BI,H348))</f>
        <v/>
      </c>
      <c r="S348" s="513" t="str">
        <f>IF(H348="","",SUMIFS(C_FuelStreams!CP:CP,C_FuelStreams!BI:BI,H348))</f>
        <v/>
      </c>
      <c r="T348" s="513" t="str">
        <f t="shared" si="6"/>
        <v/>
      </c>
      <c r="X348" s="514" t="b">
        <f t="shared" si="7"/>
        <v>0</v>
      </c>
    </row>
    <row r="349" spans="1:24" ht="12.75" hidden="1" customHeight="1" x14ac:dyDescent="0.25">
      <c r="A349" s="113" t="s">
        <v>0</v>
      </c>
      <c r="B349" s="132"/>
      <c r="D349" s="496">
        <v>63</v>
      </c>
      <c r="E349" s="27"/>
      <c r="F349" s="1308" t="str">
        <f t="shared" si="5"/>
        <v/>
      </c>
      <c r="G349" s="1308"/>
      <c r="H349" s="1306"/>
      <c r="I349" s="1306"/>
      <c r="J349" s="510" t="str">
        <f>IF(H349="","",INDEX(C_FuelStreams!BM:BM,MATCH(H349,C_FuelStreams!BI:BI,0)))</f>
        <v/>
      </c>
      <c r="K349" s="511" t="str">
        <f>IF(H349="","",SUMIFS(C_FuelStreams!BL:BL,C_FuelStreams!BI:BI,H349))</f>
        <v/>
      </c>
      <c r="L349" s="28"/>
      <c r="M349" s="28"/>
      <c r="N349" s="512" t="str">
        <f t="shared" si="2"/>
        <v/>
      </c>
      <c r="O349" s="142"/>
      <c r="P349" s="115"/>
      <c r="R349" s="513" t="str">
        <f>IF(H349="","",SUMIFS(C_FuelStreams!BK:BK,C_FuelStreams!BI:BI,H349))</f>
        <v/>
      </c>
      <c r="S349" s="513" t="str">
        <f>IF(H349="","",SUMIFS(C_FuelStreams!CP:CP,C_FuelStreams!BI:BI,H349))</f>
        <v/>
      </c>
      <c r="T349" s="513" t="str">
        <f t="shared" si="6"/>
        <v/>
      </c>
      <c r="X349" s="514" t="b">
        <f t="shared" si="7"/>
        <v>0</v>
      </c>
    </row>
    <row r="350" spans="1:24" ht="12.75" hidden="1" customHeight="1" x14ac:dyDescent="0.25">
      <c r="A350" s="113" t="s">
        <v>0</v>
      </c>
      <c r="B350" s="132"/>
      <c r="D350" s="496">
        <v>64</v>
      </c>
      <c r="E350" s="27"/>
      <c r="F350" s="1308" t="str">
        <f t="shared" si="5"/>
        <v/>
      </c>
      <c r="G350" s="1308"/>
      <c r="H350" s="1306"/>
      <c r="I350" s="1306"/>
      <c r="J350" s="510" t="str">
        <f>IF(H350="","",INDEX(C_FuelStreams!BM:BM,MATCH(H350,C_FuelStreams!BI:BI,0)))</f>
        <v/>
      </c>
      <c r="K350" s="511" t="str">
        <f>IF(H350="","",SUMIFS(C_FuelStreams!BL:BL,C_FuelStreams!BI:BI,H350))</f>
        <v/>
      </c>
      <c r="L350" s="28"/>
      <c r="M350" s="28"/>
      <c r="N350" s="512" t="str">
        <f t="shared" si="2"/>
        <v/>
      </c>
      <c r="O350" s="142"/>
      <c r="P350" s="115"/>
      <c r="R350" s="513" t="str">
        <f>IF(H350="","",SUMIFS(C_FuelStreams!BK:BK,C_FuelStreams!BI:BI,H350))</f>
        <v/>
      </c>
      <c r="S350" s="513" t="str">
        <f>IF(H350="","",SUMIFS(C_FuelStreams!CP:CP,C_FuelStreams!BI:BI,H350))</f>
        <v/>
      </c>
      <c r="T350" s="513" t="str">
        <f t="shared" si="6"/>
        <v/>
      </c>
      <c r="X350" s="514" t="b">
        <f t="shared" si="7"/>
        <v>0</v>
      </c>
    </row>
    <row r="351" spans="1:24" ht="12.75" hidden="1" customHeight="1" x14ac:dyDescent="0.25">
      <c r="A351" s="113" t="s">
        <v>0</v>
      </c>
      <c r="B351" s="132"/>
      <c r="D351" s="496">
        <v>65</v>
      </c>
      <c r="E351" s="27"/>
      <c r="F351" s="1308" t="str">
        <f t="shared" si="5"/>
        <v/>
      </c>
      <c r="G351" s="1308"/>
      <c r="H351" s="1306"/>
      <c r="I351" s="1306"/>
      <c r="J351" s="510" t="str">
        <f>IF(H351="","",INDEX(C_FuelStreams!BM:BM,MATCH(H351,C_FuelStreams!BI:BI,0)))</f>
        <v/>
      </c>
      <c r="K351" s="511" t="str">
        <f>IF(H351="","",SUMIFS(C_FuelStreams!BL:BL,C_FuelStreams!BI:BI,H351))</f>
        <v/>
      </c>
      <c r="L351" s="28"/>
      <c r="M351" s="28"/>
      <c r="N351" s="512" t="str">
        <f t="shared" ref="N351:N414" si="8">IF(COUNT(L351:M351)=0,"",IF(OR(SUMIFS($L$287:$L$536,$H$287:$H$536,H351)&gt;K351,SUMIFS($M$287:$M$536,$H$287:$H$536,H351)&gt;K351),EUconst_ERR_Inconsistent,""))</f>
        <v/>
      </c>
      <c r="O351" s="142"/>
      <c r="P351" s="115"/>
      <c r="R351" s="513" t="str">
        <f>IF(H351="","",SUMIFS(C_FuelStreams!BK:BK,C_FuelStreams!BI:BI,H351))</f>
        <v/>
      </c>
      <c r="S351" s="513" t="str">
        <f>IF(H351="","",SUMIFS(C_FuelStreams!CP:CP,C_FuelStreams!BI:BI,H351))</f>
        <v/>
      </c>
      <c r="T351" s="513" t="str">
        <f t="shared" si="6"/>
        <v/>
      </c>
      <c r="X351" s="514" t="b">
        <f t="shared" si="7"/>
        <v>0</v>
      </c>
    </row>
    <row r="352" spans="1:24" ht="12.75" hidden="1" customHeight="1" x14ac:dyDescent="0.25">
      <c r="A352" s="113" t="s">
        <v>0</v>
      </c>
      <c r="B352" s="132"/>
      <c r="D352" s="496">
        <v>66</v>
      </c>
      <c r="E352" s="27"/>
      <c r="F352" s="1308" t="str">
        <f t="shared" si="5"/>
        <v/>
      </c>
      <c r="G352" s="1308"/>
      <c r="H352" s="1306"/>
      <c r="I352" s="1306"/>
      <c r="J352" s="510" t="str">
        <f>IF(H352="","",INDEX(C_FuelStreams!BM:BM,MATCH(H352,C_FuelStreams!BI:BI,0)))</f>
        <v/>
      </c>
      <c r="K352" s="511" t="str">
        <f>IF(H352="","",SUMIFS(C_FuelStreams!BL:BL,C_FuelStreams!BI:BI,H352))</f>
        <v/>
      </c>
      <c r="L352" s="28"/>
      <c r="M352" s="28"/>
      <c r="N352" s="512" t="str">
        <f t="shared" si="8"/>
        <v/>
      </c>
      <c r="O352" s="142"/>
      <c r="P352" s="115"/>
      <c r="R352" s="513" t="str">
        <f>IF(H352="","",SUMIFS(C_FuelStreams!BK:BK,C_FuelStreams!BI:BI,H352))</f>
        <v/>
      </c>
      <c r="S352" s="513" t="str">
        <f>IF(H352="","",SUMIFS(C_FuelStreams!CP:CP,C_FuelStreams!BI:BI,H352))</f>
        <v/>
      </c>
      <c r="T352" s="513" t="str">
        <f t="shared" si="6"/>
        <v/>
      </c>
      <c r="X352" s="514" t="b">
        <f t="shared" si="7"/>
        <v>0</v>
      </c>
    </row>
    <row r="353" spans="1:24" ht="12.75" hidden="1" customHeight="1" x14ac:dyDescent="0.25">
      <c r="A353" s="113" t="s">
        <v>0</v>
      </c>
      <c r="B353" s="132"/>
      <c r="D353" s="496">
        <v>67</v>
      </c>
      <c r="E353" s="27"/>
      <c r="F353" s="1308" t="str">
        <f t="shared" si="5"/>
        <v/>
      </c>
      <c r="G353" s="1308"/>
      <c r="H353" s="1306"/>
      <c r="I353" s="1306"/>
      <c r="J353" s="510" t="str">
        <f>IF(H353="","",INDEX(C_FuelStreams!BM:BM,MATCH(H353,C_FuelStreams!BI:BI,0)))</f>
        <v/>
      </c>
      <c r="K353" s="511" t="str">
        <f>IF(H353="","",SUMIFS(C_FuelStreams!BL:BL,C_FuelStreams!BI:BI,H353))</f>
        <v/>
      </c>
      <c r="L353" s="28"/>
      <c r="M353" s="28"/>
      <c r="N353" s="512" t="str">
        <f t="shared" si="8"/>
        <v/>
      </c>
      <c r="O353" s="142"/>
      <c r="P353" s="115"/>
      <c r="R353" s="513" t="str">
        <f>IF(H353="","",SUMIFS(C_FuelStreams!BK:BK,C_FuelStreams!BI:BI,H353))</f>
        <v/>
      </c>
      <c r="S353" s="513" t="str">
        <f>IF(H353="","",SUMIFS(C_FuelStreams!CP:CP,C_FuelStreams!BI:BI,H353))</f>
        <v/>
      </c>
      <c r="T353" s="513" t="str">
        <f t="shared" si="6"/>
        <v/>
      </c>
      <c r="X353" s="514" t="b">
        <f t="shared" si="7"/>
        <v>0</v>
      </c>
    </row>
    <row r="354" spans="1:24" ht="12.75" hidden="1" customHeight="1" x14ac:dyDescent="0.25">
      <c r="A354" s="113" t="s">
        <v>0</v>
      </c>
      <c r="B354" s="132"/>
      <c r="D354" s="496">
        <v>68</v>
      </c>
      <c r="E354" s="27"/>
      <c r="F354" s="1308" t="str">
        <f t="shared" si="5"/>
        <v/>
      </c>
      <c r="G354" s="1308"/>
      <c r="H354" s="1306"/>
      <c r="I354" s="1306"/>
      <c r="J354" s="510" t="str">
        <f>IF(H354="","",INDEX(C_FuelStreams!BM:BM,MATCH(H354,C_FuelStreams!BI:BI,0)))</f>
        <v/>
      </c>
      <c r="K354" s="511" t="str">
        <f>IF(H354="","",SUMIFS(C_FuelStreams!BL:BL,C_FuelStreams!BI:BI,H354))</f>
        <v/>
      </c>
      <c r="L354" s="28"/>
      <c r="M354" s="28"/>
      <c r="N354" s="512" t="str">
        <f t="shared" si="8"/>
        <v/>
      </c>
      <c r="O354" s="142"/>
      <c r="P354" s="115"/>
      <c r="R354" s="513" t="str">
        <f>IF(H354="","",SUMIFS(C_FuelStreams!BK:BK,C_FuelStreams!BI:BI,H354))</f>
        <v/>
      </c>
      <c r="S354" s="513" t="str">
        <f>IF(H354="","",SUMIFS(C_FuelStreams!CP:CP,C_FuelStreams!BI:BI,H354))</f>
        <v/>
      </c>
      <c r="T354" s="513" t="str">
        <f t="shared" si="6"/>
        <v/>
      </c>
      <c r="X354" s="514" t="b">
        <f t="shared" si="7"/>
        <v>0</v>
      </c>
    </row>
    <row r="355" spans="1:24" ht="12.75" hidden="1" customHeight="1" x14ac:dyDescent="0.25">
      <c r="A355" s="113" t="s">
        <v>0</v>
      </c>
      <c r="B355" s="132"/>
      <c r="D355" s="496">
        <v>69</v>
      </c>
      <c r="E355" s="27"/>
      <c r="F355" s="1308" t="str">
        <f t="shared" si="5"/>
        <v/>
      </c>
      <c r="G355" s="1308"/>
      <c r="H355" s="1306"/>
      <c r="I355" s="1306"/>
      <c r="J355" s="510" t="str">
        <f>IF(H355="","",INDEX(C_FuelStreams!BM:BM,MATCH(H355,C_FuelStreams!BI:BI,0)))</f>
        <v/>
      </c>
      <c r="K355" s="511" t="str">
        <f>IF(H355="","",SUMIFS(C_FuelStreams!BL:BL,C_FuelStreams!BI:BI,H355))</f>
        <v/>
      </c>
      <c r="L355" s="28"/>
      <c r="M355" s="28"/>
      <c r="N355" s="512" t="str">
        <f t="shared" si="8"/>
        <v/>
      </c>
      <c r="O355" s="142"/>
      <c r="P355" s="115"/>
      <c r="R355" s="513" t="str">
        <f>IF(H355="","",SUMIFS(C_FuelStreams!BK:BK,C_FuelStreams!BI:BI,H355))</f>
        <v/>
      </c>
      <c r="S355" s="513" t="str">
        <f>IF(H355="","",SUMIFS(C_FuelStreams!CP:CP,C_FuelStreams!BI:BI,H355))</f>
        <v/>
      </c>
      <c r="T355" s="513" t="str">
        <f t="shared" si="6"/>
        <v/>
      </c>
      <c r="X355" s="514" t="b">
        <f t="shared" si="7"/>
        <v>0</v>
      </c>
    </row>
    <row r="356" spans="1:24" ht="12.75" hidden="1" customHeight="1" x14ac:dyDescent="0.25">
      <c r="A356" s="113" t="s">
        <v>0</v>
      </c>
      <c r="B356" s="132"/>
      <c r="D356" s="496">
        <v>70</v>
      </c>
      <c r="E356" s="27"/>
      <c r="F356" s="1308" t="str">
        <f t="shared" si="5"/>
        <v/>
      </c>
      <c r="G356" s="1308"/>
      <c r="H356" s="1306"/>
      <c r="I356" s="1306"/>
      <c r="J356" s="510" t="str">
        <f>IF(H356="","",INDEX(C_FuelStreams!BM:BM,MATCH(H356,C_FuelStreams!BI:BI,0)))</f>
        <v/>
      </c>
      <c r="K356" s="511" t="str">
        <f>IF(H356="","",SUMIFS(C_FuelStreams!BL:BL,C_FuelStreams!BI:BI,H356))</f>
        <v/>
      </c>
      <c r="L356" s="28"/>
      <c r="M356" s="28"/>
      <c r="N356" s="512" t="str">
        <f t="shared" si="8"/>
        <v/>
      </c>
      <c r="O356" s="142"/>
      <c r="P356" s="115"/>
      <c r="R356" s="513" t="str">
        <f>IF(H356="","",SUMIFS(C_FuelStreams!BK:BK,C_FuelStreams!BI:BI,H356))</f>
        <v/>
      </c>
      <c r="S356" s="513" t="str">
        <f>IF(H356="","",SUMIFS(C_FuelStreams!CP:CP,C_FuelStreams!BI:BI,H356))</f>
        <v/>
      </c>
      <c r="T356" s="513" t="str">
        <f t="shared" si="6"/>
        <v/>
      </c>
      <c r="X356" s="514" t="b">
        <f t="shared" si="7"/>
        <v>0</v>
      </c>
    </row>
    <row r="357" spans="1:24" ht="12.75" hidden="1" customHeight="1" x14ac:dyDescent="0.25">
      <c r="A357" s="113" t="s">
        <v>0</v>
      </c>
      <c r="B357" s="132"/>
      <c r="D357" s="496">
        <v>71</v>
      </c>
      <c r="E357" s="27"/>
      <c r="F357" s="1308" t="str">
        <f t="shared" si="5"/>
        <v/>
      </c>
      <c r="G357" s="1308"/>
      <c r="H357" s="1306"/>
      <c r="I357" s="1306"/>
      <c r="J357" s="510" t="str">
        <f>IF(H357="","",INDEX(C_FuelStreams!BM:BM,MATCH(H357,C_FuelStreams!BI:BI,0)))</f>
        <v/>
      </c>
      <c r="K357" s="511" t="str">
        <f>IF(H357="","",SUMIFS(C_FuelStreams!BL:BL,C_FuelStreams!BI:BI,H357))</f>
        <v/>
      </c>
      <c r="L357" s="28"/>
      <c r="M357" s="28"/>
      <c r="N357" s="512" t="str">
        <f t="shared" si="8"/>
        <v/>
      </c>
      <c r="O357" s="142"/>
      <c r="P357" s="115"/>
      <c r="R357" s="513" t="str">
        <f>IF(H357="","",SUMIFS(C_FuelStreams!BK:BK,C_FuelStreams!BI:BI,H357))</f>
        <v/>
      </c>
      <c r="S357" s="513" t="str">
        <f>IF(H357="","",SUMIFS(C_FuelStreams!CP:CP,C_FuelStreams!BI:BI,H357))</f>
        <v/>
      </c>
      <c r="T357" s="513" t="str">
        <f t="shared" si="6"/>
        <v/>
      </c>
      <c r="X357" s="514" t="b">
        <f t="shared" si="7"/>
        <v>0</v>
      </c>
    </row>
    <row r="358" spans="1:24" ht="12.75" hidden="1" customHeight="1" x14ac:dyDescent="0.25">
      <c r="A358" s="113" t="s">
        <v>0</v>
      </c>
      <c r="B358" s="132"/>
      <c r="D358" s="496">
        <v>72</v>
      </c>
      <c r="E358" s="27"/>
      <c r="F358" s="1308" t="str">
        <f t="shared" si="5"/>
        <v/>
      </c>
      <c r="G358" s="1308"/>
      <c r="H358" s="1306"/>
      <c r="I358" s="1306"/>
      <c r="J358" s="510" t="str">
        <f>IF(H358="","",INDEX(C_FuelStreams!BM:BM,MATCH(H358,C_FuelStreams!BI:BI,0)))</f>
        <v/>
      </c>
      <c r="K358" s="511" t="str">
        <f>IF(H358="","",SUMIFS(C_FuelStreams!BL:BL,C_FuelStreams!BI:BI,H358))</f>
        <v/>
      </c>
      <c r="L358" s="28"/>
      <c r="M358" s="28"/>
      <c r="N358" s="512" t="str">
        <f t="shared" si="8"/>
        <v/>
      </c>
      <c r="O358" s="142"/>
      <c r="P358" s="115"/>
      <c r="R358" s="513" t="str">
        <f>IF(H358="","",SUMIFS(C_FuelStreams!BK:BK,C_FuelStreams!BI:BI,H358))</f>
        <v/>
      </c>
      <c r="S358" s="513" t="str">
        <f>IF(H358="","",SUMIFS(C_FuelStreams!CP:CP,C_FuelStreams!BI:BI,H358))</f>
        <v/>
      </c>
      <c r="T358" s="513" t="str">
        <f t="shared" si="6"/>
        <v/>
      </c>
      <c r="X358" s="514" t="b">
        <f t="shared" si="7"/>
        <v>0</v>
      </c>
    </row>
    <row r="359" spans="1:24" ht="12.75" hidden="1" customHeight="1" x14ac:dyDescent="0.25">
      <c r="A359" s="113" t="s">
        <v>0</v>
      </c>
      <c r="B359" s="132"/>
      <c r="D359" s="496">
        <v>73</v>
      </c>
      <c r="E359" s="27"/>
      <c r="F359" s="1308" t="str">
        <f t="shared" si="5"/>
        <v/>
      </c>
      <c r="G359" s="1308"/>
      <c r="H359" s="1306"/>
      <c r="I359" s="1306"/>
      <c r="J359" s="510" t="str">
        <f>IF(H359="","",INDEX(C_FuelStreams!BM:BM,MATCH(H359,C_FuelStreams!BI:BI,0)))</f>
        <v/>
      </c>
      <c r="K359" s="511" t="str">
        <f>IF(H359="","",SUMIFS(C_FuelStreams!BL:BL,C_FuelStreams!BI:BI,H359))</f>
        <v/>
      </c>
      <c r="L359" s="28"/>
      <c r="M359" s="28"/>
      <c r="N359" s="512" t="str">
        <f t="shared" si="8"/>
        <v/>
      </c>
      <c r="O359" s="142"/>
      <c r="P359" s="115"/>
      <c r="R359" s="513" t="str">
        <f>IF(H359="","",SUMIFS(C_FuelStreams!BK:BK,C_FuelStreams!BI:BI,H359))</f>
        <v/>
      </c>
      <c r="S359" s="513" t="str">
        <f>IF(H359="","",SUMIFS(C_FuelStreams!CP:CP,C_FuelStreams!BI:BI,H359))</f>
        <v/>
      </c>
      <c r="T359" s="513" t="str">
        <f t="shared" si="6"/>
        <v/>
      </c>
      <c r="X359" s="514" t="b">
        <f t="shared" si="7"/>
        <v>0</v>
      </c>
    </row>
    <row r="360" spans="1:24" ht="12.75" hidden="1" customHeight="1" x14ac:dyDescent="0.25">
      <c r="A360" s="113" t="s">
        <v>0</v>
      </c>
      <c r="B360" s="132"/>
      <c r="D360" s="496">
        <v>74</v>
      </c>
      <c r="E360" s="27"/>
      <c r="F360" s="1308" t="str">
        <f t="shared" si="5"/>
        <v/>
      </c>
      <c r="G360" s="1308"/>
      <c r="H360" s="1306"/>
      <c r="I360" s="1306"/>
      <c r="J360" s="510" t="str">
        <f>IF(H360="","",INDEX(C_FuelStreams!BM:BM,MATCH(H360,C_FuelStreams!BI:BI,0)))</f>
        <v/>
      </c>
      <c r="K360" s="511" t="str">
        <f>IF(H360="","",SUMIFS(C_FuelStreams!BL:BL,C_FuelStreams!BI:BI,H360))</f>
        <v/>
      </c>
      <c r="L360" s="28"/>
      <c r="M360" s="28"/>
      <c r="N360" s="512" t="str">
        <f t="shared" si="8"/>
        <v/>
      </c>
      <c r="O360" s="142"/>
      <c r="P360" s="115"/>
      <c r="R360" s="513" t="str">
        <f>IF(H360="","",SUMIFS(C_FuelStreams!BK:BK,C_FuelStreams!BI:BI,H360))</f>
        <v/>
      </c>
      <c r="S360" s="513" t="str">
        <f>IF(H360="","",SUMIFS(C_FuelStreams!CP:CP,C_FuelStreams!BI:BI,H360))</f>
        <v/>
      </c>
      <c r="T360" s="513" t="str">
        <f t="shared" si="6"/>
        <v/>
      </c>
      <c r="X360" s="514" t="b">
        <f t="shared" si="7"/>
        <v>0</v>
      </c>
    </row>
    <row r="361" spans="1:24" ht="12.75" hidden="1" customHeight="1" x14ac:dyDescent="0.25">
      <c r="A361" s="113" t="s">
        <v>0</v>
      </c>
      <c r="B361" s="132"/>
      <c r="D361" s="496">
        <v>75</v>
      </c>
      <c r="E361" s="27"/>
      <c r="F361" s="1308" t="str">
        <f t="shared" si="5"/>
        <v/>
      </c>
      <c r="G361" s="1308"/>
      <c r="H361" s="1306"/>
      <c r="I361" s="1306"/>
      <c r="J361" s="510" t="str">
        <f>IF(H361="","",INDEX(C_FuelStreams!BM:BM,MATCH(H361,C_FuelStreams!BI:BI,0)))</f>
        <v/>
      </c>
      <c r="K361" s="511" t="str">
        <f>IF(H361="","",SUMIFS(C_FuelStreams!BL:BL,C_FuelStreams!BI:BI,H361))</f>
        <v/>
      </c>
      <c r="L361" s="28"/>
      <c r="M361" s="28"/>
      <c r="N361" s="512" t="str">
        <f t="shared" si="8"/>
        <v/>
      </c>
      <c r="O361" s="142"/>
      <c r="P361" s="115"/>
      <c r="R361" s="513" t="str">
        <f>IF(H361="","",SUMIFS(C_FuelStreams!BK:BK,C_FuelStreams!BI:BI,H361))</f>
        <v/>
      </c>
      <c r="S361" s="513" t="str">
        <f>IF(H361="","",SUMIFS(C_FuelStreams!CP:CP,C_FuelStreams!BI:BI,H361))</f>
        <v/>
      </c>
      <c r="T361" s="513" t="str">
        <f t="shared" si="6"/>
        <v/>
      </c>
      <c r="X361" s="514" t="b">
        <f t="shared" si="7"/>
        <v>0</v>
      </c>
    </row>
    <row r="362" spans="1:24" ht="12.75" hidden="1" customHeight="1" x14ac:dyDescent="0.25">
      <c r="A362" s="113" t="s">
        <v>0</v>
      </c>
      <c r="B362" s="132"/>
      <c r="D362" s="496">
        <v>76</v>
      </c>
      <c r="E362" s="27"/>
      <c r="F362" s="1308" t="str">
        <f t="shared" si="5"/>
        <v/>
      </c>
      <c r="G362" s="1308"/>
      <c r="H362" s="1306"/>
      <c r="I362" s="1306"/>
      <c r="J362" s="510" t="str">
        <f>IF(H362="","",INDEX(C_FuelStreams!BM:BM,MATCH(H362,C_FuelStreams!BI:BI,0)))</f>
        <v/>
      </c>
      <c r="K362" s="511" t="str">
        <f>IF(H362="","",SUMIFS(C_FuelStreams!BL:BL,C_FuelStreams!BI:BI,H362))</f>
        <v/>
      </c>
      <c r="L362" s="28"/>
      <c r="M362" s="28"/>
      <c r="N362" s="512" t="str">
        <f t="shared" si="8"/>
        <v/>
      </c>
      <c r="O362" s="142"/>
      <c r="P362" s="115"/>
      <c r="R362" s="513" t="str">
        <f>IF(H362="","",SUMIFS(C_FuelStreams!BK:BK,C_FuelStreams!BI:BI,H362))</f>
        <v/>
      </c>
      <c r="S362" s="513" t="str">
        <f>IF(H362="","",SUMIFS(C_FuelStreams!CP:CP,C_FuelStreams!BI:BI,H362))</f>
        <v/>
      </c>
      <c r="T362" s="513" t="str">
        <f t="shared" si="6"/>
        <v/>
      </c>
      <c r="X362" s="514" t="b">
        <f t="shared" si="7"/>
        <v>0</v>
      </c>
    </row>
    <row r="363" spans="1:24" ht="12.75" hidden="1" customHeight="1" x14ac:dyDescent="0.25">
      <c r="A363" s="113" t="s">
        <v>0</v>
      </c>
      <c r="B363" s="132"/>
      <c r="D363" s="496">
        <v>77</v>
      </c>
      <c r="E363" s="27"/>
      <c r="F363" s="1308" t="str">
        <f t="shared" si="5"/>
        <v/>
      </c>
      <c r="G363" s="1308"/>
      <c r="H363" s="1306"/>
      <c r="I363" s="1306"/>
      <c r="J363" s="510" t="str">
        <f>IF(H363="","",INDEX(C_FuelStreams!BM:BM,MATCH(H363,C_FuelStreams!BI:BI,0)))</f>
        <v/>
      </c>
      <c r="K363" s="511" t="str">
        <f>IF(H363="","",SUMIFS(C_FuelStreams!BL:BL,C_FuelStreams!BI:BI,H363))</f>
        <v/>
      </c>
      <c r="L363" s="28"/>
      <c r="M363" s="28"/>
      <c r="N363" s="512" t="str">
        <f t="shared" si="8"/>
        <v/>
      </c>
      <c r="O363" s="142"/>
      <c r="P363" s="115"/>
      <c r="R363" s="513" t="str">
        <f>IF(H363="","",SUMIFS(C_FuelStreams!BK:BK,C_FuelStreams!BI:BI,H363))</f>
        <v/>
      </c>
      <c r="S363" s="513" t="str">
        <f>IF(H363="","",SUMIFS(C_FuelStreams!CP:CP,C_FuelStreams!BI:BI,H363))</f>
        <v/>
      </c>
      <c r="T363" s="513" t="str">
        <f t="shared" si="6"/>
        <v/>
      </c>
      <c r="X363" s="514" t="b">
        <f t="shared" si="7"/>
        <v>0</v>
      </c>
    </row>
    <row r="364" spans="1:24" ht="12.75" hidden="1" customHeight="1" x14ac:dyDescent="0.25">
      <c r="A364" s="113" t="s">
        <v>0</v>
      </c>
      <c r="B364" s="132"/>
      <c r="D364" s="496">
        <v>78</v>
      </c>
      <c r="E364" s="27"/>
      <c r="F364" s="1308" t="str">
        <f t="shared" si="5"/>
        <v/>
      </c>
      <c r="G364" s="1308"/>
      <c r="H364" s="1306"/>
      <c r="I364" s="1306"/>
      <c r="J364" s="510" t="str">
        <f>IF(H364="","",INDEX(C_FuelStreams!BM:BM,MATCH(H364,C_FuelStreams!BI:BI,0)))</f>
        <v/>
      </c>
      <c r="K364" s="511" t="str">
        <f>IF(H364="","",SUMIFS(C_FuelStreams!BL:BL,C_FuelStreams!BI:BI,H364))</f>
        <v/>
      </c>
      <c r="L364" s="28"/>
      <c r="M364" s="28"/>
      <c r="N364" s="512" t="str">
        <f t="shared" si="8"/>
        <v/>
      </c>
      <c r="O364" s="142"/>
      <c r="P364" s="115"/>
      <c r="R364" s="513" t="str">
        <f>IF(H364="","",SUMIFS(C_FuelStreams!BK:BK,C_FuelStreams!BI:BI,H364))</f>
        <v/>
      </c>
      <c r="S364" s="513" t="str">
        <f>IF(H364="","",SUMIFS(C_FuelStreams!CP:CP,C_FuelStreams!BI:BI,H364))</f>
        <v/>
      </c>
      <c r="T364" s="513" t="str">
        <f t="shared" si="6"/>
        <v/>
      </c>
      <c r="X364" s="514" t="b">
        <f t="shared" si="7"/>
        <v>0</v>
      </c>
    </row>
    <row r="365" spans="1:24" ht="12.75" hidden="1" customHeight="1" x14ac:dyDescent="0.25">
      <c r="A365" s="113" t="s">
        <v>0</v>
      </c>
      <c r="B365" s="132"/>
      <c r="D365" s="496">
        <v>79</v>
      </c>
      <c r="E365" s="27"/>
      <c r="F365" s="1308" t="str">
        <f t="shared" si="5"/>
        <v/>
      </c>
      <c r="G365" s="1308"/>
      <c r="H365" s="1306"/>
      <c r="I365" s="1306"/>
      <c r="J365" s="510" t="str">
        <f>IF(H365="","",INDEX(C_FuelStreams!BM:BM,MATCH(H365,C_FuelStreams!BI:BI,0)))</f>
        <v/>
      </c>
      <c r="K365" s="511" t="str">
        <f>IF(H365="","",SUMIFS(C_FuelStreams!BL:BL,C_FuelStreams!BI:BI,H365))</f>
        <v/>
      </c>
      <c r="L365" s="28"/>
      <c r="M365" s="28"/>
      <c r="N365" s="512" t="str">
        <f t="shared" si="8"/>
        <v/>
      </c>
      <c r="O365" s="142"/>
      <c r="P365" s="115"/>
      <c r="R365" s="513" t="str">
        <f>IF(H365="","",SUMIFS(C_FuelStreams!BK:BK,C_FuelStreams!BI:BI,H365))</f>
        <v/>
      </c>
      <c r="S365" s="513" t="str">
        <f>IF(H365="","",SUMIFS(C_FuelStreams!CP:CP,C_FuelStreams!BI:BI,H365))</f>
        <v/>
      </c>
      <c r="T365" s="513" t="str">
        <f t="shared" si="6"/>
        <v/>
      </c>
      <c r="X365" s="514" t="b">
        <f t="shared" si="7"/>
        <v>0</v>
      </c>
    </row>
    <row r="366" spans="1:24" ht="12.75" hidden="1" customHeight="1" x14ac:dyDescent="0.25">
      <c r="A366" s="113" t="s">
        <v>0</v>
      </c>
      <c r="B366" s="132"/>
      <c r="D366" s="496">
        <v>80</v>
      </c>
      <c r="E366" s="27"/>
      <c r="F366" s="1308" t="str">
        <f t="shared" si="5"/>
        <v/>
      </c>
      <c r="G366" s="1308"/>
      <c r="H366" s="1306"/>
      <c r="I366" s="1306"/>
      <c r="J366" s="510" t="str">
        <f>IF(H366="","",INDEX(C_FuelStreams!BM:BM,MATCH(H366,C_FuelStreams!BI:BI,0)))</f>
        <v/>
      </c>
      <c r="K366" s="511" t="str">
        <f>IF(H366="","",SUMIFS(C_FuelStreams!BL:BL,C_FuelStreams!BI:BI,H366))</f>
        <v/>
      </c>
      <c r="L366" s="28"/>
      <c r="M366" s="28"/>
      <c r="N366" s="512" t="str">
        <f t="shared" si="8"/>
        <v/>
      </c>
      <c r="O366" s="142"/>
      <c r="P366" s="115"/>
      <c r="R366" s="513" t="str">
        <f>IF(H366="","",SUMIFS(C_FuelStreams!BK:BK,C_FuelStreams!BI:BI,H366))</f>
        <v/>
      </c>
      <c r="S366" s="513" t="str">
        <f>IF(H366="","",SUMIFS(C_FuelStreams!CP:CP,C_FuelStreams!BI:BI,H366))</f>
        <v/>
      </c>
      <c r="T366" s="513" t="str">
        <f t="shared" si="6"/>
        <v/>
      </c>
      <c r="X366" s="514" t="b">
        <f t="shared" si="7"/>
        <v>0</v>
      </c>
    </row>
    <row r="367" spans="1:24" ht="12.75" hidden="1" customHeight="1" x14ac:dyDescent="0.25">
      <c r="A367" s="113" t="s">
        <v>0</v>
      </c>
      <c r="B367" s="132"/>
      <c r="D367" s="496">
        <v>81</v>
      </c>
      <c r="E367" s="27"/>
      <c r="F367" s="1308" t="str">
        <f t="shared" si="5"/>
        <v/>
      </c>
      <c r="G367" s="1308"/>
      <c r="H367" s="1306"/>
      <c r="I367" s="1306"/>
      <c r="J367" s="510" t="str">
        <f>IF(H367="","",INDEX(C_FuelStreams!BM:BM,MATCH(H367,C_FuelStreams!BI:BI,0)))</f>
        <v/>
      </c>
      <c r="K367" s="511" t="str">
        <f>IF(H367="","",SUMIFS(C_FuelStreams!BL:BL,C_FuelStreams!BI:BI,H367))</f>
        <v/>
      </c>
      <c r="L367" s="28"/>
      <c r="M367" s="28"/>
      <c r="N367" s="512" t="str">
        <f t="shared" si="8"/>
        <v/>
      </c>
      <c r="O367" s="142"/>
      <c r="P367" s="115"/>
      <c r="R367" s="513" t="str">
        <f>IF(H367="","",SUMIFS(C_FuelStreams!BK:BK,C_FuelStreams!BI:BI,H367))</f>
        <v/>
      </c>
      <c r="S367" s="513" t="str">
        <f>IF(H367="","",SUMIFS(C_FuelStreams!CP:CP,C_FuelStreams!BI:BI,H367))</f>
        <v/>
      </c>
      <c r="T367" s="513" t="str">
        <f t="shared" si="6"/>
        <v/>
      </c>
      <c r="X367" s="514" t="b">
        <f t="shared" si="7"/>
        <v>0</v>
      </c>
    </row>
    <row r="368" spans="1:24" ht="12.75" hidden="1" customHeight="1" x14ac:dyDescent="0.25">
      <c r="A368" s="113" t="s">
        <v>0</v>
      </c>
      <c r="B368" s="132"/>
      <c r="D368" s="496">
        <v>82</v>
      </c>
      <c r="E368" s="27"/>
      <c r="F368" s="1308" t="str">
        <f t="shared" si="5"/>
        <v/>
      </c>
      <c r="G368" s="1308"/>
      <c r="H368" s="1306"/>
      <c r="I368" s="1306"/>
      <c r="J368" s="510" t="str">
        <f>IF(H368="","",INDEX(C_FuelStreams!BM:BM,MATCH(H368,C_FuelStreams!BI:BI,0)))</f>
        <v/>
      </c>
      <c r="K368" s="511" t="str">
        <f>IF(H368="","",SUMIFS(C_FuelStreams!BL:BL,C_FuelStreams!BI:BI,H368))</f>
        <v/>
      </c>
      <c r="L368" s="28"/>
      <c r="M368" s="28"/>
      <c r="N368" s="512" t="str">
        <f t="shared" si="8"/>
        <v/>
      </c>
      <c r="O368" s="142"/>
      <c r="P368" s="115"/>
      <c r="R368" s="513" t="str">
        <f>IF(H368="","",SUMIFS(C_FuelStreams!BK:BK,C_FuelStreams!BI:BI,H368))</f>
        <v/>
      </c>
      <c r="S368" s="513" t="str">
        <f>IF(H368="","",SUMIFS(C_FuelStreams!CP:CP,C_FuelStreams!BI:BI,H368))</f>
        <v/>
      </c>
      <c r="T368" s="513" t="str">
        <f t="shared" si="6"/>
        <v/>
      </c>
      <c r="X368" s="514" t="b">
        <f t="shared" si="7"/>
        <v>0</v>
      </c>
    </row>
    <row r="369" spans="1:24" ht="12.75" hidden="1" customHeight="1" x14ac:dyDescent="0.25">
      <c r="A369" s="113" t="s">
        <v>0</v>
      </c>
      <c r="B369" s="132"/>
      <c r="D369" s="496">
        <v>83</v>
      </c>
      <c r="E369" s="27"/>
      <c r="F369" s="1308" t="str">
        <f t="shared" si="5"/>
        <v/>
      </c>
      <c r="G369" s="1308"/>
      <c r="H369" s="1306"/>
      <c r="I369" s="1306"/>
      <c r="J369" s="510" t="str">
        <f>IF(H369="","",INDEX(C_FuelStreams!BM:BM,MATCH(H369,C_FuelStreams!BI:BI,0)))</f>
        <v/>
      </c>
      <c r="K369" s="511" t="str">
        <f>IF(H369="","",SUMIFS(C_FuelStreams!BL:BL,C_FuelStreams!BI:BI,H369))</f>
        <v/>
      </c>
      <c r="L369" s="28"/>
      <c r="M369" s="28"/>
      <c r="N369" s="512" t="str">
        <f t="shared" si="8"/>
        <v/>
      </c>
      <c r="O369" s="142"/>
      <c r="P369" s="115"/>
      <c r="R369" s="513" t="str">
        <f>IF(H369="","",SUMIFS(C_FuelStreams!BK:BK,C_FuelStreams!BI:BI,H369))</f>
        <v/>
      </c>
      <c r="S369" s="513" t="str">
        <f>IF(H369="","",SUMIFS(C_FuelStreams!CP:CP,C_FuelStreams!BI:BI,H369))</f>
        <v/>
      </c>
      <c r="T369" s="513" t="str">
        <f t="shared" si="6"/>
        <v/>
      </c>
      <c r="X369" s="514" t="b">
        <f t="shared" si="7"/>
        <v>0</v>
      </c>
    </row>
    <row r="370" spans="1:24" ht="12.75" hidden="1" customHeight="1" x14ac:dyDescent="0.25">
      <c r="A370" s="113" t="s">
        <v>0</v>
      </c>
      <c r="B370" s="132"/>
      <c r="D370" s="496">
        <v>84</v>
      </c>
      <c r="E370" s="27"/>
      <c r="F370" s="1308" t="str">
        <f t="shared" ref="F370:F433" si="9">IF(E370="","",INDEX($G$30:$G$279,MATCH(E370,$R$30:$R$279,0)))</f>
        <v/>
      </c>
      <c r="G370" s="1308"/>
      <c r="H370" s="1306"/>
      <c r="I370" s="1306"/>
      <c r="J370" s="510" t="str">
        <f>IF(H370="","",INDEX(C_FuelStreams!BM:BM,MATCH(H370,C_FuelStreams!BI:BI,0)))</f>
        <v/>
      </c>
      <c r="K370" s="511" t="str">
        <f>IF(H370="","",SUMIFS(C_FuelStreams!BL:BL,C_FuelStreams!BI:BI,H370))</f>
        <v/>
      </c>
      <c r="L370" s="28"/>
      <c r="M370" s="28"/>
      <c r="N370" s="512" t="str">
        <f t="shared" si="8"/>
        <v/>
      </c>
      <c r="O370" s="142"/>
      <c r="P370" s="115"/>
      <c r="R370" s="513" t="str">
        <f>IF(H370="","",SUMIFS(C_FuelStreams!BK:BK,C_FuelStreams!BI:BI,H370))</f>
        <v/>
      </c>
      <c r="S370" s="513" t="str">
        <f>IF(H370="","",SUMIFS(C_FuelStreams!CP:CP,C_FuelStreams!BI:BI,H370))</f>
        <v/>
      </c>
      <c r="T370" s="513" t="str">
        <f t="shared" ref="T370:T433" si="10">IF(H370="","",IF(SUM(R370)=0,0,S370/R370*L370))</f>
        <v/>
      </c>
      <c r="X370" s="514" t="b">
        <f t="shared" ref="X370:X433" si="11">AND(COUNTA($E$30:$E$279)&gt;0,E370="")</f>
        <v>0</v>
      </c>
    </row>
    <row r="371" spans="1:24" ht="12.75" hidden="1" customHeight="1" x14ac:dyDescent="0.25">
      <c r="A371" s="113" t="s">
        <v>0</v>
      </c>
      <c r="B371" s="132"/>
      <c r="D371" s="496">
        <v>85</v>
      </c>
      <c r="E371" s="27"/>
      <c r="F371" s="1308" t="str">
        <f t="shared" si="9"/>
        <v/>
      </c>
      <c r="G371" s="1308"/>
      <c r="H371" s="1306"/>
      <c r="I371" s="1306"/>
      <c r="J371" s="510" t="str">
        <f>IF(H371="","",INDEX(C_FuelStreams!BM:BM,MATCH(H371,C_FuelStreams!BI:BI,0)))</f>
        <v/>
      </c>
      <c r="K371" s="511" t="str">
        <f>IF(H371="","",SUMIFS(C_FuelStreams!BL:BL,C_FuelStreams!BI:BI,H371))</f>
        <v/>
      </c>
      <c r="L371" s="28"/>
      <c r="M371" s="28"/>
      <c r="N371" s="512" t="str">
        <f t="shared" si="8"/>
        <v/>
      </c>
      <c r="O371" s="142"/>
      <c r="P371" s="115"/>
      <c r="R371" s="513" t="str">
        <f>IF(H371="","",SUMIFS(C_FuelStreams!BK:BK,C_FuelStreams!BI:BI,H371))</f>
        <v/>
      </c>
      <c r="S371" s="513" t="str">
        <f>IF(H371="","",SUMIFS(C_FuelStreams!CP:CP,C_FuelStreams!BI:BI,H371))</f>
        <v/>
      </c>
      <c r="T371" s="513" t="str">
        <f t="shared" si="10"/>
        <v/>
      </c>
      <c r="X371" s="514" t="b">
        <f t="shared" si="11"/>
        <v>0</v>
      </c>
    </row>
    <row r="372" spans="1:24" ht="12.75" hidden="1" customHeight="1" x14ac:dyDescent="0.25">
      <c r="A372" s="113" t="s">
        <v>0</v>
      </c>
      <c r="B372" s="132"/>
      <c r="D372" s="496">
        <v>86</v>
      </c>
      <c r="E372" s="27"/>
      <c r="F372" s="1308" t="str">
        <f t="shared" si="9"/>
        <v/>
      </c>
      <c r="G372" s="1308"/>
      <c r="H372" s="1306"/>
      <c r="I372" s="1306"/>
      <c r="J372" s="510" t="str">
        <f>IF(H372="","",INDEX(C_FuelStreams!BM:BM,MATCH(H372,C_FuelStreams!BI:BI,0)))</f>
        <v/>
      </c>
      <c r="K372" s="511" t="str">
        <f>IF(H372="","",SUMIFS(C_FuelStreams!BL:BL,C_FuelStreams!BI:BI,H372))</f>
        <v/>
      </c>
      <c r="L372" s="28"/>
      <c r="M372" s="28"/>
      <c r="N372" s="512" t="str">
        <f t="shared" si="8"/>
        <v/>
      </c>
      <c r="O372" s="142"/>
      <c r="P372" s="115"/>
      <c r="R372" s="513" t="str">
        <f>IF(H372="","",SUMIFS(C_FuelStreams!BK:BK,C_FuelStreams!BI:BI,H372))</f>
        <v/>
      </c>
      <c r="S372" s="513" t="str">
        <f>IF(H372="","",SUMIFS(C_FuelStreams!CP:CP,C_FuelStreams!BI:BI,H372))</f>
        <v/>
      </c>
      <c r="T372" s="513" t="str">
        <f t="shared" si="10"/>
        <v/>
      </c>
      <c r="X372" s="514" t="b">
        <f t="shared" si="11"/>
        <v>0</v>
      </c>
    </row>
    <row r="373" spans="1:24" ht="12.75" hidden="1" customHeight="1" x14ac:dyDescent="0.25">
      <c r="A373" s="113" t="s">
        <v>0</v>
      </c>
      <c r="B373" s="132"/>
      <c r="D373" s="496">
        <v>87</v>
      </c>
      <c r="E373" s="27"/>
      <c r="F373" s="1308" t="str">
        <f t="shared" si="9"/>
        <v/>
      </c>
      <c r="G373" s="1308"/>
      <c r="H373" s="1306"/>
      <c r="I373" s="1306"/>
      <c r="J373" s="510" t="str">
        <f>IF(H373="","",INDEX(C_FuelStreams!BM:BM,MATCH(H373,C_FuelStreams!BI:BI,0)))</f>
        <v/>
      </c>
      <c r="K373" s="511" t="str">
        <f>IF(H373="","",SUMIFS(C_FuelStreams!BL:BL,C_FuelStreams!BI:BI,H373))</f>
        <v/>
      </c>
      <c r="L373" s="28"/>
      <c r="M373" s="28"/>
      <c r="N373" s="512" t="str">
        <f t="shared" si="8"/>
        <v/>
      </c>
      <c r="O373" s="142"/>
      <c r="P373" s="115"/>
      <c r="R373" s="513" t="str">
        <f>IF(H373="","",SUMIFS(C_FuelStreams!BK:BK,C_FuelStreams!BI:BI,H373))</f>
        <v/>
      </c>
      <c r="S373" s="513" t="str">
        <f>IF(H373="","",SUMIFS(C_FuelStreams!CP:CP,C_FuelStreams!BI:BI,H373))</f>
        <v/>
      </c>
      <c r="T373" s="513" t="str">
        <f t="shared" si="10"/>
        <v/>
      </c>
      <c r="X373" s="514" t="b">
        <f t="shared" si="11"/>
        <v>0</v>
      </c>
    </row>
    <row r="374" spans="1:24" ht="12.75" hidden="1" customHeight="1" x14ac:dyDescent="0.25">
      <c r="A374" s="113" t="s">
        <v>0</v>
      </c>
      <c r="B374" s="132"/>
      <c r="D374" s="496">
        <v>88</v>
      </c>
      <c r="E374" s="27"/>
      <c r="F374" s="1308" t="str">
        <f t="shared" si="9"/>
        <v/>
      </c>
      <c r="G374" s="1308"/>
      <c r="H374" s="1306"/>
      <c r="I374" s="1306"/>
      <c r="J374" s="510" t="str">
        <f>IF(H374="","",INDEX(C_FuelStreams!BM:BM,MATCH(H374,C_FuelStreams!BI:BI,0)))</f>
        <v/>
      </c>
      <c r="K374" s="511" t="str">
        <f>IF(H374="","",SUMIFS(C_FuelStreams!BL:BL,C_FuelStreams!BI:BI,H374))</f>
        <v/>
      </c>
      <c r="L374" s="28"/>
      <c r="M374" s="28"/>
      <c r="N374" s="512" t="str">
        <f t="shared" si="8"/>
        <v/>
      </c>
      <c r="O374" s="142"/>
      <c r="P374" s="115"/>
      <c r="R374" s="513" t="str">
        <f>IF(H374="","",SUMIFS(C_FuelStreams!BK:BK,C_FuelStreams!BI:BI,H374))</f>
        <v/>
      </c>
      <c r="S374" s="513" t="str">
        <f>IF(H374="","",SUMIFS(C_FuelStreams!CP:CP,C_FuelStreams!BI:BI,H374))</f>
        <v/>
      </c>
      <c r="T374" s="513" t="str">
        <f t="shared" si="10"/>
        <v/>
      </c>
      <c r="X374" s="514" t="b">
        <f t="shared" si="11"/>
        <v>0</v>
      </c>
    </row>
    <row r="375" spans="1:24" ht="12.75" hidden="1" customHeight="1" x14ac:dyDescent="0.25">
      <c r="A375" s="113" t="s">
        <v>0</v>
      </c>
      <c r="B375" s="132"/>
      <c r="D375" s="496">
        <v>89</v>
      </c>
      <c r="E375" s="27"/>
      <c r="F375" s="1308" t="str">
        <f t="shared" si="9"/>
        <v/>
      </c>
      <c r="G375" s="1308"/>
      <c r="H375" s="1306"/>
      <c r="I375" s="1306"/>
      <c r="J375" s="510" t="str">
        <f>IF(H375="","",INDEX(C_FuelStreams!BM:BM,MATCH(H375,C_FuelStreams!BI:BI,0)))</f>
        <v/>
      </c>
      <c r="K375" s="511" t="str">
        <f>IF(H375="","",SUMIFS(C_FuelStreams!BL:BL,C_FuelStreams!BI:BI,H375))</f>
        <v/>
      </c>
      <c r="L375" s="28"/>
      <c r="M375" s="28"/>
      <c r="N375" s="512" t="str">
        <f t="shared" si="8"/>
        <v/>
      </c>
      <c r="O375" s="142"/>
      <c r="P375" s="115"/>
      <c r="R375" s="513" t="str">
        <f>IF(H375="","",SUMIFS(C_FuelStreams!BK:BK,C_FuelStreams!BI:BI,H375))</f>
        <v/>
      </c>
      <c r="S375" s="513" t="str">
        <f>IF(H375="","",SUMIFS(C_FuelStreams!CP:CP,C_FuelStreams!BI:BI,H375))</f>
        <v/>
      </c>
      <c r="T375" s="513" t="str">
        <f t="shared" si="10"/>
        <v/>
      </c>
      <c r="X375" s="514" t="b">
        <f t="shared" si="11"/>
        <v>0</v>
      </c>
    </row>
    <row r="376" spans="1:24" ht="12.75" hidden="1" customHeight="1" x14ac:dyDescent="0.25">
      <c r="A376" s="113" t="s">
        <v>0</v>
      </c>
      <c r="B376" s="132"/>
      <c r="D376" s="496">
        <v>90</v>
      </c>
      <c r="E376" s="27"/>
      <c r="F376" s="1308" t="str">
        <f t="shared" si="9"/>
        <v/>
      </c>
      <c r="G376" s="1308"/>
      <c r="H376" s="1306"/>
      <c r="I376" s="1306"/>
      <c r="J376" s="510" t="str">
        <f>IF(H376="","",INDEX(C_FuelStreams!BM:BM,MATCH(H376,C_FuelStreams!BI:BI,0)))</f>
        <v/>
      </c>
      <c r="K376" s="511" t="str">
        <f>IF(H376="","",SUMIFS(C_FuelStreams!BL:BL,C_FuelStreams!BI:BI,H376))</f>
        <v/>
      </c>
      <c r="L376" s="28"/>
      <c r="M376" s="28"/>
      <c r="N376" s="512" t="str">
        <f t="shared" si="8"/>
        <v/>
      </c>
      <c r="O376" s="142"/>
      <c r="P376" s="115"/>
      <c r="R376" s="513" t="str">
        <f>IF(H376="","",SUMIFS(C_FuelStreams!BK:BK,C_FuelStreams!BI:BI,H376))</f>
        <v/>
      </c>
      <c r="S376" s="513" t="str">
        <f>IF(H376="","",SUMIFS(C_FuelStreams!CP:CP,C_FuelStreams!BI:BI,H376))</f>
        <v/>
      </c>
      <c r="T376" s="513" t="str">
        <f t="shared" si="10"/>
        <v/>
      </c>
      <c r="X376" s="514" t="b">
        <f t="shared" si="11"/>
        <v>0</v>
      </c>
    </row>
    <row r="377" spans="1:24" ht="12.75" hidden="1" customHeight="1" x14ac:dyDescent="0.25">
      <c r="A377" s="113" t="s">
        <v>0</v>
      </c>
      <c r="B377" s="132"/>
      <c r="D377" s="496">
        <v>91</v>
      </c>
      <c r="E377" s="27"/>
      <c r="F377" s="1308" t="str">
        <f t="shared" si="9"/>
        <v/>
      </c>
      <c r="G377" s="1308"/>
      <c r="H377" s="1306"/>
      <c r="I377" s="1306"/>
      <c r="J377" s="510" t="str">
        <f>IF(H377="","",INDEX(C_FuelStreams!BM:BM,MATCH(H377,C_FuelStreams!BI:BI,0)))</f>
        <v/>
      </c>
      <c r="K377" s="511" t="str">
        <f>IF(H377="","",SUMIFS(C_FuelStreams!BL:BL,C_FuelStreams!BI:BI,H377))</f>
        <v/>
      </c>
      <c r="L377" s="28"/>
      <c r="M377" s="28"/>
      <c r="N377" s="512" t="str">
        <f t="shared" si="8"/>
        <v/>
      </c>
      <c r="O377" s="142"/>
      <c r="P377" s="115"/>
      <c r="R377" s="513" t="str">
        <f>IF(H377="","",SUMIFS(C_FuelStreams!BK:BK,C_FuelStreams!BI:BI,H377))</f>
        <v/>
      </c>
      <c r="S377" s="513" t="str">
        <f>IF(H377="","",SUMIFS(C_FuelStreams!CP:CP,C_FuelStreams!BI:BI,H377))</f>
        <v/>
      </c>
      <c r="T377" s="513" t="str">
        <f t="shared" si="10"/>
        <v/>
      </c>
      <c r="X377" s="514" t="b">
        <f t="shared" si="11"/>
        <v>0</v>
      </c>
    </row>
    <row r="378" spans="1:24" ht="12.75" hidden="1" customHeight="1" x14ac:dyDescent="0.25">
      <c r="A378" s="113" t="s">
        <v>0</v>
      </c>
      <c r="B378" s="132"/>
      <c r="D378" s="496">
        <v>92</v>
      </c>
      <c r="E378" s="27"/>
      <c r="F378" s="1308" t="str">
        <f t="shared" si="9"/>
        <v/>
      </c>
      <c r="G378" s="1308"/>
      <c r="H378" s="1306"/>
      <c r="I378" s="1306"/>
      <c r="J378" s="510" t="str">
        <f>IF(H378="","",INDEX(C_FuelStreams!BM:BM,MATCH(H378,C_FuelStreams!BI:BI,0)))</f>
        <v/>
      </c>
      <c r="K378" s="511" t="str">
        <f>IF(H378="","",SUMIFS(C_FuelStreams!BL:BL,C_FuelStreams!BI:BI,H378))</f>
        <v/>
      </c>
      <c r="L378" s="28"/>
      <c r="M378" s="28"/>
      <c r="N378" s="512" t="str">
        <f t="shared" si="8"/>
        <v/>
      </c>
      <c r="O378" s="142"/>
      <c r="P378" s="115"/>
      <c r="R378" s="513" t="str">
        <f>IF(H378="","",SUMIFS(C_FuelStreams!BK:BK,C_FuelStreams!BI:BI,H378))</f>
        <v/>
      </c>
      <c r="S378" s="513" t="str">
        <f>IF(H378="","",SUMIFS(C_FuelStreams!CP:CP,C_FuelStreams!BI:BI,H378))</f>
        <v/>
      </c>
      <c r="T378" s="513" t="str">
        <f t="shared" si="10"/>
        <v/>
      </c>
      <c r="X378" s="514" t="b">
        <f t="shared" si="11"/>
        <v>0</v>
      </c>
    </row>
    <row r="379" spans="1:24" ht="12.75" hidden="1" customHeight="1" x14ac:dyDescent="0.25">
      <c r="A379" s="113" t="s">
        <v>0</v>
      </c>
      <c r="B379" s="132"/>
      <c r="D379" s="496">
        <v>93</v>
      </c>
      <c r="E379" s="27"/>
      <c r="F379" s="1308" t="str">
        <f t="shared" si="9"/>
        <v/>
      </c>
      <c r="G379" s="1308"/>
      <c r="H379" s="1306"/>
      <c r="I379" s="1306"/>
      <c r="J379" s="510" t="str">
        <f>IF(H379="","",INDEX(C_FuelStreams!BM:BM,MATCH(H379,C_FuelStreams!BI:BI,0)))</f>
        <v/>
      </c>
      <c r="K379" s="511" t="str">
        <f>IF(H379="","",SUMIFS(C_FuelStreams!BL:BL,C_FuelStreams!BI:BI,H379))</f>
        <v/>
      </c>
      <c r="L379" s="28"/>
      <c r="M379" s="28"/>
      <c r="N379" s="512" t="str">
        <f t="shared" si="8"/>
        <v/>
      </c>
      <c r="O379" s="142"/>
      <c r="P379" s="115"/>
      <c r="R379" s="513" t="str">
        <f>IF(H379="","",SUMIFS(C_FuelStreams!BK:BK,C_FuelStreams!BI:BI,H379))</f>
        <v/>
      </c>
      <c r="S379" s="513" t="str">
        <f>IF(H379="","",SUMIFS(C_FuelStreams!CP:CP,C_FuelStreams!BI:BI,H379))</f>
        <v/>
      </c>
      <c r="T379" s="513" t="str">
        <f t="shared" si="10"/>
        <v/>
      </c>
      <c r="X379" s="514" t="b">
        <f t="shared" si="11"/>
        <v>0</v>
      </c>
    </row>
    <row r="380" spans="1:24" ht="12.75" hidden="1" customHeight="1" x14ac:dyDescent="0.25">
      <c r="A380" s="113" t="s">
        <v>0</v>
      </c>
      <c r="B380" s="132"/>
      <c r="D380" s="496">
        <v>94</v>
      </c>
      <c r="E380" s="27"/>
      <c r="F380" s="1308" t="str">
        <f t="shared" si="9"/>
        <v/>
      </c>
      <c r="G380" s="1308"/>
      <c r="H380" s="1306"/>
      <c r="I380" s="1306"/>
      <c r="J380" s="510" t="str">
        <f>IF(H380="","",INDEX(C_FuelStreams!BM:BM,MATCH(H380,C_FuelStreams!BI:BI,0)))</f>
        <v/>
      </c>
      <c r="K380" s="511" t="str">
        <f>IF(H380="","",SUMIFS(C_FuelStreams!BL:BL,C_FuelStreams!BI:BI,H380))</f>
        <v/>
      </c>
      <c r="L380" s="28"/>
      <c r="M380" s="28"/>
      <c r="N380" s="512" t="str">
        <f t="shared" si="8"/>
        <v/>
      </c>
      <c r="O380" s="142"/>
      <c r="P380" s="115"/>
      <c r="R380" s="513" t="str">
        <f>IF(H380="","",SUMIFS(C_FuelStreams!BK:BK,C_FuelStreams!BI:BI,H380))</f>
        <v/>
      </c>
      <c r="S380" s="513" t="str">
        <f>IF(H380="","",SUMIFS(C_FuelStreams!CP:CP,C_FuelStreams!BI:BI,H380))</f>
        <v/>
      </c>
      <c r="T380" s="513" t="str">
        <f t="shared" si="10"/>
        <v/>
      </c>
      <c r="X380" s="514" t="b">
        <f t="shared" si="11"/>
        <v>0</v>
      </c>
    </row>
    <row r="381" spans="1:24" ht="12.75" hidden="1" customHeight="1" x14ac:dyDescent="0.25">
      <c r="A381" s="113" t="s">
        <v>0</v>
      </c>
      <c r="B381" s="132"/>
      <c r="D381" s="496">
        <v>95</v>
      </c>
      <c r="E381" s="27"/>
      <c r="F381" s="1308" t="str">
        <f t="shared" si="9"/>
        <v/>
      </c>
      <c r="G381" s="1308"/>
      <c r="H381" s="1306"/>
      <c r="I381" s="1306"/>
      <c r="J381" s="510" t="str">
        <f>IF(H381="","",INDEX(C_FuelStreams!BM:BM,MATCH(H381,C_FuelStreams!BI:BI,0)))</f>
        <v/>
      </c>
      <c r="K381" s="511" t="str">
        <f>IF(H381="","",SUMIFS(C_FuelStreams!BL:BL,C_FuelStreams!BI:BI,H381))</f>
        <v/>
      </c>
      <c r="L381" s="28"/>
      <c r="M381" s="28"/>
      <c r="N381" s="512" t="str">
        <f t="shared" si="8"/>
        <v/>
      </c>
      <c r="O381" s="142"/>
      <c r="P381" s="115"/>
      <c r="R381" s="513" t="str">
        <f>IF(H381="","",SUMIFS(C_FuelStreams!BK:BK,C_FuelStreams!BI:BI,H381))</f>
        <v/>
      </c>
      <c r="S381" s="513" t="str">
        <f>IF(H381="","",SUMIFS(C_FuelStreams!CP:CP,C_FuelStreams!BI:BI,H381))</f>
        <v/>
      </c>
      <c r="T381" s="513" t="str">
        <f t="shared" si="10"/>
        <v/>
      </c>
      <c r="X381" s="514" t="b">
        <f t="shared" si="11"/>
        <v>0</v>
      </c>
    </row>
    <row r="382" spans="1:24" ht="12.75" hidden="1" customHeight="1" x14ac:dyDescent="0.25">
      <c r="A382" s="113" t="s">
        <v>0</v>
      </c>
      <c r="B382" s="132"/>
      <c r="D382" s="496">
        <v>96</v>
      </c>
      <c r="E382" s="27"/>
      <c r="F382" s="1308" t="str">
        <f t="shared" si="9"/>
        <v/>
      </c>
      <c r="G382" s="1308"/>
      <c r="H382" s="1306"/>
      <c r="I382" s="1306"/>
      <c r="J382" s="510" t="str">
        <f>IF(H382="","",INDEX(C_FuelStreams!BM:BM,MATCH(H382,C_FuelStreams!BI:BI,0)))</f>
        <v/>
      </c>
      <c r="K382" s="511" t="str">
        <f>IF(H382="","",SUMIFS(C_FuelStreams!BL:BL,C_FuelStreams!BI:BI,H382))</f>
        <v/>
      </c>
      <c r="L382" s="28"/>
      <c r="M382" s="28"/>
      <c r="N382" s="512" t="str">
        <f t="shared" si="8"/>
        <v/>
      </c>
      <c r="O382" s="142"/>
      <c r="P382" s="115"/>
      <c r="R382" s="513" t="str">
        <f>IF(H382="","",SUMIFS(C_FuelStreams!BK:BK,C_FuelStreams!BI:BI,H382))</f>
        <v/>
      </c>
      <c r="S382" s="513" t="str">
        <f>IF(H382="","",SUMIFS(C_FuelStreams!CP:CP,C_FuelStreams!BI:BI,H382))</f>
        <v/>
      </c>
      <c r="T382" s="513" t="str">
        <f t="shared" si="10"/>
        <v/>
      </c>
      <c r="X382" s="514" t="b">
        <f t="shared" si="11"/>
        <v>0</v>
      </c>
    </row>
    <row r="383" spans="1:24" ht="12.75" hidden="1" customHeight="1" x14ac:dyDescent="0.25">
      <c r="A383" s="113" t="s">
        <v>0</v>
      </c>
      <c r="B383" s="132"/>
      <c r="D383" s="496">
        <v>97</v>
      </c>
      <c r="E383" s="27"/>
      <c r="F383" s="1308" t="str">
        <f t="shared" si="9"/>
        <v/>
      </c>
      <c r="G383" s="1308"/>
      <c r="H383" s="1306"/>
      <c r="I383" s="1306"/>
      <c r="J383" s="510" t="str">
        <f>IF(H383="","",INDEX(C_FuelStreams!BM:BM,MATCH(H383,C_FuelStreams!BI:BI,0)))</f>
        <v/>
      </c>
      <c r="K383" s="511" t="str">
        <f>IF(H383="","",SUMIFS(C_FuelStreams!BL:BL,C_FuelStreams!BI:BI,H383))</f>
        <v/>
      </c>
      <c r="L383" s="28"/>
      <c r="M383" s="28"/>
      <c r="N383" s="512" t="str">
        <f t="shared" si="8"/>
        <v/>
      </c>
      <c r="O383" s="142"/>
      <c r="P383" s="115"/>
      <c r="R383" s="513" t="str">
        <f>IF(H383="","",SUMIFS(C_FuelStreams!BK:BK,C_FuelStreams!BI:BI,H383))</f>
        <v/>
      </c>
      <c r="S383" s="513" t="str">
        <f>IF(H383="","",SUMIFS(C_FuelStreams!CP:CP,C_FuelStreams!BI:BI,H383))</f>
        <v/>
      </c>
      <c r="T383" s="513" t="str">
        <f t="shared" si="10"/>
        <v/>
      </c>
      <c r="X383" s="514" t="b">
        <f t="shared" si="11"/>
        <v>0</v>
      </c>
    </row>
    <row r="384" spans="1:24" ht="12.75" hidden="1" customHeight="1" x14ac:dyDescent="0.25">
      <c r="A384" s="113" t="s">
        <v>0</v>
      </c>
      <c r="B384" s="132"/>
      <c r="D384" s="496">
        <v>98</v>
      </c>
      <c r="E384" s="27"/>
      <c r="F384" s="1308" t="str">
        <f t="shared" si="9"/>
        <v/>
      </c>
      <c r="G384" s="1308"/>
      <c r="H384" s="1306"/>
      <c r="I384" s="1306"/>
      <c r="J384" s="510" t="str">
        <f>IF(H384="","",INDEX(C_FuelStreams!BM:BM,MATCH(H384,C_FuelStreams!BI:BI,0)))</f>
        <v/>
      </c>
      <c r="K384" s="511" t="str">
        <f>IF(H384="","",SUMIFS(C_FuelStreams!BL:BL,C_FuelStreams!BI:BI,H384))</f>
        <v/>
      </c>
      <c r="L384" s="28"/>
      <c r="M384" s="28"/>
      <c r="N384" s="512" t="str">
        <f t="shared" si="8"/>
        <v/>
      </c>
      <c r="O384" s="142"/>
      <c r="P384" s="115"/>
      <c r="R384" s="513" t="str">
        <f>IF(H384="","",SUMIFS(C_FuelStreams!BK:BK,C_FuelStreams!BI:BI,H384))</f>
        <v/>
      </c>
      <c r="S384" s="513" t="str">
        <f>IF(H384="","",SUMIFS(C_FuelStreams!CP:CP,C_FuelStreams!BI:BI,H384))</f>
        <v/>
      </c>
      <c r="T384" s="513" t="str">
        <f t="shared" si="10"/>
        <v/>
      </c>
      <c r="X384" s="514" t="b">
        <f t="shared" si="11"/>
        <v>0</v>
      </c>
    </row>
    <row r="385" spans="1:24" ht="12.75" hidden="1" customHeight="1" x14ac:dyDescent="0.25">
      <c r="A385" s="113" t="s">
        <v>0</v>
      </c>
      <c r="B385" s="132"/>
      <c r="D385" s="496">
        <v>99</v>
      </c>
      <c r="E385" s="27"/>
      <c r="F385" s="1308" t="str">
        <f t="shared" si="9"/>
        <v/>
      </c>
      <c r="G385" s="1308"/>
      <c r="H385" s="1306"/>
      <c r="I385" s="1306"/>
      <c r="J385" s="510" t="str">
        <f>IF(H385="","",INDEX(C_FuelStreams!BM:BM,MATCH(H385,C_FuelStreams!BI:BI,0)))</f>
        <v/>
      </c>
      <c r="K385" s="511" t="str">
        <f>IF(H385="","",SUMIFS(C_FuelStreams!BL:BL,C_FuelStreams!BI:BI,H385))</f>
        <v/>
      </c>
      <c r="L385" s="28"/>
      <c r="M385" s="28"/>
      <c r="N385" s="512" t="str">
        <f t="shared" si="8"/>
        <v/>
      </c>
      <c r="O385" s="142"/>
      <c r="P385" s="115"/>
      <c r="R385" s="513" t="str">
        <f>IF(H385="","",SUMIFS(C_FuelStreams!BK:BK,C_FuelStreams!BI:BI,H385))</f>
        <v/>
      </c>
      <c r="S385" s="513" t="str">
        <f>IF(H385="","",SUMIFS(C_FuelStreams!CP:CP,C_FuelStreams!BI:BI,H385))</f>
        <v/>
      </c>
      <c r="T385" s="513" t="str">
        <f t="shared" si="10"/>
        <v/>
      </c>
      <c r="X385" s="514" t="b">
        <f t="shared" si="11"/>
        <v>0</v>
      </c>
    </row>
    <row r="386" spans="1:24" ht="12.75" hidden="1" customHeight="1" x14ac:dyDescent="0.25">
      <c r="A386" s="113" t="s">
        <v>0</v>
      </c>
      <c r="B386" s="132"/>
      <c r="D386" s="496">
        <v>100</v>
      </c>
      <c r="E386" s="27"/>
      <c r="F386" s="1308" t="str">
        <f t="shared" si="9"/>
        <v/>
      </c>
      <c r="G386" s="1308"/>
      <c r="H386" s="1306"/>
      <c r="I386" s="1306"/>
      <c r="J386" s="510" t="str">
        <f>IF(H386="","",INDEX(C_FuelStreams!BM:BM,MATCH(H386,C_FuelStreams!BI:BI,0)))</f>
        <v/>
      </c>
      <c r="K386" s="511" t="str">
        <f>IF(H386="","",SUMIFS(C_FuelStreams!BL:BL,C_FuelStreams!BI:BI,H386))</f>
        <v/>
      </c>
      <c r="L386" s="28"/>
      <c r="M386" s="28"/>
      <c r="N386" s="512" t="str">
        <f t="shared" si="8"/>
        <v/>
      </c>
      <c r="O386" s="142"/>
      <c r="P386" s="115"/>
      <c r="R386" s="513" t="str">
        <f>IF(H386="","",SUMIFS(C_FuelStreams!BK:BK,C_FuelStreams!BI:BI,H386))</f>
        <v/>
      </c>
      <c r="S386" s="513" t="str">
        <f>IF(H386="","",SUMIFS(C_FuelStreams!CP:CP,C_FuelStreams!BI:BI,H386))</f>
        <v/>
      </c>
      <c r="T386" s="513" t="str">
        <f t="shared" si="10"/>
        <v/>
      </c>
      <c r="X386" s="514" t="b">
        <f t="shared" si="11"/>
        <v>0</v>
      </c>
    </row>
    <row r="387" spans="1:24" ht="12.75" hidden="1" customHeight="1" x14ac:dyDescent="0.25">
      <c r="A387" s="113" t="s">
        <v>0</v>
      </c>
      <c r="B387" s="132"/>
      <c r="D387" s="496">
        <v>101</v>
      </c>
      <c r="E387" s="27"/>
      <c r="F387" s="1308" t="str">
        <f t="shared" si="9"/>
        <v/>
      </c>
      <c r="G387" s="1308"/>
      <c r="H387" s="1306"/>
      <c r="I387" s="1306"/>
      <c r="J387" s="510" t="str">
        <f>IF(H387="","",INDEX(C_FuelStreams!BM:BM,MATCH(H387,C_FuelStreams!BI:BI,0)))</f>
        <v/>
      </c>
      <c r="K387" s="511" t="str">
        <f>IF(H387="","",SUMIFS(C_FuelStreams!BL:BL,C_FuelStreams!BI:BI,H387))</f>
        <v/>
      </c>
      <c r="L387" s="28"/>
      <c r="M387" s="28"/>
      <c r="N387" s="512" t="str">
        <f t="shared" si="8"/>
        <v/>
      </c>
      <c r="O387" s="142"/>
      <c r="P387" s="115"/>
      <c r="R387" s="513" t="str">
        <f>IF(H387="","",SUMIFS(C_FuelStreams!BK:BK,C_FuelStreams!BI:BI,H387))</f>
        <v/>
      </c>
      <c r="S387" s="513" t="str">
        <f>IF(H387="","",SUMIFS(C_FuelStreams!CP:CP,C_FuelStreams!BI:BI,H387))</f>
        <v/>
      </c>
      <c r="T387" s="513" t="str">
        <f t="shared" si="10"/>
        <v/>
      </c>
      <c r="X387" s="514" t="b">
        <f t="shared" si="11"/>
        <v>0</v>
      </c>
    </row>
    <row r="388" spans="1:24" ht="12.75" hidden="1" customHeight="1" x14ac:dyDescent="0.25">
      <c r="A388" s="113" t="s">
        <v>0</v>
      </c>
      <c r="B388" s="132"/>
      <c r="D388" s="496">
        <v>102</v>
      </c>
      <c r="E388" s="27"/>
      <c r="F388" s="1308" t="str">
        <f t="shared" si="9"/>
        <v/>
      </c>
      <c r="G388" s="1308"/>
      <c r="H388" s="1306"/>
      <c r="I388" s="1306"/>
      <c r="J388" s="510" t="str">
        <f>IF(H388="","",INDEX(C_FuelStreams!BM:BM,MATCH(H388,C_FuelStreams!BI:BI,0)))</f>
        <v/>
      </c>
      <c r="K388" s="511" t="str">
        <f>IF(H388="","",SUMIFS(C_FuelStreams!BL:BL,C_FuelStreams!BI:BI,H388))</f>
        <v/>
      </c>
      <c r="L388" s="28"/>
      <c r="M388" s="28"/>
      <c r="N388" s="512" t="str">
        <f t="shared" si="8"/>
        <v/>
      </c>
      <c r="O388" s="142"/>
      <c r="P388" s="115"/>
      <c r="R388" s="513" t="str">
        <f>IF(H388="","",SUMIFS(C_FuelStreams!BK:BK,C_FuelStreams!BI:BI,H388))</f>
        <v/>
      </c>
      <c r="S388" s="513" t="str">
        <f>IF(H388="","",SUMIFS(C_FuelStreams!CP:CP,C_FuelStreams!BI:BI,H388))</f>
        <v/>
      </c>
      <c r="T388" s="513" t="str">
        <f t="shared" si="10"/>
        <v/>
      </c>
      <c r="X388" s="514" t="b">
        <f t="shared" si="11"/>
        <v>0</v>
      </c>
    </row>
    <row r="389" spans="1:24" ht="12.75" hidden="1" customHeight="1" x14ac:dyDescent="0.25">
      <c r="A389" s="113" t="s">
        <v>0</v>
      </c>
      <c r="B389" s="132"/>
      <c r="D389" s="496">
        <v>103</v>
      </c>
      <c r="E389" s="27"/>
      <c r="F389" s="1308" t="str">
        <f t="shared" si="9"/>
        <v/>
      </c>
      <c r="G389" s="1308"/>
      <c r="H389" s="1306"/>
      <c r="I389" s="1306"/>
      <c r="J389" s="510" t="str">
        <f>IF(H389="","",INDEX(C_FuelStreams!BM:BM,MATCH(H389,C_FuelStreams!BI:BI,0)))</f>
        <v/>
      </c>
      <c r="K389" s="511" t="str">
        <f>IF(H389="","",SUMIFS(C_FuelStreams!BL:BL,C_FuelStreams!BI:BI,H389))</f>
        <v/>
      </c>
      <c r="L389" s="28"/>
      <c r="M389" s="28"/>
      <c r="N389" s="512" t="str">
        <f t="shared" si="8"/>
        <v/>
      </c>
      <c r="O389" s="142"/>
      <c r="P389" s="115"/>
      <c r="R389" s="513" t="str">
        <f>IF(H389="","",SUMIFS(C_FuelStreams!BK:BK,C_FuelStreams!BI:BI,H389))</f>
        <v/>
      </c>
      <c r="S389" s="513" t="str">
        <f>IF(H389="","",SUMIFS(C_FuelStreams!CP:CP,C_FuelStreams!BI:BI,H389))</f>
        <v/>
      </c>
      <c r="T389" s="513" t="str">
        <f t="shared" si="10"/>
        <v/>
      </c>
      <c r="X389" s="514" t="b">
        <f t="shared" si="11"/>
        <v>0</v>
      </c>
    </row>
    <row r="390" spans="1:24" ht="12.75" hidden="1" customHeight="1" x14ac:dyDescent="0.25">
      <c r="A390" s="113" t="s">
        <v>0</v>
      </c>
      <c r="B390" s="132"/>
      <c r="D390" s="496">
        <v>104</v>
      </c>
      <c r="E390" s="27"/>
      <c r="F390" s="1308" t="str">
        <f t="shared" si="9"/>
        <v/>
      </c>
      <c r="G390" s="1308"/>
      <c r="H390" s="1306"/>
      <c r="I390" s="1306"/>
      <c r="J390" s="510" t="str">
        <f>IF(H390="","",INDEX(C_FuelStreams!BM:BM,MATCH(H390,C_FuelStreams!BI:BI,0)))</f>
        <v/>
      </c>
      <c r="K390" s="511" t="str">
        <f>IF(H390="","",SUMIFS(C_FuelStreams!BL:BL,C_FuelStreams!BI:BI,H390))</f>
        <v/>
      </c>
      <c r="L390" s="28"/>
      <c r="M390" s="28"/>
      <c r="N390" s="512" t="str">
        <f t="shared" si="8"/>
        <v/>
      </c>
      <c r="O390" s="142"/>
      <c r="P390" s="115"/>
      <c r="R390" s="513" t="str">
        <f>IF(H390="","",SUMIFS(C_FuelStreams!BK:BK,C_FuelStreams!BI:BI,H390))</f>
        <v/>
      </c>
      <c r="S390" s="513" t="str">
        <f>IF(H390="","",SUMIFS(C_FuelStreams!CP:CP,C_FuelStreams!BI:BI,H390))</f>
        <v/>
      </c>
      <c r="T390" s="513" t="str">
        <f t="shared" si="10"/>
        <v/>
      </c>
      <c r="X390" s="514" t="b">
        <f t="shared" si="11"/>
        <v>0</v>
      </c>
    </row>
    <row r="391" spans="1:24" ht="12.75" hidden="1" customHeight="1" x14ac:dyDescent="0.25">
      <c r="A391" s="113" t="s">
        <v>0</v>
      </c>
      <c r="B391" s="132"/>
      <c r="D391" s="496">
        <v>105</v>
      </c>
      <c r="E391" s="27"/>
      <c r="F391" s="1308" t="str">
        <f t="shared" si="9"/>
        <v/>
      </c>
      <c r="G391" s="1308"/>
      <c r="H391" s="1306"/>
      <c r="I391" s="1306"/>
      <c r="J391" s="510" t="str">
        <f>IF(H391="","",INDEX(C_FuelStreams!BM:BM,MATCH(H391,C_FuelStreams!BI:BI,0)))</f>
        <v/>
      </c>
      <c r="K391" s="511" t="str">
        <f>IF(H391="","",SUMIFS(C_FuelStreams!BL:BL,C_FuelStreams!BI:BI,H391))</f>
        <v/>
      </c>
      <c r="L391" s="28"/>
      <c r="M391" s="28"/>
      <c r="N391" s="512" t="str">
        <f t="shared" si="8"/>
        <v/>
      </c>
      <c r="O391" s="142"/>
      <c r="P391" s="115"/>
      <c r="R391" s="513" t="str">
        <f>IF(H391="","",SUMIFS(C_FuelStreams!BK:BK,C_FuelStreams!BI:BI,H391))</f>
        <v/>
      </c>
      <c r="S391" s="513" t="str">
        <f>IF(H391="","",SUMIFS(C_FuelStreams!CP:CP,C_FuelStreams!BI:BI,H391))</f>
        <v/>
      </c>
      <c r="T391" s="513" t="str">
        <f t="shared" si="10"/>
        <v/>
      </c>
      <c r="X391" s="514" t="b">
        <f t="shared" si="11"/>
        <v>0</v>
      </c>
    </row>
    <row r="392" spans="1:24" ht="12.75" hidden="1" customHeight="1" x14ac:dyDescent="0.25">
      <c r="A392" s="113" t="s">
        <v>0</v>
      </c>
      <c r="B392" s="132"/>
      <c r="D392" s="496">
        <v>106</v>
      </c>
      <c r="E392" s="27"/>
      <c r="F392" s="1308" t="str">
        <f t="shared" si="9"/>
        <v/>
      </c>
      <c r="G392" s="1308"/>
      <c r="H392" s="1306"/>
      <c r="I392" s="1306"/>
      <c r="J392" s="510" t="str">
        <f>IF(H392="","",INDEX(C_FuelStreams!BM:BM,MATCH(H392,C_FuelStreams!BI:BI,0)))</f>
        <v/>
      </c>
      <c r="K392" s="511" t="str">
        <f>IF(H392="","",SUMIFS(C_FuelStreams!BL:BL,C_FuelStreams!BI:BI,H392))</f>
        <v/>
      </c>
      <c r="L392" s="28"/>
      <c r="M392" s="28"/>
      <c r="N392" s="512" t="str">
        <f t="shared" si="8"/>
        <v/>
      </c>
      <c r="O392" s="142"/>
      <c r="P392" s="115"/>
      <c r="R392" s="513" t="str">
        <f>IF(H392="","",SUMIFS(C_FuelStreams!BK:BK,C_FuelStreams!BI:BI,H392))</f>
        <v/>
      </c>
      <c r="S392" s="513" t="str">
        <f>IF(H392="","",SUMIFS(C_FuelStreams!CP:CP,C_FuelStreams!BI:BI,H392))</f>
        <v/>
      </c>
      <c r="T392" s="513" t="str">
        <f t="shared" si="10"/>
        <v/>
      </c>
      <c r="X392" s="514" t="b">
        <f t="shared" si="11"/>
        <v>0</v>
      </c>
    </row>
    <row r="393" spans="1:24" ht="12.75" hidden="1" customHeight="1" x14ac:dyDescent="0.25">
      <c r="A393" s="113" t="s">
        <v>0</v>
      </c>
      <c r="B393" s="132"/>
      <c r="D393" s="496">
        <v>107</v>
      </c>
      <c r="E393" s="27"/>
      <c r="F393" s="1308" t="str">
        <f t="shared" si="9"/>
        <v/>
      </c>
      <c r="G393" s="1308"/>
      <c r="H393" s="1306"/>
      <c r="I393" s="1306"/>
      <c r="J393" s="510" t="str">
        <f>IF(H393="","",INDEX(C_FuelStreams!BM:BM,MATCH(H393,C_FuelStreams!BI:BI,0)))</f>
        <v/>
      </c>
      <c r="K393" s="511" t="str">
        <f>IF(H393="","",SUMIFS(C_FuelStreams!BL:BL,C_FuelStreams!BI:BI,H393))</f>
        <v/>
      </c>
      <c r="L393" s="28"/>
      <c r="M393" s="28"/>
      <c r="N393" s="512" t="str">
        <f t="shared" si="8"/>
        <v/>
      </c>
      <c r="O393" s="142"/>
      <c r="P393" s="115"/>
      <c r="R393" s="513" t="str">
        <f>IF(H393="","",SUMIFS(C_FuelStreams!BK:BK,C_FuelStreams!BI:BI,H393))</f>
        <v/>
      </c>
      <c r="S393" s="513" t="str">
        <f>IF(H393="","",SUMIFS(C_FuelStreams!CP:CP,C_FuelStreams!BI:BI,H393))</f>
        <v/>
      </c>
      <c r="T393" s="513" t="str">
        <f t="shared" si="10"/>
        <v/>
      </c>
      <c r="X393" s="514" t="b">
        <f t="shared" si="11"/>
        <v>0</v>
      </c>
    </row>
    <row r="394" spans="1:24" ht="12.75" hidden="1" customHeight="1" x14ac:dyDescent="0.25">
      <c r="A394" s="113" t="s">
        <v>0</v>
      </c>
      <c r="B394" s="132"/>
      <c r="D394" s="496">
        <v>108</v>
      </c>
      <c r="E394" s="27"/>
      <c r="F394" s="1308" t="str">
        <f t="shared" si="9"/>
        <v/>
      </c>
      <c r="G394" s="1308"/>
      <c r="H394" s="1306"/>
      <c r="I394" s="1306"/>
      <c r="J394" s="510" t="str">
        <f>IF(H394="","",INDEX(C_FuelStreams!BM:BM,MATCH(H394,C_FuelStreams!BI:BI,0)))</f>
        <v/>
      </c>
      <c r="K394" s="511" t="str">
        <f>IF(H394="","",SUMIFS(C_FuelStreams!BL:BL,C_FuelStreams!BI:BI,H394))</f>
        <v/>
      </c>
      <c r="L394" s="28"/>
      <c r="M394" s="28"/>
      <c r="N394" s="512" t="str">
        <f t="shared" si="8"/>
        <v/>
      </c>
      <c r="O394" s="142"/>
      <c r="P394" s="115"/>
      <c r="R394" s="513" t="str">
        <f>IF(H394="","",SUMIFS(C_FuelStreams!BK:BK,C_FuelStreams!BI:BI,H394))</f>
        <v/>
      </c>
      <c r="S394" s="513" t="str">
        <f>IF(H394="","",SUMIFS(C_FuelStreams!CP:CP,C_FuelStreams!BI:BI,H394))</f>
        <v/>
      </c>
      <c r="T394" s="513" t="str">
        <f t="shared" si="10"/>
        <v/>
      </c>
      <c r="X394" s="514" t="b">
        <f t="shared" si="11"/>
        <v>0</v>
      </c>
    </row>
    <row r="395" spans="1:24" ht="12.75" hidden="1" customHeight="1" x14ac:dyDescent="0.25">
      <c r="A395" s="113" t="s">
        <v>0</v>
      </c>
      <c r="B395" s="132"/>
      <c r="D395" s="496">
        <v>109</v>
      </c>
      <c r="E395" s="27"/>
      <c r="F395" s="1308" t="str">
        <f t="shared" si="9"/>
        <v/>
      </c>
      <c r="G395" s="1308"/>
      <c r="H395" s="1306"/>
      <c r="I395" s="1306"/>
      <c r="J395" s="510" t="str">
        <f>IF(H395="","",INDEX(C_FuelStreams!BM:BM,MATCH(H395,C_FuelStreams!BI:BI,0)))</f>
        <v/>
      </c>
      <c r="K395" s="511" t="str">
        <f>IF(H395="","",SUMIFS(C_FuelStreams!BL:BL,C_FuelStreams!BI:BI,H395))</f>
        <v/>
      </c>
      <c r="L395" s="28"/>
      <c r="M395" s="28"/>
      <c r="N395" s="512" t="str">
        <f t="shared" si="8"/>
        <v/>
      </c>
      <c r="O395" s="142"/>
      <c r="P395" s="115"/>
      <c r="R395" s="513" t="str">
        <f>IF(H395="","",SUMIFS(C_FuelStreams!BK:BK,C_FuelStreams!BI:BI,H395))</f>
        <v/>
      </c>
      <c r="S395" s="513" t="str">
        <f>IF(H395="","",SUMIFS(C_FuelStreams!CP:CP,C_FuelStreams!BI:BI,H395))</f>
        <v/>
      </c>
      <c r="T395" s="513" t="str">
        <f t="shared" si="10"/>
        <v/>
      </c>
      <c r="X395" s="514" t="b">
        <f t="shared" si="11"/>
        <v>0</v>
      </c>
    </row>
    <row r="396" spans="1:24" ht="12.75" hidden="1" customHeight="1" x14ac:dyDescent="0.25">
      <c r="A396" s="113" t="s">
        <v>0</v>
      </c>
      <c r="B396" s="132"/>
      <c r="D396" s="496">
        <v>110</v>
      </c>
      <c r="E396" s="27"/>
      <c r="F396" s="1308" t="str">
        <f t="shared" si="9"/>
        <v/>
      </c>
      <c r="G396" s="1308"/>
      <c r="H396" s="1306"/>
      <c r="I396" s="1306"/>
      <c r="J396" s="510" t="str">
        <f>IF(H396="","",INDEX(C_FuelStreams!BM:BM,MATCH(H396,C_FuelStreams!BI:BI,0)))</f>
        <v/>
      </c>
      <c r="K396" s="511" t="str">
        <f>IF(H396="","",SUMIFS(C_FuelStreams!BL:BL,C_FuelStreams!BI:BI,H396))</f>
        <v/>
      </c>
      <c r="L396" s="28"/>
      <c r="M396" s="28"/>
      <c r="N396" s="512" t="str">
        <f t="shared" si="8"/>
        <v/>
      </c>
      <c r="O396" s="142"/>
      <c r="P396" s="115"/>
      <c r="R396" s="513" t="str">
        <f>IF(H396="","",SUMIFS(C_FuelStreams!BK:BK,C_FuelStreams!BI:BI,H396))</f>
        <v/>
      </c>
      <c r="S396" s="513" t="str">
        <f>IF(H396="","",SUMIFS(C_FuelStreams!CP:CP,C_FuelStreams!BI:BI,H396))</f>
        <v/>
      </c>
      <c r="T396" s="513" t="str">
        <f t="shared" si="10"/>
        <v/>
      </c>
      <c r="X396" s="514" t="b">
        <f t="shared" si="11"/>
        <v>0</v>
      </c>
    </row>
    <row r="397" spans="1:24" ht="12.75" hidden="1" customHeight="1" x14ac:dyDescent="0.25">
      <c r="A397" s="113" t="s">
        <v>0</v>
      </c>
      <c r="B397" s="132"/>
      <c r="D397" s="496">
        <v>111</v>
      </c>
      <c r="E397" s="27"/>
      <c r="F397" s="1308" t="str">
        <f t="shared" si="9"/>
        <v/>
      </c>
      <c r="G397" s="1308"/>
      <c r="H397" s="1306"/>
      <c r="I397" s="1306"/>
      <c r="J397" s="510" t="str">
        <f>IF(H397="","",INDEX(C_FuelStreams!BM:BM,MATCH(H397,C_FuelStreams!BI:BI,0)))</f>
        <v/>
      </c>
      <c r="K397" s="511" t="str">
        <f>IF(H397="","",SUMIFS(C_FuelStreams!BL:BL,C_FuelStreams!BI:BI,H397))</f>
        <v/>
      </c>
      <c r="L397" s="28"/>
      <c r="M397" s="28"/>
      <c r="N397" s="512" t="str">
        <f t="shared" si="8"/>
        <v/>
      </c>
      <c r="O397" s="142"/>
      <c r="P397" s="115"/>
      <c r="R397" s="513" t="str">
        <f>IF(H397="","",SUMIFS(C_FuelStreams!BK:BK,C_FuelStreams!BI:BI,H397))</f>
        <v/>
      </c>
      <c r="S397" s="513" t="str">
        <f>IF(H397="","",SUMIFS(C_FuelStreams!CP:CP,C_FuelStreams!BI:BI,H397))</f>
        <v/>
      </c>
      <c r="T397" s="513" t="str">
        <f t="shared" si="10"/>
        <v/>
      </c>
      <c r="X397" s="514" t="b">
        <f t="shared" si="11"/>
        <v>0</v>
      </c>
    </row>
    <row r="398" spans="1:24" ht="12.75" hidden="1" customHeight="1" x14ac:dyDescent="0.25">
      <c r="A398" s="113" t="s">
        <v>0</v>
      </c>
      <c r="B398" s="132"/>
      <c r="D398" s="496">
        <v>112</v>
      </c>
      <c r="E398" s="27"/>
      <c r="F398" s="1308" t="str">
        <f t="shared" si="9"/>
        <v/>
      </c>
      <c r="G398" s="1308"/>
      <c r="H398" s="1306"/>
      <c r="I398" s="1306"/>
      <c r="J398" s="510" t="str">
        <f>IF(H398="","",INDEX(C_FuelStreams!BM:BM,MATCH(H398,C_FuelStreams!BI:BI,0)))</f>
        <v/>
      </c>
      <c r="K398" s="511" t="str">
        <f>IF(H398="","",SUMIFS(C_FuelStreams!BL:BL,C_FuelStreams!BI:BI,H398))</f>
        <v/>
      </c>
      <c r="L398" s="28"/>
      <c r="M398" s="28"/>
      <c r="N398" s="512" t="str">
        <f t="shared" si="8"/>
        <v/>
      </c>
      <c r="O398" s="142"/>
      <c r="P398" s="115"/>
      <c r="R398" s="513" t="str">
        <f>IF(H398="","",SUMIFS(C_FuelStreams!BK:BK,C_FuelStreams!BI:BI,H398))</f>
        <v/>
      </c>
      <c r="S398" s="513" t="str">
        <f>IF(H398="","",SUMIFS(C_FuelStreams!CP:CP,C_FuelStreams!BI:BI,H398))</f>
        <v/>
      </c>
      <c r="T398" s="513" t="str">
        <f t="shared" si="10"/>
        <v/>
      </c>
      <c r="X398" s="514" t="b">
        <f t="shared" si="11"/>
        <v>0</v>
      </c>
    </row>
    <row r="399" spans="1:24" ht="12.75" hidden="1" customHeight="1" x14ac:dyDescent="0.25">
      <c r="A399" s="113" t="s">
        <v>0</v>
      </c>
      <c r="B399" s="132"/>
      <c r="D399" s="496">
        <v>113</v>
      </c>
      <c r="E399" s="27"/>
      <c r="F399" s="1308" t="str">
        <f t="shared" si="9"/>
        <v/>
      </c>
      <c r="G399" s="1308"/>
      <c r="H399" s="1306"/>
      <c r="I399" s="1306"/>
      <c r="J399" s="510" t="str">
        <f>IF(H399="","",INDEX(C_FuelStreams!BM:BM,MATCH(H399,C_FuelStreams!BI:BI,0)))</f>
        <v/>
      </c>
      <c r="K399" s="511" t="str">
        <f>IF(H399="","",SUMIFS(C_FuelStreams!BL:BL,C_FuelStreams!BI:BI,H399))</f>
        <v/>
      </c>
      <c r="L399" s="28"/>
      <c r="M399" s="28"/>
      <c r="N399" s="512" t="str">
        <f t="shared" si="8"/>
        <v/>
      </c>
      <c r="O399" s="142"/>
      <c r="P399" s="115"/>
      <c r="R399" s="513" t="str">
        <f>IF(H399="","",SUMIFS(C_FuelStreams!BK:BK,C_FuelStreams!BI:BI,H399))</f>
        <v/>
      </c>
      <c r="S399" s="513" t="str">
        <f>IF(H399="","",SUMIFS(C_FuelStreams!CP:CP,C_FuelStreams!BI:BI,H399))</f>
        <v/>
      </c>
      <c r="T399" s="513" t="str">
        <f t="shared" si="10"/>
        <v/>
      </c>
      <c r="X399" s="514" t="b">
        <f t="shared" si="11"/>
        <v>0</v>
      </c>
    </row>
    <row r="400" spans="1:24" ht="12.75" hidden="1" customHeight="1" x14ac:dyDescent="0.25">
      <c r="A400" s="113" t="s">
        <v>0</v>
      </c>
      <c r="B400" s="132"/>
      <c r="D400" s="496">
        <v>114</v>
      </c>
      <c r="E400" s="27"/>
      <c r="F400" s="1308" t="str">
        <f t="shared" si="9"/>
        <v/>
      </c>
      <c r="G400" s="1308"/>
      <c r="H400" s="1306"/>
      <c r="I400" s="1306"/>
      <c r="J400" s="510" t="str">
        <f>IF(H400="","",INDEX(C_FuelStreams!BM:BM,MATCH(H400,C_FuelStreams!BI:BI,0)))</f>
        <v/>
      </c>
      <c r="K400" s="511" t="str">
        <f>IF(H400="","",SUMIFS(C_FuelStreams!BL:BL,C_FuelStreams!BI:BI,H400))</f>
        <v/>
      </c>
      <c r="L400" s="28"/>
      <c r="M400" s="28"/>
      <c r="N400" s="512" t="str">
        <f t="shared" si="8"/>
        <v/>
      </c>
      <c r="O400" s="142"/>
      <c r="P400" s="115"/>
      <c r="R400" s="513" t="str">
        <f>IF(H400="","",SUMIFS(C_FuelStreams!BK:BK,C_FuelStreams!BI:BI,H400))</f>
        <v/>
      </c>
      <c r="S400" s="513" t="str">
        <f>IF(H400="","",SUMIFS(C_FuelStreams!CP:CP,C_FuelStreams!BI:BI,H400))</f>
        <v/>
      </c>
      <c r="T400" s="513" t="str">
        <f t="shared" si="10"/>
        <v/>
      </c>
      <c r="X400" s="514" t="b">
        <f t="shared" si="11"/>
        <v>0</v>
      </c>
    </row>
    <row r="401" spans="1:24" ht="12.75" hidden="1" customHeight="1" x14ac:dyDescent="0.25">
      <c r="A401" s="113" t="s">
        <v>0</v>
      </c>
      <c r="B401" s="132"/>
      <c r="D401" s="496">
        <v>115</v>
      </c>
      <c r="E401" s="27"/>
      <c r="F401" s="1308" t="str">
        <f t="shared" si="9"/>
        <v/>
      </c>
      <c r="G401" s="1308"/>
      <c r="H401" s="1306"/>
      <c r="I401" s="1306"/>
      <c r="J401" s="510" t="str">
        <f>IF(H401="","",INDEX(C_FuelStreams!BM:BM,MATCH(H401,C_FuelStreams!BI:BI,0)))</f>
        <v/>
      </c>
      <c r="K401" s="511" t="str">
        <f>IF(H401="","",SUMIFS(C_FuelStreams!BL:BL,C_FuelStreams!BI:BI,H401))</f>
        <v/>
      </c>
      <c r="L401" s="28"/>
      <c r="M401" s="28"/>
      <c r="N401" s="512" t="str">
        <f t="shared" si="8"/>
        <v/>
      </c>
      <c r="O401" s="142"/>
      <c r="P401" s="115"/>
      <c r="R401" s="513" t="str">
        <f>IF(H401="","",SUMIFS(C_FuelStreams!BK:BK,C_FuelStreams!BI:BI,H401))</f>
        <v/>
      </c>
      <c r="S401" s="513" t="str">
        <f>IF(H401="","",SUMIFS(C_FuelStreams!CP:CP,C_FuelStreams!BI:BI,H401))</f>
        <v/>
      </c>
      <c r="T401" s="513" t="str">
        <f t="shared" si="10"/>
        <v/>
      </c>
      <c r="X401" s="514" t="b">
        <f t="shared" si="11"/>
        <v>0</v>
      </c>
    </row>
    <row r="402" spans="1:24" ht="12.75" hidden="1" customHeight="1" x14ac:dyDescent="0.25">
      <c r="A402" s="113" t="s">
        <v>0</v>
      </c>
      <c r="B402" s="132"/>
      <c r="D402" s="496">
        <v>116</v>
      </c>
      <c r="E402" s="27"/>
      <c r="F402" s="1308" t="str">
        <f t="shared" si="9"/>
        <v/>
      </c>
      <c r="G402" s="1308"/>
      <c r="H402" s="1306"/>
      <c r="I402" s="1306"/>
      <c r="J402" s="510" t="str">
        <f>IF(H402="","",INDEX(C_FuelStreams!BM:BM,MATCH(H402,C_FuelStreams!BI:BI,0)))</f>
        <v/>
      </c>
      <c r="K402" s="511" t="str">
        <f>IF(H402="","",SUMIFS(C_FuelStreams!BL:BL,C_FuelStreams!BI:BI,H402))</f>
        <v/>
      </c>
      <c r="L402" s="28"/>
      <c r="M402" s="28"/>
      <c r="N402" s="512" t="str">
        <f t="shared" si="8"/>
        <v/>
      </c>
      <c r="O402" s="142"/>
      <c r="P402" s="115"/>
      <c r="R402" s="513" t="str">
        <f>IF(H402="","",SUMIFS(C_FuelStreams!BK:BK,C_FuelStreams!BI:BI,H402))</f>
        <v/>
      </c>
      <c r="S402" s="513" t="str">
        <f>IF(H402="","",SUMIFS(C_FuelStreams!CP:CP,C_FuelStreams!BI:BI,H402))</f>
        <v/>
      </c>
      <c r="T402" s="513" t="str">
        <f t="shared" si="10"/>
        <v/>
      </c>
      <c r="X402" s="514" t="b">
        <f t="shared" si="11"/>
        <v>0</v>
      </c>
    </row>
    <row r="403" spans="1:24" ht="12.75" hidden="1" customHeight="1" x14ac:dyDescent="0.25">
      <c r="A403" s="113" t="s">
        <v>0</v>
      </c>
      <c r="B403" s="132"/>
      <c r="D403" s="496">
        <v>117</v>
      </c>
      <c r="E403" s="27"/>
      <c r="F403" s="1308" t="str">
        <f t="shared" si="9"/>
        <v/>
      </c>
      <c r="G403" s="1308"/>
      <c r="H403" s="1306"/>
      <c r="I403" s="1306"/>
      <c r="J403" s="510" t="str">
        <f>IF(H403="","",INDEX(C_FuelStreams!BM:BM,MATCH(H403,C_FuelStreams!BI:BI,0)))</f>
        <v/>
      </c>
      <c r="K403" s="511" t="str">
        <f>IF(H403="","",SUMIFS(C_FuelStreams!BL:BL,C_FuelStreams!BI:BI,H403))</f>
        <v/>
      </c>
      <c r="L403" s="28"/>
      <c r="M403" s="28"/>
      <c r="N403" s="512" t="str">
        <f t="shared" si="8"/>
        <v/>
      </c>
      <c r="O403" s="142"/>
      <c r="P403" s="115"/>
      <c r="R403" s="513" t="str">
        <f>IF(H403="","",SUMIFS(C_FuelStreams!BK:BK,C_FuelStreams!BI:BI,H403))</f>
        <v/>
      </c>
      <c r="S403" s="513" t="str">
        <f>IF(H403="","",SUMIFS(C_FuelStreams!CP:CP,C_FuelStreams!BI:BI,H403))</f>
        <v/>
      </c>
      <c r="T403" s="513" t="str">
        <f t="shared" si="10"/>
        <v/>
      </c>
      <c r="X403" s="514" t="b">
        <f t="shared" si="11"/>
        <v>0</v>
      </c>
    </row>
    <row r="404" spans="1:24" ht="12.75" hidden="1" customHeight="1" x14ac:dyDescent="0.25">
      <c r="A404" s="113" t="s">
        <v>0</v>
      </c>
      <c r="B404" s="132"/>
      <c r="D404" s="496">
        <v>118</v>
      </c>
      <c r="E404" s="27"/>
      <c r="F404" s="1308" t="str">
        <f t="shared" si="9"/>
        <v/>
      </c>
      <c r="G404" s="1308"/>
      <c r="H404" s="1306"/>
      <c r="I404" s="1306"/>
      <c r="J404" s="510" t="str">
        <f>IF(H404="","",INDEX(C_FuelStreams!BM:BM,MATCH(H404,C_FuelStreams!BI:BI,0)))</f>
        <v/>
      </c>
      <c r="K404" s="511" t="str">
        <f>IF(H404="","",SUMIFS(C_FuelStreams!BL:BL,C_FuelStreams!BI:BI,H404))</f>
        <v/>
      </c>
      <c r="L404" s="28"/>
      <c r="M404" s="28"/>
      <c r="N404" s="512" t="str">
        <f t="shared" si="8"/>
        <v/>
      </c>
      <c r="O404" s="142"/>
      <c r="P404" s="115"/>
      <c r="R404" s="513" t="str">
        <f>IF(H404="","",SUMIFS(C_FuelStreams!BK:BK,C_FuelStreams!BI:BI,H404))</f>
        <v/>
      </c>
      <c r="S404" s="513" t="str">
        <f>IF(H404="","",SUMIFS(C_FuelStreams!CP:CP,C_FuelStreams!BI:BI,H404))</f>
        <v/>
      </c>
      <c r="T404" s="513" t="str">
        <f t="shared" si="10"/>
        <v/>
      </c>
      <c r="X404" s="514" t="b">
        <f t="shared" si="11"/>
        <v>0</v>
      </c>
    </row>
    <row r="405" spans="1:24" ht="12.75" hidden="1" customHeight="1" x14ac:dyDescent="0.25">
      <c r="A405" s="113" t="s">
        <v>0</v>
      </c>
      <c r="B405" s="132"/>
      <c r="D405" s="496">
        <v>119</v>
      </c>
      <c r="E405" s="27"/>
      <c r="F405" s="1308" t="str">
        <f t="shared" si="9"/>
        <v/>
      </c>
      <c r="G405" s="1308"/>
      <c r="H405" s="1306"/>
      <c r="I405" s="1306"/>
      <c r="J405" s="510" t="str">
        <f>IF(H405="","",INDEX(C_FuelStreams!BM:BM,MATCH(H405,C_FuelStreams!BI:BI,0)))</f>
        <v/>
      </c>
      <c r="K405" s="511" t="str">
        <f>IF(H405="","",SUMIFS(C_FuelStreams!BL:BL,C_FuelStreams!BI:BI,H405))</f>
        <v/>
      </c>
      <c r="L405" s="28"/>
      <c r="M405" s="28"/>
      <c r="N405" s="512" t="str">
        <f t="shared" si="8"/>
        <v/>
      </c>
      <c r="O405" s="142"/>
      <c r="P405" s="115"/>
      <c r="R405" s="513" t="str">
        <f>IF(H405="","",SUMIFS(C_FuelStreams!BK:BK,C_FuelStreams!BI:BI,H405))</f>
        <v/>
      </c>
      <c r="S405" s="513" t="str">
        <f>IF(H405="","",SUMIFS(C_FuelStreams!CP:CP,C_FuelStreams!BI:BI,H405))</f>
        <v/>
      </c>
      <c r="T405" s="513" t="str">
        <f t="shared" si="10"/>
        <v/>
      </c>
      <c r="X405" s="514" t="b">
        <f t="shared" si="11"/>
        <v>0</v>
      </c>
    </row>
    <row r="406" spans="1:24" ht="12.75" hidden="1" customHeight="1" x14ac:dyDescent="0.25">
      <c r="A406" s="113" t="s">
        <v>0</v>
      </c>
      <c r="B406" s="132"/>
      <c r="D406" s="496">
        <v>120</v>
      </c>
      <c r="E406" s="27"/>
      <c r="F406" s="1308" t="str">
        <f t="shared" si="9"/>
        <v/>
      </c>
      <c r="G406" s="1308"/>
      <c r="H406" s="1306"/>
      <c r="I406" s="1306"/>
      <c r="J406" s="510" t="str">
        <f>IF(H406="","",INDEX(C_FuelStreams!BM:BM,MATCH(H406,C_FuelStreams!BI:BI,0)))</f>
        <v/>
      </c>
      <c r="K406" s="511" t="str">
        <f>IF(H406="","",SUMIFS(C_FuelStreams!BL:BL,C_FuelStreams!BI:BI,H406))</f>
        <v/>
      </c>
      <c r="L406" s="28"/>
      <c r="M406" s="28"/>
      <c r="N406" s="512" t="str">
        <f t="shared" si="8"/>
        <v/>
      </c>
      <c r="O406" s="142"/>
      <c r="P406" s="115"/>
      <c r="R406" s="513" t="str">
        <f>IF(H406="","",SUMIFS(C_FuelStreams!BK:BK,C_FuelStreams!BI:BI,H406))</f>
        <v/>
      </c>
      <c r="S406" s="513" t="str">
        <f>IF(H406="","",SUMIFS(C_FuelStreams!CP:CP,C_FuelStreams!BI:BI,H406))</f>
        <v/>
      </c>
      <c r="T406" s="513" t="str">
        <f t="shared" si="10"/>
        <v/>
      </c>
      <c r="X406" s="514" t="b">
        <f t="shared" si="11"/>
        <v>0</v>
      </c>
    </row>
    <row r="407" spans="1:24" ht="12.75" hidden="1" customHeight="1" x14ac:dyDescent="0.25">
      <c r="A407" s="113" t="s">
        <v>0</v>
      </c>
      <c r="B407" s="132"/>
      <c r="D407" s="496">
        <v>121</v>
      </c>
      <c r="E407" s="27"/>
      <c r="F407" s="1308" t="str">
        <f t="shared" si="9"/>
        <v/>
      </c>
      <c r="G407" s="1308"/>
      <c r="H407" s="1306"/>
      <c r="I407" s="1306"/>
      <c r="J407" s="510" t="str">
        <f>IF(H407="","",INDEX(C_FuelStreams!BM:BM,MATCH(H407,C_FuelStreams!BI:BI,0)))</f>
        <v/>
      </c>
      <c r="K407" s="511" t="str">
        <f>IF(H407="","",SUMIFS(C_FuelStreams!BL:BL,C_FuelStreams!BI:BI,H407))</f>
        <v/>
      </c>
      <c r="L407" s="28"/>
      <c r="M407" s="28"/>
      <c r="N407" s="512" t="str">
        <f t="shared" si="8"/>
        <v/>
      </c>
      <c r="O407" s="142"/>
      <c r="P407" s="115"/>
      <c r="R407" s="513" t="str">
        <f>IF(H407="","",SUMIFS(C_FuelStreams!BK:BK,C_FuelStreams!BI:BI,H407))</f>
        <v/>
      </c>
      <c r="S407" s="513" t="str">
        <f>IF(H407="","",SUMIFS(C_FuelStreams!CP:CP,C_FuelStreams!BI:BI,H407))</f>
        <v/>
      </c>
      <c r="T407" s="513" t="str">
        <f t="shared" si="10"/>
        <v/>
      </c>
      <c r="X407" s="514" t="b">
        <f t="shared" si="11"/>
        <v>0</v>
      </c>
    </row>
    <row r="408" spans="1:24" ht="12.75" hidden="1" customHeight="1" x14ac:dyDescent="0.25">
      <c r="A408" s="113" t="s">
        <v>0</v>
      </c>
      <c r="B408" s="132"/>
      <c r="D408" s="496">
        <v>122</v>
      </c>
      <c r="E408" s="27"/>
      <c r="F408" s="1308" t="str">
        <f t="shared" si="9"/>
        <v/>
      </c>
      <c r="G408" s="1308"/>
      <c r="H408" s="1306"/>
      <c r="I408" s="1306"/>
      <c r="J408" s="510" t="str">
        <f>IF(H408="","",INDEX(C_FuelStreams!BM:BM,MATCH(H408,C_FuelStreams!BI:BI,0)))</f>
        <v/>
      </c>
      <c r="K408" s="511" t="str">
        <f>IF(H408="","",SUMIFS(C_FuelStreams!BL:BL,C_FuelStreams!BI:BI,H408))</f>
        <v/>
      </c>
      <c r="L408" s="28"/>
      <c r="M408" s="28"/>
      <c r="N408" s="512" t="str">
        <f t="shared" si="8"/>
        <v/>
      </c>
      <c r="O408" s="142"/>
      <c r="P408" s="115"/>
      <c r="R408" s="513" t="str">
        <f>IF(H408="","",SUMIFS(C_FuelStreams!BK:BK,C_FuelStreams!BI:BI,H408))</f>
        <v/>
      </c>
      <c r="S408" s="513" t="str">
        <f>IF(H408="","",SUMIFS(C_FuelStreams!CP:CP,C_FuelStreams!BI:BI,H408))</f>
        <v/>
      </c>
      <c r="T408" s="513" t="str">
        <f t="shared" si="10"/>
        <v/>
      </c>
      <c r="X408" s="514" t="b">
        <f t="shared" si="11"/>
        <v>0</v>
      </c>
    </row>
    <row r="409" spans="1:24" ht="12.75" hidden="1" customHeight="1" x14ac:dyDescent="0.25">
      <c r="A409" s="113" t="s">
        <v>0</v>
      </c>
      <c r="B409" s="132"/>
      <c r="D409" s="496">
        <v>123</v>
      </c>
      <c r="E409" s="27"/>
      <c r="F409" s="1308" t="str">
        <f t="shared" si="9"/>
        <v/>
      </c>
      <c r="G409" s="1308"/>
      <c r="H409" s="1306"/>
      <c r="I409" s="1306"/>
      <c r="J409" s="510" t="str">
        <f>IF(H409="","",INDEX(C_FuelStreams!BM:BM,MATCH(H409,C_FuelStreams!BI:BI,0)))</f>
        <v/>
      </c>
      <c r="K409" s="511" t="str">
        <f>IF(H409="","",SUMIFS(C_FuelStreams!BL:BL,C_FuelStreams!BI:BI,H409))</f>
        <v/>
      </c>
      <c r="L409" s="28"/>
      <c r="M409" s="28"/>
      <c r="N409" s="512" t="str">
        <f t="shared" si="8"/>
        <v/>
      </c>
      <c r="O409" s="142"/>
      <c r="P409" s="115"/>
      <c r="R409" s="513" t="str">
        <f>IF(H409="","",SUMIFS(C_FuelStreams!BK:BK,C_FuelStreams!BI:BI,H409))</f>
        <v/>
      </c>
      <c r="S409" s="513" t="str">
        <f>IF(H409="","",SUMIFS(C_FuelStreams!CP:CP,C_FuelStreams!BI:BI,H409))</f>
        <v/>
      </c>
      <c r="T409" s="513" t="str">
        <f t="shared" si="10"/>
        <v/>
      </c>
      <c r="X409" s="514" t="b">
        <f t="shared" si="11"/>
        <v>0</v>
      </c>
    </row>
    <row r="410" spans="1:24" ht="12.75" hidden="1" customHeight="1" x14ac:dyDescent="0.25">
      <c r="A410" s="113" t="s">
        <v>0</v>
      </c>
      <c r="B410" s="132"/>
      <c r="D410" s="496">
        <v>124</v>
      </c>
      <c r="E410" s="27"/>
      <c r="F410" s="1308" t="str">
        <f t="shared" si="9"/>
        <v/>
      </c>
      <c r="G410" s="1308"/>
      <c r="H410" s="1306"/>
      <c r="I410" s="1306"/>
      <c r="J410" s="510" t="str">
        <f>IF(H410="","",INDEX(C_FuelStreams!BM:BM,MATCH(H410,C_FuelStreams!BI:BI,0)))</f>
        <v/>
      </c>
      <c r="K410" s="511" t="str">
        <f>IF(H410="","",SUMIFS(C_FuelStreams!BL:BL,C_FuelStreams!BI:BI,H410))</f>
        <v/>
      </c>
      <c r="L410" s="28"/>
      <c r="M410" s="28"/>
      <c r="N410" s="512" t="str">
        <f t="shared" si="8"/>
        <v/>
      </c>
      <c r="O410" s="142"/>
      <c r="P410" s="115"/>
      <c r="R410" s="513" t="str">
        <f>IF(H410="","",SUMIFS(C_FuelStreams!BK:BK,C_FuelStreams!BI:BI,H410))</f>
        <v/>
      </c>
      <c r="S410" s="513" t="str">
        <f>IF(H410="","",SUMIFS(C_FuelStreams!CP:CP,C_FuelStreams!BI:BI,H410))</f>
        <v/>
      </c>
      <c r="T410" s="513" t="str">
        <f t="shared" si="10"/>
        <v/>
      </c>
      <c r="X410" s="514" t="b">
        <f t="shared" si="11"/>
        <v>0</v>
      </c>
    </row>
    <row r="411" spans="1:24" ht="12.75" hidden="1" customHeight="1" x14ac:dyDescent="0.25">
      <c r="A411" s="113" t="s">
        <v>0</v>
      </c>
      <c r="B411" s="132"/>
      <c r="D411" s="496">
        <v>125</v>
      </c>
      <c r="E411" s="27"/>
      <c r="F411" s="1308" t="str">
        <f t="shared" si="9"/>
        <v/>
      </c>
      <c r="G411" s="1308"/>
      <c r="H411" s="1306"/>
      <c r="I411" s="1306"/>
      <c r="J411" s="510" t="str">
        <f>IF(H411="","",INDEX(C_FuelStreams!BM:BM,MATCH(H411,C_FuelStreams!BI:BI,0)))</f>
        <v/>
      </c>
      <c r="K411" s="511" t="str">
        <f>IF(H411="","",SUMIFS(C_FuelStreams!BL:BL,C_FuelStreams!BI:BI,H411))</f>
        <v/>
      </c>
      <c r="L411" s="28"/>
      <c r="M411" s="28"/>
      <c r="N411" s="512" t="str">
        <f t="shared" si="8"/>
        <v/>
      </c>
      <c r="O411" s="142"/>
      <c r="P411" s="115"/>
      <c r="R411" s="513" t="str">
        <f>IF(H411="","",SUMIFS(C_FuelStreams!BK:BK,C_FuelStreams!BI:BI,H411))</f>
        <v/>
      </c>
      <c r="S411" s="513" t="str">
        <f>IF(H411="","",SUMIFS(C_FuelStreams!CP:CP,C_FuelStreams!BI:BI,H411))</f>
        <v/>
      </c>
      <c r="T411" s="513" t="str">
        <f t="shared" si="10"/>
        <v/>
      </c>
      <c r="X411" s="514" t="b">
        <f t="shared" si="11"/>
        <v>0</v>
      </c>
    </row>
    <row r="412" spans="1:24" ht="12.75" hidden="1" customHeight="1" x14ac:dyDescent="0.25">
      <c r="A412" s="113" t="s">
        <v>0</v>
      </c>
      <c r="B412" s="132"/>
      <c r="D412" s="496">
        <v>126</v>
      </c>
      <c r="E412" s="27"/>
      <c r="F412" s="1308" t="str">
        <f t="shared" si="9"/>
        <v/>
      </c>
      <c r="G412" s="1308"/>
      <c r="H412" s="1306"/>
      <c r="I412" s="1306"/>
      <c r="J412" s="510" t="str">
        <f>IF(H412="","",INDEX(C_FuelStreams!BM:BM,MATCH(H412,C_FuelStreams!BI:BI,0)))</f>
        <v/>
      </c>
      <c r="K412" s="511" t="str">
        <f>IF(H412="","",SUMIFS(C_FuelStreams!BL:BL,C_FuelStreams!BI:BI,H412))</f>
        <v/>
      </c>
      <c r="L412" s="28"/>
      <c r="M412" s="28"/>
      <c r="N412" s="512" t="str">
        <f t="shared" si="8"/>
        <v/>
      </c>
      <c r="O412" s="142"/>
      <c r="P412" s="115"/>
      <c r="R412" s="513" t="str">
        <f>IF(H412="","",SUMIFS(C_FuelStreams!BK:BK,C_FuelStreams!BI:BI,H412))</f>
        <v/>
      </c>
      <c r="S412" s="513" t="str">
        <f>IF(H412="","",SUMIFS(C_FuelStreams!CP:CP,C_FuelStreams!BI:BI,H412))</f>
        <v/>
      </c>
      <c r="T412" s="513" t="str">
        <f t="shared" si="10"/>
        <v/>
      </c>
      <c r="X412" s="514" t="b">
        <f t="shared" si="11"/>
        <v>0</v>
      </c>
    </row>
    <row r="413" spans="1:24" ht="12.75" hidden="1" customHeight="1" x14ac:dyDescent="0.25">
      <c r="A413" s="113" t="s">
        <v>0</v>
      </c>
      <c r="B413" s="132"/>
      <c r="D413" s="496">
        <v>127</v>
      </c>
      <c r="E413" s="27"/>
      <c r="F413" s="1308" t="str">
        <f t="shared" si="9"/>
        <v/>
      </c>
      <c r="G413" s="1308"/>
      <c r="H413" s="1306"/>
      <c r="I413" s="1306"/>
      <c r="J413" s="510" t="str">
        <f>IF(H413="","",INDEX(C_FuelStreams!BM:BM,MATCH(H413,C_FuelStreams!BI:BI,0)))</f>
        <v/>
      </c>
      <c r="K413" s="511" t="str">
        <f>IF(H413="","",SUMIFS(C_FuelStreams!BL:BL,C_FuelStreams!BI:BI,H413))</f>
        <v/>
      </c>
      <c r="L413" s="28"/>
      <c r="M413" s="28"/>
      <c r="N413" s="512" t="str">
        <f t="shared" si="8"/>
        <v/>
      </c>
      <c r="O413" s="142"/>
      <c r="P413" s="115"/>
      <c r="R413" s="513" t="str">
        <f>IF(H413="","",SUMIFS(C_FuelStreams!BK:BK,C_FuelStreams!BI:BI,H413))</f>
        <v/>
      </c>
      <c r="S413" s="513" t="str">
        <f>IF(H413="","",SUMIFS(C_FuelStreams!CP:CP,C_FuelStreams!BI:BI,H413))</f>
        <v/>
      </c>
      <c r="T413" s="513" t="str">
        <f t="shared" si="10"/>
        <v/>
      </c>
      <c r="X413" s="514" t="b">
        <f t="shared" si="11"/>
        <v>0</v>
      </c>
    </row>
    <row r="414" spans="1:24" ht="12.75" hidden="1" customHeight="1" x14ac:dyDescent="0.25">
      <c r="A414" s="113" t="s">
        <v>0</v>
      </c>
      <c r="B414" s="132"/>
      <c r="D414" s="496">
        <v>128</v>
      </c>
      <c r="E414" s="27"/>
      <c r="F414" s="1308" t="str">
        <f t="shared" si="9"/>
        <v/>
      </c>
      <c r="G414" s="1308"/>
      <c r="H414" s="1306"/>
      <c r="I414" s="1306"/>
      <c r="J414" s="510" t="str">
        <f>IF(H414="","",INDEX(C_FuelStreams!BM:BM,MATCH(H414,C_FuelStreams!BI:BI,0)))</f>
        <v/>
      </c>
      <c r="K414" s="511" t="str">
        <f>IF(H414="","",SUMIFS(C_FuelStreams!BL:BL,C_FuelStreams!BI:BI,H414))</f>
        <v/>
      </c>
      <c r="L414" s="28"/>
      <c r="M414" s="28"/>
      <c r="N414" s="512" t="str">
        <f t="shared" si="8"/>
        <v/>
      </c>
      <c r="O414" s="142"/>
      <c r="P414" s="115"/>
      <c r="R414" s="513" t="str">
        <f>IF(H414="","",SUMIFS(C_FuelStreams!BK:BK,C_FuelStreams!BI:BI,H414))</f>
        <v/>
      </c>
      <c r="S414" s="513" t="str">
        <f>IF(H414="","",SUMIFS(C_FuelStreams!CP:CP,C_FuelStreams!BI:BI,H414))</f>
        <v/>
      </c>
      <c r="T414" s="513" t="str">
        <f t="shared" si="10"/>
        <v/>
      </c>
      <c r="X414" s="514" t="b">
        <f t="shared" si="11"/>
        <v>0</v>
      </c>
    </row>
    <row r="415" spans="1:24" ht="12.75" hidden="1" customHeight="1" x14ac:dyDescent="0.25">
      <c r="A415" s="113" t="s">
        <v>0</v>
      </c>
      <c r="B415" s="132"/>
      <c r="D415" s="496">
        <v>129</v>
      </c>
      <c r="E415" s="27"/>
      <c r="F415" s="1308" t="str">
        <f t="shared" si="9"/>
        <v/>
      </c>
      <c r="G415" s="1308"/>
      <c r="H415" s="1306"/>
      <c r="I415" s="1306"/>
      <c r="J415" s="510" t="str">
        <f>IF(H415="","",INDEX(C_FuelStreams!BM:BM,MATCH(H415,C_FuelStreams!BI:BI,0)))</f>
        <v/>
      </c>
      <c r="K415" s="511" t="str">
        <f>IF(H415="","",SUMIFS(C_FuelStreams!BL:BL,C_FuelStreams!BI:BI,H415))</f>
        <v/>
      </c>
      <c r="L415" s="28"/>
      <c r="M415" s="28"/>
      <c r="N415" s="512" t="str">
        <f t="shared" ref="N415:N478" si="12">IF(COUNT(L415:M415)=0,"",IF(OR(SUMIFS($L$287:$L$536,$H$287:$H$536,H415)&gt;K415,SUMIFS($M$287:$M$536,$H$287:$H$536,H415)&gt;K415),EUconst_ERR_Inconsistent,""))</f>
        <v/>
      </c>
      <c r="O415" s="142"/>
      <c r="P415" s="115"/>
      <c r="R415" s="513" t="str">
        <f>IF(H415="","",SUMIFS(C_FuelStreams!BK:BK,C_FuelStreams!BI:BI,H415))</f>
        <v/>
      </c>
      <c r="S415" s="513" t="str">
        <f>IF(H415="","",SUMIFS(C_FuelStreams!CP:CP,C_FuelStreams!BI:BI,H415))</f>
        <v/>
      </c>
      <c r="T415" s="513" t="str">
        <f t="shared" si="10"/>
        <v/>
      </c>
      <c r="X415" s="514" t="b">
        <f t="shared" si="11"/>
        <v>0</v>
      </c>
    </row>
    <row r="416" spans="1:24" ht="12.75" hidden="1" customHeight="1" x14ac:dyDescent="0.25">
      <c r="A416" s="113" t="s">
        <v>0</v>
      </c>
      <c r="B416" s="132"/>
      <c r="D416" s="496">
        <v>130</v>
      </c>
      <c r="E416" s="27"/>
      <c r="F416" s="1308" t="str">
        <f t="shared" si="9"/>
        <v/>
      </c>
      <c r="G416" s="1308"/>
      <c r="H416" s="1306"/>
      <c r="I416" s="1306"/>
      <c r="J416" s="510" t="str">
        <f>IF(H416="","",INDEX(C_FuelStreams!BM:BM,MATCH(H416,C_FuelStreams!BI:BI,0)))</f>
        <v/>
      </c>
      <c r="K416" s="511" t="str">
        <f>IF(H416="","",SUMIFS(C_FuelStreams!BL:BL,C_FuelStreams!BI:BI,H416))</f>
        <v/>
      </c>
      <c r="L416" s="28"/>
      <c r="M416" s="28"/>
      <c r="N416" s="512" t="str">
        <f t="shared" si="12"/>
        <v/>
      </c>
      <c r="O416" s="142"/>
      <c r="P416" s="115"/>
      <c r="R416" s="513" t="str">
        <f>IF(H416="","",SUMIFS(C_FuelStreams!BK:BK,C_FuelStreams!BI:BI,H416))</f>
        <v/>
      </c>
      <c r="S416" s="513" t="str">
        <f>IF(H416="","",SUMIFS(C_FuelStreams!CP:CP,C_FuelStreams!BI:BI,H416))</f>
        <v/>
      </c>
      <c r="T416" s="513" t="str">
        <f t="shared" si="10"/>
        <v/>
      </c>
      <c r="X416" s="514" t="b">
        <f t="shared" si="11"/>
        <v>0</v>
      </c>
    </row>
    <row r="417" spans="1:24" ht="12.75" hidden="1" customHeight="1" x14ac:dyDescent="0.25">
      <c r="A417" s="113" t="s">
        <v>0</v>
      </c>
      <c r="B417" s="132"/>
      <c r="D417" s="496">
        <v>131</v>
      </c>
      <c r="E417" s="27"/>
      <c r="F417" s="1308" t="str">
        <f t="shared" si="9"/>
        <v/>
      </c>
      <c r="G417" s="1308"/>
      <c r="H417" s="1306"/>
      <c r="I417" s="1306"/>
      <c r="J417" s="510" t="str">
        <f>IF(H417="","",INDEX(C_FuelStreams!BM:BM,MATCH(H417,C_FuelStreams!BI:BI,0)))</f>
        <v/>
      </c>
      <c r="K417" s="511" t="str">
        <f>IF(H417="","",SUMIFS(C_FuelStreams!BL:BL,C_FuelStreams!BI:BI,H417))</f>
        <v/>
      </c>
      <c r="L417" s="28"/>
      <c r="M417" s="28"/>
      <c r="N417" s="512" t="str">
        <f t="shared" si="12"/>
        <v/>
      </c>
      <c r="O417" s="142"/>
      <c r="P417" s="115"/>
      <c r="R417" s="513" t="str">
        <f>IF(H417="","",SUMIFS(C_FuelStreams!BK:BK,C_FuelStreams!BI:BI,H417))</f>
        <v/>
      </c>
      <c r="S417" s="513" t="str">
        <f>IF(H417="","",SUMIFS(C_FuelStreams!CP:CP,C_FuelStreams!BI:BI,H417))</f>
        <v/>
      </c>
      <c r="T417" s="513" t="str">
        <f t="shared" si="10"/>
        <v/>
      </c>
      <c r="X417" s="514" t="b">
        <f t="shared" si="11"/>
        <v>0</v>
      </c>
    </row>
    <row r="418" spans="1:24" ht="12.75" hidden="1" customHeight="1" x14ac:dyDescent="0.25">
      <c r="A418" s="113" t="s">
        <v>0</v>
      </c>
      <c r="B418" s="132"/>
      <c r="D418" s="496">
        <v>132</v>
      </c>
      <c r="E418" s="27"/>
      <c r="F418" s="1308" t="str">
        <f t="shared" si="9"/>
        <v/>
      </c>
      <c r="G418" s="1308"/>
      <c r="H418" s="1306"/>
      <c r="I418" s="1306"/>
      <c r="J418" s="510" t="str">
        <f>IF(H418="","",INDEX(C_FuelStreams!BM:BM,MATCH(H418,C_FuelStreams!BI:BI,0)))</f>
        <v/>
      </c>
      <c r="K418" s="511" t="str">
        <f>IF(H418="","",SUMIFS(C_FuelStreams!BL:BL,C_FuelStreams!BI:BI,H418))</f>
        <v/>
      </c>
      <c r="L418" s="28"/>
      <c r="M418" s="28"/>
      <c r="N418" s="512" t="str">
        <f t="shared" si="12"/>
        <v/>
      </c>
      <c r="O418" s="142"/>
      <c r="P418" s="115"/>
      <c r="R418" s="513" t="str">
        <f>IF(H418="","",SUMIFS(C_FuelStreams!BK:BK,C_FuelStreams!BI:BI,H418))</f>
        <v/>
      </c>
      <c r="S418" s="513" t="str">
        <f>IF(H418="","",SUMIFS(C_FuelStreams!CP:CP,C_FuelStreams!BI:BI,H418))</f>
        <v/>
      </c>
      <c r="T418" s="513" t="str">
        <f t="shared" si="10"/>
        <v/>
      </c>
      <c r="X418" s="514" t="b">
        <f t="shared" si="11"/>
        <v>0</v>
      </c>
    </row>
    <row r="419" spans="1:24" ht="12.75" hidden="1" customHeight="1" x14ac:dyDescent="0.25">
      <c r="A419" s="113" t="s">
        <v>0</v>
      </c>
      <c r="B419" s="132"/>
      <c r="D419" s="496">
        <v>133</v>
      </c>
      <c r="E419" s="27"/>
      <c r="F419" s="1308" t="str">
        <f t="shared" si="9"/>
        <v/>
      </c>
      <c r="G419" s="1308"/>
      <c r="H419" s="1306"/>
      <c r="I419" s="1306"/>
      <c r="J419" s="510" t="str">
        <f>IF(H419="","",INDEX(C_FuelStreams!BM:BM,MATCH(H419,C_FuelStreams!BI:BI,0)))</f>
        <v/>
      </c>
      <c r="K419" s="511" t="str">
        <f>IF(H419="","",SUMIFS(C_FuelStreams!BL:BL,C_FuelStreams!BI:BI,H419))</f>
        <v/>
      </c>
      <c r="L419" s="28"/>
      <c r="M419" s="28"/>
      <c r="N419" s="512" t="str">
        <f t="shared" si="12"/>
        <v/>
      </c>
      <c r="O419" s="142"/>
      <c r="P419" s="115"/>
      <c r="R419" s="513" t="str">
        <f>IF(H419="","",SUMIFS(C_FuelStreams!BK:BK,C_FuelStreams!BI:BI,H419))</f>
        <v/>
      </c>
      <c r="S419" s="513" t="str">
        <f>IF(H419="","",SUMIFS(C_FuelStreams!CP:CP,C_FuelStreams!BI:BI,H419))</f>
        <v/>
      </c>
      <c r="T419" s="513" t="str">
        <f t="shared" si="10"/>
        <v/>
      </c>
      <c r="X419" s="514" t="b">
        <f t="shared" si="11"/>
        <v>0</v>
      </c>
    </row>
    <row r="420" spans="1:24" ht="12.75" hidden="1" customHeight="1" x14ac:dyDescent="0.25">
      <c r="A420" s="113" t="s">
        <v>0</v>
      </c>
      <c r="B420" s="132"/>
      <c r="D420" s="496">
        <v>134</v>
      </c>
      <c r="E420" s="27"/>
      <c r="F420" s="1308" t="str">
        <f t="shared" si="9"/>
        <v/>
      </c>
      <c r="G420" s="1308"/>
      <c r="H420" s="1306"/>
      <c r="I420" s="1306"/>
      <c r="J420" s="510" t="str">
        <f>IF(H420="","",INDEX(C_FuelStreams!BM:BM,MATCH(H420,C_FuelStreams!BI:BI,0)))</f>
        <v/>
      </c>
      <c r="K420" s="511" t="str">
        <f>IF(H420="","",SUMIFS(C_FuelStreams!BL:BL,C_FuelStreams!BI:BI,H420))</f>
        <v/>
      </c>
      <c r="L420" s="28"/>
      <c r="M420" s="28"/>
      <c r="N420" s="512" t="str">
        <f t="shared" si="12"/>
        <v/>
      </c>
      <c r="O420" s="142"/>
      <c r="P420" s="115"/>
      <c r="R420" s="513" t="str">
        <f>IF(H420="","",SUMIFS(C_FuelStreams!BK:BK,C_FuelStreams!BI:BI,H420))</f>
        <v/>
      </c>
      <c r="S420" s="513" t="str">
        <f>IF(H420="","",SUMIFS(C_FuelStreams!CP:CP,C_FuelStreams!BI:BI,H420))</f>
        <v/>
      </c>
      <c r="T420" s="513" t="str">
        <f t="shared" si="10"/>
        <v/>
      </c>
      <c r="X420" s="514" t="b">
        <f t="shared" si="11"/>
        <v>0</v>
      </c>
    </row>
    <row r="421" spans="1:24" ht="12.75" hidden="1" customHeight="1" x14ac:dyDescent="0.25">
      <c r="A421" s="113" t="s">
        <v>0</v>
      </c>
      <c r="B421" s="132"/>
      <c r="D421" s="496">
        <v>135</v>
      </c>
      <c r="E421" s="27"/>
      <c r="F421" s="1308" t="str">
        <f t="shared" si="9"/>
        <v/>
      </c>
      <c r="G421" s="1308"/>
      <c r="H421" s="1306"/>
      <c r="I421" s="1306"/>
      <c r="J421" s="510" t="str">
        <f>IF(H421="","",INDEX(C_FuelStreams!BM:BM,MATCH(H421,C_FuelStreams!BI:BI,0)))</f>
        <v/>
      </c>
      <c r="K421" s="511" t="str">
        <f>IF(H421="","",SUMIFS(C_FuelStreams!BL:BL,C_FuelStreams!BI:BI,H421))</f>
        <v/>
      </c>
      <c r="L421" s="28"/>
      <c r="M421" s="28"/>
      <c r="N421" s="512" t="str">
        <f t="shared" si="12"/>
        <v/>
      </c>
      <c r="O421" s="142"/>
      <c r="P421" s="115"/>
      <c r="R421" s="513" t="str">
        <f>IF(H421="","",SUMIFS(C_FuelStreams!BK:BK,C_FuelStreams!BI:BI,H421))</f>
        <v/>
      </c>
      <c r="S421" s="513" t="str">
        <f>IF(H421="","",SUMIFS(C_FuelStreams!CP:CP,C_FuelStreams!BI:BI,H421))</f>
        <v/>
      </c>
      <c r="T421" s="513" t="str">
        <f t="shared" si="10"/>
        <v/>
      </c>
      <c r="X421" s="514" t="b">
        <f t="shared" si="11"/>
        <v>0</v>
      </c>
    </row>
    <row r="422" spans="1:24" ht="12.75" hidden="1" customHeight="1" x14ac:dyDescent="0.25">
      <c r="A422" s="113" t="s">
        <v>0</v>
      </c>
      <c r="B422" s="132"/>
      <c r="D422" s="496">
        <v>136</v>
      </c>
      <c r="E422" s="27"/>
      <c r="F422" s="1308" t="str">
        <f t="shared" si="9"/>
        <v/>
      </c>
      <c r="G422" s="1308"/>
      <c r="H422" s="1306"/>
      <c r="I422" s="1306"/>
      <c r="J422" s="510" t="str">
        <f>IF(H422="","",INDEX(C_FuelStreams!BM:BM,MATCH(H422,C_FuelStreams!BI:BI,0)))</f>
        <v/>
      </c>
      <c r="K422" s="511" t="str">
        <f>IF(H422="","",SUMIFS(C_FuelStreams!BL:BL,C_FuelStreams!BI:BI,H422))</f>
        <v/>
      </c>
      <c r="L422" s="28"/>
      <c r="M422" s="28"/>
      <c r="N422" s="512" t="str">
        <f t="shared" si="12"/>
        <v/>
      </c>
      <c r="O422" s="142"/>
      <c r="P422" s="115"/>
      <c r="R422" s="513" t="str">
        <f>IF(H422="","",SUMIFS(C_FuelStreams!BK:BK,C_FuelStreams!BI:BI,H422))</f>
        <v/>
      </c>
      <c r="S422" s="513" t="str">
        <f>IF(H422="","",SUMIFS(C_FuelStreams!CP:CP,C_FuelStreams!BI:BI,H422))</f>
        <v/>
      </c>
      <c r="T422" s="513" t="str">
        <f t="shared" si="10"/>
        <v/>
      </c>
      <c r="X422" s="514" t="b">
        <f t="shared" si="11"/>
        <v>0</v>
      </c>
    </row>
    <row r="423" spans="1:24" ht="12.75" hidden="1" customHeight="1" x14ac:dyDescent="0.25">
      <c r="A423" s="113" t="s">
        <v>0</v>
      </c>
      <c r="B423" s="132"/>
      <c r="D423" s="496">
        <v>137</v>
      </c>
      <c r="E423" s="27"/>
      <c r="F423" s="1308" t="str">
        <f t="shared" si="9"/>
        <v/>
      </c>
      <c r="G423" s="1308"/>
      <c r="H423" s="1306"/>
      <c r="I423" s="1306"/>
      <c r="J423" s="510" t="str">
        <f>IF(H423="","",INDEX(C_FuelStreams!BM:BM,MATCH(H423,C_FuelStreams!BI:BI,0)))</f>
        <v/>
      </c>
      <c r="K423" s="511" t="str">
        <f>IF(H423="","",SUMIFS(C_FuelStreams!BL:BL,C_FuelStreams!BI:BI,H423))</f>
        <v/>
      </c>
      <c r="L423" s="28"/>
      <c r="M423" s="28"/>
      <c r="N423" s="512" t="str">
        <f t="shared" si="12"/>
        <v/>
      </c>
      <c r="O423" s="142"/>
      <c r="P423" s="115"/>
      <c r="R423" s="513" t="str">
        <f>IF(H423="","",SUMIFS(C_FuelStreams!BK:BK,C_FuelStreams!BI:BI,H423))</f>
        <v/>
      </c>
      <c r="S423" s="513" t="str">
        <f>IF(H423="","",SUMIFS(C_FuelStreams!CP:CP,C_FuelStreams!BI:BI,H423))</f>
        <v/>
      </c>
      <c r="T423" s="513" t="str">
        <f t="shared" si="10"/>
        <v/>
      </c>
      <c r="X423" s="514" t="b">
        <f t="shared" si="11"/>
        <v>0</v>
      </c>
    </row>
    <row r="424" spans="1:24" ht="12.75" hidden="1" customHeight="1" x14ac:dyDescent="0.25">
      <c r="A424" s="113" t="s">
        <v>0</v>
      </c>
      <c r="B424" s="132"/>
      <c r="D424" s="496">
        <v>138</v>
      </c>
      <c r="E424" s="27"/>
      <c r="F424" s="1308" t="str">
        <f t="shared" si="9"/>
        <v/>
      </c>
      <c r="G424" s="1308"/>
      <c r="H424" s="1306"/>
      <c r="I424" s="1306"/>
      <c r="J424" s="510" t="str">
        <f>IF(H424="","",INDEX(C_FuelStreams!BM:BM,MATCH(H424,C_FuelStreams!BI:BI,0)))</f>
        <v/>
      </c>
      <c r="K424" s="511" t="str">
        <f>IF(H424="","",SUMIFS(C_FuelStreams!BL:BL,C_FuelStreams!BI:BI,H424))</f>
        <v/>
      </c>
      <c r="L424" s="28"/>
      <c r="M424" s="28"/>
      <c r="N424" s="512" t="str">
        <f t="shared" si="12"/>
        <v/>
      </c>
      <c r="O424" s="142"/>
      <c r="P424" s="115"/>
      <c r="R424" s="513" t="str">
        <f>IF(H424="","",SUMIFS(C_FuelStreams!BK:BK,C_FuelStreams!BI:BI,H424))</f>
        <v/>
      </c>
      <c r="S424" s="513" t="str">
        <f>IF(H424="","",SUMIFS(C_FuelStreams!CP:CP,C_FuelStreams!BI:BI,H424))</f>
        <v/>
      </c>
      <c r="T424" s="513" t="str">
        <f t="shared" si="10"/>
        <v/>
      </c>
      <c r="X424" s="514" t="b">
        <f t="shared" si="11"/>
        <v>0</v>
      </c>
    </row>
    <row r="425" spans="1:24" ht="12.75" hidden="1" customHeight="1" x14ac:dyDescent="0.25">
      <c r="A425" s="113" t="s">
        <v>0</v>
      </c>
      <c r="B425" s="132"/>
      <c r="D425" s="496">
        <v>139</v>
      </c>
      <c r="E425" s="27"/>
      <c r="F425" s="1308" t="str">
        <f t="shared" si="9"/>
        <v/>
      </c>
      <c r="G425" s="1308"/>
      <c r="H425" s="1306"/>
      <c r="I425" s="1306"/>
      <c r="J425" s="510" t="str">
        <f>IF(H425="","",INDEX(C_FuelStreams!BM:BM,MATCH(H425,C_FuelStreams!BI:BI,0)))</f>
        <v/>
      </c>
      <c r="K425" s="511" t="str">
        <f>IF(H425="","",SUMIFS(C_FuelStreams!BL:BL,C_FuelStreams!BI:BI,H425))</f>
        <v/>
      </c>
      <c r="L425" s="28"/>
      <c r="M425" s="28"/>
      <c r="N425" s="512" t="str">
        <f t="shared" si="12"/>
        <v/>
      </c>
      <c r="O425" s="142"/>
      <c r="P425" s="115"/>
      <c r="R425" s="513" t="str">
        <f>IF(H425="","",SUMIFS(C_FuelStreams!BK:BK,C_FuelStreams!BI:BI,H425))</f>
        <v/>
      </c>
      <c r="S425" s="513" t="str">
        <f>IF(H425="","",SUMIFS(C_FuelStreams!CP:CP,C_FuelStreams!BI:BI,H425))</f>
        <v/>
      </c>
      <c r="T425" s="513" t="str">
        <f t="shared" si="10"/>
        <v/>
      </c>
      <c r="X425" s="514" t="b">
        <f t="shared" si="11"/>
        <v>0</v>
      </c>
    </row>
    <row r="426" spans="1:24" ht="12.75" hidden="1" customHeight="1" x14ac:dyDescent="0.25">
      <c r="A426" s="113" t="s">
        <v>0</v>
      </c>
      <c r="B426" s="132"/>
      <c r="D426" s="496">
        <v>140</v>
      </c>
      <c r="E426" s="27"/>
      <c r="F426" s="1308" t="str">
        <f t="shared" si="9"/>
        <v/>
      </c>
      <c r="G426" s="1308"/>
      <c r="H426" s="1306"/>
      <c r="I426" s="1306"/>
      <c r="J426" s="510" t="str">
        <f>IF(H426="","",INDEX(C_FuelStreams!BM:BM,MATCH(H426,C_FuelStreams!BI:BI,0)))</f>
        <v/>
      </c>
      <c r="K426" s="511" t="str">
        <f>IF(H426="","",SUMIFS(C_FuelStreams!BL:BL,C_FuelStreams!BI:BI,H426))</f>
        <v/>
      </c>
      <c r="L426" s="28"/>
      <c r="M426" s="28"/>
      <c r="N426" s="512" t="str">
        <f t="shared" si="12"/>
        <v/>
      </c>
      <c r="O426" s="142"/>
      <c r="P426" s="115"/>
      <c r="R426" s="513" t="str">
        <f>IF(H426="","",SUMIFS(C_FuelStreams!BK:BK,C_FuelStreams!BI:BI,H426))</f>
        <v/>
      </c>
      <c r="S426" s="513" t="str">
        <f>IF(H426="","",SUMIFS(C_FuelStreams!CP:CP,C_FuelStreams!BI:BI,H426))</f>
        <v/>
      </c>
      <c r="T426" s="513" t="str">
        <f t="shared" si="10"/>
        <v/>
      </c>
      <c r="X426" s="514" t="b">
        <f t="shared" si="11"/>
        <v>0</v>
      </c>
    </row>
    <row r="427" spans="1:24" ht="12.75" hidden="1" customHeight="1" x14ac:dyDescent="0.25">
      <c r="A427" s="113" t="s">
        <v>0</v>
      </c>
      <c r="B427" s="132"/>
      <c r="D427" s="496">
        <v>141</v>
      </c>
      <c r="E427" s="27"/>
      <c r="F427" s="1308" t="str">
        <f t="shared" si="9"/>
        <v/>
      </c>
      <c r="G427" s="1308"/>
      <c r="H427" s="1306"/>
      <c r="I427" s="1306"/>
      <c r="J427" s="510" t="str">
        <f>IF(H427="","",INDEX(C_FuelStreams!BM:BM,MATCH(H427,C_FuelStreams!BI:BI,0)))</f>
        <v/>
      </c>
      <c r="K427" s="511" t="str">
        <f>IF(H427="","",SUMIFS(C_FuelStreams!BL:BL,C_FuelStreams!BI:BI,H427))</f>
        <v/>
      </c>
      <c r="L427" s="28"/>
      <c r="M427" s="28"/>
      <c r="N427" s="512" t="str">
        <f t="shared" si="12"/>
        <v/>
      </c>
      <c r="O427" s="142"/>
      <c r="P427" s="115"/>
      <c r="R427" s="513" t="str">
        <f>IF(H427="","",SUMIFS(C_FuelStreams!BK:BK,C_FuelStreams!BI:BI,H427))</f>
        <v/>
      </c>
      <c r="S427" s="513" t="str">
        <f>IF(H427="","",SUMIFS(C_FuelStreams!CP:CP,C_FuelStreams!BI:BI,H427))</f>
        <v/>
      </c>
      <c r="T427" s="513" t="str">
        <f t="shared" si="10"/>
        <v/>
      </c>
      <c r="X427" s="514" t="b">
        <f t="shared" si="11"/>
        <v>0</v>
      </c>
    </row>
    <row r="428" spans="1:24" ht="12.75" hidden="1" customHeight="1" x14ac:dyDescent="0.25">
      <c r="A428" s="113" t="s">
        <v>0</v>
      </c>
      <c r="B428" s="132"/>
      <c r="D428" s="496">
        <v>142</v>
      </c>
      <c r="E428" s="27"/>
      <c r="F428" s="1308" t="str">
        <f t="shared" si="9"/>
        <v/>
      </c>
      <c r="G428" s="1308"/>
      <c r="H428" s="1306"/>
      <c r="I428" s="1306"/>
      <c r="J428" s="510" t="str">
        <f>IF(H428="","",INDEX(C_FuelStreams!BM:BM,MATCH(H428,C_FuelStreams!BI:BI,0)))</f>
        <v/>
      </c>
      <c r="K428" s="511" t="str">
        <f>IF(H428="","",SUMIFS(C_FuelStreams!BL:BL,C_FuelStreams!BI:BI,H428))</f>
        <v/>
      </c>
      <c r="L428" s="28"/>
      <c r="M428" s="28"/>
      <c r="N428" s="512" t="str">
        <f t="shared" si="12"/>
        <v/>
      </c>
      <c r="O428" s="142"/>
      <c r="P428" s="115"/>
      <c r="R428" s="513" t="str">
        <f>IF(H428="","",SUMIFS(C_FuelStreams!BK:BK,C_FuelStreams!BI:BI,H428))</f>
        <v/>
      </c>
      <c r="S428" s="513" t="str">
        <f>IF(H428="","",SUMIFS(C_FuelStreams!CP:CP,C_FuelStreams!BI:BI,H428))</f>
        <v/>
      </c>
      <c r="T428" s="513" t="str">
        <f t="shared" si="10"/>
        <v/>
      </c>
      <c r="X428" s="514" t="b">
        <f t="shared" si="11"/>
        <v>0</v>
      </c>
    </row>
    <row r="429" spans="1:24" ht="12.75" hidden="1" customHeight="1" x14ac:dyDescent="0.25">
      <c r="A429" s="113" t="s">
        <v>0</v>
      </c>
      <c r="B429" s="132"/>
      <c r="D429" s="496">
        <v>143</v>
      </c>
      <c r="E429" s="27"/>
      <c r="F429" s="1308" t="str">
        <f t="shared" si="9"/>
        <v/>
      </c>
      <c r="G429" s="1308"/>
      <c r="H429" s="1306"/>
      <c r="I429" s="1306"/>
      <c r="J429" s="510" t="str">
        <f>IF(H429="","",INDEX(C_FuelStreams!BM:BM,MATCH(H429,C_FuelStreams!BI:BI,0)))</f>
        <v/>
      </c>
      <c r="K429" s="511" t="str">
        <f>IF(H429="","",SUMIFS(C_FuelStreams!BL:BL,C_FuelStreams!BI:BI,H429))</f>
        <v/>
      </c>
      <c r="L429" s="28"/>
      <c r="M429" s="28"/>
      <c r="N429" s="512" t="str">
        <f t="shared" si="12"/>
        <v/>
      </c>
      <c r="O429" s="142"/>
      <c r="P429" s="115"/>
      <c r="R429" s="513" t="str">
        <f>IF(H429="","",SUMIFS(C_FuelStreams!BK:BK,C_FuelStreams!BI:BI,H429))</f>
        <v/>
      </c>
      <c r="S429" s="513" t="str">
        <f>IF(H429="","",SUMIFS(C_FuelStreams!CP:CP,C_FuelStreams!BI:BI,H429))</f>
        <v/>
      </c>
      <c r="T429" s="513" t="str">
        <f t="shared" si="10"/>
        <v/>
      </c>
      <c r="X429" s="514" t="b">
        <f t="shared" si="11"/>
        <v>0</v>
      </c>
    </row>
    <row r="430" spans="1:24" ht="12.75" hidden="1" customHeight="1" x14ac:dyDescent="0.25">
      <c r="A430" s="113" t="s">
        <v>0</v>
      </c>
      <c r="B430" s="132"/>
      <c r="D430" s="496">
        <v>144</v>
      </c>
      <c r="E430" s="27"/>
      <c r="F430" s="1308" t="str">
        <f t="shared" si="9"/>
        <v/>
      </c>
      <c r="G430" s="1308"/>
      <c r="H430" s="1306"/>
      <c r="I430" s="1306"/>
      <c r="J430" s="510" t="str">
        <f>IF(H430="","",INDEX(C_FuelStreams!BM:BM,MATCH(H430,C_FuelStreams!BI:BI,0)))</f>
        <v/>
      </c>
      <c r="K430" s="511" t="str">
        <f>IF(H430="","",SUMIFS(C_FuelStreams!BL:BL,C_FuelStreams!BI:BI,H430))</f>
        <v/>
      </c>
      <c r="L430" s="28"/>
      <c r="M430" s="28"/>
      <c r="N430" s="512" t="str">
        <f t="shared" si="12"/>
        <v/>
      </c>
      <c r="O430" s="142"/>
      <c r="P430" s="115"/>
      <c r="R430" s="513" t="str">
        <f>IF(H430="","",SUMIFS(C_FuelStreams!BK:BK,C_FuelStreams!BI:BI,H430))</f>
        <v/>
      </c>
      <c r="S430" s="513" t="str">
        <f>IF(H430="","",SUMIFS(C_FuelStreams!CP:CP,C_FuelStreams!BI:BI,H430))</f>
        <v/>
      </c>
      <c r="T430" s="513" t="str">
        <f t="shared" si="10"/>
        <v/>
      </c>
      <c r="X430" s="514" t="b">
        <f t="shared" si="11"/>
        <v>0</v>
      </c>
    </row>
    <row r="431" spans="1:24" ht="12.75" hidden="1" customHeight="1" x14ac:dyDescent="0.25">
      <c r="A431" s="113" t="s">
        <v>0</v>
      </c>
      <c r="B431" s="132"/>
      <c r="D431" s="496">
        <v>145</v>
      </c>
      <c r="E431" s="27"/>
      <c r="F431" s="1308" t="str">
        <f t="shared" si="9"/>
        <v/>
      </c>
      <c r="G431" s="1308"/>
      <c r="H431" s="1306"/>
      <c r="I431" s="1306"/>
      <c r="J431" s="510" t="str">
        <f>IF(H431="","",INDEX(C_FuelStreams!BM:BM,MATCH(H431,C_FuelStreams!BI:BI,0)))</f>
        <v/>
      </c>
      <c r="K431" s="511" t="str">
        <f>IF(H431="","",SUMIFS(C_FuelStreams!BL:BL,C_FuelStreams!BI:BI,H431))</f>
        <v/>
      </c>
      <c r="L431" s="28"/>
      <c r="M431" s="28"/>
      <c r="N431" s="512" t="str">
        <f t="shared" si="12"/>
        <v/>
      </c>
      <c r="O431" s="142"/>
      <c r="P431" s="115"/>
      <c r="R431" s="513" t="str">
        <f>IF(H431="","",SUMIFS(C_FuelStreams!BK:BK,C_FuelStreams!BI:BI,H431))</f>
        <v/>
      </c>
      <c r="S431" s="513" t="str">
        <f>IF(H431="","",SUMIFS(C_FuelStreams!CP:CP,C_FuelStreams!BI:BI,H431))</f>
        <v/>
      </c>
      <c r="T431" s="513" t="str">
        <f t="shared" si="10"/>
        <v/>
      </c>
      <c r="X431" s="514" t="b">
        <f t="shared" si="11"/>
        <v>0</v>
      </c>
    </row>
    <row r="432" spans="1:24" ht="12.75" hidden="1" customHeight="1" x14ac:dyDescent="0.25">
      <c r="A432" s="113" t="s">
        <v>0</v>
      </c>
      <c r="B432" s="132"/>
      <c r="D432" s="496">
        <v>146</v>
      </c>
      <c r="E432" s="27"/>
      <c r="F432" s="1308" t="str">
        <f t="shared" si="9"/>
        <v/>
      </c>
      <c r="G432" s="1308"/>
      <c r="H432" s="1306"/>
      <c r="I432" s="1306"/>
      <c r="J432" s="510" t="str">
        <f>IF(H432="","",INDEX(C_FuelStreams!BM:BM,MATCH(H432,C_FuelStreams!BI:BI,0)))</f>
        <v/>
      </c>
      <c r="K432" s="511" t="str">
        <f>IF(H432="","",SUMIFS(C_FuelStreams!BL:BL,C_FuelStreams!BI:BI,H432))</f>
        <v/>
      </c>
      <c r="L432" s="28"/>
      <c r="M432" s="28"/>
      <c r="N432" s="512" t="str">
        <f t="shared" si="12"/>
        <v/>
      </c>
      <c r="O432" s="142"/>
      <c r="P432" s="115"/>
      <c r="R432" s="513" t="str">
        <f>IF(H432="","",SUMIFS(C_FuelStreams!BK:BK,C_FuelStreams!BI:BI,H432))</f>
        <v/>
      </c>
      <c r="S432" s="513" t="str">
        <f>IF(H432="","",SUMIFS(C_FuelStreams!CP:CP,C_FuelStreams!BI:BI,H432))</f>
        <v/>
      </c>
      <c r="T432" s="513" t="str">
        <f t="shared" si="10"/>
        <v/>
      </c>
      <c r="X432" s="514" t="b">
        <f t="shared" si="11"/>
        <v>0</v>
      </c>
    </row>
    <row r="433" spans="1:24" ht="12.75" hidden="1" customHeight="1" x14ac:dyDescent="0.25">
      <c r="A433" s="113" t="s">
        <v>0</v>
      </c>
      <c r="B433" s="132"/>
      <c r="D433" s="496">
        <v>147</v>
      </c>
      <c r="E433" s="27"/>
      <c r="F433" s="1308" t="str">
        <f t="shared" si="9"/>
        <v/>
      </c>
      <c r="G433" s="1308"/>
      <c r="H433" s="1306"/>
      <c r="I433" s="1306"/>
      <c r="J433" s="510" t="str">
        <f>IF(H433="","",INDEX(C_FuelStreams!BM:BM,MATCH(H433,C_FuelStreams!BI:BI,0)))</f>
        <v/>
      </c>
      <c r="K433" s="511" t="str">
        <f>IF(H433="","",SUMIFS(C_FuelStreams!BL:BL,C_FuelStreams!BI:BI,H433))</f>
        <v/>
      </c>
      <c r="L433" s="28"/>
      <c r="M433" s="28"/>
      <c r="N433" s="512" t="str">
        <f t="shared" si="12"/>
        <v/>
      </c>
      <c r="O433" s="142"/>
      <c r="P433" s="115"/>
      <c r="R433" s="513" t="str">
        <f>IF(H433="","",SUMIFS(C_FuelStreams!BK:BK,C_FuelStreams!BI:BI,H433))</f>
        <v/>
      </c>
      <c r="S433" s="513" t="str">
        <f>IF(H433="","",SUMIFS(C_FuelStreams!CP:CP,C_FuelStreams!BI:BI,H433))</f>
        <v/>
      </c>
      <c r="T433" s="513" t="str">
        <f t="shared" si="10"/>
        <v/>
      </c>
      <c r="X433" s="514" t="b">
        <f t="shared" si="11"/>
        <v>0</v>
      </c>
    </row>
    <row r="434" spans="1:24" ht="12.75" hidden="1" customHeight="1" x14ac:dyDescent="0.25">
      <c r="A434" s="113" t="s">
        <v>0</v>
      </c>
      <c r="B434" s="132"/>
      <c r="D434" s="496">
        <v>148</v>
      </c>
      <c r="E434" s="27"/>
      <c r="F434" s="1308" t="str">
        <f t="shared" ref="F434:F497" si="13">IF(E434="","",INDEX($G$30:$G$279,MATCH(E434,$R$30:$R$279,0)))</f>
        <v/>
      </c>
      <c r="G434" s="1308"/>
      <c r="H434" s="1306"/>
      <c r="I434" s="1306"/>
      <c r="J434" s="510" t="str">
        <f>IF(H434="","",INDEX(C_FuelStreams!BM:BM,MATCH(H434,C_FuelStreams!BI:BI,0)))</f>
        <v/>
      </c>
      <c r="K434" s="511" t="str">
        <f>IF(H434="","",SUMIFS(C_FuelStreams!BL:BL,C_FuelStreams!BI:BI,H434))</f>
        <v/>
      </c>
      <c r="L434" s="28"/>
      <c r="M434" s="28"/>
      <c r="N434" s="512" t="str">
        <f t="shared" si="12"/>
        <v/>
      </c>
      <c r="O434" s="142"/>
      <c r="P434" s="115"/>
      <c r="R434" s="513" t="str">
        <f>IF(H434="","",SUMIFS(C_FuelStreams!BK:BK,C_FuelStreams!BI:BI,H434))</f>
        <v/>
      </c>
      <c r="S434" s="513" t="str">
        <f>IF(H434="","",SUMIFS(C_FuelStreams!CP:CP,C_FuelStreams!BI:BI,H434))</f>
        <v/>
      </c>
      <c r="T434" s="513" t="str">
        <f t="shared" ref="T434:T497" si="14">IF(H434="","",IF(SUM(R434)=0,0,S434/R434*L434))</f>
        <v/>
      </c>
      <c r="X434" s="514" t="b">
        <f t="shared" ref="X434:X497" si="15">AND(COUNTA($E$30:$E$279)&gt;0,E434="")</f>
        <v>0</v>
      </c>
    </row>
    <row r="435" spans="1:24" ht="12.75" hidden="1" customHeight="1" x14ac:dyDescent="0.25">
      <c r="A435" s="113" t="s">
        <v>0</v>
      </c>
      <c r="B435" s="132"/>
      <c r="D435" s="496">
        <v>149</v>
      </c>
      <c r="E435" s="27"/>
      <c r="F435" s="1308" t="str">
        <f t="shared" si="13"/>
        <v/>
      </c>
      <c r="G435" s="1308"/>
      <c r="H435" s="1306"/>
      <c r="I435" s="1306"/>
      <c r="J435" s="510" t="str">
        <f>IF(H435="","",INDEX(C_FuelStreams!BM:BM,MATCH(H435,C_FuelStreams!BI:BI,0)))</f>
        <v/>
      </c>
      <c r="K435" s="511" t="str">
        <f>IF(H435="","",SUMIFS(C_FuelStreams!BL:BL,C_FuelStreams!BI:BI,H435))</f>
        <v/>
      </c>
      <c r="L435" s="28"/>
      <c r="M435" s="28"/>
      <c r="N435" s="512" t="str">
        <f t="shared" si="12"/>
        <v/>
      </c>
      <c r="O435" s="142"/>
      <c r="P435" s="115"/>
      <c r="R435" s="513" t="str">
        <f>IF(H435="","",SUMIFS(C_FuelStreams!BK:BK,C_FuelStreams!BI:BI,H435))</f>
        <v/>
      </c>
      <c r="S435" s="513" t="str">
        <f>IF(H435="","",SUMIFS(C_FuelStreams!CP:CP,C_FuelStreams!BI:BI,H435))</f>
        <v/>
      </c>
      <c r="T435" s="513" t="str">
        <f t="shared" si="14"/>
        <v/>
      </c>
      <c r="X435" s="514" t="b">
        <f t="shared" si="15"/>
        <v>0</v>
      </c>
    </row>
    <row r="436" spans="1:24" ht="12.75" hidden="1" customHeight="1" x14ac:dyDescent="0.25">
      <c r="A436" s="113" t="s">
        <v>0</v>
      </c>
      <c r="B436" s="132"/>
      <c r="D436" s="496">
        <v>150</v>
      </c>
      <c r="E436" s="27"/>
      <c r="F436" s="1308" t="str">
        <f t="shared" si="13"/>
        <v/>
      </c>
      <c r="G436" s="1308"/>
      <c r="H436" s="1306"/>
      <c r="I436" s="1306"/>
      <c r="J436" s="510" t="str">
        <f>IF(H436="","",INDEX(C_FuelStreams!BM:BM,MATCH(H436,C_FuelStreams!BI:BI,0)))</f>
        <v/>
      </c>
      <c r="K436" s="511" t="str">
        <f>IF(H436="","",SUMIFS(C_FuelStreams!BL:BL,C_FuelStreams!BI:BI,H436))</f>
        <v/>
      </c>
      <c r="L436" s="28"/>
      <c r="M436" s="28"/>
      <c r="N436" s="512" t="str">
        <f t="shared" si="12"/>
        <v/>
      </c>
      <c r="O436" s="142"/>
      <c r="P436" s="115"/>
      <c r="R436" s="513" t="str">
        <f>IF(H436="","",SUMIFS(C_FuelStreams!BK:BK,C_FuelStreams!BI:BI,H436))</f>
        <v/>
      </c>
      <c r="S436" s="513" t="str">
        <f>IF(H436="","",SUMIFS(C_FuelStreams!CP:CP,C_FuelStreams!BI:BI,H436))</f>
        <v/>
      </c>
      <c r="T436" s="513" t="str">
        <f t="shared" si="14"/>
        <v/>
      </c>
      <c r="X436" s="514" t="b">
        <f t="shared" si="15"/>
        <v>0</v>
      </c>
    </row>
    <row r="437" spans="1:24" ht="12.75" hidden="1" customHeight="1" x14ac:dyDescent="0.25">
      <c r="A437" s="113" t="s">
        <v>0</v>
      </c>
      <c r="B437" s="132"/>
      <c r="D437" s="496">
        <v>151</v>
      </c>
      <c r="E437" s="27"/>
      <c r="F437" s="1308" t="str">
        <f t="shared" si="13"/>
        <v/>
      </c>
      <c r="G437" s="1308"/>
      <c r="H437" s="1306"/>
      <c r="I437" s="1306"/>
      <c r="J437" s="510" t="str">
        <f>IF(H437="","",INDEX(C_FuelStreams!BM:BM,MATCH(H437,C_FuelStreams!BI:BI,0)))</f>
        <v/>
      </c>
      <c r="K437" s="511" t="str">
        <f>IF(H437="","",SUMIFS(C_FuelStreams!BL:BL,C_FuelStreams!BI:BI,H437))</f>
        <v/>
      </c>
      <c r="L437" s="28"/>
      <c r="M437" s="28"/>
      <c r="N437" s="512" t="str">
        <f t="shared" si="12"/>
        <v/>
      </c>
      <c r="O437" s="142"/>
      <c r="P437" s="115"/>
      <c r="R437" s="513" t="str">
        <f>IF(H437="","",SUMIFS(C_FuelStreams!BK:BK,C_FuelStreams!BI:BI,H437))</f>
        <v/>
      </c>
      <c r="S437" s="513" t="str">
        <f>IF(H437="","",SUMIFS(C_FuelStreams!CP:CP,C_FuelStreams!BI:BI,H437))</f>
        <v/>
      </c>
      <c r="T437" s="513" t="str">
        <f t="shared" si="14"/>
        <v/>
      </c>
      <c r="X437" s="514" t="b">
        <f t="shared" si="15"/>
        <v>0</v>
      </c>
    </row>
    <row r="438" spans="1:24" ht="12.75" hidden="1" customHeight="1" x14ac:dyDescent="0.25">
      <c r="A438" s="113" t="s">
        <v>0</v>
      </c>
      <c r="B438" s="132"/>
      <c r="D438" s="496">
        <v>152</v>
      </c>
      <c r="E438" s="27"/>
      <c r="F438" s="1308" t="str">
        <f t="shared" si="13"/>
        <v/>
      </c>
      <c r="G438" s="1308"/>
      <c r="H438" s="1306"/>
      <c r="I438" s="1306"/>
      <c r="J438" s="510" t="str">
        <f>IF(H438="","",INDEX(C_FuelStreams!BM:BM,MATCH(H438,C_FuelStreams!BI:BI,0)))</f>
        <v/>
      </c>
      <c r="K438" s="511" t="str">
        <f>IF(H438="","",SUMIFS(C_FuelStreams!BL:BL,C_FuelStreams!BI:BI,H438))</f>
        <v/>
      </c>
      <c r="L438" s="28"/>
      <c r="M438" s="28"/>
      <c r="N438" s="512" t="str">
        <f t="shared" si="12"/>
        <v/>
      </c>
      <c r="O438" s="142"/>
      <c r="P438" s="115"/>
      <c r="R438" s="513" t="str">
        <f>IF(H438="","",SUMIFS(C_FuelStreams!BK:BK,C_FuelStreams!BI:BI,H438))</f>
        <v/>
      </c>
      <c r="S438" s="513" t="str">
        <f>IF(H438="","",SUMIFS(C_FuelStreams!CP:CP,C_FuelStreams!BI:BI,H438))</f>
        <v/>
      </c>
      <c r="T438" s="513" t="str">
        <f t="shared" si="14"/>
        <v/>
      </c>
      <c r="X438" s="514" t="b">
        <f t="shared" si="15"/>
        <v>0</v>
      </c>
    </row>
    <row r="439" spans="1:24" ht="12.75" hidden="1" customHeight="1" x14ac:dyDescent="0.25">
      <c r="A439" s="113" t="s">
        <v>0</v>
      </c>
      <c r="B439" s="132"/>
      <c r="D439" s="496">
        <v>153</v>
      </c>
      <c r="E439" s="27"/>
      <c r="F439" s="1308" t="str">
        <f t="shared" si="13"/>
        <v/>
      </c>
      <c r="G439" s="1308"/>
      <c r="H439" s="1306"/>
      <c r="I439" s="1306"/>
      <c r="J439" s="510" t="str">
        <f>IF(H439="","",INDEX(C_FuelStreams!BM:BM,MATCH(H439,C_FuelStreams!BI:BI,0)))</f>
        <v/>
      </c>
      <c r="K439" s="511" t="str">
        <f>IF(H439="","",SUMIFS(C_FuelStreams!BL:BL,C_FuelStreams!BI:BI,H439))</f>
        <v/>
      </c>
      <c r="L439" s="28"/>
      <c r="M439" s="28"/>
      <c r="N439" s="512" t="str">
        <f t="shared" si="12"/>
        <v/>
      </c>
      <c r="O439" s="142"/>
      <c r="P439" s="115"/>
      <c r="R439" s="513" t="str">
        <f>IF(H439="","",SUMIFS(C_FuelStreams!BK:BK,C_FuelStreams!BI:BI,H439))</f>
        <v/>
      </c>
      <c r="S439" s="513" t="str">
        <f>IF(H439="","",SUMIFS(C_FuelStreams!CP:CP,C_FuelStreams!BI:BI,H439))</f>
        <v/>
      </c>
      <c r="T439" s="513" t="str">
        <f t="shared" si="14"/>
        <v/>
      </c>
      <c r="X439" s="514" t="b">
        <f t="shared" si="15"/>
        <v>0</v>
      </c>
    </row>
    <row r="440" spans="1:24" ht="12.75" hidden="1" customHeight="1" x14ac:dyDescent="0.25">
      <c r="A440" s="113" t="s">
        <v>0</v>
      </c>
      <c r="B440" s="132"/>
      <c r="D440" s="496">
        <v>154</v>
      </c>
      <c r="E440" s="27"/>
      <c r="F440" s="1308" t="str">
        <f t="shared" si="13"/>
        <v/>
      </c>
      <c r="G440" s="1308"/>
      <c r="H440" s="1306"/>
      <c r="I440" s="1306"/>
      <c r="J440" s="510" t="str">
        <f>IF(H440="","",INDEX(C_FuelStreams!BM:BM,MATCH(H440,C_FuelStreams!BI:BI,0)))</f>
        <v/>
      </c>
      <c r="K440" s="511" t="str">
        <f>IF(H440="","",SUMIFS(C_FuelStreams!BL:BL,C_FuelStreams!BI:BI,H440))</f>
        <v/>
      </c>
      <c r="L440" s="28"/>
      <c r="M440" s="28"/>
      <c r="N440" s="512" t="str">
        <f t="shared" si="12"/>
        <v/>
      </c>
      <c r="O440" s="142"/>
      <c r="P440" s="115"/>
      <c r="R440" s="513" t="str">
        <f>IF(H440="","",SUMIFS(C_FuelStreams!BK:BK,C_FuelStreams!BI:BI,H440))</f>
        <v/>
      </c>
      <c r="S440" s="513" t="str">
        <f>IF(H440="","",SUMIFS(C_FuelStreams!CP:CP,C_FuelStreams!BI:BI,H440))</f>
        <v/>
      </c>
      <c r="T440" s="513" t="str">
        <f t="shared" si="14"/>
        <v/>
      </c>
      <c r="X440" s="514" t="b">
        <f t="shared" si="15"/>
        <v>0</v>
      </c>
    </row>
    <row r="441" spans="1:24" ht="12.75" hidden="1" customHeight="1" x14ac:dyDescent="0.25">
      <c r="A441" s="113" t="s">
        <v>0</v>
      </c>
      <c r="B441" s="132"/>
      <c r="D441" s="496">
        <v>155</v>
      </c>
      <c r="E441" s="27"/>
      <c r="F441" s="1308" t="str">
        <f t="shared" si="13"/>
        <v/>
      </c>
      <c r="G441" s="1308"/>
      <c r="H441" s="1306"/>
      <c r="I441" s="1306"/>
      <c r="J441" s="510" t="str">
        <f>IF(H441="","",INDEX(C_FuelStreams!BM:BM,MATCH(H441,C_FuelStreams!BI:BI,0)))</f>
        <v/>
      </c>
      <c r="K441" s="511" t="str">
        <f>IF(H441="","",SUMIFS(C_FuelStreams!BL:BL,C_FuelStreams!BI:BI,H441))</f>
        <v/>
      </c>
      <c r="L441" s="28"/>
      <c r="M441" s="28"/>
      <c r="N441" s="512" t="str">
        <f t="shared" si="12"/>
        <v/>
      </c>
      <c r="O441" s="142"/>
      <c r="P441" s="115"/>
      <c r="R441" s="513" t="str">
        <f>IF(H441="","",SUMIFS(C_FuelStreams!BK:BK,C_FuelStreams!BI:BI,H441))</f>
        <v/>
      </c>
      <c r="S441" s="513" t="str">
        <f>IF(H441="","",SUMIFS(C_FuelStreams!CP:CP,C_FuelStreams!BI:BI,H441))</f>
        <v/>
      </c>
      <c r="T441" s="513" t="str">
        <f t="shared" si="14"/>
        <v/>
      </c>
      <c r="X441" s="514" t="b">
        <f t="shared" si="15"/>
        <v>0</v>
      </c>
    </row>
    <row r="442" spans="1:24" ht="12.75" hidden="1" customHeight="1" x14ac:dyDescent="0.25">
      <c r="A442" s="113" t="s">
        <v>0</v>
      </c>
      <c r="B442" s="132"/>
      <c r="D442" s="496">
        <v>156</v>
      </c>
      <c r="E442" s="27"/>
      <c r="F442" s="1308" t="str">
        <f t="shared" si="13"/>
        <v/>
      </c>
      <c r="G442" s="1308"/>
      <c r="H442" s="1306"/>
      <c r="I442" s="1306"/>
      <c r="J442" s="510" t="str">
        <f>IF(H442="","",INDEX(C_FuelStreams!BM:BM,MATCH(H442,C_FuelStreams!BI:BI,0)))</f>
        <v/>
      </c>
      <c r="K442" s="511" t="str">
        <f>IF(H442="","",SUMIFS(C_FuelStreams!BL:BL,C_FuelStreams!BI:BI,H442))</f>
        <v/>
      </c>
      <c r="L442" s="28"/>
      <c r="M442" s="28"/>
      <c r="N442" s="512" t="str">
        <f t="shared" si="12"/>
        <v/>
      </c>
      <c r="O442" s="142"/>
      <c r="P442" s="115"/>
      <c r="R442" s="513" t="str">
        <f>IF(H442="","",SUMIFS(C_FuelStreams!BK:BK,C_FuelStreams!BI:BI,H442))</f>
        <v/>
      </c>
      <c r="S442" s="513" t="str">
        <f>IF(H442="","",SUMIFS(C_FuelStreams!CP:CP,C_FuelStreams!BI:BI,H442))</f>
        <v/>
      </c>
      <c r="T442" s="513" t="str">
        <f t="shared" si="14"/>
        <v/>
      </c>
      <c r="X442" s="514" t="b">
        <f t="shared" si="15"/>
        <v>0</v>
      </c>
    </row>
    <row r="443" spans="1:24" ht="12.75" hidden="1" customHeight="1" x14ac:dyDescent="0.25">
      <c r="A443" s="113" t="s">
        <v>0</v>
      </c>
      <c r="B443" s="132"/>
      <c r="D443" s="496">
        <v>157</v>
      </c>
      <c r="E443" s="27"/>
      <c r="F443" s="1308" t="str">
        <f t="shared" si="13"/>
        <v/>
      </c>
      <c r="G443" s="1308"/>
      <c r="H443" s="1306"/>
      <c r="I443" s="1306"/>
      <c r="J443" s="510" t="str">
        <f>IF(H443="","",INDEX(C_FuelStreams!BM:BM,MATCH(H443,C_FuelStreams!BI:BI,0)))</f>
        <v/>
      </c>
      <c r="K443" s="511" t="str">
        <f>IF(H443="","",SUMIFS(C_FuelStreams!BL:BL,C_FuelStreams!BI:BI,H443))</f>
        <v/>
      </c>
      <c r="L443" s="28"/>
      <c r="M443" s="28"/>
      <c r="N443" s="512" t="str">
        <f t="shared" si="12"/>
        <v/>
      </c>
      <c r="O443" s="142"/>
      <c r="P443" s="115"/>
      <c r="R443" s="513" t="str">
        <f>IF(H443="","",SUMIFS(C_FuelStreams!BK:BK,C_FuelStreams!BI:BI,H443))</f>
        <v/>
      </c>
      <c r="S443" s="513" t="str">
        <f>IF(H443="","",SUMIFS(C_FuelStreams!CP:CP,C_FuelStreams!BI:BI,H443))</f>
        <v/>
      </c>
      <c r="T443" s="513" t="str">
        <f t="shared" si="14"/>
        <v/>
      </c>
      <c r="X443" s="514" t="b">
        <f t="shared" si="15"/>
        <v>0</v>
      </c>
    </row>
    <row r="444" spans="1:24" ht="12.75" hidden="1" customHeight="1" x14ac:dyDescent="0.25">
      <c r="A444" s="113" t="s">
        <v>0</v>
      </c>
      <c r="B444" s="132"/>
      <c r="D444" s="496">
        <v>158</v>
      </c>
      <c r="E444" s="27"/>
      <c r="F444" s="1308" t="str">
        <f t="shared" si="13"/>
        <v/>
      </c>
      <c r="G444" s="1308"/>
      <c r="H444" s="1306"/>
      <c r="I444" s="1306"/>
      <c r="J444" s="510" t="str">
        <f>IF(H444="","",INDEX(C_FuelStreams!BM:BM,MATCH(H444,C_FuelStreams!BI:BI,0)))</f>
        <v/>
      </c>
      <c r="K444" s="511" t="str">
        <f>IF(H444="","",SUMIFS(C_FuelStreams!BL:BL,C_FuelStreams!BI:BI,H444))</f>
        <v/>
      </c>
      <c r="L444" s="28"/>
      <c r="M444" s="28"/>
      <c r="N444" s="512" t="str">
        <f t="shared" si="12"/>
        <v/>
      </c>
      <c r="O444" s="142"/>
      <c r="P444" s="115"/>
      <c r="R444" s="513" t="str">
        <f>IF(H444="","",SUMIFS(C_FuelStreams!BK:BK,C_FuelStreams!BI:BI,H444))</f>
        <v/>
      </c>
      <c r="S444" s="513" t="str">
        <f>IF(H444="","",SUMIFS(C_FuelStreams!CP:CP,C_FuelStreams!BI:BI,H444))</f>
        <v/>
      </c>
      <c r="T444" s="513" t="str">
        <f t="shared" si="14"/>
        <v/>
      </c>
      <c r="X444" s="514" t="b">
        <f t="shared" si="15"/>
        <v>0</v>
      </c>
    </row>
    <row r="445" spans="1:24" ht="12.75" hidden="1" customHeight="1" x14ac:dyDescent="0.25">
      <c r="A445" s="113" t="s">
        <v>0</v>
      </c>
      <c r="B445" s="132"/>
      <c r="D445" s="496">
        <v>159</v>
      </c>
      <c r="E445" s="27"/>
      <c r="F445" s="1308" t="str">
        <f t="shared" si="13"/>
        <v/>
      </c>
      <c r="G445" s="1308"/>
      <c r="H445" s="1306"/>
      <c r="I445" s="1306"/>
      <c r="J445" s="510" t="str">
        <f>IF(H445="","",INDEX(C_FuelStreams!BM:BM,MATCH(H445,C_FuelStreams!BI:BI,0)))</f>
        <v/>
      </c>
      <c r="K445" s="511" t="str">
        <f>IF(H445="","",SUMIFS(C_FuelStreams!BL:BL,C_FuelStreams!BI:BI,H445))</f>
        <v/>
      </c>
      <c r="L445" s="28"/>
      <c r="M445" s="28"/>
      <c r="N445" s="512" t="str">
        <f t="shared" si="12"/>
        <v/>
      </c>
      <c r="O445" s="142"/>
      <c r="P445" s="115"/>
      <c r="R445" s="513" t="str">
        <f>IF(H445="","",SUMIFS(C_FuelStreams!BK:BK,C_FuelStreams!BI:BI,H445))</f>
        <v/>
      </c>
      <c r="S445" s="513" t="str">
        <f>IF(H445="","",SUMIFS(C_FuelStreams!CP:CP,C_FuelStreams!BI:BI,H445))</f>
        <v/>
      </c>
      <c r="T445" s="513" t="str">
        <f t="shared" si="14"/>
        <v/>
      </c>
      <c r="X445" s="514" t="b">
        <f t="shared" si="15"/>
        <v>0</v>
      </c>
    </row>
    <row r="446" spans="1:24" ht="12.75" hidden="1" customHeight="1" x14ac:dyDescent="0.25">
      <c r="A446" s="113" t="s">
        <v>0</v>
      </c>
      <c r="B446" s="132"/>
      <c r="D446" s="496">
        <v>160</v>
      </c>
      <c r="E446" s="27"/>
      <c r="F446" s="1308" t="str">
        <f t="shared" si="13"/>
        <v/>
      </c>
      <c r="G446" s="1308"/>
      <c r="H446" s="1306"/>
      <c r="I446" s="1306"/>
      <c r="J446" s="510" t="str">
        <f>IF(H446="","",INDEX(C_FuelStreams!BM:BM,MATCH(H446,C_FuelStreams!BI:BI,0)))</f>
        <v/>
      </c>
      <c r="K446" s="511" t="str">
        <f>IF(H446="","",SUMIFS(C_FuelStreams!BL:BL,C_FuelStreams!BI:BI,H446))</f>
        <v/>
      </c>
      <c r="L446" s="28"/>
      <c r="M446" s="28"/>
      <c r="N446" s="512" t="str">
        <f t="shared" si="12"/>
        <v/>
      </c>
      <c r="O446" s="142"/>
      <c r="P446" s="115"/>
      <c r="R446" s="513" t="str">
        <f>IF(H446="","",SUMIFS(C_FuelStreams!BK:BK,C_FuelStreams!BI:BI,H446))</f>
        <v/>
      </c>
      <c r="S446" s="513" t="str">
        <f>IF(H446="","",SUMIFS(C_FuelStreams!CP:CP,C_FuelStreams!BI:BI,H446))</f>
        <v/>
      </c>
      <c r="T446" s="513" t="str">
        <f t="shared" si="14"/>
        <v/>
      </c>
      <c r="X446" s="514" t="b">
        <f t="shared" si="15"/>
        <v>0</v>
      </c>
    </row>
    <row r="447" spans="1:24" ht="12.75" hidden="1" customHeight="1" x14ac:dyDescent="0.25">
      <c r="A447" s="113" t="s">
        <v>0</v>
      </c>
      <c r="B447" s="132"/>
      <c r="D447" s="496">
        <v>161</v>
      </c>
      <c r="E447" s="27"/>
      <c r="F447" s="1308" t="str">
        <f t="shared" si="13"/>
        <v/>
      </c>
      <c r="G447" s="1308"/>
      <c r="H447" s="1306"/>
      <c r="I447" s="1306"/>
      <c r="J447" s="510" t="str">
        <f>IF(H447="","",INDEX(C_FuelStreams!BM:BM,MATCH(H447,C_FuelStreams!BI:BI,0)))</f>
        <v/>
      </c>
      <c r="K447" s="511" t="str">
        <f>IF(H447="","",SUMIFS(C_FuelStreams!BL:BL,C_FuelStreams!BI:BI,H447))</f>
        <v/>
      </c>
      <c r="L447" s="28"/>
      <c r="M447" s="28"/>
      <c r="N447" s="512" t="str">
        <f t="shared" si="12"/>
        <v/>
      </c>
      <c r="O447" s="142"/>
      <c r="P447" s="115"/>
      <c r="R447" s="513" t="str">
        <f>IF(H447="","",SUMIFS(C_FuelStreams!BK:BK,C_FuelStreams!BI:BI,H447))</f>
        <v/>
      </c>
      <c r="S447" s="513" t="str">
        <f>IF(H447="","",SUMIFS(C_FuelStreams!CP:CP,C_FuelStreams!BI:BI,H447))</f>
        <v/>
      </c>
      <c r="T447" s="513" t="str">
        <f t="shared" si="14"/>
        <v/>
      </c>
      <c r="X447" s="514" t="b">
        <f t="shared" si="15"/>
        <v>0</v>
      </c>
    </row>
    <row r="448" spans="1:24" ht="12.75" hidden="1" customHeight="1" x14ac:dyDescent="0.25">
      <c r="A448" s="113" t="s">
        <v>0</v>
      </c>
      <c r="B448" s="132"/>
      <c r="D448" s="496">
        <v>162</v>
      </c>
      <c r="E448" s="27"/>
      <c r="F448" s="1308" t="str">
        <f t="shared" si="13"/>
        <v/>
      </c>
      <c r="G448" s="1308"/>
      <c r="H448" s="1306"/>
      <c r="I448" s="1306"/>
      <c r="J448" s="510" t="str">
        <f>IF(H448="","",INDEX(C_FuelStreams!BM:BM,MATCH(H448,C_FuelStreams!BI:BI,0)))</f>
        <v/>
      </c>
      <c r="K448" s="511" t="str">
        <f>IF(H448="","",SUMIFS(C_FuelStreams!BL:BL,C_FuelStreams!BI:BI,H448))</f>
        <v/>
      </c>
      <c r="L448" s="28"/>
      <c r="M448" s="28"/>
      <c r="N448" s="512" t="str">
        <f t="shared" si="12"/>
        <v/>
      </c>
      <c r="O448" s="142"/>
      <c r="P448" s="115"/>
      <c r="R448" s="513" t="str">
        <f>IF(H448="","",SUMIFS(C_FuelStreams!BK:BK,C_FuelStreams!BI:BI,H448))</f>
        <v/>
      </c>
      <c r="S448" s="513" t="str">
        <f>IF(H448="","",SUMIFS(C_FuelStreams!CP:CP,C_FuelStreams!BI:BI,H448))</f>
        <v/>
      </c>
      <c r="T448" s="513" t="str">
        <f t="shared" si="14"/>
        <v/>
      </c>
      <c r="X448" s="514" t="b">
        <f t="shared" si="15"/>
        <v>0</v>
      </c>
    </row>
    <row r="449" spans="1:24" ht="12.75" hidden="1" customHeight="1" x14ac:dyDescent="0.25">
      <c r="A449" s="113" t="s">
        <v>0</v>
      </c>
      <c r="B449" s="132"/>
      <c r="D449" s="496">
        <v>163</v>
      </c>
      <c r="E449" s="27"/>
      <c r="F449" s="1308" t="str">
        <f t="shared" si="13"/>
        <v/>
      </c>
      <c r="G449" s="1308"/>
      <c r="H449" s="1306"/>
      <c r="I449" s="1306"/>
      <c r="J449" s="510" t="str">
        <f>IF(H449="","",INDEX(C_FuelStreams!BM:BM,MATCH(H449,C_FuelStreams!BI:BI,0)))</f>
        <v/>
      </c>
      <c r="K449" s="511" t="str">
        <f>IF(H449="","",SUMIFS(C_FuelStreams!BL:BL,C_FuelStreams!BI:BI,H449))</f>
        <v/>
      </c>
      <c r="L449" s="28"/>
      <c r="M449" s="28"/>
      <c r="N449" s="512" t="str">
        <f t="shared" si="12"/>
        <v/>
      </c>
      <c r="O449" s="142"/>
      <c r="P449" s="115"/>
      <c r="R449" s="513" t="str">
        <f>IF(H449="","",SUMIFS(C_FuelStreams!BK:BK,C_FuelStreams!BI:BI,H449))</f>
        <v/>
      </c>
      <c r="S449" s="513" t="str">
        <f>IF(H449="","",SUMIFS(C_FuelStreams!CP:CP,C_FuelStreams!BI:BI,H449))</f>
        <v/>
      </c>
      <c r="T449" s="513" t="str">
        <f t="shared" si="14"/>
        <v/>
      </c>
      <c r="X449" s="514" t="b">
        <f t="shared" si="15"/>
        <v>0</v>
      </c>
    </row>
    <row r="450" spans="1:24" ht="12.75" hidden="1" customHeight="1" x14ac:dyDescent="0.25">
      <c r="A450" s="113" t="s">
        <v>0</v>
      </c>
      <c r="B450" s="132"/>
      <c r="D450" s="496">
        <v>164</v>
      </c>
      <c r="E450" s="27"/>
      <c r="F450" s="1308" t="str">
        <f t="shared" si="13"/>
        <v/>
      </c>
      <c r="G450" s="1308"/>
      <c r="H450" s="1306"/>
      <c r="I450" s="1306"/>
      <c r="J450" s="510" t="str">
        <f>IF(H450="","",INDEX(C_FuelStreams!BM:BM,MATCH(H450,C_FuelStreams!BI:BI,0)))</f>
        <v/>
      </c>
      <c r="K450" s="511" t="str">
        <f>IF(H450="","",SUMIFS(C_FuelStreams!BL:BL,C_FuelStreams!BI:BI,H450))</f>
        <v/>
      </c>
      <c r="L450" s="28"/>
      <c r="M450" s="28"/>
      <c r="N450" s="512" t="str">
        <f t="shared" si="12"/>
        <v/>
      </c>
      <c r="O450" s="142"/>
      <c r="P450" s="115"/>
      <c r="R450" s="513" t="str">
        <f>IF(H450="","",SUMIFS(C_FuelStreams!BK:BK,C_FuelStreams!BI:BI,H450))</f>
        <v/>
      </c>
      <c r="S450" s="513" t="str">
        <f>IF(H450="","",SUMIFS(C_FuelStreams!CP:CP,C_FuelStreams!BI:BI,H450))</f>
        <v/>
      </c>
      <c r="T450" s="513" t="str">
        <f t="shared" si="14"/>
        <v/>
      </c>
      <c r="X450" s="514" t="b">
        <f t="shared" si="15"/>
        <v>0</v>
      </c>
    </row>
    <row r="451" spans="1:24" ht="12.75" hidden="1" customHeight="1" x14ac:dyDescent="0.25">
      <c r="A451" s="113" t="s">
        <v>0</v>
      </c>
      <c r="B451" s="132"/>
      <c r="D451" s="496">
        <v>165</v>
      </c>
      <c r="E451" s="27"/>
      <c r="F451" s="1308" t="str">
        <f t="shared" si="13"/>
        <v/>
      </c>
      <c r="G451" s="1308"/>
      <c r="H451" s="1306"/>
      <c r="I451" s="1306"/>
      <c r="J451" s="510" t="str">
        <f>IF(H451="","",INDEX(C_FuelStreams!BM:BM,MATCH(H451,C_FuelStreams!BI:BI,0)))</f>
        <v/>
      </c>
      <c r="K451" s="511" t="str">
        <f>IF(H451="","",SUMIFS(C_FuelStreams!BL:BL,C_FuelStreams!BI:BI,H451))</f>
        <v/>
      </c>
      <c r="L451" s="28"/>
      <c r="M451" s="28"/>
      <c r="N451" s="512" t="str">
        <f t="shared" si="12"/>
        <v/>
      </c>
      <c r="O451" s="142"/>
      <c r="P451" s="115"/>
      <c r="R451" s="513" t="str">
        <f>IF(H451="","",SUMIFS(C_FuelStreams!BK:BK,C_FuelStreams!BI:BI,H451))</f>
        <v/>
      </c>
      <c r="S451" s="513" t="str">
        <f>IF(H451="","",SUMIFS(C_FuelStreams!CP:CP,C_FuelStreams!BI:BI,H451))</f>
        <v/>
      </c>
      <c r="T451" s="513" t="str">
        <f t="shared" si="14"/>
        <v/>
      </c>
      <c r="X451" s="514" t="b">
        <f t="shared" si="15"/>
        <v>0</v>
      </c>
    </row>
    <row r="452" spans="1:24" ht="12.75" hidden="1" customHeight="1" x14ac:dyDescent="0.25">
      <c r="A452" s="113" t="s">
        <v>0</v>
      </c>
      <c r="B452" s="132"/>
      <c r="D452" s="496">
        <v>166</v>
      </c>
      <c r="E452" s="27"/>
      <c r="F452" s="1308" t="str">
        <f t="shared" si="13"/>
        <v/>
      </c>
      <c r="G452" s="1308"/>
      <c r="H452" s="1306"/>
      <c r="I452" s="1306"/>
      <c r="J452" s="510" t="str">
        <f>IF(H452="","",INDEX(C_FuelStreams!BM:BM,MATCH(H452,C_FuelStreams!BI:BI,0)))</f>
        <v/>
      </c>
      <c r="K452" s="511" t="str">
        <f>IF(H452="","",SUMIFS(C_FuelStreams!BL:BL,C_FuelStreams!BI:BI,H452))</f>
        <v/>
      </c>
      <c r="L452" s="28"/>
      <c r="M452" s="28"/>
      <c r="N452" s="512" t="str">
        <f t="shared" si="12"/>
        <v/>
      </c>
      <c r="O452" s="142"/>
      <c r="P452" s="115"/>
      <c r="R452" s="513" t="str">
        <f>IF(H452="","",SUMIFS(C_FuelStreams!BK:BK,C_FuelStreams!BI:BI,H452))</f>
        <v/>
      </c>
      <c r="S452" s="513" t="str">
        <f>IF(H452="","",SUMIFS(C_FuelStreams!CP:CP,C_FuelStreams!BI:BI,H452))</f>
        <v/>
      </c>
      <c r="T452" s="513" t="str">
        <f t="shared" si="14"/>
        <v/>
      </c>
      <c r="X452" s="514" t="b">
        <f t="shared" si="15"/>
        <v>0</v>
      </c>
    </row>
    <row r="453" spans="1:24" ht="12.75" hidden="1" customHeight="1" x14ac:dyDescent="0.25">
      <c r="A453" s="113" t="s">
        <v>0</v>
      </c>
      <c r="B453" s="132"/>
      <c r="D453" s="496">
        <v>167</v>
      </c>
      <c r="E453" s="27"/>
      <c r="F453" s="1308" t="str">
        <f t="shared" si="13"/>
        <v/>
      </c>
      <c r="G453" s="1308"/>
      <c r="H453" s="1306"/>
      <c r="I453" s="1306"/>
      <c r="J453" s="510" t="str">
        <f>IF(H453="","",INDEX(C_FuelStreams!BM:BM,MATCH(H453,C_FuelStreams!BI:BI,0)))</f>
        <v/>
      </c>
      <c r="K453" s="511" t="str">
        <f>IF(H453="","",SUMIFS(C_FuelStreams!BL:BL,C_FuelStreams!BI:BI,H453))</f>
        <v/>
      </c>
      <c r="L453" s="28"/>
      <c r="M453" s="28"/>
      <c r="N453" s="512" t="str">
        <f t="shared" si="12"/>
        <v/>
      </c>
      <c r="O453" s="142"/>
      <c r="P453" s="115"/>
      <c r="R453" s="513" t="str">
        <f>IF(H453="","",SUMIFS(C_FuelStreams!BK:BK,C_FuelStreams!BI:BI,H453))</f>
        <v/>
      </c>
      <c r="S453" s="513" t="str">
        <f>IF(H453="","",SUMIFS(C_FuelStreams!CP:CP,C_FuelStreams!BI:BI,H453))</f>
        <v/>
      </c>
      <c r="T453" s="513" t="str">
        <f t="shared" si="14"/>
        <v/>
      </c>
      <c r="X453" s="514" t="b">
        <f t="shared" si="15"/>
        <v>0</v>
      </c>
    </row>
    <row r="454" spans="1:24" ht="12.75" hidden="1" customHeight="1" x14ac:dyDescent="0.25">
      <c r="A454" s="113" t="s">
        <v>0</v>
      </c>
      <c r="B454" s="132"/>
      <c r="D454" s="496">
        <v>168</v>
      </c>
      <c r="E454" s="27"/>
      <c r="F454" s="1308" t="str">
        <f t="shared" si="13"/>
        <v/>
      </c>
      <c r="G454" s="1308"/>
      <c r="H454" s="1306"/>
      <c r="I454" s="1306"/>
      <c r="J454" s="510" t="str">
        <f>IF(H454="","",INDEX(C_FuelStreams!BM:BM,MATCH(H454,C_FuelStreams!BI:BI,0)))</f>
        <v/>
      </c>
      <c r="K454" s="511" t="str">
        <f>IF(H454="","",SUMIFS(C_FuelStreams!BL:BL,C_FuelStreams!BI:BI,H454))</f>
        <v/>
      </c>
      <c r="L454" s="28"/>
      <c r="M454" s="28"/>
      <c r="N454" s="512" t="str">
        <f t="shared" si="12"/>
        <v/>
      </c>
      <c r="O454" s="142"/>
      <c r="P454" s="115"/>
      <c r="R454" s="513" t="str">
        <f>IF(H454="","",SUMIFS(C_FuelStreams!BK:BK,C_FuelStreams!BI:BI,H454))</f>
        <v/>
      </c>
      <c r="S454" s="513" t="str">
        <f>IF(H454="","",SUMIFS(C_FuelStreams!CP:CP,C_FuelStreams!BI:BI,H454))</f>
        <v/>
      </c>
      <c r="T454" s="513" t="str">
        <f t="shared" si="14"/>
        <v/>
      </c>
      <c r="X454" s="514" t="b">
        <f t="shared" si="15"/>
        <v>0</v>
      </c>
    </row>
    <row r="455" spans="1:24" ht="12.75" hidden="1" customHeight="1" x14ac:dyDescent="0.25">
      <c r="A455" s="113" t="s">
        <v>0</v>
      </c>
      <c r="B455" s="132"/>
      <c r="D455" s="496">
        <v>169</v>
      </c>
      <c r="E455" s="27"/>
      <c r="F455" s="1308" t="str">
        <f t="shared" si="13"/>
        <v/>
      </c>
      <c r="G455" s="1308"/>
      <c r="H455" s="1306"/>
      <c r="I455" s="1306"/>
      <c r="J455" s="510" t="str">
        <f>IF(H455="","",INDEX(C_FuelStreams!BM:BM,MATCH(H455,C_FuelStreams!BI:BI,0)))</f>
        <v/>
      </c>
      <c r="K455" s="511" t="str">
        <f>IF(H455="","",SUMIFS(C_FuelStreams!BL:BL,C_FuelStreams!BI:BI,H455))</f>
        <v/>
      </c>
      <c r="L455" s="28"/>
      <c r="M455" s="28"/>
      <c r="N455" s="512" t="str">
        <f t="shared" si="12"/>
        <v/>
      </c>
      <c r="O455" s="142"/>
      <c r="P455" s="115"/>
      <c r="R455" s="513" t="str">
        <f>IF(H455="","",SUMIFS(C_FuelStreams!BK:BK,C_FuelStreams!BI:BI,H455))</f>
        <v/>
      </c>
      <c r="S455" s="513" t="str">
        <f>IF(H455="","",SUMIFS(C_FuelStreams!CP:CP,C_FuelStreams!BI:BI,H455))</f>
        <v/>
      </c>
      <c r="T455" s="513" t="str">
        <f t="shared" si="14"/>
        <v/>
      </c>
      <c r="X455" s="514" t="b">
        <f t="shared" si="15"/>
        <v>0</v>
      </c>
    </row>
    <row r="456" spans="1:24" ht="12.75" hidden="1" customHeight="1" x14ac:dyDescent="0.25">
      <c r="A456" s="113" t="s">
        <v>0</v>
      </c>
      <c r="B456" s="132"/>
      <c r="D456" s="496">
        <v>170</v>
      </c>
      <c r="E456" s="27"/>
      <c r="F456" s="1308" t="str">
        <f t="shared" si="13"/>
        <v/>
      </c>
      <c r="G456" s="1308"/>
      <c r="H456" s="1306"/>
      <c r="I456" s="1306"/>
      <c r="J456" s="510" t="str">
        <f>IF(H456="","",INDEX(C_FuelStreams!BM:BM,MATCH(H456,C_FuelStreams!BI:BI,0)))</f>
        <v/>
      </c>
      <c r="K456" s="511" t="str">
        <f>IF(H456="","",SUMIFS(C_FuelStreams!BL:BL,C_FuelStreams!BI:BI,H456))</f>
        <v/>
      </c>
      <c r="L456" s="28"/>
      <c r="M456" s="28"/>
      <c r="N456" s="512" t="str">
        <f t="shared" si="12"/>
        <v/>
      </c>
      <c r="O456" s="142"/>
      <c r="P456" s="115"/>
      <c r="R456" s="513" t="str">
        <f>IF(H456="","",SUMIFS(C_FuelStreams!BK:BK,C_FuelStreams!BI:BI,H456))</f>
        <v/>
      </c>
      <c r="S456" s="513" t="str">
        <f>IF(H456="","",SUMIFS(C_FuelStreams!CP:CP,C_FuelStreams!BI:BI,H456))</f>
        <v/>
      </c>
      <c r="T456" s="513" t="str">
        <f t="shared" si="14"/>
        <v/>
      </c>
      <c r="X456" s="514" t="b">
        <f t="shared" si="15"/>
        <v>0</v>
      </c>
    </row>
    <row r="457" spans="1:24" ht="12.75" hidden="1" customHeight="1" x14ac:dyDescent="0.25">
      <c r="A457" s="113" t="s">
        <v>0</v>
      </c>
      <c r="B457" s="132"/>
      <c r="D457" s="496">
        <v>171</v>
      </c>
      <c r="E457" s="27"/>
      <c r="F457" s="1308" t="str">
        <f t="shared" si="13"/>
        <v/>
      </c>
      <c r="G457" s="1308"/>
      <c r="H457" s="1306"/>
      <c r="I457" s="1306"/>
      <c r="J457" s="510" t="str">
        <f>IF(H457="","",INDEX(C_FuelStreams!BM:BM,MATCH(H457,C_FuelStreams!BI:BI,0)))</f>
        <v/>
      </c>
      <c r="K457" s="511" t="str">
        <f>IF(H457="","",SUMIFS(C_FuelStreams!BL:BL,C_FuelStreams!BI:BI,H457))</f>
        <v/>
      </c>
      <c r="L457" s="28"/>
      <c r="M457" s="28"/>
      <c r="N457" s="512" t="str">
        <f t="shared" si="12"/>
        <v/>
      </c>
      <c r="O457" s="142"/>
      <c r="P457" s="115"/>
      <c r="R457" s="513" t="str">
        <f>IF(H457="","",SUMIFS(C_FuelStreams!BK:BK,C_FuelStreams!BI:BI,H457))</f>
        <v/>
      </c>
      <c r="S457" s="513" t="str">
        <f>IF(H457="","",SUMIFS(C_FuelStreams!CP:CP,C_FuelStreams!BI:BI,H457))</f>
        <v/>
      </c>
      <c r="T457" s="513" t="str">
        <f t="shared" si="14"/>
        <v/>
      </c>
      <c r="X457" s="514" t="b">
        <f t="shared" si="15"/>
        <v>0</v>
      </c>
    </row>
    <row r="458" spans="1:24" ht="12.75" hidden="1" customHeight="1" x14ac:dyDescent="0.25">
      <c r="A458" s="113" t="s">
        <v>0</v>
      </c>
      <c r="B458" s="132"/>
      <c r="D458" s="496">
        <v>172</v>
      </c>
      <c r="E458" s="27"/>
      <c r="F458" s="1308" t="str">
        <f t="shared" si="13"/>
        <v/>
      </c>
      <c r="G458" s="1308"/>
      <c r="H458" s="1306"/>
      <c r="I458" s="1306"/>
      <c r="J458" s="510" t="str">
        <f>IF(H458="","",INDEX(C_FuelStreams!BM:BM,MATCH(H458,C_FuelStreams!BI:BI,0)))</f>
        <v/>
      </c>
      <c r="K458" s="511" t="str">
        <f>IF(H458="","",SUMIFS(C_FuelStreams!BL:BL,C_FuelStreams!BI:BI,H458))</f>
        <v/>
      </c>
      <c r="L458" s="28"/>
      <c r="M458" s="28"/>
      <c r="N458" s="512" t="str">
        <f t="shared" si="12"/>
        <v/>
      </c>
      <c r="O458" s="142"/>
      <c r="P458" s="115"/>
      <c r="R458" s="513" t="str">
        <f>IF(H458="","",SUMIFS(C_FuelStreams!BK:BK,C_FuelStreams!BI:BI,H458))</f>
        <v/>
      </c>
      <c r="S458" s="513" t="str">
        <f>IF(H458="","",SUMIFS(C_FuelStreams!CP:CP,C_FuelStreams!BI:BI,H458))</f>
        <v/>
      </c>
      <c r="T458" s="513" t="str">
        <f t="shared" si="14"/>
        <v/>
      </c>
      <c r="X458" s="514" t="b">
        <f t="shared" si="15"/>
        <v>0</v>
      </c>
    </row>
    <row r="459" spans="1:24" ht="12.75" hidden="1" customHeight="1" x14ac:dyDescent="0.25">
      <c r="A459" s="113" t="s">
        <v>0</v>
      </c>
      <c r="B459" s="132"/>
      <c r="D459" s="496">
        <v>173</v>
      </c>
      <c r="E459" s="27"/>
      <c r="F459" s="1308" t="str">
        <f t="shared" si="13"/>
        <v/>
      </c>
      <c r="G459" s="1308"/>
      <c r="H459" s="1306"/>
      <c r="I459" s="1306"/>
      <c r="J459" s="510" t="str">
        <f>IF(H459="","",INDEX(C_FuelStreams!BM:BM,MATCH(H459,C_FuelStreams!BI:BI,0)))</f>
        <v/>
      </c>
      <c r="K459" s="511" t="str">
        <f>IF(H459="","",SUMIFS(C_FuelStreams!BL:BL,C_FuelStreams!BI:BI,H459))</f>
        <v/>
      </c>
      <c r="L459" s="28"/>
      <c r="M459" s="28"/>
      <c r="N459" s="512" t="str">
        <f t="shared" si="12"/>
        <v/>
      </c>
      <c r="O459" s="142"/>
      <c r="P459" s="115"/>
      <c r="R459" s="513" t="str">
        <f>IF(H459="","",SUMIFS(C_FuelStreams!BK:BK,C_FuelStreams!BI:BI,H459))</f>
        <v/>
      </c>
      <c r="S459" s="513" t="str">
        <f>IF(H459="","",SUMIFS(C_FuelStreams!CP:CP,C_FuelStreams!BI:BI,H459))</f>
        <v/>
      </c>
      <c r="T459" s="513" t="str">
        <f t="shared" si="14"/>
        <v/>
      </c>
      <c r="X459" s="514" t="b">
        <f t="shared" si="15"/>
        <v>0</v>
      </c>
    </row>
    <row r="460" spans="1:24" ht="12.75" hidden="1" customHeight="1" x14ac:dyDescent="0.25">
      <c r="A460" s="113" t="s">
        <v>0</v>
      </c>
      <c r="B460" s="132"/>
      <c r="D460" s="496">
        <v>174</v>
      </c>
      <c r="E460" s="27"/>
      <c r="F460" s="1308" t="str">
        <f t="shared" si="13"/>
        <v/>
      </c>
      <c r="G460" s="1308"/>
      <c r="H460" s="1306"/>
      <c r="I460" s="1306"/>
      <c r="J460" s="510" t="str">
        <f>IF(H460="","",INDEX(C_FuelStreams!BM:BM,MATCH(H460,C_FuelStreams!BI:BI,0)))</f>
        <v/>
      </c>
      <c r="K460" s="511" t="str">
        <f>IF(H460="","",SUMIFS(C_FuelStreams!BL:BL,C_FuelStreams!BI:BI,H460))</f>
        <v/>
      </c>
      <c r="L460" s="28"/>
      <c r="M460" s="28"/>
      <c r="N460" s="512" t="str">
        <f t="shared" si="12"/>
        <v/>
      </c>
      <c r="O460" s="142"/>
      <c r="P460" s="115"/>
      <c r="R460" s="513" t="str">
        <f>IF(H460="","",SUMIFS(C_FuelStreams!BK:BK,C_FuelStreams!BI:BI,H460))</f>
        <v/>
      </c>
      <c r="S460" s="513" t="str">
        <f>IF(H460="","",SUMIFS(C_FuelStreams!CP:CP,C_FuelStreams!BI:BI,H460))</f>
        <v/>
      </c>
      <c r="T460" s="513" t="str">
        <f t="shared" si="14"/>
        <v/>
      </c>
      <c r="X460" s="514" t="b">
        <f t="shared" si="15"/>
        <v>0</v>
      </c>
    </row>
    <row r="461" spans="1:24" ht="12.75" hidden="1" customHeight="1" x14ac:dyDescent="0.25">
      <c r="A461" s="113" t="s">
        <v>0</v>
      </c>
      <c r="B461" s="132"/>
      <c r="D461" s="496">
        <v>175</v>
      </c>
      <c r="E461" s="27"/>
      <c r="F461" s="1308" t="str">
        <f t="shared" si="13"/>
        <v/>
      </c>
      <c r="G461" s="1308"/>
      <c r="H461" s="1306"/>
      <c r="I461" s="1306"/>
      <c r="J461" s="510" t="str">
        <f>IF(H461="","",INDEX(C_FuelStreams!BM:BM,MATCH(H461,C_FuelStreams!BI:BI,0)))</f>
        <v/>
      </c>
      <c r="K461" s="511" t="str">
        <f>IF(H461="","",SUMIFS(C_FuelStreams!BL:BL,C_FuelStreams!BI:BI,H461))</f>
        <v/>
      </c>
      <c r="L461" s="28"/>
      <c r="M461" s="28"/>
      <c r="N461" s="512" t="str">
        <f t="shared" si="12"/>
        <v/>
      </c>
      <c r="O461" s="142"/>
      <c r="P461" s="115"/>
      <c r="R461" s="513" t="str">
        <f>IF(H461="","",SUMIFS(C_FuelStreams!BK:BK,C_FuelStreams!BI:BI,H461))</f>
        <v/>
      </c>
      <c r="S461" s="513" t="str">
        <f>IF(H461="","",SUMIFS(C_FuelStreams!CP:CP,C_FuelStreams!BI:BI,H461))</f>
        <v/>
      </c>
      <c r="T461" s="513" t="str">
        <f t="shared" si="14"/>
        <v/>
      </c>
      <c r="X461" s="514" t="b">
        <f t="shared" si="15"/>
        <v>0</v>
      </c>
    </row>
    <row r="462" spans="1:24" ht="12.75" hidden="1" customHeight="1" x14ac:dyDescent="0.25">
      <c r="A462" s="113" t="s">
        <v>0</v>
      </c>
      <c r="B462" s="132"/>
      <c r="D462" s="496">
        <v>176</v>
      </c>
      <c r="E462" s="27"/>
      <c r="F462" s="1308" t="str">
        <f t="shared" si="13"/>
        <v/>
      </c>
      <c r="G462" s="1308"/>
      <c r="H462" s="1306"/>
      <c r="I462" s="1306"/>
      <c r="J462" s="510" t="str">
        <f>IF(H462="","",INDEX(C_FuelStreams!BM:BM,MATCH(H462,C_FuelStreams!BI:BI,0)))</f>
        <v/>
      </c>
      <c r="K462" s="511" t="str">
        <f>IF(H462="","",SUMIFS(C_FuelStreams!BL:BL,C_FuelStreams!BI:BI,H462))</f>
        <v/>
      </c>
      <c r="L462" s="28"/>
      <c r="M462" s="28"/>
      <c r="N462" s="512" t="str">
        <f t="shared" si="12"/>
        <v/>
      </c>
      <c r="O462" s="142"/>
      <c r="P462" s="115"/>
      <c r="R462" s="513" t="str">
        <f>IF(H462="","",SUMIFS(C_FuelStreams!BK:BK,C_FuelStreams!BI:BI,H462))</f>
        <v/>
      </c>
      <c r="S462" s="513" t="str">
        <f>IF(H462="","",SUMIFS(C_FuelStreams!CP:CP,C_FuelStreams!BI:BI,H462))</f>
        <v/>
      </c>
      <c r="T462" s="513" t="str">
        <f t="shared" si="14"/>
        <v/>
      </c>
      <c r="X462" s="514" t="b">
        <f t="shared" si="15"/>
        <v>0</v>
      </c>
    </row>
    <row r="463" spans="1:24" ht="12.75" hidden="1" customHeight="1" x14ac:dyDescent="0.25">
      <c r="A463" s="113" t="s">
        <v>0</v>
      </c>
      <c r="B463" s="132"/>
      <c r="D463" s="496">
        <v>177</v>
      </c>
      <c r="E463" s="27"/>
      <c r="F463" s="1308" t="str">
        <f t="shared" si="13"/>
        <v/>
      </c>
      <c r="G463" s="1308"/>
      <c r="H463" s="1306"/>
      <c r="I463" s="1306"/>
      <c r="J463" s="510" t="str">
        <f>IF(H463="","",INDEX(C_FuelStreams!BM:BM,MATCH(H463,C_FuelStreams!BI:BI,0)))</f>
        <v/>
      </c>
      <c r="K463" s="511" t="str">
        <f>IF(H463="","",SUMIFS(C_FuelStreams!BL:BL,C_FuelStreams!BI:BI,H463))</f>
        <v/>
      </c>
      <c r="L463" s="28"/>
      <c r="M463" s="28"/>
      <c r="N463" s="512" t="str">
        <f t="shared" si="12"/>
        <v/>
      </c>
      <c r="O463" s="142"/>
      <c r="P463" s="115"/>
      <c r="R463" s="513" t="str">
        <f>IF(H463="","",SUMIFS(C_FuelStreams!BK:BK,C_FuelStreams!BI:BI,H463))</f>
        <v/>
      </c>
      <c r="S463" s="513" t="str">
        <f>IF(H463="","",SUMIFS(C_FuelStreams!CP:CP,C_FuelStreams!BI:BI,H463))</f>
        <v/>
      </c>
      <c r="T463" s="513" t="str">
        <f t="shared" si="14"/>
        <v/>
      </c>
      <c r="X463" s="514" t="b">
        <f t="shared" si="15"/>
        <v>0</v>
      </c>
    </row>
    <row r="464" spans="1:24" ht="12.75" hidden="1" customHeight="1" x14ac:dyDescent="0.25">
      <c r="A464" s="113" t="s">
        <v>0</v>
      </c>
      <c r="B464" s="132"/>
      <c r="D464" s="496">
        <v>178</v>
      </c>
      <c r="E464" s="27"/>
      <c r="F464" s="1308" t="str">
        <f t="shared" si="13"/>
        <v/>
      </c>
      <c r="G464" s="1308"/>
      <c r="H464" s="1306"/>
      <c r="I464" s="1306"/>
      <c r="J464" s="510" t="str">
        <f>IF(H464="","",INDEX(C_FuelStreams!BM:BM,MATCH(H464,C_FuelStreams!BI:BI,0)))</f>
        <v/>
      </c>
      <c r="K464" s="511" t="str">
        <f>IF(H464="","",SUMIFS(C_FuelStreams!BL:BL,C_FuelStreams!BI:BI,H464))</f>
        <v/>
      </c>
      <c r="L464" s="28"/>
      <c r="M464" s="28"/>
      <c r="N464" s="512" t="str">
        <f t="shared" si="12"/>
        <v/>
      </c>
      <c r="O464" s="142"/>
      <c r="P464" s="115"/>
      <c r="R464" s="513" t="str">
        <f>IF(H464="","",SUMIFS(C_FuelStreams!BK:BK,C_FuelStreams!BI:BI,H464))</f>
        <v/>
      </c>
      <c r="S464" s="513" t="str">
        <f>IF(H464="","",SUMIFS(C_FuelStreams!CP:CP,C_FuelStreams!BI:BI,H464))</f>
        <v/>
      </c>
      <c r="T464" s="513" t="str">
        <f t="shared" si="14"/>
        <v/>
      </c>
      <c r="X464" s="514" t="b">
        <f t="shared" si="15"/>
        <v>0</v>
      </c>
    </row>
    <row r="465" spans="1:24" ht="12.75" hidden="1" customHeight="1" x14ac:dyDescent="0.25">
      <c r="A465" s="113" t="s">
        <v>0</v>
      </c>
      <c r="B465" s="132"/>
      <c r="D465" s="496">
        <v>179</v>
      </c>
      <c r="E465" s="27"/>
      <c r="F465" s="1308" t="str">
        <f t="shared" si="13"/>
        <v/>
      </c>
      <c r="G465" s="1308"/>
      <c r="H465" s="1306"/>
      <c r="I465" s="1306"/>
      <c r="J465" s="510" t="str">
        <f>IF(H465="","",INDEX(C_FuelStreams!BM:BM,MATCH(H465,C_FuelStreams!BI:BI,0)))</f>
        <v/>
      </c>
      <c r="K465" s="511" t="str">
        <f>IF(H465="","",SUMIFS(C_FuelStreams!BL:BL,C_FuelStreams!BI:BI,H465))</f>
        <v/>
      </c>
      <c r="L465" s="28"/>
      <c r="M465" s="28"/>
      <c r="N465" s="512" t="str">
        <f t="shared" si="12"/>
        <v/>
      </c>
      <c r="O465" s="142"/>
      <c r="P465" s="115"/>
      <c r="R465" s="513" t="str">
        <f>IF(H465="","",SUMIFS(C_FuelStreams!BK:BK,C_FuelStreams!BI:BI,H465))</f>
        <v/>
      </c>
      <c r="S465" s="513" t="str">
        <f>IF(H465="","",SUMIFS(C_FuelStreams!CP:CP,C_FuelStreams!BI:BI,H465))</f>
        <v/>
      </c>
      <c r="T465" s="513" t="str">
        <f t="shared" si="14"/>
        <v/>
      </c>
      <c r="X465" s="514" t="b">
        <f t="shared" si="15"/>
        <v>0</v>
      </c>
    </row>
    <row r="466" spans="1:24" ht="12.75" hidden="1" customHeight="1" x14ac:dyDescent="0.25">
      <c r="A466" s="113" t="s">
        <v>0</v>
      </c>
      <c r="B466" s="132"/>
      <c r="D466" s="496">
        <v>180</v>
      </c>
      <c r="E466" s="27"/>
      <c r="F466" s="1308" t="str">
        <f t="shared" si="13"/>
        <v/>
      </c>
      <c r="G466" s="1308"/>
      <c r="H466" s="1306"/>
      <c r="I466" s="1306"/>
      <c r="J466" s="510" t="str">
        <f>IF(H466="","",INDEX(C_FuelStreams!BM:BM,MATCH(H466,C_FuelStreams!BI:BI,0)))</f>
        <v/>
      </c>
      <c r="K466" s="511" t="str">
        <f>IF(H466="","",SUMIFS(C_FuelStreams!BL:BL,C_FuelStreams!BI:BI,H466))</f>
        <v/>
      </c>
      <c r="L466" s="28"/>
      <c r="M466" s="28"/>
      <c r="N466" s="512" t="str">
        <f t="shared" si="12"/>
        <v/>
      </c>
      <c r="O466" s="142"/>
      <c r="P466" s="115"/>
      <c r="R466" s="513" t="str">
        <f>IF(H466="","",SUMIFS(C_FuelStreams!BK:BK,C_FuelStreams!BI:BI,H466))</f>
        <v/>
      </c>
      <c r="S466" s="513" t="str">
        <f>IF(H466="","",SUMIFS(C_FuelStreams!CP:CP,C_FuelStreams!BI:BI,H466))</f>
        <v/>
      </c>
      <c r="T466" s="513" t="str">
        <f t="shared" si="14"/>
        <v/>
      </c>
      <c r="X466" s="514" t="b">
        <f t="shared" si="15"/>
        <v>0</v>
      </c>
    </row>
    <row r="467" spans="1:24" ht="12.75" hidden="1" customHeight="1" x14ac:dyDescent="0.25">
      <c r="A467" s="113" t="s">
        <v>0</v>
      </c>
      <c r="B467" s="132"/>
      <c r="D467" s="496">
        <v>181</v>
      </c>
      <c r="E467" s="27"/>
      <c r="F467" s="1308" t="str">
        <f t="shared" si="13"/>
        <v/>
      </c>
      <c r="G467" s="1308"/>
      <c r="H467" s="1306"/>
      <c r="I467" s="1306"/>
      <c r="J467" s="510" t="str">
        <f>IF(H467="","",INDEX(C_FuelStreams!BM:BM,MATCH(H467,C_FuelStreams!BI:BI,0)))</f>
        <v/>
      </c>
      <c r="K467" s="511" t="str">
        <f>IF(H467="","",SUMIFS(C_FuelStreams!BL:BL,C_FuelStreams!BI:BI,H467))</f>
        <v/>
      </c>
      <c r="L467" s="28"/>
      <c r="M467" s="28"/>
      <c r="N467" s="512" t="str">
        <f t="shared" si="12"/>
        <v/>
      </c>
      <c r="O467" s="142"/>
      <c r="P467" s="115"/>
      <c r="R467" s="513" t="str">
        <f>IF(H467="","",SUMIFS(C_FuelStreams!BK:BK,C_FuelStreams!BI:BI,H467))</f>
        <v/>
      </c>
      <c r="S467" s="513" t="str">
        <f>IF(H467="","",SUMIFS(C_FuelStreams!CP:CP,C_FuelStreams!BI:BI,H467))</f>
        <v/>
      </c>
      <c r="T467" s="513" t="str">
        <f t="shared" si="14"/>
        <v/>
      </c>
      <c r="X467" s="514" t="b">
        <f t="shared" si="15"/>
        <v>0</v>
      </c>
    </row>
    <row r="468" spans="1:24" ht="12.75" hidden="1" customHeight="1" x14ac:dyDescent="0.25">
      <c r="A468" s="113" t="s">
        <v>0</v>
      </c>
      <c r="B468" s="132"/>
      <c r="D468" s="496">
        <v>182</v>
      </c>
      <c r="E468" s="27"/>
      <c r="F468" s="1308" t="str">
        <f t="shared" si="13"/>
        <v/>
      </c>
      <c r="G468" s="1308"/>
      <c r="H468" s="1306"/>
      <c r="I468" s="1306"/>
      <c r="J468" s="510" t="str">
        <f>IF(H468="","",INDEX(C_FuelStreams!BM:BM,MATCH(H468,C_FuelStreams!BI:BI,0)))</f>
        <v/>
      </c>
      <c r="K468" s="511" t="str">
        <f>IF(H468="","",SUMIFS(C_FuelStreams!BL:BL,C_FuelStreams!BI:BI,H468))</f>
        <v/>
      </c>
      <c r="L468" s="28"/>
      <c r="M468" s="28"/>
      <c r="N468" s="512" t="str">
        <f t="shared" si="12"/>
        <v/>
      </c>
      <c r="O468" s="142"/>
      <c r="P468" s="115"/>
      <c r="R468" s="513" t="str">
        <f>IF(H468="","",SUMIFS(C_FuelStreams!BK:BK,C_FuelStreams!BI:BI,H468))</f>
        <v/>
      </c>
      <c r="S468" s="513" t="str">
        <f>IF(H468="","",SUMIFS(C_FuelStreams!CP:CP,C_FuelStreams!BI:BI,H468))</f>
        <v/>
      </c>
      <c r="T468" s="513" t="str">
        <f t="shared" si="14"/>
        <v/>
      </c>
      <c r="X468" s="514" t="b">
        <f t="shared" si="15"/>
        <v>0</v>
      </c>
    </row>
    <row r="469" spans="1:24" ht="12.75" hidden="1" customHeight="1" x14ac:dyDescent="0.25">
      <c r="A469" s="113" t="s">
        <v>0</v>
      </c>
      <c r="B469" s="132"/>
      <c r="D469" s="496">
        <v>183</v>
      </c>
      <c r="E469" s="27"/>
      <c r="F469" s="1308" t="str">
        <f t="shared" si="13"/>
        <v/>
      </c>
      <c r="G469" s="1308"/>
      <c r="H469" s="1306"/>
      <c r="I469" s="1306"/>
      <c r="J469" s="510" t="str">
        <f>IF(H469="","",INDEX(C_FuelStreams!BM:BM,MATCH(H469,C_FuelStreams!BI:BI,0)))</f>
        <v/>
      </c>
      <c r="K469" s="511" t="str">
        <f>IF(H469="","",SUMIFS(C_FuelStreams!BL:BL,C_FuelStreams!BI:BI,H469))</f>
        <v/>
      </c>
      <c r="L469" s="28"/>
      <c r="M469" s="28"/>
      <c r="N469" s="512" t="str">
        <f t="shared" si="12"/>
        <v/>
      </c>
      <c r="O469" s="142"/>
      <c r="P469" s="115"/>
      <c r="R469" s="513" t="str">
        <f>IF(H469="","",SUMIFS(C_FuelStreams!BK:BK,C_FuelStreams!BI:BI,H469))</f>
        <v/>
      </c>
      <c r="S469" s="513" t="str">
        <f>IF(H469="","",SUMIFS(C_FuelStreams!CP:CP,C_FuelStreams!BI:BI,H469))</f>
        <v/>
      </c>
      <c r="T469" s="513" t="str">
        <f t="shared" si="14"/>
        <v/>
      </c>
      <c r="X469" s="514" t="b">
        <f t="shared" si="15"/>
        <v>0</v>
      </c>
    </row>
    <row r="470" spans="1:24" ht="12.75" hidden="1" customHeight="1" x14ac:dyDescent="0.25">
      <c r="A470" s="113" t="s">
        <v>0</v>
      </c>
      <c r="B470" s="132"/>
      <c r="D470" s="496">
        <v>184</v>
      </c>
      <c r="E470" s="27"/>
      <c r="F470" s="1308" t="str">
        <f t="shared" si="13"/>
        <v/>
      </c>
      <c r="G470" s="1308"/>
      <c r="H470" s="1306"/>
      <c r="I470" s="1306"/>
      <c r="J470" s="510" t="str">
        <f>IF(H470="","",INDEX(C_FuelStreams!BM:BM,MATCH(H470,C_FuelStreams!BI:BI,0)))</f>
        <v/>
      </c>
      <c r="K470" s="511" t="str">
        <f>IF(H470="","",SUMIFS(C_FuelStreams!BL:BL,C_FuelStreams!BI:BI,H470))</f>
        <v/>
      </c>
      <c r="L470" s="28"/>
      <c r="M470" s="28"/>
      <c r="N470" s="512" t="str">
        <f t="shared" si="12"/>
        <v/>
      </c>
      <c r="O470" s="142"/>
      <c r="P470" s="115"/>
      <c r="R470" s="513" t="str">
        <f>IF(H470="","",SUMIFS(C_FuelStreams!BK:BK,C_FuelStreams!BI:BI,H470))</f>
        <v/>
      </c>
      <c r="S470" s="513" t="str">
        <f>IF(H470="","",SUMIFS(C_FuelStreams!CP:CP,C_FuelStreams!BI:BI,H470))</f>
        <v/>
      </c>
      <c r="T470" s="513" t="str">
        <f t="shared" si="14"/>
        <v/>
      </c>
      <c r="X470" s="514" t="b">
        <f t="shared" si="15"/>
        <v>0</v>
      </c>
    </row>
    <row r="471" spans="1:24" ht="12.75" hidden="1" customHeight="1" x14ac:dyDescent="0.25">
      <c r="A471" s="113" t="s">
        <v>0</v>
      </c>
      <c r="B471" s="132"/>
      <c r="D471" s="496">
        <v>185</v>
      </c>
      <c r="E471" s="27"/>
      <c r="F471" s="1308" t="str">
        <f t="shared" si="13"/>
        <v/>
      </c>
      <c r="G471" s="1308"/>
      <c r="H471" s="1306"/>
      <c r="I471" s="1306"/>
      <c r="J471" s="510" t="str">
        <f>IF(H471="","",INDEX(C_FuelStreams!BM:BM,MATCH(H471,C_FuelStreams!BI:BI,0)))</f>
        <v/>
      </c>
      <c r="K471" s="511" t="str">
        <f>IF(H471="","",SUMIFS(C_FuelStreams!BL:BL,C_FuelStreams!BI:BI,H471))</f>
        <v/>
      </c>
      <c r="L471" s="28"/>
      <c r="M471" s="28"/>
      <c r="N471" s="512" t="str">
        <f t="shared" si="12"/>
        <v/>
      </c>
      <c r="O471" s="142"/>
      <c r="P471" s="115"/>
      <c r="R471" s="513" t="str">
        <f>IF(H471="","",SUMIFS(C_FuelStreams!BK:BK,C_FuelStreams!BI:BI,H471))</f>
        <v/>
      </c>
      <c r="S471" s="513" t="str">
        <f>IF(H471="","",SUMIFS(C_FuelStreams!CP:CP,C_FuelStreams!BI:BI,H471))</f>
        <v/>
      </c>
      <c r="T471" s="513" t="str">
        <f t="shared" si="14"/>
        <v/>
      </c>
      <c r="X471" s="514" t="b">
        <f t="shared" si="15"/>
        <v>0</v>
      </c>
    </row>
    <row r="472" spans="1:24" ht="12.75" hidden="1" customHeight="1" x14ac:dyDescent="0.25">
      <c r="A472" s="113" t="s">
        <v>0</v>
      </c>
      <c r="B472" s="132"/>
      <c r="D472" s="496">
        <v>186</v>
      </c>
      <c r="E472" s="27"/>
      <c r="F472" s="1308" t="str">
        <f t="shared" si="13"/>
        <v/>
      </c>
      <c r="G472" s="1308"/>
      <c r="H472" s="1306"/>
      <c r="I472" s="1306"/>
      <c r="J472" s="510" t="str">
        <f>IF(H472="","",INDEX(C_FuelStreams!BM:BM,MATCH(H472,C_FuelStreams!BI:BI,0)))</f>
        <v/>
      </c>
      <c r="K472" s="511" t="str">
        <f>IF(H472="","",SUMIFS(C_FuelStreams!BL:BL,C_FuelStreams!BI:BI,H472))</f>
        <v/>
      </c>
      <c r="L472" s="28"/>
      <c r="M472" s="28"/>
      <c r="N472" s="512" t="str">
        <f t="shared" si="12"/>
        <v/>
      </c>
      <c r="O472" s="142"/>
      <c r="P472" s="115"/>
      <c r="R472" s="513" t="str">
        <f>IF(H472="","",SUMIFS(C_FuelStreams!BK:BK,C_FuelStreams!BI:BI,H472))</f>
        <v/>
      </c>
      <c r="S472" s="513" t="str">
        <f>IF(H472="","",SUMIFS(C_FuelStreams!CP:CP,C_FuelStreams!BI:BI,H472))</f>
        <v/>
      </c>
      <c r="T472" s="513" t="str">
        <f t="shared" si="14"/>
        <v/>
      </c>
      <c r="X472" s="514" t="b">
        <f t="shared" si="15"/>
        <v>0</v>
      </c>
    </row>
    <row r="473" spans="1:24" ht="12.75" hidden="1" customHeight="1" x14ac:dyDescent="0.25">
      <c r="A473" s="113" t="s">
        <v>0</v>
      </c>
      <c r="B473" s="132"/>
      <c r="D473" s="496">
        <v>187</v>
      </c>
      <c r="E473" s="27"/>
      <c r="F473" s="1308" t="str">
        <f t="shared" si="13"/>
        <v/>
      </c>
      <c r="G473" s="1308"/>
      <c r="H473" s="1306"/>
      <c r="I473" s="1306"/>
      <c r="J473" s="510" t="str">
        <f>IF(H473="","",INDEX(C_FuelStreams!BM:BM,MATCH(H473,C_FuelStreams!BI:BI,0)))</f>
        <v/>
      </c>
      <c r="K473" s="511" t="str">
        <f>IF(H473="","",SUMIFS(C_FuelStreams!BL:BL,C_FuelStreams!BI:BI,H473))</f>
        <v/>
      </c>
      <c r="L473" s="28"/>
      <c r="M473" s="28"/>
      <c r="N473" s="512" t="str">
        <f t="shared" si="12"/>
        <v/>
      </c>
      <c r="O473" s="142"/>
      <c r="P473" s="115"/>
      <c r="R473" s="513" t="str">
        <f>IF(H473="","",SUMIFS(C_FuelStreams!BK:BK,C_FuelStreams!BI:BI,H473))</f>
        <v/>
      </c>
      <c r="S473" s="513" t="str">
        <f>IF(H473="","",SUMIFS(C_FuelStreams!CP:CP,C_FuelStreams!BI:BI,H473))</f>
        <v/>
      </c>
      <c r="T473" s="513" t="str">
        <f t="shared" si="14"/>
        <v/>
      </c>
      <c r="X473" s="514" t="b">
        <f t="shared" si="15"/>
        <v>0</v>
      </c>
    </row>
    <row r="474" spans="1:24" ht="12.75" hidden="1" customHeight="1" x14ac:dyDescent="0.25">
      <c r="A474" s="113" t="s">
        <v>0</v>
      </c>
      <c r="B474" s="132"/>
      <c r="D474" s="496">
        <v>188</v>
      </c>
      <c r="E474" s="27"/>
      <c r="F474" s="1308" t="str">
        <f t="shared" si="13"/>
        <v/>
      </c>
      <c r="G474" s="1308"/>
      <c r="H474" s="1306"/>
      <c r="I474" s="1306"/>
      <c r="J474" s="510" t="str">
        <f>IF(H474="","",INDEX(C_FuelStreams!BM:BM,MATCH(H474,C_FuelStreams!BI:BI,0)))</f>
        <v/>
      </c>
      <c r="K474" s="511" t="str">
        <f>IF(H474="","",SUMIFS(C_FuelStreams!BL:BL,C_FuelStreams!BI:BI,H474))</f>
        <v/>
      </c>
      <c r="L474" s="28"/>
      <c r="M474" s="28"/>
      <c r="N474" s="512" t="str">
        <f t="shared" si="12"/>
        <v/>
      </c>
      <c r="O474" s="142"/>
      <c r="P474" s="115"/>
      <c r="R474" s="513" t="str">
        <f>IF(H474="","",SUMIFS(C_FuelStreams!BK:BK,C_FuelStreams!BI:BI,H474))</f>
        <v/>
      </c>
      <c r="S474" s="513" t="str">
        <f>IF(H474="","",SUMIFS(C_FuelStreams!CP:CP,C_FuelStreams!BI:BI,H474))</f>
        <v/>
      </c>
      <c r="T474" s="513" t="str">
        <f t="shared" si="14"/>
        <v/>
      </c>
      <c r="X474" s="514" t="b">
        <f t="shared" si="15"/>
        <v>0</v>
      </c>
    </row>
    <row r="475" spans="1:24" ht="12.75" hidden="1" customHeight="1" x14ac:dyDescent="0.25">
      <c r="A475" s="113" t="s">
        <v>0</v>
      </c>
      <c r="B475" s="132"/>
      <c r="D475" s="496">
        <v>189</v>
      </c>
      <c r="E475" s="27"/>
      <c r="F475" s="1308" t="str">
        <f t="shared" si="13"/>
        <v/>
      </c>
      <c r="G475" s="1308"/>
      <c r="H475" s="1306"/>
      <c r="I475" s="1306"/>
      <c r="J475" s="510" t="str">
        <f>IF(H475="","",INDEX(C_FuelStreams!BM:BM,MATCH(H475,C_FuelStreams!BI:BI,0)))</f>
        <v/>
      </c>
      <c r="K475" s="511" t="str">
        <f>IF(H475="","",SUMIFS(C_FuelStreams!BL:BL,C_FuelStreams!BI:BI,H475))</f>
        <v/>
      </c>
      <c r="L475" s="28"/>
      <c r="M475" s="28"/>
      <c r="N475" s="512" t="str">
        <f t="shared" si="12"/>
        <v/>
      </c>
      <c r="O475" s="142"/>
      <c r="P475" s="115"/>
      <c r="R475" s="513" t="str">
        <f>IF(H475="","",SUMIFS(C_FuelStreams!BK:BK,C_FuelStreams!BI:BI,H475))</f>
        <v/>
      </c>
      <c r="S475" s="513" t="str">
        <f>IF(H475="","",SUMIFS(C_FuelStreams!CP:CP,C_FuelStreams!BI:BI,H475))</f>
        <v/>
      </c>
      <c r="T475" s="513" t="str">
        <f t="shared" si="14"/>
        <v/>
      </c>
      <c r="X475" s="514" t="b">
        <f t="shared" si="15"/>
        <v>0</v>
      </c>
    </row>
    <row r="476" spans="1:24" ht="12.75" hidden="1" customHeight="1" x14ac:dyDescent="0.25">
      <c r="A476" s="113" t="s">
        <v>0</v>
      </c>
      <c r="B476" s="132"/>
      <c r="D476" s="496">
        <v>190</v>
      </c>
      <c r="E476" s="27"/>
      <c r="F476" s="1308" t="str">
        <f t="shared" si="13"/>
        <v/>
      </c>
      <c r="G476" s="1308"/>
      <c r="H476" s="1306"/>
      <c r="I476" s="1306"/>
      <c r="J476" s="510" t="str">
        <f>IF(H476="","",INDEX(C_FuelStreams!BM:BM,MATCH(H476,C_FuelStreams!BI:BI,0)))</f>
        <v/>
      </c>
      <c r="K476" s="511" t="str">
        <f>IF(H476="","",SUMIFS(C_FuelStreams!BL:BL,C_FuelStreams!BI:BI,H476))</f>
        <v/>
      </c>
      <c r="L476" s="28"/>
      <c r="M476" s="28"/>
      <c r="N476" s="512" t="str">
        <f t="shared" si="12"/>
        <v/>
      </c>
      <c r="O476" s="142"/>
      <c r="P476" s="115"/>
      <c r="R476" s="513" t="str">
        <f>IF(H476="","",SUMIFS(C_FuelStreams!BK:BK,C_FuelStreams!BI:BI,H476))</f>
        <v/>
      </c>
      <c r="S476" s="513" t="str">
        <f>IF(H476="","",SUMIFS(C_FuelStreams!CP:CP,C_FuelStreams!BI:BI,H476))</f>
        <v/>
      </c>
      <c r="T476" s="513" t="str">
        <f t="shared" si="14"/>
        <v/>
      </c>
      <c r="X476" s="514" t="b">
        <f t="shared" si="15"/>
        <v>0</v>
      </c>
    </row>
    <row r="477" spans="1:24" ht="12.75" hidden="1" customHeight="1" x14ac:dyDescent="0.25">
      <c r="A477" s="113" t="s">
        <v>0</v>
      </c>
      <c r="B477" s="132"/>
      <c r="D477" s="496">
        <v>191</v>
      </c>
      <c r="E477" s="27"/>
      <c r="F477" s="1308" t="str">
        <f t="shared" si="13"/>
        <v/>
      </c>
      <c r="G477" s="1308"/>
      <c r="H477" s="1306"/>
      <c r="I477" s="1306"/>
      <c r="J477" s="510" t="str">
        <f>IF(H477="","",INDEX(C_FuelStreams!BM:BM,MATCH(H477,C_FuelStreams!BI:BI,0)))</f>
        <v/>
      </c>
      <c r="K477" s="511" t="str">
        <f>IF(H477="","",SUMIFS(C_FuelStreams!BL:BL,C_FuelStreams!BI:BI,H477))</f>
        <v/>
      </c>
      <c r="L477" s="28"/>
      <c r="M477" s="28"/>
      <c r="N477" s="512" t="str">
        <f t="shared" si="12"/>
        <v/>
      </c>
      <c r="O477" s="142"/>
      <c r="P477" s="115"/>
      <c r="R477" s="513" t="str">
        <f>IF(H477="","",SUMIFS(C_FuelStreams!BK:BK,C_FuelStreams!BI:BI,H477))</f>
        <v/>
      </c>
      <c r="S477" s="513" t="str">
        <f>IF(H477="","",SUMIFS(C_FuelStreams!CP:CP,C_FuelStreams!BI:BI,H477))</f>
        <v/>
      </c>
      <c r="T477" s="513" t="str">
        <f t="shared" si="14"/>
        <v/>
      </c>
      <c r="X477" s="514" t="b">
        <f t="shared" si="15"/>
        <v>0</v>
      </c>
    </row>
    <row r="478" spans="1:24" ht="12.75" hidden="1" customHeight="1" x14ac:dyDescent="0.25">
      <c r="A478" s="113" t="s">
        <v>0</v>
      </c>
      <c r="B478" s="132"/>
      <c r="D478" s="496">
        <v>192</v>
      </c>
      <c r="E478" s="27"/>
      <c r="F478" s="1308" t="str">
        <f t="shared" si="13"/>
        <v/>
      </c>
      <c r="G478" s="1308"/>
      <c r="H478" s="1306"/>
      <c r="I478" s="1306"/>
      <c r="J478" s="510" t="str">
        <f>IF(H478="","",INDEX(C_FuelStreams!BM:BM,MATCH(H478,C_FuelStreams!BI:BI,0)))</f>
        <v/>
      </c>
      <c r="K478" s="511" t="str">
        <f>IF(H478="","",SUMIFS(C_FuelStreams!BL:BL,C_FuelStreams!BI:BI,H478))</f>
        <v/>
      </c>
      <c r="L478" s="28"/>
      <c r="M478" s="28"/>
      <c r="N478" s="512" t="str">
        <f t="shared" si="12"/>
        <v/>
      </c>
      <c r="O478" s="142"/>
      <c r="P478" s="115"/>
      <c r="R478" s="513" t="str">
        <f>IF(H478="","",SUMIFS(C_FuelStreams!BK:BK,C_FuelStreams!BI:BI,H478))</f>
        <v/>
      </c>
      <c r="S478" s="513" t="str">
        <f>IF(H478="","",SUMIFS(C_FuelStreams!CP:CP,C_FuelStreams!BI:BI,H478))</f>
        <v/>
      </c>
      <c r="T478" s="513" t="str">
        <f t="shared" si="14"/>
        <v/>
      </c>
      <c r="X478" s="514" t="b">
        <f t="shared" si="15"/>
        <v>0</v>
      </c>
    </row>
    <row r="479" spans="1:24" ht="12.75" hidden="1" customHeight="1" x14ac:dyDescent="0.25">
      <c r="A479" s="113" t="s">
        <v>0</v>
      </c>
      <c r="B479" s="132"/>
      <c r="D479" s="496">
        <v>193</v>
      </c>
      <c r="E479" s="27"/>
      <c r="F479" s="1308" t="str">
        <f t="shared" si="13"/>
        <v/>
      </c>
      <c r="G479" s="1308"/>
      <c r="H479" s="1306"/>
      <c r="I479" s="1306"/>
      <c r="J479" s="510" t="str">
        <f>IF(H479="","",INDEX(C_FuelStreams!BM:BM,MATCH(H479,C_FuelStreams!BI:BI,0)))</f>
        <v/>
      </c>
      <c r="K479" s="511" t="str">
        <f>IF(H479="","",SUMIFS(C_FuelStreams!BL:BL,C_FuelStreams!BI:BI,H479))</f>
        <v/>
      </c>
      <c r="L479" s="28"/>
      <c r="M479" s="28"/>
      <c r="N479" s="512" t="str">
        <f t="shared" ref="N479:N536" si="16">IF(COUNT(L479:M479)=0,"",IF(OR(SUMIFS($L$287:$L$536,$H$287:$H$536,H479)&gt;K479,SUMIFS($M$287:$M$536,$H$287:$H$536,H479)&gt;K479),EUconst_ERR_Inconsistent,""))</f>
        <v/>
      </c>
      <c r="O479" s="142"/>
      <c r="P479" s="115"/>
      <c r="R479" s="513" t="str">
        <f>IF(H479="","",SUMIFS(C_FuelStreams!BK:BK,C_FuelStreams!BI:BI,H479))</f>
        <v/>
      </c>
      <c r="S479" s="513" t="str">
        <f>IF(H479="","",SUMIFS(C_FuelStreams!CP:CP,C_FuelStreams!BI:BI,H479))</f>
        <v/>
      </c>
      <c r="T479" s="513" t="str">
        <f t="shared" si="14"/>
        <v/>
      </c>
      <c r="X479" s="514" t="b">
        <f t="shared" si="15"/>
        <v>0</v>
      </c>
    </row>
    <row r="480" spans="1:24" ht="12.75" hidden="1" customHeight="1" x14ac:dyDescent="0.25">
      <c r="A480" s="113" t="s">
        <v>0</v>
      </c>
      <c r="B480" s="132"/>
      <c r="D480" s="496">
        <v>194</v>
      </c>
      <c r="E480" s="27"/>
      <c r="F480" s="1308" t="str">
        <f t="shared" si="13"/>
        <v/>
      </c>
      <c r="G480" s="1308"/>
      <c r="H480" s="1306"/>
      <c r="I480" s="1306"/>
      <c r="J480" s="510" t="str">
        <f>IF(H480="","",INDEX(C_FuelStreams!BM:BM,MATCH(H480,C_FuelStreams!BI:BI,0)))</f>
        <v/>
      </c>
      <c r="K480" s="511" t="str">
        <f>IF(H480="","",SUMIFS(C_FuelStreams!BL:BL,C_FuelStreams!BI:BI,H480))</f>
        <v/>
      </c>
      <c r="L480" s="28"/>
      <c r="M480" s="28"/>
      <c r="N480" s="512" t="str">
        <f t="shared" si="16"/>
        <v/>
      </c>
      <c r="O480" s="142"/>
      <c r="P480" s="115"/>
      <c r="R480" s="513" t="str">
        <f>IF(H480="","",SUMIFS(C_FuelStreams!BK:BK,C_FuelStreams!BI:BI,H480))</f>
        <v/>
      </c>
      <c r="S480" s="513" t="str">
        <f>IF(H480="","",SUMIFS(C_FuelStreams!CP:CP,C_FuelStreams!BI:BI,H480))</f>
        <v/>
      </c>
      <c r="T480" s="513" t="str">
        <f t="shared" si="14"/>
        <v/>
      </c>
      <c r="X480" s="514" t="b">
        <f t="shared" si="15"/>
        <v>0</v>
      </c>
    </row>
    <row r="481" spans="1:24" ht="12.75" hidden="1" customHeight="1" x14ac:dyDescent="0.25">
      <c r="A481" s="113" t="s">
        <v>0</v>
      </c>
      <c r="B481" s="132"/>
      <c r="D481" s="496">
        <v>195</v>
      </c>
      <c r="E481" s="27"/>
      <c r="F481" s="1308" t="str">
        <f t="shared" si="13"/>
        <v/>
      </c>
      <c r="G481" s="1308"/>
      <c r="H481" s="1306"/>
      <c r="I481" s="1306"/>
      <c r="J481" s="510" t="str">
        <f>IF(H481="","",INDEX(C_FuelStreams!BM:BM,MATCH(H481,C_FuelStreams!BI:BI,0)))</f>
        <v/>
      </c>
      <c r="K481" s="511" t="str">
        <f>IF(H481="","",SUMIFS(C_FuelStreams!BL:BL,C_FuelStreams!BI:BI,H481))</f>
        <v/>
      </c>
      <c r="L481" s="28"/>
      <c r="M481" s="28"/>
      <c r="N481" s="512" t="str">
        <f t="shared" si="16"/>
        <v/>
      </c>
      <c r="O481" s="142"/>
      <c r="P481" s="115"/>
      <c r="R481" s="513" t="str">
        <f>IF(H481="","",SUMIFS(C_FuelStreams!BK:BK,C_FuelStreams!BI:BI,H481))</f>
        <v/>
      </c>
      <c r="S481" s="513" t="str">
        <f>IF(H481="","",SUMIFS(C_FuelStreams!CP:CP,C_FuelStreams!BI:BI,H481))</f>
        <v/>
      </c>
      <c r="T481" s="513" t="str">
        <f t="shared" si="14"/>
        <v/>
      </c>
      <c r="X481" s="514" t="b">
        <f t="shared" si="15"/>
        <v>0</v>
      </c>
    </row>
    <row r="482" spans="1:24" ht="12.75" hidden="1" customHeight="1" x14ac:dyDescent="0.25">
      <c r="A482" s="113" t="s">
        <v>0</v>
      </c>
      <c r="B482" s="132"/>
      <c r="D482" s="496">
        <v>196</v>
      </c>
      <c r="E482" s="27"/>
      <c r="F482" s="1308" t="str">
        <f t="shared" si="13"/>
        <v/>
      </c>
      <c r="G482" s="1308"/>
      <c r="H482" s="1306"/>
      <c r="I482" s="1306"/>
      <c r="J482" s="510" t="str">
        <f>IF(H482="","",INDEX(C_FuelStreams!BM:BM,MATCH(H482,C_FuelStreams!BI:BI,0)))</f>
        <v/>
      </c>
      <c r="K482" s="511" t="str">
        <f>IF(H482="","",SUMIFS(C_FuelStreams!BL:BL,C_FuelStreams!BI:BI,H482))</f>
        <v/>
      </c>
      <c r="L482" s="28"/>
      <c r="M482" s="28"/>
      <c r="N482" s="512" t="str">
        <f t="shared" si="16"/>
        <v/>
      </c>
      <c r="O482" s="142"/>
      <c r="P482" s="115"/>
      <c r="R482" s="513" t="str">
        <f>IF(H482="","",SUMIFS(C_FuelStreams!BK:BK,C_FuelStreams!BI:BI,H482))</f>
        <v/>
      </c>
      <c r="S482" s="513" t="str">
        <f>IF(H482="","",SUMIFS(C_FuelStreams!CP:CP,C_FuelStreams!BI:BI,H482))</f>
        <v/>
      </c>
      <c r="T482" s="513" t="str">
        <f t="shared" si="14"/>
        <v/>
      </c>
      <c r="X482" s="514" t="b">
        <f t="shared" si="15"/>
        <v>0</v>
      </c>
    </row>
    <row r="483" spans="1:24" ht="12.75" hidden="1" customHeight="1" x14ac:dyDescent="0.25">
      <c r="A483" s="113" t="s">
        <v>0</v>
      </c>
      <c r="B483" s="132"/>
      <c r="D483" s="496">
        <v>197</v>
      </c>
      <c r="E483" s="27"/>
      <c r="F483" s="1308" t="str">
        <f t="shared" si="13"/>
        <v/>
      </c>
      <c r="G483" s="1308"/>
      <c r="H483" s="1306"/>
      <c r="I483" s="1306"/>
      <c r="J483" s="510" t="str">
        <f>IF(H483="","",INDEX(C_FuelStreams!BM:BM,MATCH(H483,C_FuelStreams!BI:BI,0)))</f>
        <v/>
      </c>
      <c r="K483" s="511" t="str">
        <f>IF(H483="","",SUMIFS(C_FuelStreams!BL:BL,C_FuelStreams!BI:BI,H483))</f>
        <v/>
      </c>
      <c r="L483" s="28"/>
      <c r="M483" s="28"/>
      <c r="N483" s="512" t="str">
        <f t="shared" si="16"/>
        <v/>
      </c>
      <c r="O483" s="142"/>
      <c r="P483" s="115"/>
      <c r="R483" s="513" t="str">
        <f>IF(H483="","",SUMIFS(C_FuelStreams!BK:BK,C_FuelStreams!BI:BI,H483))</f>
        <v/>
      </c>
      <c r="S483" s="513" t="str">
        <f>IF(H483="","",SUMIFS(C_FuelStreams!CP:CP,C_FuelStreams!BI:BI,H483))</f>
        <v/>
      </c>
      <c r="T483" s="513" t="str">
        <f t="shared" si="14"/>
        <v/>
      </c>
      <c r="X483" s="514" t="b">
        <f t="shared" si="15"/>
        <v>0</v>
      </c>
    </row>
    <row r="484" spans="1:24" ht="12.75" hidden="1" customHeight="1" x14ac:dyDescent="0.25">
      <c r="A484" s="113" t="s">
        <v>0</v>
      </c>
      <c r="B484" s="132"/>
      <c r="D484" s="496">
        <v>198</v>
      </c>
      <c r="E484" s="27"/>
      <c r="F484" s="1308" t="str">
        <f t="shared" si="13"/>
        <v/>
      </c>
      <c r="G484" s="1308"/>
      <c r="H484" s="1306"/>
      <c r="I484" s="1306"/>
      <c r="J484" s="510" t="str">
        <f>IF(H484="","",INDEX(C_FuelStreams!BM:BM,MATCH(H484,C_FuelStreams!BI:BI,0)))</f>
        <v/>
      </c>
      <c r="K484" s="511" t="str">
        <f>IF(H484="","",SUMIFS(C_FuelStreams!BL:BL,C_FuelStreams!BI:BI,H484))</f>
        <v/>
      </c>
      <c r="L484" s="28"/>
      <c r="M484" s="28"/>
      <c r="N484" s="512" t="str">
        <f t="shared" si="16"/>
        <v/>
      </c>
      <c r="O484" s="142"/>
      <c r="P484" s="115"/>
      <c r="R484" s="513" t="str">
        <f>IF(H484="","",SUMIFS(C_FuelStreams!BK:BK,C_FuelStreams!BI:BI,H484))</f>
        <v/>
      </c>
      <c r="S484" s="513" t="str">
        <f>IF(H484="","",SUMIFS(C_FuelStreams!CP:CP,C_FuelStreams!BI:BI,H484))</f>
        <v/>
      </c>
      <c r="T484" s="513" t="str">
        <f t="shared" si="14"/>
        <v/>
      </c>
      <c r="X484" s="514" t="b">
        <f t="shared" si="15"/>
        <v>0</v>
      </c>
    </row>
    <row r="485" spans="1:24" ht="12.75" hidden="1" customHeight="1" x14ac:dyDescent="0.25">
      <c r="A485" s="113" t="s">
        <v>0</v>
      </c>
      <c r="B485" s="132"/>
      <c r="D485" s="496">
        <v>199</v>
      </c>
      <c r="E485" s="27"/>
      <c r="F485" s="1308" t="str">
        <f t="shared" si="13"/>
        <v/>
      </c>
      <c r="G485" s="1308"/>
      <c r="H485" s="1306"/>
      <c r="I485" s="1306"/>
      <c r="J485" s="510" t="str">
        <f>IF(H485="","",INDEX(C_FuelStreams!BM:BM,MATCH(H485,C_FuelStreams!BI:BI,0)))</f>
        <v/>
      </c>
      <c r="K485" s="511" t="str">
        <f>IF(H485="","",SUMIFS(C_FuelStreams!BL:BL,C_FuelStreams!BI:BI,H485))</f>
        <v/>
      </c>
      <c r="L485" s="28"/>
      <c r="M485" s="28"/>
      <c r="N485" s="512" t="str">
        <f t="shared" si="16"/>
        <v/>
      </c>
      <c r="O485" s="142"/>
      <c r="P485" s="115"/>
      <c r="R485" s="513" t="str">
        <f>IF(H485="","",SUMIFS(C_FuelStreams!BK:BK,C_FuelStreams!BI:BI,H485))</f>
        <v/>
      </c>
      <c r="S485" s="513" t="str">
        <f>IF(H485="","",SUMIFS(C_FuelStreams!CP:CP,C_FuelStreams!BI:BI,H485))</f>
        <v/>
      </c>
      <c r="T485" s="513" t="str">
        <f t="shared" si="14"/>
        <v/>
      </c>
      <c r="X485" s="514" t="b">
        <f t="shared" si="15"/>
        <v>0</v>
      </c>
    </row>
    <row r="486" spans="1:24" ht="12.75" hidden="1" customHeight="1" x14ac:dyDescent="0.25">
      <c r="A486" s="113" t="s">
        <v>0</v>
      </c>
      <c r="B486" s="132"/>
      <c r="D486" s="496">
        <v>200</v>
      </c>
      <c r="E486" s="27"/>
      <c r="F486" s="1308" t="str">
        <f t="shared" si="13"/>
        <v/>
      </c>
      <c r="G486" s="1308"/>
      <c r="H486" s="1306"/>
      <c r="I486" s="1306"/>
      <c r="J486" s="510" t="str">
        <f>IF(H486="","",INDEX(C_FuelStreams!BM:BM,MATCH(H486,C_FuelStreams!BI:BI,0)))</f>
        <v/>
      </c>
      <c r="K486" s="511" t="str">
        <f>IF(H486="","",SUMIFS(C_FuelStreams!BL:BL,C_FuelStreams!BI:BI,H486))</f>
        <v/>
      </c>
      <c r="L486" s="28"/>
      <c r="M486" s="28"/>
      <c r="N486" s="512" t="str">
        <f t="shared" si="16"/>
        <v/>
      </c>
      <c r="O486" s="142"/>
      <c r="P486" s="115"/>
      <c r="R486" s="513" t="str">
        <f>IF(H486="","",SUMIFS(C_FuelStreams!BK:BK,C_FuelStreams!BI:BI,H486))</f>
        <v/>
      </c>
      <c r="S486" s="513" t="str">
        <f>IF(H486="","",SUMIFS(C_FuelStreams!CP:CP,C_FuelStreams!BI:BI,H486))</f>
        <v/>
      </c>
      <c r="T486" s="513" t="str">
        <f t="shared" si="14"/>
        <v/>
      </c>
      <c r="X486" s="514" t="b">
        <f t="shared" si="15"/>
        <v>0</v>
      </c>
    </row>
    <row r="487" spans="1:24" ht="12.75" hidden="1" customHeight="1" x14ac:dyDescent="0.25">
      <c r="A487" s="113" t="s">
        <v>0</v>
      </c>
      <c r="B487" s="132"/>
      <c r="D487" s="496">
        <v>201</v>
      </c>
      <c r="E487" s="27"/>
      <c r="F487" s="1308" t="str">
        <f t="shared" si="13"/>
        <v/>
      </c>
      <c r="G487" s="1308"/>
      <c r="H487" s="1306"/>
      <c r="I487" s="1306"/>
      <c r="J487" s="510" t="str">
        <f>IF(H487="","",INDEX(C_FuelStreams!BM:BM,MATCH(H487,C_FuelStreams!BI:BI,0)))</f>
        <v/>
      </c>
      <c r="K487" s="511" t="str">
        <f>IF(H487="","",SUMIFS(C_FuelStreams!BL:BL,C_FuelStreams!BI:BI,H487))</f>
        <v/>
      </c>
      <c r="L487" s="28"/>
      <c r="M487" s="28"/>
      <c r="N487" s="512" t="str">
        <f t="shared" si="16"/>
        <v/>
      </c>
      <c r="O487" s="142"/>
      <c r="P487" s="115"/>
      <c r="R487" s="513" t="str">
        <f>IF(H487="","",SUMIFS(C_FuelStreams!BK:BK,C_FuelStreams!BI:BI,H487))</f>
        <v/>
      </c>
      <c r="S487" s="513" t="str">
        <f>IF(H487="","",SUMIFS(C_FuelStreams!CP:CP,C_FuelStreams!BI:BI,H487))</f>
        <v/>
      </c>
      <c r="T487" s="513" t="str">
        <f t="shared" si="14"/>
        <v/>
      </c>
      <c r="X487" s="514" t="b">
        <f t="shared" si="15"/>
        <v>0</v>
      </c>
    </row>
    <row r="488" spans="1:24" ht="12.75" hidden="1" customHeight="1" x14ac:dyDescent="0.25">
      <c r="A488" s="113" t="s">
        <v>0</v>
      </c>
      <c r="B488" s="132"/>
      <c r="D488" s="496">
        <v>202</v>
      </c>
      <c r="E488" s="27"/>
      <c r="F488" s="1308" t="str">
        <f t="shared" si="13"/>
        <v/>
      </c>
      <c r="G488" s="1308"/>
      <c r="H488" s="1306"/>
      <c r="I488" s="1306"/>
      <c r="J488" s="510" t="str">
        <f>IF(H488="","",INDEX(C_FuelStreams!BM:BM,MATCH(H488,C_FuelStreams!BI:BI,0)))</f>
        <v/>
      </c>
      <c r="K488" s="511" t="str">
        <f>IF(H488="","",SUMIFS(C_FuelStreams!BL:BL,C_FuelStreams!BI:BI,H488))</f>
        <v/>
      </c>
      <c r="L488" s="28"/>
      <c r="M488" s="28"/>
      <c r="N488" s="512" t="str">
        <f t="shared" si="16"/>
        <v/>
      </c>
      <c r="O488" s="142"/>
      <c r="P488" s="115"/>
      <c r="R488" s="513" t="str">
        <f>IF(H488="","",SUMIFS(C_FuelStreams!BK:BK,C_FuelStreams!BI:BI,H488))</f>
        <v/>
      </c>
      <c r="S488" s="513" t="str">
        <f>IF(H488="","",SUMIFS(C_FuelStreams!CP:CP,C_FuelStreams!BI:BI,H488))</f>
        <v/>
      </c>
      <c r="T488" s="513" t="str">
        <f t="shared" si="14"/>
        <v/>
      </c>
      <c r="X488" s="514" t="b">
        <f t="shared" si="15"/>
        <v>0</v>
      </c>
    </row>
    <row r="489" spans="1:24" ht="12.75" hidden="1" customHeight="1" x14ac:dyDescent="0.25">
      <c r="A489" s="113" t="s">
        <v>0</v>
      </c>
      <c r="B489" s="132"/>
      <c r="D489" s="496">
        <v>203</v>
      </c>
      <c r="E489" s="27"/>
      <c r="F489" s="1308" t="str">
        <f t="shared" si="13"/>
        <v/>
      </c>
      <c r="G489" s="1308"/>
      <c r="H489" s="1306"/>
      <c r="I489" s="1306"/>
      <c r="J489" s="510" t="str">
        <f>IF(H489="","",INDEX(C_FuelStreams!BM:BM,MATCH(H489,C_FuelStreams!BI:BI,0)))</f>
        <v/>
      </c>
      <c r="K489" s="511" t="str">
        <f>IF(H489="","",SUMIFS(C_FuelStreams!BL:BL,C_FuelStreams!BI:BI,H489))</f>
        <v/>
      </c>
      <c r="L489" s="28"/>
      <c r="M489" s="28"/>
      <c r="N489" s="512" t="str">
        <f t="shared" si="16"/>
        <v/>
      </c>
      <c r="O489" s="142"/>
      <c r="P489" s="115"/>
      <c r="R489" s="513" t="str">
        <f>IF(H489="","",SUMIFS(C_FuelStreams!BK:BK,C_FuelStreams!BI:BI,H489))</f>
        <v/>
      </c>
      <c r="S489" s="513" t="str">
        <f>IF(H489="","",SUMIFS(C_FuelStreams!CP:CP,C_FuelStreams!BI:BI,H489))</f>
        <v/>
      </c>
      <c r="T489" s="513" t="str">
        <f t="shared" si="14"/>
        <v/>
      </c>
      <c r="X489" s="514" t="b">
        <f t="shared" si="15"/>
        <v>0</v>
      </c>
    </row>
    <row r="490" spans="1:24" ht="12.75" hidden="1" customHeight="1" x14ac:dyDescent="0.25">
      <c r="A490" s="113" t="s">
        <v>0</v>
      </c>
      <c r="B490" s="132"/>
      <c r="D490" s="496">
        <v>204</v>
      </c>
      <c r="E490" s="27"/>
      <c r="F490" s="1308" t="str">
        <f t="shared" si="13"/>
        <v/>
      </c>
      <c r="G490" s="1308"/>
      <c r="H490" s="1306"/>
      <c r="I490" s="1306"/>
      <c r="J490" s="510" t="str">
        <f>IF(H490="","",INDEX(C_FuelStreams!BM:BM,MATCH(H490,C_FuelStreams!BI:BI,0)))</f>
        <v/>
      </c>
      <c r="K490" s="511" t="str">
        <f>IF(H490="","",SUMIFS(C_FuelStreams!BL:BL,C_FuelStreams!BI:BI,H490))</f>
        <v/>
      </c>
      <c r="L490" s="28"/>
      <c r="M490" s="28"/>
      <c r="N490" s="512" t="str">
        <f t="shared" si="16"/>
        <v/>
      </c>
      <c r="O490" s="142"/>
      <c r="P490" s="115"/>
      <c r="R490" s="513" t="str">
        <f>IF(H490="","",SUMIFS(C_FuelStreams!BK:BK,C_FuelStreams!BI:BI,H490))</f>
        <v/>
      </c>
      <c r="S490" s="513" t="str">
        <f>IF(H490="","",SUMIFS(C_FuelStreams!CP:CP,C_FuelStreams!BI:BI,H490))</f>
        <v/>
      </c>
      <c r="T490" s="513" t="str">
        <f t="shared" si="14"/>
        <v/>
      </c>
      <c r="X490" s="514" t="b">
        <f t="shared" si="15"/>
        <v>0</v>
      </c>
    </row>
    <row r="491" spans="1:24" ht="12.75" hidden="1" customHeight="1" x14ac:dyDescent="0.25">
      <c r="A491" s="113" t="s">
        <v>0</v>
      </c>
      <c r="B491" s="132"/>
      <c r="D491" s="496">
        <v>205</v>
      </c>
      <c r="E491" s="27"/>
      <c r="F491" s="1308" t="str">
        <f t="shared" si="13"/>
        <v/>
      </c>
      <c r="G491" s="1308"/>
      <c r="H491" s="1306"/>
      <c r="I491" s="1306"/>
      <c r="J491" s="510" t="str">
        <f>IF(H491="","",INDEX(C_FuelStreams!BM:BM,MATCH(H491,C_FuelStreams!BI:BI,0)))</f>
        <v/>
      </c>
      <c r="K491" s="511" t="str">
        <f>IF(H491="","",SUMIFS(C_FuelStreams!BL:BL,C_FuelStreams!BI:BI,H491))</f>
        <v/>
      </c>
      <c r="L491" s="28"/>
      <c r="M491" s="28"/>
      <c r="N491" s="512" t="str">
        <f t="shared" si="16"/>
        <v/>
      </c>
      <c r="O491" s="142"/>
      <c r="P491" s="115"/>
      <c r="R491" s="513" t="str">
        <f>IF(H491="","",SUMIFS(C_FuelStreams!BK:BK,C_FuelStreams!BI:BI,H491))</f>
        <v/>
      </c>
      <c r="S491" s="513" t="str">
        <f>IF(H491="","",SUMIFS(C_FuelStreams!CP:CP,C_FuelStreams!BI:BI,H491))</f>
        <v/>
      </c>
      <c r="T491" s="513" t="str">
        <f t="shared" si="14"/>
        <v/>
      </c>
      <c r="X491" s="514" t="b">
        <f t="shared" si="15"/>
        <v>0</v>
      </c>
    </row>
    <row r="492" spans="1:24" ht="12.75" hidden="1" customHeight="1" x14ac:dyDescent="0.25">
      <c r="A492" s="113" t="s">
        <v>0</v>
      </c>
      <c r="B492" s="132"/>
      <c r="D492" s="496">
        <v>206</v>
      </c>
      <c r="E492" s="27"/>
      <c r="F492" s="1308" t="str">
        <f t="shared" si="13"/>
        <v/>
      </c>
      <c r="G492" s="1308"/>
      <c r="H492" s="1306"/>
      <c r="I492" s="1306"/>
      <c r="J492" s="510" t="str">
        <f>IF(H492="","",INDEX(C_FuelStreams!BM:BM,MATCH(H492,C_FuelStreams!BI:BI,0)))</f>
        <v/>
      </c>
      <c r="K492" s="511" t="str">
        <f>IF(H492="","",SUMIFS(C_FuelStreams!BL:BL,C_FuelStreams!BI:BI,H492))</f>
        <v/>
      </c>
      <c r="L492" s="28"/>
      <c r="M492" s="28"/>
      <c r="N492" s="512" t="str">
        <f t="shared" si="16"/>
        <v/>
      </c>
      <c r="O492" s="142"/>
      <c r="P492" s="115"/>
      <c r="R492" s="513" t="str">
        <f>IF(H492="","",SUMIFS(C_FuelStreams!BK:BK,C_FuelStreams!BI:BI,H492))</f>
        <v/>
      </c>
      <c r="S492" s="513" t="str">
        <f>IF(H492="","",SUMIFS(C_FuelStreams!CP:CP,C_FuelStreams!BI:BI,H492))</f>
        <v/>
      </c>
      <c r="T492" s="513" t="str">
        <f t="shared" si="14"/>
        <v/>
      </c>
      <c r="X492" s="514" t="b">
        <f t="shared" si="15"/>
        <v>0</v>
      </c>
    </row>
    <row r="493" spans="1:24" ht="12.75" hidden="1" customHeight="1" x14ac:dyDescent="0.25">
      <c r="A493" s="113" t="s">
        <v>0</v>
      </c>
      <c r="B493" s="132"/>
      <c r="D493" s="496">
        <v>207</v>
      </c>
      <c r="E493" s="27"/>
      <c r="F493" s="1308" t="str">
        <f t="shared" si="13"/>
        <v/>
      </c>
      <c r="G493" s="1308"/>
      <c r="H493" s="1306"/>
      <c r="I493" s="1306"/>
      <c r="J493" s="510" t="str">
        <f>IF(H493="","",INDEX(C_FuelStreams!BM:BM,MATCH(H493,C_FuelStreams!BI:BI,0)))</f>
        <v/>
      </c>
      <c r="K493" s="511" t="str">
        <f>IF(H493="","",SUMIFS(C_FuelStreams!BL:BL,C_FuelStreams!BI:BI,H493))</f>
        <v/>
      </c>
      <c r="L493" s="28"/>
      <c r="M493" s="28"/>
      <c r="N493" s="512" t="str">
        <f t="shared" si="16"/>
        <v/>
      </c>
      <c r="O493" s="142"/>
      <c r="P493" s="115"/>
      <c r="R493" s="513" t="str">
        <f>IF(H493="","",SUMIFS(C_FuelStreams!BK:BK,C_FuelStreams!BI:BI,H493))</f>
        <v/>
      </c>
      <c r="S493" s="513" t="str">
        <f>IF(H493="","",SUMIFS(C_FuelStreams!CP:CP,C_FuelStreams!BI:BI,H493))</f>
        <v/>
      </c>
      <c r="T493" s="513" t="str">
        <f t="shared" si="14"/>
        <v/>
      </c>
      <c r="X493" s="514" t="b">
        <f t="shared" si="15"/>
        <v>0</v>
      </c>
    </row>
    <row r="494" spans="1:24" ht="12.75" hidden="1" customHeight="1" x14ac:dyDescent="0.25">
      <c r="A494" s="113" t="s">
        <v>0</v>
      </c>
      <c r="B494" s="132"/>
      <c r="D494" s="496">
        <v>208</v>
      </c>
      <c r="E494" s="27"/>
      <c r="F494" s="1308" t="str">
        <f t="shared" si="13"/>
        <v/>
      </c>
      <c r="G494" s="1308"/>
      <c r="H494" s="1306"/>
      <c r="I494" s="1306"/>
      <c r="J494" s="510" t="str">
        <f>IF(H494="","",INDEX(C_FuelStreams!BM:BM,MATCH(H494,C_FuelStreams!BI:BI,0)))</f>
        <v/>
      </c>
      <c r="K494" s="511" t="str">
        <f>IF(H494="","",SUMIFS(C_FuelStreams!BL:BL,C_FuelStreams!BI:BI,H494))</f>
        <v/>
      </c>
      <c r="L494" s="28"/>
      <c r="M494" s="28"/>
      <c r="N494" s="512" t="str">
        <f t="shared" si="16"/>
        <v/>
      </c>
      <c r="O494" s="142"/>
      <c r="P494" s="115"/>
      <c r="R494" s="513" t="str">
        <f>IF(H494="","",SUMIFS(C_FuelStreams!BK:BK,C_FuelStreams!BI:BI,H494))</f>
        <v/>
      </c>
      <c r="S494" s="513" t="str">
        <f>IF(H494="","",SUMIFS(C_FuelStreams!CP:CP,C_FuelStreams!BI:BI,H494))</f>
        <v/>
      </c>
      <c r="T494" s="513" t="str">
        <f t="shared" si="14"/>
        <v/>
      </c>
      <c r="X494" s="514" t="b">
        <f t="shared" si="15"/>
        <v>0</v>
      </c>
    </row>
    <row r="495" spans="1:24" ht="12.75" hidden="1" customHeight="1" x14ac:dyDescent="0.25">
      <c r="A495" s="113" t="s">
        <v>0</v>
      </c>
      <c r="B495" s="132"/>
      <c r="D495" s="496">
        <v>209</v>
      </c>
      <c r="E495" s="27"/>
      <c r="F495" s="1308" t="str">
        <f t="shared" si="13"/>
        <v/>
      </c>
      <c r="G495" s="1308"/>
      <c r="H495" s="1306"/>
      <c r="I495" s="1306"/>
      <c r="J495" s="510" t="str">
        <f>IF(H495="","",INDEX(C_FuelStreams!BM:BM,MATCH(H495,C_FuelStreams!BI:BI,0)))</f>
        <v/>
      </c>
      <c r="K495" s="511" t="str">
        <f>IF(H495="","",SUMIFS(C_FuelStreams!BL:BL,C_FuelStreams!BI:BI,H495))</f>
        <v/>
      </c>
      <c r="L495" s="28"/>
      <c r="M495" s="28"/>
      <c r="N495" s="512" t="str">
        <f t="shared" si="16"/>
        <v/>
      </c>
      <c r="O495" s="142"/>
      <c r="P495" s="115"/>
      <c r="R495" s="513" t="str">
        <f>IF(H495="","",SUMIFS(C_FuelStreams!BK:BK,C_FuelStreams!BI:BI,H495))</f>
        <v/>
      </c>
      <c r="S495" s="513" t="str">
        <f>IF(H495="","",SUMIFS(C_FuelStreams!CP:CP,C_FuelStreams!BI:BI,H495))</f>
        <v/>
      </c>
      <c r="T495" s="513" t="str">
        <f t="shared" si="14"/>
        <v/>
      </c>
      <c r="X495" s="514" t="b">
        <f t="shared" si="15"/>
        <v>0</v>
      </c>
    </row>
    <row r="496" spans="1:24" ht="12.75" hidden="1" customHeight="1" x14ac:dyDescent="0.25">
      <c r="A496" s="113" t="s">
        <v>0</v>
      </c>
      <c r="B496" s="132"/>
      <c r="D496" s="496">
        <v>210</v>
      </c>
      <c r="E496" s="27"/>
      <c r="F496" s="1308" t="str">
        <f t="shared" si="13"/>
        <v/>
      </c>
      <c r="G496" s="1308"/>
      <c r="H496" s="1306"/>
      <c r="I496" s="1306"/>
      <c r="J496" s="510" t="str">
        <f>IF(H496="","",INDEX(C_FuelStreams!BM:BM,MATCH(H496,C_FuelStreams!BI:BI,0)))</f>
        <v/>
      </c>
      <c r="K496" s="511" t="str">
        <f>IF(H496="","",SUMIFS(C_FuelStreams!BL:BL,C_FuelStreams!BI:BI,H496))</f>
        <v/>
      </c>
      <c r="L496" s="28"/>
      <c r="M496" s="28"/>
      <c r="N496" s="512" t="str">
        <f t="shared" si="16"/>
        <v/>
      </c>
      <c r="O496" s="142"/>
      <c r="P496" s="115"/>
      <c r="R496" s="513" t="str">
        <f>IF(H496="","",SUMIFS(C_FuelStreams!BK:BK,C_FuelStreams!BI:BI,H496))</f>
        <v/>
      </c>
      <c r="S496" s="513" t="str">
        <f>IF(H496="","",SUMIFS(C_FuelStreams!CP:CP,C_FuelStreams!BI:BI,H496))</f>
        <v/>
      </c>
      <c r="T496" s="513" t="str">
        <f t="shared" si="14"/>
        <v/>
      </c>
      <c r="X496" s="514" t="b">
        <f t="shared" si="15"/>
        <v>0</v>
      </c>
    </row>
    <row r="497" spans="1:24" ht="12.75" hidden="1" customHeight="1" x14ac:dyDescent="0.25">
      <c r="A497" s="113" t="s">
        <v>0</v>
      </c>
      <c r="B497" s="132"/>
      <c r="D497" s="496">
        <v>211</v>
      </c>
      <c r="E497" s="27"/>
      <c r="F497" s="1308" t="str">
        <f t="shared" si="13"/>
        <v/>
      </c>
      <c r="G497" s="1308"/>
      <c r="H497" s="1306"/>
      <c r="I497" s="1306"/>
      <c r="J497" s="510" t="str">
        <f>IF(H497="","",INDEX(C_FuelStreams!BM:BM,MATCH(H497,C_FuelStreams!BI:BI,0)))</f>
        <v/>
      </c>
      <c r="K497" s="511" t="str">
        <f>IF(H497="","",SUMIFS(C_FuelStreams!BL:BL,C_FuelStreams!BI:BI,H497))</f>
        <v/>
      </c>
      <c r="L497" s="28"/>
      <c r="M497" s="28"/>
      <c r="N497" s="512" t="str">
        <f t="shared" si="16"/>
        <v/>
      </c>
      <c r="O497" s="142"/>
      <c r="P497" s="115"/>
      <c r="R497" s="513" t="str">
        <f>IF(H497="","",SUMIFS(C_FuelStreams!BK:BK,C_FuelStreams!BI:BI,H497))</f>
        <v/>
      </c>
      <c r="S497" s="513" t="str">
        <f>IF(H497="","",SUMIFS(C_FuelStreams!CP:CP,C_FuelStreams!BI:BI,H497))</f>
        <v/>
      </c>
      <c r="T497" s="513" t="str">
        <f t="shared" si="14"/>
        <v/>
      </c>
      <c r="X497" s="514" t="b">
        <f t="shared" si="15"/>
        <v>0</v>
      </c>
    </row>
    <row r="498" spans="1:24" ht="12.75" hidden="1" customHeight="1" x14ac:dyDescent="0.25">
      <c r="A498" s="113" t="s">
        <v>0</v>
      </c>
      <c r="B498" s="132"/>
      <c r="D498" s="496">
        <v>212</v>
      </c>
      <c r="E498" s="27"/>
      <c r="F498" s="1308" t="str">
        <f t="shared" ref="F498:F535" si="17">IF(E498="","",INDEX($G$30:$G$279,MATCH(E498,$R$30:$R$279,0)))</f>
        <v/>
      </c>
      <c r="G498" s="1308"/>
      <c r="H498" s="1306"/>
      <c r="I498" s="1306"/>
      <c r="J498" s="510" t="str">
        <f>IF(H498="","",INDEX(C_FuelStreams!BM:BM,MATCH(H498,C_FuelStreams!BI:BI,0)))</f>
        <v/>
      </c>
      <c r="K498" s="511" t="str">
        <f>IF(H498="","",SUMIFS(C_FuelStreams!BL:BL,C_FuelStreams!BI:BI,H498))</f>
        <v/>
      </c>
      <c r="L498" s="28"/>
      <c r="M498" s="28"/>
      <c r="N498" s="512" t="str">
        <f t="shared" si="16"/>
        <v/>
      </c>
      <c r="O498" s="142"/>
      <c r="P498" s="115"/>
      <c r="R498" s="513" t="str">
        <f>IF(H498="","",SUMIFS(C_FuelStreams!BK:BK,C_FuelStreams!BI:BI,H498))</f>
        <v/>
      </c>
      <c r="S498" s="513" t="str">
        <f>IF(H498="","",SUMIFS(C_FuelStreams!CP:CP,C_FuelStreams!BI:BI,H498))</f>
        <v/>
      </c>
      <c r="T498" s="513" t="str">
        <f t="shared" ref="T498:T535" si="18">IF(H498="","",IF(SUM(R498)=0,0,S498/R498*L498))</f>
        <v/>
      </c>
      <c r="X498" s="514" t="b">
        <f t="shared" ref="X498:X535" si="19">AND(COUNTA($E$30:$E$279)&gt;0,E498="")</f>
        <v>0</v>
      </c>
    </row>
    <row r="499" spans="1:24" ht="12.75" hidden="1" customHeight="1" x14ac:dyDescent="0.25">
      <c r="A499" s="113" t="s">
        <v>0</v>
      </c>
      <c r="B499" s="132"/>
      <c r="D499" s="496">
        <v>213</v>
      </c>
      <c r="E499" s="27"/>
      <c r="F499" s="1308" t="str">
        <f t="shared" si="17"/>
        <v/>
      </c>
      <c r="G499" s="1308"/>
      <c r="H499" s="1306"/>
      <c r="I499" s="1306"/>
      <c r="J499" s="510" t="str">
        <f>IF(H499="","",INDEX(C_FuelStreams!BM:BM,MATCH(H499,C_FuelStreams!BI:BI,0)))</f>
        <v/>
      </c>
      <c r="K499" s="511" t="str">
        <f>IF(H499="","",SUMIFS(C_FuelStreams!BL:BL,C_FuelStreams!BI:BI,H499))</f>
        <v/>
      </c>
      <c r="L499" s="28"/>
      <c r="M499" s="28"/>
      <c r="N499" s="512" t="str">
        <f t="shared" si="16"/>
        <v/>
      </c>
      <c r="O499" s="142"/>
      <c r="P499" s="115"/>
      <c r="R499" s="513" t="str">
        <f>IF(H499="","",SUMIFS(C_FuelStreams!BK:BK,C_FuelStreams!BI:BI,H499))</f>
        <v/>
      </c>
      <c r="S499" s="513" t="str">
        <f>IF(H499="","",SUMIFS(C_FuelStreams!CP:CP,C_FuelStreams!BI:BI,H499))</f>
        <v/>
      </c>
      <c r="T499" s="513" t="str">
        <f t="shared" si="18"/>
        <v/>
      </c>
      <c r="X499" s="514" t="b">
        <f t="shared" si="19"/>
        <v>0</v>
      </c>
    </row>
    <row r="500" spans="1:24" ht="12.75" hidden="1" customHeight="1" x14ac:dyDescent="0.25">
      <c r="A500" s="113" t="s">
        <v>0</v>
      </c>
      <c r="B500" s="132"/>
      <c r="D500" s="496">
        <v>214</v>
      </c>
      <c r="E500" s="27"/>
      <c r="F500" s="1308" t="str">
        <f t="shared" si="17"/>
        <v/>
      </c>
      <c r="G500" s="1308"/>
      <c r="H500" s="1306"/>
      <c r="I500" s="1306"/>
      <c r="J500" s="510" t="str">
        <f>IF(H500="","",INDEX(C_FuelStreams!BM:BM,MATCH(H500,C_FuelStreams!BI:BI,0)))</f>
        <v/>
      </c>
      <c r="K500" s="511" t="str">
        <f>IF(H500="","",SUMIFS(C_FuelStreams!BL:BL,C_FuelStreams!BI:BI,H500))</f>
        <v/>
      </c>
      <c r="L500" s="28"/>
      <c r="M500" s="28"/>
      <c r="N500" s="512" t="str">
        <f t="shared" si="16"/>
        <v/>
      </c>
      <c r="O500" s="142"/>
      <c r="P500" s="115"/>
      <c r="R500" s="513" t="str">
        <f>IF(H500="","",SUMIFS(C_FuelStreams!BK:BK,C_FuelStreams!BI:BI,H500))</f>
        <v/>
      </c>
      <c r="S500" s="513" t="str">
        <f>IF(H500="","",SUMIFS(C_FuelStreams!CP:CP,C_FuelStreams!BI:BI,H500))</f>
        <v/>
      </c>
      <c r="T500" s="513" t="str">
        <f t="shared" si="18"/>
        <v/>
      </c>
      <c r="X500" s="514" t="b">
        <f t="shared" si="19"/>
        <v>0</v>
      </c>
    </row>
    <row r="501" spans="1:24" ht="12.75" hidden="1" customHeight="1" x14ac:dyDescent="0.25">
      <c r="A501" s="113" t="s">
        <v>0</v>
      </c>
      <c r="B501" s="132"/>
      <c r="D501" s="496">
        <v>215</v>
      </c>
      <c r="E501" s="27"/>
      <c r="F501" s="1308" t="str">
        <f t="shared" si="17"/>
        <v/>
      </c>
      <c r="G501" s="1308"/>
      <c r="H501" s="1306"/>
      <c r="I501" s="1306"/>
      <c r="J501" s="510" t="str">
        <f>IF(H501="","",INDEX(C_FuelStreams!BM:BM,MATCH(H501,C_FuelStreams!BI:BI,0)))</f>
        <v/>
      </c>
      <c r="K501" s="511" t="str">
        <f>IF(H501="","",SUMIFS(C_FuelStreams!BL:BL,C_FuelStreams!BI:BI,H501))</f>
        <v/>
      </c>
      <c r="L501" s="28"/>
      <c r="M501" s="28"/>
      <c r="N501" s="512" t="str">
        <f t="shared" si="16"/>
        <v/>
      </c>
      <c r="O501" s="142"/>
      <c r="P501" s="115"/>
      <c r="R501" s="513" t="str">
        <f>IF(H501="","",SUMIFS(C_FuelStreams!BK:BK,C_FuelStreams!BI:BI,H501))</f>
        <v/>
      </c>
      <c r="S501" s="513" t="str">
        <f>IF(H501="","",SUMIFS(C_FuelStreams!CP:CP,C_FuelStreams!BI:BI,H501))</f>
        <v/>
      </c>
      <c r="T501" s="513" t="str">
        <f t="shared" si="18"/>
        <v/>
      </c>
      <c r="X501" s="514" t="b">
        <f t="shared" si="19"/>
        <v>0</v>
      </c>
    </row>
    <row r="502" spans="1:24" ht="12.75" hidden="1" customHeight="1" x14ac:dyDescent="0.25">
      <c r="A502" s="113" t="s">
        <v>0</v>
      </c>
      <c r="B502" s="132"/>
      <c r="D502" s="496">
        <v>216</v>
      </c>
      <c r="E502" s="27"/>
      <c r="F502" s="1308" t="str">
        <f t="shared" si="17"/>
        <v/>
      </c>
      <c r="G502" s="1308"/>
      <c r="H502" s="1306"/>
      <c r="I502" s="1306"/>
      <c r="J502" s="510" t="str">
        <f>IF(H502="","",INDEX(C_FuelStreams!BM:BM,MATCH(H502,C_FuelStreams!BI:BI,0)))</f>
        <v/>
      </c>
      <c r="K502" s="511" t="str">
        <f>IF(H502="","",SUMIFS(C_FuelStreams!BL:BL,C_FuelStreams!BI:BI,H502))</f>
        <v/>
      </c>
      <c r="L502" s="28"/>
      <c r="M502" s="28"/>
      <c r="N502" s="512" t="str">
        <f t="shared" si="16"/>
        <v/>
      </c>
      <c r="O502" s="142"/>
      <c r="P502" s="115"/>
      <c r="R502" s="513" t="str">
        <f>IF(H502="","",SUMIFS(C_FuelStreams!BK:BK,C_FuelStreams!BI:BI,H502))</f>
        <v/>
      </c>
      <c r="S502" s="513" t="str">
        <f>IF(H502="","",SUMIFS(C_FuelStreams!CP:CP,C_FuelStreams!BI:BI,H502))</f>
        <v/>
      </c>
      <c r="T502" s="513" t="str">
        <f t="shared" si="18"/>
        <v/>
      </c>
      <c r="X502" s="514" t="b">
        <f t="shared" si="19"/>
        <v>0</v>
      </c>
    </row>
    <row r="503" spans="1:24" ht="12.75" hidden="1" customHeight="1" x14ac:dyDescent="0.25">
      <c r="A503" s="113" t="s">
        <v>0</v>
      </c>
      <c r="B503" s="132"/>
      <c r="D503" s="496">
        <v>217</v>
      </c>
      <c r="E503" s="27"/>
      <c r="F503" s="1308" t="str">
        <f t="shared" si="17"/>
        <v/>
      </c>
      <c r="G503" s="1308"/>
      <c r="H503" s="1306"/>
      <c r="I503" s="1306"/>
      <c r="J503" s="510" t="str">
        <f>IF(H503="","",INDEX(C_FuelStreams!BM:BM,MATCH(H503,C_FuelStreams!BI:BI,0)))</f>
        <v/>
      </c>
      <c r="K503" s="511" t="str">
        <f>IF(H503="","",SUMIFS(C_FuelStreams!BL:BL,C_FuelStreams!BI:BI,H503))</f>
        <v/>
      </c>
      <c r="L503" s="28"/>
      <c r="M503" s="28"/>
      <c r="N503" s="512" t="str">
        <f t="shared" si="16"/>
        <v/>
      </c>
      <c r="O503" s="142"/>
      <c r="P503" s="115"/>
      <c r="R503" s="513" t="str">
        <f>IF(H503="","",SUMIFS(C_FuelStreams!BK:BK,C_FuelStreams!BI:BI,H503))</f>
        <v/>
      </c>
      <c r="S503" s="513" t="str">
        <f>IF(H503="","",SUMIFS(C_FuelStreams!CP:CP,C_FuelStreams!BI:BI,H503))</f>
        <v/>
      </c>
      <c r="T503" s="513" t="str">
        <f t="shared" si="18"/>
        <v/>
      </c>
      <c r="X503" s="514" t="b">
        <f t="shared" si="19"/>
        <v>0</v>
      </c>
    </row>
    <row r="504" spans="1:24" ht="12.75" hidden="1" customHeight="1" x14ac:dyDescent="0.25">
      <c r="A504" s="113" t="s">
        <v>0</v>
      </c>
      <c r="B504" s="132"/>
      <c r="D504" s="496">
        <v>218</v>
      </c>
      <c r="E504" s="27"/>
      <c r="F504" s="1308" t="str">
        <f t="shared" si="17"/>
        <v/>
      </c>
      <c r="G504" s="1308"/>
      <c r="H504" s="1306"/>
      <c r="I504" s="1306"/>
      <c r="J504" s="510" t="str">
        <f>IF(H504="","",INDEX(C_FuelStreams!BM:BM,MATCH(H504,C_FuelStreams!BI:BI,0)))</f>
        <v/>
      </c>
      <c r="K504" s="511" t="str">
        <f>IF(H504="","",SUMIFS(C_FuelStreams!BL:BL,C_FuelStreams!BI:BI,H504))</f>
        <v/>
      </c>
      <c r="L504" s="28"/>
      <c r="M504" s="28"/>
      <c r="N504" s="512" t="str">
        <f t="shared" si="16"/>
        <v/>
      </c>
      <c r="O504" s="142"/>
      <c r="P504" s="115"/>
      <c r="R504" s="513" t="str">
        <f>IF(H504="","",SUMIFS(C_FuelStreams!BK:BK,C_FuelStreams!BI:BI,H504))</f>
        <v/>
      </c>
      <c r="S504" s="513" t="str">
        <f>IF(H504="","",SUMIFS(C_FuelStreams!CP:CP,C_FuelStreams!BI:BI,H504))</f>
        <v/>
      </c>
      <c r="T504" s="513" t="str">
        <f t="shared" si="18"/>
        <v/>
      </c>
      <c r="X504" s="514" t="b">
        <f t="shared" si="19"/>
        <v>0</v>
      </c>
    </row>
    <row r="505" spans="1:24" ht="12.75" hidden="1" customHeight="1" x14ac:dyDescent="0.25">
      <c r="A505" s="113" t="s">
        <v>0</v>
      </c>
      <c r="B505" s="132"/>
      <c r="D505" s="496">
        <v>219</v>
      </c>
      <c r="E505" s="27"/>
      <c r="F505" s="1308" t="str">
        <f t="shared" si="17"/>
        <v/>
      </c>
      <c r="G505" s="1308"/>
      <c r="H505" s="1306"/>
      <c r="I505" s="1306"/>
      <c r="J505" s="510" t="str">
        <f>IF(H505="","",INDEX(C_FuelStreams!BM:BM,MATCH(H505,C_FuelStreams!BI:BI,0)))</f>
        <v/>
      </c>
      <c r="K505" s="511" t="str">
        <f>IF(H505="","",SUMIFS(C_FuelStreams!BL:BL,C_FuelStreams!BI:BI,H505))</f>
        <v/>
      </c>
      <c r="L505" s="28"/>
      <c r="M505" s="28"/>
      <c r="N505" s="512" t="str">
        <f t="shared" si="16"/>
        <v/>
      </c>
      <c r="O505" s="142"/>
      <c r="P505" s="115"/>
      <c r="R505" s="513" t="str">
        <f>IF(H505="","",SUMIFS(C_FuelStreams!BK:BK,C_FuelStreams!BI:BI,H505))</f>
        <v/>
      </c>
      <c r="S505" s="513" t="str">
        <f>IF(H505="","",SUMIFS(C_FuelStreams!CP:CP,C_FuelStreams!BI:BI,H505))</f>
        <v/>
      </c>
      <c r="T505" s="513" t="str">
        <f t="shared" si="18"/>
        <v/>
      </c>
      <c r="X505" s="514" t="b">
        <f t="shared" si="19"/>
        <v>0</v>
      </c>
    </row>
    <row r="506" spans="1:24" ht="12.75" hidden="1" customHeight="1" x14ac:dyDescent="0.25">
      <c r="A506" s="113" t="s">
        <v>0</v>
      </c>
      <c r="B506" s="132"/>
      <c r="D506" s="496">
        <v>220</v>
      </c>
      <c r="E506" s="27"/>
      <c r="F506" s="1308" t="str">
        <f t="shared" si="17"/>
        <v/>
      </c>
      <c r="G506" s="1308"/>
      <c r="H506" s="1306"/>
      <c r="I506" s="1306"/>
      <c r="J506" s="510" t="str">
        <f>IF(H506="","",INDEX(C_FuelStreams!BM:BM,MATCH(H506,C_FuelStreams!BI:BI,0)))</f>
        <v/>
      </c>
      <c r="K506" s="511" t="str">
        <f>IF(H506="","",SUMIFS(C_FuelStreams!BL:BL,C_FuelStreams!BI:BI,H506))</f>
        <v/>
      </c>
      <c r="L506" s="28"/>
      <c r="M506" s="28"/>
      <c r="N506" s="512" t="str">
        <f t="shared" si="16"/>
        <v/>
      </c>
      <c r="O506" s="142"/>
      <c r="P506" s="115"/>
      <c r="R506" s="513" t="str">
        <f>IF(H506="","",SUMIFS(C_FuelStreams!BK:BK,C_FuelStreams!BI:BI,H506))</f>
        <v/>
      </c>
      <c r="S506" s="513" t="str">
        <f>IF(H506="","",SUMIFS(C_FuelStreams!CP:CP,C_FuelStreams!BI:BI,H506))</f>
        <v/>
      </c>
      <c r="T506" s="513" t="str">
        <f t="shared" si="18"/>
        <v/>
      </c>
      <c r="X506" s="514" t="b">
        <f t="shared" si="19"/>
        <v>0</v>
      </c>
    </row>
    <row r="507" spans="1:24" ht="12.75" hidden="1" customHeight="1" x14ac:dyDescent="0.25">
      <c r="A507" s="113" t="s">
        <v>0</v>
      </c>
      <c r="B507" s="132"/>
      <c r="D507" s="496">
        <v>221</v>
      </c>
      <c r="E507" s="27"/>
      <c r="F507" s="1308" t="str">
        <f t="shared" si="17"/>
        <v/>
      </c>
      <c r="G507" s="1308"/>
      <c r="H507" s="1306"/>
      <c r="I507" s="1306"/>
      <c r="J507" s="510" t="str">
        <f>IF(H507="","",INDEX(C_FuelStreams!BM:BM,MATCH(H507,C_FuelStreams!BI:BI,0)))</f>
        <v/>
      </c>
      <c r="K507" s="511" t="str">
        <f>IF(H507="","",SUMIFS(C_FuelStreams!BL:BL,C_FuelStreams!BI:BI,H507))</f>
        <v/>
      </c>
      <c r="L507" s="28"/>
      <c r="M507" s="28"/>
      <c r="N507" s="512" t="str">
        <f t="shared" si="16"/>
        <v/>
      </c>
      <c r="O507" s="142"/>
      <c r="P507" s="115"/>
      <c r="R507" s="513" t="str">
        <f>IF(H507="","",SUMIFS(C_FuelStreams!BK:BK,C_FuelStreams!BI:BI,H507))</f>
        <v/>
      </c>
      <c r="S507" s="513" t="str">
        <f>IF(H507="","",SUMIFS(C_FuelStreams!CP:CP,C_FuelStreams!BI:BI,H507))</f>
        <v/>
      </c>
      <c r="T507" s="513" t="str">
        <f t="shared" si="18"/>
        <v/>
      </c>
      <c r="X507" s="514" t="b">
        <f t="shared" si="19"/>
        <v>0</v>
      </c>
    </row>
    <row r="508" spans="1:24" ht="12.75" hidden="1" customHeight="1" x14ac:dyDescent="0.25">
      <c r="A508" s="113" t="s">
        <v>0</v>
      </c>
      <c r="B508" s="132"/>
      <c r="D508" s="496">
        <v>222</v>
      </c>
      <c r="E508" s="27"/>
      <c r="F508" s="1308" t="str">
        <f t="shared" si="17"/>
        <v/>
      </c>
      <c r="G508" s="1308"/>
      <c r="H508" s="1306"/>
      <c r="I508" s="1306"/>
      <c r="J508" s="510" t="str">
        <f>IF(H508="","",INDEX(C_FuelStreams!BM:BM,MATCH(H508,C_FuelStreams!BI:BI,0)))</f>
        <v/>
      </c>
      <c r="K508" s="511" t="str">
        <f>IF(H508="","",SUMIFS(C_FuelStreams!BL:BL,C_FuelStreams!BI:BI,H508))</f>
        <v/>
      </c>
      <c r="L508" s="28"/>
      <c r="M508" s="28"/>
      <c r="N508" s="512" t="str">
        <f t="shared" si="16"/>
        <v/>
      </c>
      <c r="O508" s="142"/>
      <c r="P508" s="115"/>
      <c r="R508" s="513" t="str">
        <f>IF(H508="","",SUMIFS(C_FuelStreams!BK:BK,C_FuelStreams!BI:BI,H508))</f>
        <v/>
      </c>
      <c r="S508" s="513" t="str">
        <f>IF(H508="","",SUMIFS(C_FuelStreams!CP:CP,C_FuelStreams!BI:BI,H508))</f>
        <v/>
      </c>
      <c r="T508" s="513" t="str">
        <f t="shared" si="18"/>
        <v/>
      </c>
      <c r="X508" s="514" t="b">
        <f t="shared" si="19"/>
        <v>0</v>
      </c>
    </row>
    <row r="509" spans="1:24" ht="12.75" hidden="1" customHeight="1" x14ac:dyDescent="0.25">
      <c r="A509" s="113" t="s">
        <v>0</v>
      </c>
      <c r="B509" s="132"/>
      <c r="D509" s="496">
        <v>223</v>
      </c>
      <c r="E509" s="27"/>
      <c r="F509" s="1308" t="str">
        <f t="shared" si="17"/>
        <v/>
      </c>
      <c r="G509" s="1308"/>
      <c r="H509" s="1306"/>
      <c r="I509" s="1306"/>
      <c r="J509" s="510" t="str">
        <f>IF(H509="","",INDEX(C_FuelStreams!BM:BM,MATCH(H509,C_FuelStreams!BI:BI,0)))</f>
        <v/>
      </c>
      <c r="K509" s="511" t="str">
        <f>IF(H509="","",SUMIFS(C_FuelStreams!BL:BL,C_FuelStreams!BI:BI,H509))</f>
        <v/>
      </c>
      <c r="L509" s="28"/>
      <c r="M509" s="28"/>
      <c r="N509" s="512" t="str">
        <f t="shared" si="16"/>
        <v/>
      </c>
      <c r="O509" s="142"/>
      <c r="P509" s="115"/>
      <c r="R509" s="513" t="str">
        <f>IF(H509="","",SUMIFS(C_FuelStreams!BK:BK,C_FuelStreams!BI:BI,H509))</f>
        <v/>
      </c>
      <c r="S509" s="513" t="str">
        <f>IF(H509="","",SUMIFS(C_FuelStreams!CP:CP,C_FuelStreams!BI:BI,H509))</f>
        <v/>
      </c>
      <c r="T509" s="513" t="str">
        <f t="shared" si="18"/>
        <v/>
      </c>
      <c r="X509" s="514" t="b">
        <f t="shared" si="19"/>
        <v>0</v>
      </c>
    </row>
    <row r="510" spans="1:24" ht="12.75" hidden="1" customHeight="1" x14ac:dyDescent="0.25">
      <c r="A510" s="113" t="s">
        <v>0</v>
      </c>
      <c r="B510" s="132"/>
      <c r="D510" s="496">
        <v>224</v>
      </c>
      <c r="E510" s="27"/>
      <c r="F510" s="1308" t="str">
        <f t="shared" si="17"/>
        <v/>
      </c>
      <c r="G510" s="1308"/>
      <c r="H510" s="1306"/>
      <c r="I510" s="1306"/>
      <c r="J510" s="510" t="str">
        <f>IF(H510="","",INDEX(C_FuelStreams!BM:BM,MATCH(H510,C_FuelStreams!BI:BI,0)))</f>
        <v/>
      </c>
      <c r="K510" s="511" t="str">
        <f>IF(H510="","",SUMIFS(C_FuelStreams!BL:BL,C_FuelStreams!BI:BI,H510))</f>
        <v/>
      </c>
      <c r="L510" s="28"/>
      <c r="M510" s="28"/>
      <c r="N510" s="512" t="str">
        <f t="shared" si="16"/>
        <v/>
      </c>
      <c r="O510" s="142"/>
      <c r="P510" s="115"/>
      <c r="R510" s="513" t="str">
        <f>IF(H510="","",SUMIFS(C_FuelStreams!BK:BK,C_FuelStreams!BI:BI,H510))</f>
        <v/>
      </c>
      <c r="S510" s="513" t="str">
        <f>IF(H510="","",SUMIFS(C_FuelStreams!CP:CP,C_FuelStreams!BI:BI,H510))</f>
        <v/>
      </c>
      <c r="T510" s="513" t="str">
        <f t="shared" si="18"/>
        <v/>
      </c>
      <c r="X510" s="514" t="b">
        <f t="shared" si="19"/>
        <v>0</v>
      </c>
    </row>
    <row r="511" spans="1:24" ht="12.75" hidden="1" customHeight="1" x14ac:dyDescent="0.25">
      <c r="A511" s="113" t="s">
        <v>0</v>
      </c>
      <c r="B511" s="132"/>
      <c r="D511" s="496">
        <v>225</v>
      </c>
      <c r="E511" s="27"/>
      <c r="F511" s="1308" t="str">
        <f t="shared" si="17"/>
        <v/>
      </c>
      <c r="G511" s="1308"/>
      <c r="H511" s="1306"/>
      <c r="I511" s="1306"/>
      <c r="J511" s="510" t="str">
        <f>IF(H511="","",INDEX(C_FuelStreams!BM:BM,MATCH(H511,C_FuelStreams!BI:BI,0)))</f>
        <v/>
      </c>
      <c r="K511" s="511" t="str">
        <f>IF(H511="","",SUMIFS(C_FuelStreams!BL:BL,C_FuelStreams!BI:BI,H511))</f>
        <v/>
      </c>
      <c r="L511" s="28"/>
      <c r="M511" s="28"/>
      <c r="N511" s="512" t="str">
        <f t="shared" si="16"/>
        <v/>
      </c>
      <c r="O511" s="142"/>
      <c r="P511" s="115"/>
      <c r="R511" s="513" t="str">
        <f>IF(H511="","",SUMIFS(C_FuelStreams!BK:BK,C_FuelStreams!BI:BI,H511))</f>
        <v/>
      </c>
      <c r="S511" s="513" t="str">
        <f>IF(H511="","",SUMIFS(C_FuelStreams!CP:CP,C_FuelStreams!BI:BI,H511))</f>
        <v/>
      </c>
      <c r="T511" s="513" t="str">
        <f t="shared" si="18"/>
        <v/>
      </c>
      <c r="X511" s="514" t="b">
        <f t="shared" si="19"/>
        <v>0</v>
      </c>
    </row>
    <row r="512" spans="1:24" ht="12.75" hidden="1" customHeight="1" x14ac:dyDescent="0.25">
      <c r="A512" s="113" t="s">
        <v>0</v>
      </c>
      <c r="B512" s="132"/>
      <c r="D512" s="496">
        <v>226</v>
      </c>
      <c r="E512" s="27"/>
      <c r="F512" s="1308" t="str">
        <f t="shared" si="17"/>
        <v/>
      </c>
      <c r="G512" s="1308"/>
      <c r="H512" s="1306"/>
      <c r="I512" s="1306"/>
      <c r="J512" s="510" t="str">
        <f>IF(H512="","",INDEX(C_FuelStreams!BM:BM,MATCH(H512,C_FuelStreams!BI:BI,0)))</f>
        <v/>
      </c>
      <c r="K512" s="511" t="str">
        <f>IF(H512="","",SUMIFS(C_FuelStreams!BL:BL,C_FuelStreams!BI:BI,H512))</f>
        <v/>
      </c>
      <c r="L512" s="28"/>
      <c r="M512" s="28"/>
      <c r="N512" s="512" t="str">
        <f t="shared" si="16"/>
        <v/>
      </c>
      <c r="O512" s="142"/>
      <c r="P512" s="115"/>
      <c r="R512" s="513" t="str">
        <f>IF(H512="","",SUMIFS(C_FuelStreams!BK:BK,C_FuelStreams!BI:BI,H512))</f>
        <v/>
      </c>
      <c r="S512" s="513" t="str">
        <f>IF(H512="","",SUMIFS(C_FuelStreams!CP:CP,C_FuelStreams!BI:BI,H512))</f>
        <v/>
      </c>
      <c r="T512" s="513" t="str">
        <f t="shared" si="18"/>
        <v/>
      </c>
      <c r="X512" s="514" t="b">
        <f t="shared" si="19"/>
        <v>0</v>
      </c>
    </row>
    <row r="513" spans="1:24" ht="12.75" hidden="1" customHeight="1" x14ac:dyDescent="0.25">
      <c r="A513" s="113" t="s">
        <v>0</v>
      </c>
      <c r="B513" s="132"/>
      <c r="D513" s="496">
        <v>227</v>
      </c>
      <c r="E513" s="27"/>
      <c r="F513" s="1308" t="str">
        <f t="shared" si="17"/>
        <v/>
      </c>
      <c r="G513" s="1308"/>
      <c r="H513" s="1306"/>
      <c r="I513" s="1306"/>
      <c r="J513" s="510" t="str">
        <f>IF(H513="","",INDEX(C_FuelStreams!BM:BM,MATCH(H513,C_FuelStreams!BI:BI,0)))</f>
        <v/>
      </c>
      <c r="K513" s="511" t="str">
        <f>IF(H513="","",SUMIFS(C_FuelStreams!BL:BL,C_FuelStreams!BI:BI,H513))</f>
        <v/>
      </c>
      <c r="L513" s="28"/>
      <c r="M513" s="28"/>
      <c r="N513" s="512" t="str">
        <f t="shared" si="16"/>
        <v/>
      </c>
      <c r="O513" s="142"/>
      <c r="P513" s="115"/>
      <c r="R513" s="513" t="str">
        <f>IF(H513="","",SUMIFS(C_FuelStreams!BK:BK,C_FuelStreams!BI:BI,H513))</f>
        <v/>
      </c>
      <c r="S513" s="513" t="str">
        <f>IF(H513="","",SUMIFS(C_FuelStreams!CP:CP,C_FuelStreams!BI:BI,H513))</f>
        <v/>
      </c>
      <c r="T513" s="513" t="str">
        <f t="shared" si="18"/>
        <v/>
      </c>
      <c r="X513" s="514" t="b">
        <f t="shared" si="19"/>
        <v>0</v>
      </c>
    </row>
    <row r="514" spans="1:24" ht="12.75" hidden="1" customHeight="1" x14ac:dyDescent="0.25">
      <c r="A514" s="113" t="s">
        <v>0</v>
      </c>
      <c r="B514" s="132"/>
      <c r="D514" s="496">
        <v>228</v>
      </c>
      <c r="E514" s="27"/>
      <c r="F514" s="1308" t="str">
        <f t="shared" si="17"/>
        <v/>
      </c>
      <c r="G514" s="1308"/>
      <c r="H514" s="1306"/>
      <c r="I514" s="1306"/>
      <c r="J514" s="510" t="str">
        <f>IF(H514="","",INDEX(C_FuelStreams!BM:BM,MATCH(H514,C_FuelStreams!BI:BI,0)))</f>
        <v/>
      </c>
      <c r="K514" s="511" t="str">
        <f>IF(H514="","",SUMIFS(C_FuelStreams!BL:BL,C_FuelStreams!BI:BI,H514))</f>
        <v/>
      </c>
      <c r="L514" s="28"/>
      <c r="M514" s="28"/>
      <c r="N514" s="512" t="str">
        <f t="shared" si="16"/>
        <v/>
      </c>
      <c r="O514" s="142"/>
      <c r="P514" s="115"/>
      <c r="R514" s="513" t="str">
        <f>IF(H514="","",SUMIFS(C_FuelStreams!BK:BK,C_FuelStreams!BI:BI,H514))</f>
        <v/>
      </c>
      <c r="S514" s="513" t="str">
        <f>IF(H514="","",SUMIFS(C_FuelStreams!CP:CP,C_FuelStreams!BI:BI,H514))</f>
        <v/>
      </c>
      <c r="T514" s="513" t="str">
        <f t="shared" si="18"/>
        <v/>
      </c>
      <c r="X514" s="514" t="b">
        <f t="shared" si="19"/>
        <v>0</v>
      </c>
    </row>
    <row r="515" spans="1:24" ht="12.75" hidden="1" customHeight="1" x14ac:dyDescent="0.25">
      <c r="A515" s="113" t="s">
        <v>0</v>
      </c>
      <c r="B515" s="132"/>
      <c r="D515" s="496">
        <v>229</v>
      </c>
      <c r="E515" s="27"/>
      <c r="F515" s="1308" t="str">
        <f t="shared" si="17"/>
        <v/>
      </c>
      <c r="G515" s="1308"/>
      <c r="H515" s="1306"/>
      <c r="I515" s="1306"/>
      <c r="J515" s="510" t="str">
        <f>IF(H515="","",INDEX(C_FuelStreams!BM:BM,MATCH(H515,C_FuelStreams!BI:BI,0)))</f>
        <v/>
      </c>
      <c r="K515" s="511" t="str">
        <f>IF(H515="","",SUMIFS(C_FuelStreams!BL:BL,C_FuelStreams!BI:BI,H515))</f>
        <v/>
      </c>
      <c r="L515" s="28"/>
      <c r="M515" s="28"/>
      <c r="N515" s="512" t="str">
        <f t="shared" si="16"/>
        <v/>
      </c>
      <c r="O515" s="142"/>
      <c r="P515" s="115"/>
      <c r="R515" s="513" t="str">
        <f>IF(H515="","",SUMIFS(C_FuelStreams!BK:BK,C_FuelStreams!BI:BI,H515))</f>
        <v/>
      </c>
      <c r="S515" s="513" t="str">
        <f>IF(H515="","",SUMIFS(C_FuelStreams!CP:CP,C_FuelStreams!BI:BI,H515))</f>
        <v/>
      </c>
      <c r="T515" s="513" t="str">
        <f t="shared" si="18"/>
        <v/>
      </c>
      <c r="X515" s="514" t="b">
        <f t="shared" si="19"/>
        <v>0</v>
      </c>
    </row>
    <row r="516" spans="1:24" ht="12.75" hidden="1" customHeight="1" x14ac:dyDescent="0.25">
      <c r="A516" s="113" t="s">
        <v>0</v>
      </c>
      <c r="B516" s="132"/>
      <c r="D516" s="496">
        <v>230</v>
      </c>
      <c r="E516" s="27"/>
      <c r="F516" s="1308" t="str">
        <f t="shared" si="17"/>
        <v/>
      </c>
      <c r="G516" s="1308"/>
      <c r="H516" s="1306"/>
      <c r="I516" s="1306"/>
      <c r="J516" s="510" t="str">
        <f>IF(H516="","",INDEX(C_FuelStreams!BM:BM,MATCH(H516,C_FuelStreams!BI:BI,0)))</f>
        <v/>
      </c>
      <c r="K516" s="511" t="str">
        <f>IF(H516="","",SUMIFS(C_FuelStreams!BL:BL,C_FuelStreams!BI:BI,H516))</f>
        <v/>
      </c>
      <c r="L516" s="28"/>
      <c r="M516" s="28"/>
      <c r="N516" s="512" t="str">
        <f t="shared" si="16"/>
        <v/>
      </c>
      <c r="O516" s="142"/>
      <c r="P516" s="115"/>
      <c r="R516" s="513" t="str">
        <f>IF(H516="","",SUMIFS(C_FuelStreams!BK:BK,C_FuelStreams!BI:BI,H516))</f>
        <v/>
      </c>
      <c r="S516" s="513" t="str">
        <f>IF(H516="","",SUMIFS(C_FuelStreams!CP:CP,C_FuelStreams!BI:BI,H516))</f>
        <v/>
      </c>
      <c r="T516" s="513" t="str">
        <f t="shared" si="18"/>
        <v/>
      </c>
      <c r="X516" s="514" t="b">
        <f t="shared" si="19"/>
        <v>0</v>
      </c>
    </row>
    <row r="517" spans="1:24" ht="12.75" hidden="1" customHeight="1" x14ac:dyDescent="0.25">
      <c r="A517" s="113" t="s">
        <v>0</v>
      </c>
      <c r="B517" s="132"/>
      <c r="D517" s="496">
        <v>231</v>
      </c>
      <c r="E517" s="27"/>
      <c r="F517" s="1308" t="str">
        <f t="shared" si="17"/>
        <v/>
      </c>
      <c r="G517" s="1308"/>
      <c r="H517" s="1306"/>
      <c r="I517" s="1306"/>
      <c r="J517" s="510" t="str">
        <f>IF(H517="","",INDEX(C_FuelStreams!BM:BM,MATCH(H517,C_FuelStreams!BI:BI,0)))</f>
        <v/>
      </c>
      <c r="K517" s="511" t="str">
        <f>IF(H517="","",SUMIFS(C_FuelStreams!BL:BL,C_FuelStreams!BI:BI,H517))</f>
        <v/>
      </c>
      <c r="L517" s="28"/>
      <c r="M517" s="28"/>
      <c r="N517" s="512" t="str">
        <f t="shared" si="16"/>
        <v/>
      </c>
      <c r="O517" s="142"/>
      <c r="P517" s="115"/>
      <c r="R517" s="513" t="str">
        <f>IF(H517="","",SUMIFS(C_FuelStreams!BK:BK,C_FuelStreams!BI:BI,H517))</f>
        <v/>
      </c>
      <c r="S517" s="513" t="str">
        <f>IF(H517="","",SUMIFS(C_FuelStreams!CP:CP,C_FuelStreams!BI:BI,H517))</f>
        <v/>
      </c>
      <c r="T517" s="513" t="str">
        <f t="shared" si="18"/>
        <v/>
      </c>
      <c r="X517" s="514" t="b">
        <f t="shared" si="19"/>
        <v>0</v>
      </c>
    </row>
    <row r="518" spans="1:24" ht="12.75" hidden="1" customHeight="1" x14ac:dyDescent="0.25">
      <c r="A518" s="113" t="s">
        <v>0</v>
      </c>
      <c r="B518" s="132"/>
      <c r="D518" s="496">
        <v>232</v>
      </c>
      <c r="E518" s="27"/>
      <c r="F518" s="1308" t="str">
        <f t="shared" si="17"/>
        <v/>
      </c>
      <c r="G518" s="1308"/>
      <c r="H518" s="1306"/>
      <c r="I518" s="1306"/>
      <c r="J518" s="510" t="str">
        <f>IF(H518="","",INDEX(C_FuelStreams!BM:BM,MATCH(H518,C_FuelStreams!BI:BI,0)))</f>
        <v/>
      </c>
      <c r="K518" s="511" t="str">
        <f>IF(H518="","",SUMIFS(C_FuelStreams!BL:BL,C_FuelStreams!BI:BI,H518))</f>
        <v/>
      </c>
      <c r="L518" s="28"/>
      <c r="M518" s="28"/>
      <c r="N518" s="512" t="str">
        <f t="shared" si="16"/>
        <v/>
      </c>
      <c r="O518" s="142"/>
      <c r="P518" s="115"/>
      <c r="R518" s="513" t="str">
        <f>IF(H518="","",SUMIFS(C_FuelStreams!BK:BK,C_FuelStreams!BI:BI,H518))</f>
        <v/>
      </c>
      <c r="S518" s="513" t="str">
        <f>IF(H518="","",SUMIFS(C_FuelStreams!CP:CP,C_FuelStreams!BI:BI,H518))</f>
        <v/>
      </c>
      <c r="T518" s="513" t="str">
        <f t="shared" si="18"/>
        <v/>
      </c>
      <c r="X518" s="514" t="b">
        <f t="shared" si="19"/>
        <v>0</v>
      </c>
    </row>
    <row r="519" spans="1:24" ht="12.75" hidden="1" customHeight="1" x14ac:dyDescent="0.25">
      <c r="A519" s="113" t="s">
        <v>0</v>
      </c>
      <c r="B519" s="132"/>
      <c r="D519" s="496">
        <v>233</v>
      </c>
      <c r="E519" s="27"/>
      <c r="F519" s="1308" t="str">
        <f t="shared" si="17"/>
        <v/>
      </c>
      <c r="G519" s="1308"/>
      <c r="H519" s="1306"/>
      <c r="I519" s="1306"/>
      <c r="J519" s="510" t="str">
        <f>IF(H519="","",INDEX(C_FuelStreams!BM:BM,MATCH(H519,C_FuelStreams!BI:BI,0)))</f>
        <v/>
      </c>
      <c r="K519" s="511" t="str">
        <f>IF(H519="","",SUMIFS(C_FuelStreams!BL:BL,C_FuelStreams!BI:BI,H519))</f>
        <v/>
      </c>
      <c r="L519" s="28"/>
      <c r="M519" s="28"/>
      <c r="N519" s="512" t="str">
        <f t="shared" si="16"/>
        <v/>
      </c>
      <c r="O519" s="142"/>
      <c r="P519" s="115"/>
      <c r="R519" s="513" t="str">
        <f>IF(H519="","",SUMIFS(C_FuelStreams!BK:BK,C_FuelStreams!BI:BI,H519))</f>
        <v/>
      </c>
      <c r="S519" s="513" t="str">
        <f>IF(H519="","",SUMIFS(C_FuelStreams!CP:CP,C_FuelStreams!BI:BI,H519))</f>
        <v/>
      </c>
      <c r="T519" s="513" t="str">
        <f t="shared" si="18"/>
        <v/>
      </c>
      <c r="X519" s="514" t="b">
        <f t="shared" si="19"/>
        <v>0</v>
      </c>
    </row>
    <row r="520" spans="1:24" ht="12.75" hidden="1" customHeight="1" x14ac:dyDescent="0.25">
      <c r="A520" s="113" t="s">
        <v>0</v>
      </c>
      <c r="B520" s="132"/>
      <c r="D520" s="496">
        <v>234</v>
      </c>
      <c r="E520" s="27"/>
      <c r="F520" s="1308" t="str">
        <f t="shared" si="17"/>
        <v/>
      </c>
      <c r="G520" s="1308"/>
      <c r="H520" s="1306"/>
      <c r="I520" s="1306"/>
      <c r="J520" s="510" t="str">
        <f>IF(H520="","",INDEX(C_FuelStreams!BM:BM,MATCH(H520,C_FuelStreams!BI:BI,0)))</f>
        <v/>
      </c>
      <c r="K520" s="511" t="str">
        <f>IF(H520="","",SUMIFS(C_FuelStreams!BL:BL,C_FuelStreams!BI:BI,H520))</f>
        <v/>
      </c>
      <c r="L520" s="28"/>
      <c r="M520" s="28"/>
      <c r="N520" s="512" t="str">
        <f t="shared" si="16"/>
        <v/>
      </c>
      <c r="O520" s="142"/>
      <c r="P520" s="115"/>
      <c r="R520" s="513" t="str">
        <f>IF(H520="","",SUMIFS(C_FuelStreams!BK:BK,C_FuelStreams!BI:BI,H520))</f>
        <v/>
      </c>
      <c r="S520" s="513" t="str">
        <f>IF(H520="","",SUMIFS(C_FuelStreams!CP:CP,C_FuelStreams!BI:BI,H520))</f>
        <v/>
      </c>
      <c r="T520" s="513" t="str">
        <f t="shared" si="18"/>
        <v/>
      </c>
      <c r="X520" s="514" t="b">
        <f t="shared" si="19"/>
        <v>0</v>
      </c>
    </row>
    <row r="521" spans="1:24" ht="12.75" hidden="1" customHeight="1" x14ac:dyDescent="0.25">
      <c r="A521" s="113" t="s">
        <v>0</v>
      </c>
      <c r="B521" s="132"/>
      <c r="D521" s="496">
        <v>235</v>
      </c>
      <c r="E521" s="27"/>
      <c r="F521" s="1308" t="str">
        <f t="shared" si="17"/>
        <v/>
      </c>
      <c r="G521" s="1308"/>
      <c r="H521" s="1306"/>
      <c r="I521" s="1306"/>
      <c r="J521" s="510" t="str">
        <f>IF(H521="","",INDEX(C_FuelStreams!BM:BM,MATCH(H521,C_FuelStreams!BI:BI,0)))</f>
        <v/>
      </c>
      <c r="K521" s="511" t="str">
        <f>IF(H521="","",SUMIFS(C_FuelStreams!BL:BL,C_FuelStreams!BI:BI,H521))</f>
        <v/>
      </c>
      <c r="L521" s="28"/>
      <c r="M521" s="28"/>
      <c r="N521" s="512" t="str">
        <f t="shared" si="16"/>
        <v/>
      </c>
      <c r="O521" s="142"/>
      <c r="P521" s="115"/>
      <c r="R521" s="513" t="str">
        <f>IF(H521="","",SUMIFS(C_FuelStreams!BK:BK,C_FuelStreams!BI:BI,H521))</f>
        <v/>
      </c>
      <c r="S521" s="513" t="str">
        <f>IF(H521="","",SUMIFS(C_FuelStreams!CP:CP,C_FuelStreams!BI:BI,H521))</f>
        <v/>
      </c>
      <c r="T521" s="513" t="str">
        <f t="shared" si="18"/>
        <v/>
      </c>
      <c r="X521" s="514" t="b">
        <f t="shared" si="19"/>
        <v>0</v>
      </c>
    </row>
    <row r="522" spans="1:24" ht="12.75" hidden="1" customHeight="1" x14ac:dyDescent="0.25">
      <c r="A522" s="113" t="s">
        <v>0</v>
      </c>
      <c r="B522" s="132"/>
      <c r="D522" s="496">
        <v>236</v>
      </c>
      <c r="E522" s="27"/>
      <c r="F522" s="1308" t="str">
        <f t="shared" si="17"/>
        <v/>
      </c>
      <c r="G522" s="1308"/>
      <c r="H522" s="1306"/>
      <c r="I522" s="1306"/>
      <c r="J522" s="510" t="str">
        <f>IF(H522="","",INDEX(C_FuelStreams!BM:BM,MATCH(H522,C_FuelStreams!BI:BI,0)))</f>
        <v/>
      </c>
      <c r="K522" s="511" t="str">
        <f>IF(H522="","",SUMIFS(C_FuelStreams!BL:BL,C_FuelStreams!BI:BI,H522))</f>
        <v/>
      </c>
      <c r="L522" s="28"/>
      <c r="M522" s="28"/>
      <c r="N522" s="512" t="str">
        <f t="shared" si="16"/>
        <v/>
      </c>
      <c r="O522" s="142"/>
      <c r="P522" s="115"/>
      <c r="R522" s="513" t="str">
        <f>IF(H522="","",SUMIFS(C_FuelStreams!BK:BK,C_FuelStreams!BI:BI,H522))</f>
        <v/>
      </c>
      <c r="S522" s="513" t="str">
        <f>IF(H522="","",SUMIFS(C_FuelStreams!CP:CP,C_FuelStreams!BI:BI,H522))</f>
        <v/>
      </c>
      <c r="T522" s="513" t="str">
        <f t="shared" si="18"/>
        <v/>
      </c>
      <c r="X522" s="514" t="b">
        <f t="shared" si="19"/>
        <v>0</v>
      </c>
    </row>
    <row r="523" spans="1:24" ht="12.75" hidden="1" customHeight="1" x14ac:dyDescent="0.25">
      <c r="A523" s="113" t="s">
        <v>0</v>
      </c>
      <c r="B523" s="132"/>
      <c r="D523" s="496">
        <v>237</v>
      </c>
      <c r="E523" s="27"/>
      <c r="F523" s="1308" t="str">
        <f t="shared" si="17"/>
        <v/>
      </c>
      <c r="G523" s="1308"/>
      <c r="H523" s="1306"/>
      <c r="I523" s="1306"/>
      <c r="J523" s="510" t="str">
        <f>IF(H523="","",INDEX(C_FuelStreams!BM:BM,MATCH(H523,C_FuelStreams!BI:BI,0)))</f>
        <v/>
      </c>
      <c r="K523" s="511" t="str">
        <f>IF(H523="","",SUMIFS(C_FuelStreams!BL:BL,C_FuelStreams!BI:BI,H523))</f>
        <v/>
      </c>
      <c r="L523" s="28"/>
      <c r="M523" s="28"/>
      <c r="N523" s="512" t="str">
        <f t="shared" si="16"/>
        <v/>
      </c>
      <c r="O523" s="142"/>
      <c r="P523" s="115"/>
      <c r="R523" s="513" t="str">
        <f>IF(H523="","",SUMIFS(C_FuelStreams!BK:BK,C_FuelStreams!BI:BI,H523))</f>
        <v/>
      </c>
      <c r="S523" s="513" t="str">
        <f>IF(H523="","",SUMIFS(C_FuelStreams!CP:CP,C_FuelStreams!BI:BI,H523))</f>
        <v/>
      </c>
      <c r="T523" s="513" t="str">
        <f t="shared" si="18"/>
        <v/>
      </c>
      <c r="X523" s="514" t="b">
        <f t="shared" si="19"/>
        <v>0</v>
      </c>
    </row>
    <row r="524" spans="1:24" ht="12.75" hidden="1" customHeight="1" x14ac:dyDescent="0.25">
      <c r="A524" s="113" t="s">
        <v>0</v>
      </c>
      <c r="B524" s="132"/>
      <c r="D524" s="496">
        <v>238</v>
      </c>
      <c r="E524" s="27"/>
      <c r="F524" s="1308" t="str">
        <f t="shared" si="17"/>
        <v/>
      </c>
      <c r="G524" s="1308"/>
      <c r="H524" s="1306"/>
      <c r="I524" s="1306"/>
      <c r="J524" s="510" t="str">
        <f>IF(H524="","",INDEX(C_FuelStreams!BM:BM,MATCH(H524,C_FuelStreams!BI:BI,0)))</f>
        <v/>
      </c>
      <c r="K524" s="511" t="str">
        <f>IF(H524="","",SUMIFS(C_FuelStreams!BL:BL,C_FuelStreams!BI:BI,H524))</f>
        <v/>
      </c>
      <c r="L524" s="28"/>
      <c r="M524" s="28"/>
      <c r="N524" s="512" t="str">
        <f t="shared" si="16"/>
        <v/>
      </c>
      <c r="O524" s="142"/>
      <c r="P524" s="115"/>
      <c r="R524" s="513" t="str">
        <f>IF(H524="","",SUMIFS(C_FuelStreams!BK:BK,C_FuelStreams!BI:BI,H524))</f>
        <v/>
      </c>
      <c r="S524" s="513" t="str">
        <f>IF(H524="","",SUMIFS(C_FuelStreams!CP:CP,C_FuelStreams!BI:BI,H524))</f>
        <v/>
      </c>
      <c r="T524" s="513" t="str">
        <f t="shared" si="18"/>
        <v/>
      </c>
      <c r="X524" s="514" t="b">
        <f t="shared" si="19"/>
        <v>0</v>
      </c>
    </row>
    <row r="525" spans="1:24" ht="12.75" hidden="1" customHeight="1" x14ac:dyDescent="0.25">
      <c r="A525" s="113" t="s">
        <v>0</v>
      </c>
      <c r="B525" s="132"/>
      <c r="D525" s="496">
        <v>239</v>
      </c>
      <c r="E525" s="27"/>
      <c r="F525" s="1308" t="str">
        <f t="shared" si="17"/>
        <v/>
      </c>
      <c r="G525" s="1308"/>
      <c r="H525" s="1306"/>
      <c r="I525" s="1306"/>
      <c r="J525" s="510" t="str">
        <f>IF(H525="","",INDEX(C_FuelStreams!BM:BM,MATCH(H525,C_FuelStreams!BI:BI,0)))</f>
        <v/>
      </c>
      <c r="K525" s="511" t="str">
        <f>IF(H525="","",SUMIFS(C_FuelStreams!BL:BL,C_FuelStreams!BI:BI,H525))</f>
        <v/>
      </c>
      <c r="L525" s="28"/>
      <c r="M525" s="28"/>
      <c r="N525" s="512" t="str">
        <f t="shared" si="16"/>
        <v/>
      </c>
      <c r="O525" s="142"/>
      <c r="P525" s="115"/>
      <c r="R525" s="513" t="str">
        <f>IF(H525="","",SUMIFS(C_FuelStreams!BK:BK,C_FuelStreams!BI:BI,H525))</f>
        <v/>
      </c>
      <c r="S525" s="513" t="str">
        <f>IF(H525="","",SUMIFS(C_FuelStreams!CP:CP,C_FuelStreams!BI:BI,H525))</f>
        <v/>
      </c>
      <c r="T525" s="513" t="str">
        <f t="shared" si="18"/>
        <v/>
      </c>
      <c r="X525" s="514" t="b">
        <f t="shared" si="19"/>
        <v>0</v>
      </c>
    </row>
    <row r="526" spans="1:24" ht="12.75" hidden="1" customHeight="1" x14ac:dyDescent="0.25">
      <c r="A526" s="113" t="s">
        <v>0</v>
      </c>
      <c r="B526" s="132"/>
      <c r="D526" s="496">
        <v>240</v>
      </c>
      <c r="E526" s="27"/>
      <c r="F526" s="1308" t="str">
        <f t="shared" si="17"/>
        <v/>
      </c>
      <c r="G526" s="1308"/>
      <c r="H526" s="1306"/>
      <c r="I526" s="1306"/>
      <c r="J526" s="510" t="str">
        <f>IF(H526="","",INDEX(C_FuelStreams!BM:BM,MATCH(H526,C_FuelStreams!BI:BI,0)))</f>
        <v/>
      </c>
      <c r="K526" s="511" t="str">
        <f>IF(H526="","",SUMIFS(C_FuelStreams!BL:BL,C_FuelStreams!BI:BI,H526))</f>
        <v/>
      </c>
      <c r="L526" s="28"/>
      <c r="M526" s="28"/>
      <c r="N526" s="512" t="str">
        <f t="shared" si="16"/>
        <v/>
      </c>
      <c r="O526" s="142"/>
      <c r="P526" s="115"/>
      <c r="R526" s="513" t="str">
        <f>IF(H526="","",SUMIFS(C_FuelStreams!BK:BK,C_FuelStreams!BI:BI,H526))</f>
        <v/>
      </c>
      <c r="S526" s="513" t="str">
        <f>IF(H526="","",SUMIFS(C_FuelStreams!CP:CP,C_FuelStreams!BI:BI,H526))</f>
        <v/>
      </c>
      <c r="T526" s="513" t="str">
        <f t="shared" si="18"/>
        <v/>
      </c>
      <c r="X526" s="514" t="b">
        <f t="shared" si="19"/>
        <v>0</v>
      </c>
    </row>
    <row r="527" spans="1:24" ht="12.75" hidden="1" customHeight="1" x14ac:dyDescent="0.25">
      <c r="A527" s="113" t="s">
        <v>0</v>
      </c>
      <c r="B527" s="132"/>
      <c r="D527" s="496">
        <v>241</v>
      </c>
      <c r="E527" s="27"/>
      <c r="F527" s="1308" t="str">
        <f t="shared" si="17"/>
        <v/>
      </c>
      <c r="G527" s="1308"/>
      <c r="H527" s="1306"/>
      <c r="I527" s="1306"/>
      <c r="J527" s="510" t="str">
        <f>IF(H527="","",INDEX(C_FuelStreams!BM:BM,MATCH(H527,C_FuelStreams!BI:BI,0)))</f>
        <v/>
      </c>
      <c r="K527" s="511" t="str">
        <f>IF(H527="","",SUMIFS(C_FuelStreams!BL:BL,C_FuelStreams!BI:BI,H527))</f>
        <v/>
      </c>
      <c r="L527" s="28"/>
      <c r="M527" s="28"/>
      <c r="N527" s="512" t="str">
        <f t="shared" si="16"/>
        <v/>
      </c>
      <c r="O527" s="142"/>
      <c r="P527" s="115"/>
      <c r="R527" s="513" t="str">
        <f>IF(H527="","",SUMIFS(C_FuelStreams!BK:BK,C_FuelStreams!BI:BI,H527))</f>
        <v/>
      </c>
      <c r="S527" s="513" t="str">
        <f>IF(H527="","",SUMIFS(C_FuelStreams!CP:CP,C_FuelStreams!BI:BI,H527))</f>
        <v/>
      </c>
      <c r="T527" s="513" t="str">
        <f t="shared" si="18"/>
        <v/>
      </c>
      <c r="X527" s="514" t="b">
        <f t="shared" si="19"/>
        <v>0</v>
      </c>
    </row>
    <row r="528" spans="1:24" ht="12.75" hidden="1" customHeight="1" x14ac:dyDescent="0.25">
      <c r="A528" s="113" t="s">
        <v>0</v>
      </c>
      <c r="B528" s="132"/>
      <c r="D528" s="496">
        <v>242</v>
      </c>
      <c r="E528" s="27"/>
      <c r="F528" s="1308" t="str">
        <f t="shared" si="17"/>
        <v/>
      </c>
      <c r="G528" s="1308"/>
      <c r="H528" s="1306"/>
      <c r="I528" s="1306"/>
      <c r="J528" s="510" t="str">
        <f>IF(H528="","",INDEX(C_FuelStreams!BM:BM,MATCH(H528,C_FuelStreams!BI:BI,0)))</f>
        <v/>
      </c>
      <c r="K528" s="511" t="str">
        <f>IF(H528="","",SUMIFS(C_FuelStreams!BL:BL,C_FuelStreams!BI:BI,H528))</f>
        <v/>
      </c>
      <c r="L528" s="28"/>
      <c r="M528" s="28"/>
      <c r="N528" s="512" t="str">
        <f t="shared" si="16"/>
        <v/>
      </c>
      <c r="O528" s="142"/>
      <c r="P528" s="115"/>
      <c r="R528" s="513" t="str">
        <f>IF(H528="","",SUMIFS(C_FuelStreams!BK:BK,C_FuelStreams!BI:BI,H528))</f>
        <v/>
      </c>
      <c r="S528" s="513" t="str">
        <f>IF(H528="","",SUMIFS(C_FuelStreams!CP:CP,C_FuelStreams!BI:BI,H528))</f>
        <v/>
      </c>
      <c r="T528" s="513" t="str">
        <f t="shared" si="18"/>
        <v/>
      </c>
      <c r="X528" s="514" t="b">
        <f t="shared" si="19"/>
        <v>0</v>
      </c>
    </row>
    <row r="529" spans="1:24" ht="12.75" hidden="1" customHeight="1" x14ac:dyDescent="0.25">
      <c r="A529" s="113" t="s">
        <v>0</v>
      </c>
      <c r="B529" s="132"/>
      <c r="D529" s="496">
        <v>243</v>
      </c>
      <c r="E529" s="27"/>
      <c r="F529" s="1308" t="str">
        <f t="shared" si="17"/>
        <v/>
      </c>
      <c r="G529" s="1308"/>
      <c r="H529" s="1306"/>
      <c r="I529" s="1306"/>
      <c r="J529" s="510" t="str">
        <f>IF(H529="","",INDEX(C_FuelStreams!BM:BM,MATCH(H529,C_FuelStreams!BI:BI,0)))</f>
        <v/>
      </c>
      <c r="K529" s="511" t="str">
        <f>IF(H529="","",SUMIFS(C_FuelStreams!BL:BL,C_FuelStreams!BI:BI,H529))</f>
        <v/>
      </c>
      <c r="L529" s="28"/>
      <c r="M529" s="28"/>
      <c r="N529" s="512" t="str">
        <f t="shared" si="16"/>
        <v/>
      </c>
      <c r="O529" s="142"/>
      <c r="P529" s="115"/>
      <c r="R529" s="513" t="str">
        <f>IF(H529="","",SUMIFS(C_FuelStreams!BK:BK,C_FuelStreams!BI:BI,H529))</f>
        <v/>
      </c>
      <c r="S529" s="513" t="str">
        <f>IF(H529="","",SUMIFS(C_FuelStreams!CP:CP,C_FuelStreams!BI:BI,H529))</f>
        <v/>
      </c>
      <c r="T529" s="513" t="str">
        <f t="shared" si="18"/>
        <v/>
      </c>
      <c r="X529" s="514" t="b">
        <f t="shared" si="19"/>
        <v>0</v>
      </c>
    </row>
    <row r="530" spans="1:24" ht="12.75" hidden="1" customHeight="1" x14ac:dyDescent="0.25">
      <c r="A530" s="113" t="s">
        <v>0</v>
      </c>
      <c r="B530" s="132"/>
      <c r="D530" s="496">
        <v>244</v>
      </c>
      <c r="E530" s="27"/>
      <c r="F530" s="1308" t="str">
        <f t="shared" si="17"/>
        <v/>
      </c>
      <c r="G530" s="1308"/>
      <c r="H530" s="1306"/>
      <c r="I530" s="1306"/>
      <c r="J530" s="510" t="str">
        <f>IF(H530="","",INDEX(C_FuelStreams!BM:BM,MATCH(H530,C_FuelStreams!BI:BI,0)))</f>
        <v/>
      </c>
      <c r="K530" s="511" t="str">
        <f>IF(H530="","",SUMIFS(C_FuelStreams!BL:BL,C_FuelStreams!BI:BI,H530))</f>
        <v/>
      </c>
      <c r="L530" s="28"/>
      <c r="M530" s="28"/>
      <c r="N530" s="512" t="str">
        <f t="shared" si="16"/>
        <v/>
      </c>
      <c r="O530" s="142"/>
      <c r="P530" s="115"/>
      <c r="R530" s="513" t="str">
        <f>IF(H530="","",SUMIFS(C_FuelStreams!BK:BK,C_FuelStreams!BI:BI,H530))</f>
        <v/>
      </c>
      <c r="S530" s="513" t="str">
        <f>IF(H530="","",SUMIFS(C_FuelStreams!CP:CP,C_FuelStreams!BI:BI,H530))</f>
        <v/>
      </c>
      <c r="T530" s="513" t="str">
        <f t="shared" si="18"/>
        <v/>
      </c>
      <c r="X530" s="514" t="b">
        <f t="shared" si="19"/>
        <v>0</v>
      </c>
    </row>
    <row r="531" spans="1:24" ht="12.75" hidden="1" customHeight="1" x14ac:dyDescent="0.25">
      <c r="A531" s="113" t="s">
        <v>0</v>
      </c>
      <c r="B531" s="132"/>
      <c r="D531" s="496">
        <v>245</v>
      </c>
      <c r="E531" s="27"/>
      <c r="F531" s="1308" t="str">
        <f t="shared" si="17"/>
        <v/>
      </c>
      <c r="G531" s="1308"/>
      <c r="H531" s="1306"/>
      <c r="I531" s="1306"/>
      <c r="J531" s="510" t="str">
        <f>IF(H531="","",INDEX(C_FuelStreams!BM:BM,MATCH(H531,C_FuelStreams!BI:BI,0)))</f>
        <v/>
      </c>
      <c r="K531" s="511" t="str">
        <f>IF(H531="","",SUMIFS(C_FuelStreams!BL:BL,C_FuelStreams!BI:BI,H531))</f>
        <v/>
      </c>
      <c r="L531" s="28"/>
      <c r="M531" s="28"/>
      <c r="N531" s="512" t="str">
        <f t="shared" si="16"/>
        <v/>
      </c>
      <c r="O531" s="142"/>
      <c r="P531" s="115"/>
      <c r="R531" s="513" t="str">
        <f>IF(H531="","",SUMIFS(C_FuelStreams!BK:BK,C_FuelStreams!BI:BI,H531))</f>
        <v/>
      </c>
      <c r="S531" s="513" t="str">
        <f>IF(H531="","",SUMIFS(C_FuelStreams!CP:CP,C_FuelStreams!BI:BI,H531))</f>
        <v/>
      </c>
      <c r="T531" s="513" t="str">
        <f t="shared" si="18"/>
        <v/>
      </c>
      <c r="X531" s="514" t="b">
        <f t="shared" si="19"/>
        <v>0</v>
      </c>
    </row>
    <row r="532" spans="1:24" ht="12.75" hidden="1" customHeight="1" x14ac:dyDescent="0.25">
      <c r="A532" s="113" t="s">
        <v>0</v>
      </c>
      <c r="B532" s="132"/>
      <c r="D532" s="496">
        <v>246</v>
      </c>
      <c r="E532" s="27"/>
      <c r="F532" s="1308" t="str">
        <f t="shared" si="17"/>
        <v/>
      </c>
      <c r="G532" s="1308"/>
      <c r="H532" s="1306"/>
      <c r="I532" s="1306"/>
      <c r="J532" s="510" t="str">
        <f>IF(H532="","",INDEX(C_FuelStreams!BM:BM,MATCH(H532,C_FuelStreams!BI:BI,0)))</f>
        <v/>
      </c>
      <c r="K532" s="511" t="str">
        <f>IF(H532="","",SUMIFS(C_FuelStreams!BL:BL,C_FuelStreams!BI:BI,H532))</f>
        <v/>
      </c>
      <c r="L532" s="28"/>
      <c r="M532" s="28"/>
      <c r="N532" s="512" t="str">
        <f t="shared" si="16"/>
        <v/>
      </c>
      <c r="O532" s="142"/>
      <c r="P532" s="115"/>
      <c r="R532" s="513" t="str">
        <f>IF(H532="","",SUMIFS(C_FuelStreams!BK:BK,C_FuelStreams!BI:BI,H532))</f>
        <v/>
      </c>
      <c r="S532" s="513" t="str">
        <f>IF(H532="","",SUMIFS(C_FuelStreams!CP:CP,C_FuelStreams!BI:BI,H532))</f>
        <v/>
      </c>
      <c r="T532" s="513" t="str">
        <f t="shared" si="18"/>
        <v/>
      </c>
      <c r="X532" s="514" t="b">
        <f t="shared" si="19"/>
        <v>0</v>
      </c>
    </row>
    <row r="533" spans="1:24" ht="12.75" hidden="1" customHeight="1" x14ac:dyDescent="0.25">
      <c r="A533" s="113" t="s">
        <v>0</v>
      </c>
      <c r="B533" s="132"/>
      <c r="D533" s="496">
        <v>247</v>
      </c>
      <c r="E533" s="27"/>
      <c r="F533" s="1308" t="str">
        <f t="shared" si="17"/>
        <v/>
      </c>
      <c r="G533" s="1308"/>
      <c r="H533" s="1306"/>
      <c r="I533" s="1306"/>
      <c r="J533" s="510" t="str">
        <f>IF(H533="","",INDEX(C_FuelStreams!BM:BM,MATCH(H533,C_FuelStreams!BI:BI,0)))</f>
        <v/>
      </c>
      <c r="K533" s="511" t="str">
        <f>IF(H533="","",SUMIFS(C_FuelStreams!BL:BL,C_FuelStreams!BI:BI,H533))</f>
        <v/>
      </c>
      <c r="L533" s="28"/>
      <c r="M533" s="28"/>
      <c r="N533" s="512" t="str">
        <f t="shared" si="16"/>
        <v/>
      </c>
      <c r="O533" s="142"/>
      <c r="P533" s="115"/>
      <c r="R533" s="513" t="str">
        <f>IF(H533="","",SUMIFS(C_FuelStreams!BK:BK,C_FuelStreams!BI:BI,H533))</f>
        <v/>
      </c>
      <c r="S533" s="513" t="str">
        <f>IF(H533="","",SUMIFS(C_FuelStreams!CP:CP,C_FuelStreams!BI:BI,H533))</f>
        <v/>
      </c>
      <c r="T533" s="513" t="str">
        <f t="shared" si="18"/>
        <v/>
      </c>
      <c r="X533" s="514" t="b">
        <f t="shared" si="19"/>
        <v>0</v>
      </c>
    </row>
    <row r="534" spans="1:24" ht="12.75" hidden="1" customHeight="1" x14ac:dyDescent="0.25">
      <c r="A534" s="113" t="s">
        <v>0</v>
      </c>
      <c r="B534" s="132"/>
      <c r="D534" s="496">
        <v>248</v>
      </c>
      <c r="E534" s="27"/>
      <c r="F534" s="1308" t="str">
        <f t="shared" si="17"/>
        <v/>
      </c>
      <c r="G534" s="1308"/>
      <c r="H534" s="1306"/>
      <c r="I534" s="1306"/>
      <c r="J534" s="510" t="str">
        <f>IF(H534="","",INDEX(C_FuelStreams!BM:BM,MATCH(H534,C_FuelStreams!BI:BI,0)))</f>
        <v/>
      </c>
      <c r="K534" s="511" t="str">
        <f>IF(H534="","",SUMIFS(C_FuelStreams!BL:BL,C_FuelStreams!BI:BI,H534))</f>
        <v/>
      </c>
      <c r="L534" s="28"/>
      <c r="M534" s="28"/>
      <c r="N534" s="512" t="str">
        <f t="shared" si="16"/>
        <v/>
      </c>
      <c r="O534" s="142"/>
      <c r="P534" s="115"/>
      <c r="R534" s="513" t="str">
        <f>IF(H534="","",SUMIFS(C_FuelStreams!BK:BK,C_FuelStreams!BI:BI,H534))</f>
        <v/>
      </c>
      <c r="S534" s="513" t="str">
        <f>IF(H534="","",SUMIFS(C_FuelStreams!CP:CP,C_FuelStreams!BI:BI,H534))</f>
        <v/>
      </c>
      <c r="T534" s="513" t="str">
        <f t="shared" si="18"/>
        <v/>
      </c>
      <c r="X534" s="514" t="b">
        <f t="shared" si="19"/>
        <v>0</v>
      </c>
    </row>
    <row r="535" spans="1:24" ht="12.75" hidden="1" customHeight="1" x14ac:dyDescent="0.25">
      <c r="A535" s="113" t="s">
        <v>0</v>
      </c>
      <c r="B535" s="132"/>
      <c r="D535" s="496">
        <v>249</v>
      </c>
      <c r="E535" s="27"/>
      <c r="F535" s="1308" t="str">
        <f t="shared" si="17"/>
        <v/>
      </c>
      <c r="G535" s="1308"/>
      <c r="H535" s="1306"/>
      <c r="I535" s="1306"/>
      <c r="J535" s="510" t="str">
        <f>IF(H535="","",INDEX(C_FuelStreams!BM:BM,MATCH(H535,C_FuelStreams!BI:BI,0)))</f>
        <v/>
      </c>
      <c r="K535" s="511" t="str">
        <f>IF(H535="","",SUMIFS(C_FuelStreams!BL:BL,C_FuelStreams!BI:BI,H535))</f>
        <v/>
      </c>
      <c r="L535" s="28"/>
      <c r="M535" s="28"/>
      <c r="N535" s="512" t="str">
        <f t="shared" si="16"/>
        <v/>
      </c>
      <c r="O535" s="142"/>
      <c r="P535" s="115"/>
      <c r="R535" s="513" t="str">
        <f>IF(H535="","",SUMIFS(C_FuelStreams!BK:BK,C_FuelStreams!BI:BI,H535))</f>
        <v/>
      </c>
      <c r="S535" s="513" t="str">
        <f>IF(H535="","",SUMIFS(C_FuelStreams!CP:CP,C_FuelStreams!BI:BI,H535))</f>
        <v/>
      </c>
      <c r="T535" s="513" t="str">
        <f t="shared" si="18"/>
        <v/>
      </c>
      <c r="X535" s="514" t="b">
        <f t="shared" si="19"/>
        <v>0</v>
      </c>
    </row>
    <row r="536" spans="1:24" ht="12.75" hidden="1" customHeight="1" x14ac:dyDescent="0.25">
      <c r="A536" s="113" t="s">
        <v>0</v>
      </c>
      <c r="B536" s="132"/>
      <c r="D536" s="496">
        <v>250</v>
      </c>
      <c r="E536" s="27"/>
      <c r="F536" s="1308" t="str">
        <f>IF(E536="","",INDEX($G$30:$G$279,MATCH(E536,$R$30:$R$279,0)))</f>
        <v/>
      </c>
      <c r="G536" s="1308"/>
      <c r="H536" s="1306"/>
      <c r="I536" s="1306"/>
      <c r="J536" s="510" t="str">
        <f>IF(H536="","",INDEX(C_FuelStreams!BM:BM,MATCH(H536,C_FuelStreams!BI:BI,0)))</f>
        <v/>
      </c>
      <c r="K536" s="511" t="str">
        <f>IF(H536="","",SUMIFS(C_FuelStreams!BL:BL,C_FuelStreams!BI:BI,H536))</f>
        <v/>
      </c>
      <c r="L536" s="28"/>
      <c r="M536" s="28"/>
      <c r="N536" s="512" t="str">
        <f t="shared" si="16"/>
        <v/>
      </c>
      <c r="O536" s="142"/>
      <c r="P536" s="115"/>
      <c r="R536" s="513" t="str">
        <f>IF(H536="","",SUMIFS(C_FuelStreams!BK:BK,C_FuelStreams!BI:BI,H536))</f>
        <v/>
      </c>
      <c r="S536" s="513" t="str">
        <f>IF(H536="","",SUMIFS(C_FuelStreams!CP:CP,C_FuelStreams!BI:BI,H536))</f>
        <v/>
      </c>
      <c r="T536" s="513" t="str">
        <f t="shared" si="3"/>
        <v/>
      </c>
      <c r="X536" s="514" t="b">
        <f>AND(COUNTA($E$30:$E$279)&gt;0,E536="")</f>
        <v>0</v>
      </c>
    </row>
    <row r="537" spans="1:24" ht="12.75" customHeight="1" x14ac:dyDescent="0.25">
      <c r="B537" s="132"/>
      <c r="C537" s="132"/>
      <c r="D537" s="132"/>
      <c r="E537" s="191"/>
      <c r="F537" s="116"/>
      <c r="G537" s="116"/>
      <c r="H537" s="116"/>
      <c r="I537" s="116"/>
      <c r="J537" s="116"/>
      <c r="K537" s="116"/>
      <c r="L537" s="116"/>
      <c r="M537" s="116"/>
      <c r="N537" s="132"/>
      <c r="O537" s="142"/>
      <c r="P537" s="115"/>
    </row>
    <row r="538" spans="1:24" ht="12.75" customHeight="1" x14ac:dyDescent="0.25">
      <c r="B538" s="132"/>
      <c r="C538" s="132"/>
      <c r="D538" s="295" t="s">
        <v>11</v>
      </c>
      <c r="E538" s="1103" t="str">
        <f>Translations!$B$443</f>
        <v>Name and address of intermediary consumers, if relevant and available</v>
      </c>
      <c r="F538" s="1309"/>
      <c r="G538" s="1309"/>
      <c r="H538" s="1309"/>
      <c r="I538" s="1309"/>
      <c r="J538" s="1309"/>
      <c r="K538" s="1309"/>
      <c r="L538" s="1309"/>
      <c r="M538" s="1309"/>
      <c r="N538" s="1309"/>
      <c r="O538" s="142"/>
      <c r="P538" s="115"/>
    </row>
    <row r="539" spans="1:24" ht="5.15" customHeight="1" x14ac:dyDescent="0.25">
      <c r="B539" s="132"/>
      <c r="C539" s="132"/>
      <c r="D539" s="132"/>
      <c r="E539" s="191"/>
      <c r="F539" s="116"/>
      <c r="G539" s="116"/>
      <c r="H539" s="116"/>
      <c r="I539" s="116"/>
      <c r="J539" s="116"/>
      <c r="K539" s="116"/>
      <c r="L539" s="116"/>
      <c r="M539" s="116"/>
      <c r="N539" s="132"/>
      <c r="O539" s="142"/>
      <c r="P539" s="115"/>
    </row>
    <row r="540" spans="1:24" ht="51" customHeight="1" x14ac:dyDescent="0.25">
      <c r="B540" s="132"/>
      <c r="C540" s="132"/>
      <c r="D540" s="132"/>
      <c r="E540" s="489" t="str">
        <f>Translations!$B$415</f>
        <v>ETS1 Unique ID</v>
      </c>
      <c r="F540" s="1290" t="str">
        <f>Translations!$B$420</f>
        <v>Fuel stream</v>
      </c>
      <c r="G540" s="1290"/>
      <c r="H540" s="246" t="str">
        <f>Translations!$B$444</f>
        <v>Name and address; intermediary consumer 1</v>
      </c>
      <c r="I540" s="246" t="str">
        <f>Translations!$B$445</f>
        <v>Name and address; intermediary consumer 2</v>
      </c>
      <c r="J540" s="246" t="str">
        <f>Translations!$B$446</f>
        <v>Name and address; intermediary consumer 3</v>
      </c>
      <c r="K540" s="246" t="str">
        <f>Translations!$B$447</f>
        <v>Name and address; intermediary consumer 4</v>
      </c>
      <c r="L540" s="246" t="str">
        <f>Translations!$B$448</f>
        <v>Name and address; intermediary consumer 5</v>
      </c>
      <c r="M540" s="246" t="str">
        <f>Translations!$B$449</f>
        <v>Name and address; intermediary consumer 6</v>
      </c>
      <c r="N540" s="246" t="str">
        <f>Translations!$B$450</f>
        <v>Name and address; intermediary consumer 7</v>
      </c>
      <c r="O540" s="142"/>
      <c r="P540" s="115"/>
    </row>
    <row r="541" spans="1:24" x14ac:dyDescent="0.25">
      <c r="B541" s="132"/>
      <c r="C541" s="132"/>
      <c r="D541" s="496">
        <v>1</v>
      </c>
      <c r="E541" s="515" t="str">
        <f t="shared" ref="E541:E559" si="20">IF(E287="","",E287)</f>
        <v/>
      </c>
      <c r="F541" s="1310" t="str">
        <f t="shared" ref="F541:F559" si="21">IF(H287="","",H287)</f>
        <v/>
      </c>
      <c r="G541" s="1310"/>
      <c r="H541" s="36"/>
      <c r="I541" s="36"/>
      <c r="J541" s="36"/>
      <c r="K541" s="36"/>
      <c r="L541" s="36"/>
      <c r="M541" s="36"/>
      <c r="N541" s="36"/>
      <c r="O541" s="142"/>
      <c r="P541" s="115"/>
      <c r="X541" s="514" t="b">
        <f>AND(COUNTA($E$30:$E$279)&gt;0,E541="")</f>
        <v>0</v>
      </c>
    </row>
    <row r="542" spans="1:24" x14ac:dyDescent="0.25">
      <c r="B542" s="132"/>
      <c r="C542" s="132"/>
      <c r="D542" s="496">
        <v>2</v>
      </c>
      <c r="E542" s="515" t="str">
        <f t="shared" si="20"/>
        <v/>
      </c>
      <c r="F542" s="1308" t="str">
        <f t="shared" si="21"/>
        <v/>
      </c>
      <c r="G542" s="1308"/>
      <c r="H542" s="36"/>
      <c r="I542" s="36"/>
      <c r="J542" s="36"/>
      <c r="K542" s="36"/>
      <c r="L542" s="36"/>
      <c r="M542" s="36"/>
      <c r="N542" s="36"/>
      <c r="O542" s="142"/>
      <c r="P542" s="115"/>
      <c r="X542" s="514" t="b">
        <f t="shared" ref="X542:X790" si="22">AND(COUNTA($E$30:$E$279)&gt;0,E542="")</f>
        <v>0</v>
      </c>
    </row>
    <row r="543" spans="1:24" x14ac:dyDescent="0.25">
      <c r="B543" s="132"/>
      <c r="C543" s="132"/>
      <c r="D543" s="496">
        <v>3</v>
      </c>
      <c r="E543" s="515" t="str">
        <f t="shared" si="20"/>
        <v/>
      </c>
      <c r="F543" s="1308" t="str">
        <f t="shared" si="21"/>
        <v/>
      </c>
      <c r="G543" s="1308"/>
      <c r="H543" s="36"/>
      <c r="I543" s="36"/>
      <c r="J543" s="36"/>
      <c r="K543" s="36"/>
      <c r="L543" s="36"/>
      <c r="M543" s="36"/>
      <c r="N543" s="36"/>
      <c r="O543" s="142"/>
      <c r="P543" s="115"/>
      <c r="X543" s="514" t="b">
        <f t="shared" si="22"/>
        <v>0</v>
      </c>
    </row>
    <row r="544" spans="1:24" x14ac:dyDescent="0.25">
      <c r="B544" s="132"/>
      <c r="C544" s="132"/>
      <c r="D544" s="496">
        <v>4</v>
      </c>
      <c r="E544" s="515" t="str">
        <f t="shared" si="20"/>
        <v/>
      </c>
      <c r="F544" s="1308" t="str">
        <f t="shared" si="21"/>
        <v/>
      </c>
      <c r="G544" s="1308"/>
      <c r="H544" s="36"/>
      <c r="I544" s="36"/>
      <c r="J544" s="36"/>
      <c r="K544" s="36"/>
      <c r="L544" s="36"/>
      <c r="M544" s="36"/>
      <c r="N544" s="36"/>
      <c r="O544" s="142"/>
      <c r="P544" s="115"/>
      <c r="X544" s="514" t="b">
        <f t="shared" si="22"/>
        <v>0</v>
      </c>
    </row>
    <row r="545" spans="2:24" x14ac:dyDescent="0.25">
      <c r="B545" s="132"/>
      <c r="C545" s="132"/>
      <c r="D545" s="496">
        <v>5</v>
      </c>
      <c r="E545" s="515" t="str">
        <f t="shared" si="20"/>
        <v/>
      </c>
      <c r="F545" s="1308" t="str">
        <f t="shared" si="21"/>
        <v/>
      </c>
      <c r="G545" s="1308"/>
      <c r="H545" s="36"/>
      <c r="I545" s="36"/>
      <c r="J545" s="36"/>
      <c r="K545" s="36"/>
      <c r="L545" s="36"/>
      <c r="M545" s="36"/>
      <c r="N545" s="36"/>
      <c r="O545" s="142"/>
      <c r="P545" s="115"/>
      <c r="X545" s="514" t="b">
        <f t="shared" si="22"/>
        <v>0</v>
      </c>
    </row>
    <row r="546" spans="2:24" x14ac:dyDescent="0.25">
      <c r="B546" s="132"/>
      <c r="C546" s="132"/>
      <c r="D546" s="496">
        <v>6</v>
      </c>
      <c r="E546" s="515" t="str">
        <f t="shared" si="20"/>
        <v/>
      </c>
      <c r="F546" s="1308" t="str">
        <f t="shared" si="21"/>
        <v/>
      </c>
      <c r="G546" s="1308"/>
      <c r="H546" s="36"/>
      <c r="I546" s="36"/>
      <c r="J546" s="36"/>
      <c r="K546" s="36"/>
      <c r="L546" s="36"/>
      <c r="M546" s="36"/>
      <c r="N546" s="36"/>
      <c r="O546" s="142"/>
      <c r="P546" s="115"/>
      <c r="X546" s="514" t="b">
        <f t="shared" si="22"/>
        <v>0</v>
      </c>
    </row>
    <row r="547" spans="2:24" x14ac:dyDescent="0.25">
      <c r="B547" s="132"/>
      <c r="C547" s="132"/>
      <c r="D547" s="496">
        <v>7</v>
      </c>
      <c r="E547" s="515" t="str">
        <f t="shared" si="20"/>
        <v/>
      </c>
      <c r="F547" s="1308" t="str">
        <f t="shared" si="21"/>
        <v/>
      </c>
      <c r="G547" s="1308"/>
      <c r="H547" s="36"/>
      <c r="I547" s="36"/>
      <c r="J547" s="36"/>
      <c r="K547" s="36"/>
      <c r="L547" s="36"/>
      <c r="M547" s="36"/>
      <c r="N547" s="36"/>
      <c r="O547" s="142"/>
      <c r="P547" s="115"/>
      <c r="X547" s="514" t="b">
        <f t="shared" si="22"/>
        <v>0</v>
      </c>
    </row>
    <row r="548" spans="2:24" x14ac:dyDescent="0.25">
      <c r="B548" s="132"/>
      <c r="C548" s="132"/>
      <c r="D548" s="496">
        <v>8</v>
      </c>
      <c r="E548" s="515" t="str">
        <f t="shared" si="20"/>
        <v/>
      </c>
      <c r="F548" s="1308" t="str">
        <f t="shared" si="21"/>
        <v/>
      </c>
      <c r="G548" s="1308"/>
      <c r="H548" s="36"/>
      <c r="I548" s="36"/>
      <c r="J548" s="36"/>
      <c r="K548" s="36"/>
      <c r="L548" s="36"/>
      <c r="M548" s="36"/>
      <c r="N548" s="36"/>
      <c r="O548" s="142"/>
      <c r="P548" s="115"/>
      <c r="X548" s="514" t="b">
        <f t="shared" si="22"/>
        <v>0</v>
      </c>
    </row>
    <row r="549" spans="2:24" x14ac:dyDescent="0.25">
      <c r="B549" s="132"/>
      <c r="C549" s="132"/>
      <c r="D549" s="496">
        <v>9</v>
      </c>
      <c r="E549" s="515" t="str">
        <f t="shared" si="20"/>
        <v/>
      </c>
      <c r="F549" s="1308" t="str">
        <f t="shared" si="21"/>
        <v/>
      </c>
      <c r="G549" s="1308"/>
      <c r="H549" s="36"/>
      <c r="I549" s="36"/>
      <c r="J549" s="36"/>
      <c r="K549" s="36"/>
      <c r="L549" s="36"/>
      <c r="M549" s="36"/>
      <c r="N549" s="36"/>
      <c r="O549" s="142"/>
      <c r="P549" s="115"/>
      <c r="X549" s="514" t="b">
        <f t="shared" si="22"/>
        <v>0</v>
      </c>
    </row>
    <row r="550" spans="2:24" x14ac:dyDescent="0.25">
      <c r="B550" s="132"/>
      <c r="C550" s="132"/>
      <c r="D550" s="496">
        <v>10</v>
      </c>
      <c r="E550" s="515" t="str">
        <f t="shared" si="20"/>
        <v/>
      </c>
      <c r="F550" s="1308" t="str">
        <f t="shared" si="21"/>
        <v/>
      </c>
      <c r="G550" s="1308"/>
      <c r="H550" s="36"/>
      <c r="I550" s="36"/>
      <c r="J550" s="36"/>
      <c r="K550" s="36"/>
      <c r="L550" s="36"/>
      <c r="M550" s="36"/>
      <c r="N550" s="36"/>
      <c r="O550" s="142"/>
      <c r="P550" s="115"/>
      <c r="X550" s="514" t="b">
        <f t="shared" si="22"/>
        <v>0</v>
      </c>
    </row>
    <row r="551" spans="2:24" x14ac:dyDescent="0.25">
      <c r="B551" s="132"/>
      <c r="C551" s="132"/>
      <c r="D551" s="496">
        <v>11</v>
      </c>
      <c r="E551" s="515" t="str">
        <f t="shared" si="20"/>
        <v/>
      </c>
      <c r="F551" s="1308" t="str">
        <f t="shared" si="21"/>
        <v/>
      </c>
      <c r="G551" s="1308"/>
      <c r="H551" s="36"/>
      <c r="I551" s="36"/>
      <c r="J551" s="36"/>
      <c r="K551" s="36"/>
      <c r="L551" s="36"/>
      <c r="M551" s="36"/>
      <c r="N551" s="36"/>
      <c r="O551" s="142"/>
      <c r="P551" s="115"/>
      <c r="X551" s="514" t="b">
        <f t="shared" si="22"/>
        <v>0</v>
      </c>
    </row>
    <row r="552" spans="2:24" x14ac:dyDescent="0.25">
      <c r="B552" s="132"/>
      <c r="C552" s="132"/>
      <c r="D552" s="496">
        <v>12</v>
      </c>
      <c r="E552" s="515" t="str">
        <f t="shared" si="20"/>
        <v/>
      </c>
      <c r="F552" s="1308" t="str">
        <f t="shared" si="21"/>
        <v/>
      </c>
      <c r="G552" s="1308"/>
      <c r="H552" s="36"/>
      <c r="I552" s="36"/>
      <c r="J552" s="36"/>
      <c r="K552" s="36"/>
      <c r="L552" s="36"/>
      <c r="M552" s="36"/>
      <c r="N552" s="36"/>
      <c r="O552" s="142"/>
      <c r="P552" s="115"/>
      <c r="X552" s="514" t="b">
        <f t="shared" si="22"/>
        <v>0</v>
      </c>
    </row>
    <row r="553" spans="2:24" x14ac:dyDescent="0.25">
      <c r="B553" s="132"/>
      <c r="C553" s="132"/>
      <c r="D553" s="496">
        <v>13</v>
      </c>
      <c r="E553" s="515" t="str">
        <f t="shared" si="20"/>
        <v/>
      </c>
      <c r="F553" s="1308" t="str">
        <f t="shared" si="21"/>
        <v/>
      </c>
      <c r="G553" s="1308"/>
      <c r="H553" s="36"/>
      <c r="I553" s="36"/>
      <c r="J553" s="36"/>
      <c r="K553" s="36"/>
      <c r="L553" s="36"/>
      <c r="M553" s="36"/>
      <c r="N553" s="36"/>
      <c r="O553" s="142"/>
      <c r="P553" s="115"/>
      <c r="X553" s="514" t="b">
        <f t="shared" si="22"/>
        <v>0</v>
      </c>
    </row>
    <row r="554" spans="2:24" x14ac:dyDescent="0.25">
      <c r="B554" s="132"/>
      <c r="C554" s="132"/>
      <c r="D554" s="496">
        <v>14</v>
      </c>
      <c r="E554" s="515" t="str">
        <f t="shared" si="20"/>
        <v/>
      </c>
      <c r="F554" s="1308" t="str">
        <f t="shared" si="21"/>
        <v/>
      </c>
      <c r="G554" s="1308"/>
      <c r="H554" s="36"/>
      <c r="I554" s="36"/>
      <c r="J554" s="36"/>
      <c r="K554" s="36"/>
      <c r="L554" s="36"/>
      <c r="M554" s="36"/>
      <c r="N554" s="36"/>
      <c r="O554" s="142"/>
      <c r="P554" s="115"/>
      <c r="X554" s="514" t="b">
        <f t="shared" si="22"/>
        <v>0</v>
      </c>
    </row>
    <row r="555" spans="2:24" x14ac:dyDescent="0.25">
      <c r="B555" s="132"/>
      <c r="C555" s="132"/>
      <c r="D555" s="496">
        <v>15</v>
      </c>
      <c r="E555" s="515" t="str">
        <f t="shared" si="20"/>
        <v/>
      </c>
      <c r="F555" s="1308" t="str">
        <f t="shared" si="21"/>
        <v/>
      </c>
      <c r="G555" s="1308"/>
      <c r="H555" s="36"/>
      <c r="I555" s="36"/>
      <c r="J555" s="36"/>
      <c r="K555" s="36"/>
      <c r="L555" s="36"/>
      <c r="M555" s="36"/>
      <c r="N555" s="36"/>
      <c r="O555" s="142"/>
      <c r="P555" s="115"/>
      <c r="X555" s="514" t="b">
        <f t="shared" si="22"/>
        <v>0</v>
      </c>
    </row>
    <row r="556" spans="2:24" x14ac:dyDescent="0.25">
      <c r="B556" s="132"/>
      <c r="C556" s="132"/>
      <c r="D556" s="496">
        <v>16</v>
      </c>
      <c r="E556" s="515" t="str">
        <f t="shared" si="20"/>
        <v/>
      </c>
      <c r="F556" s="1308" t="str">
        <f t="shared" si="21"/>
        <v/>
      </c>
      <c r="G556" s="1308"/>
      <c r="H556" s="36"/>
      <c r="I556" s="36"/>
      <c r="J556" s="36"/>
      <c r="K556" s="36"/>
      <c r="L556" s="36"/>
      <c r="M556" s="36"/>
      <c r="N556" s="36"/>
      <c r="O556" s="142"/>
      <c r="P556" s="115"/>
      <c r="X556" s="514" t="b">
        <f t="shared" si="22"/>
        <v>0</v>
      </c>
    </row>
    <row r="557" spans="2:24" x14ac:dyDescent="0.25">
      <c r="B557" s="132"/>
      <c r="C557" s="132"/>
      <c r="D557" s="496">
        <v>17</v>
      </c>
      <c r="E557" s="515" t="str">
        <f t="shared" si="20"/>
        <v/>
      </c>
      <c r="F557" s="1308" t="str">
        <f t="shared" si="21"/>
        <v/>
      </c>
      <c r="G557" s="1308"/>
      <c r="H557" s="36"/>
      <c r="I557" s="36"/>
      <c r="J557" s="36"/>
      <c r="K557" s="36"/>
      <c r="L557" s="36"/>
      <c r="M557" s="36"/>
      <c r="N557" s="36"/>
      <c r="O557" s="142"/>
      <c r="P557" s="115"/>
      <c r="X557" s="514" t="b">
        <f t="shared" si="22"/>
        <v>0</v>
      </c>
    </row>
    <row r="558" spans="2:24" x14ac:dyDescent="0.25">
      <c r="B558" s="132"/>
      <c r="C558" s="132"/>
      <c r="D558" s="496">
        <v>18</v>
      </c>
      <c r="E558" s="515" t="str">
        <f t="shared" si="20"/>
        <v/>
      </c>
      <c r="F558" s="1308" t="str">
        <f t="shared" si="21"/>
        <v/>
      </c>
      <c r="G558" s="1308"/>
      <c r="H558" s="36"/>
      <c r="I558" s="36"/>
      <c r="J558" s="36"/>
      <c r="K558" s="36"/>
      <c r="L558" s="36"/>
      <c r="M558" s="36"/>
      <c r="N558" s="36"/>
      <c r="O558" s="142"/>
      <c r="P558" s="115"/>
      <c r="X558" s="514" t="b">
        <f t="shared" si="22"/>
        <v>0</v>
      </c>
    </row>
    <row r="559" spans="2:24" x14ac:dyDescent="0.25">
      <c r="B559" s="132"/>
      <c r="C559" s="132"/>
      <c r="D559" s="496">
        <v>19</v>
      </c>
      <c r="E559" s="515" t="str">
        <f t="shared" si="20"/>
        <v/>
      </c>
      <c r="F559" s="1308" t="str">
        <f t="shared" si="21"/>
        <v/>
      </c>
      <c r="G559" s="1308"/>
      <c r="H559" s="36"/>
      <c r="I559" s="36"/>
      <c r="J559" s="36"/>
      <c r="K559" s="36"/>
      <c r="L559" s="36"/>
      <c r="M559" s="36"/>
      <c r="N559" s="36"/>
      <c r="O559" s="142"/>
      <c r="P559" s="115"/>
      <c r="X559" s="514" t="b">
        <f t="shared" si="22"/>
        <v>0</v>
      </c>
    </row>
    <row r="560" spans="2:24" x14ac:dyDescent="0.25">
      <c r="B560" s="132"/>
      <c r="C560" s="132"/>
      <c r="D560" s="496">
        <v>20</v>
      </c>
      <c r="E560" s="515" t="str">
        <f t="shared" ref="E560:E623" si="23">IF(E306="","",E306)</f>
        <v/>
      </c>
      <c r="F560" s="1308" t="str">
        <f t="shared" ref="F560:F623" si="24">IF(H306="","",H306)</f>
        <v/>
      </c>
      <c r="G560" s="1308"/>
      <c r="H560" s="36"/>
      <c r="I560" s="36"/>
      <c r="J560" s="36"/>
      <c r="K560" s="36"/>
      <c r="L560" s="36"/>
      <c r="M560" s="36"/>
      <c r="N560" s="36"/>
      <c r="O560" s="142"/>
      <c r="P560" s="115"/>
      <c r="X560" s="514" t="b">
        <f t="shared" ref="X560:X623" si="25">AND(COUNTA($E$30:$E$279)&gt;0,E560="")</f>
        <v>0</v>
      </c>
    </row>
    <row r="561" spans="1:24" hidden="1" x14ac:dyDescent="0.25">
      <c r="A561" s="113" t="s">
        <v>0</v>
      </c>
      <c r="B561" s="132"/>
      <c r="C561" s="132"/>
      <c r="D561" s="496">
        <v>21</v>
      </c>
      <c r="E561" s="515" t="str">
        <f t="shared" si="23"/>
        <v/>
      </c>
      <c r="F561" s="1308" t="str">
        <f t="shared" si="24"/>
        <v/>
      </c>
      <c r="G561" s="1308"/>
      <c r="H561" s="36"/>
      <c r="I561" s="36"/>
      <c r="J561" s="36"/>
      <c r="K561" s="36"/>
      <c r="L561" s="36"/>
      <c r="M561" s="36"/>
      <c r="N561" s="36"/>
      <c r="O561" s="142"/>
      <c r="P561" s="115"/>
      <c r="X561" s="514" t="b">
        <f t="shared" si="25"/>
        <v>0</v>
      </c>
    </row>
    <row r="562" spans="1:24" hidden="1" x14ac:dyDescent="0.25">
      <c r="A562" s="113" t="s">
        <v>0</v>
      </c>
      <c r="B562" s="132"/>
      <c r="C562" s="132"/>
      <c r="D562" s="496">
        <v>22</v>
      </c>
      <c r="E562" s="515" t="str">
        <f t="shared" si="23"/>
        <v/>
      </c>
      <c r="F562" s="1308" t="str">
        <f t="shared" si="24"/>
        <v/>
      </c>
      <c r="G562" s="1308"/>
      <c r="H562" s="36"/>
      <c r="I562" s="36"/>
      <c r="J562" s="36"/>
      <c r="K562" s="36"/>
      <c r="L562" s="36"/>
      <c r="M562" s="36"/>
      <c r="N562" s="36"/>
      <c r="O562" s="142"/>
      <c r="P562" s="115"/>
      <c r="X562" s="514" t="b">
        <f t="shared" si="25"/>
        <v>0</v>
      </c>
    </row>
    <row r="563" spans="1:24" hidden="1" x14ac:dyDescent="0.25">
      <c r="A563" s="113" t="s">
        <v>0</v>
      </c>
      <c r="B563" s="132"/>
      <c r="C563" s="132"/>
      <c r="D563" s="496">
        <v>23</v>
      </c>
      <c r="E563" s="515" t="str">
        <f t="shared" si="23"/>
        <v/>
      </c>
      <c r="F563" s="1308" t="str">
        <f t="shared" si="24"/>
        <v/>
      </c>
      <c r="G563" s="1308"/>
      <c r="H563" s="36"/>
      <c r="I563" s="36"/>
      <c r="J563" s="36"/>
      <c r="K563" s="36"/>
      <c r="L563" s="36"/>
      <c r="M563" s="36"/>
      <c r="N563" s="36"/>
      <c r="O563" s="142"/>
      <c r="P563" s="115"/>
      <c r="X563" s="514" t="b">
        <f t="shared" si="25"/>
        <v>0</v>
      </c>
    </row>
    <row r="564" spans="1:24" hidden="1" x14ac:dyDescent="0.25">
      <c r="A564" s="113" t="s">
        <v>0</v>
      </c>
      <c r="B564" s="132"/>
      <c r="C564" s="132"/>
      <c r="D564" s="496">
        <v>24</v>
      </c>
      <c r="E564" s="515" t="str">
        <f t="shared" si="23"/>
        <v/>
      </c>
      <c r="F564" s="1308" t="str">
        <f t="shared" si="24"/>
        <v/>
      </c>
      <c r="G564" s="1308"/>
      <c r="H564" s="36"/>
      <c r="I564" s="36"/>
      <c r="J564" s="36"/>
      <c r="K564" s="36"/>
      <c r="L564" s="36"/>
      <c r="M564" s="36"/>
      <c r="N564" s="36"/>
      <c r="O564" s="142"/>
      <c r="P564" s="115"/>
      <c r="X564" s="514" t="b">
        <f t="shared" si="25"/>
        <v>0</v>
      </c>
    </row>
    <row r="565" spans="1:24" hidden="1" x14ac:dyDescent="0.25">
      <c r="A565" s="113" t="s">
        <v>0</v>
      </c>
      <c r="B565" s="132"/>
      <c r="C565" s="132"/>
      <c r="D565" s="496">
        <v>25</v>
      </c>
      <c r="E565" s="515" t="str">
        <f t="shared" si="23"/>
        <v/>
      </c>
      <c r="F565" s="1308" t="str">
        <f t="shared" si="24"/>
        <v/>
      </c>
      <c r="G565" s="1308"/>
      <c r="H565" s="36"/>
      <c r="I565" s="36"/>
      <c r="J565" s="36"/>
      <c r="K565" s="36"/>
      <c r="L565" s="36"/>
      <c r="M565" s="36"/>
      <c r="N565" s="36"/>
      <c r="O565" s="142"/>
      <c r="P565" s="115"/>
      <c r="X565" s="514" t="b">
        <f t="shared" si="25"/>
        <v>0</v>
      </c>
    </row>
    <row r="566" spans="1:24" hidden="1" x14ac:dyDescent="0.25">
      <c r="A566" s="113" t="s">
        <v>0</v>
      </c>
      <c r="B566" s="132"/>
      <c r="C566" s="132"/>
      <c r="D566" s="496">
        <v>26</v>
      </c>
      <c r="E566" s="515" t="str">
        <f t="shared" si="23"/>
        <v/>
      </c>
      <c r="F566" s="1308" t="str">
        <f t="shared" si="24"/>
        <v/>
      </c>
      <c r="G566" s="1308"/>
      <c r="H566" s="36"/>
      <c r="I566" s="36"/>
      <c r="J566" s="36"/>
      <c r="K566" s="36"/>
      <c r="L566" s="36"/>
      <c r="M566" s="36"/>
      <c r="N566" s="36"/>
      <c r="O566" s="142"/>
      <c r="P566" s="115"/>
      <c r="X566" s="514" t="b">
        <f t="shared" si="25"/>
        <v>0</v>
      </c>
    </row>
    <row r="567" spans="1:24" hidden="1" x14ac:dyDescent="0.25">
      <c r="A567" s="113" t="s">
        <v>0</v>
      </c>
      <c r="B567" s="132"/>
      <c r="C567" s="132"/>
      <c r="D567" s="496">
        <v>27</v>
      </c>
      <c r="E567" s="515" t="str">
        <f t="shared" si="23"/>
        <v/>
      </c>
      <c r="F567" s="1308" t="str">
        <f t="shared" si="24"/>
        <v/>
      </c>
      <c r="G567" s="1308"/>
      <c r="H567" s="36"/>
      <c r="I567" s="36"/>
      <c r="J567" s="36"/>
      <c r="K567" s="36"/>
      <c r="L567" s="36"/>
      <c r="M567" s="36"/>
      <c r="N567" s="36"/>
      <c r="O567" s="142"/>
      <c r="P567" s="115"/>
      <c r="X567" s="514" t="b">
        <f t="shared" si="25"/>
        <v>0</v>
      </c>
    </row>
    <row r="568" spans="1:24" hidden="1" x14ac:dyDescent="0.25">
      <c r="A568" s="113" t="s">
        <v>0</v>
      </c>
      <c r="B568" s="132"/>
      <c r="C568" s="132"/>
      <c r="D568" s="496">
        <v>28</v>
      </c>
      <c r="E568" s="515" t="str">
        <f t="shared" si="23"/>
        <v/>
      </c>
      <c r="F568" s="1308" t="str">
        <f t="shared" si="24"/>
        <v/>
      </c>
      <c r="G568" s="1308"/>
      <c r="H568" s="36"/>
      <c r="I568" s="36"/>
      <c r="J568" s="36"/>
      <c r="K568" s="36"/>
      <c r="L568" s="36"/>
      <c r="M568" s="36"/>
      <c r="N568" s="36"/>
      <c r="O568" s="142"/>
      <c r="P568" s="115"/>
      <c r="X568" s="514" t="b">
        <f t="shared" si="25"/>
        <v>0</v>
      </c>
    </row>
    <row r="569" spans="1:24" hidden="1" x14ac:dyDescent="0.25">
      <c r="A569" s="113" t="s">
        <v>0</v>
      </c>
      <c r="B569" s="132"/>
      <c r="C569" s="132"/>
      <c r="D569" s="496">
        <v>29</v>
      </c>
      <c r="E569" s="515" t="str">
        <f t="shared" si="23"/>
        <v/>
      </c>
      <c r="F569" s="1308" t="str">
        <f t="shared" si="24"/>
        <v/>
      </c>
      <c r="G569" s="1308"/>
      <c r="H569" s="36"/>
      <c r="I569" s="36"/>
      <c r="J569" s="36"/>
      <c r="K569" s="36"/>
      <c r="L569" s="36"/>
      <c r="M569" s="36"/>
      <c r="N569" s="36"/>
      <c r="O569" s="142"/>
      <c r="P569" s="115"/>
      <c r="X569" s="514" t="b">
        <f t="shared" si="25"/>
        <v>0</v>
      </c>
    </row>
    <row r="570" spans="1:24" hidden="1" x14ac:dyDescent="0.25">
      <c r="A570" s="113" t="s">
        <v>0</v>
      </c>
      <c r="B570" s="132"/>
      <c r="C570" s="132"/>
      <c r="D570" s="496">
        <v>30</v>
      </c>
      <c r="E570" s="515" t="str">
        <f t="shared" si="23"/>
        <v/>
      </c>
      <c r="F570" s="1308" t="str">
        <f t="shared" si="24"/>
        <v/>
      </c>
      <c r="G570" s="1308"/>
      <c r="H570" s="36"/>
      <c r="I570" s="36"/>
      <c r="J570" s="36"/>
      <c r="K570" s="36"/>
      <c r="L570" s="36"/>
      <c r="M570" s="36"/>
      <c r="N570" s="36"/>
      <c r="O570" s="142"/>
      <c r="P570" s="115"/>
      <c r="X570" s="514" t="b">
        <f t="shared" si="25"/>
        <v>0</v>
      </c>
    </row>
    <row r="571" spans="1:24" hidden="1" x14ac:dyDescent="0.25">
      <c r="A571" s="113" t="s">
        <v>0</v>
      </c>
      <c r="B571" s="132"/>
      <c r="C571" s="132"/>
      <c r="D571" s="496">
        <v>31</v>
      </c>
      <c r="E571" s="515" t="str">
        <f t="shared" si="23"/>
        <v/>
      </c>
      <c r="F571" s="1308" t="str">
        <f t="shared" si="24"/>
        <v/>
      </c>
      <c r="G571" s="1308"/>
      <c r="H571" s="36"/>
      <c r="I571" s="36"/>
      <c r="J571" s="36"/>
      <c r="K571" s="36"/>
      <c r="L571" s="36"/>
      <c r="M571" s="36"/>
      <c r="N571" s="36"/>
      <c r="O571" s="142"/>
      <c r="P571" s="115"/>
      <c r="X571" s="514" t="b">
        <f t="shared" si="25"/>
        <v>0</v>
      </c>
    </row>
    <row r="572" spans="1:24" hidden="1" x14ac:dyDescent="0.25">
      <c r="A572" s="113" t="s">
        <v>0</v>
      </c>
      <c r="B572" s="132"/>
      <c r="C572" s="132"/>
      <c r="D572" s="496">
        <v>32</v>
      </c>
      <c r="E572" s="515" t="str">
        <f t="shared" si="23"/>
        <v/>
      </c>
      <c r="F572" s="1308" t="str">
        <f t="shared" si="24"/>
        <v/>
      </c>
      <c r="G572" s="1308"/>
      <c r="H572" s="36"/>
      <c r="I572" s="36"/>
      <c r="J572" s="36"/>
      <c r="K572" s="36"/>
      <c r="L572" s="36"/>
      <c r="M572" s="36"/>
      <c r="N572" s="36"/>
      <c r="O572" s="142"/>
      <c r="P572" s="115"/>
      <c r="X572" s="514" t="b">
        <f t="shared" si="25"/>
        <v>0</v>
      </c>
    </row>
    <row r="573" spans="1:24" hidden="1" x14ac:dyDescent="0.25">
      <c r="A573" s="113" t="s">
        <v>0</v>
      </c>
      <c r="B573" s="132"/>
      <c r="C573" s="132"/>
      <c r="D573" s="496">
        <v>33</v>
      </c>
      <c r="E573" s="515" t="str">
        <f t="shared" si="23"/>
        <v/>
      </c>
      <c r="F573" s="1308" t="str">
        <f t="shared" si="24"/>
        <v/>
      </c>
      <c r="G573" s="1308"/>
      <c r="H573" s="36"/>
      <c r="I573" s="36"/>
      <c r="J573" s="36"/>
      <c r="K573" s="36"/>
      <c r="L573" s="36"/>
      <c r="M573" s="36"/>
      <c r="N573" s="36"/>
      <c r="O573" s="142"/>
      <c r="P573" s="115"/>
      <c r="X573" s="514" t="b">
        <f t="shared" si="25"/>
        <v>0</v>
      </c>
    </row>
    <row r="574" spans="1:24" hidden="1" x14ac:dyDescent="0.25">
      <c r="A574" s="113" t="s">
        <v>0</v>
      </c>
      <c r="B574" s="132"/>
      <c r="C574" s="132"/>
      <c r="D574" s="496">
        <v>34</v>
      </c>
      <c r="E574" s="515" t="str">
        <f t="shared" si="23"/>
        <v/>
      </c>
      <c r="F574" s="1308" t="str">
        <f t="shared" si="24"/>
        <v/>
      </c>
      <c r="G574" s="1308"/>
      <c r="H574" s="36"/>
      <c r="I574" s="36"/>
      <c r="J574" s="36"/>
      <c r="K574" s="36"/>
      <c r="L574" s="36"/>
      <c r="M574" s="36"/>
      <c r="N574" s="36"/>
      <c r="O574" s="142"/>
      <c r="P574" s="115"/>
      <c r="X574" s="514" t="b">
        <f t="shared" si="25"/>
        <v>0</v>
      </c>
    </row>
    <row r="575" spans="1:24" hidden="1" x14ac:dyDescent="0.25">
      <c r="A575" s="113" t="s">
        <v>0</v>
      </c>
      <c r="B575" s="132"/>
      <c r="C575" s="132"/>
      <c r="D575" s="496">
        <v>35</v>
      </c>
      <c r="E575" s="515" t="str">
        <f t="shared" si="23"/>
        <v/>
      </c>
      <c r="F575" s="1308" t="str">
        <f t="shared" si="24"/>
        <v/>
      </c>
      <c r="G575" s="1308"/>
      <c r="H575" s="36"/>
      <c r="I575" s="36"/>
      <c r="J575" s="36"/>
      <c r="K575" s="36"/>
      <c r="L575" s="36"/>
      <c r="M575" s="36"/>
      <c r="N575" s="36"/>
      <c r="O575" s="142"/>
      <c r="P575" s="115"/>
      <c r="X575" s="514" t="b">
        <f t="shared" si="25"/>
        <v>0</v>
      </c>
    </row>
    <row r="576" spans="1:24" hidden="1" x14ac:dyDescent="0.25">
      <c r="A576" s="113" t="s">
        <v>0</v>
      </c>
      <c r="B576" s="132"/>
      <c r="C576" s="132"/>
      <c r="D576" s="496">
        <v>36</v>
      </c>
      <c r="E576" s="515" t="str">
        <f t="shared" si="23"/>
        <v/>
      </c>
      <c r="F576" s="1308" t="str">
        <f t="shared" si="24"/>
        <v/>
      </c>
      <c r="G576" s="1308"/>
      <c r="H576" s="36"/>
      <c r="I576" s="36"/>
      <c r="J576" s="36"/>
      <c r="K576" s="36"/>
      <c r="L576" s="36"/>
      <c r="M576" s="36"/>
      <c r="N576" s="36"/>
      <c r="O576" s="142"/>
      <c r="P576" s="115"/>
      <c r="X576" s="514" t="b">
        <f t="shared" si="25"/>
        <v>0</v>
      </c>
    </row>
    <row r="577" spans="1:24" hidden="1" x14ac:dyDescent="0.25">
      <c r="A577" s="113" t="s">
        <v>0</v>
      </c>
      <c r="B577" s="132"/>
      <c r="C577" s="132"/>
      <c r="D577" s="496">
        <v>37</v>
      </c>
      <c r="E577" s="515" t="str">
        <f t="shared" si="23"/>
        <v/>
      </c>
      <c r="F577" s="1308" t="str">
        <f t="shared" si="24"/>
        <v/>
      </c>
      <c r="G577" s="1308"/>
      <c r="H577" s="36"/>
      <c r="I577" s="36"/>
      <c r="J577" s="36"/>
      <c r="K577" s="36"/>
      <c r="L577" s="36"/>
      <c r="M577" s="36"/>
      <c r="N577" s="36"/>
      <c r="O577" s="142"/>
      <c r="P577" s="115"/>
      <c r="X577" s="514" t="b">
        <f t="shared" si="25"/>
        <v>0</v>
      </c>
    </row>
    <row r="578" spans="1:24" hidden="1" x14ac:dyDescent="0.25">
      <c r="A578" s="113" t="s">
        <v>0</v>
      </c>
      <c r="B578" s="132"/>
      <c r="C578" s="132"/>
      <c r="D578" s="496">
        <v>38</v>
      </c>
      <c r="E578" s="515" t="str">
        <f t="shared" si="23"/>
        <v/>
      </c>
      <c r="F578" s="1308" t="str">
        <f t="shared" si="24"/>
        <v/>
      </c>
      <c r="G578" s="1308"/>
      <c r="H578" s="36"/>
      <c r="I578" s="36"/>
      <c r="J578" s="36"/>
      <c r="K578" s="36"/>
      <c r="L578" s="36"/>
      <c r="M578" s="36"/>
      <c r="N578" s="36"/>
      <c r="O578" s="142"/>
      <c r="P578" s="115"/>
      <c r="X578" s="514" t="b">
        <f t="shared" si="25"/>
        <v>0</v>
      </c>
    </row>
    <row r="579" spans="1:24" hidden="1" x14ac:dyDescent="0.25">
      <c r="A579" s="113" t="s">
        <v>0</v>
      </c>
      <c r="B579" s="132"/>
      <c r="C579" s="132"/>
      <c r="D579" s="496">
        <v>39</v>
      </c>
      <c r="E579" s="515" t="str">
        <f t="shared" si="23"/>
        <v/>
      </c>
      <c r="F579" s="1308" t="str">
        <f t="shared" si="24"/>
        <v/>
      </c>
      <c r="G579" s="1308"/>
      <c r="H579" s="36"/>
      <c r="I579" s="36"/>
      <c r="J579" s="36"/>
      <c r="K579" s="36"/>
      <c r="L579" s="36"/>
      <c r="M579" s="36"/>
      <c r="N579" s="36"/>
      <c r="O579" s="142"/>
      <c r="P579" s="115"/>
      <c r="X579" s="514" t="b">
        <f t="shared" si="25"/>
        <v>0</v>
      </c>
    </row>
    <row r="580" spans="1:24" hidden="1" x14ac:dyDescent="0.25">
      <c r="A580" s="113" t="s">
        <v>0</v>
      </c>
      <c r="B580" s="132"/>
      <c r="C580" s="132"/>
      <c r="D580" s="496">
        <v>40</v>
      </c>
      <c r="E580" s="515" t="str">
        <f t="shared" si="23"/>
        <v/>
      </c>
      <c r="F580" s="1308" t="str">
        <f t="shared" si="24"/>
        <v/>
      </c>
      <c r="G580" s="1308"/>
      <c r="H580" s="36"/>
      <c r="I580" s="36"/>
      <c r="J580" s="36"/>
      <c r="K580" s="36"/>
      <c r="L580" s="36"/>
      <c r="M580" s="36"/>
      <c r="N580" s="36"/>
      <c r="O580" s="142"/>
      <c r="P580" s="115"/>
      <c r="X580" s="514" t="b">
        <f t="shared" si="25"/>
        <v>0</v>
      </c>
    </row>
    <row r="581" spans="1:24" hidden="1" x14ac:dyDescent="0.25">
      <c r="A581" s="113" t="s">
        <v>0</v>
      </c>
      <c r="B581" s="132"/>
      <c r="C581" s="132"/>
      <c r="D581" s="496">
        <v>41</v>
      </c>
      <c r="E581" s="515" t="str">
        <f t="shared" si="23"/>
        <v/>
      </c>
      <c r="F581" s="1308" t="str">
        <f t="shared" si="24"/>
        <v/>
      </c>
      <c r="G581" s="1308"/>
      <c r="H581" s="36"/>
      <c r="I581" s="36"/>
      <c r="J581" s="36"/>
      <c r="K581" s="36"/>
      <c r="L581" s="36"/>
      <c r="M581" s="36"/>
      <c r="N581" s="36"/>
      <c r="O581" s="142"/>
      <c r="P581" s="115"/>
      <c r="X581" s="514" t="b">
        <f t="shared" si="25"/>
        <v>0</v>
      </c>
    </row>
    <row r="582" spans="1:24" hidden="1" x14ac:dyDescent="0.25">
      <c r="A582" s="113" t="s">
        <v>0</v>
      </c>
      <c r="B582" s="132"/>
      <c r="C582" s="132"/>
      <c r="D582" s="496">
        <v>42</v>
      </c>
      <c r="E582" s="515" t="str">
        <f t="shared" si="23"/>
        <v/>
      </c>
      <c r="F582" s="1308" t="str">
        <f t="shared" si="24"/>
        <v/>
      </c>
      <c r="G582" s="1308"/>
      <c r="H582" s="36"/>
      <c r="I582" s="36"/>
      <c r="J582" s="36"/>
      <c r="K582" s="36"/>
      <c r="L582" s="36"/>
      <c r="M582" s="36"/>
      <c r="N582" s="36"/>
      <c r="O582" s="142"/>
      <c r="P582" s="115"/>
      <c r="X582" s="514" t="b">
        <f t="shared" si="25"/>
        <v>0</v>
      </c>
    </row>
    <row r="583" spans="1:24" hidden="1" x14ac:dyDescent="0.25">
      <c r="A583" s="113" t="s">
        <v>0</v>
      </c>
      <c r="B583" s="132"/>
      <c r="C583" s="132"/>
      <c r="D583" s="496">
        <v>43</v>
      </c>
      <c r="E583" s="515" t="str">
        <f t="shared" si="23"/>
        <v/>
      </c>
      <c r="F583" s="1308" t="str">
        <f t="shared" si="24"/>
        <v/>
      </c>
      <c r="G583" s="1308"/>
      <c r="H583" s="36"/>
      <c r="I583" s="36"/>
      <c r="J583" s="36"/>
      <c r="K583" s="36"/>
      <c r="L583" s="36"/>
      <c r="M583" s="36"/>
      <c r="N583" s="36"/>
      <c r="O583" s="142"/>
      <c r="P583" s="115"/>
      <c r="X583" s="514" t="b">
        <f t="shared" si="25"/>
        <v>0</v>
      </c>
    </row>
    <row r="584" spans="1:24" hidden="1" x14ac:dyDescent="0.25">
      <c r="A584" s="113" t="s">
        <v>0</v>
      </c>
      <c r="B584" s="132"/>
      <c r="C584" s="132"/>
      <c r="D584" s="496">
        <v>44</v>
      </c>
      <c r="E584" s="515" t="str">
        <f t="shared" si="23"/>
        <v/>
      </c>
      <c r="F584" s="1308" t="str">
        <f t="shared" si="24"/>
        <v/>
      </c>
      <c r="G584" s="1308"/>
      <c r="H584" s="36"/>
      <c r="I584" s="36"/>
      <c r="J584" s="36"/>
      <c r="K584" s="36"/>
      <c r="L584" s="36"/>
      <c r="M584" s="36"/>
      <c r="N584" s="36"/>
      <c r="O584" s="142"/>
      <c r="P584" s="115"/>
      <c r="X584" s="514" t="b">
        <f t="shared" si="25"/>
        <v>0</v>
      </c>
    </row>
    <row r="585" spans="1:24" hidden="1" x14ac:dyDescent="0.25">
      <c r="A585" s="113" t="s">
        <v>0</v>
      </c>
      <c r="B585" s="132"/>
      <c r="C585" s="132"/>
      <c r="D585" s="496">
        <v>45</v>
      </c>
      <c r="E585" s="515" t="str">
        <f t="shared" si="23"/>
        <v/>
      </c>
      <c r="F585" s="1308" t="str">
        <f t="shared" si="24"/>
        <v/>
      </c>
      <c r="G585" s="1308"/>
      <c r="H585" s="36"/>
      <c r="I585" s="36"/>
      <c r="J585" s="36"/>
      <c r="K585" s="36"/>
      <c r="L585" s="36"/>
      <c r="M585" s="36"/>
      <c r="N585" s="36"/>
      <c r="O585" s="142"/>
      <c r="P585" s="115"/>
      <c r="X585" s="514" t="b">
        <f t="shared" si="25"/>
        <v>0</v>
      </c>
    </row>
    <row r="586" spans="1:24" hidden="1" x14ac:dyDescent="0.25">
      <c r="A586" s="113" t="s">
        <v>0</v>
      </c>
      <c r="B586" s="132"/>
      <c r="C586" s="132"/>
      <c r="D586" s="496">
        <v>46</v>
      </c>
      <c r="E586" s="515" t="str">
        <f t="shared" si="23"/>
        <v/>
      </c>
      <c r="F586" s="1308" t="str">
        <f t="shared" si="24"/>
        <v/>
      </c>
      <c r="G586" s="1308"/>
      <c r="H586" s="36"/>
      <c r="I586" s="36"/>
      <c r="J586" s="36"/>
      <c r="K586" s="36"/>
      <c r="L586" s="36"/>
      <c r="M586" s="36"/>
      <c r="N586" s="36"/>
      <c r="O586" s="142"/>
      <c r="P586" s="115"/>
      <c r="X586" s="514" t="b">
        <f t="shared" si="25"/>
        <v>0</v>
      </c>
    </row>
    <row r="587" spans="1:24" hidden="1" x14ac:dyDescent="0.25">
      <c r="A587" s="113" t="s">
        <v>0</v>
      </c>
      <c r="B587" s="132"/>
      <c r="C587" s="132"/>
      <c r="D587" s="496">
        <v>47</v>
      </c>
      <c r="E587" s="515" t="str">
        <f t="shared" si="23"/>
        <v/>
      </c>
      <c r="F587" s="1308" t="str">
        <f t="shared" si="24"/>
        <v/>
      </c>
      <c r="G587" s="1308"/>
      <c r="H587" s="36"/>
      <c r="I587" s="36"/>
      <c r="J587" s="36"/>
      <c r="K587" s="36"/>
      <c r="L587" s="36"/>
      <c r="M587" s="36"/>
      <c r="N587" s="36"/>
      <c r="O587" s="142"/>
      <c r="P587" s="115"/>
      <c r="X587" s="514" t="b">
        <f t="shared" si="25"/>
        <v>0</v>
      </c>
    </row>
    <row r="588" spans="1:24" hidden="1" x14ac:dyDescent="0.25">
      <c r="A588" s="113" t="s">
        <v>0</v>
      </c>
      <c r="B588" s="132"/>
      <c r="C588" s="132"/>
      <c r="D588" s="496">
        <v>48</v>
      </c>
      <c r="E588" s="515" t="str">
        <f t="shared" si="23"/>
        <v/>
      </c>
      <c r="F588" s="1308" t="str">
        <f t="shared" si="24"/>
        <v/>
      </c>
      <c r="G588" s="1308"/>
      <c r="H588" s="36"/>
      <c r="I588" s="36"/>
      <c r="J588" s="36"/>
      <c r="K588" s="36"/>
      <c r="L588" s="36"/>
      <c r="M588" s="36"/>
      <c r="N588" s="36"/>
      <c r="O588" s="142"/>
      <c r="P588" s="115"/>
      <c r="X588" s="514" t="b">
        <f t="shared" si="25"/>
        <v>0</v>
      </c>
    </row>
    <row r="589" spans="1:24" hidden="1" x14ac:dyDescent="0.25">
      <c r="A589" s="113" t="s">
        <v>0</v>
      </c>
      <c r="B589" s="132"/>
      <c r="C589" s="132"/>
      <c r="D589" s="496">
        <v>49</v>
      </c>
      <c r="E589" s="515" t="str">
        <f t="shared" si="23"/>
        <v/>
      </c>
      <c r="F589" s="1308" t="str">
        <f t="shared" si="24"/>
        <v/>
      </c>
      <c r="G589" s="1308"/>
      <c r="H589" s="36"/>
      <c r="I589" s="36"/>
      <c r="J589" s="36"/>
      <c r="K589" s="36"/>
      <c r="L589" s="36"/>
      <c r="M589" s="36"/>
      <c r="N589" s="36"/>
      <c r="O589" s="142"/>
      <c r="P589" s="115"/>
      <c r="X589" s="514" t="b">
        <f t="shared" si="25"/>
        <v>0</v>
      </c>
    </row>
    <row r="590" spans="1:24" hidden="1" x14ac:dyDescent="0.25">
      <c r="A590" s="113" t="s">
        <v>0</v>
      </c>
      <c r="B590" s="132"/>
      <c r="C590" s="132"/>
      <c r="D590" s="496">
        <v>50</v>
      </c>
      <c r="E590" s="515" t="str">
        <f t="shared" si="23"/>
        <v/>
      </c>
      <c r="F590" s="1308" t="str">
        <f t="shared" si="24"/>
        <v/>
      </c>
      <c r="G590" s="1308"/>
      <c r="H590" s="36"/>
      <c r="I590" s="36"/>
      <c r="J590" s="36"/>
      <c r="K590" s="36"/>
      <c r="L590" s="36"/>
      <c r="M590" s="36"/>
      <c r="N590" s="36"/>
      <c r="O590" s="142"/>
      <c r="P590" s="115"/>
      <c r="X590" s="514" t="b">
        <f t="shared" si="25"/>
        <v>0</v>
      </c>
    </row>
    <row r="591" spans="1:24" hidden="1" x14ac:dyDescent="0.25">
      <c r="A591" s="113" t="s">
        <v>0</v>
      </c>
      <c r="B591" s="132"/>
      <c r="C591" s="132"/>
      <c r="D591" s="496">
        <v>51</v>
      </c>
      <c r="E591" s="515" t="str">
        <f t="shared" si="23"/>
        <v/>
      </c>
      <c r="F591" s="1308" t="str">
        <f t="shared" si="24"/>
        <v/>
      </c>
      <c r="G591" s="1308"/>
      <c r="H591" s="36"/>
      <c r="I591" s="36"/>
      <c r="J591" s="36"/>
      <c r="K591" s="36"/>
      <c r="L591" s="36"/>
      <c r="M591" s="36"/>
      <c r="N591" s="36"/>
      <c r="O591" s="142"/>
      <c r="P591" s="115"/>
      <c r="X591" s="514" t="b">
        <f t="shared" si="25"/>
        <v>0</v>
      </c>
    </row>
    <row r="592" spans="1:24" hidden="1" x14ac:dyDescent="0.25">
      <c r="A592" s="113" t="s">
        <v>0</v>
      </c>
      <c r="B592" s="132"/>
      <c r="C592" s="132"/>
      <c r="D592" s="496">
        <v>52</v>
      </c>
      <c r="E592" s="515" t="str">
        <f t="shared" si="23"/>
        <v/>
      </c>
      <c r="F592" s="1308" t="str">
        <f t="shared" si="24"/>
        <v/>
      </c>
      <c r="G592" s="1308"/>
      <c r="H592" s="36"/>
      <c r="I592" s="36"/>
      <c r="J592" s="36"/>
      <c r="K592" s="36"/>
      <c r="L592" s="36"/>
      <c r="M592" s="36"/>
      <c r="N592" s="36"/>
      <c r="O592" s="142"/>
      <c r="P592" s="115"/>
      <c r="X592" s="514" t="b">
        <f t="shared" si="25"/>
        <v>0</v>
      </c>
    </row>
    <row r="593" spans="1:24" hidden="1" x14ac:dyDescent="0.25">
      <c r="A593" s="113" t="s">
        <v>0</v>
      </c>
      <c r="B593" s="132"/>
      <c r="C593" s="132"/>
      <c r="D593" s="496">
        <v>53</v>
      </c>
      <c r="E593" s="515" t="str">
        <f t="shared" si="23"/>
        <v/>
      </c>
      <c r="F593" s="1308" t="str">
        <f t="shared" si="24"/>
        <v/>
      </c>
      <c r="G593" s="1308"/>
      <c r="H593" s="36"/>
      <c r="I593" s="36"/>
      <c r="J593" s="36"/>
      <c r="K593" s="36"/>
      <c r="L593" s="36"/>
      <c r="M593" s="36"/>
      <c r="N593" s="36"/>
      <c r="O593" s="142"/>
      <c r="P593" s="115"/>
      <c r="X593" s="514" t="b">
        <f t="shared" si="25"/>
        <v>0</v>
      </c>
    </row>
    <row r="594" spans="1:24" hidden="1" x14ac:dyDescent="0.25">
      <c r="A594" s="113" t="s">
        <v>0</v>
      </c>
      <c r="B594" s="132"/>
      <c r="C594" s="132"/>
      <c r="D594" s="496">
        <v>54</v>
      </c>
      <c r="E594" s="515" t="str">
        <f t="shared" si="23"/>
        <v/>
      </c>
      <c r="F594" s="1308" t="str">
        <f t="shared" si="24"/>
        <v/>
      </c>
      <c r="G594" s="1308"/>
      <c r="H594" s="36"/>
      <c r="I594" s="36"/>
      <c r="J594" s="36"/>
      <c r="K594" s="36"/>
      <c r="L594" s="36"/>
      <c r="M594" s="36"/>
      <c r="N594" s="36"/>
      <c r="O594" s="142"/>
      <c r="P594" s="115"/>
      <c r="X594" s="514" t="b">
        <f t="shared" si="25"/>
        <v>0</v>
      </c>
    </row>
    <row r="595" spans="1:24" hidden="1" x14ac:dyDescent="0.25">
      <c r="A595" s="113" t="s">
        <v>0</v>
      </c>
      <c r="B595" s="132"/>
      <c r="C595" s="132"/>
      <c r="D595" s="496">
        <v>55</v>
      </c>
      <c r="E595" s="515" t="str">
        <f t="shared" si="23"/>
        <v/>
      </c>
      <c r="F595" s="1308" t="str">
        <f t="shared" si="24"/>
        <v/>
      </c>
      <c r="G595" s="1308"/>
      <c r="H595" s="36"/>
      <c r="I595" s="36"/>
      <c r="J595" s="36"/>
      <c r="K595" s="36"/>
      <c r="L595" s="36"/>
      <c r="M595" s="36"/>
      <c r="N595" s="36"/>
      <c r="O595" s="142"/>
      <c r="P595" s="115"/>
      <c r="X595" s="514" t="b">
        <f t="shared" si="25"/>
        <v>0</v>
      </c>
    </row>
    <row r="596" spans="1:24" hidden="1" x14ac:dyDescent="0.25">
      <c r="A596" s="113" t="s">
        <v>0</v>
      </c>
      <c r="B596" s="132"/>
      <c r="C596" s="132"/>
      <c r="D596" s="496">
        <v>56</v>
      </c>
      <c r="E596" s="515" t="str">
        <f t="shared" si="23"/>
        <v/>
      </c>
      <c r="F596" s="1308" t="str">
        <f t="shared" si="24"/>
        <v/>
      </c>
      <c r="G596" s="1308"/>
      <c r="H596" s="36"/>
      <c r="I596" s="36"/>
      <c r="J596" s="36"/>
      <c r="K596" s="36"/>
      <c r="L596" s="36"/>
      <c r="M596" s="36"/>
      <c r="N596" s="36"/>
      <c r="O596" s="142"/>
      <c r="P596" s="115"/>
      <c r="X596" s="514" t="b">
        <f t="shared" si="25"/>
        <v>0</v>
      </c>
    </row>
    <row r="597" spans="1:24" hidden="1" x14ac:dyDescent="0.25">
      <c r="A597" s="113" t="s">
        <v>0</v>
      </c>
      <c r="B597" s="132"/>
      <c r="C597" s="132"/>
      <c r="D597" s="496">
        <v>57</v>
      </c>
      <c r="E597" s="515" t="str">
        <f t="shared" si="23"/>
        <v/>
      </c>
      <c r="F597" s="1308" t="str">
        <f t="shared" si="24"/>
        <v/>
      </c>
      <c r="G597" s="1308"/>
      <c r="H597" s="36"/>
      <c r="I597" s="36"/>
      <c r="J597" s="36"/>
      <c r="K597" s="36"/>
      <c r="L597" s="36"/>
      <c r="M597" s="36"/>
      <c r="N597" s="36"/>
      <c r="O597" s="142"/>
      <c r="P597" s="115"/>
      <c r="X597" s="514" t="b">
        <f t="shared" si="25"/>
        <v>0</v>
      </c>
    </row>
    <row r="598" spans="1:24" hidden="1" x14ac:dyDescent="0.25">
      <c r="A598" s="113" t="s">
        <v>0</v>
      </c>
      <c r="B598" s="132"/>
      <c r="C598" s="132"/>
      <c r="D598" s="496">
        <v>58</v>
      </c>
      <c r="E598" s="515" t="str">
        <f t="shared" si="23"/>
        <v/>
      </c>
      <c r="F598" s="1308" t="str">
        <f t="shared" si="24"/>
        <v/>
      </c>
      <c r="G598" s="1308"/>
      <c r="H598" s="36"/>
      <c r="I598" s="36"/>
      <c r="J598" s="36"/>
      <c r="K598" s="36"/>
      <c r="L598" s="36"/>
      <c r="M598" s="36"/>
      <c r="N598" s="36"/>
      <c r="O598" s="142"/>
      <c r="P598" s="115"/>
      <c r="X598" s="514" t="b">
        <f t="shared" si="25"/>
        <v>0</v>
      </c>
    </row>
    <row r="599" spans="1:24" hidden="1" x14ac:dyDescent="0.25">
      <c r="A599" s="113" t="s">
        <v>0</v>
      </c>
      <c r="B599" s="132"/>
      <c r="C599" s="132"/>
      <c r="D599" s="496">
        <v>59</v>
      </c>
      <c r="E599" s="515" t="str">
        <f t="shared" si="23"/>
        <v/>
      </c>
      <c r="F599" s="1308" t="str">
        <f t="shared" si="24"/>
        <v/>
      </c>
      <c r="G599" s="1308"/>
      <c r="H599" s="36"/>
      <c r="I599" s="36"/>
      <c r="J599" s="36"/>
      <c r="K599" s="36"/>
      <c r="L599" s="36"/>
      <c r="M599" s="36"/>
      <c r="N599" s="36"/>
      <c r="O599" s="142"/>
      <c r="P599" s="115"/>
      <c r="X599" s="514" t="b">
        <f t="shared" si="25"/>
        <v>0</v>
      </c>
    </row>
    <row r="600" spans="1:24" hidden="1" x14ac:dyDescent="0.25">
      <c r="A600" s="113" t="s">
        <v>0</v>
      </c>
      <c r="B600" s="132"/>
      <c r="C600" s="132"/>
      <c r="D600" s="496">
        <v>60</v>
      </c>
      <c r="E600" s="515" t="str">
        <f t="shared" si="23"/>
        <v/>
      </c>
      <c r="F600" s="1308" t="str">
        <f t="shared" si="24"/>
        <v/>
      </c>
      <c r="G600" s="1308"/>
      <c r="H600" s="36"/>
      <c r="I600" s="36"/>
      <c r="J600" s="36"/>
      <c r="K600" s="36"/>
      <c r="L600" s="36"/>
      <c r="M600" s="36"/>
      <c r="N600" s="36"/>
      <c r="O600" s="142"/>
      <c r="P600" s="115"/>
      <c r="X600" s="514" t="b">
        <f t="shared" si="25"/>
        <v>0</v>
      </c>
    </row>
    <row r="601" spans="1:24" hidden="1" x14ac:dyDescent="0.25">
      <c r="A601" s="113" t="s">
        <v>0</v>
      </c>
      <c r="B601" s="132"/>
      <c r="C601" s="132"/>
      <c r="D601" s="496">
        <v>61</v>
      </c>
      <c r="E601" s="515" t="str">
        <f t="shared" si="23"/>
        <v/>
      </c>
      <c r="F601" s="1308" t="str">
        <f t="shared" si="24"/>
        <v/>
      </c>
      <c r="G601" s="1308"/>
      <c r="H601" s="36"/>
      <c r="I601" s="36"/>
      <c r="J601" s="36"/>
      <c r="K601" s="36"/>
      <c r="L601" s="36"/>
      <c r="M601" s="36"/>
      <c r="N601" s="36"/>
      <c r="O601" s="142"/>
      <c r="P601" s="115"/>
      <c r="X601" s="514" t="b">
        <f t="shared" si="25"/>
        <v>0</v>
      </c>
    </row>
    <row r="602" spans="1:24" hidden="1" x14ac:dyDescent="0.25">
      <c r="A602" s="113" t="s">
        <v>0</v>
      </c>
      <c r="B602" s="132"/>
      <c r="C602" s="132"/>
      <c r="D602" s="496">
        <v>62</v>
      </c>
      <c r="E602" s="515" t="str">
        <f t="shared" si="23"/>
        <v/>
      </c>
      <c r="F602" s="1308" t="str">
        <f t="shared" si="24"/>
        <v/>
      </c>
      <c r="G602" s="1308"/>
      <c r="H602" s="36"/>
      <c r="I602" s="36"/>
      <c r="J602" s="36"/>
      <c r="K602" s="36"/>
      <c r="L602" s="36"/>
      <c r="M602" s="36"/>
      <c r="N602" s="36"/>
      <c r="O602" s="142"/>
      <c r="P602" s="115"/>
      <c r="X602" s="514" t="b">
        <f t="shared" si="25"/>
        <v>0</v>
      </c>
    </row>
    <row r="603" spans="1:24" hidden="1" x14ac:dyDescent="0.25">
      <c r="A603" s="113" t="s">
        <v>0</v>
      </c>
      <c r="B603" s="132"/>
      <c r="C603" s="132"/>
      <c r="D603" s="496">
        <v>63</v>
      </c>
      <c r="E603" s="515" t="str">
        <f t="shared" si="23"/>
        <v/>
      </c>
      <c r="F603" s="1308" t="str">
        <f t="shared" si="24"/>
        <v/>
      </c>
      <c r="G603" s="1308"/>
      <c r="H603" s="36"/>
      <c r="I603" s="36"/>
      <c r="J603" s="36"/>
      <c r="K603" s="36"/>
      <c r="L603" s="36"/>
      <c r="M603" s="36"/>
      <c r="N603" s="36"/>
      <c r="O603" s="142"/>
      <c r="P603" s="115"/>
      <c r="X603" s="514" t="b">
        <f t="shared" si="25"/>
        <v>0</v>
      </c>
    </row>
    <row r="604" spans="1:24" hidden="1" x14ac:dyDescent="0.25">
      <c r="A604" s="113" t="s">
        <v>0</v>
      </c>
      <c r="B604" s="132"/>
      <c r="C604" s="132"/>
      <c r="D604" s="496">
        <v>64</v>
      </c>
      <c r="E604" s="515" t="str">
        <f t="shared" si="23"/>
        <v/>
      </c>
      <c r="F604" s="1308" t="str">
        <f t="shared" si="24"/>
        <v/>
      </c>
      <c r="G604" s="1308"/>
      <c r="H604" s="36"/>
      <c r="I604" s="36"/>
      <c r="J604" s="36"/>
      <c r="K604" s="36"/>
      <c r="L604" s="36"/>
      <c r="M604" s="36"/>
      <c r="N604" s="36"/>
      <c r="O604" s="142"/>
      <c r="P604" s="115"/>
      <c r="X604" s="514" t="b">
        <f t="shared" si="25"/>
        <v>0</v>
      </c>
    </row>
    <row r="605" spans="1:24" hidden="1" x14ac:dyDescent="0.25">
      <c r="A605" s="113" t="s">
        <v>0</v>
      </c>
      <c r="B605" s="132"/>
      <c r="C605" s="132"/>
      <c r="D605" s="496">
        <v>65</v>
      </c>
      <c r="E605" s="515" t="str">
        <f t="shared" si="23"/>
        <v/>
      </c>
      <c r="F605" s="1308" t="str">
        <f t="shared" si="24"/>
        <v/>
      </c>
      <c r="G605" s="1308"/>
      <c r="H605" s="36"/>
      <c r="I605" s="36"/>
      <c r="J605" s="36"/>
      <c r="K605" s="36"/>
      <c r="L605" s="36"/>
      <c r="M605" s="36"/>
      <c r="N605" s="36"/>
      <c r="O605" s="142"/>
      <c r="P605" s="115"/>
      <c r="X605" s="514" t="b">
        <f t="shared" si="25"/>
        <v>0</v>
      </c>
    </row>
    <row r="606" spans="1:24" hidden="1" x14ac:dyDescent="0.25">
      <c r="A606" s="113" t="s">
        <v>0</v>
      </c>
      <c r="B606" s="132"/>
      <c r="C606" s="132"/>
      <c r="D606" s="496">
        <v>66</v>
      </c>
      <c r="E606" s="515" t="str">
        <f t="shared" si="23"/>
        <v/>
      </c>
      <c r="F606" s="1308" t="str">
        <f t="shared" si="24"/>
        <v/>
      </c>
      <c r="G606" s="1308"/>
      <c r="H606" s="36"/>
      <c r="I606" s="36"/>
      <c r="J606" s="36"/>
      <c r="K606" s="36"/>
      <c r="L606" s="36"/>
      <c r="M606" s="36"/>
      <c r="N606" s="36"/>
      <c r="O606" s="142"/>
      <c r="P606" s="115"/>
      <c r="X606" s="514" t="b">
        <f t="shared" si="25"/>
        <v>0</v>
      </c>
    </row>
    <row r="607" spans="1:24" hidden="1" x14ac:dyDescent="0.25">
      <c r="A607" s="113" t="s">
        <v>0</v>
      </c>
      <c r="B607" s="132"/>
      <c r="C607" s="132"/>
      <c r="D607" s="496">
        <v>67</v>
      </c>
      <c r="E607" s="515" t="str">
        <f t="shared" si="23"/>
        <v/>
      </c>
      <c r="F607" s="1308" t="str">
        <f t="shared" si="24"/>
        <v/>
      </c>
      <c r="G607" s="1308"/>
      <c r="H607" s="36"/>
      <c r="I607" s="36"/>
      <c r="J607" s="36"/>
      <c r="K607" s="36"/>
      <c r="L607" s="36"/>
      <c r="M607" s="36"/>
      <c r="N607" s="36"/>
      <c r="O607" s="142"/>
      <c r="P607" s="115"/>
      <c r="X607" s="514" t="b">
        <f t="shared" si="25"/>
        <v>0</v>
      </c>
    </row>
    <row r="608" spans="1:24" hidden="1" x14ac:dyDescent="0.25">
      <c r="A608" s="113" t="s">
        <v>0</v>
      </c>
      <c r="B608" s="132"/>
      <c r="C608" s="132"/>
      <c r="D608" s="496">
        <v>68</v>
      </c>
      <c r="E608" s="515" t="str">
        <f t="shared" si="23"/>
        <v/>
      </c>
      <c r="F608" s="1308" t="str">
        <f t="shared" si="24"/>
        <v/>
      </c>
      <c r="G608" s="1308"/>
      <c r="H608" s="36"/>
      <c r="I608" s="36"/>
      <c r="J608" s="36"/>
      <c r="K608" s="36"/>
      <c r="L608" s="36"/>
      <c r="M608" s="36"/>
      <c r="N608" s="36"/>
      <c r="O608" s="142"/>
      <c r="P608" s="115"/>
      <c r="X608" s="514" t="b">
        <f t="shared" si="25"/>
        <v>0</v>
      </c>
    </row>
    <row r="609" spans="1:24" hidden="1" x14ac:dyDescent="0.25">
      <c r="A609" s="113" t="s">
        <v>0</v>
      </c>
      <c r="B609" s="132"/>
      <c r="C609" s="132"/>
      <c r="D609" s="496">
        <v>69</v>
      </c>
      <c r="E609" s="515" t="str">
        <f t="shared" si="23"/>
        <v/>
      </c>
      <c r="F609" s="1308" t="str">
        <f t="shared" si="24"/>
        <v/>
      </c>
      <c r="G609" s="1308"/>
      <c r="H609" s="36"/>
      <c r="I609" s="36"/>
      <c r="J609" s="36"/>
      <c r="K609" s="36"/>
      <c r="L609" s="36"/>
      <c r="M609" s="36"/>
      <c r="N609" s="36"/>
      <c r="O609" s="142"/>
      <c r="P609" s="115"/>
      <c r="X609" s="514" t="b">
        <f t="shared" si="25"/>
        <v>0</v>
      </c>
    </row>
    <row r="610" spans="1:24" hidden="1" x14ac:dyDescent="0.25">
      <c r="A610" s="113" t="s">
        <v>0</v>
      </c>
      <c r="B610" s="132"/>
      <c r="C610" s="132"/>
      <c r="D610" s="496">
        <v>70</v>
      </c>
      <c r="E610" s="515" t="str">
        <f t="shared" si="23"/>
        <v/>
      </c>
      <c r="F610" s="1308" t="str">
        <f t="shared" si="24"/>
        <v/>
      </c>
      <c r="G610" s="1308"/>
      <c r="H610" s="36"/>
      <c r="I610" s="36"/>
      <c r="J610" s="36"/>
      <c r="K610" s="36"/>
      <c r="L610" s="36"/>
      <c r="M610" s="36"/>
      <c r="N610" s="36"/>
      <c r="O610" s="142"/>
      <c r="P610" s="115"/>
      <c r="X610" s="514" t="b">
        <f t="shared" si="25"/>
        <v>0</v>
      </c>
    </row>
    <row r="611" spans="1:24" hidden="1" x14ac:dyDescent="0.25">
      <c r="A611" s="113" t="s">
        <v>0</v>
      </c>
      <c r="B611" s="132"/>
      <c r="C611" s="132"/>
      <c r="D611" s="496">
        <v>71</v>
      </c>
      <c r="E611" s="515" t="str">
        <f t="shared" si="23"/>
        <v/>
      </c>
      <c r="F611" s="1308" t="str">
        <f t="shared" si="24"/>
        <v/>
      </c>
      <c r="G611" s="1308"/>
      <c r="H611" s="36"/>
      <c r="I611" s="36"/>
      <c r="J611" s="36"/>
      <c r="K611" s="36"/>
      <c r="L611" s="36"/>
      <c r="M611" s="36"/>
      <c r="N611" s="36"/>
      <c r="O611" s="142"/>
      <c r="P611" s="115"/>
      <c r="X611" s="514" t="b">
        <f t="shared" si="25"/>
        <v>0</v>
      </c>
    </row>
    <row r="612" spans="1:24" hidden="1" x14ac:dyDescent="0.25">
      <c r="A612" s="113" t="s">
        <v>0</v>
      </c>
      <c r="B612" s="132"/>
      <c r="C612" s="132"/>
      <c r="D612" s="496">
        <v>72</v>
      </c>
      <c r="E612" s="515" t="str">
        <f t="shared" si="23"/>
        <v/>
      </c>
      <c r="F612" s="1308" t="str">
        <f t="shared" si="24"/>
        <v/>
      </c>
      <c r="G612" s="1308"/>
      <c r="H612" s="36"/>
      <c r="I612" s="36"/>
      <c r="J612" s="36"/>
      <c r="K612" s="36"/>
      <c r="L612" s="36"/>
      <c r="M612" s="36"/>
      <c r="N612" s="36"/>
      <c r="O612" s="142"/>
      <c r="P612" s="115"/>
      <c r="X612" s="514" t="b">
        <f t="shared" si="25"/>
        <v>0</v>
      </c>
    </row>
    <row r="613" spans="1:24" hidden="1" x14ac:dyDescent="0.25">
      <c r="A613" s="113" t="s">
        <v>0</v>
      </c>
      <c r="B613" s="132"/>
      <c r="C613" s="132"/>
      <c r="D613" s="496">
        <v>73</v>
      </c>
      <c r="E613" s="515" t="str">
        <f t="shared" si="23"/>
        <v/>
      </c>
      <c r="F613" s="1308" t="str">
        <f t="shared" si="24"/>
        <v/>
      </c>
      <c r="G613" s="1308"/>
      <c r="H613" s="36"/>
      <c r="I613" s="36"/>
      <c r="J613" s="36"/>
      <c r="K613" s="36"/>
      <c r="L613" s="36"/>
      <c r="M613" s="36"/>
      <c r="N613" s="36"/>
      <c r="O613" s="142"/>
      <c r="P613" s="115"/>
      <c r="X613" s="514" t="b">
        <f t="shared" si="25"/>
        <v>0</v>
      </c>
    </row>
    <row r="614" spans="1:24" hidden="1" x14ac:dyDescent="0.25">
      <c r="A614" s="113" t="s">
        <v>0</v>
      </c>
      <c r="B614" s="132"/>
      <c r="C614" s="132"/>
      <c r="D614" s="496">
        <v>74</v>
      </c>
      <c r="E614" s="515" t="str">
        <f t="shared" si="23"/>
        <v/>
      </c>
      <c r="F614" s="1308" t="str">
        <f t="shared" si="24"/>
        <v/>
      </c>
      <c r="G614" s="1308"/>
      <c r="H614" s="36"/>
      <c r="I614" s="36"/>
      <c r="J614" s="36"/>
      <c r="K614" s="36"/>
      <c r="L614" s="36"/>
      <c r="M614" s="36"/>
      <c r="N614" s="36"/>
      <c r="O614" s="142"/>
      <c r="P614" s="115"/>
      <c r="X614" s="514" t="b">
        <f t="shared" si="25"/>
        <v>0</v>
      </c>
    </row>
    <row r="615" spans="1:24" hidden="1" x14ac:dyDescent="0.25">
      <c r="A615" s="113" t="s">
        <v>0</v>
      </c>
      <c r="B615" s="132"/>
      <c r="C615" s="132"/>
      <c r="D615" s="496">
        <v>75</v>
      </c>
      <c r="E615" s="515" t="str">
        <f t="shared" si="23"/>
        <v/>
      </c>
      <c r="F615" s="1308" t="str">
        <f t="shared" si="24"/>
        <v/>
      </c>
      <c r="G615" s="1308"/>
      <c r="H615" s="36"/>
      <c r="I615" s="36"/>
      <c r="J615" s="36"/>
      <c r="K615" s="36"/>
      <c r="L615" s="36"/>
      <c r="M615" s="36"/>
      <c r="N615" s="36"/>
      <c r="O615" s="142"/>
      <c r="P615" s="115"/>
      <c r="X615" s="514" t="b">
        <f t="shared" si="25"/>
        <v>0</v>
      </c>
    </row>
    <row r="616" spans="1:24" hidden="1" x14ac:dyDescent="0.25">
      <c r="A616" s="113" t="s">
        <v>0</v>
      </c>
      <c r="B616" s="132"/>
      <c r="C616" s="132"/>
      <c r="D616" s="496">
        <v>76</v>
      </c>
      <c r="E616" s="515" t="str">
        <f t="shared" si="23"/>
        <v/>
      </c>
      <c r="F616" s="1308" t="str">
        <f t="shared" si="24"/>
        <v/>
      </c>
      <c r="G616" s="1308"/>
      <c r="H616" s="36"/>
      <c r="I616" s="36"/>
      <c r="J616" s="36"/>
      <c r="K616" s="36"/>
      <c r="L616" s="36"/>
      <c r="M616" s="36"/>
      <c r="N616" s="36"/>
      <c r="O616" s="142"/>
      <c r="P616" s="115"/>
      <c r="X616" s="514" t="b">
        <f t="shared" si="25"/>
        <v>0</v>
      </c>
    </row>
    <row r="617" spans="1:24" hidden="1" x14ac:dyDescent="0.25">
      <c r="A617" s="113" t="s">
        <v>0</v>
      </c>
      <c r="B617" s="132"/>
      <c r="C617" s="132"/>
      <c r="D617" s="496">
        <v>77</v>
      </c>
      <c r="E617" s="515" t="str">
        <f t="shared" si="23"/>
        <v/>
      </c>
      <c r="F617" s="1308" t="str">
        <f t="shared" si="24"/>
        <v/>
      </c>
      <c r="G617" s="1308"/>
      <c r="H617" s="36"/>
      <c r="I617" s="36"/>
      <c r="J617" s="36"/>
      <c r="K617" s="36"/>
      <c r="L617" s="36"/>
      <c r="M617" s="36"/>
      <c r="N617" s="36"/>
      <c r="O617" s="142"/>
      <c r="P617" s="115"/>
      <c r="X617" s="514" t="b">
        <f t="shared" si="25"/>
        <v>0</v>
      </c>
    </row>
    <row r="618" spans="1:24" hidden="1" x14ac:dyDescent="0.25">
      <c r="A618" s="113" t="s">
        <v>0</v>
      </c>
      <c r="B618" s="132"/>
      <c r="C618" s="132"/>
      <c r="D618" s="496">
        <v>78</v>
      </c>
      <c r="E618" s="515" t="str">
        <f t="shared" si="23"/>
        <v/>
      </c>
      <c r="F618" s="1308" t="str">
        <f t="shared" si="24"/>
        <v/>
      </c>
      <c r="G618" s="1308"/>
      <c r="H618" s="36"/>
      <c r="I618" s="36"/>
      <c r="J618" s="36"/>
      <c r="K618" s="36"/>
      <c r="L618" s="36"/>
      <c r="M618" s="36"/>
      <c r="N618" s="36"/>
      <c r="O618" s="142"/>
      <c r="P618" s="115"/>
      <c r="X618" s="514" t="b">
        <f t="shared" si="25"/>
        <v>0</v>
      </c>
    </row>
    <row r="619" spans="1:24" hidden="1" x14ac:dyDescent="0.25">
      <c r="A619" s="113" t="s">
        <v>0</v>
      </c>
      <c r="B619" s="132"/>
      <c r="C619" s="132"/>
      <c r="D619" s="496">
        <v>79</v>
      </c>
      <c r="E619" s="515" t="str">
        <f t="shared" si="23"/>
        <v/>
      </c>
      <c r="F619" s="1308" t="str">
        <f t="shared" si="24"/>
        <v/>
      </c>
      <c r="G619" s="1308"/>
      <c r="H619" s="36"/>
      <c r="I619" s="36"/>
      <c r="J619" s="36"/>
      <c r="K619" s="36"/>
      <c r="L619" s="36"/>
      <c r="M619" s="36"/>
      <c r="N619" s="36"/>
      <c r="O619" s="142"/>
      <c r="P619" s="115"/>
      <c r="X619" s="514" t="b">
        <f t="shared" si="25"/>
        <v>0</v>
      </c>
    </row>
    <row r="620" spans="1:24" hidden="1" x14ac:dyDescent="0.25">
      <c r="A620" s="113" t="s">
        <v>0</v>
      </c>
      <c r="B620" s="132"/>
      <c r="C620" s="132"/>
      <c r="D620" s="496">
        <v>80</v>
      </c>
      <c r="E620" s="515" t="str">
        <f t="shared" si="23"/>
        <v/>
      </c>
      <c r="F620" s="1308" t="str">
        <f t="shared" si="24"/>
        <v/>
      </c>
      <c r="G620" s="1308"/>
      <c r="H620" s="36"/>
      <c r="I620" s="36"/>
      <c r="J620" s="36"/>
      <c r="K620" s="36"/>
      <c r="L620" s="36"/>
      <c r="M620" s="36"/>
      <c r="N620" s="36"/>
      <c r="O620" s="142"/>
      <c r="P620" s="115"/>
      <c r="X620" s="514" t="b">
        <f t="shared" si="25"/>
        <v>0</v>
      </c>
    </row>
    <row r="621" spans="1:24" hidden="1" x14ac:dyDescent="0.25">
      <c r="A621" s="113" t="s">
        <v>0</v>
      </c>
      <c r="B621" s="132"/>
      <c r="C621" s="132"/>
      <c r="D621" s="496">
        <v>81</v>
      </c>
      <c r="E621" s="515" t="str">
        <f t="shared" si="23"/>
        <v/>
      </c>
      <c r="F621" s="1308" t="str">
        <f t="shared" si="24"/>
        <v/>
      </c>
      <c r="G621" s="1308"/>
      <c r="H621" s="36"/>
      <c r="I621" s="36"/>
      <c r="J621" s="36"/>
      <c r="K621" s="36"/>
      <c r="L621" s="36"/>
      <c r="M621" s="36"/>
      <c r="N621" s="36"/>
      <c r="O621" s="142"/>
      <c r="P621" s="115"/>
      <c r="X621" s="514" t="b">
        <f t="shared" si="25"/>
        <v>0</v>
      </c>
    </row>
    <row r="622" spans="1:24" hidden="1" x14ac:dyDescent="0.25">
      <c r="A622" s="113" t="s">
        <v>0</v>
      </c>
      <c r="B622" s="132"/>
      <c r="C622" s="132"/>
      <c r="D622" s="496">
        <v>82</v>
      </c>
      <c r="E622" s="515" t="str">
        <f t="shared" si="23"/>
        <v/>
      </c>
      <c r="F622" s="1308" t="str">
        <f t="shared" si="24"/>
        <v/>
      </c>
      <c r="G622" s="1308"/>
      <c r="H622" s="36"/>
      <c r="I622" s="36"/>
      <c r="J622" s="36"/>
      <c r="K622" s="36"/>
      <c r="L622" s="36"/>
      <c r="M622" s="36"/>
      <c r="N622" s="36"/>
      <c r="O622" s="142"/>
      <c r="P622" s="115"/>
      <c r="X622" s="514" t="b">
        <f t="shared" si="25"/>
        <v>0</v>
      </c>
    </row>
    <row r="623" spans="1:24" hidden="1" x14ac:dyDescent="0.25">
      <c r="A623" s="113" t="s">
        <v>0</v>
      </c>
      <c r="B623" s="132"/>
      <c r="C623" s="132"/>
      <c r="D623" s="496">
        <v>83</v>
      </c>
      <c r="E623" s="515" t="str">
        <f t="shared" si="23"/>
        <v/>
      </c>
      <c r="F623" s="1308" t="str">
        <f t="shared" si="24"/>
        <v/>
      </c>
      <c r="G623" s="1308"/>
      <c r="H623" s="36"/>
      <c r="I623" s="36"/>
      <c r="J623" s="36"/>
      <c r="K623" s="36"/>
      <c r="L623" s="36"/>
      <c r="M623" s="36"/>
      <c r="N623" s="36"/>
      <c r="O623" s="142"/>
      <c r="P623" s="115"/>
      <c r="X623" s="514" t="b">
        <f t="shared" si="25"/>
        <v>0</v>
      </c>
    </row>
    <row r="624" spans="1:24" hidden="1" x14ac:dyDescent="0.25">
      <c r="A624" s="113" t="s">
        <v>0</v>
      </c>
      <c r="B624" s="132"/>
      <c r="C624" s="132"/>
      <c r="D624" s="496">
        <v>84</v>
      </c>
      <c r="E624" s="515" t="str">
        <f t="shared" ref="E624:E687" si="26">IF(E370="","",E370)</f>
        <v/>
      </c>
      <c r="F624" s="1308" t="str">
        <f t="shared" ref="F624:F687" si="27">IF(H370="","",H370)</f>
        <v/>
      </c>
      <c r="G624" s="1308"/>
      <c r="H624" s="36"/>
      <c r="I624" s="36"/>
      <c r="J624" s="36"/>
      <c r="K624" s="36"/>
      <c r="L624" s="36"/>
      <c r="M624" s="36"/>
      <c r="N624" s="36"/>
      <c r="O624" s="142"/>
      <c r="P624" s="115"/>
      <c r="X624" s="514" t="b">
        <f t="shared" ref="X624:X687" si="28">AND(COUNTA($E$30:$E$279)&gt;0,E624="")</f>
        <v>0</v>
      </c>
    </row>
    <row r="625" spans="1:24" hidden="1" x14ac:dyDescent="0.25">
      <c r="A625" s="113" t="s">
        <v>0</v>
      </c>
      <c r="B625" s="132"/>
      <c r="C625" s="132"/>
      <c r="D625" s="496">
        <v>85</v>
      </c>
      <c r="E625" s="515" t="str">
        <f t="shared" si="26"/>
        <v/>
      </c>
      <c r="F625" s="1308" t="str">
        <f t="shared" si="27"/>
        <v/>
      </c>
      <c r="G625" s="1308"/>
      <c r="H625" s="36"/>
      <c r="I625" s="36"/>
      <c r="J625" s="36"/>
      <c r="K625" s="36"/>
      <c r="L625" s="36"/>
      <c r="M625" s="36"/>
      <c r="N625" s="36"/>
      <c r="O625" s="142"/>
      <c r="P625" s="115"/>
      <c r="X625" s="514" t="b">
        <f t="shared" si="28"/>
        <v>0</v>
      </c>
    </row>
    <row r="626" spans="1:24" hidden="1" x14ac:dyDescent="0.25">
      <c r="A626" s="113" t="s">
        <v>0</v>
      </c>
      <c r="B626" s="132"/>
      <c r="C626" s="132"/>
      <c r="D626" s="496">
        <v>86</v>
      </c>
      <c r="E626" s="515" t="str">
        <f t="shared" si="26"/>
        <v/>
      </c>
      <c r="F626" s="1308" t="str">
        <f t="shared" si="27"/>
        <v/>
      </c>
      <c r="G626" s="1308"/>
      <c r="H626" s="36"/>
      <c r="I626" s="36"/>
      <c r="J626" s="36"/>
      <c r="K626" s="36"/>
      <c r="L626" s="36"/>
      <c r="M626" s="36"/>
      <c r="N626" s="36"/>
      <c r="O626" s="142"/>
      <c r="P626" s="115"/>
      <c r="X626" s="514" t="b">
        <f t="shared" si="28"/>
        <v>0</v>
      </c>
    </row>
    <row r="627" spans="1:24" hidden="1" x14ac:dyDescent="0.25">
      <c r="A627" s="113" t="s">
        <v>0</v>
      </c>
      <c r="B627" s="132"/>
      <c r="C627" s="132"/>
      <c r="D627" s="496">
        <v>87</v>
      </c>
      <c r="E627" s="515" t="str">
        <f t="shared" si="26"/>
        <v/>
      </c>
      <c r="F627" s="1308" t="str">
        <f t="shared" si="27"/>
        <v/>
      </c>
      <c r="G627" s="1308"/>
      <c r="H627" s="36"/>
      <c r="I627" s="36"/>
      <c r="J627" s="36"/>
      <c r="K627" s="36"/>
      <c r="L627" s="36"/>
      <c r="M627" s="36"/>
      <c r="N627" s="36"/>
      <c r="O627" s="142"/>
      <c r="P627" s="115"/>
      <c r="X627" s="514" t="b">
        <f t="shared" si="28"/>
        <v>0</v>
      </c>
    </row>
    <row r="628" spans="1:24" hidden="1" x14ac:dyDescent="0.25">
      <c r="A628" s="113" t="s">
        <v>0</v>
      </c>
      <c r="B628" s="132"/>
      <c r="C628" s="132"/>
      <c r="D628" s="496">
        <v>88</v>
      </c>
      <c r="E628" s="515" t="str">
        <f t="shared" si="26"/>
        <v/>
      </c>
      <c r="F628" s="1308" t="str">
        <f t="shared" si="27"/>
        <v/>
      </c>
      <c r="G628" s="1308"/>
      <c r="H628" s="36"/>
      <c r="I628" s="36"/>
      <c r="J628" s="36"/>
      <c r="K628" s="36"/>
      <c r="L628" s="36"/>
      <c r="M628" s="36"/>
      <c r="N628" s="36"/>
      <c r="O628" s="142"/>
      <c r="P628" s="115"/>
      <c r="X628" s="514" t="b">
        <f t="shared" si="28"/>
        <v>0</v>
      </c>
    </row>
    <row r="629" spans="1:24" hidden="1" x14ac:dyDescent="0.25">
      <c r="A629" s="113" t="s">
        <v>0</v>
      </c>
      <c r="B629" s="132"/>
      <c r="C629" s="132"/>
      <c r="D629" s="496">
        <v>89</v>
      </c>
      <c r="E629" s="515" t="str">
        <f t="shared" si="26"/>
        <v/>
      </c>
      <c r="F629" s="1308" t="str">
        <f t="shared" si="27"/>
        <v/>
      </c>
      <c r="G629" s="1308"/>
      <c r="H629" s="36"/>
      <c r="I629" s="36"/>
      <c r="J629" s="36"/>
      <c r="K629" s="36"/>
      <c r="L629" s="36"/>
      <c r="M629" s="36"/>
      <c r="N629" s="36"/>
      <c r="O629" s="142"/>
      <c r="P629" s="115"/>
      <c r="X629" s="514" t="b">
        <f t="shared" si="28"/>
        <v>0</v>
      </c>
    </row>
    <row r="630" spans="1:24" hidden="1" x14ac:dyDescent="0.25">
      <c r="A630" s="113" t="s">
        <v>0</v>
      </c>
      <c r="B630" s="132"/>
      <c r="C630" s="132"/>
      <c r="D630" s="496">
        <v>90</v>
      </c>
      <c r="E630" s="515" t="str">
        <f t="shared" si="26"/>
        <v/>
      </c>
      <c r="F630" s="1308" t="str">
        <f t="shared" si="27"/>
        <v/>
      </c>
      <c r="G630" s="1308"/>
      <c r="H630" s="36"/>
      <c r="I630" s="36"/>
      <c r="J630" s="36"/>
      <c r="K630" s="36"/>
      <c r="L630" s="36"/>
      <c r="M630" s="36"/>
      <c r="N630" s="36"/>
      <c r="O630" s="142"/>
      <c r="P630" s="115"/>
      <c r="X630" s="514" t="b">
        <f t="shared" si="28"/>
        <v>0</v>
      </c>
    </row>
    <row r="631" spans="1:24" hidden="1" x14ac:dyDescent="0.25">
      <c r="A631" s="113" t="s">
        <v>0</v>
      </c>
      <c r="B631" s="132"/>
      <c r="C631" s="132"/>
      <c r="D631" s="496">
        <v>91</v>
      </c>
      <c r="E631" s="515" t="str">
        <f t="shared" si="26"/>
        <v/>
      </c>
      <c r="F631" s="1308" t="str">
        <f t="shared" si="27"/>
        <v/>
      </c>
      <c r="G631" s="1308"/>
      <c r="H631" s="36"/>
      <c r="I631" s="36"/>
      <c r="J631" s="36"/>
      <c r="K631" s="36"/>
      <c r="L631" s="36"/>
      <c r="M631" s="36"/>
      <c r="N631" s="36"/>
      <c r="O631" s="142"/>
      <c r="P631" s="115"/>
      <c r="X631" s="514" t="b">
        <f t="shared" si="28"/>
        <v>0</v>
      </c>
    </row>
    <row r="632" spans="1:24" hidden="1" x14ac:dyDescent="0.25">
      <c r="A632" s="113" t="s">
        <v>0</v>
      </c>
      <c r="B632" s="132"/>
      <c r="C632" s="132"/>
      <c r="D632" s="496">
        <v>92</v>
      </c>
      <c r="E632" s="515" t="str">
        <f t="shared" si="26"/>
        <v/>
      </c>
      <c r="F632" s="1308" t="str">
        <f t="shared" si="27"/>
        <v/>
      </c>
      <c r="G632" s="1308"/>
      <c r="H632" s="36"/>
      <c r="I632" s="36"/>
      <c r="J632" s="36"/>
      <c r="K632" s="36"/>
      <c r="L632" s="36"/>
      <c r="M632" s="36"/>
      <c r="N632" s="36"/>
      <c r="O632" s="142"/>
      <c r="P632" s="115"/>
      <c r="X632" s="514" t="b">
        <f t="shared" si="28"/>
        <v>0</v>
      </c>
    </row>
    <row r="633" spans="1:24" hidden="1" x14ac:dyDescent="0.25">
      <c r="A633" s="113" t="s">
        <v>0</v>
      </c>
      <c r="B633" s="132"/>
      <c r="C633" s="132"/>
      <c r="D633" s="496">
        <v>93</v>
      </c>
      <c r="E633" s="515" t="str">
        <f t="shared" si="26"/>
        <v/>
      </c>
      <c r="F633" s="1308" t="str">
        <f t="shared" si="27"/>
        <v/>
      </c>
      <c r="G633" s="1308"/>
      <c r="H633" s="36"/>
      <c r="I633" s="36"/>
      <c r="J633" s="36"/>
      <c r="K633" s="36"/>
      <c r="L633" s="36"/>
      <c r="M633" s="36"/>
      <c r="N633" s="36"/>
      <c r="O633" s="142"/>
      <c r="P633" s="115"/>
      <c r="X633" s="514" t="b">
        <f t="shared" si="28"/>
        <v>0</v>
      </c>
    </row>
    <row r="634" spans="1:24" hidden="1" x14ac:dyDescent="0.25">
      <c r="A634" s="113" t="s">
        <v>0</v>
      </c>
      <c r="B634" s="132"/>
      <c r="C634" s="132"/>
      <c r="D634" s="496">
        <v>94</v>
      </c>
      <c r="E634" s="515" t="str">
        <f t="shared" si="26"/>
        <v/>
      </c>
      <c r="F634" s="1308" t="str">
        <f t="shared" si="27"/>
        <v/>
      </c>
      <c r="G634" s="1308"/>
      <c r="H634" s="36"/>
      <c r="I634" s="36"/>
      <c r="J634" s="36"/>
      <c r="K634" s="36"/>
      <c r="L634" s="36"/>
      <c r="M634" s="36"/>
      <c r="N634" s="36"/>
      <c r="O634" s="142"/>
      <c r="P634" s="115"/>
      <c r="X634" s="514" t="b">
        <f t="shared" si="28"/>
        <v>0</v>
      </c>
    </row>
    <row r="635" spans="1:24" hidden="1" x14ac:dyDescent="0.25">
      <c r="A635" s="113" t="s">
        <v>0</v>
      </c>
      <c r="B635" s="132"/>
      <c r="C635" s="132"/>
      <c r="D635" s="496">
        <v>95</v>
      </c>
      <c r="E635" s="515" t="str">
        <f t="shared" si="26"/>
        <v/>
      </c>
      <c r="F635" s="1308" t="str">
        <f t="shared" si="27"/>
        <v/>
      </c>
      <c r="G635" s="1308"/>
      <c r="H635" s="36"/>
      <c r="I635" s="36"/>
      <c r="J635" s="36"/>
      <c r="K635" s="36"/>
      <c r="L635" s="36"/>
      <c r="M635" s="36"/>
      <c r="N635" s="36"/>
      <c r="O635" s="142"/>
      <c r="P635" s="115"/>
      <c r="X635" s="514" t="b">
        <f t="shared" si="28"/>
        <v>0</v>
      </c>
    </row>
    <row r="636" spans="1:24" hidden="1" x14ac:dyDescent="0.25">
      <c r="A636" s="113" t="s">
        <v>0</v>
      </c>
      <c r="B636" s="132"/>
      <c r="C636" s="132"/>
      <c r="D636" s="496">
        <v>96</v>
      </c>
      <c r="E636" s="515" t="str">
        <f t="shared" si="26"/>
        <v/>
      </c>
      <c r="F636" s="1308" t="str">
        <f t="shared" si="27"/>
        <v/>
      </c>
      <c r="G636" s="1308"/>
      <c r="H636" s="36"/>
      <c r="I636" s="36"/>
      <c r="J636" s="36"/>
      <c r="K636" s="36"/>
      <c r="L636" s="36"/>
      <c r="M636" s="36"/>
      <c r="N636" s="36"/>
      <c r="O636" s="142"/>
      <c r="P636" s="115"/>
      <c r="X636" s="514" t="b">
        <f t="shared" si="28"/>
        <v>0</v>
      </c>
    </row>
    <row r="637" spans="1:24" hidden="1" x14ac:dyDescent="0.25">
      <c r="A637" s="113" t="s">
        <v>0</v>
      </c>
      <c r="B637" s="132"/>
      <c r="C637" s="132"/>
      <c r="D637" s="496">
        <v>97</v>
      </c>
      <c r="E637" s="515" t="str">
        <f t="shared" si="26"/>
        <v/>
      </c>
      <c r="F637" s="1308" t="str">
        <f t="shared" si="27"/>
        <v/>
      </c>
      <c r="G637" s="1308"/>
      <c r="H637" s="36"/>
      <c r="I637" s="36"/>
      <c r="J637" s="36"/>
      <c r="K637" s="36"/>
      <c r="L637" s="36"/>
      <c r="M637" s="36"/>
      <c r="N637" s="36"/>
      <c r="O637" s="142"/>
      <c r="P637" s="115"/>
      <c r="X637" s="514" t="b">
        <f t="shared" si="28"/>
        <v>0</v>
      </c>
    </row>
    <row r="638" spans="1:24" hidden="1" x14ac:dyDescent="0.25">
      <c r="A638" s="113" t="s">
        <v>0</v>
      </c>
      <c r="B638" s="132"/>
      <c r="C638" s="132"/>
      <c r="D638" s="496">
        <v>98</v>
      </c>
      <c r="E638" s="515" t="str">
        <f t="shared" si="26"/>
        <v/>
      </c>
      <c r="F638" s="1308" t="str">
        <f t="shared" si="27"/>
        <v/>
      </c>
      <c r="G638" s="1308"/>
      <c r="H638" s="36"/>
      <c r="I638" s="36"/>
      <c r="J638" s="36"/>
      <c r="K638" s="36"/>
      <c r="L638" s="36"/>
      <c r="M638" s="36"/>
      <c r="N638" s="36"/>
      <c r="O638" s="142"/>
      <c r="P638" s="115"/>
      <c r="X638" s="514" t="b">
        <f t="shared" si="28"/>
        <v>0</v>
      </c>
    </row>
    <row r="639" spans="1:24" hidden="1" x14ac:dyDescent="0.25">
      <c r="A639" s="113" t="s">
        <v>0</v>
      </c>
      <c r="B639" s="132"/>
      <c r="C639" s="132"/>
      <c r="D639" s="496">
        <v>99</v>
      </c>
      <c r="E639" s="515" t="str">
        <f t="shared" si="26"/>
        <v/>
      </c>
      <c r="F639" s="1308" t="str">
        <f t="shared" si="27"/>
        <v/>
      </c>
      <c r="G639" s="1308"/>
      <c r="H639" s="36"/>
      <c r="I639" s="36"/>
      <c r="J639" s="36"/>
      <c r="K639" s="36"/>
      <c r="L639" s="36"/>
      <c r="M639" s="36"/>
      <c r="N639" s="36"/>
      <c r="O639" s="142"/>
      <c r="P639" s="115"/>
      <c r="X639" s="514" t="b">
        <f t="shared" si="28"/>
        <v>0</v>
      </c>
    </row>
    <row r="640" spans="1:24" hidden="1" x14ac:dyDescent="0.25">
      <c r="A640" s="113" t="s">
        <v>0</v>
      </c>
      <c r="B640" s="132"/>
      <c r="C640" s="132"/>
      <c r="D640" s="496">
        <v>100</v>
      </c>
      <c r="E640" s="515" t="str">
        <f t="shared" si="26"/>
        <v/>
      </c>
      <c r="F640" s="1308" t="str">
        <f t="shared" si="27"/>
        <v/>
      </c>
      <c r="G640" s="1308"/>
      <c r="H640" s="36"/>
      <c r="I640" s="36"/>
      <c r="J640" s="36"/>
      <c r="K640" s="36"/>
      <c r="L640" s="36"/>
      <c r="M640" s="36"/>
      <c r="N640" s="36"/>
      <c r="O640" s="142"/>
      <c r="P640" s="115"/>
      <c r="X640" s="514" t="b">
        <f t="shared" si="28"/>
        <v>0</v>
      </c>
    </row>
    <row r="641" spans="1:24" hidden="1" x14ac:dyDescent="0.25">
      <c r="A641" s="113" t="s">
        <v>0</v>
      </c>
      <c r="B641" s="132"/>
      <c r="C641" s="132"/>
      <c r="D641" s="496">
        <v>101</v>
      </c>
      <c r="E641" s="515" t="str">
        <f t="shared" si="26"/>
        <v/>
      </c>
      <c r="F641" s="1308" t="str">
        <f t="shared" si="27"/>
        <v/>
      </c>
      <c r="G641" s="1308"/>
      <c r="H641" s="36"/>
      <c r="I641" s="36"/>
      <c r="J641" s="36"/>
      <c r="K641" s="36"/>
      <c r="L641" s="36"/>
      <c r="M641" s="36"/>
      <c r="N641" s="36"/>
      <c r="O641" s="142"/>
      <c r="P641" s="115"/>
      <c r="X641" s="514" t="b">
        <f t="shared" si="28"/>
        <v>0</v>
      </c>
    </row>
    <row r="642" spans="1:24" hidden="1" x14ac:dyDescent="0.25">
      <c r="A642" s="113" t="s">
        <v>0</v>
      </c>
      <c r="B642" s="132"/>
      <c r="C642" s="132"/>
      <c r="D642" s="496">
        <v>102</v>
      </c>
      <c r="E642" s="515" t="str">
        <f t="shared" si="26"/>
        <v/>
      </c>
      <c r="F642" s="1308" t="str">
        <f t="shared" si="27"/>
        <v/>
      </c>
      <c r="G642" s="1308"/>
      <c r="H642" s="36"/>
      <c r="I642" s="36"/>
      <c r="J642" s="36"/>
      <c r="K642" s="36"/>
      <c r="L642" s="36"/>
      <c r="M642" s="36"/>
      <c r="N642" s="36"/>
      <c r="O642" s="142"/>
      <c r="P642" s="115"/>
      <c r="X642" s="514" t="b">
        <f t="shared" si="28"/>
        <v>0</v>
      </c>
    </row>
    <row r="643" spans="1:24" hidden="1" x14ac:dyDescent="0.25">
      <c r="A643" s="113" t="s">
        <v>0</v>
      </c>
      <c r="B643" s="132"/>
      <c r="C643" s="132"/>
      <c r="D643" s="496">
        <v>103</v>
      </c>
      <c r="E643" s="515" t="str">
        <f t="shared" si="26"/>
        <v/>
      </c>
      <c r="F643" s="1308" t="str">
        <f t="shared" si="27"/>
        <v/>
      </c>
      <c r="G643" s="1308"/>
      <c r="H643" s="36"/>
      <c r="I643" s="36"/>
      <c r="J643" s="36"/>
      <c r="K643" s="36"/>
      <c r="L643" s="36"/>
      <c r="M643" s="36"/>
      <c r="N643" s="36"/>
      <c r="O643" s="142"/>
      <c r="P643" s="115"/>
      <c r="X643" s="514" t="b">
        <f t="shared" si="28"/>
        <v>0</v>
      </c>
    </row>
    <row r="644" spans="1:24" hidden="1" x14ac:dyDescent="0.25">
      <c r="A644" s="113" t="s">
        <v>0</v>
      </c>
      <c r="B644" s="132"/>
      <c r="C644" s="132"/>
      <c r="D644" s="496">
        <v>104</v>
      </c>
      <c r="E644" s="515" t="str">
        <f t="shared" si="26"/>
        <v/>
      </c>
      <c r="F644" s="1308" t="str">
        <f t="shared" si="27"/>
        <v/>
      </c>
      <c r="G644" s="1308"/>
      <c r="H644" s="36"/>
      <c r="I644" s="36"/>
      <c r="J644" s="36"/>
      <c r="K644" s="36"/>
      <c r="L644" s="36"/>
      <c r="M644" s="36"/>
      <c r="N644" s="36"/>
      <c r="O644" s="142"/>
      <c r="P644" s="115"/>
      <c r="X644" s="514" t="b">
        <f t="shared" si="28"/>
        <v>0</v>
      </c>
    </row>
    <row r="645" spans="1:24" hidden="1" x14ac:dyDescent="0.25">
      <c r="A645" s="113" t="s">
        <v>0</v>
      </c>
      <c r="B645" s="132"/>
      <c r="C645" s="132"/>
      <c r="D645" s="496">
        <v>105</v>
      </c>
      <c r="E645" s="515" t="str">
        <f t="shared" si="26"/>
        <v/>
      </c>
      <c r="F645" s="1308" t="str">
        <f t="shared" si="27"/>
        <v/>
      </c>
      <c r="G645" s="1308"/>
      <c r="H645" s="36"/>
      <c r="I645" s="36"/>
      <c r="J645" s="36"/>
      <c r="K645" s="36"/>
      <c r="L645" s="36"/>
      <c r="M645" s="36"/>
      <c r="N645" s="36"/>
      <c r="O645" s="142"/>
      <c r="P645" s="115"/>
      <c r="X645" s="514" t="b">
        <f t="shared" si="28"/>
        <v>0</v>
      </c>
    </row>
    <row r="646" spans="1:24" hidden="1" x14ac:dyDescent="0.25">
      <c r="A646" s="113" t="s">
        <v>0</v>
      </c>
      <c r="B646" s="132"/>
      <c r="C646" s="132"/>
      <c r="D646" s="496">
        <v>106</v>
      </c>
      <c r="E646" s="515" t="str">
        <f t="shared" si="26"/>
        <v/>
      </c>
      <c r="F646" s="1308" t="str">
        <f t="shared" si="27"/>
        <v/>
      </c>
      <c r="G646" s="1308"/>
      <c r="H646" s="36"/>
      <c r="I646" s="36"/>
      <c r="J646" s="36"/>
      <c r="K646" s="36"/>
      <c r="L646" s="36"/>
      <c r="M646" s="36"/>
      <c r="N646" s="36"/>
      <c r="O646" s="142"/>
      <c r="P646" s="115"/>
      <c r="X646" s="514" t="b">
        <f t="shared" si="28"/>
        <v>0</v>
      </c>
    </row>
    <row r="647" spans="1:24" hidden="1" x14ac:dyDescent="0.25">
      <c r="A647" s="113" t="s">
        <v>0</v>
      </c>
      <c r="B647" s="132"/>
      <c r="C647" s="132"/>
      <c r="D647" s="496">
        <v>107</v>
      </c>
      <c r="E647" s="515" t="str">
        <f t="shared" si="26"/>
        <v/>
      </c>
      <c r="F647" s="1308" t="str">
        <f t="shared" si="27"/>
        <v/>
      </c>
      <c r="G647" s="1308"/>
      <c r="H647" s="36"/>
      <c r="I647" s="36"/>
      <c r="J647" s="36"/>
      <c r="K647" s="36"/>
      <c r="L647" s="36"/>
      <c r="M647" s="36"/>
      <c r="N647" s="36"/>
      <c r="O647" s="142"/>
      <c r="P647" s="115"/>
      <c r="X647" s="514" t="b">
        <f t="shared" si="28"/>
        <v>0</v>
      </c>
    </row>
    <row r="648" spans="1:24" hidden="1" x14ac:dyDescent="0.25">
      <c r="A648" s="113" t="s">
        <v>0</v>
      </c>
      <c r="B648" s="132"/>
      <c r="C648" s="132"/>
      <c r="D648" s="496">
        <v>108</v>
      </c>
      <c r="E648" s="515" t="str">
        <f t="shared" si="26"/>
        <v/>
      </c>
      <c r="F648" s="1308" t="str">
        <f t="shared" si="27"/>
        <v/>
      </c>
      <c r="G648" s="1308"/>
      <c r="H648" s="36"/>
      <c r="I648" s="36"/>
      <c r="J648" s="36"/>
      <c r="K648" s="36"/>
      <c r="L648" s="36"/>
      <c r="M648" s="36"/>
      <c r="N648" s="36"/>
      <c r="O648" s="142"/>
      <c r="P648" s="115"/>
      <c r="X648" s="514" t="b">
        <f t="shared" si="28"/>
        <v>0</v>
      </c>
    </row>
    <row r="649" spans="1:24" hidden="1" x14ac:dyDescent="0.25">
      <c r="A649" s="113" t="s">
        <v>0</v>
      </c>
      <c r="B649" s="132"/>
      <c r="C649" s="132"/>
      <c r="D649" s="496">
        <v>109</v>
      </c>
      <c r="E649" s="515" t="str">
        <f t="shared" si="26"/>
        <v/>
      </c>
      <c r="F649" s="1308" t="str">
        <f t="shared" si="27"/>
        <v/>
      </c>
      <c r="G649" s="1308"/>
      <c r="H649" s="36"/>
      <c r="I649" s="36"/>
      <c r="J649" s="36"/>
      <c r="K649" s="36"/>
      <c r="L649" s="36"/>
      <c r="M649" s="36"/>
      <c r="N649" s="36"/>
      <c r="O649" s="142"/>
      <c r="P649" s="115"/>
      <c r="X649" s="514" t="b">
        <f t="shared" si="28"/>
        <v>0</v>
      </c>
    </row>
    <row r="650" spans="1:24" hidden="1" x14ac:dyDescent="0.25">
      <c r="A650" s="113" t="s">
        <v>0</v>
      </c>
      <c r="B650" s="132"/>
      <c r="C650" s="132"/>
      <c r="D650" s="496">
        <v>110</v>
      </c>
      <c r="E650" s="515" t="str">
        <f t="shared" si="26"/>
        <v/>
      </c>
      <c r="F650" s="1308" t="str">
        <f t="shared" si="27"/>
        <v/>
      </c>
      <c r="G650" s="1308"/>
      <c r="H650" s="36"/>
      <c r="I650" s="36"/>
      <c r="J650" s="36"/>
      <c r="K650" s="36"/>
      <c r="L650" s="36"/>
      <c r="M650" s="36"/>
      <c r="N650" s="36"/>
      <c r="O650" s="142"/>
      <c r="P650" s="115"/>
      <c r="X650" s="514" t="b">
        <f t="shared" si="28"/>
        <v>0</v>
      </c>
    </row>
    <row r="651" spans="1:24" hidden="1" x14ac:dyDescent="0.25">
      <c r="A651" s="113" t="s">
        <v>0</v>
      </c>
      <c r="B651" s="132"/>
      <c r="C651" s="132"/>
      <c r="D651" s="496">
        <v>111</v>
      </c>
      <c r="E651" s="515" t="str">
        <f t="shared" si="26"/>
        <v/>
      </c>
      <c r="F651" s="1308" t="str">
        <f t="shared" si="27"/>
        <v/>
      </c>
      <c r="G651" s="1308"/>
      <c r="H651" s="36"/>
      <c r="I651" s="36"/>
      <c r="J651" s="36"/>
      <c r="K651" s="36"/>
      <c r="L651" s="36"/>
      <c r="M651" s="36"/>
      <c r="N651" s="36"/>
      <c r="O651" s="142"/>
      <c r="P651" s="115"/>
      <c r="X651" s="514" t="b">
        <f t="shared" si="28"/>
        <v>0</v>
      </c>
    </row>
    <row r="652" spans="1:24" hidden="1" x14ac:dyDescent="0.25">
      <c r="A652" s="113" t="s">
        <v>0</v>
      </c>
      <c r="B652" s="132"/>
      <c r="C652" s="132"/>
      <c r="D652" s="496">
        <v>112</v>
      </c>
      <c r="E652" s="515" t="str">
        <f t="shared" si="26"/>
        <v/>
      </c>
      <c r="F652" s="1308" t="str">
        <f t="shared" si="27"/>
        <v/>
      </c>
      <c r="G652" s="1308"/>
      <c r="H652" s="36"/>
      <c r="I652" s="36"/>
      <c r="J652" s="36"/>
      <c r="K652" s="36"/>
      <c r="L652" s="36"/>
      <c r="M652" s="36"/>
      <c r="N652" s="36"/>
      <c r="O652" s="142"/>
      <c r="P652" s="115"/>
      <c r="X652" s="514" t="b">
        <f t="shared" si="28"/>
        <v>0</v>
      </c>
    </row>
    <row r="653" spans="1:24" hidden="1" x14ac:dyDescent="0.25">
      <c r="A653" s="113" t="s">
        <v>0</v>
      </c>
      <c r="B653" s="132"/>
      <c r="C653" s="132"/>
      <c r="D653" s="496">
        <v>113</v>
      </c>
      <c r="E653" s="515" t="str">
        <f t="shared" si="26"/>
        <v/>
      </c>
      <c r="F653" s="1308" t="str">
        <f t="shared" si="27"/>
        <v/>
      </c>
      <c r="G653" s="1308"/>
      <c r="H653" s="36"/>
      <c r="I653" s="36"/>
      <c r="J653" s="36"/>
      <c r="K653" s="36"/>
      <c r="L653" s="36"/>
      <c r="M653" s="36"/>
      <c r="N653" s="36"/>
      <c r="O653" s="142"/>
      <c r="P653" s="115"/>
      <c r="X653" s="514" t="b">
        <f t="shared" si="28"/>
        <v>0</v>
      </c>
    </row>
    <row r="654" spans="1:24" hidden="1" x14ac:dyDescent="0.25">
      <c r="A654" s="113" t="s">
        <v>0</v>
      </c>
      <c r="B654" s="132"/>
      <c r="C654" s="132"/>
      <c r="D654" s="496">
        <v>114</v>
      </c>
      <c r="E654" s="515" t="str">
        <f t="shared" si="26"/>
        <v/>
      </c>
      <c r="F654" s="1308" t="str">
        <f t="shared" si="27"/>
        <v/>
      </c>
      <c r="G654" s="1308"/>
      <c r="H654" s="36"/>
      <c r="I654" s="36"/>
      <c r="J654" s="36"/>
      <c r="K654" s="36"/>
      <c r="L654" s="36"/>
      <c r="M654" s="36"/>
      <c r="N654" s="36"/>
      <c r="O654" s="142"/>
      <c r="P654" s="115"/>
      <c r="X654" s="514" t="b">
        <f t="shared" si="28"/>
        <v>0</v>
      </c>
    </row>
    <row r="655" spans="1:24" hidden="1" x14ac:dyDescent="0.25">
      <c r="A655" s="113" t="s">
        <v>0</v>
      </c>
      <c r="B655" s="132"/>
      <c r="C655" s="132"/>
      <c r="D655" s="496">
        <v>115</v>
      </c>
      <c r="E655" s="515" t="str">
        <f t="shared" si="26"/>
        <v/>
      </c>
      <c r="F655" s="1308" t="str">
        <f t="shared" si="27"/>
        <v/>
      </c>
      <c r="G655" s="1308"/>
      <c r="H655" s="36"/>
      <c r="I655" s="36"/>
      <c r="J655" s="36"/>
      <c r="K655" s="36"/>
      <c r="L655" s="36"/>
      <c r="M655" s="36"/>
      <c r="N655" s="36"/>
      <c r="O655" s="142"/>
      <c r="P655" s="115"/>
      <c r="X655" s="514" t="b">
        <f t="shared" si="28"/>
        <v>0</v>
      </c>
    </row>
    <row r="656" spans="1:24" hidden="1" x14ac:dyDescent="0.25">
      <c r="A656" s="113" t="s">
        <v>0</v>
      </c>
      <c r="B656" s="132"/>
      <c r="C656" s="132"/>
      <c r="D656" s="496">
        <v>116</v>
      </c>
      <c r="E656" s="515" t="str">
        <f t="shared" si="26"/>
        <v/>
      </c>
      <c r="F656" s="1308" t="str">
        <f t="shared" si="27"/>
        <v/>
      </c>
      <c r="G656" s="1308"/>
      <c r="H656" s="36"/>
      <c r="I656" s="36"/>
      <c r="J656" s="36"/>
      <c r="K656" s="36"/>
      <c r="L656" s="36"/>
      <c r="M656" s="36"/>
      <c r="N656" s="36"/>
      <c r="O656" s="142"/>
      <c r="P656" s="115"/>
      <c r="X656" s="514" t="b">
        <f t="shared" si="28"/>
        <v>0</v>
      </c>
    </row>
    <row r="657" spans="1:24" hidden="1" x14ac:dyDescent="0.25">
      <c r="A657" s="113" t="s">
        <v>0</v>
      </c>
      <c r="B657" s="132"/>
      <c r="C657" s="132"/>
      <c r="D657" s="496">
        <v>117</v>
      </c>
      <c r="E657" s="515" t="str">
        <f t="shared" si="26"/>
        <v/>
      </c>
      <c r="F657" s="1308" t="str">
        <f t="shared" si="27"/>
        <v/>
      </c>
      <c r="G657" s="1308"/>
      <c r="H657" s="36"/>
      <c r="I657" s="36"/>
      <c r="J657" s="36"/>
      <c r="K657" s="36"/>
      <c r="L657" s="36"/>
      <c r="M657" s="36"/>
      <c r="N657" s="36"/>
      <c r="O657" s="142"/>
      <c r="P657" s="115"/>
      <c r="X657" s="514" t="b">
        <f t="shared" si="28"/>
        <v>0</v>
      </c>
    </row>
    <row r="658" spans="1:24" hidden="1" x14ac:dyDescent="0.25">
      <c r="A658" s="113" t="s">
        <v>0</v>
      </c>
      <c r="B658" s="132"/>
      <c r="C658" s="132"/>
      <c r="D658" s="496">
        <v>118</v>
      </c>
      <c r="E658" s="515" t="str">
        <f t="shared" si="26"/>
        <v/>
      </c>
      <c r="F658" s="1308" t="str">
        <f t="shared" si="27"/>
        <v/>
      </c>
      <c r="G658" s="1308"/>
      <c r="H658" s="36"/>
      <c r="I658" s="36"/>
      <c r="J658" s="36"/>
      <c r="K658" s="36"/>
      <c r="L658" s="36"/>
      <c r="M658" s="36"/>
      <c r="N658" s="36"/>
      <c r="O658" s="142"/>
      <c r="P658" s="115"/>
      <c r="X658" s="514" t="b">
        <f t="shared" si="28"/>
        <v>0</v>
      </c>
    </row>
    <row r="659" spans="1:24" hidden="1" x14ac:dyDescent="0.25">
      <c r="A659" s="113" t="s">
        <v>0</v>
      </c>
      <c r="B659" s="132"/>
      <c r="C659" s="132"/>
      <c r="D659" s="496">
        <v>119</v>
      </c>
      <c r="E659" s="515" t="str">
        <f t="shared" si="26"/>
        <v/>
      </c>
      <c r="F659" s="1308" t="str">
        <f t="shared" si="27"/>
        <v/>
      </c>
      <c r="G659" s="1308"/>
      <c r="H659" s="36"/>
      <c r="I659" s="36"/>
      <c r="J659" s="36"/>
      <c r="K659" s="36"/>
      <c r="L659" s="36"/>
      <c r="M659" s="36"/>
      <c r="N659" s="36"/>
      <c r="O659" s="142"/>
      <c r="P659" s="115"/>
      <c r="X659" s="514" t="b">
        <f t="shared" si="28"/>
        <v>0</v>
      </c>
    </row>
    <row r="660" spans="1:24" hidden="1" x14ac:dyDescent="0.25">
      <c r="A660" s="113" t="s">
        <v>0</v>
      </c>
      <c r="B660" s="132"/>
      <c r="C660" s="132"/>
      <c r="D660" s="496">
        <v>120</v>
      </c>
      <c r="E660" s="515" t="str">
        <f t="shared" si="26"/>
        <v/>
      </c>
      <c r="F660" s="1308" t="str">
        <f t="shared" si="27"/>
        <v/>
      </c>
      <c r="G660" s="1308"/>
      <c r="H660" s="36"/>
      <c r="I660" s="36"/>
      <c r="J660" s="36"/>
      <c r="K660" s="36"/>
      <c r="L660" s="36"/>
      <c r="M660" s="36"/>
      <c r="N660" s="36"/>
      <c r="O660" s="142"/>
      <c r="P660" s="115"/>
      <c r="X660" s="514" t="b">
        <f t="shared" si="28"/>
        <v>0</v>
      </c>
    </row>
    <row r="661" spans="1:24" hidden="1" x14ac:dyDescent="0.25">
      <c r="A661" s="113" t="s">
        <v>0</v>
      </c>
      <c r="B661" s="132"/>
      <c r="C661" s="132"/>
      <c r="D661" s="496">
        <v>121</v>
      </c>
      <c r="E661" s="515" t="str">
        <f t="shared" si="26"/>
        <v/>
      </c>
      <c r="F661" s="1308" t="str">
        <f t="shared" si="27"/>
        <v/>
      </c>
      <c r="G661" s="1308"/>
      <c r="H661" s="36"/>
      <c r="I661" s="36"/>
      <c r="J661" s="36"/>
      <c r="K661" s="36"/>
      <c r="L661" s="36"/>
      <c r="M661" s="36"/>
      <c r="N661" s="36"/>
      <c r="O661" s="142"/>
      <c r="P661" s="115"/>
      <c r="X661" s="514" t="b">
        <f t="shared" si="28"/>
        <v>0</v>
      </c>
    </row>
    <row r="662" spans="1:24" hidden="1" x14ac:dyDescent="0.25">
      <c r="A662" s="113" t="s">
        <v>0</v>
      </c>
      <c r="B662" s="132"/>
      <c r="C662" s="132"/>
      <c r="D662" s="496">
        <v>122</v>
      </c>
      <c r="E662" s="515" t="str">
        <f t="shared" si="26"/>
        <v/>
      </c>
      <c r="F662" s="1308" t="str">
        <f t="shared" si="27"/>
        <v/>
      </c>
      <c r="G662" s="1308"/>
      <c r="H662" s="36"/>
      <c r="I662" s="36"/>
      <c r="J662" s="36"/>
      <c r="K662" s="36"/>
      <c r="L662" s="36"/>
      <c r="M662" s="36"/>
      <c r="N662" s="36"/>
      <c r="O662" s="142"/>
      <c r="P662" s="115"/>
      <c r="X662" s="514" t="b">
        <f t="shared" si="28"/>
        <v>0</v>
      </c>
    </row>
    <row r="663" spans="1:24" hidden="1" x14ac:dyDescent="0.25">
      <c r="A663" s="113" t="s">
        <v>0</v>
      </c>
      <c r="B663" s="132"/>
      <c r="C663" s="132"/>
      <c r="D663" s="496">
        <v>123</v>
      </c>
      <c r="E663" s="515" t="str">
        <f t="shared" si="26"/>
        <v/>
      </c>
      <c r="F663" s="1308" t="str">
        <f t="shared" si="27"/>
        <v/>
      </c>
      <c r="G663" s="1308"/>
      <c r="H663" s="36"/>
      <c r="I663" s="36"/>
      <c r="J663" s="36"/>
      <c r="K663" s="36"/>
      <c r="L663" s="36"/>
      <c r="M663" s="36"/>
      <c r="N663" s="36"/>
      <c r="O663" s="142"/>
      <c r="P663" s="115"/>
      <c r="X663" s="514" t="b">
        <f t="shared" si="28"/>
        <v>0</v>
      </c>
    </row>
    <row r="664" spans="1:24" hidden="1" x14ac:dyDescent="0.25">
      <c r="A664" s="113" t="s">
        <v>0</v>
      </c>
      <c r="B664" s="132"/>
      <c r="C664" s="132"/>
      <c r="D664" s="496">
        <v>124</v>
      </c>
      <c r="E664" s="515" t="str">
        <f t="shared" si="26"/>
        <v/>
      </c>
      <c r="F664" s="1308" t="str">
        <f t="shared" si="27"/>
        <v/>
      </c>
      <c r="G664" s="1308"/>
      <c r="H664" s="36"/>
      <c r="I664" s="36"/>
      <c r="J664" s="36"/>
      <c r="K664" s="36"/>
      <c r="L664" s="36"/>
      <c r="M664" s="36"/>
      <c r="N664" s="36"/>
      <c r="O664" s="142"/>
      <c r="P664" s="115"/>
      <c r="X664" s="514" t="b">
        <f t="shared" si="28"/>
        <v>0</v>
      </c>
    </row>
    <row r="665" spans="1:24" hidden="1" x14ac:dyDescent="0.25">
      <c r="A665" s="113" t="s">
        <v>0</v>
      </c>
      <c r="B665" s="132"/>
      <c r="C665" s="132"/>
      <c r="D665" s="496">
        <v>125</v>
      </c>
      <c r="E665" s="515" t="str">
        <f t="shared" si="26"/>
        <v/>
      </c>
      <c r="F665" s="1308" t="str">
        <f t="shared" si="27"/>
        <v/>
      </c>
      <c r="G665" s="1308"/>
      <c r="H665" s="36"/>
      <c r="I665" s="36"/>
      <c r="J665" s="36"/>
      <c r="K665" s="36"/>
      <c r="L665" s="36"/>
      <c r="M665" s="36"/>
      <c r="N665" s="36"/>
      <c r="O665" s="142"/>
      <c r="P665" s="115"/>
      <c r="X665" s="514" t="b">
        <f t="shared" si="28"/>
        <v>0</v>
      </c>
    </row>
    <row r="666" spans="1:24" hidden="1" x14ac:dyDescent="0.25">
      <c r="A666" s="113" t="s">
        <v>0</v>
      </c>
      <c r="B666" s="132"/>
      <c r="C666" s="132"/>
      <c r="D666" s="496">
        <v>126</v>
      </c>
      <c r="E666" s="515" t="str">
        <f t="shared" si="26"/>
        <v/>
      </c>
      <c r="F666" s="1308" t="str">
        <f t="shared" si="27"/>
        <v/>
      </c>
      <c r="G666" s="1308"/>
      <c r="H666" s="36"/>
      <c r="I666" s="36"/>
      <c r="J666" s="36"/>
      <c r="K666" s="36"/>
      <c r="L666" s="36"/>
      <c r="M666" s="36"/>
      <c r="N666" s="36"/>
      <c r="O666" s="142"/>
      <c r="P666" s="115"/>
      <c r="X666" s="514" t="b">
        <f t="shared" si="28"/>
        <v>0</v>
      </c>
    </row>
    <row r="667" spans="1:24" hidden="1" x14ac:dyDescent="0.25">
      <c r="A667" s="113" t="s">
        <v>0</v>
      </c>
      <c r="B667" s="132"/>
      <c r="C667" s="132"/>
      <c r="D667" s="496">
        <v>127</v>
      </c>
      <c r="E667" s="515" t="str">
        <f t="shared" si="26"/>
        <v/>
      </c>
      <c r="F667" s="1308" t="str">
        <f t="shared" si="27"/>
        <v/>
      </c>
      <c r="G667" s="1308"/>
      <c r="H667" s="36"/>
      <c r="I667" s="36"/>
      <c r="J667" s="36"/>
      <c r="K667" s="36"/>
      <c r="L667" s="36"/>
      <c r="M667" s="36"/>
      <c r="N667" s="36"/>
      <c r="O667" s="142"/>
      <c r="P667" s="115"/>
      <c r="X667" s="514" t="b">
        <f t="shared" si="28"/>
        <v>0</v>
      </c>
    </row>
    <row r="668" spans="1:24" hidden="1" x14ac:dyDescent="0.25">
      <c r="A668" s="113" t="s">
        <v>0</v>
      </c>
      <c r="B668" s="132"/>
      <c r="C668" s="132"/>
      <c r="D668" s="496">
        <v>128</v>
      </c>
      <c r="E668" s="515" t="str">
        <f t="shared" si="26"/>
        <v/>
      </c>
      <c r="F668" s="1308" t="str">
        <f t="shared" si="27"/>
        <v/>
      </c>
      <c r="G668" s="1308"/>
      <c r="H668" s="36"/>
      <c r="I668" s="36"/>
      <c r="J668" s="36"/>
      <c r="K668" s="36"/>
      <c r="L668" s="36"/>
      <c r="M668" s="36"/>
      <c r="N668" s="36"/>
      <c r="O668" s="142"/>
      <c r="P668" s="115"/>
      <c r="X668" s="514" t="b">
        <f t="shared" si="28"/>
        <v>0</v>
      </c>
    </row>
    <row r="669" spans="1:24" hidden="1" x14ac:dyDescent="0.25">
      <c r="A669" s="113" t="s">
        <v>0</v>
      </c>
      <c r="B669" s="132"/>
      <c r="C669" s="132"/>
      <c r="D669" s="496">
        <v>129</v>
      </c>
      <c r="E669" s="515" t="str">
        <f t="shared" si="26"/>
        <v/>
      </c>
      <c r="F669" s="1308" t="str">
        <f t="shared" si="27"/>
        <v/>
      </c>
      <c r="G669" s="1308"/>
      <c r="H669" s="36"/>
      <c r="I669" s="36"/>
      <c r="J669" s="36"/>
      <c r="K669" s="36"/>
      <c r="L669" s="36"/>
      <c r="M669" s="36"/>
      <c r="N669" s="36"/>
      <c r="O669" s="142"/>
      <c r="P669" s="115"/>
      <c r="X669" s="514" t="b">
        <f t="shared" si="28"/>
        <v>0</v>
      </c>
    </row>
    <row r="670" spans="1:24" hidden="1" x14ac:dyDescent="0.25">
      <c r="A670" s="113" t="s">
        <v>0</v>
      </c>
      <c r="B670" s="132"/>
      <c r="C670" s="132"/>
      <c r="D670" s="496">
        <v>130</v>
      </c>
      <c r="E670" s="515" t="str">
        <f t="shared" si="26"/>
        <v/>
      </c>
      <c r="F670" s="1308" t="str">
        <f t="shared" si="27"/>
        <v/>
      </c>
      <c r="G670" s="1308"/>
      <c r="H670" s="36"/>
      <c r="I670" s="36"/>
      <c r="J670" s="36"/>
      <c r="K670" s="36"/>
      <c r="L670" s="36"/>
      <c r="M670" s="36"/>
      <c r="N670" s="36"/>
      <c r="O670" s="142"/>
      <c r="P670" s="115"/>
      <c r="X670" s="514" t="b">
        <f t="shared" si="28"/>
        <v>0</v>
      </c>
    </row>
    <row r="671" spans="1:24" hidden="1" x14ac:dyDescent="0.25">
      <c r="A671" s="113" t="s">
        <v>0</v>
      </c>
      <c r="B671" s="132"/>
      <c r="C671" s="132"/>
      <c r="D671" s="496">
        <v>131</v>
      </c>
      <c r="E671" s="515" t="str">
        <f t="shared" si="26"/>
        <v/>
      </c>
      <c r="F671" s="1308" t="str">
        <f t="shared" si="27"/>
        <v/>
      </c>
      <c r="G671" s="1308"/>
      <c r="H671" s="36"/>
      <c r="I671" s="36"/>
      <c r="J671" s="36"/>
      <c r="K671" s="36"/>
      <c r="L671" s="36"/>
      <c r="M671" s="36"/>
      <c r="N671" s="36"/>
      <c r="O671" s="142"/>
      <c r="P671" s="115"/>
      <c r="X671" s="514" t="b">
        <f t="shared" si="28"/>
        <v>0</v>
      </c>
    </row>
    <row r="672" spans="1:24" hidden="1" x14ac:dyDescent="0.25">
      <c r="A672" s="113" t="s">
        <v>0</v>
      </c>
      <c r="B672" s="132"/>
      <c r="C672" s="132"/>
      <c r="D672" s="496">
        <v>132</v>
      </c>
      <c r="E672" s="515" t="str">
        <f t="shared" si="26"/>
        <v/>
      </c>
      <c r="F672" s="1308" t="str">
        <f t="shared" si="27"/>
        <v/>
      </c>
      <c r="G672" s="1308"/>
      <c r="H672" s="36"/>
      <c r="I672" s="36"/>
      <c r="J672" s="36"/>
      <c r="K672" s="36"/>
      <c r="L672" s="36"/>
      <c r="M672" s="36"/>
      <c r="N672" s="36"/>
      <c r="O672" s="142"/>
      <c r="P672" s="115"/>
      <c r="X672" s="514" t="b">
        <f t="shared" si="28"/>
        <v>0</v>
      </c>
    </row>
    <row r="673" spans="1:24" hidden="1" x14ac:dyDescent="0.25">
      <c r="A673" s="113" t="s">
        <v>0</v>
      </c>
      <c r="B673" s="132"/>
      <c r="C673" s="132"/>
      <c r="D673" s="496">
        <v>133</v>
      </c>
      <c r="E673" s="515" t="str">
        <f t="shared" si="26"/>
        <v/>
      </c>
      <c r="F673" s="1308" t="str">
        <f t="shared" si="27"/>
        <v/>
      </c>
      <c r="G673" s="1308"/>
      <c r="H673" s="36"/>
      <c r="I673" s="36"/>
      <c r="J673" s="36"/>
      <c r="K673" s="36"/>
      <c r="L673" s="36"/>
      <c r="M673" s="36"/>
      <c r="N673" s="36"/>
      <c r="O673" s="142"/>
      <c r="P673" s="115"/>
      <c r="X673" s="514" t="b">
        <f t="shared" si="28"/>
        <v>0</v>
      </c>
    </row>
    <row r="674" spans="1:24" hidden="1" x14ac:dyDescent="0.25">
      <c r="A674" s="113" t="s">
        <v>0</v>
      </c>
      <c r="B674" s="132"/>
      <c r="C674" s="132"/>
      <c r="D674" s="496">
        <v>134</v>
      </c>
      <c r="E674" s="515" t="str">
        <f t="shared" si="26"/>
        <v/>
      </c>
      <c r="F674" s="1308" t="str">
        <f t="shared" si="27"/>
        <v/>
      </c>
      <c r="G674" s="1308"/>
      <c r="H674" s="36"/>
      <c r="I674" s="36"/>
      <c r="J674" s="36"/>
      <c r="K674" s="36"/>
      <c r="L674" s="36"/>
      <c r="M674" s="36"/>
      <c r="N674" s="36"/>
      <c r="O674" s="142"/>
      <c r="P674" s="115"/>
      <c r="X674" s="514" t="b">
        <f t="shared" si="28"/>
        <v>0</v>
      </c>
    </row>
    <row r="675" spans="1:24" hidden="1" x14ac:dyDescent="0.25">
      <c r="A675" s="113" t="s">
        <v>0</v>
      </c>
      <c r="B675" s="132"/>
      <c r="C675" s="132"/>
      <c r="D675" s="496">
        <v>135</v>
      </c>
      <c r="E675" s="515" t="str">
        <f t="shared" si="26"/>
        <v/>
      </c>
      <c r="F675" s="1308" t="str">
        <f t="shared" si="27"/>
        <v/>
      </c>
      <c r="G675" s="1308"/>
      <c r="H675" s="36"/>
      <c r="I675" s="36"/>
      <c r="J675" s="36"/>
      <c r="K675" s="36"/>
      <c r="L675" s="36"/>
      <c r="M675" s="36"/>
      <c r="N675" s="36"/>
      <c r="O675" s="142"/>
      <c r="P675" s="115"/>
      <c r="X675" s="514" t="b">
        <f t="shared" si="28"/>
        <v>0</v>
      </c>
    </row>
    <row r="676" spans="1:24" hidden="1" x14ac:dyDescent="0.25">
      <c r="A676" s="113" t="s">
        <v>0</v>
      </c>
      <c r="B676" s="132"/>
      <c r="C676" s="132"/>
      <c r="D676" s="496">
        <v>136</v>
      </c>
      <c r="E676" s="515" t="str">
        <f t="shared" si="26"/>
        <v/>
      </c>
      <c r="F676" s="1308" t="str">
        <f t="shared" si="27"/>
        <v/>
      </c>
      <c r="G676" s="1308"/>
      <c r="H676" s="36"/>
      <c r="I676" s="36"/>
      <c r="J676" s="36"/>
      <c r="K676" s="36"/>
      <c r="L676" s="36"/>
      <c r="M676" s="36"/>
      <c r="N676" s="36"/>
      <c r="O676" s="142"/>
      <c r="P676" s="115"/>
      <c r="X676" s="514" t="b">
        <f t="shared" si="28"/>
        <v>0</v>
      </c>
    </row>
    <row r="677" spans="1:24" hidden="1" x14ac:dyDescent="0.25">
      <c r="A677" s="113" t="s">
        <v>0</v>
      </c>
      <c r="B677" s="132"/>
      <c r="C677" s="132"/>
      <c r="D677" s="496">
        <v>137</v>
      </c>
      <c r="E677" s="515" t="str">
        <f t="shared" si="26"/>
        <v/>
      </c>
      <c r="F677" s="1308" t="str">
        <f t="shared" si="27"/>
        <v/>
      </c>
      <c r="G677" s="1308"/>
      <c r="H677" s="36"/>
      <c r="I677" s="36"/>
      <c r="J677" s="36"/>
      <c r="K677" s="36"/>
      <c r="L677" s="36"/>
      <c r="M677" s="36"/>
      <c r="N677" s="36"/>
      <c r="O677" s="142"/>
      <c r="P677" s="115"/>
      <c r="X677" s="514" t="b">
        <f t="shared" si="28"/>
        <v>0</v>
      </c>
    </row>
    <row r="678" spans="1:24" hidden="1" x14ac:dyDescent="0.25">
      <c r="A678" s="113" t="s">
        <v>0</v>
      </c>
      <c r="B678" s="132"/>
      <c r="C678" s="132"/>
      <c r="D678" s="496">
        <v>138</v>
      </c>
      <c r="E678" s="515" t="str">
        <f t="shared" si="26"/>
        <v/>
      </c>
      <c r="F678" s="1308" t="str">
        <f t="shared" si="27"/>
        <v/>
      </c>
      <c r="G678" s="1308"/>
      <c r="H678" s="36"/>
      <c r="I678" s="36"/>
      <c r="J678" s="36"/>
      <c r="K678" s="36"/>
      <c r="L678" s="36"/>
      <c r="M678" s="36"/>
      <c r="N678" s="36"/>
      <c r="O678" s="142"/>
      <c r="P678" s="115"/>
      <c r="X678" s="514" t="b">
        <f t="shared" si="28"/>
        <v>0</v>
      </c>
    </row>
    <row r="679" spans="1:24" hidden="1" x14ac:dyDescent="0.25">
      <c r="A679" s="113" t="s">
        <v>0</v>
      </c>
      <c r="B679" s="132"/>
      <c r="C679" s="132"/>
      <c r="D679" s="496">
        <v>139</v>
      </c>
      <c r="E679" s="515" t="str">
        <f t="shared" si="26"/>
        <v/>
      </c>
      <c r="F679" s="1308" t="str">
        <f t="shared" si="27"/>
        <v/>
      </c>
      <c r="G679" s="1308"/>
      <c r="H679" s="36"/>
      <c r="I679" s="36"/>
      <c r="J679" s="36"/>
      <c r="K679" s="36"/>
      <c r="L679" s="36"/>
      <c r="M679" s="36"/>
      <c r="N679" s="36"/>
      <c r="O679" s="142"/>
      <c r="P679" s="115"/>
      <c r="X679" s="514" t="b">
        <f t="shared" si="28"/>
        <v>0</v>
      </c>
    </row>
    <row r="680" spans="1:24" hidden="1" x14ac:dyDescent="0.25">
      <c r="A680" s="113" t="s">
        <v>0</v>
      </c>
      <c r="B680" s="132"/>
      <c r="C680" s="132"/>
      <c r="D680" s="496">
        <v>140</v>
      </c>
      <c r="E680" s="515" t="str">
        <f t="shared" si="26"/>
        <v/>
      </c>
      <c r="F680" s="1308" t="str">
        <f t="shared" si="27"/>
        <v/>
      </c>
      <c r="G680" s="1308"/>
      <c r="H680" s="36"/>
      <c r="I680" s="36"/>
      <c r="J680" s="36"/>
      <c r="K680" s="36"/>
      <c r="L680" s="36"/>
      <c r="M680" s="36"/>
      <c r="N680" s="36"/>
      <c r="O680" s="142"/>
      <c r="P680" s="115"/>
      <c r="X680" s="514" t="b">
        <f t="shared" si="28"/>
        <v>0</v>
      </c>
    </row>
    <row r="681" spans="1:24" hidden="1" x14ac:dyDescent="0.25">
      <c r="A681" s="113" t="s">
        <v>0</v>
      </c>
      <c r="B681" s="132"/>
      <c r="C681" s="132"/>
      <c r="D681" s="496">
        <v>141</v>
      </c>
      <c r="E681" s="515" t="str">
        <f t="shared" si="26"/>
        <v/>
      </c>
      <c r="F681" s="1308" t="str">
        <f t="shared" si="27"/>
        <v/>
      </c>
      <c r="G681" s="1308"/>
      <c r="H681" s="36"/>
      <c r="I681" s="36"/>
      <c r="J681" s="36"/>
      <c r="K681" s="36"/>
      <c r="L681" s="36"/>
      <c r="M681" s="36"/>
      <c r="N681" s="36"/>
      <c r="O681" s="142"/>
      <c r="P681" s="115"/>
      <c r="X681" s="514" t="b">
        <f t="shared" si="28"/>
        <v>0</v>
      </c>
    </row>
    <row r="682" spans="1:24" hidden="1" x14ac:dyDescent="0.25">
      <c r="A682" s="113" t="s">
        <v>0</v>
      </c>
      <c r="B682" s="132"/>
      <c r="C682" s="132"/>
      <c r="D682" s="496">
        <v>142</v>
      </c>
      <c r="E682" s="515" t="str">
        <f t="shared" si="26"/>
        <v/>
      </c>
      <c r="F682" s="1308" t="str">
        <f t="shared" si="27"/>
        <v/>
      </c>
      <c r="G682" s="1308"/>
      <c r="H682" s="36"/>
      <c r="I682" s="36"/>
      <c r="J682" s="36"/>
      <c r="K682" s="36"/>
      <c r="L682" s="36"/>
      <c r="M682" s="36"/>
      <c r="N682" s="36"/>
      <c r="O682" s="142"/>
      <c r="P682" s="115"/>
      <c r="X682" s="514" t="b">
        <f t="shared" si="28"/>
        <v>0</v>
      </c>
    </row>
    <row r="683" spans="1:24" hidden="1" x14ac:dyDescent="0.25">
      <c r="A683" s="113" t="s">
        <v>0</v>
      </c>
      <c r="B683" s="132"/>
      <c r="C683" s="132"/>
      <c r="D683" s="496">
        <v>143</v>
      </c>
      <c r="E683" s="515" t="str">
        <f t="shared" si="26"/>
        <v/>
      </c>
      <c r="F683" s="1308" t="str">
        <f t="shared" si="27"/>
        <v/>
      </c>
      <c r="G683" s="1308"/>
      <c r="H683" s="36"/>
      <c r="I683" s="36"/>
      <c r="J683" s="36"/>
      <c r="K683" s="36"/>
      <c r="L683" s="36"/>
      <c r="M683" s="36"/>
      <c r="N683" s="36"/>
      <c r="O683" s="142"/>
      <c r="P683" s="115"/>
      <c r="X683" s="514" t="b">
        <f t="shared" si="28"/>
        <v>0</v>
      </c>
    </row>
    <row r="684" spans="1:24" hidden="1" x14ac:dyDescent="0.25">
      <c r="A684" s="113" t="s">
        <v>0</v>
      </c>
      <c r="B684" s="132"/>
      <c r="C684" s="132"/>
      <c r="D684" s="496">
        <v>144</v>
      </c>
      <c r="E684" s="515" t="str">
        <f t="shared" si="26"/>
        <v/>
      </c>
      <c r="F684" s="1308" t="str">
        <f t="shared" si="27"/>
        <v/>
      </c>
      <c r="G684" s="1308"/>
      <c r="H684" s="36"/>
      <c r="I684" s="36"/>
      <c r="J684" s="36"/>
      <c r="K684" s="36"/>
      <c r="L684" s="36"/>
      <c r="M684" s="36"/>
      <c r="N684" s="36"/>
      <c r="O684" s="142"/>
      <c r="P684" s="115"/>
      <c r="X684" s="514" t="b">
        <f t="shared" si="28"/>
        <v>0</v>
      </c>
    </row>
    <row r="685" spans="1:24" hidden="1" x14ac:dyDescent="0.25">
      <c r="A685" s="113" t="s">
        <v>0</v>
      </c>
      <c r="B685" s="132"/>
      <c r="C685" s="132"/>
      <c r="D685" s="496">
        <v>145</v>
      </c>
      <c r="E685" s="515" t="str">
        <f t="shared" si="26"/>
        <v/>
      </c>
      <c r="F685" s="1308" t="str">
        <f t="shared" si="27"/>
        <v/>
      </c>
      <c r="G685" s="1308"/>
      <c r="H685" s="36"/>
      <c r="I685" s="36"/>
      <c r="J685" s="36"/>
      <c r="K685" s="36"/>
      <c r="L685" s="36"/>
      <c r="M685" s="36"/>
      <c r="N685" s="36"/>
      <c r="O685" s="142"/>
      <c r="P685" s="115"/>
      <c r="X685" s="514" t="b">
        <f t="shared" si="28"/>
        <v>0</v>
      </c>
    </row>
    <row r="686" spans="1:24" hidden="1" x14ac:dyDescent="0.25">
      <c r="A686" s="113" t="s">
        <v>0</v>
      </c>
      <c r="B686" s="132"/>
      <c r="C686" s="132"/>
      <c r="D686" s="496">
        <v>146</v>
      </c>
      <c r="E686" s="515" t="str">
        <f t="shared" si="26"/>
        <v/>
      </c>
      <c r="F686" s="1308" t="str">
        <f t="shared" si="27"/>
        <v/>
      </c>
      <c r="G686" s="1308"/>
      <c r="H686" s="36"/>
      <c r="I686" s="36"/>
      <c r="J686" s="36"/>
      <c r="K686" s="36"/>
      <c r="L686" s="36"/>
      <c r="M686" s="36"/>
      <c r="N686" s="36"/>
      <c r="O686" s="142"/>
      <c r="P686" s="115"/>
      <c r="X686" s="514" t="b">
        <f t="shared" si="28"/>
        <v>0</v>
      </c>
    </row>
    <row r="687" spans="1:24" hidden="1" x14ac:dyDescent="0.25">
      <c r="A687" s="113" t="s">
        <v>0</v>
      </c>
      <c r="B687" s="132"/>
      <c r="C687" s="132"/>
      <c r="D687" s="496">
        <v>147</v>
      </c>
      <c r="E687" s="515" t="str">
        <f t="shared" si="26"/>
        <v/>
      </c>
      <c r="F687" s="1308" t="str">
        <f t="shared" si="27"/>
        <v/>
      </c>
      <c r="G687" s="1308"/>
      <c r="H687" s="36"/>
      <c r="I687" s="36"/>
      <c r="J687" s="36"/>
      <c r="K687" s="36"/>
      <c r="L687" s="36"/>
      <c r="M687" s="36"/>
      <c r="N687" s="36"/>
      <c r="O687" s="142"/>
      <c r="P687" s="115"/>
      <c r="X687" s="514" t="b">
        <f t="shared" si="28"/>
        <v>0</v>
      </c>
    </row>
    <row r="688" spans="1:24" hidden="1" x14ac:dyDescent="0.25">
      <c r="A688" s="113" t="s">
        <v>0</v>
      </c>
      <c r="B688" s="132"/>
      <c r="C688" s="132"/>
      <c r="D688" s="496">
        <v>148</v>
      </c>
      <c r="E688" s="515" t="str">
        <f t="shared" ref="E688:E751" si="29">IF(E434="","",E434)</f>
        <v/>
      </c>
      <c r="F688" s="1308" t="str">
        <f t="shared" ref="F688:F751" si="30">IF(H434="","",H434)</f>
        <v/>
      </c>
      <c r="G688" s="1308"/>
      <c r="H688" s="36"/>
      <c r="I688" s="36"/>
      <c r="J688" s="36"/>
      <c r="K688" s="36"/>
      <c r="L688" s="36"/>
      <c r="M688" s="36"/>
      <c r="N688" s="36"/>
      <c r="O688" s="142"/>
      <c r="P688" s="115"/>
      <c r="X688" s="514" t="b">
        <f t="shared" ref="X688:X751" si="31">AND(COUNTA($E$30:$E$279)&gt;0,E688="")</f>
        <v>0</v>
      </c>
    </row>
    <row r="689" spans="1:24" hidden="1" x14ac:dyDescent="0.25">
      <c r="A689" s="113" t="s">
        <v>0</v>
      </c>
      <c r="B689" s="132"/>
      <c r="C689" s="132"/>
      <c r="D689" s="496">
        <v>149</v>
      </c>
      <c r="E689" s="515" t="str">
        <f t="shared" si="29"/>
        <v/>
      </c>
      <c r="F689" s="1308" t="str">
        <f t="shared" si="30"/>
        <v/>
      </c>
      <c r="G689" s="1308"/>
      <c r="H689" s="36"/>
      <c r="I689" s="36"/>
      <c r="J689" s="36"/>
      <c r="K689" s="36"/>
      <c r="L689" s="36"/>
      <c r="M689" s="36"/>
      <c r="N689" s="36"/>
      <c r="O689" s="142"/>
      <c r="P689" s="115"/>
      <c r="X689" s="514" t="b">
        <f t="shared" si="31"/>
        <v>0</v>
      </c>
    </row>
    <row r="690" spans="1:24" hidden="1" x14ac:dyDescent="0.25">
      <c r="A690" s="113" t="s">
        <v>0</v>
      </c>
      <c r="B690" s="132"/>
      <c r="C690" s="132"/>
      <c r="D690" s="496">
        <v>150</v>
      </c>
      <c r="E690" s="515" t="str">
        <f t="shared" si="29"/>
        <v/>
      </c>
      <c r="F690" s="1308" t="str">
        <f t="shared" si="30"/>
        <v/>
      </c>
      <c r="G690" s="1308"/>
      <c r="H690" s="36"/>
      <c r="I690" s="36"/>
      <c r="J690" s="36"/>
      <c r="K690" s="36"/>
      <c r="L690" s="36"/>
      <c r="M690" s="36"/>
      <c r="N690" s="36"/>
      <c r="O690" s="142"/>
      <c r="P690" s="115"/>
      <c r="X690" s="514" t="b">
        <f t="shared" si="31"/>
        <v>0</v>
      </c>
    </row>
    <row r="691" spans="1:24" hidden="1" x14ac:dyDescent="0.25">
      <c r="A691" s="113" t="s">
        <v>0</v>
      </c>
      <c r="B691" s="132"/>
      <c r="C691" s="132"/>
      <c r="D691" s="496">
        <v>151</v>
      </c>
      <c r="E691" s="515" t="str">
        <f t="shared" si="29"/>
        <v/>
      </c>
      <c r="F691" s="1308" t="str">
        <f t="shared" si="30"/>
        <v/>
      </c>
      <c r="G691" s="1308"/>
      <c r="H691" s="36"/>
      <c r="I691" s="36"/>
      <c r="J691" s="36"/>
      <c r="K691" s="36"/>
      <c r="L691" s="36"/>
      <c r="M691" s="36"/>
      <c r="N691" s="36"/>
      <c r="O691" s="142"/>
      <c r="P691" s="115"/>
      <c r="X691" s="514" t="b">
        <f t="shared" si="31"/>
        <v>0</v>
      </c>
    </row>
    <row r="692" spans="1:24" hidden="1" x14ac:dyDescent="0.25">
      <c r="A692" s="113" t="s">
        <v>0</v>
      </c>
      <c r="B692" s="132"/>
      <c r="C692" s="132"/>
      <c r="D692" s="496">
        <v>152</v>
      </c>
      <c r="E692" s="515" t="str">
        <f t="shared" si="29"/>
        <v/>
      </c>
      <c r="F692" s="1308" t="str">
        <f t="shared" si="30"/>
        <v/>
      </c>
      <c r="G692" s="1308"/>
      <c r="H692" s="36"/>
      <c r="I692" s="36"/>
      <c r="J692" s="36"/>
      <c r="K692" s="36"/>
      <c r="L692" s="36"/>
      <c r="M692" s="36"/>
      <c r="N692" s="36"/>
      <c r="O692" s="142"/>
      <c r="P692" s="115"/>
      <c r="X692" s="514" t="b">
        <f t="shared" si="31"/>
        <v>0</v>
      </c>
    </row>
    <row r="693" spans="1:24" hidden="1" x14ac:dyDescent="0.25">
      <c r="A693" s="113" t="s">
        <v>0</v>
      </c>
      <c r="B693" s="132"/>
      <c r="C693" s="132"/>
      <c r="D693" s="496">
        <v>153</v>
      </c>
      <c r="E693" s="515" t="str">
        <f t="shared" si="29"/>
        <v/>
      </c>
      <c r="F693" s="1308" t="str">
        <f t="shared" si="30"/>
        <v/>
      </c>
      <c r="G693" s="1308"/>
      <c r="H693" s="36"/>
      <c r="I693" s="36"/>
      <c r="J693" s="36"/>
      <c r="K693" s="36"/>
      <c r="L693" s="36"/>
      <c r="M693" s="36"/>
      <c r="N693" s="36"/>
      <c r="O693" s="142"/>
      <c r="P693" s="115"/>
      <c r="X693" s="514" t="b">
        <f t="shared" si="31"/>
        <v>0</v>
      </c>
    </row>
    <row r="694" spans="1:24" hidden="1" x14ac:dyDescent="0.25">
      <c r="A694" s="113" t="s">
        <v>0</v>
      </c>
      <c r="B694" s="132"/>
      <c r="C694" s="132"/>
      <c r="D694" s="496">
        <v>154</v>
      </c>
      <c r="E694" s="515" t="str">
        <f t="shared" si="29"/>
        <v/>
      </c>
      <c r="F694" s="1308" t="str">
        <f t="shared" si="30"/>
        <v/>
      </c>
      <c r="G694" s="1308"/>
      <c r="H694" s="36"/>
      <c r="I694" s="36"/>
      <c r="J694" s="36"/>
      <c r="K694" s="36"/>
      <c r="L694" s="36"/>
      <c r="M694" s="36"/>
      <c r="N694" s="36"/>
      <c r="O694" s="142"/>
      <c r="P694" s="115"/>
      <c r="X694" s="514" t="b">
        <f t="shared" si="31"/>
        <v>0</v>
      </c>
    </row>
    <row r="695" spans="1:24" hidden="1" x14ac:dyDescent="0.25">
      <c r="A695" s="113" t="s">
        <v>0</v>
      </c>
      <c r="B695" s="132"/>
      <c r="C695" s="132"/>
      <c r="D695" s="496">
        <v>155</v>
      </c>
      <c r="E695" s="515" t="str">
        <f t="shared" si="29"/>
        <v/>
      </c>
      <c r="F695" s="1308" t="str">
        <f t="shared" si="30"/>
        <v/>
      </c>
      <c r="G695" s="1308"/>
      <c r="H695" s="36"/>
      <c r="I695" s="36"/>
      <c r="J695" s="36"/>
      <c r="K695" s="36"/>
      <c r="L695" s="36"/>
      <c r="M695" s="36"/>
      <c r="N695" s="36"/>
      <c r="O695" s="142"/>
      <c r="P695" s="115"/>
      <c r="X695" s="514" t="b">
        <f t="shared" si="31"/>
        <v>0</v>
      </c>
    </row>
    <row r="696" spans="1:24" hidden="1" x14ac:dyDescent="0.25">
      <c r="A696" s="113" t="s">
        <v>0</v>
      </c>
      <c r="B696" s="132"/>
      <c r="C696" s="132"/>
      <c r="D696" s="496">
        <v>156</v>
      </c>
      <c r="E696" s="515" t="str">
        <f t="shared" si="29"/>
        <v/>
      </c>
      <c r="F696" s="1308" t="str">
        <f t="shared" si="30"/>
        <v/>
      </c>
      <c r="G696" s="1308"/>
      <c r="H696" s="36"/>
      <c r="I696" s="36"/>
      <c r="J696" s="36"/>
      <c r="K696" s="36"/>
      <c r="L696" s="36"/>
      <c r="M696" s="36"/>
      <c r="N696" s="36"/>
      <c r="O696" s="142"/>
      <c r="P696" s="115"/>
      <c r="X696" s="514" t="b">
        <f t="shared" si="31"/>
        <v>0</v>
      </c>
    </row>
    <row r="697" spans="1:24" hidden="1" x14ac:dyDescent="0.25">
      <c r="A697" s="113" t="s">
        <v>0</v>
      </c>
      <c r="B697" s="132"/>
      <c r="C697" s="132"/>
      <c r="D697" s="496">
        <v>157</v>
      </c>
      <c r="E697" s="515" t="str">
        <f t="shared" si="29"/>
        <v/>
      </c>
      <c r="F697" s="1308" t="str">
        <f t="shared" si="30"/>
        <v/>
      </c>
      <c r="G697" s="1308"/>
      <c r="H697" s="36"/>
      <c r="I697" s="36"/>
      <c r="J697" s="36"/>
      <c r="K697" s="36"/>
      <c r="L697" s="36"/>
      <c r="M697" s="36"/>
      <c r="N697" s="36"/>
      <c r="O697" s="142"/>
      <c r="P697" s="115"/>
      <c r="X697" s="514" t="b">
        <f t="shared" si="31"/>
        <v>0</v>
      </c>
    </row>
    <row r="698" spans="1:24" hidden="1" x14ac:dyDescent="0.25">
      <c r="A698" s="113" t="s">
        <v>0</v>
      </c>
      <c r="B698" s="132"/>
      <c r="C698" s="132"/>
      <c r="D698" s="496">
        <v>158</v>
      </c>
      <c r="E698" s="515" t="str">
        <f t="shared" si="29"/>
        <v/>
      </c>
      <c r="F698" s="1308" t="str">
        <f t="shared" si="30"/>
        <v/>
      </c>
      <c r="G698" s="1308"/>
      <c r="H698" s="36"/>
      <c r="I698" s="36"/>
      <c r="J698" s="36"/>
      <c r="K698" s="36"/>
      <c r="L698" s="36"/>
      <c r="M698" s="36"/>
      <c r="N698" s="36"/>
      <c r="O698" s="142"/>
      <c r="P698" s="115"/>
      <c r="X698" s="514" t="b">
        <f t="shared" si="31"/>
        <v>0</v>
      </c>
    </row>
    <row r="699" spans="1:24" hidden="1" x14ac:dyDescent="0.25">
      <c r="A699" s="113" t="s">
        <v>0</v>
      </c>
      <c r="B699" s="132"/>
      <c r="C699" s="132"/>
      <c r="D699" s="496">
        <v>159</v>
      </c>
      <c r="E699" s="515" t="str">
        <f t="shared" si="29"/>
        <v/>
      </c>
      <c r="F699" s="1308" t="str">
        <f t="shared" si="30"/>
        <v/>
      </c>
      <c r="G699" s="1308"/>
      <c r="H699" s="36"/>
      <c r="I699" s="36"/>
      <c r="J699" s="36"/>
      <c r="K699" s="36"/>
      <c r="L699" s="36"/>
      <c r="M699" s="36"/>
      <c r="N699" s="36"/>
      <c r="O699" s="142"/>
      <c r="P699" s="115"/>
      <c r="X699" s="514" t="b">
        <f t="shared" si="31"/>
        <v>0</v>
      </c>
    </row>
    <row r="700" spans="1:24" hidden="1" x14ac:dyDescent="0.25">
      <c r="A700" s="113" t="s">
        <v>0</v>
      </c>
      <c r="B700" s="132"/>
      <c r="C700" s="132"/>
      <c r="D700" s="496">
        <v>160</v>
      </c>
      <c r="E700" s="515" t="str">
        <f t="shared" si="29"/>
        <v/>
      </c>
      <c r="F700" s="1308" t="str">
        <f t="shared" si="30"/>
        <v/>
      </c>
      <c r="G700" s="1308"/>
      <c r="H700" s="36"/>
      <c r="I700" s="36"/>
      <c r="J700" s="36"/>
      <c r="K700" s="36"/>
      <c r="L700" s="36"/>
      <c r="M700" s="36"/>
      <c r="N700" s="36"/>
      <c r="O700" s="142"/>
      <c r="P700" s="115"/>
      <c r="X700" s="514" t="b">
        <f t="shared" si="31"/>
        <v>0</v>
      </c>
    </row>
    <row r="701" spans="1:24" hidden="1" x14ac:dyDescent="0.25">
      <c r="A701" s="113" t="s">
        <v>0</v>
      </c>
      <c r="B701" s="132"/>
      <c r="C701" s="132"/>
      <c r="D701" s="496">
        <v>161</v>
      </c>
      <c r="E701" s="515" t="str">
        <f t="shared" si="29"/>
        <v/>
      </c>
      <c r="F701" s="1308" t="str">
        <f t="shared" si="30"/>
        <v/>
      </c>
      <c r="G701" s="1308"/>
      <c r="H701" s="36"/>
      <c r="I701" s="36"/>
      <c r="J701" s="36"/>
      <c r="K701" s="36"/>
      <c r="L701" s="36"/>
      <c r="M701" s="36"/>
      <c r="N701" s="36"/>
      <c r="O701" s="142"/>
      <c r="P701" s="115"/>
      <c r="X701" s="514" t="b">
        <f t="shared" si="31"/>
        <v>0</v>
      </c>
    </row>
    <row r="702" spans="1:24" hidden="1" x14ac:dyDescent="0.25">
      <c r="A702" s="113" t="s">
        <v>0</v>
      </c>
      <c r="B702" s="132"/>
      <c r="C702" s="132"/>
      <c r="D702" s="496">
        <v>162</v>
      </c>
      <c r="E702" s="515" t="str">
        <f t="shared" si="29"/>
        <v/>
      </c>
      <c r="F702" s="1308" t="str">
        <f t="shared" si="30"/>
        <v/>
      </c>
      <c r="G702" s="1308"/>
      <c r="H702" s="36"/>
      <c r="I702" s="36"/>
      <c r="J702" s="36"/>
      <c r="K702" s="36"/>
      <c r="L702" s="36"/>
      <c r="M702" s="36"/>
      <c r="N702" s="36"/>
      <c r="O702" s="142"/>
      <c r="P702" s="115"/>
      <c r="X702" s="514" t="b">
        <f t="shared" si="31"/>
        <v>0</v>
      </c>
    </row>
    <row r="703" spans="1:24" hidden="1" x14ac:dyDescent="0.25">
      <c r="A703" s="113" t="s">
        <v>0</v>
      </c>
      <c r="B703" s="132"/>
      <c r="C703" s="132"/>
      <c r="D703" s="496">
        <v>163</v>
      </c>
      <c r="E703" s="515" t="str">
        <f t="shared" si="29"/>
        <v/>
      </c>
      <c r="F703" s="1308" t="str">
        <f t="shared" si="30"/>
        <v/>
      </c>
      <c r="G703" s="1308"/>
      <c r="H703" s="36"/>
      <c r="I703" s="36"/>
      <c r="J703" s="36"/>
      <c r="K703" s="36"/>
      <c r="L703" s="36"/>
      <c r="M703" s="36"/>
      <c r="N703" s="36"/>
      <c r="O703" s="142"/>
      <c r="P703" s="115"/>
      <c r="X703" s="514" t="b">
        <f t="shared" si="31"/>
        <v>0</v>
      </c>
    </row>
    <row r="704" spans="1:24" hidden="1" x14ac:dyDescent="0.25">
      <c r="A704" s="113" t="s">
        <v>0</v>
      </c>
      <c r="B704" s="132"/>
      <c r="C704" s="132"/>
      <c r="D704" s="496">
        <v>164</v>
      </c>
      <c r="E704" s="515" t="str">
        <f t="shared" si="29"/>
        <v/>
      </c>
      <c r="F704" s="1308" t="str">
        <f t="shared" si="30"/>
        <v/>
      </c>
      <c r="G704" s="1308"/>
      <c r="H704" s="36"/>
      <c r="I704" s="36"/>
      <c r="J704" s="36"/>
      <c r="K704" s="36"/>
      <c r="L704" s="36"/>
      <c r="M704" s="36"/>
      <c r="N704" s="36"/>
      <c r="O704" s="142"/>
      <c r="P704" s="115"/>
      <c r="X704" s="514" t="b">
        <f t="shared" si="31"/>
        <v>0</v>
      </c>
    </row>
    <row r="705" spans="1:24" hidden="1" x14ac:dyDescent="0.25">
      <c r="A705" s="113" t="s">
        <v>0</v>
      </c>
      <c r="B705" s="132"/>
      <c r="C705" s="132"/>
      <c r="D705" s="496">
        <v>165</v>
      </c>
      <c r="E705" s="515" t="str">
        <f t="shared" si="29"/>
        <v/>
      </c>
      <c r="F705" s="1308" t="str">
        <f t="shared" si="30"/>
        <v/>
      </c>
      <c r="G705" s="1308"/>
      <c r="H705" s="36"/>
      <c r="I705" s="36"/>
      <c r="J705" s="36"/>
      <c r="K705" s="36"/>
      <c r="L705" s="36"/>
      <c r="M705" s="36"/>
      <c r="N705" s="36"/>
      <c r="O705" s="142"/>
      <c r="P705" s="115"/>
      <c r="X705" s="514" t="b">
        <f t="shared" si="31"/>
        <v>0</v>
      </c>
    </row>
    <row r="706" spans="1:24" hidden="1" x14ac:dyDescent="0.25">
      <c r="A706" s="113" t="s">
        <v>0</v>
      </c>
      <c r="B706" s="132"/>
      <c r="C706" s="132"/>
      <c r="D706" s="496">
        <v>166</v>
      </c>
      <c r="E706" s="515" t="str">
        <f t="shared" si="29"/>
        <v/>
      </c>
      <c r="F706" s="1308" t="str">
        <f t="shared" si="30"/>
        <v/>
      </c>
      <c r="G706" s="1308"/>
      <c r="H706" s="36"/>
      <c r="I706" s="36"/>
      <c r="J706" s="36"/>
      <c r="K706" s="36"/>
      <c r="L706" s="36"/>
      <c r="M706" s="36"/>
      <c r="N706" s="36"/>
      <c r="O706" s="142"/>
      <c r="P706" s="115"/>
      <c r="X706" s="514" t="b">
        <f t="shared" si="31"/>
        <v>0</v>
      </c>
    </row>
    <row r="707" spans="1:24" hidden="1" x14ac:dyDescent="0.25">
      <c r="A707" s="113" t="s">
        <v>0</v>
      </c>
      <c r="B707" s="132"/>
      <c r="C707" s="132"/>
      <c r="D707" s="496">
        <v>167</v>
      </c>
      <c r="E707" s="515" t="str">
        <f t="shared" si="29"/>
        <v/>
      </c>
      <c r="F707" s="1308" t="str">
        <f t="shared" si="30"/>
        <v/>
      </c>
      <c r="G707" s="1308"/>
      <c r="H707" s="36"/>
      <c r="I707" s="36"/>
      <c r="J707" s="36"/>
      <c r="K707" s="36"/>
      <c r="L707" s="36"/>
      <c r="M707" s="36"/>
      <c r="N707" s="36"/>
      <c r="O707" s="142"/>
      <c r="P707" s="115"/>
      <c r="X707" s="514" t="b">
        <f t="shared" si="31"/>
        <v>0</v>
      </c>
    </row>
    <row r="708" spans="1:24" hidden="1" x14ac:dyDescent="0.25">
      <c r="A708" s="113" t="s">
        <v>0</v>
      </c>
      <c r="B708" s="132"/>
      <c r="C708" s="132"/>
      <c r="D708" s="496">
        <v>168</v>
      </c>
      <c r="E708" s="515" t="str">
        <f t="shared" si="29"/>
        <v/>
      </c>
      <c r="F708" s="1308" t="str">
        <f t="shared" si="30"/>
        <v/>
      </c>
      <c r="G708" s="1308"/>
      <c r="H708" s="36"/>
      <c r="I708" s="36"/>
      <c r="J708" s="36"/>
      <c r="K708" s="36"/>
      <c r="L708" s="36"/>
      <c r="M708" s="36"/>
      <c r="N708" s="36"/>
      <c r="O708" s="142"/>
      <c r="P708" s="115"/>
      <c r="X708" s="514" t="b">
        <f t="shared" si="31"/>
        <v>0</v>
      </c>
    </row>
    <row r="709" spans="1:24" hidden="1" x14ac:dyDescent="0.25">
      <c r="A709" s="113" t="s">
        <v>0</v>
      </c>
      <c r="B709" s="132"/>
      <c r="C709" s="132"/>
      <c r="D709" s="496">
        <v>169</v>
      </c>
      <c r="E709" s="515" t="str">
        <f t="shared" si="29"/>
        <v/>
      </c>
      <c r="F709" s="1308" t="str">
        <f t="shared" si="30"/>
        <v/>
      </c>
      <c r="G709" s="1308"/>
      <c r="H709" s="36"/>
      <c r="I709" s="36"/>
      <c r="J709" s="36"/>
      <c r="K709" s="36"/>
      <c r="L709" s="36"/>
      <c r="M709" s="36"/>
      <c r="N709" s="36"/>
      <c r="O709" s="142"/>
      <c r="P709" s="115"/>
      <c r="X709" s="514" t="b">
        <f t="shared" si="31"/>
        <v>0</v>
      </c>
    </row>
    <row r="710" spans="1:24" hidden="1" x14ac:dyDescent="0.25">
      <c r="A710" s="113" t="s">
        <v>0</v>
      </c>
      <c r="B710" s="132"/>
      <c r="C710" s="132"/>
      <c r="D710" s="496">
        <v>170</v>
      </c>
      <c r="E710" s="515" t="str">
        <f t="shared" si="29"/>
        <v/>
      </c>
      <c r="F710" s="1308" t="str">
        <f t="shared" si="30"/>
        <v/>
      </c>
      <c r="G710" s="1308"/>
      <c r="H710" s="36"/>
      <c r="I710" s="36"/>
      <c r="J710" s="36"/>
      <c r="K710" s="36"/>
      <c r="L710" s="36"/>
      <c r="M710" s="36"/>
      <c r="N710" s="36"/>
      <c r="O710" s="142"/>
      <c r="P710" s="115"/>
      <c r="X710" s="514" t="b">
        <f t="shared" si="31"/>
        <v>0</v>
      </c>
    </row>
    <row r="711" spans="1:24" hidden="1" x14ac:dyDescent="0.25">
      <c r="A711" s="113" t="s">
        <v>0</v>
      </c>
      <c r="B711" s="132"/>
      <c r="C711" s="132"/>
      <c r="D711" s="496">
        <v>171</v>
      </c>
      <c r="E711" s="515" t="str">
        <f t="shared" si="29"/>
        <v/>
      </c>
      <c r="F711" s="1308" t="str">
        <f t="shared" si="30"/>
        <v/>
      </c>
      <c r="G711" s="1308"/>
      <c r="H711" s="36"/>
      <c r="I711" s="36"/>
      <c r="J711" s="36"/>
      <c r="K711" s="36"/>
      <c r="L711" s="36"/>
      <c r="M711" s="36"/>
      <c r="N711" s="36"/>
      <c r="O711" s="142"/>
      <c r="P711" s="115"/>
      <c r="X711" s="514" t="b">
        <f t="shared" si="31"/>
        <v>0</v>
      </c>
    </row>
    <row r="712" spans="1:24" hidden="1" x14ac:dyDescent="0.25">
      <c r="A712" s="113" t="s">
        <v>0</v>
      </c>
      <c r="B712" s="132"/>
      <c r="C712" s="132"/>
      <c r="D712" s="496">
        <v>172</v>
      </c>
      <c r="E712" s="515" t="str">
        <f t="shared" si="29"/>
        <v/>
      </c>
      <c r="F712" s="1308" t="str">
        <f t="shared" si="30"/>
        <v/>
      </c>
      <c r="G712" s="1308"/>
      <c r="H712" s="36"/>
      <c r="I712" s="36"/>
      <c r="J712" s="36"/>
      <c r="K712" s="36"/>
      <c r="L712" s="36"/>
      <c r="M712" s="36"/>
      <c r="N712" s="36"/>
      <c r="O712" s="142"/>
      <c r="P712" s="115"/>
      <c r="X712" s="514" t="b">
        <f t="shared" si="31"/>
        <v>0</v>
      </c>
    </row>
    <row r="713" spans="1:24" hidden="1" x14ac:dyDescent="0.25">
      <c r="A713" s="113" t="s">
        <v>0</v>
      </c>
      <c r="B713" s="132"/>
      <c r="C713" s="132"/>
      <c r="D713" s="496">
        <v>173</v>
      </c>
      <c r="E713" s="515" t="str">
        <f t="shared" si="29"/>
        <v/>
      </c>
      <c r="F713" s="1308" t="str">
        <f t="shared" si="30"/>
        <v/>
      </c>
      <c r="G713" s="1308"/>
      <c r="H713" s="36"/>
      <c r="I713" s="36"/>
      <c r="J713" s="36"/>
      <c r="K713" s="36"/>
      <c r="L713" s="36"/>
      <c r="M713" s="36"/>
      <c r="N713" s="36"/>
      <c r="O713" s="142"/>
      <c r="P713" s="115"/>
      <c r="X713" s="514" t="b">
        <f t="shared" si="31"/>
        <v>0</v>
      </c>
    </row>
    <row r="714" spans="1:24" hidden="1" x14ac:dyDescent="0.25">
      <c r="A714" s="113" t="s">
        <v>0</v>
      </c>
      <c r="B714" s="132"/>
      <c r="C714" s="132"/>
      <c r="D714" s="496">
        <v>174</v>
      </c>
      <c r="E714" s="515" t="str">
        <f t="shared" si="29"/>
        <v/>
      </c>
      <c r="F714" s="1308" t="str">
        <f t="shared" si="30"/>
        <v/>
      </c>
      <c r="G714" s="1308"/>
      <c r="H714" s="36"/>
      <c r="I714" s="36"/>
      <c r="J714" s="36"/>
      <c r="K714" s="36"/>
      <c r="L714" s="36"/>
      <c r="M714" s="36"/>
      <c r="N714" s="36"/>
      <c r="O714" s="142"/>
      <c r="P714" s="115"/>
      <c r="X714" s="514" t="b">
        <f t="shared" si="31"/>
        <v>0</v>
      </c>
    </row>
    <row r="715" spans="1:24" hidden="1" x14ac:dyDescent="0.25">
      <c r="A715" s="113" t="s">
        <v>0</v>
      </c>
      <c r="B715" s="132"/>
      <c r="C715" s="132"/>
      <c r="D715" s="496">
        <v>175</v>
      </c>
      <c r="E715" s="515" t="str">
        <f t="shared" si="29"/>
        <v/>
      </c>
      <c r="F715" s="1308" t="str">
        <f t="shared" si="30"/>
        <v/>
      </c>
      <c r="G715" s="1308"/>
      <c r="H715" s="36"/>
      <c r="I715" s="36"/>
      <c r="J715" s="36"/>
      <c r="K715" s="36"/>
      <c r="L715" s="36"/>
      <c r="M715" s="36"/>
      <c r="N715" s="36"/>
      <c r="O715" s="142"/>
      <c r="P715" s="115"/>
      <c r="X715" s="514" t="b">
        <f t="shared" si="31"/>
        <v>0</v>
      </c>
    </row>
    <row r="716" spans="1:24" hidden="1" x14ac:dyDescent="0.25">
      <c r="A716" s="113" t="s">
        <v>0</v>
      </c>
      <c r="B716" s="132"/>
      <c r="C716" s="132"/>
      <c r="D716" s="496">
        <v>176</v>
      </c>
      <c r="E716" s="515" t="str">
        <f t="shared" si="29"/>
        <v/>
      </c>
      <c r="F716" s="1308" t="str">
        <f t="shared" si="30"/>
        <v/>
      </c>
      <c r="G716" s="1308"/>
      <c r="H716" s="36"/>
      <c r="I716" s="36"/>
      <c r="J716" s="36"/>
      <c r="K716" s="36"/>
      <c r="L716" s="36"/>
      <c r="M716" s="36"/>
      <c r="N716" s="36"/>
      <c r="O716" s="142"/>
      <c r="P716" s="115"/>
      <c r="X716" s="514" t="b">
        <f t="shared" si="31"/>
        <v>0</v>
      </c>
    </row>
    <row r="717" spans="1:24" hidden="1" x14ac:dyDescent="0.25">
      <c r="A717" s="113" t="s">
        <v>0</v>
      </c>
      <c r="B717" s="132"/>
      <c r="C717" s="132"/>
      <c r="D717" s="496">
        <v>177</v>
      </c>
      <c r="E717" s="515" t="str">
        <f t="shared" si="29"/>
        <v/>
      </c>
      <c r="F717" s="1308" t="str">
        <f t="shared" si="30"/>
        <v/>
      </c>
      <c r="G717" s="1308"/>
      <c r="H717" s="36"/>
      <c r="I717" s="36"/>
      <c r="J717" s="36"/>
      <c r="K717" s="36"/>
      <c r="L717" s="36"/>
      <c r="M717" s="36"/>
      <c r="N717" s="36"/>
      <c r="O717" s="142"/>
      <c r="P717" s="115"/>
      <c r="X717" s="514" t="b">
        <f t="shared" si="31"/>
        <v>0</v>
      </c>
    </row>
    <row r="718" spans="1:24" hidden="1" x14ac:dyDescent="0.25">
      <c r="A718" s="113" t="s">
        <v>0</v>
      </c>
      <c r="B718" s="132"/>
      <c r="C718" s="132"/>
      <c r="D718" s="496">
        <v>178</v>
      </c>
      <c r="E718" s="515" t="str">
        <f t="shared" si="29"/>
        <v/>
      </c>
      <c r="F718" s="1308" t="str">
        <f t="shared" si="30"/>
        <v/>
      </c>
      <c r="G718" s="1308"/>
      <c r="H718" s="36"/>
      <c r="I718" s="36"/>
      <c r="J718" s="36"/>
      <c r="K718" s="36"/>
      <c r="L718" s="36"/>
      <c r="M718" s="36"/>
      <c r="N718" s="36"/>
      <c r="O718" s="142"/>
      <c r="P718" s="115"/>
      <c r="X718" s="514" t="b">
        <f t="shared" si="31"/>
        <v>0</v>
      </c>
    </row>
    <row r="719" spans="1:24" hidden="1" x14ac:dyDescent="0.25">
      <c r="A719" s="113" t="s">
        <v>0</v>
      </c>
      <c r="B719" s="132"/>
      <c r="C719" s="132"/>
      <c r="D719" s="496">
        <v>179</v>
      </c>
      <c r="E719" s="515" t="str">
        <f t="shared" si="29"/>
        <v/>
      </c>
      <c r="F719" s="1308" t="str">
        <f t="shared" si="30"/>
        <v/>
      </c>
      <c r="G719" s="1308"/>
      <c r="H719" s="36"/>
      <c r="I719" s="36"/>
      <c r="J719" s="36"/>
      <c r="K719" s="36"/>
      <c r="L719" s="36"/>
      <c r="M719" s="36"/>
      <c r="N719" s="36"/>
      <c r="O719" s="142"/>
      <c r="P719" s="115"/>
      <c r="X719" s="514" t="b">
        <f t="shared" si="31"/>
        <v>0</v>
      </c>
    </row>
    <row r="720" spans="1:24" hidden="1" x14ac:dyDescent="0.25">
      <c r="A720" s="113" t="s">
        <v>0</v>
      </c>
      <c r="B720" s="132"/>
      <c r="C720" s="132"/>
      <c r="D720" s="496">
        <v>180</v>
      </c>
      <c r="E720" s="515" t="str">
        <f t="shared" si="29"/>
        <v/>
      </c>
      <c r="F720" s="1308" t="str">
        <f t="shared" si="30"/>
        <v/>
      </c>
      <c r="G720" s="1308"/>
      <c r="H720" s="36"/>
      <c r="I720" s="36"/>
      <c r="J720" s="36"/>
      <c r="K720" s="36"/>
      <c r="L720" s="36"/>
      <c r="M720" s="36"/>
      <c r="N720" s="36"/>
      <c r="O720" s="142"/>
      <c r="P720" s="115"/>
      <c r="X720" s="514" t="b">
        <f t="shared" si="31"/>
        <v>0</v>
      </c>
    </row>
    <row r="721" spans="1:24" hidden="1" x14ac:dyDescent="0.25">
      <c r="A721" s="113" t="s">
        <v>0</v>
      </c>
      <c r="B721" s="132"/>
      <c r="C721" s="132"/>
      <c r="D721" s="496">
        <v>181</v>
      </c>
      <c r="E721" s="515" t="str">
        <f t="shared" si="29"/>
        <v/>
      </c>
      <c r="F721" s="1308" t="str">
        <f t="shared" si="30"/>
        <v/>
      </c>
      <c r="G721" s="1308"/>
      <c r="H721" s="36"/>
      <c r="I721" s="36"/>
      <c r="J721" s="36"/>
      <c r="K721" s="36"/>
      <c r="L721" s="36"/>
      <c r="M721" s="36"/>
      <c r="N721" s="36"/>
      <c r="O721" s="142"/>
      <c r="P721" s="115"/>
      <c r="X721" s="514" t="b">
        <f t="shared" si="31"/>
        <v>0</v>
      </c>
    </row>
    <row r="722" spans="1:24" hidden="1" x14ac:dyDescent="0.25">
      <c r="A722" s="113" t="s">
        <v>0</v>
      </c>
      <c r="B722" s="132"/>
      <c r="C722" s="132"/>
      <c r="D722" s="496">
        <v>182</v>
      </c>
      <c r="E722" s="515" t="str">
        <f t="shared" si="29"/>
        <v/>
      </c>
      <c r="F722" s="1308" t="str">
        <f t="shared" si="30"/>
        <v/>
      </c>
      <c r="G722" s="1308"/>
      <c r="H722" s="36"/>
      <c r="I722" s="36"/>
      <c r="J722" s="36"/>
      <c r="K722" s="36"/>
      <c r="L722" s="36"/>
      <c r="M722" s="36"/>
      <c r="N722" s="36"/>
      <c r="O722" s="142"/>
      <c r="P722" s="115"/>
      <c r="X722" s="514" t="b">
        <f t="shared" si="31"/>
        <v>0</v>
      </c>
    </row>
    <row r="723" spans="1:24" hidden="1" x14ac:dyDescent="0.25">
      <c r="A723" s="113" t="s">
        <v>0</v>
      </c>
      <c r="B723" s="132"/>
      <c r="C723" s="132"/>
      <c r="D723" s="496">
        <v>183</v>
      </c>
      <c r="E723" s="515" t="str">
        <f t="shared" si="29"/>
        <v/>
      </c>
      <c r="F723" s="1308" t="str">
        <f t="shared" si="30"/>
        <v/>
      </c>
      <c r="G723" s="1308"/>
      <c r="H723" s="36"/>
      <c r="I723" s="36"/>
      <c r="J723" s="36"/>
      <c r="K723" s="36"/>
      <c r="L723" s="36"/>
      <c r="M723" s="36"/>
      <c r="N723" s="36"/>
      <c r="O723" s="142"/>
      <c r="P723" s="115"/>
      <c r="X723" s="514" t="b">
        <f t="shared" si="31"/>
        <v>0</v>
      </c>
    </row>
    <row r="724" spans="1:24" hidden="1" x14ac:dyDescent="0.25">
      <c r="A724" s="113" t="s">
        <v>0</v>
      </c>
      <c r="B724" s="132"/>
      <c r="C724" s="132"/>
      <c r="D724" s="496">
        <v>184</v>
      </c>
      <c r="E724" s="515" t="str">
        <f t="shared" si="29"/>
        <v/>
      </c>
      <c r="F724" s="1308" t="str">
        <f t="shared" si="30"/>
        <v/>
      </c>
      <c r="G724" s="1308"/>
      <c r="H724" s="36"/>
      <c r="I724" s="36"/>
      <c r="J724" s="36"/>
      <c r="K724" s="36"/>
      <c r="L724" s="36"/>
      <c r="M724" s="36"/>
      <c r="N724" s="36"/>
      <c r="O724" s="142"/>
      <c r="P724" s="115"/>
      <c r="X724" s="514" t="b">
        <f t="shared" si="31"/>
        <v>0</v>
      </c>
    </row>
    <row r="725" spans="1:24" hidden="1" x14ac:dyDescent="0.25">
      <c r="A725" s="113" t="s">
        <v>0</v>
      </c>
      <c r="B725" s="132"/>
      <c r="C725" s="132"/>
      <c r="D725" s="496">
        <v>185</v>
      </c>
      <c r="E725" s="515" t="str">
        <f t="shared" si="29"/>
        <v/>
      </c>
      <c r="F725" s="1308" t="str">
        <f t="shared" si="30"/>
        <v/>
      </c>
      <c r="G725" s="1308"/>
      <c r="H725" s="36"/>
      <c r="I725" s="36"/>
      <c r="J725" s="36"/>
      <c r="K725" s="36"/>
      <c r="L725" s="36"/>
      <c r="M725" s="36"/>
      <c r="N725" s="36"/>
      <c r="O725" s="142"/>
      <c r="P725" s="115"/>
      <c r="X725" s="514" t="b">
        <f t="shared" si="31"/>
        <v>0</v>
      </c>
    </row>
    <row r="726" spans="1:24" hidden="1" x14ac:dyDescent="0.25">
      <c r="A726" s="113" t="s">
        <v>0</v>
      </c>
      <c r="B726" s="132"/>
      <c r="C726" s="132"/>
      <c r="D726" s="496">
        <v>186</v>
      </c>
      <c r="E726" s="515" t="str">
        <f t="shared" si="29"/>
        <v/>
      </c>
      <c r="F726" s="1308" t="str">
        <f t="shared" si="30"/>
        <v/>
      </c>
      <c r="G726" s="1308"/>
      <c r="H726" s="36"/>
      <c r="I726" s="36"/>
      <c r="J726" s="36"/>
      <c r="K726" s="36"/>
      <c r="L726" s="36"/>
      <c r="M726" s="36"/>
      <c r="N726" s="36"/>
      <c r="O726" s="142"/>
      <c r="P726" s="115"/>
      <c r="X726" s="514" t="b">
        <f t="shared" si="31"/>
        <v>0</v>
      </c>
    </row>
    <row r="727" spans="1:24" hidden="1" x14ac:dyDescent="0.25">
      <c r="A727" s="113" t="s">
        <v>0</v>
      </c>
      <c r="B727" s="132"/>
      <c r="C727" s="132"/>
      <c r="D727" s="496">
        <v>187</v>
      </c>
      <c r="E727" s="515" t="str">
        <f t="shared" si="29"/>
        <v/>
      </c>
      <c r="F727" s="1308" t="str">
        <f t="shared" si="30"/>
        <v/>
      </c>
      <c r="G727" s="1308"/>
      <c r="H727" s="36"/>
      <c r="I727" s="36"/>
      <c r="J727" s="36"/>
      <c r="K727" s="36"/>
      <c r="L727" s="36"/>
      <c r="M727" s="36"/>
      <c r="N727" s="36"/>
      <c r="O727" s="142"/>
      <c r="P727" s="115"/>
      <c r="X727" s="514" t="b">
        <f t="shared" si="31"/>
        <v>0</v>
      </c>
    </row>
    <row r="728" spans="1:24" hidden="1" x14ac:dyDescent="0.25">
      <c r="A728" s="113" t="s">
        <v>0</v>
      </c>
      <c r="B728" s="132"/>
      <c r="C728" s="132"/>
      <c r="D728" s="496">
        <v>188</v>
      </c>
      <c r="E728" s="515" t="str">
        <f t="shared" si="29"/>
        <v/>
      </c>
      <c r="F728" s="1308" t="str">
        <f t="shared" si="30"/>
        <v/>
      </c>
      <c r="G728" s="1308"/>
      <c r="H728" s="36"/>
      <c r="I728" s="36"/>
      <c r="J728" s="36"/>
      <c r="K728" s="36"/>
      <c r="L728" s="36"/>
      <c r="M728" s="36"/>
      <c r="N728" s="36"/>
      <c r="O728" s="142"/>
      <c r="P728" s="115"/>
      <c r="X728" s="514" t="b">
        <f t="shared" si="31"/>
        <v>0</v>
      </c>
    </row>
    <row r="729" spans="1:24" hidden="1" x14ac:dyDescent="0.25">
      <c r="A729" s="113" t="s">
        <v>0</v>
      </c>
      <c r="B729" s="132"/>
      <c r="C729" s="132"/>
      <c r="D729" s="496">
        <v>189</v>
      </c>
      <c r="E729" s="515" t="str">
        <f t="shared" si="29"/>
        <v/>
      </c>
      <c r="F729" s="1308" t="str">
        <f t="shared" si="30"/>
        <v/>
      </c>
      <c r="G729" s="1308"/>
      <c r="H729" s="36"/>
      <c r="I729" s="36"/>
      <c r="J729" s="36"/>
      <c r="K729" s="36"/>
      <c r="L729" s="36"/>
      <c r="M729" s="36"/>
      <c r="N729" s="36"/>
      <c r="O729" s="142"/>
      <c r="P729" s="115"/>
      <c r="X729" s="514" t="b">
        <f t="shared" si="31"/>
        <v>0</v>
      </c>
    </row>
    <row r="730" spans="1:24" hidden="1" x14ac:dyDescent="0.25">
      <c r="A730" s="113" t="s">
        <v>0</v>
      </c>
      <c r="B730" s="132"/>
      <c r="C730" s="132"/>
      <c r="D730" s="496">
        <v>190</v>
      </c>
      <c r="E730" s="515" t="str">
        <f t="shared" si="29"/>
        <v/>
      </c>
      <c r="F730" s="1308" t="str">
        <f t="shared" si="30"/>
        <v/>
      </c>
      <c r="G730" s="1308"/>
      <c r="H730" s="36"/>
      <c r="I730" s="36"/>
      <c r="J730" s="36"/>
      <c r="K730" s="36"/>
      <c r="L730" s="36"/>
      <c r="M730" s="36"/>
      <c r="N730" s="36"/>
      <c r="O730" s="142"/>
      <c r="P730" s="115"/>
      <c r="X730" s="514" t="b">
        <f t="shared" si="31"/>
        <v>0</v>
      </c>
    </row>
    <row r="731" spans="1:24" hidden="1" x14ac:dyDescent="0.25">
      <c r="A731" s="113" t="s">
        <v>0</v>
      </c>
      <c r="B731" s="132"/>
      <c r="C731" s="132"/>
      <c r="D731" s="496">
        <v>191</v>
      </c>
      <c r="E731" s="515" t="str">
        <f t="shared" si="29"/>
        <v/>
      </c>
      <c r="F731" s="1308" t="str">
        <f t="shared" si="30"/>
        <v/>
      </c>
      <c r="G731" s="1308"/>
      <c r="H731" s="36"/>
      <c r="I731" s="36"/>
      <c r="J731" s="36"/>
      <c r="K731" s="36"/>
      <c r="L731" s="36"/>
      <c r="M731" s="36"/>
      <c r="N731" s="36"/>
      <c r="O731" s="142"/>
      <c r="P731" s="115"/>
      <c r="X731" s="514" t="b">
        <f t="shared" si="31"/>
        <v>0</v>
      </c>
    </row>
    <row r="732" spans="1:24" hidden="1" x14ac:dyDescent="0.25">
      <c r="A732" s="113" t="s">
        <v>0</v>
      </c>
      <c r="B732" s="132"/>
      <c r="C732" s="132"/>
      <c r="D732" s="496">
        <v>192</v>
      </c>
      <c r="E732" s="515" t="str">
        <f t="shared" si="29"/>
        <v/>
      </c>
      <c r="F732" s="1308" t="str">
        <f t="shared" si="30"/>
        <v/>
      </c>
      <c r="G732" s="1308"/>
      <c r="H732" s="36"/>
      <c r="I732" s="36"/>
      <c r="J732" s="36"/>
      <c r="K732" s="36"/>
      <c r="L732" s="36"/>
      <c r="M732" s="36"/>
      <c r="N732" s="36"/>
      <c r="O732" s="142"/>
      <c r="P732" s="115"/>
      <c r="X732" s="514" t="b">
        <f t="shared" si="31"/>
        <v>0</v>
      </c>
    </row>
    <row r="733" spans="1:24" hidden="1" x14ac:dyDescent="0.25">
      <c r="A733" s="113" t="s">
        <v>0</v>
      </c>
      <c r="B733" s="132"/>
      <c r="C733" s="132"/>
      <c r="D733" s="496">
        <v>193</v>
      </c>
      <c r="E733" s="515" t="str">
        <f t="shared" si="29"/>
        <v/>
      </c>
      <c r="F733" s="1308" t="str">
        <f t="shared" si="30"/>
        <v/>
      </c>
      <c r="G733" s="1308"/>
      <c r="H733" s="36"/>
      <c r="I733" s="36"/>
      <c r="J733" s="36"/>
      <c r="K733" s="36"/>
      <c r="L733" s="36"/>
      <c r="M733" s="36"/>
      <c r="N733" s="36"/>
      <c r="O733" s="142"/>
      <c r="P733" s="115"/>
      <c r="X733" s="514" t="b">
        <f t="shared" si="31"/>
        <v>0</v>
      </c>
    </row>
    <row r="734" spans="1:24" hidden="1" x14ac:dyDescent="0.25">
      <c r="A734" s="113" t="s">
        <v>0</v>
      </c>
      <c r="B734" s="132"/>
      <c r="C734" s="132"/>
      <c r="D734" s="496">
        <v>194</v>
      </c>
      <c r="E734" s="515" t="str">
        <f t="shared" si="29"/>
        <v/>
      </c>
      <c r="F734" s="1308" t="str">
        <f t="shared" si="30"/>
        <v/>
      </c>
      <c r="G734" s="1308"/>
      <c r="H734" s="36"/>
      <c r="I734" s="36"/>
      <c r="J734" s="36"/>
      <c r="K734" s="36"/>
      <c r="L734" s="36"/>
      <c r="M734" s="36"/>
      <c r="N734" s="36"/>
      <c r="O734" s="142"/>
      <c r="P734" s="115"/>
      <c r="X734" s="514" t="b">
        <f t="shared" si="31"/>
        <v>0</v>
      </c>
    </row>
    <row r="735" spans="1:24" hidden="1" x14ac:dyDescent="0.25">
      <c r="A735" s="113" t="s">
        <v>0</v>
      </c>
      <c r="B735" s="132"/>
      <c r="C735" s="132"/>
      <c r="D735" s="496">
        <v>195</v>
      </c>
      <c r="E735" s="515" t="str">
        <f t="shared" si="29"/>
        <v/>
      </c>
      <c r="F735" s="1308" t="str">
        <f t="shared" si="30"/>
        <v/>
      </c>
      <c r="G735" s="1308"/>
      <c r="H735" s="36"/>
      <c r="I735" s="36"/>
      <c r="J735" s="36"/>
      <c r="K735" s="36"/>
      <c r="L735" s="36"/>
      <c r="M735" s="36"/>
      <c r="N735" s="36"/>
      <c r="O735" s="142"/>
      <c r="P735" s="115"/>
      <c r="X735" s="514" t="b">
        <f t="shared" si="31"/>
        <v>0</v>
      </c>
    </row>
    <row r="736" spans="1:24" hidden="1" x14ac:dyDescent="0.25">
      <c r="A736" s="113" t="s">
        <v>0</v>
      </c>
      <c r="B736" s="132"/>
      <c r="C736" s="132"/>
      <c r="D736" s="496">
        <v>196</v>
      </c>
      <c r="E736" s="515" t="str">
        <f t="shared" si="29"/>
        <v/>
      </c>
      <c r="F736" s="1308" t="str">
        <f t="shared" si="30"/>
        <v/>
      </c>
      <c r="G736" s="1308"/>
      <c r="H736" s="36"/>
      <c r="I736" s="36"/>
      <c r="J736" s="36"/>
      <c r="K736" s="36"/>
      <c r="L736" s="36"/>
      <c r="M736" s="36"/>
      <c r="N736" s="36"/>
      <c r="O736" s="142"/>
      <c r="P736" s="115"/>
      <c r="X736" s="514" t="b">
        <f t="shared" si="31"/>
        <v>0</v>
      </c>
    </row>
    <row r="737" spans="1:24" hidden="1" x14ac:dyDescent="0.25">
      <c r="A737" s="113" t="s">
        <v>0</v>
      </c>
      <c r="B737" s="132"/>
      <c r="C737" s="132"/>
      <c r="D737" s="496">
        <v>197</v>
      </c>
      <c r="E737" s="515" t="str">
        <f t="shared" si="29"/>
        <v/>
      </c>
      <c r="F737" s="1308" t="str">
        <f t="shared" si="30"/>
        <v/>
      </c>
      <c r="G737" s="1308"/>
      <c r="H737" s="36"/>
      <c r="I737" s="36"/>
      <c r="J737" s="36"/>
      <c r="K737" s="36"/>
      <c r="L737" s="36"/>
      <c r="M737" s="36"/>
      <c r="N737" s="36"/>
      <c r="O737" s="142"/>
      <c r="P737" s="115"/>
      <c r="X737" s="514" t="b">
        <f t="shared" si="31"/>
        <v>0</v>
      </c>
    </row>
    <row r="738" spans="1:24" hidden="1" x14ac:dyDescent="0.25">
      <c r="A738" s="113" t="s">
        <v>0</v>
      </c>
      <c r="B738" s="132"/>
      <c r="C738" s="132"/>
      <c r="D738" s="496">
        <v>198</v>
      </c>
      <c r="E738" s="515" t="str">
        <f t="shared" si="29"/>
        <v/>
      </c>
      <c r="F738" s="1308" t="str">
        <f t="shared" si="30"/>
        <v/>
      </c>
      <c r="G738" s="1308"/>
      <c r="H738" s="36"/>
      <c r="I738" s="36"/>
      <c r="J738" s="36"/>
      <c r="K738" s="36"/>
      <c r="L738" s="36"/>
      <c r="M738" s="36"/>
      <c r="N738" s="36"/>
      <c r="O738" s="142"/>
      <c r="P738" s="115"/>
      <c r="X738" s="514" t="b">
        <f t="shared" si="31"/>
        <v>0</v>
      </c>
    </row>
    <row r="739" spans="1:24" hidden="1" x14ac:dyDescent="0.25">
      <c r="A739" s="113" t="s">
        <v>0</v>
      </c>
      <c r="B739" s="132"/>
      <c r="C739" s="132"/>
      <c r="D739" s="496">
        <v>199</v>
      </c>
      <c r="E739" s="515" t="str">
        <f t="shared" si="29"/>
        <v/>
      </c>
      <c r="F739" s="1308" t="str">
        <f t="shared" si="30"/>
        <v/>
      </c>
      <c r="G739" s="1308"/>
      <c r="H739" s="36"/>
      <c r="I739" s="36"/>
      <c r="J739" s="36"/>
      <c r="K739" s="36"/>
      <c r="L739" s="36"/>
      <c r="M739" s="36"/>
      <c r="N739" s="36"/>
      <c r="O739" s="142"/>
      <c r="P739" s="115"/>
      <c r="X739" s="514" t="b">
        <f t="shared" si="31"/>
        <v>0</v>
      </c>
    </row>
    <row r="740" spans="1:24" hidden="1" x14ac:dyDescent="0.25">
      <c r="A740" s="113" t="s">
        <v>0</v>
      </c>
      <c r="B740" s="132"/>
      <c r="C740" s="132"/>
      <c r="D740" s="496">
        <v>200</v>
      </c>
      <c r="E740" s="515" t="str">
        <f t="shared" si="29"/>
        <v/>
      </c>
      <c r="F740" s="1308" t="str">
        <f t="shared" si="30"/>
        <v/>
      </c>
      <c r="G740" s="1308"/>
      <c r="H740" s="36"/>
      <c r="I740" s="36"/>
      <c r="J740" s="36"/>
      <c r="K740" s="36"/>
      <c r="L740" s="36"/>
      <c r="M740" s="36"/>
      <c r="N740" s="36"/>
      <c r="O740" s="142"/>
      <c r="P740" s="115"/>
      <c r="X740" s="514" t="b">
        <f t="shared" si="31"/>
        <v>0</v>
      </c>
    </row>
    <row r="741" spans="1:24" hidden="1" x14ac:dyDescent="0.25">
      <c r="A741" s="113" t="s">
        <v>0</v>
      </c>
      <c r="B741" s="132"/>
      <c r="C741" s="132"/>
      <c r="D741" s="496">
        <v>201</v>
      </c>
      <c r="E741" s="515" t="str">
        <f t="shared" si="29"/>
        <v/>
      </c>
      <c r="F741" s="1308" t="str">
        <f t="shared" si="30"/>
        <v/>
      </c>
      <c r="G741" s="1308"/>
      <c r="H741" s="36"/>
      <c r="I741" s="36"/>
      <c r="J741" s="36"/>
      <c r="K741" s="36"/>
      <c r="L741" s="36"/>
      <c r="M741" s="36"/>
      <c r="N741" s="36"/>
      <c r="O741" s="142"/>
      <c r="P741" s="115"/>
      <c r="X741" s="514" t="b">
        <f t="shared" si="31"/>
        <v>0</v>
      </c>
    </row>
    <row r="742" spans="1:24" hidden="1" x14ac:dyDescent="0.25">
      <c r="A742" s="113" t="s">
        <v>0</v>
      </c>
      <c r="B742" s="132"/>
      <c r="C742" s="132"/>
      <c r="D742" s="496">
        <v>202</v>
      </c>
      <c r="E742" s="515" t="str">
        <f t="shared" si="29"/>
        <v/>
      </c>
      <c r="F742" s="1308" t="str">
        <f t="shared" si="30"/>
        <v/>
      </c>
      <c r="G742" s="1308"/>
      <c r="H742" s="36"/>
      <c r="I742" s="36"/>
      <c r="J742" s="36"/>
      <c r="K742" s="36"/>
      <c r="L742" s="36"/>
      <c r="M742" s="36"/>
      <c r="N742" s="36"/>
      <c r="O742" s="142"/>
      <c r="P742" s="115"/>
      <c r="X742" s="514" t="b">
        <f t="shared" si="31"/>
        <v>0</v>
      </c>
    </row>
    <row r="743" spans="1:24" hidden="1" x14ac:dyDescent="0.25">
      <c r="A743" s="113" t="s">
        <v>0</v>
      </c>
      <c r="B743" s="132"/>
      <c r="C743" s="132"/>
      <c r="D743" s="496">
        <v>203</v>
      </c>
      <c r="E743" s="515" t="str">
        <f t="shared" si="29"/>
        <v/>
      </c>
      <c r="F743" s="1308" t="str">
        <f t="shared" si="30"/>
        <v/>
      </c>
      <c r="G743" s="1308"/>
      <c r="H743" s="36"/>
      <c r="I743" s="36"/>
      <c r="J743" s="36"/>
      <c r="K743" s="36"/>
      <c r="L743" s="36"/>
      <c r="M743" s="36"/>
      <c r="N743" s="36"/>
      <c r="O743" s="142"/>
      <c r="P743" s="115"/>
      <c r="X743" s="514" t="b">
        <f t="shared" si="31"/>
        <v>0</v>
      </c>
    </row>
    <row r="744" spans="1:24" hidden="1" x14ac:dyDescent="0.25">
      <c r="A744" s="113" t="s">
        <v>0</v>
      </c>
      <c r="B744" s="132"/>
      <c r="C744" s="132"/>
      <c r="D744" s="496">
        <v>204</v>
      </c>
      <c r="E744" s="515" t="str">
        <f t="shared" si="29"/>
        <v/>
      </c>
      <c r="F744" s="1308" t="str">
        <f t="shared" si="30"/>
        <v/>
      </c>
      <c r="G744" s="1308"/>
      <c r="H744" s="36"/>
      <c r="I744" s="36"/>
      <c r="J744" s="36"/>
      <c r="K744" s="36"/>
      <c r="L744" s="36"/>
      <c r="M744" s="36"/>
      <c r="N744" s="36"/>
      <c r="O744" s="142"/>
      <c r="P744" s="115"/>
      <c r="X744" s="514" t="b">
        <f t="shared" si="31"/>
        <v>0</v>
      </c>
    </row>
    <row r="745" spans="1:24" hidden="1" x14ac:dyDescent="0.25">
      <c r="A745" s="113" t="s">
        <v>0</v>
      </c>
      <c r="B745" s="132"/>
      <c r="C745" s="132"/>
      <c r="D745" s="496">
        <v>205</v>
      </c>
      <c r="E745" s="515" t="str">
        <f t="shared" si="29"/>
        <v/>
      </c>
      <c r="F745" s="1308" t="str">
        <f t="shared" si="30"/>
        <v/>
      </c>
      <c r="G745" s="1308"/>
      <c r="H745" s="36"/>
      <c r="I745" s="36"/>
      <c r="J745" s="36"/>
      <c r="K745" s="36"/>
      <c r="L745" s="36"/>
      <c r="M745" s="36"/>
      <c r="N745" s="36"/>
      <c r="O745" s="142"/>
      <c r="P745" s="115"/>
      <c r="X745" s="514" t="b">
        <f t="shared" si="31"/>
        <v>0</v>
      </c>
    </row>
    <row r="746" spans="1:24" hidden="1" x14ac:dyDescent="0.25">
      <c r="A746" s="113" t="s">
        <v>0</v>
      </c>
      <c r="B746" s="132"/>
      <c r="C746" s="132"/>
      <c r="D746" s="496">
        <v>206</v>
      </c>
      <c r="E746" s="515" t="str">
        <f t="shared" si="29"/>
        <v/>
      </c>
      <c r="F746" s="1308" t="str">
        <f t="shared" si="30"/>
        <v/>
      </c>
      <c r="G746" s="1308"/>
      <c r="H746" s="36"/>
      <c r="I746" s="36"/>
      <c r="J746" s="36"/>
      <c r="K746" s="36"/>
      <c r="L746" s="36"/>
      <c r="M746" s="36"/>
      <c r="N746" s="36"/>
      <c r="O746" s="142"/>
      <c r="P746" s="115"/>
      <c r="X746" s="514" t="b">
        <f t="shared" si="31"/>
        <v>0</v>
      </c>
    </row>
    <row r="747" spans="1:24" hidden="1" x14ac:dyDescent="0.25">
      <c r="A747" s="113" t="s">
        <v>0</v>
      </c>
      <c r="B747" s="132"/>
      <c r="C747" s="132"/>
      <c r="D747" s="496">
        <v>207</v>
      </c>
      <c r="E747" s="515" t="str">
        <f t="shared" si="29"/>
        <v/>
      </c>
      <c r="F747" s="1308" t="str">
        <f t="shared" si="30"/>
        <v/>
      </c>
      <c r="G747" s="1308"/>
      <c r="H747" s="36"/>
      <c r="I747" s="36"/>
      <c r="J747" s="36"/>
      <c r="K747" s="36"/>
      <c r="L747" s="36"/>
      <c r="M747" s="36"/>
      <c r="N747" s="36"/>
      <c r="O747" s="142"/>
      <c r="P747" s="115"/>
      <c r="X747" s="514" t="b">
        <f t="shared" si="31"/>
        <v>0</v>
      </c>
    </row>
    <row r="748" spans="1:24" hidden="1" x14ac:dyDescent="0.25">
      <c r="A748" s="113" t="s">
        <v>0</v>
      </c>
      <c r="B748" s="132"/>
      <c r="C748" s="132"/>
      <c r="D748" s="496">
        <v>208</v>
      </c>
      <c r="E748" s="515" t="str">
        <f t="shared" si="29"/>
        <v/>
      </c>
      <c r="F748" s="1308" t="str">
        <f t="shared" si="30"/>
        <v/>
      </c>
      <c r="G748" s="1308"/>
      <c r="H748" s="36"/>
      <c r="I748" s="36"/>
      <c r="J748" s="36"/>
      <c r="K748" s="36"/>
      <c r="L748" s="36"/>
      <c r="M748" s="36"/>
      <c r="N748" s="36"/>
      <c r="O748" s="142"/>
      <c r="P748" s="115"/>
      <c r="X748" s="514" t="b">
        <f t="shared" si="31"/>
        <v>0</v>
      </c>
    </row>
    <row r="749" spans="1:24" hidden="1" x14ac:dyDescent="0.25">
      <c r="A749" s="113" t="s">
        <v>0</v>
      </c>
      <c r="B749" s="132"/>
      <c r="C749" s="132"/>
      <c r="D749" s="496">
        <v>209</v>
      </c>
      <c r="E749" s="515" t="str">
        <f t="shared" si="29"/>
        <v/>
      </c>
      <c r="F749" s="1308" t="str">
        <f t="shared" si="30"/>
        <v/>
      </c>
      <c r="G749" s="1308"/>
      <c r="H749" s="36"/>
      <c r="I749" s="36"/>
      <c r="J749" s="36"/>
      <c r="K749" s="36"/>
      <c r="L749" s="36"/>
      <c r="M749" s="36"/>
      <c r="N749" s="36"/>
      <c r="O749" s="142"/>
      <c r="P749" s="115"/>
      <c r="X749" s="514" t="b">
        <f t="shared" si="31"/>
        <v>0</v>
      </c>
    </row>
    <row r="750" spans="1:24" hidden="1" x14ac:dyDescent="0.25">
      <c r="A750" s="113" t="s">
        <v>0</v>
      </c>
      <c r="B750" s="132"/>
      <c r="C750" s="132"/>
      <c r="D750" s="496">
        <v>210</v>
      </c>
      <c r="E750" s="515" t="str">
        <f t="shared" si="29"/>
        <v/>
      </c>
      <c r="F750" s="1308" t="str">
        <f t="shared" si="30"/>
        <v/>
      </c>
      <c r="G750" s="1308"/>
      <c r="H750" s="36"/>
      <c r="I750" s="36"/>
      <c r="J750" s="36"/>
      <c r="K750" s="36"/>
      <c r="L750" s="36"/>
      <c r="M750" s="36"/>
      <c r="N750" s="36"/>
      <c r="O750" s="142"/>
      <c r="P750" s="115"/>
      <c r="X750" s="514" t="b">
        <f t="shared" si="31"/>
        <v>0</v>
      </c>
    </row>
    <row r="751" spans="1:24" hidden="1" x14ac:dyDescent="0.25">
      <c r="A751" s="113" t="s">
        <v>0</v>
      </c>
      <c r="B751" s="132"/>
      <c r="C751" s="132"/>
      <c r="D751" s="496">
        <v>211</v>
      </c>
      <c r="E751" s="515" t="str">
        <f t="shared" si="29"/>
        <v/>
      </c>
      <c r="F751" s="1308" t="str">
        <f t="shared" si="30"/>
        <v/>
      </c>
      <c r="G751" s="1308"/>
      <c r="H751" s="36"/>
      <c r="I751" s="36"/>
      <c r="J751" s="36"/>
      <c r="K751" s="36"/>
      <c r="L751" s="36"/>
      <c r="M751" s="36"/>
      <c r="N751" s="36"/>
      <c r="O751" s="142"/>
      <c r="P751" s="115"/>
      <c r="X751" s="514" t="b">
        <f t="shared" si="31"/>
        <v>0</v>
      </c>
    </row>
    <row r="752" spans="1:24" hidden="1" x14ac:dyDescent="0.25">
      <c r="A752" s="113" t="s">
        <v>0</v>
      </c>
      <c r="B752" s="132"/>
      <c r="C752" s="132"/>
      <c r="D752" s="496">
        <v>212</v>
      </c>
      <c r="E752" s="515" t="str">
        <f t="shared" ref="E752:E789" si="32">IF(E498="","",E498)</f>
        <v/>
      </c>
      <c r="F752" s="1308" t="str">
        <f t="shared" ref="F752:F789" si="33">IF(H498="","",H498)</f>
        <v/>
      </c>
      <c r="G752" s="1308"/>
      <c r="H752" s="36"/>
      <c r="I752" s="36"/>
      <c r="J752" s="36"/>
      <c r="K752" s="36"/>
      <c r="L752" s="36"/>
      <c r="M752" s="36"/>
      <c r="N752" s="36"/>
      <c r="O752" s="142"/>
      <c r="P752" s="115"/>
      <c r="X752" s="514" t="b">
        <f t="shared" ref="X752:X789" si="34">AND(COUNTA($E$30:$E$279)&gt;0,E752="")</f>
        <v>0</v>
      </c>
    </row>
    <row r="753" spans="1:24" hidden="1" x14ac:dyDescent="0.25">
      <c r="A753" s="113" t="s">
        <v>0</v>
      </c>
      <c r="B753" s="132"/>
      <c r="C753" s="132"/>
      <c r="D753" s="496">
        <v>213</v>
      </c>
      <c r="E753" s="515" t="str">
        <f t="shared" si="32"/>
        <v/>
      </c>
      <c r="F753" s="1308" t="str">
        <f t="shared" si="33"/>
        <v/>
      </c>
      <c r="G753" s="1308"/>
      <c r="H753" s="36"/>
      <c r="I753" s="36"/>
      <c r="J753" s="36"/>
      <c r="K753" s="36"/>
      <c r="L753" s="36"/>
      <c r="M753" s="36"/>
      <c r="N753" s="36"/>
      <c r="O753" s="142"/>
      <c r="P753" s="115"/>
      <c r="X753" s="514" t="b">
        <f t="shared" si="34"/>
        <v>0</v>
      </c>
    </row>
    <row r="754" spans="1:24" hidden="1" x14ac:dyDescent="0.25">
      <c r="A754" s="113" t="s">
        <v>0</v>
      </c>
      <c r="B754" s="132"/>
      <c r="C754" s="132"/>
      <c r="D754" s="496">
        <v>214</v>
      </c>
      <c r="E754" s="515" t="str">
        <f t="shared" si="32"/>
        <v/>
      </c>
      <c r="F754" s="1308" t="str">
        <f t="shared" si="33"/>
        <v/>
      </c>
      <c r="G754" s="1308"/>
      <c r="H754" s="36"/>
      <c r="I754" s="36"/>
      <c r="J754" s="36"/>
      <c r="K754" s="36"/>
      <c r="L754" s="36"/>
      <c r="M754" s="36"/>
      <c r="N754" s="36"/>
      <c r="O754" s="142"/>
      <c r="P754" s="115"/>
      <c r="X754" s="514" t="b">
        <f t="shared" si="34"/>
        <v>0</v>
      </c>
    </row>
    <row r="755" spans="1:24" hidden="1" x14ac:dyDescent="0.25">
      <c r="A755" s="113" t="s">
        <v>0</v>
      </c>
      <c r="B755" s="132"/>
      <c r="C755" s="132"/>
      <c r="D755" s="496">
        <v>215</v>
      </c>
      <c r="E755" s="515" t="str">
        <f t="shared" si="32"/>
        <v/>
      </c>
      <c r="F755" s="1308" t="str">
        <f t="shared" si="33"/>
        <v/>
      </c>
      <c r="G755" s="1308"/>
      <c r="H755" s="36"/>
      <c r="I755" s="36"/>
      <c r="J755" s="36"/>
      <c r="K755" s="36"/>
      <c r="L755" s="36"/>
      <c r="M755" s="36"/>
      <c r="N755" s="36"/>
      <c r="O755" s="142"/>
      <c r="P755" s="115"/>
      <c r="X755" s="514" t="b">
        <f t="shared" si="34"/>
        <v>0</v>
      </c>
    </row>
    <row r="756" spans="1:24" hidden="1" x14ac:dyDescent="0.25">
      <c r="A756" s="113" t="s">
        <v>0</v>
      </c>
      <c r="B756" s="132"/>
      <c r="C756" s="132"/>
      <c r="D756" s="496">
        <v>216</v>
      </c>
      <c r="E756" s="515" t="str">
        <f t="shared" si="32"/>
        <v/>
      </c>
      <c r="F756" s="1308" t="str">
        <f t="shared" si="33"/>
        <v/>
      </c>
      <c r="G756" s="1308"/>
      <c r="H756" s="36"/>
      <c r="I756" s="36"/>
      <c r="J756" s="36"/>
      <c r="K756" s="36"/>
      <c r="L756" s="36"/>
      <c r="M756" s="36"/>
      <c r="N756" s="36"/>
      <c r="O756" s="142"/>
      <c r="P756" s="115"/>
      <c r="X756" s="514" t="b">
        <f t="shared" si="34"/>
        <v>0</v>
      </c>
    </row>
    <row r="757" spans="1:24" hidden="1" x14ac:dyDescent="0.25">
      <c r="A757" s="113" t="s">
        <v>0</v>
      </c>
      <c r="B757" s="132"/>
      <c r="C757" s="132"/>
      <c r="D757" s="496">
        <v>217</v>
      </c>
      <c r="E757" s="515" t="str">
        <f t="shared" si="32"/>
        <v/>
      </c>
      <c r="F757" s="1308" t="str">
        <f t="shared" si="33"/>
        <v/>
      </c>
      <c r="G757" s="1308"/>
      <c r="H757" s="36"/>
      <c r="I757" s="36"/>
      <c r="J757" s="36"/>
      <c r="K757" s="36"/>
      <c r="L757" s="36"/>
      <c r="M757" s="36"/>
      <c r="N757" s="36"/>
      <c r="O757" s="142"/>
      <c r="P757" s="115"/>
      <c r="X757" s="514" t="b">
        <f t="shared" si="34"/>
        <v>0</v>
      </c>
    </row>
    <row r="758" spans="1:24" hidden="1" x14ac:dyDescent="0.25">
      <c r="A758" s="113" t="s">
        <v>0</v>
      </c>
      <c r="B758" s="132"/>
      <c r="C758" s="132"/>
      <c r="D758" s="496">
        <v>218</v>
      </c>
      <c r="E758" s="515" t="str">
        <f t="shared" si="32"/>
        <v/>
      </c>
      <c r="F758" s="1308" t="str">
        <f t="shared" si="33"/>
        <v/>
      </c>
      <c r="G758" s="1308"/>
      <c r="H758" s="36"/>
      <c r="I758" s="36"/>
      <c r="J758" s="36"/>
      <c r="K758" s="36"/>
      <c r="L758" s="36"/>
      <c r="M758" s="36"/>
      <c r="N758" s="36"/>
      <c r="O758" s="142"/>
      <c r="P758" s="115"/>
      <c r="X758" s="514" t="b">
        <f t="shared" si="34"/>
        <v>0</v>
      </c>
    </row>
    <row r="759" spans="1:24" hidden="1" x14ac:dyDescent="0.25">
      <c r="A759" s="113" t="s">
        <v>0</v>
      </c>
      <c r="B759" s="132"/>
      <c r="C759" s="132"/>
      <c r="D759" s="496">
        <v>219</v>
      </c>
      <c r="E759" s="515" t="str">
        <f t="shared" si="32"/>
        <v/>
      </c>
      <c r="F759" s="1308" t="str">
        <f t="shared" si="33"/>
        <v/>
      </c>
      <c r="G759" s="1308"/>
      <c r="H759" s="36"/>
      <c r="I759" s="36"/>
      <c r="J759" s="36"/>
      <c r="K759" s="36"/>
      <c r="L759" s="36"/>
      <c r="M759" s="36"/>
      <c r="N759" s="36"/>
      <c r="O759" s="142"/>
      <c r="P759" s="115"/>
      <c r="X759" s="514" t="b">
        <f t="shared" si="34"/>
        <v>0</v>
      </c>
    </row>
    <row r="760" spans="1:24" hidden="1" x14ac:dyDescent="0.25">
      <c r="A760" s="113" t="s">
        <v>0</v>
      </c>
      <c r="B760" s="132"/>
      <c r="C760" s="132"/>
      <c r="D760" s="496">
        <v>220</v>
      </c>
      <c r="E760" s="515" t="str">
        <f t="shared" si="32"/>
        <v/>
      </c>
      <c r="F760" s="1308" t="str">
        <f t="shared" si="33"/>
        <v/>
      </c>
      <c r="G760" s="1308"/>
      <c r="H760" s="36"/>
      <c r="I760" s="36"/>
      <c r="J760" s="36"/>
      <c r="K760" s="36"/>
      <c r="L760" s="36"/>
      <c r="M760" s="36"/>
      <c r="N760" s="36"/>
      <c r="O760" s="142"/>
      <c r="P760" s="115"/>
      <c r="X760" s="514" t="b">
        <f t="shared" si="34"/>
        <v>0</v>
      </c>
    </row>
    <row r="761" spans="1:24" hidden="1" x14ac:dyDescent="0.25">
      <c r="A761" s="113" t="s">
        <v>0</v>
      </c>
      <c r="B761" s="132"/>
      <c r="C761" s="132"/>
      <c r="D761" s="496">
        <v>221</v>
      </c>
      <c r="E761" s="515" t="str">
        <f t="shared" si="32"/>
        <v/>
      </c>
      <c r="F761" s="1308" t="str">
        <f t="shared" si="33"/>
        <v/>
      </c>
      <c r="G761" s="1308"/>
      <c r="H761" s="36"/>
      <c r="I761" s="36"/>
      <c r="J761" s="36"/>
      <c r="K761" s="36"/>
      <c r="L761" s="36"/>
      <c r="M761" s="36"/>
      <c r="N761" s="36"/>
      <c r="O761" s="142"/>
      <c r="P761" s="115"/>
      <c r="X761" s="514" t="b">
        <f t="shared" si="34"/>
        <v>0</v>
      </c>
    </row>
    <row r="762" spans="1:24" hidden="1" x14ac:dyDescent="0.25">
      <c r="A762" s="113" t="s">
        <v>0</v>
      </c>
      <c r="B762" s="132"/>
      <c r="C762" s="132"/>
      <c r="D762" s="496">
        <v>222</v>
      </c>
      <c r="E762" s="515" t="str">
        <f t="shared" si="32"/>
        <v/>
      </c>
      <c r="F762" s="1308" t="str">
        <f t="shared" si="33"/>
        <v/>
      </c>
      <c r="G762" s="1308"/>
      <c r="H762" s="36"/>
      <c r="I762" s="36"/>
      <c r="J762" s="36"/>
      <c r="K762" s="36"/>
      <c r="L762" s="36"/>
      <c r="M762" s="36"/>
      <c r="N762" s="36"/>
      <c r="O762" s="142"/>
      <c r="P762" s="115"/>
      <c r="X762" s="514" t="b">
        <f t="shared" si="34"/>
        <v>0</v>
      </c>
    </row>
    <row r="763" spans="1:24" hidden="1" x14ac:dyDescent="0.25">
      <c r="A763" s="113" t="s">
        <v>0</v>
      </c>
      <c r="B763" s="132"/>
      <c r="C763" s="132"/>
      <c r="D763" s="496">
        <v>223</v>
      </c>
      <c r="E763" s="515" t="str">
        <f t="shared" si="32"/>
        <v/>
      </c>
      <c r="F763" s="1308" t="str">
        <f t="shared" si="33"/>
        <v/>
      </c>
      <c r="G763" s="1308"/>
      <c r="H763" s="36"/>
      <c r="I763" s="36"/>
      <c r="J763" s="36"/>
      <c r="K763" s="36"/>
      <c r="L763" s="36"/>
      <c r="M763" s="36"/>
      <c r="N763" s="36"/>
      <c r="O763" s="142"/>
      <c r="P763" s="115"/>
      <c r="X763" s="514" t="b">
        <f t="shared" si="34"/>
        <v>0</v>
      </c>
    </row>
    <row r="764" spans="1:24" hidden="1" x14ac:dyDescent="0.25">
      <c r="A764" s="113" t="s">
        <v>0</v>
      </c>
      <c r="B764" s="132"/>
      <c r="C764" s="132"/>
      <c r="D764" s="496">
        <v>224</v>
      </c>
      <c r="E764" s="515" t="str">
        <f t="shared" si="32"/>
        <v/>
      </c>
      <c r="F764" s="1308" t="str">
        <f t="shared" si="33"/>
        <v/>
      </c>
      <c r="G764" s="1308"/>
      <c r="H764" s="36"/>
      <c r="I764" s="36"/>
      <c r="J764" s="36"/>
      <c r="K764" s="36"/>
      <c r="L764" s="36"/>
      <c r="M764" s="36"/>
      <c r="N764" s="36"/>
      <c r="O764" s="142"/>
      <c r="P764" s="115"/>
      <c r="X764" s="514" t="b">
        <f t="shared" si="34"/>
        <v>0</v>
      </c>
    </row>
    <row r="765" spans="1:24" hidden="1" x14ac:dyDescent="0.25">
      <c r="A765" s="113" t="s">
        <v>0</v>
      </c>
      <c r="B765" s="132"/>
      <c r="C765" s="132"/>
      <c r="D765" s="496">
        <v>225</v>
      </c>
      <c r="E765" s="515" t="str">
        <f t="shared" si="32"/>
        <v/>
      </c>
      <c r="F765" s="1308" t="str">
        <f t="shared" si="33"/>
        <v/>
      </c>
      <c r="G765" s="1308"/>
      <c r="H765" s="36"/>
      <c r="I765" s="36"/>
      <c r="J765" s="36"/>
      <c r="K765" s="36"/>
      <c r="L765" s="36"/>
      <c r="M765" s="36"/>
      <c r="N765" s="36"/>
      <c r="O765" s="142"/>
      <c r="P765" s="115"/>
      <c r="X765" s="514" t="b">
        <f t="shared" si="34"/>
        <v>0</v>
      </c>
    </row>
    <row r="766" spans="1:24" hidden="1" x14ac:dyDescent="0.25">
      <c r="A766" s="113" t="s">
        <v>0</v>
      </c>
      <c r="B766" s="132"/>
      <c r="C766" s="132"/>
      <c r="D766" s="496">
        <v>226</v>
      </c>
      <c r="E766" s="515" t="str">
        <f t="shared" si="32"/>
        <v/>
      </c>
      <c r="F766" s="1308" t="str">
        <f t="shared" si="33"/>
        <v/>
      </c>
      <c r="G766" s="1308"/>
      <c r="H766" s="36"/>
      <c r="I766" s="36"/>
      <c r="J766" s="36"/>
      <c r="K766" s="36"/>
      <c r="L766" s="36"/>
      <c r="M766" s="36"/>
      <c r="N766" s="36"/>
      <c r="O766" s="142"/>
      <c r="P766" s="115"/>
      <c r="X766" s="514" t="b">
        <f t="shared" si="34"/>
        <v>0</v>
      </c>
    </row>
    <row r="767" spans="1:24" hidden="1" x14ac:dyDescent="0.25">
      <c r="A767" s="113" t="s">
        <v>0</v>
      </c>
      <c r="B767" s="132"/>
      <c r="C767" s="132"/>
      <c r="D767" s="496">
        <v>227</v>
      </c>
      <c r="E767" s="515" t="str">
        <f t="shared" si="32"/>
        <v/>
      </c>
      <c r="F767" s="1308" t="str">
        <f t="shared" si="33"/>
        <v/>
      </c>
      <c r="G767" s="1308"/>
      <c r="H767" s="36"/>
      <c r="I767" s="36"/>
      <c r="J767" s="36"/>
      <c r="K767" s="36"/>
      <c r="L767" s="36"/>
      <c r="M767" s="36"/>
      <c r="N767" s="36"/>
      <c r="O767" s="142"/>
      <c r="P767" s="115"/>
      <c r="X767" s="514" t="b">
        <f t="shared" si="34"/>
        <v>0</v>
      </c>
    </row>
    <row r="768" spans="1:24" hidden="1" x14ac:dyDescent="0.25">
      <c r="A768" s="113" t="s">
        <v>0</v>
      </c>
      <c r="B768" s="132"/>
      <c r="C768" s="132"/>
      <c r="D768" s="496">
        <v>228</v>
      </c>
      <c r="E768" s="515" t="str">
        <f t="shared" si="32"/>
        <v/>
      </c>
      <c r="F768" s="1308" t="str">
        <f t="shared" si="33"/>
        <v/>
      </c>
      <c r="G768" s="1308"/>
      <c r="H768" s="36"/>
      <c r="I768" s="36"/>
      <c r="J768" s="36"/>
      <c r="K768" s="36"/>
      <c r="L768" s="36"/>
      <c r="M768" s="36"/>
      <c r="N768" s="36"/>
      <c r="O768" s="142"/>
      <c r="P768" s="115"/>
      <c r="X768" s="514" t="b">
        <f t="shared" si="34"/>
        <v>0</v>
      </c>
    </row>
    <row r="769" spans="1:24" hidden="1" x14ac:dyDescent="0.25">
      <c r="A769" s="113" t="s">
        <v>0</v>
      </c>
      <c r="B769" s="132"/>
      <c r="C769" s="132"/>
      <c r="D769" s="496">
        <v>229</v>
      </c>
      <c r="E769" s="515" t="str">
        <f t="shared" si="32"/>
        <v/>
      </c>
      <c r="F769" s="1308" t="str">
        <f t="shared" si="33"/>
        <v/>
      </c>
      <c r="G769" s="1308"/>
      <c r="H769" s="36"/>
      <c r="I769" s="36"/>
      <c r="J769" s="36"/>
      <c r="K769" s="36"/>
      <c r="L769" s="36"/>
      <c r="M769" s="36"/>
      <c r="N769" s="36"/>
      <c r="O769" s="142"/>
      <c r="P769" s="115"/>
      <c r="X769" s="514" t="b">
        <f t="shared" si="34"/>
        <v>0</v>
      </c>
    </row>
    <row r="770" spans="1:24" hidden="1" x14ac:dyDescent="0.25">
      <c r="A770" s="113" t="s">
        <v>0</v>
      </c>
      <c r="B770" s="132"/>
      <c r="C770" s="132"/>
      <c r="D770" s="496">
        <v>230</v>
      </c>
      <c r="E770" s="515" t="str">
        <f t="shared" si="32"/>
        <v/>
      </c>
      <c r="F770" s="1308" t="str">
        <f t="shared" si="33"/>
        <v/>
      </c>
      <c r="G770" s="1308"/>
      <c r="H770" s="36"/>
      <c r="I770" s="36"/>
      <c r="J770" s="36"/>
      <c r="K770" s="36"/>
      <c r="L770" s="36"/>
      <c r="M770" s="36"/>
      <c r="N770" s="36"/>
      <c r="O770" s="142"/>
      <c r="P770" s="115"/>
      <c r="X770" s="514" t="b">
        <f t="shared" si="34"/>
        <v>0</v>
      </c>
    </row>
    <row r="771" spans="1:24" hidden="1" x14ac:dyDescent="0.25">
      <c r="A771" s="113" t="s">
        <v>0</v>
      </c>
      <c r="B771" s="132"/>
      <c r="C771" s="132"/>
      <c r="D771" s="496">
        <v>231</v>
      </c>
      <c r="E771" s="515" t="str">
        <f t="shared" si="32"/>
        <v/>
      </c>
      <c r="F771" s="1308" t="str">
        <f t="shared" si="33"/>
        <v/>
      </c>
      <c r="G771" s="1308"/>
      <c r="H771" s="36"/>
      <c r="I771" s="36"/>
      <c r="J771" s="36"/>
      <c r="K771" s="36"/>
      <c r="L771" s="36"/>
      <c r="M771" s="36"/>
      <c r="N771" s="36"/>
      <c r="O771" s="142"/>
      <c r="P771" s="115"/>
      <c r="X771" s="514" t="b">
        <f t="shared" si="34"/>
        <v>0</v>
      </c>
    </row>
    <row r="772" spans="1:24" hidden="1" x14ac:dyDescent="0.25">
      <c r="A772" s="113" t="s">
        <v>0</v>
      </c>
      <c r="B772" s="132"/>
      <c r="C772" s="132"/>
      <c r="D772" s="496">
        <v>232</v>
      </c>
      <c r="E772" s="515" t="str">
        <f t="shared" si="32"/>
        <v/>
      </c>
      <c r="F772" s="1308" t="str">
        <f t="shared" si="33"/>
        <v/>
      </c>
      <c r="G772" s="1308"/>
      <c r="H772" s="36"/>
      <c r="I772" s="36"/>
      <c r="J772" s="36"/>
      <c r="K772" s="36"/>
      <c r="L772" s="36"/>
      <c r="M772" s="36"/>
      <c r="N772" s="36"/>
      <c r="O772" s="142"/>
      <c r="P772" s="115"/>
      <c r="X772" s="514" t="b">
        <f t="shared" si="34"/>
        <v>0</v>
      </c>
    </row>
    <row r="773" spans="1:24" hidden="1" x14ac:dyDescent="0.25">
      <c r="A773" s="113" t="s">
        <v>0</v>
      </c>
      <c r="B773" s="132"/>
      <c r="C773" s="132"/>
      <c r="D773" s="496">
        <v>233</v>
      </c>
      <c r="E773" s="515" t="str">
        <f t="shared" si="32"/>
        <v/>
      </c>
      <c r="F773" s="1308" t="str">
        <f t="shared" si="33"/>
        <v/>
      </c>
      <c r="G773" s="1308"/>
      <c r="H773" s="36"/>
      <c r="I773" s="36"/>
      <c r="J773" s="36"/>
      <c r="K773" s="36"/>
      <c r="L773" s="36"/>
      <c r="M773" s="36"/>
      <c r="N773" s="36"/>
      <c r="O773" s="142"/>
      <c r="P773" s="115"/>
      <c r="X773" s="514" t="b">
        <f t="shared" si="34"/>
        <v>0</v>
      </c>
    </row>
    <row r="774" spans="1:24" hidden="1" x14ac:dyDescent="0.25">
      <c r="A774" s="113" t="s">
        <v>0</v>
      </c>
      <c r="B774" s="132"/>
      <c r="C774" s="132"/>
      <c r="D774" s="496">
        <v>234</v>
      </c>
      <c r="E774" s="515" t="str">
        <f t="shared" si="32"/>
        <v/>
      </c>
      <c r="F774" s="1308" t="str">
        <f t="shared" si="33"/>
        <v/>
      </c>
      <c r="G774" s="1308"/>
      <c r="H774" s="36"/>
      <c r="I774" s="36"/>
      <c r="J774" s="36"/>
      <c r="K774" s="36"/>
      <c r="L774" s="36"/>
      <c r="M774" s="36"/>
      <c r="N774" s="36"/>
      <c r="O774" s="142"/>
      <c r="P774" s="115"/>
      <c r="X774" s="514" t="b">
        <f t="shared" si="34"/>
        <v>0</v>
      </c>
    </row>
    <row r="775" spans="1:24" hidden="1" x14ac:dyDescent="0.25">
      <c r="A775" s="113" t="s">
        <v>0</v>
      </c>
      <c r="B775" s="132"/>
      <c r="C775" s="132"/>
      <c r="D775" s="496">
        <v>235</v>
      </c>
      <c r="E775" s="515" t="str">
        <f t="shared" si="32"/>
        <v/>
      </c>
      <c r="F775" s="1308" t="str">
        <f t="shared" si="33"/>
        <v/>
      </c>
      <c r="G775" s="1308"/>
      <c r="H775" s="36"/>
      <c r="I775" s="36"/>
      <c r="J775" s="36"/>
      <c r="K775" s="36"/>
      <c r="L775" s="36"/>
      <c r="M775" s="36"/>
      <c r="N775" s="36"/>
      <c r="O775" s="142"/>
      <c r="P775" s="115"/>
      <c r="X775" s="514" t="b">
        <f t="shared" si="34"/>
        <v>0</v>
      </c>
    </row>
    <row r="776" spans="1:24" hidden="1" x14ac:dyDescent="0.25">
      <c r="A776" s="113" t="s">
        <v>0</v>
      </c>
      <c r="B776" s="132"/>
      <c r="C776" s="132"/>
      <c r="D776" s="496">
        <v>236</v>
      </c>
      <c r="E776" s="515" t="str">
        <f t="shared" si="32"/>
        <v/>
      </c>
      <c r="F776" s="1308" t="str">
        <f t="shared" si="33"/>
        <v/>
      </c>
      <c r="G776" s="1308"/>
      <c r="H776" s="36"/>
      <c r="I776" s="36"/>
      <c r="J776" s="36"/>
      <c r="K776" s="36"/>
      <c r="L776" s="36"/>
      <c r="M776" s="36"/>
      <c r="N776" s="36"/>
      <c r="O776" s="142"/>
      <c r="P776" s="115"/>
      <c r="X776" s="514" t="b">
        <f t="shared" si="34"/>
        <v>0</v>
      </c>
    </row>
    <row r="777" spans="1:24" hidden="1" x14ac:dyDescent="0.25">
      <c r="A777" s="113" t="s">
        <v>0</v>
      </c>
      <c r="B777" s="132"/>
      <c r="C777" s="132"/>
      <c r="D777" s="496">
        <v>237</v>
      </c>
      <c r="E777" s="515" t="str">
        <f t="shared" si="32"/>
        <v/>
      </c>
      <c r="F777" s="1308" t="str">
        <f t="shared" si="33"/>
        <v/>
      </c>
      <c r="G777" s="1308"/>
      <c r="H777" s="36"/>
      <c r="I777" s="36"/>
      <c r="J777" s="36"/>
      <c r="K777" s="36"/>
      <c r="L777" s="36"/>
      <c r="M777" s="36"/>
      <c r="N777" s="36"/>
      <c r="O777" s="142"/>
      <c r="P777" s="115"/>
      <c r="X777" s="514" t="b">
        <f t="shared" si="34"/>
        <v>0</v>
      </c>
    </row>
    <row r="778" spans="1:24" hidden="1" x14ac:dyDescent="0.25">
      <c r="A778" s="113" t="s">
        <v>0</v>
      </c>
      <c r="B778" s="132"/>
      <c r="C778" s="132"/>
      <c r="D778" s="496">
        <v>238</v>
      </c>
      <c r="E778" s="515" t="str">
        <f t="shared" si="32"/>
        <v/>
      </c>
      <c r="F778" s="1308" t="str">
        <f t="shared" si="33"/>
        <v/>
      </c>
      <c r="G778" s="1308"/>
      <c r="H778" s="36"/>
      <c r="I778" s="36"/>
      <c r="J778" s="36"/>
      <c r="K778" s="36"/>
      <c r="L778" s="36"/>
      <c r="M778" s="36"/>
      <c r="N778" s="36"/>
      <c r="O778" s="142"/>
      <c r="P778" s="115"/>
      <c r="X778" s="514" t="b">
        <f t="shared" si="34"/>
        <v>0</v>
      </c>
    </row>
    <row r="779" spans="1:24" hidden="1" x14ac:dyDescent="0.25">
      <c r="A779" s="113" t="s">
        <v>0</v>
      </c>
      <c r="B779" s="132"/>
      <c r="C779" s="132"/>
      <c r="D779" s="496">
        <v>239</v>
      </c>
      <c r="E779" s="515" t="str">
        <f t="shared" si="32"/>
        <v/>
      </c>
      <c r="F779" s="1308" t="str">
        <f t="shared" si="33"/>
        <v/>
      </c>
      <c r="G779" s="1308"/>
      <c r="H779" s="36"/>
      <c r="I779" s="36"/>
      <c r="J779" s="36"/>
      <c r="K779" s="36"/>
      <c r="L779" s="36"/>
      <c r="M779" s="36"/>
      <c r="N779" s="36"/>
      <c r="O779" s="142"/>
      <c r="P779" s="115"/>
      <c r="X779" s="514" t="b">
        <f t="shared" si="34"/>
        <v>0</v>
      </c>
    </row>
    <row r="780" spans="1:24" hidden="1" x14ac:dyDescent="0.25">
      <c r="A780" s="113" t="s">
        <v>0</v>
      </c>
      <c r="B780" s="132"/>
      <c r="C780" s="132"/>
      <c r="D780" s="496">
        <v>240</v>
      </c>
      <c r="E780" s="515" t="str">
        <f t="shared" si="32"/>
        <v/>
      </c>
      <c r="F780" s="1308" t="str">
        <f t="shared" si="33"/>
        <v/>
      </c>
      <c r="G780" s="1308"/>
      <c r="H780" s="36"/>
      <c r="I780" s="36"/>
      <c r="J780" s="36"/>
      <c r="K780" s="36"/>
      <c r="L780" s="36"/>
      <c r="M780" s="36"/>
      <c r="N780" s="36"/>
      <c r="O780" s="142"/>
      <c r="P780" s="115"/>
      <c r="X780" s="514" t="b">
        <f t="shared" si="34"/>
        <v>0</v>
      </c>
    </row>
    <row r="781" spans="1:24" hidden="1" x14ac:dyDescent="0.25">
      <c r="A781" s="113" t="s">
        <v>0</v>
      </c>
      <c r="B781" s="132"/>
      <c r="C781" s="132"/>
      <c r="D781" s="496">
        <v>241</v>
      </c>
      <c r="E781" s="515" t="str">
        <f t="shared" si="32"/>
        <v/>
      </c>
      <c r="F781" s="1308" t="str">
        <f t="shared" si="33"/>
        <v/>
      </c>
      <c r="G781" s="1308"/>
      <c r="H781" s="36"/>
      <c r="I781" s="36"/>
      <c r="J781" s="36"/>
      <c r="K781" s="36"/>
      <c r="L781" s="36"/>
      <c r="M781" s="36"/>
      <c r="N781" s="36"/>
      <c r="O781" s="142"/>
      <c r="P781" s="115"/>
      <c r="X781" s="514" t="b">
        <f t="shared" si="34"/>
        <v>0</v>
      </c>
    </row>
    <row r="782" spans="1:24" hidden="1" x14ac:dyDescent="0.25">
      <c r="A782" s="113" t="s">
        <v>0</v>
      </c>
      <c r="B782" s="132"/>
      <c r="C782" s="132"/>
      <c r="D782" s="496">
        <v>242</v>
      </c>
      <c r="E782" s="515" t="str">
        <f t="shared" si="32"/>
        <v/>
      </c>
      <c r="F782" s="1308" t="str">
        <f t="shared" si="33"/>
        <v/>
      </c>
      <c r="G782" s="1308"/>
      <c r="H782" s="36"/>
      <c r="I782" s="36"/>
      <c r="J782" s="36"/>
      <c r="K782" s="36"/>
      <c r="L782" s="36"/>
      <c r="M782" s="36"/>
      <c r="N782" s="36"/>
      <c r="O782" s="142"/>
      <c r="P782" s="115"/>
      <c r="X782" s="514" t="b">
        <f t="shared" si="34"/>
        <v>0</v>
      </c>
    </row>
    <row r="783" spans="1:24" hidden="1" x14ac:dyDescent="0.25">
      <c r="A783" s="113" t="s">
        <v>0</v>
      </c>
      <c r="B783" s="132"/>
      <c r="C783" s="132"/>
      <c r="D783" s="496">
        <v>243</v>
      </c>
      <c r="E783" s="515" t="str">
        <f t="shared" si="32"/>
        <v/>
      </c>
      <c r="F783" s="1308" t="str">
        <f t="shared" si="33"/>
        <v/>
      </c>
      <c r="G783" s="1308"/>
      <c r="H783" s="36"/>
      <c r="I783" s="36"/>
      <c r="J783" s="36"/>
      <c r="K783" s="36"/>
      <c r="L783" s="36"/>
      <c r="M783" s="36"/>
      <c r="N783" s="36"/>
      <c r="O783" s="142"/>
      <c r="P783" s="115"/>
      <c r="X783" s="514" t="b">
        <f t="shared" si="34"/>
        <v>0</v>
      </c>
    </row>
    <row r="784" spans="1:24" hidden="1" x14ac:dyDescent="0.25">
      <c r="A784" s="113" t="s">
        <v>0</v>
      </c>
      <c r="B784" s="132"/>
      <c r="C784" s="132"/>
      <c r="D784" s="496">
        <v>244</v>
      </c>
      <c r="E784" s="515" t="str">
        <f t="shared" si="32"/>
        <v/>
      </c>
      <c r="F784" s="1308" t="str">
        <f t="shared" si="33"/>
        <v/>
      </c>
      <c r="G784" s="1308"/>
      <c r="H784" s="36"/>
      <c r="I784" s="36"/>
      <c r="J784" s="36"/>
      <c r="K784" s="36"/>
      <c r="L784" s="36"/>
      <c r="M784" s="36"/>
      <c r="N784" s="36"/>
      <c r="O784" s="142"/>
      <c r="P784" s="115"/>
      <c r="X784" s="514" t="b">
        <f t="shared" si="34"/>
        <v>0</v>
      </c>
    </row>
    <row r="785" spans="1:24" hidden="1" x14ac:dyDescent="0.25">
      <c r="A785" s="113" t="s">
        <v>0</v>
      </c>
      <c r="B785" s="132"/>
      <c r="C785" s="132"/>
      <c r="D785" s="496">
        <v>245</v>
      </c>
      <c r="E785" s="515" t="str">
        <f t="shared" si="32"/>
        <v/>
      </c>
      <c r="F785" s="1308" t="str">
        <f t="shared" si="33"/>
        <v/>
      </c>
      <c r="G785" s="1308"/>
      <c r="H785" s="36"/>
      <c r="I785" s="36"/>
      <c r="J785" s="36"/>
      <c r="K785" s="36"/>
      <c r="L785" s="36"/>
      <c r="M785" s="36"/>
      <c r="N785" s="36"/>
      <c r="O785" s="142"/>
      <c r="P785" s="115"/>
      <c r="X785" s="514" t="b">
        <f t="shared" si="34"/>
        <v>0</v>
      </c>
    </row>
    <row r="786" spans="1:24" hidden="1" x14ac:dyDescent="0.25">
      <c r="A786" s="113" t="s">
        <v>0</v>
      </c>
      <c r="B786" s="132"/>
      <c r="C786" s="132"/>
      <c r="D786" s="496">
        <v>246</v>
      </c>
      <c r="E786" s="515" t="str">
        <f t="shared" si="32"/>
        <v/>
      </c>
      <c r="F786" s="1308" t="str">
        <f t="shared" si="33"/>
        <v/>
      </c>
      <c r="G786" s="1308"/>
      <c r="H786" s="36"/>
      <c r="I786" s="36"/>
      <c r="J786" s="36"/>
      <c r="K786" s="36"/>
      <c r="L786" s="36"/>
      <c r="M786" s="36"/>
      <c r="N786" s="36"/>
      <c r="O786" s="142"/>
      <c r="P786" s="115"/>
      <c r="X786" s="514" t="b">
        <f t="shared" si="34"/>
        <v>0</v>
      </c>
    </row>
    <row r="787" spans="1:24" hidden="1" x14ac:dyDescent="0.25">
      <c r="A787" s="113" t="s">
        <v>0</v>
      </c>
      <c r="B787" s="132"/>
      <c r="C787" s="132"/>
      <c r="D787" s="496">
        <v>247</v>
      </c>
      <c r="E787" s="515" t="str">
        <f t="shared" si="32"/>
        <v/>
      </c>
      <c r="F787" s="1308" t="str">
        <f t="shared" si="33"/>
        <v/>
      </c>
      <c r="G787" s="1308"/>
      <c r="H787" s="36"/>
      <c r="I787" s="36"/>
      <c r="J787" s="36"/>
      <c r="K787" s="36"/>
      <c r="L787" s="36"/>
      <c r="M787" s="36"/>
      <c r="N787" s="36"/>
      <c r="O787" s="142"/>
      <c r="P787" s="115"/>
      <c r="X787" s="514" t="b">
        <f t="shared" si="34"/>
        <v>0</v>
      </c>
    </row>
    <row r="788" spans="1:24" hidden="1" x14ac:dyDescent="0.25">
      <c r="A788" s="113" t="s">
        <v>0</v>
      </c>
      <c r="B788" s="132"/>
      <c r="C788" s="132"/>
      <c r="D788" s="496">
        <v>248</v>
      </c>
      <c r="E788" s="515" t="str">
        <f t="shared" si="32"/>
        <v/>
      </c>
      <c r="F788" s="1308" t="str">
        <f t="shared" si="33"/>
        <v/>
      </c>
      <c r="G788" s="1308"/>
      <c r="H788" s="36"/>
      <c r="I788" s="36"/>
      <c r="J788" s="36"/>
      <c r="K788" s="36"/>
      <c r="L788" s="36"/>
      <c r="M788" s="36"/>
      <c r="N788" s="36"/>
      <c r="O788" s="142"/>
      <c r="P788" s="115"/>
      <c r="X788" s="514" t="b">
        <f t="shared" si="34"/>
        <v>0</v>
      </c>
    </row>
    <row r="789" spans="1:24" hidden="1" x14ac:dyDescent="0.25">
      <c r="A789" s="113" t="s">
        <v>0</v>
      </c>
      <c r="B789" s="132"/>
      <c r="C789" s="132"/>
      <c r="D789" s="496">
        <v>249</v>
      </c>
      <c r="E789" s="515" t="str">
        <f t="shared" si="32"/>
        <v/>
      </c>
      <c r="F789" s="1308" t="str">
        <f t="shared" si="33"/>
        <v/>
      </c>
      <c r="G789" s="1308"/>
      <c r="H789" s="36"/>
      <c r="I789" s="36"/>
      <c r="J789" s="36"/>
      <c r="K789" s="36"/>
      <c r="L789" s="36"/>
      <c r="M789" s="36"/>
      <c r="N789" s="36"/>
      <c r="O789" s="142"/>
      <c r="P789" s="115"/>
      <c r="X789" s="514" t="b">
        <f t="shared" si="34"/>
        <v>0</v>
      </c>
    </row>
    <row r="790" spans="1:24" hidden="1" x14ac:dyDescent="0.25">
      <c r="A790" s="113" t="s">
        <v>0</v>
      </c>
      <c r="B790" s="132"/>
      <c r="C790" s="132"/>
      <c r="D790" s="496">
        <v>250</v>
      </c>
      <c r="E790" s="515" t="str">
        <f t="shared" ref="E790" si="35">IF(E536="","",E536)</f>
        <v/>
      </c>
      <c r="F790" s="1308" t="str">
        <f t="shared" ref="F790" si="36">IF(H536="","",H536)</f>
        <v/>
      </c>
      <c r="G790" s="1308"/>
      <c r="H790" s="36"/>
      <c r="I790" s="36"/>
      <c r="J790" s="36"/>
      <c r="K790" s="36"/>
      <c r="L790" s="36"/>
      <c r="M790" s="36"/>
      <c r="N790" s="36"/>
      <c r="O790" s="142"/>
      <c r="P790" s="115"/>
      <c r="X790" s="514" t="b">
        <f t="shared" si="22"/>
        <v>0</v>
      </c>
    </row>
    <row r="792" spans="1:24" s="113" customFormat="1" hidden="1" x14ac:dyDescent="0.25">
      <c r="A792" s="110" t="s">
        <v>0</v>
      </c>
      <c r="B792" s="110" t="s">
        <v>183</v>
      </c>
      <c r="C792" s="110" t="s">
        <v>183</v>
      </c>
      <c r="D792" s="110" t="s">
        <v>183</v>
      </c>
      <c r="E792" s="110" t="s">
        <v>183</v>
      </c>
      <c r="F792" s="110" t="s">
        <v>183</v>
      </c>
      <c r="G792" s="110" t="s">
        <v>183</v>
      </c>
      <c r="H792" s="110" t="s">
        <v>183</v>
      </c>
      <c r="I792" s="110" t="s">
        <v>183</v>
      </c>
      <c r="J792" s="110" t="s">
        <v>183</v>
      </c>
      <c r="K792" s="110" t="s">
        <v>183</v>
      </c>
      <c r="L792" s="110" t="s">
        <v>183</v>
      </c>
      <c r="M792" s="110" t="s">
        <v>183</v>
      </c>
      <c r="N792" s="110" t="s">
        <v>183</v>
      </c>
      <c r="O792" s="472" t="s">
        <v>183</v>
      </c>
      <c r="P792" s="110" t="s">
        <v>183</v>
      </c>
      <c r="Q792" s="110" t="s">
        <v>183</v>
      </c>
      <c r="R792" s="110" t="s">
        <v>183</v>
      </c>
      <c r="S792" s="110" t="s">
        <v>183</v>
      </c>
      <c r="T792" s="110" t="s">
        <v>183</v>
      </c>
      <c r="U792" s="110" t="s">
        <v>183</v>
      </c>
      <c r="V792" s="110" t="s">
        <v>183</v>
      </c>
      <c r="W792" s="110" t="s">
        <v>183</v>
      </c>
      <c r="X792" s="110" t="s">
        <v>183</v>
      </c>
    </row>
    <row r="793" spans="1:24" s="113" customFormat="1" hidden="1" x14ac:dyDescent="0.25">
      <c r="A793" s="110" t="s">
        <v>0</v>
      </c>
      <c r="E793" s="516"/>
      <c r="O793" s="112"/>
      <c r="P793" s="111" t="s">
        <v>3</v>
      </c>
    </row>
    <row r="794" spans="1:24" ht="13" hidden="1" thickBot="1" x14ac:dyDescent="0.3">
      <c r="A794" s="110" t="s">
        <v>0</v>
      </c>
      <c r="O794" s="117"/>
      <c r="P794" s="116"/>
    </row>
    <row r="795" spans="1:24" ht="13.5" hidden="1" thickBot="1" x14ac:dyDescent="0.3">
      <c r="A795" s="110" t="s">
        <v>0</v>
      </c>
      <c r="F795" s="474"/>
      <c r="G795" s="475" t="str">
        <f>Translations!$B$451</f>
        <v>EUTL ID</v>
      </c>
      <c r="H795" s="475" t="s">
        <v>184</v>
      </c>
      <c r="I795" s="475" t="str">
        <f>Translations!$B$451</f>
        <v>EUTL ID</v>
      </c>
      <c r="J795" s="475"/>
      <c r="K795" s="475"/>
      <c r="L795" s="475"/>
      <c r="M795" s="476" t="str">
        <f>Translations!$B$402</f>
        <v>Range</v>
      </c>
      <c r="O795" s="117"/>
      <c r="P795" s="116"/>
    </row>
    <row r="796" spans="1:24" hidden="1" x14ac:dyDescent="0.25">
      <c r="A796" s="110" t="s">
        <v>0</v>
      </c>
      <c r="F796" s="477">
        <v>1</v>
      </c>
      <c r="G796" s="271" t="str">
        <f>INDEX($R$30:$R$279,F796)</f>
        <v>n.a.</v>
      </c>
      <c r="H796" s="271" t="str">
        <f>IF(G796=EUconst_NA,"",MAX($H795:H$795)+1)</f>
        <v/>
      </c>
      <c r="I796" s="272" t="str">
        <f>IF(COUNTIF($H$796:$H$1050,F796)=0,"",INDEX($G$796:$G$1050,MATCH(F796,$H$796:$H$1050,0)))</f>
        <v/>
      </c>
      <c r="J796" s="271"/>
      <c r="K796" s="271"/>
      <c r="L796" s="271"/>
      <c r="M796" s="478" t="str">
        <f ca="1">ADDRESS(ROW(I796),COLUMN(I796),,,T2)&amp;":"&amp;ADDRESS(ROW(I796)+COUNTIF(G796:G1045,"&lt;&gt;"&amp;EUconst_NA)-1,COLUMN(I796))</f>
        <v>D_ETS1Amounts!$I$796:$I$795</v>
      </c>
      <c r="O796" s="117"/>
      <c r="P796" s="116"/>
    </row>
    <row r="797" spans="1:24" hidden="1" x14ac:dyDescent="0.25">
      <c r="A797" s="110" t="s">
        <v>0</v>
      </c>
      <c r="F797" s="479">
        <f>F796+1</f>
        <v>2</v>
      </c>
      <c r="G797" s="275" t="str">
        <f t="shared" ref="G797:G1045" si="37">INDEX($R$30:$R$279,F797)</f>
        <v>n.a.</v>
      </c>
      <c r="H797" s="275" t="str">
        <f>IF(G797=EUconst_NA,"",MAX($H$795:H796)+1)</f>
        <v/>
      </c>
      <c r="I797" s="276" t="str">
        <f t="shared" ref="I797:I1045" si="38">IF(COUNTIF($H$796:$H$1050,F797)=0,"",INDEX($G$796:$G$1050,MATCH(F797,$H$796:$H$1050,0)))</f>
        <v/>
      </c>
      <c r="J797" s="275"/>
      <c r="K797" s="275"/>
      <c r="L797" s="275"/>
      <c r="M797" s="277"/>
      <c r="O797" s="117"/>
      <c r="P797" s="116"/>
    </row>
    <row r="798" spans="1:24" hidden="1" x14ac:dyDescent="0.25">
      <c r="A798" s="110" t="s">
        <v>0</v>
      </c>
      <c r="F798" s="479">
        <f t="shared" ref="F798:F861" si="39">F797+1</f>
        <v>3</v>
      </c>
      <c r="G798" s="275" t="str">
        <f t="shared" si="37"/>
        <v>n.a.</v>
      </c>
      <c r="H798" s="275" t="str">
        <f>IF(G798=EUconst_NA,"",MAX($H$795:H797)+1)</f>
        <v/>
      </c>
      <c r="I798" s="276" t="str">
        <f t="shared" si="38"/>
        <v/>
      </c>
      <c r="J798" s="275"/>
      <c r="K798" s="275"/>
      <c r="L798" s="275"/>
      <c r="M798" s="517" t="str">
        <f ca="1">C_FuelStreams!M1465</f>
        <v>C_FuelStreams!$I$1465:$I$1464</v>
      </c>
      <c r="O798" s="117"/>
      <c r="P798" s="116"/>
    </row>
    <row r="799" spans="1:24" hidden="1" x14ac:dyDescent="0.25">
      <c r="A799" s="110" t="s">
        <v>0</v>
      </c>
      <c r="F799" s="479">
        <f t="shared" si="39"/>
        <v>4</v>
      </c>
      <c r="G799" s="275" t="str">
        <f t="shared" si="37"/>
        <v>n.a.</v>
      </c>
      <c r="H799" s="275" t="str">
        <f>IF(G799=EUconst_NA,"",MAX($H$795:H798)+1)</f>
        <v/>
      </c>
      <c r="I799" s="276" t="str">
        <f t="shared" si="38"/>
        <v/>
      </c>
      <c r="J799" s="275"/>
      <c r="K799" s="275"/>
      <c r="L799" s="275"/>
      <c r="M799" s="277"/>
      <c r="O799" s="117"/>
      <c r="P799" s="116"/>
    </row>
    <row r="800" spans="1:24" hidden="1" x14ac:dyDescent="0.25">
      <c r="A800" s="110" t="s">
        <v>0</v>
      </c>
      <c r="F800" s="479">
        <f t="shared" si="39"/>
        <v>5</v>
      </c>
      <c r="G800" s="275" t="str">
        <f t="shared" si="37"/>
        <v>n.a.</v>
      </c>
      <c r="H800" s="275" t="str">
        <f>IF(G800=EUconst_NA,"",MAX($H$795:H799)+1)</f>
        <v/>
      </c>
      <c r="I800" s="276" t="str">
        <f t="shared" si="38"/>
        <v/>
      </c>
      <c r="J800" s="275"/>
      <c r="K800" s="275"/>
      <c r="L800" s="275"/>
      <c r="M800" s="277"/>
      <c r="O800" s="117"/>
      <c r="P800" s="116"/>
    </row>
    <row r="801" spans="1:13" hidden="1" x14ac:dyDescent="0.25">
      <c r="A801" s="110" t="s">
        <v>0</v>
      </c>
      <c r="F801" s="479">
        <f t="shared" si="39"/>
        <v>6</v>
      </c>
      <c r="G801" s="275" t="str">
        <f t="shared" si="37"/>
        <v>n.a.</v>
      </c>
      <c r="H801" s="275" t="str">
        <f>IF(G801=EUconst_NA,"",MAX($H$795:H800)+1)</f>
        <v/>
      </c>
      <c r="I801" s="276" t="str">
        <f t="shared" si="38"/>
        <v/>
      </c>
      <c r="J801" s="275"/>
      <c r="K801" s="275"/>
      <c r="L801" s="275"/>
      <c r="M801" s="277"/>
    </row>
    <row r="802" spans="1:13" hidden="1" x14ac:dyDescent="0.25">
      <c r="A802" s="110" t="s">
        <v>0</v>
      </c>
      <c r="F802" s="479">
        <f t="shared" si="39"/>
        <v>7</v>
      </c>
      <c r="G802" s="275" t="str">
        <f t="shared" si="37"/>
        <v>n.a.</v>
      </c>
      <c r="H802" s="275" t="str">
        <f>IF(G802=EUconst_NA,"",MAX($H$795:H801)+1)</f>
        <v/>
      </c>
      <c r="I802" s="276" t="str">
        <f t="shared" si="38"/>
        <v/>
      </c>
      <c r="J802" s="275"/>
      <c r="K802" s="275"/>
      <c r="L802" s="275"/>
      <c r="M802" s="277"/>
    </row>
    <row r="803" spans="1:13" hidden="1" x14ac:dyDescent="0.25">
      <c r="A803" s="110" t="s">
        <v>0</v>
      </c>
      <c r="F803" s="479">
        <f t="shared" si="39"/>
        <v>8</v>
      </c>
      <c r="G803" s="275" t="str">
        <f t="shared" si="37"/>
        <v>n.a.</v>
      </c>
      <c r="H803" s="275" t="str">
        <f>IF(G803=EUconst_NA,"",MAX($H$795:H802)+1)</f>
        <v/>
      </c>
      <c r="I803" s="276" t="str">
        <f t="shared" si="38"/>
        <v/>
      </c>
      <c r="J803" s="275"/>
      <c r="K803" s="275"/>
      <c r="L803" s="275"/>
      <c r="M803" s="277"/>
    </row>
    <row r="804" spans="1:13" hidden="1" x14ac:dyDescent="0.25">
      <c r="A804" s="110" t="s">
        <v>0</v>
      </c>
      <c r="F804" s="479">
        <f t="shared" si="39"/>
        <v>9</v>
      </c>
      <c r="G804" s="275" t="str">
        <f t="shared" si="37"/>
        <v>n.a.</v>
      </c>
      <c r="H804" s="275" t="str">
        <f>IF(G804=EUconst_NA,"",MAX($H$795:H803)+1)</f>
        <v/>
      </c>
      <c r="I804" s="276" t="str">
        <f t="shared" si="38"/>
        <v/>
      </c>
      <c r="J804" s="275"/>
      <c r="K804" s="275"/>
      <c r="L804" s="275"/>
      <c r="M804" s="277"/>
    </row>
    <row r="805" spans="1:13" hidden="1" x14ac:dyDescent="0.25">
      <c r="A805" s="110" t="s">
        <v>0</v>
      </c>
      <c r="F805" s="479">
        <f t="shared" si="39"/>
        <v>10</v>
      </c>
      <c r="G805" s="275" t="str">
        <f t="shared" si="37"/>
        <v>n.a.</v>
      </c>
      <c r="H805" s="275" t="str">
        <f>IF(G805=EUconst_NA,"",MAX($H$795:H804)+1)</f>
        <v/>
      </c>
      <c r="I805" s="276" t="str">
        <f t="shared" si="38"/>
        <v/>
      </c>
      <c r="J805" s="275"/>
      <c r="K805" s="275"/>
      <c r="L805" s="275"/>
      <c r="M805" s="277"/>
    </row>
    <row r="806" spans="1:13" hidden="1" x14ac:dyDescent="0.25">
      <c r="A806" s="110" t="s">
        <v>0</v>
      </c>
      <c r="F806" s="479">
        <f t="shared" si="39"/>
        <v>11</v>
      </c>
      <c r="G806" s="275" t="str">
        <f t="shared" si="37"/>
        <v>n.a.</v>
      </c>
      <c r="H806" s="275" t="str">
        <f>IF(G806=EUconst_NA,"",MAX($H$795:H805)+1)</f>
        <v/>
      </c>
      <c r="I806" s="276" t="str">
        <f t="shared" si="38"/>
        <v/>
      </c>
      <c r="J806" s="275"/>
      <c r="K806" s="275"/>
      <c r="L806" s="275"/>
      <c r="M806" s="277"/>
    </row>
    <row r="807" spans="1:13" hidden="1" x14ac:dyDescent="0.25">
      <c r="A807" s="110" t="s">
        <v>0</v>
      </c>
      <c r="F807" s="479">
        <f t="shared" si="39"/>
        <v>12</v>
      </c>
      <c r="G807" s="275" t="str">
        <f t="shared" si="37"/>
        <v>n.a.</v>
      </c>
      <c r="H807" s="275" t="str">
        <f>IF(G807=EUconst_NA,"",MAX($H$795:H806)+1)</f>
        <v/>
      </c>
      <c r="I807" s="276" t="str">
        <f t="shared" si="38"/>
        <v/>
      </c>
      <c r="J807" s="275"/>
      <c r="K807" s="275"/>
      <c r="L807" s="275"/>
      <c r="M807" s="277"/>
    </row>
    <row r="808" spans="1:13" hidden="1" x14ac:dyDescent="0.25">
      <c r="A808" s="110" t="s">
        <v>0</v>
      </c>
      <c r="F808" s="479">
        <f t="shared" si="39"/>
        <v>13</v>
      </c>
      <c r="G808" s="275" t="str">
        <f t="shared" si="37"/>
        <v>n.a.</v>
      </c>
      <c r="H808" s="275" t="str">
        <f>IF(G808=EUconst_NA,"",MAX($H$795:H807)+1)</f>
        <v/>
      </c>
      <c r="I808" s="276" t="str">
        <f t="shared" si="38"/>
        <v/>
      </c>
      <c r="J808" s="275"/>
      <c r="K808" s="275"/>
      <c r="L808" s="275"/>
      <c r="M808" s="277"/>
    </row>
    <row r="809" spans="1:13" hidden="1" x14ac:dyDescent="0.25">
      <c r="A809" s="110" t="s">
        <v>0</v>
      </c>
      <c r="F809" s="479">
        <f t="shared" si="39"/>
        <v>14</v>
      </c>
      <c r="G809" s="275" t="str">
        <f t="shared" si="37"/>
        <v>n.a.</v>
      </c>
      <c r="H809" s="275" t="str">
        <f>IF(G809=EUconst_NA,"",MAX($H$795:H808)+1)</f>
        <v/>
      </c>
      <c r="I809" s="276" t="str">
        <f t="shared" si="38"/>
        <v/>
      </c>
      <c r="J809" s="275"/>
      <c r="K809" s="275"/>
      <c r="L809" s="275"/>
      <c r="M809" s="277"/>
    </row>
    <row r="810" spans="1:13" hidden="1" x14ac:dyDescent="0.25">
      <c r="A810" s="110" t="s">
        <v>0</v>
      </c>
      <c r="F810" s="479">
        <f t="shared" si="39"/>
        <v>15</v>
      </c>
      <c r="G810" s="275" t="str">
        <f t="shared" si="37"/>
        <v>n.a.</v>
      </c>
      <c r="H810" s="275" t="str">
        <f>IF(G810=EUconst_NA,"",MAX($H$795:H809)+1)</f>
        <v/>
      </c>
      <c r="I810" s="276" t="str">
        <f t="shared" si="38"/>
        <v/>
      </c>
      <c r="J810" s="275"/>
      <c r="K810" s="275"/>
      <c r="L810" s="275"/>
      <c r="M810" s="277"/>
    </row>
    <row r="811" spans="1:13" hidden="1" x14ac:dyDescent="0.25">
      <c r="A811" s="110" t="s">
        <v>0</v>
      </c>
      <c r="F811" s="479">
        <f t="shared" si="39"/>
        <v>16</v>
      </c>
      <c r="G811" s="275" t="str">
        <f t="shared" si="37"/>
        <v>n.a.</v>
      </c>
      <c r="H811" s="275" t="str">
        <f>IF(G811=EUconst_NA,"",MAX($H$795:H810)+1)</f>
        <v/>
      </c>
      <c r="I811" s="276" t="str">
        <f t="shared" si="38"/>
        <v/>
      </c>
      <c r="J811" s="275"/>
      <c r="K811" s="275"/>
      <c r="L811" s="275"/>
      <c r="M811" s="277"/>
    </row>
    <row r="812" spans="1:13" hidden="1" x14ac:dyDescent="0.25">
      <c r="A812" s="110" t="s">
        <v>0</v>
      </c>
      <c r="F812" s="479">
        <f t="shared" si="39"/>
        <v>17</v>
      </c>
      <c r="G812" s="275" t="str">
        <f t="shared" si="37"/>
        <v>n.a.</v>
      </c>
      <c r="H812" s="275" t="str">
        <f>IF(G812=EUconst_NA,"",MAX($H$795:H811)+1)</f>
        <v/>
      </c>
      <c r="I812" s="276" t="str">
        <f t="shared" si="38"/>
        <v/>
      </c>
      <c r="J812" s="275"/>
      <c r="K812" s="275"/>
      <c r="L812" s="275"/>
      <c r="M812" s="277"/>
    </row>
    <row r="813" spans="1:13" hidden="1" x14ac:dyDescent="0.25">
      <c r="A813" s="110" t="s">
        <v>0</v>
      </c>
      <c r="F813" s="479">
        <f t="shared" si="39"/>
        <v>18</v>
      </c>
      <c r="G813" s="275" t="str">
        <f t="shared" si="37"/>
        <v>n.a.</v>
      </c>
      <c r="H813" s="275" t="str">
        <f>IF(G813=EUconst_NA,"",MAX($H$795:H812)+1)</f>
        <v/>
      </c>
      <c r="I813" s="276" t="str">
        <f t="shared" si="38"/>
        <v/>
      </c>
      <c r="J813" s="275"/>
      <c r="K813" s="275"/>
      <c r="L813" s="275"/>
      <c r="M813" s="277"/>
    </row>
    <row r="814" spans="1:13" hidden="1" x14ac:dyDescent="0.25">
      <c r="A814" s="113" t="s">
        <v>0</v>
      </c>
      <c r="F814" s="479">
        <f t="shared" si="39"/>
        <v>19</v>
      </c>
      <c r="G814" s="275" t="str">
        <f t="shared" si="37"/>
        <v>n.a.</v>
      </c>
      <c r="H814" s="275" t="str">
        <f>IF(G814=EUconst_NA,"",MAX($H$795:H813)+1)</f>
        <v/>
      </c>
      <c r="I814" s="276" t="str">
        <f t="shared" si="38"/>
        <v/>
      </c>
      <c r="J814" s="275"/>
      <c r="K814" s="275"/>
      <c r="L814" s="275"/>
      <c r="M814" s="277"/>
    </row>
    <row r="815" spans="1:13" hidden="1" x14ac:dyDescent="0.25">
      <c r="A815" s="113" t="s">
        <v>0</v>
      </c>
      <c r="F815" s="479">
        <f t="shared" si="39"/>
        <v>20</v>
      </c>
      <c r="G815" s="275" t="str">
        <f t="shared" ref="G815:G878" si="40">INDEX($R$30:$R$279,F815)</f>
        <v>n.a.</v>
      </c>
      <c r="H815" s="275" t="str">
        <f>IF(G815=EUconst_NA,"",MAX($H$795:H814)+1)</f>
        <v/>
      </c>
      <c r="I815" s="276" t="str">
        <f t="shared" ref="I815:I878" si="41">IF(COUNTIF($H$796:$H$1050,F815)=0,"",INDEX($G$796:$G$1050,MATCH(F815,$H$796:$H$1050,0)))</f>
        <v/>
      </c>
      <c r="J815" s="275"/>
      <c r="K815" s="275"/>
      <c r="L815" s="275"/>
      <c r="M815" s="277"/>
    </row>
    <row r="816" spans="1:13" hidden="1" x14ac:dyDescent="0.25">
      <c r="A816" s="113" t="s">
        <v>0</v>
      </c>
      <c r="F816" s="479">
        <f t="shared" si="39"/>
        <v>21</v>
      </c>
      <c r="G816" s="275" t="str">
        <f t="shared" si="40"/>
        <v>n.a.</v>
      </c>
      <c r="H816" s="275" t="str">
        <f>IF(G816=EUconst_NA,"",MAX($H$795:H815)+1)</f>
        <v/>
      </c>
      <c r="I816" s="276" t="str">
        <f t="shared" si="41"/>
        <v/>
      </c>
      <c r="J816" s="275"/>
      <c r="K816" s="275"/>
      <c r="L816" s="275"/>
      <c r="M816" s="277"/>
    </row>
    <row r="817" spans="1:13" hidden="1" x14ac:dyDescent="0.25">
      <c r="A817" s="113" t="s">
        <v>0</v>
      </c>
      <c r="F817" s="479">
        <f t="shared" si="39"/>
        <v>22</v>
      </c>
      <c r="G817" s="275" t="str">
        <f t="shared" si="40"/>
        <v>n.a.</v>
      </c>
      <c r="H817" s="275" t="str">
        <f>IF(G817=EUconst_NA,"",MAX($H$795:H816)+1)</f>
        <v/>
      </c>
      <c r="I817" s="276" t="str">
        <f t="shared" si="41"/>
        <v/>
      </c>
      <c r="J817" s="275"/>
      <c r="K817" s="275"/>
      <c r="L817" s="275"/>
      <c r="M817" s="277"/>
    </row>
    <row r="818" spans="1:13" hidden="1" x14ac:dyDescent="0.25">
      <c r="A818" s="113" t="s">
        <v>0</v>
      </c>
      <c r="F818" s="479">
        <f t="shared" si="39"/>
        <v>23</v>
      </c>
      <c r="G818" s="275" t="str">
        <f t="shared" si="40"/>
        <v>n.a.</v>
      </c>
      <c r="H818" s="275" t="str">
        <f>IF(G818=EUconst_NA,"",MAX($H$795:H817)+1)</f>
        <v/>
      </c>
      <c r="I818" s="276" t="str">
        <f t="shared" si="41"/>
        <v/>
      </c>
      <c r="J818" s="275"/>
      <c r="K818" s="275"/>
      <c r="L818" s="275"/>
      <c r="M818" s="277"/>
    </row>
    <row r="819" spans="1:13" hidden="1" x14ac:dyDescent="0.25">
      <c r="A819" s="113" t="s">
        <v>0</v>
      </c>
      <c r="F819" s="479">
        <f t="shared" si="39"/>
        <v>24</v>
      </c>
      <c r="G819" s="275" t="str">
        <f t="shared" si="40"/>
        <v>n.a.</v>
      </c>
      <c r="H819" s="275" t="str">
        <f>IF(G819=EUconst_NA,"",MAX($H$795:H818)+1)</f>
        <v/>
      </c>
      <c r="I819" s="276" t="str">
        <f t="shared" si="41"/>
        <v/>
      </c>
      <c r="J819" s="275"/>
      <c r="K819" s="275"/>
      <c r="L819" s="275"/>
      <c r="M819" s="277"/>
    </row>
    <row r="820" spans="1:13" hidden="1" x14ac:dyDescent="0.25">
      <c r="A820" s="113" t="s">
        <v>0</v>
      </c>
      <c r="F820" s="479">
        <f t="shared" si="39"/>
        <v>25</v>
      </c>
      <c r="G820" s="275" t="str">
        <f t="shared" si="40"/>
        <v>n.a.</v>
      </c>
      <c r="H820" s="275" t="str">
        <f>IF(G820=EUconst_NA,"",MAX($H$795:H819)+1)</f>
        <v/>
      </c>
      <c r="I820" s="276" t="str">
        <f t="shared" si="41"/>
        <v/>
      </c>
      <c r="J820" s="275"/>
      <c r="K820" s="275"/>
      <c r="L820" s="275"/>
      <c r="M820" s="277"/>
    </row>
    <row r="821" spans="1:13" hidden="1" x14ac:dyDescent="0.25">
      <c r="A821" s="113" t="s">
        <v>0</v>
      </c>
      <c r="F821" s="479">
        <f t="shared" si="39"/>
        <v>26</v>
      </c>
      <c r="G821" s="275" t="str">
        <f t="shared" si="40"/>
        <v>n.a.</v>
      </c>
      <c r="H821" s="275" t="str">
        <f>IF(G821=EUconst_NA,"",MAX($H$795:H820)+1)</f>
        <v/>
      </c>
      <c r="I821" s="276" t="str">
        <f t="shared" si="41"/>
        <v/>
      </c>
      <c r="J821" s="275"/>
      <c r="K821" s="275"/>
      <c r="L821" s="275"/>
      <c r="M821" s="277"/>
    </row>
    <row r="822" spans="1:13" hidden="1" x14ac:dyDescent="0.25">
      <c r="A822" s="113" t="s">
        <v>0</v>
      </c>
      <c r="F822" s="479">
        <f t="shared" si="39"/>
        <v>27</v>
      </c>
      <c r="G822" s="275" t="str">
        <f t="shared" si="40"/>
        <v>n.a.</v>
      </c>
      <c r="H822" s="275" t="str">
        <f>IF(G822=EUconst_NA,"",MAX($H$795:H821)+1)</f>
        <v/>
      </c>
      <c r="I822" s="276" t="str">
        <f t="shared" si="41"/>
        <v/>
      </c>
      <c r="J822" s="275"/>
      <c r="K822" s="275"/>
      <c r="L822" s="275"/>
      <c r="M822" s="277"/>
    </row>
    <row r="823" spans="1:13" hidden="1" x14ac:dyDescent="0.25">
      <c r="A823" s="113" t="s">
        <v>0</v>
      </c>
      <c r="F823" s="479">
        <f t="shared" si="39"/>
        <v>28</v>
      </c>
      <c r="G823" s="275" t="str">
        <f t="shared" si="40"/>
        <v>n.a.</v>
      </c>
      <c r="H823" s="275" t="str">
        <f>IF(G823=EUconst_NA,"",MAX($H$795:H822)+1)</f>
        <v/>
      </c>
      <c r="I823" s="276" t="str">
        <f t="shared" si="41"/>
        <v/>
      </c>
      <c r="J823" s="275"/>
      <c r="K823" s="275"/>
      <c r="L823" s="275"/>
      <c r="M823" s="277"/>
    </row>
    <row r="824" spans="1:13" hidden="1" x14ac:dyDescent="0.25">
      <c r="A824" s="113" t="s">
        <v>0</v>
      </c>
      <c r="F824" s="479">
        <f t="shared" si="39"/>
        <v>29</v>
      </c>
      <c r="G824" s="275" t="str">
        <f t="shared" si="40"/>
        <v>n.a.</v>
      </c>
      <c r="H824" s="275" t="str">
        <f>IF(G824=EUconst_NA,"",MAX($H$795:H823)+1)</f>
        <v/>
      </c>
      <c r="I824" s="276" t="str">
        <f t="shared" si="41"/>
        <v/>
      </c>
      <c r="J824" s="275"/>
      <c r="K824" s="275"/>
      <c r="L824" s="275"/>
      <c r="M824" s="277"/>
    </row>
    <row r="825" spans="1:13" hidden="1" x14ac:dyDescent="0.25">
      <c r="A825" s="113" t="s">
        <v>0</v>
      </c>
      <c r="F825" s="479">
        <f t="shared" si="39"/>
        <v>30</v>
      </c>
      <c r="G825" s="275" t="str">
        <f t="shared" si="40"/>
        <v>n.a.</v>
      </c>
      <c r="H825" s="275" t="str">
        <f>IF(G825=EUconst_NA,"",MAX($H$795:H824)+1)</f>
        <v/>
      </c>
      <c r="I825" s="276" t="str">
        <f t="shared" si="41"/>
        <v/>
      </c>
      <c r="J825" s="275"/>
      <c r="K825" s="275"/>
      <c r="L825" s="275"/>
      <c r="M825" s="277"/>
    </row>
    <row r="826" spans="1:13" hidden="1" x14ac:dyDescent="0.25">
      <c r="A826" s="113" t="s">
        <v>0</v>
      </c>
      <c r="F826" s="479">
        <f t="shared" si="39"/>
        <v>31</v>
      </c>
      <c r="G826" s="275" t="str">
        <f t="shared" si="40"/>
        <v>n.a.</v>
      </c>
      <c r="H826" s="275" t="str">
        <f>IF(G826=EUconst_NA,"",MAX($H$795:H825)+1)</f>
        <v/>
      </c>
      <c r="I826" s="276" t="str">
        <f t="shared" si="41"/>
        <v/>
      </c>
      <c r="J826" s="275"/>
      <c r="K826" s="275"/>
      <c r="L826" s="275"/>
      <c r="M826" s="277"/>
    </row>
    <row r="827" spans="1:13" hidden="1" x14ac:dyDescent="0.25">
      <c r="A827" s="113" t="s">
        <v>0</v>
      </c>
      <c r="F827" s="479">
        <f t="shared" si="39"/>
        <v>32</v>
      </c>
      <c r="G827" s="275" t="str">
        <f t="shared" si="40"/>
        <v>n.a.</v>
      </c>
      <c r="H827" s="275" t="str">
        <f>IF(G827=EUconst_NA,"",MAX($H$795:H826)+1)</f>
        <v/>
      </c>
      <c r="I827" s="276" t="str">
        <f t="shared" si="41"/>
        <v/>
      </c>
      <c r="J827" s="275"/>
      <c r="K827" s="275"/>
      <c r="L827" s="275"/>
      <c r="M827" s="277"/>
    </row>
    <row r="828" spans="1:13" hidden="1" x14ac:dyDescent="0.25">
      <c r="A828" s="113" t="s">
        <v>0</v>
      </c>
      <c r="F828" s="479">
        <f t="shared" si="39"/>
        <v>33</v>
      </c>
      <c r="G828" s="275" t="str">
        <f t="shared" si="40"/>
        <v>n.a.</v>
      </c>
      <c r="H828" s="275" t="str">
        <f>IF(G828=EUconst_NA,"",MAX($H$795:H827)+1)</f>
        <v/>
      </c>
      <c r="I828" s="276" t="str">
        <f t="shared" si="41"/>
        <v/>
      </c>
      <c r="J828" s="275"/>
      <c r="K828" s="275"/>
      <c r="L828" s="275"/>
      <c r="M828" s="277"/>
    </row>
    <row r="829" spans="1:13" hidden="1" x14ac:dyDescent="0.25">
      <c r="A829" s="113" t="s">
        <v>0</v>
      </c>
      <c r="F829" s="479">
        <f t="shared" si="39"/>
        <v>34</v>
      </c>
      <c r="G829" s="275" t="str">
        <f t="shared" si="40"/>
        <v>n.a.</v>
      </c>
      <c r="H829" s="275" t="str">
        <f>IF(G829=EUconst_NA,"",MAX($H$795:H828)+1)</f>
        <v/>
      </c>
      <c r="I829" s="276" t="str">
        <f t="shared" si="41"/>
        <v/>
      </c>
      <c r="J829" s="275"/>
      <c r="K829" s="275"/>
      <c r="L829" s="275"/>
      <c r="M829" s="277"/>
    </row>
    <row r="830" spans="1:13" hidden="1" x14ac:dyDescent="0.25">
      <c r="A830" s="113" t="s">
        <v>0</v>
      </c>
      <c r="F830" s="479">
        <f t="shared" si="39"/>
        <v>35</v>
      </c>
      <c r="G830" s="275" t="str">
        <f t="shared" si="40"/>
        <v>n.a.</v>
      </c>
      <c r="H830" s="275" t="str">
        <f>IF(G830=EUconst_NA,"",MAX($H$795:H829)+1)</f>
        <v/>
      </c>
      <c r="I830" s="276" t="str">
        <f t="shared" si="41"/>
        <v/>
      </c>
      <c r="J830" s="275"/>
      <c r="K830" s="275"/>
      <c r="L830" s="275"/>
      <c r="M830" s="277"/>
    </row>
    <row r="831" spans="1:13" hidden="1" x14ac:dyDescent="0.25">
      <c r="A831" s="113" t="s">
        <v>0</v>
      </c>
      <c r="F831" s="479">
        <f t="shared" si="39"/>
        <v>36</v>
      </c>
      <c r="G831" s="275" t="str">
        <f t="shared" si="40"/>
        <v>n.a.</v>
      </c>
      <c r="H831" s="275" t="str">
        <f>IF(G831=EUconst_NA,"",MAX($H$795:H830)+1)</f>
        <v/>
      </c>
      <c r="I831" s="276" t="str">
        <f t="shared" si="41"/>
        <v/>
      </c>
      <c r="J831" s="275"/>
      <c r="K831" s="275"/>
      <c r="L831" s="275"/>
      <c r="M831" s="277"/>
    </row>
    <row r="832" spans="1:13" hidden="1" x14ac:dyDescent="0.25">
      <c r="A832" s="113" t="s">
        <v>0</v>
      </c>
      <c r="F832" s="479">
        <f t="shared" si="39"/>
        <v>37</v>
      </c>
      <c r="G832" s="275" t="str">
        <f t="shared" si="40"/>
        <v>n.a.</v>
      </c>
      <c r="H832" s="275" t="str">
        <f>IF(G832=EUconst_NA,"",MAX($H$795:H831)+1)</f>
        <v/>
      </c>
      <c r="I832" s="276" t="str">
        <f t="shared" si="41"/>
        <v/>
      </c>
      <c r="J832" s="275"/>
      <c r="K832" s="275"/>
      <c r="L832" s="275"/>
      <c r="M832" s="277"/>
    </row>
    <row r="833" spans="1:13" hidden="1" x14ac:dyDescent="0.25">
      <c r="A833" s="113" t="s">
        <v>0</v>
      </c>
      <c r="F833" s="479">
        <f t="shared" si="39"/>
        <v>38</v>
      </c>
      <c r="G833" s="275" t="str">
        <f t="shared" si="40"/>
        <v>n.a.</v>
      </c>
      <c r="H833" s="275" t="str">
        <f>IF(G833=EUconst_NA,"",MAX($H$795:H832)+1)</f>
        <v/>
      </c>
      <c r="I833" s="276" t="str">
        <f t="shared" si="41"/>
        <v/>
      </c>
      <c r="J833" s="275"/>
      <c r="K833" s="275"/>
      <c r="L833" s="275"/>
      <c r="M833" s="277"/>
    </row>
    <row r="834" spans="1:13" hidden="1" x14ac:dyDescent="0.25">
      <c r="A834" s="113" t="s">
        <v>0</v>
      </c>
      <c r="F834" s="479">
        <f t="shared" si="39"/>
        <v>39</v>
      </c>
      <c r="G834" s="275" t="str">
        <f t="shared" si="40"/>
        <v>n.a.</v>
      </c>
      <c r="H834" s="275" t="str">
        <f>IF(G834=EUconst_NA,"",MAX($H$795:H833)+1)</f>
        <v/>
      </c>
      <c r="I834" s="276" t="str">
        <f t="shared" si="41"/>
        <v/>
      </c>
      <c r="J834" s="275"/>
      <c r="K834" s="275"/>
      <c r="L834" s="275"/>
      <c r="M834" s="277"/>
    </row>
    <row r="835" spans="1:13" hidden="1" x14ac:dyDescent="0.25">
      <c r="A835" s="113" t="s">
        <v>0</v>
      </c>
      <c r="F835" s="479">
        <f t="shared" si="39"/>
        <v>40</v>
      </c>
      <c r="G835" s="275" t="str">
        <f t="shared" si="40"/>
        <v>n.a.</v>
      </c>
      <c r="H835" s="275" t="str">
        <f>IF(G835=EUconst_NA,"",MAX($H$795:H834)+1)</f>
        <v/>
      </c>
      <c r="I835" s="276" t="str">
        <f t="shared" si="41"/>
        <v/>
      </c>
      <c r="J835" s="275"/>
      <c r="K835" s="275"/>
      <c r="L835" s="275"/>
      <c r="M835" s="277"/>
    </row>
    <row r="836" spans="1:13" hidden="1" x14ac:dyDescent="0.25">
      <c r="A836" s="113" t="s">
        <v>0</v>
      </c>
      <c r="F836" s="479">
        <f t="shared" si="39"/>
        <v>41</v>
      </c>
      <c r="G836" s="275" t="str">
        <f t="shared" si="40"/>
        <v>n.a.</v>
      </c>
      <c r="H836" s="275" t="str">
        <f>IF(G836=EUconst_NA,"",MAX($H$795:H835)+1)</f>
        <v/>
      </c>
      <c r="I836" s="276" t="str">
        <f t="shared" si="41"/>
        <v/>
      </c>
      <c r="J836" s="275"/>
      <c r="K836" s="275"/>
      <c r="L836" s="275"/>
      <c r="M836" s="277"/>
    </row>
    <row r="837" spans="1:13" hidden="1" x14ac:dyDescent="0.25">
      <c r="A837" s="113" t="s">
        <v>0</v>
      </c>
      <c r="F837" s="479">
        <f t="shared" si="39"/>
        <v>42</v>
      </c>
      <c r="G837" s="275" t="str">
        <f t="shared" si="40"/>
        <v>n.a.</v>
      </c>
      <c r="H837" s="275" t="str">
        <f>IF(G837=EUconst_NA,"",MAX($H$795:H836)+1)</f>
        <v/>
      </c>
      <c r="I837" s="276" t="str">
        <f t="shared" si="41"/>
        <v/>
      </c>
      <c r="J837" s="275"/>
      <c r="K837" s="275"/>
      <c r="L837" s="275"/>
      <c r="M837" s="277"/>
    </row>
    <row r="838" spans="1:13" hidden="1" x14ac:dyDescent="0.25">
      <c r="A838" s="113" t="s">
        <v>0</v>
      </c>
      <c r="F838" s="479">
        <f t="shared" si="39"/>
        <v>43</v>
      </c>
      <c r="G838" s="275" t="str">
        <f t="shared" si="40"/>
        <v>n.a.</v>
      </c>
      <c r="H838" s="275" t="str">
        <f>IF(G838=EUconst_NA,"",MAX($H$795:H837)+1)</f>
        <v/>
      </c>
      <c r="I838" s="276" t="str">
        <f t="shared" si="41"/>
        <v/>
      </c>
      <c r="J838" s="275"/>
      <c r="K838" s="275"/>
      <c r="L838" s="275"/>
      <c r="M838" s="277"/>
    </row>
    <row r="839" spans="1:13" hidden="1" x14ac:dyDescent="0.25">
      <c r="A839" s="113" t="s">
        <v>0</v>
      </c>
      <c r="F839" s="479">
        <f t="shared" si="39"/>
        <v>44</v>
      </c>
      <c r="G839" s="275" t="str">
        <f t="shared" si="40"/>
        <v>n.a.</v>
      </c>
      <c r="H839" s="275" t="str">
        <f>IF(G839=EUconst_NA,"",MAX($H$795:H838)+1)</f>
        <v/>
      </c>
      <c r="I839" s="276" t="str">
        <f t="shared" si="41"/>
        <v/>
      </c>
      <c r="J839" s="275"/>
      <c r="K839" s="275"/>
      <c r="L839" s="275"/>
      <c r="M839" s="277"/>
    </row>
    <row r="840" spans="1:13" hidden="1" x14ac:dyDescent="0.25">
      <c r="A840" s="113" t="s">
        <v>0</v>
      </c>
      <c r="F840" s="479">
        <f t="shared" si="39"/>
        <v>45</v>
      </c>
      <c r="G840" s="275" t="str">
        <f t="shared" si="40"/>
        <v>n.a.</v>
      </c>
      <c r="H840" s="275" t="str">
        <f>IF(G840=EUconst_NA,"",MAX($H$795:H839)+1)</f>
        <v/>
      </c>
      <c r="I840" s="276" t="str">
        <f t="shared" si="41"/>
        <v/>
      </c>
      <c r="J840" s="275"/>
      <c r="K840" s="275"/>
      <c r="L840" s="275"/>
      <c r="M840" s="277"/>
    </row>
    <row r="841" spans="1:13" hidden="1" x14ac:dyDescent="0.25">
      <c r="A841" s="113" t="s">
        <v>0</v>
      </c>
      <c r="F841" s="479">
        <f t="shared" si="39"/>
        <v>46</v>
      </c>
      <c r="G841" s="275" t="str">
        <f t="shared" si="40"/>
        <v>n.a.</v>
      </c>
      <c r="H841" s="275" t="str">
        <f>IF(G841=EUconst_NA,"",MAX($H$795:H840)+1)</f>
        <v/>
      </c>
      <c r="I841" s="276" t="str">
        <f t="shared" si="41"/>
        <v/>
      </c>
      <c r="J841" s="275"/>
      <c r="K841" s="275"/>
      <c r="L841" s="275"/>
      <c r="M841" s="277"/>
    </row>
    <row r="842" spans="1:13" hidden="1" x14ac:dyDescent="0.25">
      <c r="A842" s="113" t="s">
        <v>0</v>
      </c>
      <c r="F842" s="479">
        <f t="shared" si="39"/>
        <v>47</v>
      </c>
      <c r="G842" s="275" t="str">
        <f t="shared" si="40"/>
        <v>n.a.</v>
      </c>
      <c r="H842" s="275" t="str">
        <f>IF(G842=EUconst_NA,"",MAX($H$795:H841)+1)</f>
        <v/>
      </c>
      <c r="I842" s="276" t="str">
        <f t="shared" si="41"/>
        <v/>
      </c>
      <c r="J842" s="275"/>
      <c r="K842" s="275"/>
      <c r="L842" s="275"/>
      <c r="M842" s="277"/>
    </row>
    <row r="843" spans="1:13" hidden="1" x14ac:dyDescent="0.25">
      <c r="A843" s="113" t="s">
        <v>0</v>
      </c>
      <c r="F843" s="479">
        <f t="shared" si="39"/>
        <v>48</v>
      </c>
      <c r="G843" s="275" t="str">
        <f t="shared" si="40"/>
        <v>n.a.</v>
      </c>
      <c r="H843" s="275" t="str">
        <f>IF(G843=EUconst_NA,"",MAX($H$795:H842)+1)</f>
        <v/>
      </c>
      <c r="I843" s="276" t="str">
        <f t="shared" si="41"/>
        <v/>
      </c>
      <c r="J843" s="275"/>
      <c r="K843" s="275"/>
      <c r="L843" s="275"/>
      <c r="M843" s="277"/>
    </row>
    <row r="844" spans="1:13" hidden="1" x14ac:dyDescent="0.25">
      <c r="A844" s="113" t="s">
        <v>0</v>
      </c>
      <c r="F844" s="479">
        <f t="shared" si="39"/>
        <v>49</v>
      </c>
      <c r="G844" s="275" t="str">
        <f t="shared" si="40"/>
        <v>n.a.</v>
      </c>
      <c r="H844" s="275" t="str">
        <f>IF(G844=EUconst_NA,"",MAX($H$795:H843)+1)</f>
        <v/>
      </c>
      <c r="I844" s="276" t="str">
        <f t="shared" si="41"/>
        <v/>
      </c>
      <c r="J844" s="275"/>
      <c r="K844" s="275"/>
      <c r="L844" s="275"/>
      <c r="M844" s="277"/>
    </row>
    <row r="845" spans="1:13" hidden="1" x14ac:dyDescent="0.25">
      <c r="A845" s="113" t="s">
        <v>0</v>
      </c>
      <c r="F845" s="479">
        <f t="shared" si="39"/>
        <v>50</v>
      </c>
      <c r="G845" s="275" t="str">
        <f t="shared" si="40"/>
        <v>n.a.</v>
      </c>
      <c r="H845" s="275" t="str">
        <f>IF(G845=EUconst_NA,"",MAX($H$795:H844)+1)</f>
        <v/>
      </c>
      <c r="I845" s="276" t="str">
        <f t="shared" si="41"/>
        <v/>
      </c>
      <c r="J845" s="275"/>
      <c r="K845" s="275"/>
      <c r="L845" s="275"/>
      <c r="M845" s="277"/>
    </row>
    <row r="846" spans="1:13" hidden="1" x14ac:dyDescent="0.25">
      <c r="A846" s="113" t="s">
        <v>0</v>
      </c>
      <c r="F846" s="479">
        <f t="shared" si="39"/>
        <v>51</v>
      </c>
      <c r="G846" s="275" t="str">
        <f t="shared" si="40"/>
        <v>n.a.</v>
      </c>
      <c r="H846" s="275" t="str">
        <f>IF(G846=EUconst_NA,"",MAX($H$795:H845)+1)</f>
        <v/>
      </c>
      <c r="I846" s="276" t="str">
        <f t="shared" si="41"/>
        <v/>
      </c>
      <c r="J846" s="275"/>
      <c r="K846" s="275"/>
      <c r="L846" s="275"/>
      <c r="M846" s="277"/>
    </row>
    <row r="847" spans="1:13" hidden="1" x14ac:dyDescent="0.25">
      <c r="A847" s="113" t="s">
        <v>0</v>
      </c>
      <c r="F847" s="479">
        <f t="shared" si="39"/>
        <v>52</v>
      </c>
      <c r="G847" s="275" t="str">
        <f t="shared" si="40"/>
        <v>n.a.</v>
      </c>
      <c r="H847" s="275" t="str">
        <f>IF(G847=EUconst_NA,"",MAX($H$795:H846)+1)</f>
        <v/>
      </c>
      <c r="I847" s="276" t="str">
        <f t="shared" si="41"/>
        <v/>
      </c>
      <c r="J847" s="275"/>
      <c r="K847" s="275"/>
      <c r="L847" s="275"/>
      <c r="M847" s="277"/>
    </row>
    <row r="848" spans="1:13" hidden="1" x14ac:dyDescent="0.25">
      <c r="A848" s="113" t="s">
        <v>0</v>
      </c>
      <c r="F848" s="479">
        <f t="shared" si="39"/>
        <v>53</v>
      </c>
      <c r="G848" s="275" t="str">
        <f t="shared" si="40"/>
        <v>n.a.</v>
      </c>
      <c r="H848" s="275" t="str">
        <f>IF(G848=EUconst_NA,"",MAX($H$795:H847)+1)</f>
        <v/>
      </c>
      <c r="I848" s="276" t="str">
        <f t="shared" si="41"/>
        <v/>
      </c>
      <c r="J848" s="275"/>
      <c r="K848" s="275"/>
      <c r="L848" s="275"/>
      <c r="M848" s="277"/>
    </row>
    <row r="849" spans="1:13" hidden="1" x14ac:dyDescent="0.25">
      <c r="A849" s="113" t="s">
        <v>0</v>
      </c>
      <c r="F849" s="479">
        <f t="shared" si="39"/>
        <v>54</v>
      </c>
      <c r="G849" s="275" t="str">
        <f t="shared" si="40"/>
        <v>n.a.</v>
      </c>
      <c r="H849" s="275" t="str">
        <f>IF(G849=EUconst_NA,"",MAX($H$795:H848)+1)</f>
        <v/>
      </c>
      <c r="I849" s="276" t="str">
        <f t="shared" si="41"/>
        <v/>
      </c>
      <c r="J849" s="275"/>
      <c r="K849" s="275"/>
      <c r="L849" s="275"/>
      <c r="M849" s="277"/>
    </row>
    <row r="850" spans="1:13" hidden="1" x14ac:dyDescent="0.25">
      <c r="A850" s="113" t="s">
        <v>0</v>
      </c>
      <c r="F850" s="479">
        <f t="shared" si="39"/>
        <v>55</v>
      </c>
      <c r="G850" s="275" t="str">
        <f t="shared" si="40"/>
        <v>n.a.</v>
      </c>
      <c r="H850" s="275" t="str">
        <f>IF(G850=EUconst_NA,"",MAX($H$795:H849)+1)</f>
        <v/>
      </c>
      <c r="I850" s="276" t="str">
        <f t="shared" si="41"/>
        <v/>
      </c>
      <c r="J850" s="275"/>
      <c r="K850" s="275"/>
      <c r="L850" s="275"/>
      <c r="M850" s="277"/>
    </row>
    <row r="851" spans="1:13" hidden="1" x14ac:dyDescent="0.25">
      <c r="A851" s="113" t="s">
        <v>0</v>
      </c>
      <c r="F851" s="479">
        <f t="shared" si="39"/>
        <v>56</v>
      </c>
      <c r="G851" s="275" t="str">
        <f t="shared" si="40"/>
        <v>n.a.</v>
      </c>
      <c r="H851" s="275" t="str">
        <f>IF(G851=EUconst_NA,"",MAX($H$795:H850)+1)</f>
        <v/>
      </c>
      <c r="I851" s="276" t="str">
        <f t="shared" si="41"/>
        <v/>
      </c>
      <c r="J851" s="275"/>
      <c r="K851" s="275"/>
      <c r="L851" s="275"/>
      <c r="M851" s="277"/>
    </row>
    <row r="852" spans="1:13" hidden="1" x14ac:dyDescent="0.25">
      <c r="A852" s="113" t="s">
        <v>0</v>
      </c>
      <c r="F852" s="479">
        <f t="shared" si="39"/>
        <v>57</v>
      </c>
      <c r="G852" s="275" t="str">
        <f t="shared" si="40"/>
        <v>n.a.</v>
      </c>
      <c r="H852" s="275" t="str">
        <f>IF(G852=EUconst_NA,"",MAX($H$795:H851)+1)</f>
        <v/>
      </c>
      <c r="I852" s="276" t="str">
        <f t="shared" si="41"/>
        <v/>
      </c>
      <c r="J852" s="275"/>
      <c r="K852" s="275"/>
      <c r="L852" s="275"/>
      <c r="M852" s="277"/>
    </row>
    <row r="853" spans="1:13" hidden="1" x14ac:dyDescent="0.25">
      <c r="A853" s="113" t="s">
        <v>0</v>
      </c>
      <c r="F853" s="479">
        <f t="shared" si="39"/>
        <v>58</v>
      </c>
      <c r="G853" s="275" t="str">
        <f t="shared" si="40"/>
        <v>n.a.</v>
      </c>
      <c r="H853" s="275" t="str">
        <f>IF(G853=EUconst_NA,"",MAX($H$795:H852)+1)</f>
        <v/>
      </c>
      <c r="I853" s="276" t="str">
        <f t="shared" si="41"/>
        <v/>
      </c>
      <c r="J853" s="275"/>
      <c r="K853" s="275"/>
      <c r="L853" s="275"/>
      <c r="M853" s="277"/>
    </row>
    <row r="854" spans="1:13" hidden="1" x14ac:dyDescent="0.25">
      <c r="A854" s="113" t="s">
        <v>0</v>
      </c>
      <c r="F854" s="479">
        <f t="shared" si="39"/>
        <v>59</v>
      </c>
      <c r="G854" s="275" t="str">
        <f t="shared" si="40"/>
        <v>n.a.</v>
      </c>
      <c r="H854" s="275" t="str">
        <f>IF(G854=EUconst_NA,"",MAX($H$795:H853)+1)</f>
        <v/>
      </c>
      <c r="I854" s="276" t="str">
        <f t="shared" si="41"/>
        <v/>
      </c>
      <c r="J854" s="275"/>
      <c r="K854" s="275"/>
      <c r="L854" s="275"/>
      <c r="M854" s="277"/>
    </row>
    <row r="855" spans="1:13" hidden="1" x14ac:dyDescent="0.25">
      <c r="A855" s="113" t="s">
        <v>0</v>
      </c>
      <c r="F855" s="479">
        <f t="shared" si="39"/>
        <v>60</v>
      </c>
      <c r="G855" s="275" t="str">
        <f t="shared" si="40"/>
        <v>n.a.</v>
      </c>
      <c r="H855" s="275" t="str">
        <f>IF(G855=EUconst_NA,"",MAX($H$795:H854)+1)</f>
        <v/>
      </c>
      <c r="I855" s="276" t="str">
        <f t="shared" si="41"/>
        <v/>
      </c>
      <c r="J855" s="275"/>
      <c r="K855" s="275"/>
      <c r="L855" s="275"/>
      <c r="M855" s="277"/>
    </row>
    <row r="856" spans="1:13" hidden="1" x14ac:dyDescent="0.25">
      <c r="A856" s="113" t="s">
        <v>0</v>
      </c>
      <c r="F856" s="479">
        <f t="shared" si="39"/>
        <v>61</v>
      </c>
      <c r="G856" s="275" t="str">
        <f t="shared" si="40"/>
        <v>n.a.</v>
      </c>
      <c r="H856" s="275" t="str">
        <f>IF(G856=EUconst_NA,"",MAX($H$795:H855)+1)</f>
        <v/>
      </c>
      <c r="I856" s="276" t="str">
        <f t="shared" si="41"/>
        <v/>
      </c>
      <c r="J856" s="275"/>
      <c r="K856" s="275"/>
      <c r="L856" s="275"/>
      <c r="M856" s="277"/>
    </row>
    <row r="857" spans="1:13" hidden="1" x14ac:dyDescent="0.25">
      <c r="A857" s="113" t="s">
        <v>0</v>
      </c>
      <c r="F857" s="479">
        <f t="shared" si="39"/>
        <v>62</v>
      </c>
      <c r="G857" s="275" t="str">
        <f t="shared" si="40"/>
        <v>n.a.</v>
      </c>
      <c r="H857" s="275" t="str">
        <f>IF(G857=EUconst_NA,"",MAX($H$795:H856)+1)</f>
        <v/>
      </c>
      <c r="I857" s="276" t="str">
        <f t="shared" si="41"/>
        <v/>
      </c>
      <c r="J857" s="275"/>
      <c r="K857" s="275"/>
      <c r="L857" s="275"/>
      <c r="M857" s="277"/>
    </row>
    <row r="858" spans="1:13" hidden="1" x14ac:dyDescent="0.25">
      <c r="A858" s="113" t="s">
        <v>0</v>
      </c>
      <c r="F858" s="479">
        <f t="shared" si="39"/>
        <v>63</v>
      </c>
      <c r="G858" s="275" t="str">
        <f t="shared" si="40"/>
        <v>n.a.</v>
      </c>
      <c r="H858" s="275" t="str">
        <f>IF(G858=EUconst_NA,"",MAX($H$795:H857)+1)</f>
        <v/>
      </c>
      <c r="I858" s="276" t="str">
        <f t="shared" si="41"/>
        <v/>
      </c>
      <c r="J858" s="275"/>
      <c r="K858" s="275"/>
      <c r="L858" s="275"/>
      <c r="M858" s="277"/>
    </row>
    <row r="859" spans="1:13" hidden="1" x14ac:dyDescent="0.25">
      <c r="A859" s="113" t="s">
        <v>0</v>
      </c>
      <c r="F859" s="479">
        <f t="shared" si="39"/>
        <v>64</v>
      </c>
      <c r="G859" s="275" t="str">
        <f t="shared" si="40"/>
        <v>n.a.</v>
      </c>
      <c r="H859" s="275" t="str">
        <f>IF(G859=EUconst_NA,"",MAX($H$795:H858)+1)</f>
        <v/>
      </c>
      <c r="I859" s="276" t="str">
        <f t="shared" si="41"/>
        <v/>
      </c>
      <c r="J859" s="275"/>
      <c r="K859" s="275"/>
      <c r="L859" s="275"/>
      <c r="M859" s="277"/>
    </row>
    <row r="860" spans="1:13" hidden="1" x14ac:dyDescent="0.25">
      <c r="A860" s="113" t="s">
        <v>0</v>
      </c>
      <c r="F860" s="479">
        <f t="shared" si="39"/>
        <v>65</v>
      </c>
      <c r="G860" s="275" t="str">
        <f t="shared" si="40"/>
        <v>n.a.</v>
      </c>
      <c r="H860" s="275" t="str">
        <f>IF(G860=EUconst_NA,"",MAX($H$795:H859)+1)</f>
        <v/>
      </c>
      <c r="I860" s="276" t="str">
        <f t="shared" si="41"/>
        <v/>
      </c>
      <c r="J860" s="275"/>
      <c r="K860" s="275"/>
      <c r="L860" s="275"/>
      <c r="M860" s="277"/>
    </row>
    <row r="861" spans="1:13" hidden="1" x14ac:dyDescent="0.25">
      <c r="A861" s="113" t="s">
        <v>0</v>
      </c>
      <c r="F861" s="479">
        <f t="shared" si="39"/>
        <v>66</v>
      </c>
      <c r="G861" s="275" t="str">
        <f t="shared" si="40"/>
        <v>n.a.</v>
      </c>
      <c r="H861" s="275" t="str">
        <f>IF(G861=EUconst_NA,"",MAX($H$795:H860)+1)</f>
        <v/>
      </c>
      <c r="I861" s="276" t="str">
        <f t="shared" si="41"/>
        <v/>
      </c>
      <c r="J861" s="275"/>
      <c r="K861" s="275"/>
      <c r="L861" s="275"/>
      <c r="M861" s="277"/>
    </row>
    <row r="862" spans="1:13" hidden="1" x14ac:dyDescent="0.25">
      <c r="A862" s="113" t="s">
        <v>0</v>
      </c>
      <c r="F862" s="479">
        <f t="shared" ref="F862:F925" si="42">F861+1</f>
        <v>67</v>
      </c>
      <c r="G862" s="275" t="str">
        <f t="shared" si="40"/>
        <v>n.a.</v>
      </c>
      <c r="H862" s="275" t="str">
        <f>IF(G862=EUconst_NA,"",MAX($H$795:H861)+1)</f>
        <v/>
      </c>
      <c r="I862" s="276" t="str">
        <f t="shared" si="41"/>
        <v/>
      </c>
      <c r="J862" s="275"/>
      <c r="K862" s="275"/>
      <c r="L862" s="275"/>
      <c r="M862" s="277"/>
    </row>
    <row r="863" spans="1:13" hidden="1" x14ac:dyDescent="0.25">
      <c r="A863" s="113" t="s">
        <v>0</v>
      </c>
      <c r="F863" s="479">
        <f t="shared" si="42"/>
        <v>68</v>
      </c>
      <c r="G863" s="275" t="str">
        <f t="shared" si="40"/>
        <v>n.a.</v>
      </c>
      <c r="H863" s="275" t="str">
        <f>IF(G863=EUconst_NA,"",MAX($H$795:H862)+1)</f>
        <v/>
      </c>
      <c r="I863" s="276" t="str">
        <f t="shared" si="41"/>
        <v/>
      </c>
      <c r="J863" s="275"/>
      <c r="K863" s="275"/>
      <c r="L863" s="275"/>
      <c r="M863" s="277"/>
    </row>
    <row r="864" spans="1:13" hidden="1" x14ac:dyDescent="0.25">
      <c r="A864" s="113" t="s">
        <v>0</v>
      </c>
      <c r="F864" s="479">
        <f t="shared" si="42"/>
        <v>69</v>
      </c>
      <c r="G864" s="275" t="str">
        <f t="shared" si="40"/>
        <v>n.a.</v>
      </c>
      <c r="H864" s="275" t="str">
        <f>IF(G864=EUconst_NA,"",MAX($H$795:H863)+1)</f>
        <v/>
      </c>
      <c r="I864" s="276" t="str">
        <f t="shared" si="41"/>
        <v/>
      </c>
      <c r="J864" s="275"/>
      <c r="K864" s="275"/>
      <c r="L864" s="275"/>
      <c r="M864" s="277"/>
    </row>
    <row r="865" spans="1:13" hidden="1" x14ac:dyDescent="0.25">
      <c r="A865" s="113" t="s">
        <v>0</v>
      </c>
      <c r="F865" s="479">
        <f t="shared" si="42"/>
        <v>70</v>
      </c>
      <c r="G865" s="275" t="str">
        <f t="shared" si="40"/>
        <v>n.a.</v>
      </c>
      <c r="H865" s="275" t="str">
        <f>IF(G865=EUconst_NA,"",MAX($H$795:H864)+1)</f>
        <v/>
      </c>
      <c r="I865" s="276" t="str">
        <f t="shared" si="41"/>
        <v/>
      </c>
      <c r="J865" s="275"/>
      <c r="K865" s="275"/>
      <c r="L865" s="275"/>
      <c r="M865" s="277"/>
    </row>
    <row r="866" spans="1:13" hidden="1" x14ac:dyDescent="0.25">
      <c r="A866" s="113" t="s">
        <v>0</v>
      </c>
      <c r="F866" s="479">
        <f t="shared" si="42"/>
        <v>71</v>
      </c>
      <c r="G866" s="275" t="str">
        <f t="shared" si="40"/>
        <v>n.a.</v>
      </c>
      <c r="H866" s="275" t="str">
        <f>IF(G866=EUconst_NA,"",MAX($H$795:H865)+1)</f>
        <v/>
      </c>
      <c r="I866" s="276" t="str">
        <f t="shared" si="41"/>
        <v/>
      </c>
      <c r="J866" s="275"/>
      <c r="K866" s="275"/>
      <c r="L866" s="275"/>
      <c r="M866" s="277"/>
    </row>
    <row r="867" spans="1:13" hidden="1" x14ac:dyDescent="0.25">
      <c r="A867" s="113" t="s">
        <v>0</v>
      </c>
      <c r="F867" s="479">
        <f t="shared" si="42"/>
        <v>72</v>
      </c>
      <c r="G867" s="275" t="str">
        <f t="shared" si="40"/>
        <v>n.a.</v>
      </c>
      <c r="H867" s="275" t="str">
        <f>IF(G867=EUconst_NA,"",MAX($H$795:H866)+1)</f>
        <v/>
      </c>
      <c r="I867" s="276" t="str">
        <f t="shared" si="41"/>
        <v/>
      </c>
      <c r="J867" s="275"/>
      <c r="K867" s="275"/>
      <c r="L867" s="275"/>
      <c r="M867" s="277"/>
    </row>
    <row r="868" spans="1:13" hidden="1" x14ac:dyDescent="0.25">
      <c r="A868" s="113" t="s">
        <v>0</v>
      </c>
      <c r="F868" s="479">
        <f t="shared" si="42"/>
        <v>73</v>
      </c>
      <c r="G868" s="275" t="str">
        <f t="shared" si="40"/>
        <v>n.a.</v>
      </c>
      <c r="H868" s="275" t="str">
        <f>IF(G868=EUconst_NA,"",MAX($H$795:H867)+1)</f>
        <v/>
      </c>
      <c r="I868" s="276" t="str">
        <f t="shared" si="41"/>
        <v/>
      </c>
      <c r="J868" s="275"/>
      <c r="K868" s="275"/>
      <c r="L868" s="275"/>
      <c r="M868" s="277"/>
    </row>
    <row r="869" spans="1:13" hidden="1" x14ac:dyDescent="0.25">
      <c r="A869" s="113" t="s">
        <v>0</v>
      </c>
      <c r="F869" s="479">
        <f t="shared" si="42"/>
        <v>74</v>
      </c>
      <c r="G869" s="275" t="str">
        <f t="shared" si="40"/>
        <v>n.a.</v>
      </c>
      <c r="H869" s="275" t="str">
        <f>IF(G869=EUconst_NA,"",MAX($H$795:H868)+1)</f>
        <v/>
      </c>
      <c r="I869" s="276" t="str">
        <f t="shared" si="41"/>
        <v/>
      </c>
      <c r="J869" s="275"/>
      <c r="K869" s="275"/>
      <c r="L869" s="275"/>
      <c r="M869" s="277"/>
    </row>
    <row r="870" spans="1:13" hidden="1" x14ac:dyDescent="0.25">
      <c r="A870" s="113" t="s">
        <v>0</v>
      </c>
      <c r="F870" s="479">
        <f t="shared" si="42"/>
        <v>75</v>
      </c>
      <c r="G870" s="275" t="str">
        <f t="shared" si="40"/>
        <v>n.a.</v>
      </c>
      <c r="H870" s="275" t="str">
        <f>IF(G870=EUconst_NA,"",MAX($H$795:H869)+1)</f>
        <v/>
      </c>
      <c r="I870" s="276" t="str">
        <f t="shared" si="41"/>
        <v/>
      </c>
      <c r="J870" s="275"/>
      <c r="K870" s="275"/>
      <c r="L870" s="275"/>
      <c r="M870" s="277"/>
    </row>
    <row r="871" spans="1:13" hidden="1" x14ac:dyDescent="0.25">
      <c r="A871" s="113" t="s">
        <v>0</v>
      </c>
      <c r="F871" s="479">
        <f t="shared" si="42"/>
        <v>76</v>
      </c>
      <c r="G871" s="275" t="str">
        <f t="shared" si="40"/>
        <v>n.a.</v>
      </c>
      <c r="H871" s="275" t="str">
        <f>IF(G871=EUconst_NA,"",MAX($H$795:H870)+1)</f>
        <v/>
      </c>
      <c r="I871" s="276" t="str">
        <f t="shared" si="41"/>
        <v/>
      </c>
      <c r="J871" s="275"/>
      <c r="K871" s="275"/>
      <c r="L871" s="275"/>
      <c r="M871" s="277"/>
    </row>
    <row r="872" spans="1:13" hidden="1" x14ac:dyDescent="0.25">
      <c r="A872" s="113" t="s">
        <v>0</v>
      </c>
      <c r="F872" s="479">
        <f t="shared" si="42"/>
        <v>77</v>
      </c>
      <c r="G872" s="275" t="str">
        <f t="shared" si="40"/>
        <v>n.a.</v>
      </c>
      <c r="H872" s="275" t="str">
        <f>IF(G872=EUconst_NA,"",MAX($H$795:H871)+1)</f>
        <v/>
      </c>
      <c r="I872" s="276" t="str">
        <f t="shared" si="41"/>
        <v/>
      </c>
      <c r="J872" s="275"/>
      <c r="K872" s="275"/>
      <c r="L872" s="275"/>
      <c r="M872" s="277"/>
    </row>
    <row r="873" spans="1:13" hidden="1" x14ac:dyDescent="0.25">
      <c r="A873" s="113" t="s">
        <v>0</v>
      </c>
      <c r="F873" s="479">
        <f t="shared" si="42"/>
        <v>78</v>
      </c>
      <c r="G873" s="275" t="str">
        <f t="shared" si="40"/>
        <v>n.a.</v>
      </c>
      <c r="H873" s="275" t="str">
        <f>IF(G873=EUconst_NA,"",MAX($H$795:H872)+1)</f>
        <v/>
      </c>
      <c r="I873" s="276" t="str">
        <f t="shared" si="41"/>
        <v/>
      </c>
      <c r="J873" s="275"/>
      <c r="K873" s="275"/>
      <c r="L873" s="275"/>
      <c r="M873" s="277"/>
    </row>
    <row r="874" spans="1:13" hidden="1" x14ac:dyDescent="0.25">
      <c r="A874" s="113" t="s">
        <v>0</v>
      </c>
      <c r="F874" s="479">
        <f t="shared" si="42"/>
        <v>79</v>
      </c>
      <c r="G874" s="275" t="str">
        <f t="shared" si="40"/>
        <v>n.a.</v>
      </c>
      <c r="H874" s="275" t="str">
        <f>IF(G874=EUconst_NA,"",MAX($H$795:H873)+1)</f>
        <v/>
      </c>
      <c r="I874" s="276" t="str">
        <f t="shared" si="41"/>
        <v/>
      </c>
      <c r="J874" s="275"/>
      <c r="K874" s="275"/>
      <c r="L874" s="275"/>
      <c r="M874" s="277"/>
    </row>
    <row r="875" spans="1:13" hidden="1" x14ac:dyDescent="0.25">
      <c r="A875" s="113" t="s">
        <v>0</v>
      </c>
      <c r="F875" s="479">
        <f t="shared" si="42"/>
        <v>80</v>
      </c>
      <c r="G875" s="275" t="str">
        <f t="shared" si="40"/>
        <v>n.a.</v>
      </c>
      <c r="H875" s="275" t="str">
        <f>IF(G875=EUconst_NA,"",MAX($H$795:H874)+1)</f>
        <v/>
      </c>
      <c r="I875" s="276" t="str">
        <f t="shared" si="41"/>
        <v/>
      </c>
      <c r="J875" s="275"/>
      <c r="K875" s="275"/>
      <c r="L875" s="275"/>
      <c r="M875" s="277"/>
    </row>
    <row r="876" spans="1:13" hidden="1" x14ac:dyDescent="0.25">
      <c r="A876" s="113" t="s">
        <v>0</v>
      </c>
      <c r="F876" s="479">
        <f t="shared" si="42"/>
        <v>81</v>
      </c>
      <c r="G876" s="275" t="str">
        <f t="shared" si="40"/>
        <v>n.a.</v>
      </c>
      <c r="H876" s="275" t="str">
        <f>IF(G876=EUconst_NA,"",MAX($H$795:H875)+1)</f>
        <v/>
      </c>
      <c r="I876" s="276" t="str">
        <f t="shared" si="41"/>
        <v/>
      </c>
      <c r="J876" s="275"/>
      <c r="K876" s="275"/>
      <c r="L876" s="275"/>
      <c r="M876" s="277"/>
    </row>
    <row r="877" spans="1:13" hidden="1" x14ac:dyDescent="0.25">
      <c r="A877" s="113" t="s">
        <v>0</v>
      </c>
      <c r="F877" s="479">
        <f t="shared" si="42"/>
        <v>82</v>
      </c>
      <c r="G877" s="275" t="str">
        <f t="shared" si="40"/>
        <v>n.a.</v>
      </c>
      <c r="H877" s="275" t="str">
        <f>IF(G877=EUconst_NA,"",MAX($H$795:H876)+1)</f>
        <v/>
      </c>
      <c r="I877" s="276" t="str">
        <f t="shared" si="41"/>
        <v/>
      </c>
      <c r="J877" s="275"/>
      <c r="K877" s="275"/>
      <c r="L877" s="275"/>
      <c r="M877" s="277"/>
    </row>
    <row r="878" spans="1:13" hidden="1" x14ac:dyDescent="0.25">
      <c r="A878" s="113" t="s">
        <v>0</v>
      </c>
      <c r="F878" s="479">
        <f t="shared" si="42"/>
        <v>83</v>
      </c>
      <c r="G878" s="275" t="str">
        <f t="shared" si="40"/>
        <v>n.a.</v>
      </c>
      <c r="H878" s="275" t="str">
        <f>IF(G878=EUconst_NA,"",MAX($H$795:H877)+1)</f>
        <v/>
      </c>
      <c r="I878" s="276" t="str">
        <f t="shared" si="41"/>
        <v/>
      </c>
      <c r="J878" s="275"/>
      <c r="K878" s="275"/>
      <c r="L878" s="275"/>
      <c r="M878" s="277"/>
    </row>
    <row r="879" spans="1:13" hidden="1" x14ac:dyDescent="0.25">
      <c r="A879" s="113" t="s">
        <v>0</v>
      </c>
      <c r="F879" s="479">
        <f t="shared" si="42"/>
        <v>84</v>
      </c>
      <c r="G879" s="275" t="str">
        <f t="shared" ref="G879:G942" si="43">INDEX($R$30:$R$279,F879)</f>
        <v>n.a.</v>
      </c>
      <c r="H879" s="275" t="str">
        <f>IF(G879=EUconst_NA,"",MAX($H$795:H878)+1)</f>
        <v/>
      </c>
      <c r="I879" s="276" t="str">
        <f t="shared" ref="I879:I942" si="44">IF(COUNTIF($H$796:$H$1050,F879)=0,"",INDEX($G$796:$G$1050,MATCH(F879,$H$796:$H$1050,0)))</f>
        <v/>
      </c>
      <c r="J879" s="275"/>
      <c r="K879" s="275"/>
      <c r="L879" s="275"/>
      <c r="M879" s="277"/>
    </row>
    <row r="880" spans="1:13" hidden="1" x14ac:dyDescent="0.25">
      <c r="A880" s="113" t="s">
        <v>0</v>
      </c>
      <c r="F880" s="479">
        <f t="shared" si="42"/>
        <v>85</v>
      </c>
      <c r="G880" s="275" t="str">
        <f t="shared" si="43"/>
        <v>n.a.</v>
      </c>
      <c r="H880" s="275" t="str">
        <f>IF(G880=EUconst_NA,"",MAX($H$795:H879)+1)</f>
        <v/>
      </c>
      <c r="I880" s="276" t="str">
        <f t="shared" si="44"/>
        <v/>
      </c>
      <c r="J880" s="275"/>
      <c r="K880" s="275"/>
      <c r="L880" s="275"/>
      <c r="M880" s="277"/>
    </row>
    <row r="881" spans="1:13" hidden="1" x14ac:dyDescent="0.25">
      <c r="A881" s="113" t="s">
        <v>0</v>
      </c>
      <c r="F881" s="479">
        <f t="shared" si="42"/>
        <v>86</v>
      </c>
      <c r="G881" s="275" t="str">
        <f t="shared" si="43"/>
        <v>n.a.</v>
      </c>
      <c r="H881" s="275" t="str">
        <f>IF(G881=EUconst_NA,"",MAX($H$795:H880)+1)</f>
        <v/>
      </c>
      <c r="I881" s="276" t="str">
        <f t="shared" si="44"/>
        <v/>
      </c>
      <c r="J881" s="275"/>
      <c r="K881" s="275"/>
      <c r="L881" s="275"/>
      <c r="M881" s="277"/>
    </row>
    <row r="882" spans="1:13" hidden="1" x14ac:dyDescent="0.25">
      <c r="A882" s="113" t="s">
        <v>0</v>
      </c>
      <c r="F882" s="479">
        <f t="shared" si="42"/>
        <v>87</v>
      </c>
      <c r="G882" s="275" t="str">
        <f t="shared" si="43"/>
        <v>n.a.</v>
      </c>
      <c r="H882" s="275" t="str">
        <f>IF(G882=EUconst_NA,"",MAX($H$795:H881)+1)</f>
        <v/>
      </c>
      <c r="I882" s="276" t="str">
        <f t="shared" si="44"/>
        <v/>
      </c>
      <c r="J882" s="275"/>
      <c r="K882" s="275"/>
      <c r="L882" s="275"/>
      <c r="M882" s="277"/>
    </row>
    <row r="883" spans="1:13" hidden="1" x14ac:dyDescent="0.25">
      <c r="A883" s="113" t="s">
        <v>0</v>
      </c>
      <c r="F883" s="479">
        <f t="shared" si="42"/>
        <v>88</v>
      </c>
      <c r="G883" s="275" t="str">
        <f t="shared" si="43"/>
        <v>n.a.</v>
      </c>
      <c r="H883" s="275" t="str">
        <f>IF(G883=EUconst_NA,"",MAX($H$795:H882)+1)</f>
        <v/>
      </c>
      <c r="I883" s="276" t="str">
        <f t="shared" si="44"/>
        <v/>
      </c>
      <c r="J883" s="275"/>
      <c r="K883" s="275"/>
      <c r="L883" s="275"/>
      <c r="M883" s="277"/>
    </row>
    <row r="884" spans="1:13" hidden="1" x14ac:dyDescent="0.25">
      <c r="A884" s="113" t="s">
        <v>0</v>
      </c>
      <c r="F884" s="479">
        <f t="shared" si="42"/>
        <v>89</v>
      </c>
      <c r="G884" s="275" t="str">
        <f t="shared" si="43"/>
        <v>n.a.</v>
      </c>
      <c r="H884" s="275" t="str">
        <f>IF(G884=EUconst_NA,"",MAX($H$795:H883)+1)</f>
        <v/>
      </c>
      <c r="I884" s="276" t="str">
        <f t="shared" si="44"/>
        <v/>
      </c>
      <c r="J884" s="275"/>
      <c r="K884" s="275"/>
      <c r="L884" s="275"/>
      <c r="M884" s="277"/>
    </row>
    <row r="885" spans="1:13" hidden="1" x14ac:dyDescent="0.25">
      <c r="A885" s="113" t="s">
        <v>0</v>
      </c>
      <c r="F885" s="479">
        <f t="shared" si="42"/>
        <v>90</v>
      </c>
      <c r="G885" s="275" t="str">
        <f t="shared" si="43"/>
        <v>n.a.</v>
      </c>
      <c r="H885" s="275" t="str">
        <f>IF(G885=EUconst_NA,"",MAX($H$795:H884)+1)</f>
        <v/>
      </c>
      <c r="I885" s="276" t="str">
        <f t="shared" si="44"/>
        <v/>
      </c>
      <c r="J885" s="275"/>
      <c r="K885" s="275"/>
      <c r="L885" s="275"/>
      <c r="M885" s="277"/>
    </row>
    <row r="886" spans="1:13" hidden="1" x14ac:dyDescent="0.25">
      <c r="A886" s="113" t="s">
        <v>0</v>
      </c>
      <c r="F886" s="479">
        <f t="shared" si="42"/>
        <v>91</v>
      </c>
      <c r="G886" s="275" t="str">
        <f t="shared" si="43"/>
        <v>n.a.</v>
      </c>
      <c r="H886" s="275" t="str">
        <f>IF(G886=EUconst_NA,"",MAX($H$795:H885)+1)</f>
        <v/>
      </c>
      <c r="I886" s="276" t="str">
        <f t="shared" si="44"/>
        <v/>
      </c>
      <c r="J886" s="275"/>
      <c r="K886" s="275"/>
      <c r="L886" s="275"/>
      <c r="M886" s="277"/>
    </row>
    <row r="887" spans="1:13" hidden="1" x14ac:dyDescent="0.25">
      <c r="A887" s="113" t="s">
        <v>0</v>
      </c>
      <c r="F887" s="479">
        <f t="shared" si="42"/>
        <v>92</v>
      </c>
      <c r="G887" s="275" t="str">
        <f t="shared" si="43"/>
        <v>n.a.</v>
      </c>
      <c r="H887" s="275" t="str">
        <f>IF(G887=EUconst_NA,"",MAX($H$795:H886)+1)</f>
        <v/>
      </c>
      <c r="I887" s="276" t="str">
        <f t="shared" si="44"/>
        <v/>
      </c>
      <c r="J887" s="275"/>
      <c r="K887" s="275"/>
      <c r="L887" s="275"/>
      <c r="M887" s="277"/>
    </row>
    <row r="888" spans="1:13" hidden="1" x14ac:dyDescent="0.25">
      <c r="A888" s="113" t="s">
        <v>0</v>
      </c>
      <c r="F888" s="479">
        <f t="shared" si="42"/>
        <v>93</v>
      </c>
      <c r="G888" s="275" t="str">
        <f t="shared" si="43"/>
        <v>n.a.</v>
      </c>
      <c r="H888" s="275" t="str">
        <f>IF(G888=EUconst_NA,"",MAX($H$795:H887)+1)</f>
        <v/>
      </c>
      <c r="I888" s="276" t="str">
        <f t="shared" si="44"/>
        <v/>
      </c>
      <c r="J888" s="275"/>
      <c r="K888" s="275"/>
      <c r="L888" s="275"/>
      <c r="M888" s="277"/>
    </row>
    <row r="889" spans="1:13" hidden="1" x14ac:dyDescent="0.25">
      <c r="A889" s="113" t="s">
        <v>0</v>
      </c>
      <c r="F889" s="479">
        <f t="shared" si="42"/>
        <v>94</v>
      </c>
      <c r="G889" s="275" t="str">
        <f t="shared" si="43"/>
        <v>n.a.</v>
      </c>
      <c r="H889" s="275" t="str">
        <f>IF(G889=EUconst_NA,"",MAX($H$795:H888)+1)</f>
        <v/>
      </c>
      <c r="I889" s="276" t="str">
        <f t="shared" si="44"/>
        <v/>
      </c>
      <c r="J889" s="275"/>
      <c r="K889" s="275"/>
      <c r="L889" s="275"/>
      <c r="M889" s="277"/>
    </row>
    <row r="890" spans="1:13" hidden="1" x14ac:dyDescent="0.25">
      <c r="A890" s="113" t="s">
        <v>0</v>
      </c>
      <c r="F890" s="479">
        <f t="shared" si="42"/>
        <v>95</v>
      </c>
      <c r="G890" s="275" t="str">
        <f t="shared" si="43"/>
        <v>n.a.</v>
      </c>
      <c r="H890" s="275" t="str">
        <f>IF(G890=EUconst_NA,"",MAX($H$795:H889)+1)</f>
        <v/>
      </c>
      <c r="I890" s="276" t="str">
        <f t="shared" si="44"/>
        <v/>
      </c>
      <c r="J890" s="275"/>
      <c r="K890" s="275"/>
      <c r="L890" s="275"/>
      <c r="M890" s="277"/>
    </row>
    <row r="891" spans="1:13" hidden="1" x14ac:dyDescent="0.25">
      <c r="A891" s="113" t="s">
        <v>0</v>
      </c>
      <c r="F891" s="479">
        <f t="shared" si="42"/>
        <v>96</v>
      </c>
      <c r="G891" s="275" t="str">
        <f t="shared" si="43"/>
        <v>n.a.</v>
      </c>
      <c r="H891" s="275" t="str">
        <f>IF(G891=EUconst_NA,"",MAX($H$795:H890)+1)</f>
        <v/>
      </c>
      <c r="I891" s="276" t="str">
        <f t="shared" si="44"/>
        <v/>
      </c>
      <c r="J891" s="275"/>
      <c r="K891" s="275"/>
      <c r="L891" s="275"/>
      <c r="M891" s="277"/>
    </row>
    <row r="892" spans="1:13" hidden="1" x14ac:dyDescent="0.25">
      <c r="A892" s="113" t="s">
        <v>0</v>
      </c>
      <c r="F892" s="479">
        <f t="shared" si="42"/>
        <v>97</v>
      </c>
      <c r="G892" s="275" t="str">
        <f t="shared" si="43"/>
        <v>n.a.</v>
      </c>
      <c r="H892" s="275" t="str">
        <f>IF(G892=EUconst_NA,"",MAX($H$795:H891)+1)</f>
        <v/>
      </c>
      <c r="I892" s="276" t="str">
        <f t="shared" si="44"/>
        <v/>
      </c>
      <c r="J892" s="275"/>
      <c r="K892" s="275"/>
      <c r="L892" s="275"/>
      <c r="M892" s="277"/>
    </row>
    <row r="893" spans="1:13" hidden="1" x14ac:dyDescent="0.25">
      <c r="A893" s="113" t="s">
        <v>0</v>
      </c>
      <c r="F893" s="479">
        <f t="shared" si="42"/>
        <v>98</v>
      </c>
      <c r="G893" s="275" t="str">
        <f t="shared" si="43"/>
        <v>n.a.</v>
      </c>
      <c r="H893" s="275" t="str">
        <f>IF(G893=EUconst_NA,"",MAX($H$795:H892)+1)</f>
        <v/>
      </c>
      <c r="I893" s="276" t="str">
        <f t="shared" si="44"/>
        <v/>
      </c>
      <c r="J893" s="275"/>
      <c r="K893" s="275"/>
      <c r="L893" s="275"/>
      <c r="M893" s="277"/>
    </row>
    <row r="894" spans="1:13" hidden="1" x14ac:dyDescent="0.25">
      <c r="A894" s="113" t="s">
        <v>0</v>
      </c>
      <c r="F894" s="479">
        <f t="shared" si="42"/>
        <v>99</v>
      </c>
      <c r="G894" s="275" t="str">
        <f t="shared" si="43"/>
        <v>n.a.</v>
      </c>
      <c r="H894" s="275" t="str">
        <f>IF(G894=EUconst_NA,"",MAX($H$795:H893)+1)</f>
        <v/>
      </c>
      <c r="I894" s="276" t="str">
        <f t="shared" si="44"/>
        <v/>
      </c>
      <c r="J894" s="275"/>
      <c r="K894" s="275"/>
      <c r="L894" s="275"/>
      <c r="M894" s="277"/>
    </row>
    <row r="895" spans="1:13" hidden="1" x14ac:dyDescent="0.25">
      <c r="A895" s="113" t="s">
        <v>0</v>
      </c>
      <c r="F895" s="479">
        <f t="shared" si="42"/>
        <v>100</v>
      </c>
      <c r="G895" s="275" t="str">
        <f t="shared" si="43"/>
        <v>n.a.</v>
      </c>
      <c r="H895" s="275" t="str">
        <f>IF(G895=EUconst_NA,"",MAX($H$795:H894)+1)</f>
        <v/>
      </c>
      <c r="I895" s="276" t="str">
        <f t="shared" si="44"/>
        <v/>
      </c>
      <c r="J895" s="275"/>
      <c r="K895" s="275"/>
      <c r="L895" s="275"/>
      <c r="M895" s="277"/>
    </row>
    <row r="896" spans="1:13" hidden="1" x14ac:dyDescent="0.25">
      <c r="A896" s="113" t="s">
        <v>0</v>
      </c>
      <c r="F896" s="479">
        <f t="shared" si="42"/>
        <v>101</v>
      </c>
      <c r="G896" s="275" t="str">
        <f t="shared" si="43"/>
        <v>n.a.</v>
      </c>
      <c r="H896" s="275" t="str">
        <f>IF(G896=EUconst_NA,"",MAX($H$795:H895)+1)</f>
        <v/>
      </c>
      <c r="I896" s="276" t="str">
        <f t="shared" si="44"/>
        <v/>
      </c>
      <c r="J896" s="275"/>
      <c r="K896" s="275"/>
      <c r="L896" s="275"/>
      <c r="M896" s="277"/>
    </row>
    <row r="897" spans="1:13" hidden="1" x14ac:dyDescent="0.25">
      <c r="A897" s="113" t="s">
        <v>0</v>
      </c>
      <c r="F897" s="479">
        <f t="shared" si="42"/>
        <v>102</v>
      </c>
      <c r="G897" s="275" t="str">
        <f t="shared" si="43"/>
        <v>n.a.</v>
      </c>
      <c r="H897" s="275" t="str">
        <f>IF(G897=EUconst_NA,"",MAX($H$795:H896)+1)</f>
        <v/>
      </c>
      <c r="I897" s="276" t="str">
        <f t="shared" si="44"/>
        <v/>
      </c>
      <c r="J897" s="275"/>
      <c r="K897" s="275"/>
      <c r="L897" s="275"/>
      <c r="M897" s="277"/>
    </row>
    <row r="898" spans="1:13" hidden="1" x14ac:dyDescent="0.25">
      <c r="A898" s="113" t="s">
        <v>0</v>
      </c>
      <c r="F898" s="479">
        <f t="shared" si="42"/>
        <v>103</v>
      </c>
      <c r="G898" s="275" t="str">
        <f t="shared" si="43"/>
        <v>n.a.</v>
      </c>
      <c r="H898" s="275" t="str">
        <f>IF(G898=EUconst_NA,"",MAX($H$795:H897)+1)</f>
        <v/>
      </c>
      <c r="I898" s="276" t="str">
        <f t="shared" si="44"/>
        <v/>
      </c>
      <c r="J898" s="275"/>
      <c r="K898" s="275"/>
      <c r="L898" s="275"/>
      <c r="M898" s="277"/>
    </row>
    <row r="899" spans="1:13" hidden="1" x14ac:dyDescent="0.25">
      <c r="A899" s="113" t="s">
        <v>0</v>
      </c>
      <c r="F899" s="479">
        <f t="shared" si="42"/>
        <v>104</v>
      </c>
      <c r="G899" s="275" t="str">
        <f t="shared" si="43"/>
        <v>n.a.</v>
      </c>
      <c r="H899" s="275" t="str">
        <f>IF(G899=EUconst_NA,"",MAX($H$795:H898)+1)</f>
        <v/>
      </c>
      <c r="I899" s="276" t="str">
        <f t="shared" si="44"/>
        <v/>
      </c>
      <c r="J899" s="275"/>
      <c r="K899" s="275"/>
      <c r="L899" s="275"/>
      <c r="M899" s="277"/>
    </row>
    <row r="900" spans="1:13" hidden="1" x14ac:dyDescent="0.25">
      <c r="A900" s="113" t="s">
        <v>0</v>
      </c>
      <c r="F900" s="479">
        <f t="shared" si="42"/>
        <v>105</v>
      </c>
      <c r="G900" s="275" t="str">
        <f t="shared" si="43"/>
        <v>n.a.</v>
      </c>
      <c r="H900" s="275" t="str">
        <f>IF(G900=EUconst_NA,"",MAX($H$795:H899)+1)</f>
        <v/>
      </c>
      <c r="I900" s="276" t="str">
        <f t="shared" si="44"/>
        <v/>
      </c>
      <c r="J900" s="275"/>
      <c r="K900" s="275"/>
      <c r="L900" s="275"/>
      <c r="M900" s="277"/>
    </row>
    <row r="901" spans="1:13" hidden="1" x14ac:dyDescent="0.25">
      <c r="A901" s="113" t="s">
        <v>0</v>
      </c>
      <c r="F901" s="479">
        <f t="shared" si="42"/>
        <v>106</v>
      </c>
      <c r="G901" s="275" t="str">
        <f t="shared" si="43"/>
        <v>n.a.</v>
      </c>
      <c r="H901" s="275" t="str">
        <f>IF(G901=EUconst_NA,"",MAX($H$795:H900)+1)</f>
        <v/>
      </c>
      <c r="I901" s="276" t="str">
        <f t="shared" si="44"/>
        <v/>
      </c>
      <c r="J901" s="275"/>
      <c r="K901" s="275"/>
      <c r="L901" s="275"/>
      <c r="M901" s="277"/>
    </row>
    <row r="902" spans="1:13" hidden="1" x14ac:dyDescent="0.25">
      <c r="A902" s="113" t="s">
        <v>0</v>
      </c>
      <c r="F902" s="479">
        <f t="shared" si="42"/>
        <v>107</v>
      </c>
      <c r="G902" s="275" t="str">
        <f t="shared" si="43"/>
        <v>n.a.</v>
      </c>
      <c r="H902" s="275" t="str">
        <f>IF(G902=EUconst_NA,"",MAX($H$795:H901)+1)</f>
        <v/>
      </c>
      <c r="I902" s="276" t="str">
        <f t="shared" si="44"/>
        <v/>
      </c>
      <c r="J902" s="275"/>
      <c r="K902" s="275"/>
      <c r="L902" s="275"/>
      <c r="M902" s="277"/>
    </row>
    <row r="903" spans="1:13" hidden="1" x14ac:dyDescent="0.25">
      <c r="A903" s="113" t="s">
        <v>0</v>
      </c>
      <c r="F903" s="479">
        <f t="shared" si="42"/>
        <v>108</v>
      </c>
      <c r="G903" s="275" t="str">
        <f t="shared" si="43"/>
        <v>n.a.</v>
      </c>
      <c r="H903" s="275" t="str">
        <f>IF(G903=EUconst_NA,"",MAX($H$795:H902)+1)</f>
        <v/>
      </c>
      <c r="I903" s="276" t="str">
        <f t="shared" si="44"/>
        <v/>
      </c>
      <c r="J903" s="275"/>
      <c r="K903" s="275"/>
      <c r="L903" s="275"/>
      <c r="M903" s="277"/>
    </row>
    <row r="904" spans="1:13" hidden="1" x14ac:dyDescent="0.25">
      <c r="A904" s="113" t="s">
        <v>0</v>
      </c>
      <c r="F904" s="479">
        <f t="shared" si="42"/>
        <v>109</v>
      </c>
      <c r="G904" s="275" t="str">
        <f t="shared" si="43"/>
        <v>n.a.</v>
      </c>
      <c r="H904" s="275" t="str">
        <f>IF(G904=EUconst_NA,"",MAX($H$795:H903)+1)</f>
        <v/>
      </c>
      <c r="I904" s="276" t="str">
        <f t="shared" si="44"/>
        <v/>
      </c>
      <c r="J904" s="275"/>
      <c r="K904" s="275"/>
      <c r="L904" s="275"/>
      <c r="M904" s="277"/>
    </row>
    <row r="905" spans="1:13" hidden="1" x14ac:dyDescent="0.25">
      <c r="A905" s="113" t="s">
        <v>0</v>
      </c>
      <c r="F905" s="479">
        <f t="shared" si="42"/>
        <v>110</v>
      </c>
      <c r="G905" s="275" t="str">
        <f t="shared" si="43"/>
        <v>n.a.</v>
      </c>
      <c r="H905" s="275" t="str">
        <f>IF(G905=EUconst_NA,"",MAX($H$795:H904)+1)</f>
        <v/>
      </c>
      <c r="I905" s="276" t="str">
        <f t="shared" si="44"/>
        <v/>
      </c>
      <c r="J905" s="275"/>
      <c r="K905" s="275"/>
      <c r="L905" s="275"/>
      <c r="M905" s="277"/>
    </row>
    <row r="906" spans="1:13" hidden="1" x14ac:dyDescent="0.25">
      <c r="A906" s="113" t="s">
        <v>0</v>
      </c>
      <c r="F906" s="479">
        <f t="shared" si="42"/>
        <v>111</v>
      </c>
      <c r="G906" s="275" t="str">
        <f t="shared" si="43"/>
        <v>n.a.</v>
      </c>
      <c r="H906" s="275" t="str">
        <f>IF(G906=EUconst_NA,"",MAX($H$795:H905)+1)</f>
        <v/>
      </c>
      <c r="I906" s="276" t="str">
        <f t="shared" si="44"/>
        <v/>
      </c>
      <c r="J906" s="275"/>
      <c r="K906" s="275"/>
      <c r="L906" s="275"/>
      <c r="M906" s="277"/>
    </row>
    <row r="907" spans="1:13" hidden="1" x14ac:dyDescent="0.25">
      <c r="A907" s="113" t="s">
        <v>0</v>
      </c>
      <c r="F907" s="479">
        <f t="shared" si="42"/>
        <v>112</v>
      </c>
      <c r="G907" s="275" t="str">
        <f t="shared" si="43"/>
        <v>n.a.</v>
      </c>
      <c r="H907" s="275" t="str">
        <f>IF(G907=EUconst_NA,"",MAX($H$795:H906)+1)</f>
        <v/>
      </c>
      <c r="I907" s="276" t="str">
        <f t="shared" si="44"/>
        <v/>
      </c>
      <c r="J907" s="275"/>
      <c r="K907" s="275"/>
      <c r="L907" s="275"/>
      <c r="M907" s="277"/>
    </row>
    <row r="908" spans="1:13" hidden="1" x14ac:dyDescent="0.25">
      <c r="A908" s="113" t="s">
        <v>0</v>
      </c>
      <c r="F908" s="479">
        <f t="shared" si="42"/>
        <v>113</v>
      </c>
      <c r="G908" s="275" t="str">
        <f t="shared" si="43"/>
        <v>n.a.</v>
      </c>
      <c r="H908" s="275" t="str">
        <f>IF(G908=EUconst_NA,"",MAX($H$795:H907)+1)</f>
        <v/>
      </c>
      <c r="I908" s="276" t="str">
        <f t="shared" si="44"/>
        <v/>
      </c>
      <c r="J908" s="275"/>
      <c r="K908" s="275"/>
      <c r="L908" s="275"/>
      <c r="M908" s="277"/>
    </row>
    <row r="909" spans="1:13" hidden="1" x14ac:dyDescent="0.25">
      <c r="A909" s="113" t="s">
        <v>0</v>
      </c>
      <c r="F909" s="479">
        <f t="shared" si="42"/>
        <v>114</v>
      </c>
      <c r="G909" s="275" t="str">
        <f t="shared" si="43"/>
        <v>n.a.</v>
      </c>
      <c r="H909" s="275" t="str">
        <f>IF(G909=EUconst_NA,"",MAX($H$795:H908)+1)</f>
        <v/>
      </c>
      <c r="I909" s="276" t="str">
        <f t="shared" si="44"/>
        <v/>
      </c>
      <c r="J909" s="275"/>
      <c r="K909" s="275"/>
      <c r="L909" s="275"/>
      <c r="M909" s="277"/>
    </row>
    <row r="910" spans="1:13" hidden="1" x14ac:dyDescent="0.25">
      <c r="A910" s="113" t="s">
        <v>0</v>
      </c>
      <c r="F910" s="479">
        <f t="shared" si="42"/>
        <v>115</v>
      </c>
      <c r="G910" s="275" t="str">
        <f t="shared" si="43"/>
        <v>n.a.</v>
      </c>
      <c r="H910" s="275" t="str">
        <f>IF(G910=EUconst_NA,"",MAX($H$795:H909)+1)</f>
        <v/>
      </c>
      <c r="I910" s="276" t="str">
        <f t="shared" si="44"/>
        <v/>
      </c>
      <c r="J910" s="275"/>
      <c r="K910" s="275"/>
      <c r="L910" s="275"/>
      <c r="M910" s="277"/>
    </row>
    <row r="911" spans="1:13" hidden="1" x14ac:dyDescent="0.25">
      <c r="A911" s="113" t="s">
        <v>0</v>
      </c>
      <c r="F911" s="479">
        <f t="shared" si="42"/>
        <v>116</v>
      </c>
      <c r="G911" s="275" t="str">
        <f t="shared" si="43"/>
        <v>n.a.</v>
      </c>
      <c r="H911" s="275" t="str">
        <f>IF(G911=EUconst_NA,"",MAX($H$795:H910)+1)</f>
        <v/>
      </c>
      <c r="I911" s="276" t="str">
        <f t="shared" si="44"/>
        <v/>
      </c>
      <c r="J911" s="275"/>
      <c r="K911" s="275"/>
      <c r="L911" s="275"/>
      <c r="M911" s="277"/>
    </row>
    <row r="912" spans="1:13" hidden="1" x14ac:dyDescent="0.25">
      <c r="A912" s="113" t="s">
        <v>0</v>
      </c>
      <c r="F912" s="479">
        <f t="shared" si="42"/>
        <v>117</v>
      </c>
      <c r="G912" s="275" t="str">
        <f t="shared" si="43"/>
        <v>n.a.</v>
      </c>
      <c r="H912" s="275" t="str">
        <f>IF(G912=EUconst_NA,"",MAX($H$795:H911)+1)</f>
        <v/>
      </c>
      <c r="I912" s="276" t="str">
        <f t="shared" si="44"/>
        <v/>
      </c>
      <c r="J912" s="275"/>
      <c r="K912" s="275"/>
      <c r="L912" s="275"/>
      <c r="M912" s="277"/>
    </row>
    <row r="913" spans="1:13" hidden="1" x14ac:dyDescent="0.25">
      <c r="A913" s="113" t="s">
        <v>0</v>
      </c>
      <c r="F913" s="479">
        <f t="shared" si="42"/>
        <v>118</v>
      </c>
      <c r="G913" s="275" t="str">
        <f t="shared" si="43"/>
        <v>n.a.</v>
      </c>
      <c r="H913" s="275" t="str">
        <f>IF(G913=EUconst_NA,"",MAX($H$795:H912)+1)</f>
        <v/>
      </c>
      <c r="I913" s="276" t="str">
        <f t="shared" si="44"/>
        <v/>
      </c>
      <c r="J913" s="275"/>
      <c r="K913" s="275"/>
      <c r="L913" s="275"/>
      <c r="M913" s="277"/>
    </row>
    <row r="914" spans="1:13" hidden="1" x14ac:dyDescent="0.25">
      <c r="A914" s="113" t="s">
        <v>0</v>
      </c>
      <c r="F914" s="479">
        <f t="shared" si="42"/>
        <v>119</v>
      </c>
      <c r="G914" s="275" t="str">
        <f t="shared" si="43"/>
        <v>n.a.</v>
      </c>
      <c r="H914" s="275" t="str">
        <f>IF(G914=EUconst_NA,"",MAX($H$795:H913)+1)</f>
        <v/>
      </c>
      <c r="I914" s="276" t="str">
        <f t="shared" si="44"/>
        <v/>
      </c>
      <c r="J914" s="275"/>
      <c r="K914" s="275"/>
      <c r="L914" s="275"/>
      <c r="M914" s="277"/>
    </row>
    <row r="915" spans="1:13" hidden="1" x14ac:dyDescent="0.25">
      <c r="A915" s="113" t="s">
        <v>0</v>
      </c>
      <c r="F915" s="479">
        <f t="shared" si="42"/>
        <v>120</v>
      </c>
      <c r="G915" s="275" t="str">
        <f t="shared" si="43"/>
        <v>n.a.</v>
      </c>
      <c r="H915" s="275" t="str">
        <f>IF(G915=EUconst_NA,"",MAX($H$795:H914)+1)</f>
        <v/>
      </c>
      <c r="I915" s="276" t="str">
        <f t="shared" si="44"/>
        <v/>
      </c>
      <c r="J915" s="275"/>
      <c r="K915" s="275"/>
      <c r="L915" s="275"/>
      <c r="M915" s="277"/>
    </row>
    <row r="916" spans="1:13" hidden="1" x14ac:dyDescent="0.25">
      <c r="A916" s="113" t="s">
        <v>0</v>
      </c>
      <c r="F916" s="479">
        <f t="shared" si="42"/>
        <v>121</v>
      </c>
      <c r="G916" s="275" t="str">
        <f t="shared" si="43"/>
        <v>n.a.</v>
      </c>
      <c r="H916" s="275" t="str">
        <f>IF(G916=EUconst_NA,"",MAX($H$795:H915)+1)</f>
        <v/>
      </c>
      <c r="I916" s="276" t="str">
        <f t="shared" si="44"/>
        <v/>
      </c>
      <c r="J916" s="275"/>
      <c r="K916" s="275"/>
      <c r="L916" s="275"/>
      <c r="M916" s="277"/>
    </row>
    <row r="917" spans="1:13" hidden="1" x14ac:dyDescent="0.25">
      <c r="A917" s="113" t="s">
        <v>0</v>
      </c>
      <c r="F917" s="479">
        <f t="shared" si="42"/>
        <v>122</v>
      </c>
      <c r="G917" s="275" t="str">
        <f t="shared" si="43"/>
        <v>n.a.</v>
      </c>
      <c r="H917" s="275" t="str">
        <f>IF(G917=EUconst_NA,"",MAX($H$795:H916)+1)</f>
        <v/>
      </c>
      <c r="I917" s="276" t="str">
        <f t="shared" si="44"/>
        <v/>
      </c>
      <c r="J917" s="275"/>
      <c r="K917" s="275"/>
      <c r="L917" s="275"/>
      <c r="M917" s="277"/>
    </row>
    <row r="918" spans="1:13" hidden="1" x14ac:dyDescent="0.25">
      <c r="A918" s="113" t="s">
        <v>0</v>
      </c>
      <c r="F918" s="479">
        <f t="shared" si="42"/>
        <v>123</v>
      </c>
      <c r="G918" s="275" t="str">
        <f t="shared" si="43"/>
        <v>n.a.</v>
      </c>
      <c r="H918" s="275" t="str">
        <f>IF(G918=EUconst_NA,"",MAX($H$795:H917)+1)</f>
        <v/>
      </c>
      <c r="I918" s="276" t="str">
        <f t="shared" si="44"/>
        <v/>
      </c>
      <c r="J918" s="275"/>
      <c r="K918" s="275"/>
      <c r="L918" s="275"/>
      <c r="M918" s="277"/>
    </row>
    <row r="919" spans="1:13" hidden="1" x14ac:dyDescent="0.25">
      <c r="A919" s="113" t="s">
        <v>0</v>
      </c>
      <c r="F919" s="479">
        <f t="shared" si="42"/>
        <v>124</v>
      </c>
      <c r="G919" s="275" t="str">
        <f t="shared" si="43"/>
        <v>n.a.</v>
      </c>
      <c r="H919" s="275" t="str">
        <f>IF(G919=EUconst_NA,"",MAX($H$795:H918)+1)</f>
        <v/>
      </c>
      <c r="I919" s="276" t="str">
        <f t="shared" si="44"/>
        <v/>
      </c>
      <c r="J919" s="275"/>
      <c r="K919" s="275"/>
      <c r="L919" s="275"/>
      <c r="M919" s="277"/>
    </row>
    <row r="920" spans="1:13" hidden="1" x14ac:dyDescent="0.25">
      <c r="A920" s="113" t="s">
        <v>0</v>
      </c>
      <c r="F920" s="479">
        <f t="shared" si="42"/>
        <v>125</v>
      </c>
      <c r="G920" s="275" t="str">
        <f t="shared" si="43"/>
        <v>n.a.</v>
      </c>
      <c r="H920" s="275" t="str">
        <f>IF(G920=EUconst_NA,"",MAX($H$795:H919)+1)</f>
        <v/>
      </c>
      <c r="I920" s="276" t="str">
        <f t="shared" si="44"/>
        <v/>
      </c>
      <c r="J920" s="275"/>
      <c r="K920" s="275"/>
      <c r="L920" s="275"/>
      <c r="M920" s="277"/>
    </row>
    <row r="921" spans="1:13" hidden="1" x14ac:dyDescent="0.25">
      <c r="A921" s="113" t="s">
        <v>0</v>
      </c>
      <c r="F921" s="479">
        <f t="shared" si="42"/>
        <v>126</v>
      </c>
      <c r="G921" s="275" t="str">
        <f t="shared" si="43"/>
        <v>n.a.</v>
      </c>
      <c r="H921" s="275" t="str">
        <f>IF(G921=EUconst_NA,"",MAX($H$795:H920)+1)</f>
        <v/>
      </c>
      <c r="I921" s="276" t="str">
        <f t="shared" si="44"/>
        <v/>
      </c>
      <c r="J921" s="275"/>
      <c r="K921" s="275"/>
      <c r="L921" s="275"/>
      <c r="M921" s="277"/>
    </row>
    <row r="922" spans="1:13" hidden="1" x14ac:dyDescent="0.25">
      <c r="A922" s="113" t="s">
        <v>0</v>
      </c>
      <c r="F922" s="479">
        <f t="shared" si="42"/>
        <v>127</v>
      </c>
      <c r="G922" s="275" t="str">
        <f t="shared" si="43"/>
        <v>n.a.</v>
      </c>
      <c r="H922" s="275" t="str">
        <f>IF(G922=EUconst_NA,"",MAX($H$795:H921)+1)</f>
        <v/>
      </c>
      <c r="I922" s="276" t="str">
        <f t="shared" si="44"/>
        <v/>
      </c>
      <c r="J922" s="275"/>
      <c r="K922" s="275"/>
      <c r="L922" s="275"/>
      <c r="M922" s="277"/>
    </row>
    <row r="923" spans="1:13" hidden="1" x14ac:dyDescent="0.25">
      <c r="A923" s="113" t="s">
        <v>0</v>
      </c>
      <c r="F923" s="479">
        <f t="shared" si="42"/>
        <v>128</v>
      </c>
      <c r="G923" s="275" t="str">
        <f t="shared" si="43"/>
        <v>n.a.</v>
      </c>
      <c r="H923" s="275" t="str">
        <f>IF(G923=EUconst_NA,"",MAX($H$795:H922)+1)</f>
        <v/>
      </c>
      <c r="I923" s="276" t="str">
        <f t="shared" si="44"/>
        <v/>
      </c>
      <c r="J923" s="275"/>
      <c r="K923" s="275"/>
      <c r="L923" s="275"/>
      <c r="M923" s="277"/>
    </row>
    <row r="924" spans="1:13" hidden="1" x14ac:dyDescent="0.25">
      <c r="A924" s="113" t="s">
        <v>0</v>
      </c>
      <c r="F924" s="479">
        <f t="shared" si="42"/>
        <v>129</v>
      </c>
      <c r="G924" s="275" t="str">
        <f t="shared" si="43"/>
        <v>n.a.</v>
      </c>
      <c r="H924" s="275" t="str">
        <f>IF(G924=EUconst_NA,"",MAX($H$795:H923)+1)</f>
        <v/>
      </c>
      <c r="I924" s="276" t="str">
        <f t="shared" si="44"/>
        <v/>
      </c>
      <c r="J924" s="275"/>
      <c r="K924" s="275"/>
      <c r="L924" s="275"/>
      <c r="M924" s="277"/>
    </row>
    <row r="925" spans="1:13" hidden="1" x14ac:dyDescent="0.25">
      <c r="A925" s="113" t="s">
        <v>0</v>
      </c>
      <c r="F925" s="479">
        <f t="shared" si="42"/>
        <v>130</v>
      </c>
      <c r="G925" s="275" t="str">
        <f t="shared" si="43"/>
        <v>n.a.</v>
      </c>
      <c r="H925" s="275" t="str">
        <f>IF(G925=EUconst_NA,"",MAX($H$795:H924)+1)</f>
        <v/>
      </c>
      <c r="I925" s="276" t="str">
        <f t="shared" si="44"/>
        <v/>
      </c>
      <c r="J925" s="275"/>
      <c r="K925" s="275"/>
      <c r="L925" s="275"/>
      <c r="M925" s="277"/>
    </row>
    <row r="926" spans="1:13" hidden="1" x14ac:dyDescent="0.25">
      <c r="A926" s="113" t="s">
        <v>0</v>
      </c>
      <c r="F926" s="479">
        <f t="shared" ref="F926:F989" si="45">F925+1</f>
        <v>131</v>
      </c>
      <c r="G926" s="275" t="str">
        <f t="shared" si="43"/>
        <v>n.a.</v>
      </c>
      <c r="H926" s="275" t="str">
        <f>IF(G926=EUconst_NA,"",MAX($H$795:H925)+1)</f>
        <v/>
      </c>
      <c r="I926" s="276" t="str">
        <f t="shared" si="44"/>
        <v/>
      </c>
      <c r="J926" s="275"/>
      <c r="K926" s="275"/>
      <c r="L926" s="275"/>
      <c r="M926" s="277"/>
    </row>
    <row r="927" spans="1:13" hidden="1" x14ac:dyDescent="0.25">
      <c r="A927" s="113" t="s">
        <v>0</v>
      </c>
      <c r="F927" s="479">
        <f t="shared" si="45"/>
        <v>132</v>
      </c>
      <c r="G927" s="275" t="str">
        <f t="shared" si="43"/>
        <v>n.a.</v>
      </c>
      <c r="H927" s="275" t="str">
        <f>IF(G927=EUconst_NA,"",MAX($H$795:H926)+1)</f>
        <v/>
      </c>
      <c r="I927" s="276" t="str">
        <f t="shared" si="44"/>
        <v/>
      </c>
      <c r="J927" s="275"/>
      <c r="K927" s="275"/>
      <c r="L927" s="275"/>
      <c r="M927" s="277"/>
    </row>
    <row r="928" spans="1:13" hidden="1" x14ac:dyDescent="0.25">
      <c r="A928" s="113" t="s">
        <v>0</v>
      </c>
      <c r="F928" s="479">
        <f t="shared" si="45"/>
        <v>133</v>
      </c>
      <c r="G928" s="275" t="str">
        <f t="shared" si="43"/>
        <v>n.a.</v>
      </c>
      <c r="H928" s="275" t="str">
        <f>IF(G928=EUconst_NA,"",MAX($H$795:H927)+1)</f>
        <v/>
      </c>
      <c r="I928" s="276" t="str">
        <f t="shared" si="44"/>
        <v/>
      </c>
      <c r="J928" s="275"/>
      <c r="K928" s="275"/>
      <c r="L928" s="275"/>
      <c r="M928" s="277"/>
    </row>
    <row r="929" spans="1:13" hidden="1" x14ac:dyDescent="0.25">
      <c r="A929" s="113" t="s">
        <v>0</v>
      </c>
      <c r="F929" s="479">
        <f t="shared" si="45"/>
        <v>134</v>
      </c>
      <c r="G929" s="275" t="str">
        <f t="shared" si="43"/>
        <v>n.a.</v>
      </c>
      <c r="H929" s="275" t="str">
        <f>IF(G929=EUconst_NA,"",MAX($H$795:H928)+1)</f>
        <v/>
      </c>
      <c r="I929" s="276" t="str">
        <f t="shared" si="44"/>
        <v/>
      </c>
      <c r="J929" s="275"/>
      <c r="K929" s="275"/>
      <c r="L929" s="275"/>
      <c r="M929" s="277"/>
    </row>
    <row r="930" spans="1:13" hidden="1" x14ac:dyDescent="0.25">
      <c r="A930" s="113" t="s">
        <v>0</v>
      </c>
      <c r="F930" s="479">
        <f t="shared" si="45"/>
        <v>135</v>
      </c>
      <c r="G930" s="275" t="str">
        <f t="shared" si="43"/>
        <v>n.a.</v>
      </c>
      <c r="H930" s="275" t="str">
        <f>IF(G930=EUconst_NA,"",MAX($H$795:H929)+1)</f>
        <v/>
      </c>
      <c r="I930" s="276" t="str">
        <f t="shared" si="44"/>
        <v/>
      </c>
      <c r="J930" s="275"/>
      <c r="K930" s="275"/>
      <c r="L930" s="275"/>
      <c r="M930" s="277"/>
    </row>
    <row r="931" spans="1:13" hidden="1" x14ac:dyDescent="0.25">
      <c r="A931" s="113" t="s">
        <v>0</v>
      </c>
      <c r="F931" s="479">
        <f t="shared" si="45"/>
        <v>136</v>
      </c>
      <c r="G931" s="275" t="str">
        <f t="shared" si="43"/>
        <v>n.a.</v>
      </c>
      <c r="H931" s="275" t="str">
        <f>IF(G931=EUconst_NA,"",MAX($H$795:H930)+1)</f>
        <v/>
      </c>
      <c r="I931" s="276" t="str">
        <f t="shared" si="44"/>
        <v/>
      </c>
      <c r="J931" s="275"/>
      <c r="K931" s="275"/>
      <c r="L931" s="275"/>
      <c r="M931" s="277"/>
    </row>
    <row r="932" spans="1:13" hidden="1" x14ac:dyDescent="0.25">
      <c r="A932" s="113" t="s">
        <v>0</v>
      </c>
      <c r="F932" s="479">
        <f t="shared" si="45"/>
        <v>137</v>
      </c>
      <c r="G932" s="275" t="str">
        <f t="shared" si="43"/>
        <v>n.a.</v>
      </c>
      <c r="H932" s="275" t="str">
        <f>IF(G932=EUconst_NA,"",MAX($H$795:H931)+1)</f>
        <v/>
      </c>
      <c r="I932" s="276" t="str">
        <f t="shared" si="44"/>
        <v/>
      </c>
      <c r="J932" s="275"/>
      <c r="K932" s="275"/>
      <c r="L932" s="275"/>
      <c r="M932" s="277"/>
    </row>
    <row r="933" spans="1:13" hidden="1" x14ac:dyDescent="0.25">
      <c r="A933" s="113" t="s">
        <v>0</v>
      </c>
      <c r="F933" s="479">
        <f t="shared" si="45"/>
        <v>138</v>
      </c>
      <c r="G933" s="275" t="str">
        <f t="shared" si="43"/>
        <v>n.a.</v>
      </c>
      <c r="H933" s="275" t="str">
        <f>IF(G933=EUconst_NA,"",MAX($H$795:H932)+1)</f>
        <v/>
      </c>
      <c r="I933" s="276" t="str">
        <f t="shared" si="44"/>
        <v/>
      </c>
      <c r="J933" s="275"/>
      <c r="K933" s="275"/>
      <c r="L933" s="275"/>
      <c r="M933" s="277"/>
    </row>
    <row r="934" spans="1:13" hidden="1" x14ac:dyDescent="0.25">
      <c r="A934" s="113" t="s">
        <v>0</v>
      </c>
      <c r="F934" s="479">
        <f t="shared" si="45"/>
        <v>139</v>
      </c>
      <c r="G934" s="275" t="str">
        <f t="shared" si="43"/>
        <v>n.a.</v>
      </c>
      <c r="H934" s="275" t="str">
        <f>IF(G934=EUconst_NA,"",MAX($H$795:H933)+1)</f>
        <v/>
      </c>
      <c r="I934" s="276" t="str">
        <f t="shared" si="44"/>
        <v/>
      </c>
      <c r="J934" s="275"/>
      <c r="K934" s="275"/>
      <c r="L934" s="275"/>
      <c r="M934" s="277"/>
    </row>
    <row r="935" spans="1:13" hidden="1" x14ac:dyDescent="0.25">
      <c r="A935" s="113" t="s">
        <v>0</v>
      </c>
      <c r="F935" s="479">
        <f t="shared" si="45"/>
        <v>140</v>
      </c>
      <c r="G935" s="275" t="str">
        <f t="shared" si="43"/>
        <v>n.a.</v>
      </c>
      <c r="H935" s="275" t="str">
        <f>IF(G935=EUconst_NA,"",MAX($H$795:H934)+1)</f>
        <v/>
      </c>
      <c r="I935" s="276" t="str">
        <f t="shared" si="44"/>
        <v/>
      </c>
      <c r="J935" s="275"/>
      <c r="K935" s="275"/>
      <c r="L935" s="275"/>
      <c r="M935" s="277"/>
    </row>
    <row r="936" spans="1:13" hidden="1" x14ac:dyDescent="0.25">
      <c r="A936" s="113" t="s">
        <v>0</v>
      </c>
      <c r="F936" s="479">
        <f t="shared" si="45"/>
        <v>141</v>
      </c>
      <c r="G936" s="275" t="str">
        <f t="shared" si="43"/>
        <v>n.a.</v>
      </c>
      <c r="H936" s="275" t="str">
        <f>IF(G936=EUconst_NA,"",MAX($H$795:H935)+1)</f>
        <v/>
      </c>
      <c r="I936" s="276" t="str">
        <f t="shared" si="44"/>
        <v/>
      </c>
      <c r="J936" s="275"/>
      <c r="K936" s="275"/>
      <c r="L936" s="275"/>
      <c r="M936" s="277"/>
    </row>
    <row r="937" spans="1:13" hidden="1" x14ac:dyDescent="0.25">
      <c r="A937" s="113" t="s">
        <v>0</v>
      </c>
      <c r="F937" s="479">
        <f t="shared" si="45"/>
        <v>142</v>
      </c>
      <c r="G937" s="275" t="str">
        <f t="shared" si="43"/>
        <v>n.a.</v>
      </c>
      <c r="H937" s="275" t="str">
        <f>IF(G937=EUconst_NA,"",MAX($H$795:H936)+1)</f>
        <v/>
      </c>
      <c r="I937" s="276" t="str">
        <f t="shared" si="44"/>
        <v/>
      </c>
      <c r="J937" s="275"/>
      <c r="K937" s="275"/>
      <c r="L937" s="275"/>
      <c r="M937" s="277"/>
    </row>
    <row r="938" spans="1:13" hidden="1" x14ac:dyDescent="0.25">
      <c r="A938" s="113" t="s">
        <v>0</v>
      </c>
      <c r="F938" s="479">
        <f t="shared" si="45"/>
        <v>143</v>
      </c>
      <c r="G938" s="275" t="str">
        <f t="shared" si="43"/>
        <v>n.a.</v>
      </c>
      <c r="H938" s="275" t="str">
        <f>IF(G938=EUconst_NA,"",MAX($H$795:H937)+1)</f>
        <v/>
      </c>
      <c r="I938" s="276" t="str">
        <f t="shared" si="44"/>
        <v/>
      </c>
      <c r="J938" s="275"/>
      <c r="K938" s="275"/>
      <c r="L938" s="275"/>
      <c r="M938" s="277"/>
    </row>
    <row r="939" spans="1:13" hidden="1" x14ac:dyDescent="0.25">
      <c r="A939" s="113" t="s">
        <v>0</v>
      </c>
      <c r="F939" s="479">
        <f t="shared" si="45"/>
        <v>144</v>
      </c>
      <c r="G939" s="275" t="str">
        <f t="shared" si="43"/>
        <v>n.a.</v>
      </c>
      <c r="H939" s="275" t="str">
        <f>IF(G939=EUconst_NA,"",MAX($H$795:H938)+1)</f>
        <v/>
      </c>
      <c r="I939" s="276" t="str">
        <f t="shared" si="44"/>
        <v/>
      </c>
      <c r="J939" s="275"/>
      <c r="K939" s="275"/>
      <c r="L939" s="275"/>
      <c r="M939" s="277"/>
    </row>
    <row r="940" spans="1:13" hidden="1" x14ac:dyDescent="0.25">
      <c r="A940" s="113" t="s">
        <v>0</v>
      </c>
      <c r="F940" s="479">
        <f t="shared" si="45"/>
        <v>145</v>
      </c>
      <c r="G940" s="275" t="str">
        <f t="shared" si="43"/>
        <v>n.a.</v>
      </c>
      <c r="H940" s="275" t="str">
        <f>IF(G940=EUconst_NA,"",MAX($H$795:H939)+1)</f>
        <v/>
      </c>
      <c r="I940" s="276" t="str">
        <f t="shared" si="44"/>
        <v/>
      </c>
      <c r="J940" s="275"/>
      <c r="K940" s="275"/>
      <c r="L940" s="275"/>
      <c r="M940" s="277"/>
    </row>
    <row r="941" spans="1:13" hidden="1" x14ac:dyDescent="0.25">
      <c r="A941" s="113" t="s">
        <v>0</v>
      </c>
      <c r="F941" s="479">
        <f t="shared" si="45"/>
        <v>146</v>
      </c>
      <c r="G941" s="275" t="str">
        <f t="shared" si="43"/>
        <v>n.a.</v>
      </c>
      <c r="H941" s="275" t="str">
        <f>IF(G941=EUconst_NA,"",MAX($H$795:H940)+1)</f>
        <v/>
      </c>
      <c r="I941" s="276" t="str">
        <f t="shared" si="44"/>
        <v/>
      </c>
      <c r="J941" s="275"/>
      <c r="K941" s="275"/>
      <c r="L941" s="275"/>
      <c r="M941" s="277"/>
    </row>
    <row r="942" spans="1:13" hidden="1" x14ac:dyDescent="0.25">
      <c r="A942" s="113" t="s">
        <v>0</v>
      </c>
      <c r="F942" s="479">
        <f t="shared" si="45"/>
        <v>147</v>
      </c>
      <c r="G942" s="275" t="str">
        <f t="shared" si="43"/>
        <v>n.a.</v>
      </c>
      <c r="H942" s="275" t="str">
        <f>IF(G942=EUconst_NA,"",MAX($H$795:H941)+1)</f>
        <v/>
      </c>
      <c r="I942" s="276" t="str">
        <f t="shared" si="44"/>
        <v/>
      </c>
      <c r="J942" s="275"/>
      <c r="K942" s="275"/>
      <c r="L942" s="275"/>
      <c r="M942" s="277"/>
    </row>
    <row r="943" spans="1:13" hidden="1" x14ac:dyDescent="0.25">
      <c r="A943" s="113" t="s">
        <v>0</v>
      </c>
      <c r="F943" s="479">
        <f t="shared" si="45"/>
        <v>148</v>
      </c>
      <c r="G943" s="275" t="str">
        <f t="shared" ref="G943:G1006" si="46">INDEX($R$30:$R$279,F943)</f>
        <v>n.a.</v>
      </c>
      <c r="H943" s="275" t="str">
        <f>IF(G943=EUconst_NA,"",MAX($H$795:H942)+1)</f>
        <v/>
      </c>
      <c r="I943" s="276" t="str">
        <f t="shared" ref="I943:I1006" si="47">IF(COUNTIF($H$796:$H$1050,F943)=0,"",INDEX($G$796:$G$1050,MATCH(F943,$H$796:$H$1050,0)))</f>
        <v/>
      </c>
      <c r="J943" s="275"/>
      <c r="K943" s="275"/>
      <c r="L943" s="275"/>
      <c r="M943" s="277"/>
    </row>
    <row r="944" spans="1:13" hidden="1" x14ac:dyDescent="0.25">
      <c r="A944" s="113" t="s">
        <v>0</v>
      </c>
      <c r="F944" s="479">
        <f t="shared" si="45"/>
        <v>149</v>
      </c>
      <c r="G944" s="275" t="str">
        <f t="shared" si="46"/>
        <v>n.a.</v>
      </c>
      <c r="H944" s="275" t="str">
        <f>IF(G944=EUconst_NA,"",MAX($H$795:H943)+1)</f>
        <v/>
      </c>
      <c r="I944" s="276" t="str">
        <f t="shared" si="47"/>
        <v/>
      </c>
      <c r="J944" s="275"/>
      <c r="K944" s="275"/>
      <c r="L944" s="275"/>
      <c r="M944" s="277"/>
    </row>
    <row r="945" spans="1:13" hidden="1" x14ac:dyDescent="0.25">
      <c r="A945" s="113" t="s">
        <v>0</v>
      </c>
      <c r="F945" s="479">
        <f t="shared" si="45"/>
        <v>150</v>
      </c>
      <c r="G945" s="275" t="str">
        <f t="shared" si="46"/>
        <v>n.a.</v>
      </c>
      <c r="H945" s="275" t="str">
        <f>IF(G945=EUconst_NA,"",MAX($H$795:H944)+1)</f>
        <v/>
      </c>
      <c r="I945" s="276" t="str">
        <f t="shared" si="47"/>
        <v/>
      </c>
      <c r="J945" s="275"/>
      <c r="K945" s="275"/>
      <c r="L945" s="275"/>
      <c r="M945" s="277"/>
    </row>
    <row r="946" spans="1:13" hidden="1" x14ac:dyDescent="0.25">
      <c r="A946" s="113" t="s">
        <v>0</v>
      </c>
      <c r="F946" s="479">
        <f t="shared" si="45"/>
        <v>151</v>
      </c>
      <c r="G946" s="275" t="str">
        <f t="shared" si="46"/>
        <v>n.a.</v>
      </c>
      <c r="H946" s="275" t="str">
        <f>IF(G946=EUconst_NA,"",MAX($H$795:H945)+1)</f>
        <v/>
      </c>
      <c r="I946" s="276" t="str">
        <f t="shared" si="47"/>
        <v/>
      </c>
      <c r="J946" s="275"/>
      <c r="K946" s="275"/>
      <c r="L946" s="275"/>
      <c r="M946" s="277"/>
    </row>
    <row r="947" spans="1:13" hidden="1" x14ac:dyDescent="0.25">
      <c r="A947" s="113" t="s">
        <v>0</v>
      </c>
      <c r="F947" s="479">
        <f t="shared" si="45"/>
        <v>152</v>
      </c>
      <c r="G947" s="275" t="str">
        <f t="shared" si="46"/>
        <v>n.a.</v>
      </c>
      <c r="H947" s="275" t="str">
        <f>IF(G947=EUconst_NA,"",MAX($H$795:H946)+1)</f>
        <v/>
      </c>
      <c r="I947" s="276" t="str">
        <f t="shared" si="47"/>
        <v/>
      </c>
      <c r="J947" s="275"/>
      <c r="K947" s="275"/>
      <c r="L947" s="275"/>
      <c r="M947" s="277"/>
    </row>
    <row r="948" spans="1:13" hidden="1" x14ac:dyDescent="0.25">
      <c r="A948" s="113" t="s">
        <v>0</v>
      </c>
      <c r="F948" s="479">
        <f t="shared" si="45"/>
        <v>153</v>
      </c>
      <c r="G948" s="275" t="str">
        <f t="shared" si="46"/>
        <v>n.a.</v>
      </c>
      <c r="H948" s="275" t="str">
        <f>IF(G948=EUconst_NA,"",MAX($H$795:H947)+1)</f>
        <v/>
      </c>
      <c r="I948" s="276" t="str">
        <f t="shared" si="47"/>
        <v/>
      </c>
      <c r="J948" s="275"/>
      <c r="K948" s="275"/>
      <c r="L948" s="275"/>
      <c r="M948" s="277"/>
    </row>
    <row r="949" spans="1:13" hidden="1" x14ac:dyDescent="0.25">
      <c r="A949" s="113" t="s">
        <v>0</v>
      </c>
      <c r="F949" s="479">
        <f t="shared" si="45"/>
        <v>154</v>
      </c>
      <c r="G949" s="275" t="str">
        <f t="shared" si="46"/>
        <v>n.a.</v>
      </c>
      <c r="H949" s="275" t="str">
        <f>IF(G949=EUconst_NA,"",MAX($H$795:H948)+1)</f>
        <v/>
      </c>
      <c r="I949" s="276" t="str">
        <f t="shared" si="47"/>
        <v/>
      </c>
      <c r="J949" s="275"/>
      <c r="K949" s="275"/>
      <c r="L949" s="275"/>
      <c r="M949" s="277"/>
    </row>
    <row r="950" spans="1:13" hidden="1" x14ac:dyDescent="0.25">
      <c r="A950" s="113" t="s">
        <v>0</v>
      </c>
      <c r="F950" s="479">
        <f t="shared" si="45"/>
        <v>155</v>
      </c>
      <c r="G950" s="275" t="str">
        <f t="shared" si="46"/>
        <v>n.a.</v>
      </c>
      <c r="H950" s="275" t="str">
        <f>IF(G950=EUconst_NA,"",MAX($H$795:H949)+1)</f>
        <v/>
      </c>
      <c r="I950" s="276" t="str">
        <f t="shared" si="47"/>
        <v/>
      </c>
      <c r="J950" s="275"/>
      <c r="K950" s="275"/>
      <c r="L950" s="275"/>
      <c r="M950" s="277"/>
    </row>
    <row r="951" spans="1:13" hidden="1" x14ac:dyDescent="0.25">
      <c r="A951" s="113" t="s">
        <v>0</v>
      </c>
      <c r="F951" s="479">
        <f t="shared" si="45"/>
        <v>156</v>
      </c>
      <c r="G951" s="275" t="str">
        <f t="shared" si="46"/>
        <v>n.a.</v>
      </c>
      <c r="H951" s="275" t="str">
        <f>IF(G951=EUconst_NA,"",MAX($H$795:H950)+1)</f>
        <v/>
      </c>
      <c r="I951" s="276" t="str">
        <f t="shared" si="47"/>
        <v/>
      </c>
      <c r="J951" s="275"/>
      <c r="K951" s="275"/>
      <c r="L951" s="275"/>
      <c r="M951" s="277"/>
    </row>
    <row r="952" spans="1:13" hidden="1" x14ac:dyDescent="0.25">
      <c r="A952" s="113" t="s">
        <v>0</v>
      </c>
      <c r="F952" s="479">
        <f t="shared" si="45"/>
        <v>157</v>
      </c>
      <c r="G952" s="275" t="str">
        <f t="shared" si="46"/>
        <v>n.a.</v>
      </c>
      <c r="H952" s="275" t="str">
        <f>IF(G952=EUconst_NA,"",MAX($H$795:H951)+1)</f>
        <v/>
      </c>
      <c r="I952" s="276" t="str">
        <f t="shared" si="47"/>
        <v/>
      </c>
      <c r="J952" s="275"/>
      <c r="K952" s="275"/>
      <c r="L952" s="275"/>
      <c r="M952" s="277"/>
    </row>
    <row r="953" spans="1:13" hidden="1" x14ac:dyDescent="0.25">
      <c r="A953" s="113" t="s">
        <v>0</v>
      </c>
      <c r="F953" s="479">
        <f t="shared" si="45"/>
        <v>158</v>
      </c>
      <c r="G953" s="275" t="str">
        <f t="shared" si="46"/>
        <v>n.a.</v>
      </c>
      <c r="H953" s="275" t="str">
        <f>IF(G953=EUconst_NA,"",MAX($H$795:H952)+1)</f>
        <v/>
      </c>
      <c r="I953" s="276" t="str">
        <f t="shared" si="47"/>
        <v/>
      </c>
      <c r="J953" s="275"/>
      <c r="K953" s="275"/>
      <c r="L953" s="275"/>
      <c r="M953" s="277"/>
    </row>
    <row r="954" spans="1:13" hidden="1" x14ac:dyDescent="0.25">
      <c r="A954" s="113" t="s">
        <v>0</v>
      </c>
      <c r="F954" s="479">
        <f t="shared" si="45"/>
        <v>159</v>
      </c>
      <c r="G954" s="275" t="str">
        <f t="shared" si="46"/>
        <v>n.a.</v>
      </c>
      <c r="H954" s="275" t="str">
        <f>IF(G954=EUconst_NA,"",MAX($H$795:H953)+1)</f>
        <v/>
      </c>
      <c r="I954" s="276" t="str">
        <f t="shared" si="47"/>
        <v/>
      </c>
      <c r="J954" s="275"/>
      <c r="K954" s="275"/>
      <c r="L954" s="275"/>
      <c r="M954" s="277"/>
    </row>
    <row r="955" spans="1:13" hidden="1" x14ac:dyDescent="0.25">
      <c r="A955" s="113" t="s">
        <v>0</v>
      </c>
      <c r="F955" s="479">
        <f t="shared" si="45"/>
        <v>160</v>
      </c>
      <c r="G955" s="275" t="str">
        <f t="shared" si="46"/>
        <v>n.a.</v>
      </c>
      <c r="H955" s="275" t="str">
        <f>IF(G955=EUconst_NA,"",MAX($H$795:H954)+1)</f>
        <v/>
      </c>
      <c r="I955" s="276" t="str">
        <f t="shared" si="47"/>
        <v/>
      </c>
      <c r="J955" s="275"/>
      <c r="K955" s="275"/>
      <c r="L955" s="275"/>
      <c r="M955" s="277"/>
    </row>
    <row r="956" spans="1:13" hidden="1" x14ac:dyDescent="0.25">
      <c r="A956" s="113" t="s">
        <v>0</v>
      </c>
      <c r="F956" s="479">
        <f t="shared" si="45"/>
        <v>161</v>
      </c>
      <c r="G956" s="275" t="str">
        <f t="shared" si="46"/>
        <v>n.a.</v>
      </c>
      <c r="H956" s="275" t="str">
        <f>IF(G956=EUconst_NA,"",MAX($H$795:H955)+1)</f>
        <v/>
      </c>
      <c r="I956" s="276" t="str">
        <f t="shared" si="47"/>
        <v/>
      </c>
      <c r="J956" s="275"/>
      <c r="K956" s="275"/>
      <c r="L956" s="275"/>
      <c r="M956" s="277"/>
    </row>
    <row r="957" spans="1:13" hidden="1" x14ac:dyDescent="0.25">
      <c r="A957" s="113" t="s">
        <v>0</v>
      </c>
      <c r="F957" s="479">
        <f t="shared" si="45"/>
        <v>162</v>
      </c>
      <c r="G957" s="275" t="str">
        <f t="shared" si="46"/>
        <v>n.a.</v>
      </c>
      <c r="H957" s="275" t="str">
        <f>IF(G957=EUconst_NA,"",MAX($H$795:H956)+1)</f>
        <v/>
      </c>
      <c r="I957" s="276" t="str">
        <f t="shared" si="47"/>
        <v/>
      </c>
      <c r="J957" s="275"/>
      <c r="K957" s="275"/>
      <c r="L957" s="275"/>
      <c r="M957" s="277"/>
    </row>
    <row r="958" spans="1:13" hidden="1" x14ac:dyDescent="0.25">
      <c r="A958" s="113" t="s">
        <v>0</v>
      </c>
      <c r="F958" s="479">
        <f t="shared" si="45"/>
        <v>163</v>
      </c>
      <c r="G958" s="275" t="str">
        <f t="shared" si="46"/>
        <v>n.a.</v>
      </c>
      <c r="H958" s="275" t="str">
        <f>IF(G958=EUconst_NA,"",MAX($H$795:H957)+1)</f>
        <v/>
      </c>
      <c r="I958" s="276" t="str">
        <f t="shared" si="47"/>
        <v/>
      </c>
      <c r="J958" s="275"/>
      <c r="K958" s="275"/>
      <c r="L958" s="275"/>
      <c r="M958" s="277"/>
    </row>
    <row r="959" spans="1:13" hidden="1" x14ac:dyDescent="0.25">
      <c r="A959" s="113" t="s">
        <v>0</v>
      </c>
      <c r="F959" s="479">
        <f t="shared" si="45"/>
        <v>164</v>
      </c>
      <c r="G959" s="275" t="str">
        <f t="shared" si="46"/>
        <v>n.a.</v>
      </c>
      <c r="H959" s="275" t="str">
        <f>IF(G959=EUconst_NA,"",MAX($H$795:H958)+1)</f>
        <v/>
      </c>
      <c r="I959" s="276" t="str">
        <f t="shared" si="47"/>
        <v/>
      </c>
      <c r="J959" s="275"/>
      <c r="K959" s="275"/>
      <c r="L959" s="275"/>
      <c r="M959" s="277"/>
    </row>
    <row r="960" spans="1:13" hidden="1" x14ac:dyDescent="0.25">
      <c r="A960" s="113" t="s">
        <v>0</v>
      </c>
      <c r="F960" s="479">
        <f t="shared" si="45"/>
        <v>165</v>
      </c>
      <c r="G960" s="275" t="str">
        <f t="shared" si="46"/>
        <v>n.a.</v>
      </c>
      <c r="H960" s="275" t="str">
        <f>IF(G960=EUconst_NA,"",MAX($H$795:H959)+1)</f>
        <v/>
      </c>
      <c r="I960" s="276" t="str">
        <f t="shared" si="47"/>
        <v/>
      </c>
      <c r="J960" s="275"/>
      <c r="K960" s="275"/>
      <c r="L960" s="275"/>
      <c r="M960" s="277"/>
    </row>
    <row r="961" spans="1:13" hidden="1" x14ac:dyDescent="0.25">
      <c r="A961" s="113" t="s">
        <v>0</v>
      </c>
      <c r="F961" s="479">
        <f t="shared" si="45"/>
        <v>166</v>
      </c>
      <c r="G961" s="275" t="str">
        <f t="shared" si="46"/>
        <v>n.a.</v>
      </c>
      <c r="H961" s="275" t="str">
        <f>IF(G961=EUconst_NA,"",MAX($H$795:H960)+1)</f>
        <v/>
      </c>
      <c r="I961" s="276" t="str">
        <f t="shared" si="47"/>
        <v/>
      </c>
      <c r="J961" s="275"/>
      <c r="K961" s="275"/>
      <c r="L961" s="275"/>
      <c r="M961" s="277"/>
    </row>
    <row r="962" spans="1:13" hidden="1" x14ac:dyDescent="0.25">
      <c r="A962" s="113" t="s">
        <v>0</v>
      </c>
      <c r="F962" s="479">
        <f t="shared" si="45"/>
        <v>167</v>
      </c>
      <c r="G962" s="275" t="str">
        <f t="shared" si="46"/>
        <v>n.a.</v>
      </c>
      <c r="H962" s="275" t="str">
        <f>IF(G962=EUconst_NA,"",MAX($H$795:H961)+1)</f>
        <v/>
      </c>
      <c r="I962" s="276" t="str">
        <f t="shared" si="47"/>
        <v/>
      </c>
      <c r="J962" s="275"/>
      <c r="K962" s="275"/>
      <c r="L962" s="275"/>
      <c r="M962" s="277"/>
    </row>
    <row r="963" spans="1:13" hidden="1" x14ac:dyDescent="0.25">
      <c r="A963" s="113" t="s">
        <v>0</v>
      </c>
      <c r="F963" s="479">
        <f t="shared" si="45"/>
        <v>168</v>
      </c>
      <c r="G963" s="275" t="str">
        <f t="shared" si="46"/>
        <v>n.a.</v>
      </c>
      <c r="H963" s="275" t="str">
        <f>IF(G963=EUconst_NA,"",MAX($H$795:H962)+1)</f>
        <v/>
      </c>
      <c r="I963" s="276" t="str">
        <f t="shared" si="47"/>
        <v/>
      </c>
      <c r="J963" s="275"/>
      <c r="K963" s="275"/>
      <c r="L963" s="275"/>
      <c r="M963" s="277"/>
    </row>
    <row r="964" spans="1:13" hidden="1" x14ac:dyDescent="0.25">
      <c r="A964" s="113" t="s">
        <v>0</v>
      </c>
      <c r="F964" s="479">
        <f t="shared" si="45"/>
        <v>169</v>
      </c>
      <c r="G964" s="275" t="str">
        <f t="shared" si="46"/>
        <v>n.a.</v>
      </c>
      <c r="H964" s="275" t="str">
        <f>IF(G964=EUconst_NA,"",MAX($H$795:H963)+1)</f>
        <v/>
      </c>
      <c r="I964" s="276" t="str">
        <f t="shared" si="47"/>
        <v/>
      </c>
      <c r="J964" s="275"/>
      <c r="K964" s="275"/>
      <c r="L964" s="275"/>
      <c r="M964" s="277"/>
    </row>
    <row r="965" spans="1:13" hidden="1" x14ac:dyDescent="0.25">
      <c r="A965" s="113" t="s">
        <v>0</v>
      </c>
      <c r="F965" s="479">
        <f t="shared" si="45"/>
        <v>170</v>
      </c>
      <c r="G965" s="275" t="str">
        <f t="shared" si="46"/>
        <v>n.a.</v>
      </c>
      <c r="H965" s="275" t="str">
        <f>IF(G965=EUconst_NA,"",MAX($H$795:H964)+1)</f>
        <v/>
      </c>
      <c r="I965" s="276" t="str">
        <f t="shared" si="47"/>
        <v/>
      </c>
      <c r="J965" s="275"/>
      <c r="K965" s="275"/>
      <c r="L965" s="275"/>
      <c r="M965" s="277"/>
    </row>
    <row r="966" spans="1:13" hidden="1" x14ac:dyDescent="0.25">
      <c r="A966" s="113" t="s">
        <v>0</v>
      </c>
      <c r="F966" s="479">
        <f t="shared" si="45"/>
        <v>171</v>
      </c>
      <c r="G966" s="275" t="str">
        <f t="shared" si="46"/>
        <v>n.a.</v>
      </c>
      <c r="H966" s="275" t="str">
        <f>IF(G966=EUconst_NA,"",MAX($H$795:H965)+1)</f>
        <v/>
      </c>
      <c r="I966" s="276" t="str">
        <f t="shared" si="47"/>
        <v/>
      </c>
      <c r="J966" s="275"/>
      <c r="K966" s="275"/>
      <c r="L966" s="275"/>
      <c r="M966" s="277"/>
    </row>
    <row r="967" spans="1:13" hidden="1" x14ac:dyDescent="0.25">
      <c r="A967" s="113" t="s">
        <v>0</v>
      </c>
      <c r="F967" s="479">
        <f t="shared" si="45"/>
        <v>172</v>
      </c>
      <c r="G967" s="275" t="str">
        <f t="shared" si="46"/>
        <v>n.a.</v>
      </c>
      <c r="H967" s="275" t="str">
        <f>IF(G967=EUconst_NA,"",MAX($H$795:H966)+1)</f>
        <v/>
      </c>
      <c r="I967" s="276" t="str">
        <f t="shared" si="47"/>
        <v/>
      </c>
      <c r="J967" s="275"/>
      <c r="K967" s="275"/>
      <c r="L967" s="275"/>
      <c r="M967" s="277"/>
    </row>
    <row r="968" spans="1:13" hidden="1" x14ac:dyDescent="0.25">
      <c r="A968" s="113" t="s">
        <v>0</v>
      </c>
      <c r="F968" s="479">
        <f t="shared" si="45"/>
        <v>173</v>
      </c>
      <c r="G968" s="275" t="str">
        <f t="shared" si="46"/>
        <v>n.a.</v>
      </c>
      <c r="H968" s="275" t="str">
        <f>IF(G968=EUconst_NA,"",MAX($H$795:H967)+1)</f>
        <v/>
      </c>
      <c r="I968" s="276" t="str">
        <f t="shared" si="47"/>
        <v/>
      </c>
      <c r="J968" s="275"/>
      <c r="K968" s="275"/>
      <c r="L968" s="275"/>
      <c r="M968" s="277"/>
    </row>
    <row r="969" spans="1:13" hidden="1" x14ac:dyDescent="0.25">
      <c r="A969" s="113" t="s">
        <v>0</v>
      </c>
      <c r="F969" s="479">
        <f t="shared" si="45"/>
        <v>174</v>
      </c>
      <c r="G969" s="275" t="str">
        <f t="shared" si="46"/>
        <v>n.a.</v>
      </c>
      <c r="H969" s="275" t="str">
        <f>IF(G969=EUconst_NA,"",MAX($H$795:H968)+1)</f>
        <v/>
      </c>
      <c r="I969" s="276" t="str">
        <f t="shared" si="47"/>
        <v/>
      </c>
      <c r="J969" s="275"/>
      <c r="K969" s="275"/>
      <c r="L969" s="275"/>
      <c r="M969" s="277"/>
    </row>
    <row r="970" spans="1:13" hidden="1" x14ac:dyDescent="0.25">
      <c r="A970" s="113" t="s">
        <v>0</v>
      </c>
      <c r="F970" s="479">
        <f t="shared" si="45"/>
        <v>175</v>
      </c>
      <c r="G970" s="275" t="str">
        <f t="shared" si="46"/>
        <v>n.a.</v>
      </c>
      <c r="H970" s="275" t="str">
        <f>IF(G970=EUconst_NA,"",MAX($H$795:H969)+1)</f>
        <v/>
      </c>
      <c r="I970" s="276" t="str">
        <f t="shared" si="47"/>
        <v/>
      </c>
      <c r="J970" s="275"/>
      <c r="K970" s="275"/>
      <c r="L970" s="275"/>
      <c r="M970" s="277"/>
    </row>
    <row r="971" spans="1:13" hidden="1" x14ac:dyDescent="0.25">
      <c r="A971" s="113" t="s">
        <v>0</v>
      </c>
      <c r="F971" s="479">
        <f t="shared" si="45"/>
        <v>176</v>
      </c>
      <c r="G971" s="275" t="str">
        <f t="shared" si="46"/>
        <v>n.a.</v>
      </c>
      <c r="H971" s="275" t="str">
        <f>IF(G971=EUconst_NA,"",MAX($H$795:H970)+1)</f>
        <v/>
      </c>
      <c r="I971" s="276" t="str">
        <f t="shared" si="47"/>
        <v/>
      </c>
      <c r="J971" s="275"/>
      <c r="K971" s="275"/>
      <c r="L971" s="275"/>
      <c r="M971" s="277"/>
    </row>
    <row r="972" spans="1:13" hidden="1" x14ac:dyDescent="0.25">
      <c r="A972" s="113" t="s">
        <v>0</v>
      </c>
      <c r="F972" s="479">
        <f t="shared" si="45"/>
        <v>177</v>
      </c>
      <c r="G972" s="275" t="str">
        <f t="shared" si="46"/>
        <v>n.a.</v>
      </c>
      <c r="H972" s="275" t="str">
        <f>IF(G972=EUconst_NA,"",MAX($H$795:H971)+1)</f>
        <v/>
      </c>
      <c r="I972" s="276" t="str">
        <f t="shared" si="47"/>
        <v/>
      </c>
      <c r="J972" s="275"/>
      <c r="K972" s="275"/>
      <c r="L972" s="275"/>
      <c r="M972" s="277"/>
    </row>
    <row r="973" spans="1:13" hidden="1" x14ac:dyDescent="0.25">
      <c r="A973" s="113" t="s">
        <v>0</v>
      </c>
      <c r="F973" s="479">
        <f t="shared" si="45"/>
        <v>178</v>
      </c>
      <c r="G973" s="275" t="str">
        <f t="shared" si="46"/>
        <v>n.a.</v>
      </c>
      <c r="H973" s="275" t="str">
        <f>IF(G973=EUconst_NA,"",MAX($H$795:H972)+1)</f>
        <v/>
      </c>
      <c r="I973" s="276" t="str">
        <f t="shared" si="47"/>
        <v/>
      </c>
      <c r="J973" s="275"/>
      <c r="K973" s="275"/>
      <c r="L973" s="275"/>
      <c r="M973" s="277"/>
    </row>
    <row r="974" spans="1:13" hidden="1" x14ac:dyDescent="0.25">
      <c r="A974" s="113" t="s">
        <v>0</v>
      </c>
      <c r="F974" s="479">
        <f t="shared" si="45"/>
        <v>179</v>
      </c>
      <c r="G974" s="275" t="str">
        <f t="shared" si="46"/>
        <v>n.a.</v>
      </c>
      <c r="H974" s="275" t="str">
        <f>IF(G974=EUconst_NA,"",MAX($H$795:H973)+1)</f>
        <v/>
      </c>
      <c r="I974" s="276" t="str">
        <f t="shared" si="47"/>
        <v/>
      </c>
      <c r="J974" s="275"/>
      <c r="K974" s="275"/>
      <c r="L974" s="275"/>
      <c r="M974" s="277"/>
    </row>
    <row r="975" spans="1:13" hidden="1" x14ac:dyDescent="0.25">
      <c r="A975" s="113" t="s">
        <v>0</v>
      </c>
      <c r="F975" s="479">
        <f t="shared" si="45"/>
        <v>180</v>
      </c>
      <c r="G975" s="275" t="str">
        <f t="shared" si="46"/>
        <v>n.a.</v>
      </c>
      <c r="H975" s="275" t="str">
        <f>IF(G975=EUconst_NA,"",MAX($H$795:H974)+1)</f>
        <v/>
      </c>
      <c r="I975" s="276" t="str">
        <f t="shared" si="47"/>
        <v/>
      </c>
      <c r="J975" s="275"/>
      <c r="K975" s="275"/>
      <c r="L975" s="275"/>
      <c r="M975" s="277"/>
    </row>
    <row r="976" spans="1:13" hidden="1" x14ac:dyDescent="0.25">
      <c r="A976" s="113" t="s">
        <v>0</v>
      </c>
      <c r="F976" s="479">
        <f t="shared" si="45"/>
        <v>181</v>
      </c>
      <c r="G976" s="275" t="str">
        <f t="shared" si="46"/>
        <v>n.a.</v>
      </c>
      <c r="H976" s="275" t="str">
        <f>IF(G976=EUconst_NA,"",MAX($H$795:H975)+1)</f>
        <v/>
      </c>
      <c r="I976" s="276" t="str">
        <f t="shared" si="47"/>
        <v/>
      </c>
      <c r="J976" s="275"/>
      <c r="K976" s="275"/>
      <c r="L976" s="275"/>
      <c r="M976" s="277"/>
    </row>
    <row r="977" spans="1:13" hidden="1" x14ac:dyDescent="0.25">
      <c r="A977" s="113" t="s">
        <v>0</v>
      </c>
      <c r="F977" s="479">
        <f t="shared" si="45"/>
        <v>182</v>
      </c>
      <c r="G977" s="275" t="str">
        <f t="shared" si="46"/>
        <v>n.a.</v>
      </c>
      <c r="H977" s="275" t="str">
        <f>IF(G977=EUconst_NA,"",MAX($H$795:H976)+1)</f>
        <v/>
      </c>
      <c r="I977" s="276" t="str">
        <f t="shared" si="47"/>
        <v/>
      </c>
      <c r="J977" s="275"/>
      <c r="K977" s="275"/>
      <c r="L977" s="275"/>
      <c r="M977" s="277"/>
    </row>
    <row r="978" spans="1:13" hidden="1" x14ac:dyDescent="0.25">
      <c r="A978" s="113" t="s">
        <v>0</v>
      </c>
      <c r="F978" s="479">
        <f t="shared" si="45"/>
        <v>183</v>
      </c>
      <c r="G978" s="275" t="str">
        <f t="shared" si="46"/>
        <v>n.a.</v>
      </c>
      <c r="H978" s="275" t="str">
        <f>IF(G978=EUconst_NA,"",MAX($H$795:H977)+1)</f>
        <v/>
      </c>
      <c r="I978" s="276" t="str">
        <f t="shared" si="47"/>
        <v/>
      </c>
      <c r="J978" s="275"/>
      <c r="K978" s="275"/>
      <c r="L978" s="275"/>
      <c r="M978" s="277"/>
    </row>
    <row r="979" spans="1:13" hidden="1" x14ac:dyDescent="0.25">
      <c r="A979" s="113" t="s">
        <v>0</v>
      </c>
      <c r="F979" s="479">
        <f t="shared" si="45"/>
        <v>184</v>
      </c>
      <c r="G979" s="275" t="str">
        <f t="shared" si="46"/>
        <v>n.a.</v>
      </c>
      <c r="H979" s="275" t="str">
        <f>IF(G979=EUconst_NA,"",MAX($H$795:H978)+1)</f>
        <v/>
      </c>
      <c r="I979" s="276" t="str">
        <f t="shared" si="47"/>
        <v/>
      </c>
      <c r="J979" s="275"/>
      <c r="K979" s="275"/>
      <c r="L979" s="275"/>
      <c r="M979" s="277"/>
    </row>
    <row r="980" spans="1:13" hidden="1" x14ac:dyDescent="0.25">
      <c r="A980" s="113" t="s">
        <v>0</v>
      </c>
      <c r="F980" s="479">
        <f t="shared" si="45"/>
        <v>185</v>
      </c>
      <c r="G980" s="275" t="str">
        <f t="shared" si="46"/>
        <v>n.a.</v>
      </c>
      <c r="H980" s="275" t="str">
        <f>IF(G980=EUconst_NA,"",MAX($H$795:H979)+1)</f>
        <v/>
      </c>
      <c r="I980" s="276" t="str">
        <f t="shared" si="47"/>
        <v/>
      </c>
      <c r="J980" s="275"/>
      <c r="K980" s="275"/>
      <c r="L980" s="275"/>
      <c r="M980" s="277"/>
    </row>
    <row r="981" spans="1:13" hidden="1" x14ac:dyDescent="0.25">
      <c r="A981" s="113" t="s">
        <v>0</v>
      </c>
      <c r="F981" s="479">
        <f t="shared" si="45"/>
        <v>186</v>
      </c>
      <c r="G981" s="275" t="str">
        <f t="shared" si="46"/>
        <v>n.a.</v>
      </c>
      <c r="H981" s="275" t="str">
        <f>IF(G981=EUconst_NA,"",MAX($H$795:H980)+1)</f>
        <v/>
      </c>
      <c r="I981" s="276" t="str">
        <f t="shared" si="47"/>
        <v/>
      </c>
      <c r="J981" s="275"/>
      <c r="K981" s="275"/>
      <c r="L981" s="275"/>
      <c r="M981" s="277"/>
    </row>
    <row r="982" spans="1:13" hidden="1" x14ac:dyDescent="0.25">
      <c r="A982" s="113" t="s">
        <v>0</v>
      </c>
      <c r="F982" s="479">
        <f t="shared" si="45"/>
        <v>187</v>
      </c>
      <c r="G982" s="275" t="str">
        <f t="shared" si="46"/>
        <v>n.a.</v>
      </c>
      <c r="H982" s="275" t="str">
        <f>IF(G982=EUconst_NA,"",MAX($H$795:H981)+1)</f>
        <v/>
      </c>
      <c r="I982" s="276" t="str">
        <f t="shared" si="47"/>
        <v/>
      </c>
      <c r="J982" s="275"/>
      <c r="K982" s="275"/>
      <c r="L982" s="275"/>
      <c r="M982" s="277"/>
    </row>
    <row r="983" spans="1:13" hidden="1" x14ac:dyDescent="0.25">
      <c r="A983" s="113" t="s">
        <v>0</v>
      </c>
      <c r="F983" s="479">
        <f t="shared" si="45"/>
        <v>188</v>
      </c>
      <c r="G983" s="275" t="str">
        <f t="shared" si="46"/>
        <v>n.a.</v>
      </c>
      <c r="H983" s="275" t="str">
        <f>IF(G983=EUconst_NA,"",MAX($H$795:H982)+1)</f>
        <v/>
      </c>
      <c r="I983" s="276" t="str">
        <f t="shared" si="47"/>
        <v/>
      </c>
      <c r="J983" s="275"/>
      <c r="K983" s="275"/>
      <c r="L983" s="275"/>
      <c r="M983" s="277"/>
    </row>
    <row r="984" spans="1:13" hidden="1" x14ac:dyDescent="0.25">
      <c r="A984" s="113" t="s">
        <v>0</v>
      </c>
      <c r="F984" s="479">
        <f t="shared" si="45"/>
        <v>189</v>
      </c>
      <c r="G984" s="275" t="str">
        <f t="shared" si="46"/>
        <v>n.a.</v>
      </c>
      <c r="H984" s="275" t="str">
        <f>IF(G984=EUconst_NA,"",MAX($H$795:H983)+1)</f>
        <v/>
      </c>
      <c r="I984" s="276" t="str">
        <f t="shared" si="47"/>
        <v/>
      </c>
      <c r="J984" s="275"/>
      <c r="K984" s="275"/>
      <c r="L984" s="275"/>
      <c r="M984" s="277"/>
    </row>
    <row r="985" spans="1:13" hidden="1" x14ac:dyDescent="0.25">
      <c r="A985" s="113" t="s">
        <v>0</v>
      </c>
      <c r="F985" s="479">
        <f t="shared" si="45"/>
        <v>190</v>
      </c>
      <c r="G985" s="275" t="str">
        <f t="shared" si="46"/>
        <v>n.a.</v>
      </c>
      <c r="H985" s="275" t="str">
        <f>IF(G985=EUconst_NA,"",MAX($H$795:H984)+1)</f>
        <v/>
      </c>
      <c r="I985" s="276" t="str">
        <f t="shared" si="47"/>
        <v/>
      </c>
      <c r="J985" s="275"/>
      <c r="K985" s="275"/>
      <c r="L985" s="275"/>
      <c r="M985" s="277"/>
    </row>
    <row r="986" spans="1:13" hidden="1" x14ac:dyDescent="0.25">
      <c r="A986" s="113" t="s">
        <v>0</v>
      </c>
      <c r="F986" s="479">
        <f t="shared" si="45"/>
        <v>191</v>
      </c>
      <c r="G986" s="275" t="str">
        <f t="shared" si="46"/>
        <v>n.a.</v>
      </c>
      <c r="H986" s="275" t="str">
        <f>IF(G986=EUconst_NA,"",MAX($H$795:H985)+1)</f>
        <v/>
      </c>
      <c r="I986" s="276" t="str">
        <f t="shared" si="47"/>
        <v/>
      </c>
      <c r="J986" s="275"/>
      <c r="K986" s="275"/>
      <c r="L986" s="275"/>
      <c r="M986" s="277"/>
    </row>
    <row r="987" spans="1:13" hidden="1" x14ac:dyDescent="0.25">
      <c r="A987" s="113" t="s">
        <v>0</v>
      </c>
      <c r="F987" s="479">
        <f t="shared" si="45"/>
        <v>192</v>
      </c>
      <c r="G987" s="275" t="str">
        <f t="shared" si="46"/>
        <v>n.a.</v>
      </c>
      <c r="H987" s="275" t="str">
        <f>IF(G987=EUconst_NA,"",MAX($H$795:H986)+1)</f>
        <v/>
      </c>
      <c r="I987" s="276" t="str">
        <f t="shared" si="47"/>
        <v/>
      </c>
      <c r="J987" s="275"/>
      <c r="K987" s="275"/>
      <c r="L987" s="275"/>
      <c r="M987" s="277"/>
    </row>
    <row r="988" spans="1:13" hidden="1" x14ac:dyDescent="0.25">
      <c r="A988" s="113" t="s">
        <v>0</v>
      </c>
      <c r="F988" s="479">
        <f t="shared" si="45"/>
        <v>193</v>
      </c>
      <c r="G988" s="275" t="str">
        <f t="shared" si="46"/>
        <v>n.a.</v>
      </c>
      <c r="H988" s="275" t="str">
        <f>IF(G988=EUconst_NA,"",MAX($H$795:H987)+1)</f>
        <v/>
      </c>
      <c r="I988" s="276" t="str">
        <f t="shared" si="47"/>
        <v/>
      </c>
      <c r="J988" s="275"/>
      <c r="K988" s="275"/>
      <c r="L988" s="275"/>
      <c r="M988" s="277"/>
    </row>
    <row r="989" spans="1:13" hidden="1" x14ac:dyDescent="0.25">
      <c r="A989" s="113" t="s">
        <v>0</v>
      </c>
      <c r="F989" s="479">
        <f t="shared" si="45"/>
        <v>194</v>
      </c>
      <c r="G989" s="275" t="str">
        <f t="shared" si="46"/>
        <v>n.a.</v>
      </c>
      <c r="H989" s="275" t="str">
        <f>IF(G989=EUconst_NA,"",MAX($H$795:H988)+1)</f>
        <v/>
      </c>
      <c r="I989" s="276" t="str">
        <f t="shared" si="47"/>
        <v/>
      </c>
      <c r="J989" s="275"/>
      <c r="K989" s="275"/>
      <c r="L989" s="275"/>
      <c r="M989" s="277"/>
    </row>
    <row r="990" spans="1:13" hidden="1" x14ac:dyDescent="0.25">
      <c r="A990" s="113" t="s">
        <v>0</v>
      </c>
      <c r="F990" s="479">
        <f t="shared" ref="F990:F1045" si="48">F989+1</f>
        <v>195</v>
      </c>
      <c r="G990" s="275" t="str">
        <f t="shared" si="46"/>
        <v>n.a.</v>
      </c>
      <c r="H990" s="275" t="str">
        <f>IF(G990=EUconst_NA,"",MAX($H$795:H989)+1)</f>
        <v/>
      </c>
      <c r="I990" s="276" t="str">
        <f t="shared" si="47"/>
        <v/>
      </c>
      <c r="J990" s="275"/>
      <c r="K990" s="275"/>
      <c r="L990" s="275"/>
      <c r="M990" s="277"/>
    </row>
    <row r="991" spans="1:13" hidden="1" x14ac:dyDescent="0.25">
      <c r="A991" s="113" t="s">
        <v>0</v>
      </c>
      <c r="F991" s="479">
        <f t="shared" si="48"/>
        <v>196</v>
      </c>
      <c r="G991" s="275" t="str">
        <f t="shared" si="46"/>
        <v>n.a.</v>
      </c>
      <c r="H991" s="275" t="str">
        <f>IF(G991=EUconst_NA,"",MAX($H$795:H990)+1)</f>
        <v/>
      </c>
      <c r="I991" s="276" t="str">
        <f t="shared" si="47"/>
        <v/>
      </c>
      <c r="J991" s="275"/>
      <c r="K991" s="275"/>
      <c r="L991" s="275"/>
      <c r="M991" s="277"/>
    </row>
    <row r="992" spans="1:13" hidden="1" x14ac:dyDescent="0.25">
      <c r="A992" s="113" t="s">
        <v>0</v>
      </c>
      <c r="F992" s="479">
        <f t="shared" si="48"/>
        <v>197</v>
      </c>
      <c r="G992" s="275" t="str">
        <f t="shared" si="46"/>
        <v>n.a.</v>
      </c>
      <c r="H992" s="275" t="str">
        <f>IF(G992=EUconst_NA,"",MAX($H$795:H991)+1)</f>
        <v/>
      </c>
      <c r="I992" s="276" t="str">
        <f t="shared" si="47"/>
        <v/>
      </c>
      <c r="J992" s="275"/>
      <c r="K992" s="275"/>
      <c r="L992" s="275"/>
      <c r="M992" s="277"/>
    </row>
    <row r="993" spans="1:13" hidden="1" x14ac:dyDescent="0.25">
      <c r="A993" s="113" t="s">
        <v>0</v>
      </c>
      <c r="F993" s="479">
        <f t="shared" si="48"/>
        <v>198</v>
      </c>
      <c r="G993" s="275" t="str">
        <f t="shared" si="46"/>
        <v>n.a.</v>
      </c>
      <c r="H993" s="275" t="str">
        <f>IF(G993=EUconst_NA,"",MAX($H$795:H992)+1)</f>
        <v/>
      </c>
      <c r="I993" s="276" t="str">
        <f t="shared" si="47"/>
        <v/>
      </c>
      <c r="J993" s="275"/>
      <c r="K993" s="275"/>
      <c r="L993" s="275"/>
      <c r="M993" s="277"/>
    </row>
    <row r="994" spans="1:13" hidden="1" x14ac:dyDescent="0.25">
      <c r="A994" s="113" t="s">
        <v>0</v>
      </c>
      <c r="F994" s="479">
        <f t="shared" si="48"/>
        <v>199</v>
      </c>
      <c r="G994" s="275" t="str">
        <f t="shared" si="46"/>
        <v>n.a.</v>
      </c>
      <c r="H994" s="275" t="str">
        <f>IF(G994=EUconst_NA,"",MAX($H$795:H993)+1)</f>
        <v/>
      </c>
      <c r="I994" s="276" t="str">
        <f t="shared" si="47"/>
        <v/>
      </c>
      <c r="J994" s="275"/>
      <c r="K994" s="275"/>
      <c r="L994" s="275"/>
      <c r="M994" s="277"/>
    </row>
    <row r="995" spans="1:13" hidden="1" x14ac:dyDescent="0.25">
      <c r="A995" s="113" t="s">
        <v>0</v>
      </c>
      <c r="F995" s="479">
        <f t="shared" si="48"/>
        <v>200</v>
      </c>
      <c r="G995" s="275" t="str">
        <f t="shared" si="46"/>
        <v>n.a.</v>
      </c>
      <c r="H995" s="275" t="str">
        <f>IF(G995=EUconst_NA,"",MAX($H$795:H994)+1)</f>
        <v/>
      </c>
      <c r="I995" s="276" t="str">
        <f t="shared" si="47"/>
        <v/>
      </c>
      <c r="J995" s="275"/>
      <c r="K995" s="275"/>
      <c r="L995" s="275"/>
      <c r="M995" s="277"/>
    </row>
    <row r="996" spans="1:13" hidden="1" x14ac:dyDescent="0.25">
      <c r="A996" s="113" t="s">
        <v>0</v>
      </c>
      <c r="F996" s="479">
        <f t="shared" si="48"/>
        <v>201</v>
      </c>
      <c r="G996" s="275" t="str">
        <f t="shared" si="46"/>
        <v>n.a.</v>
      </c>
      <c r="H996" s="275" t="str">
        <f>IF(G996=EUconst_NA,"",MAX($H$795:H995)+1)</f>
        <v/>
      </c>
      <c r="I996" s="276" t="str">
        <f t="shared" si="47"/>
        <v/>
      </c>
      <c r="J996" s="275"/>
      <c r="K996" s="275"/>
      <c r="L996" s="275"/>
      <c r="M996" s="277"/>
    </row>
    <row r="997" spans="1:13" hidden="1" x14ac:dyDescent="0.25">
      <c r="A997" s="113" t="s">
        <v>0</v>
      </c>
      <c r="F997" s="479">
        <f t="shared" si="48"/>
        <v>202</v>
      </c>
      <c r="G997" s="275" t="str">
        <f t="shared" si="46"/>
        <v>n.a.</v>
      </c>
      <c r="H997" s="275" t="str">
        <f>IF(G997=EUconst_NA,"",MAX($H$795:H996)+1)</f>
        <v/>
      </c>
      <c r="I997" s="276" t="str">
        <f t="shared" si="47"/>
        <v/>
      </c>
      <c r="J997" s="275"/>
      <c r="K997" s="275"/>
      <c r="L997" s="275"/>
      <c r="M997" s="277"/>
    </row>
    <row r="998" spans="1:13" hidden="1" x14ac:dyDescent="0.25">
      <c r="A998" s="113" t="s">
        <v>0</v>
      </c>
      <c r="F998" s="479">
        <f t="shared" si="48"/>
        <v>203</v>
      </c>
      <c r="G998" s="275" t="str">
        <f t="shared" si="46"/>
        <v>n.a.</v>
      </c>
      <c r="H998" s="275" t="str">
        <f>IF(G998=EUconst_NA,"",MAX($H$795:H997)+1)</f>
        <v/>
      </c>
      <c r="I998" s="276" t="str">
        <f t="shared" si="47"/>
        <v/>
      </c>
      <c r="J998" s="275"/>
      <c r="K998" s="275"/>
      <c r="L998" s="275"/>
      <c r="M998" s="277"/>
    </row>
    <row r="999" spans="1:13" hidden="1" x14ac:dyDescent="0.25">
      <c r="A999" s="113" t="s">
        <v>0</v>
      </c>
      <c r="F999" s="479">
        <f t="shared" si="48"/>
        <v>204</v>
      </c>
      <c r="G999" s="275" t="str">
        <f t="shared" si="46"/>
        <v>n.a.</v>
      </c>
      <c r="H999" s="275" t="str">
        <f>IF(G999=EUconst_NA,"",MAX($H$795:H998)+1)</f>
        <v/>
      </c>
      <c r="I999" s="276" t="str">
        <f t="shared" si="47"/>
        <v/>
      </c>
      <c r="J999" s="275"/>
      <c r="K999" s="275"/>
      <c r="L999" s="275"/>
      <c r="M999" s="277"/>
    </row>
    <row r="1000" spans="1:13" hidden="1" x14ac:dyDescent="0.25">
      <c r="A1000" s="113" t="s">
        <v>0</v>
      </c>
      <c r="F1000" s="479">
        <f t="shared" si="48"/>
        <v>205</v>
      </c>
      <c r="G1000" s="275" t="str">
        <f t="shared" si="46"/>
        <v>n.a.</v>
      </c>
      <c r="H1000" s="275" t="str">
        <f>IF(G1000=EUconst_NA,"",MAX($H$795:H999)+1)</f>
        <v/>
      </c>
      <c r="I1000" s="276" t="str">
        <f t="shared" si="47"/>
        <v/>
      </c>
      <c r="J1000" s="275"/>
      <c r="K1000" s="275"/>
      <c r="L1000" s="275"/>
      <c r="M1000" s="277"/>
    </row>
    <row r="1001" spans="1:13" hidden="1" x14ac:dyDescent="0.25">
      <c r="A1001" s="113" t="s">
        <v>0</v>
      </c>
      <c r="F1001" s="479">
        <f t="shared" si="48"/>
        <v>206</v>
      </c>
      <c r="G1001" s="275" t="str">
        <f t="shared" si="46"/>
        <v>n.a.</v>
      </c>
      <c r="H1001" s="275" t="str">
        <f>IF(G1001=EUconst_NA,"",MAX($H$795:H1000)+1)</f>
        <v/>
      </c>
      <c r="I1001" s="276" t="str">
        <f t="shared" si="47"/>
        <v/>
      </c>
      <c r="J1001" s="275"/>
      <c r="K1001" s="275"/>
      <c r="L1001" s="275"/>
      <c r="M1001" s="277"/>
    </row>
    <row r="1002" spans="1:13" hidden="1" x14ac:dyDescent="0.25">
      <c r="A1002" s="113" t="s">
        <v>0</v>
      </c>
      <c r="F1002" s="479">
        <f t="shared" si="48"/>
        <v>207</v>
      </c>
      <c r="G1002" s="275" t="str">
        <f t="shared" si="46"/>
        <v>n.a.</v>
      </c>
      <c r="H1002" s="275" t="str">
        <f>IF(G1002=EUconst_NA,"",MAX($H$795:H1001)+1)</f>
        <v/>
      </c>
      <c r="I1002" s="276" t="str">
        <f t="shared" si="47"/>
        <v/>
      </c>
      <c r="J1002" s="275"/>
      <c r="K1002" s="275"/>
      <c r="L1002" s="275"/>
      <c r="M1002" s="277"/>
    </row>
    <row r="1003" spans="1:13" hidden="1" x14ac:dyDescent="0.25">
      <c r="A1003" s="113" t="s">
        <v>0</v>
      </c>
      <c r="F1003" s="479">
        <f t="shared" si="48"/>
        <v>208</v>
      </c>
      <c r="G1003" s="275" t="str">
        <f t="shared" si="46"/>
        <v>n.a.</v>
      </c>
      <c r="H1003" s="275" t="str">
        <f>IF(G1003=EUconst_NA,"",MAX($H$795:H1002)+1)</f>
        <v/>
      </c>
      <c r="I1003" s="276" t="str">
        <f t="shared" si="47"/>
        <v/>
      </c>
      <c r="J1003" s="275"/>
      <c r="K1003" s="275"/>
      <c r="L1003" s="275"/>
      <c r="M1003" s="277"/>
    </row>
    <row r="1004" spans="1:13" hidden="1" x14ac:dyDescent="0.25">
      <c r="A1004" s="113" t="s">
        <v>0</v>
      </c>
      <c r="F1004" s="479">
        <f t="shared" si="48"/>
        <v>209</v>
      </c>
      <c r="G1004" s="275" t="str">
        <f t="shared" si="46"/>
        <v>n.a.</v>
      </c>
      <c r="H1004" s="275" t="str">
        <f>IF(G1004=EUconst_NA,"",MAX($H$795:H1003)+1)</f>
        <v/>
      </c>
      <c r="I1004" s="276" t="str">
        <f t="shared" si="47"/>
        <v/>
      </c>
      <c r="J1004" s="275"/>
      <c r="K1004" s="275"/>
      <c r="L1004" s="275"/>
      <c r="M1004" s="277"/>
    </row>
    <row r="1005" spans="1:13" hidden="1" x14ac:dyDescent="0.25">
      <c r="A1005" s="113" t="s">
        <v>0</v>
      </c>
      <c r="F1005" s="479">
        <f t="shared" si="48"/>
        <v>210</v>
      </c>
      <c r="G1005" s="275" t="str">
        <f t="shared" si="46"/>
        <v>n.a.</v>
      </c>
      <c r="H1005" s="275" t="str">
        <f>IF(G1005=EUconst_NA,"",MAX($H$795:H1004)+1)</f>
        <v/>
      </c>
      <c r="I1005" s="276" t="str">
        <f t="shared" si="47"/>
        <v/>
      </c>
      <c r="J1005" s="275"/>
      <c r="K1005" s="275"/>
      <c r="L1005" s="275"/>
      <c r="M1005" s="277"/>
    </row>
    <row r="1006" spans="1:13" hidden="1" x14ac:dyDescent="0.25">
      <c r="A1006" s="113" t="s">
        <v>0</v>
      </c>
      <c r="F1006" s="479">
        <f t="shared" si="48"/>
        <v>211</v>
      </c>
      <c r="G1006" s="275" t="str">
        <f t="shared" si="46"/>
        <v>n.a.</v>
      </c>
      <c r="H1006" s="275" t="str">
        <f>IF(G1006=EUconst_NA,"",MAX($H$795:H1005)+1)</f>
        <v/>
      </c>
      <c r="I1006" s="276" t="str">
        <f t="shared" si="47"/>
        <v/>
      </c>
      <c r="J1006" s="275"/>
      <c r="K1006" s="275"/>
      <c r="L1006" s="275"/>
      <c r="M1006" s="277"/>
    </row>
    <row r="1007" spans="1:13" hidden="1" x14ac:dyDescent="0.25">
      <c r="A1007" s="113" t="s">
        <v>0</v>
      </c>
      <c r="F1007" s="479">
        <f t="shared" si="48"/>
        <v>212</v>
      </c>
      <c r="G1007" s="275" t="str">
        <f t="shared" ref="G1007:G1044" si="49">INDEX($R$30:$R$279,F1007)</f>
        <v>n.a.</v>
      </c>
      <c r="H1007" s="275" t="str">
        <f>IF(G1007=EUconst_NA,"",MAX($H$795:H1006)+1)</f>
        <v/>
      </c>
      <c r="I1007" s="276" t="str">
        <f t="shared" ref="I1007:I1044" si="50">IF(COUNTIF($H$796:$H$1050,F1007)=0,"",INDEX($G$796:$G$1050,MATCH(F1007,$H$796:$H$1050,0)))</f>
        <v/>
      </c>
      <c r="J1007" s="275"/>
      <c r="K1007" s="275"/>
      <c r="L1007" s="275"/>
      <c r="M1007" s="277"/>
    </row>
    <row r="1008" spans="1:13" hidden="1" x14ac:dyDescent="0.25">
      <c r="A1008" s="113" t="s">
        <v>0</v>
      </c>
      <c r="F1008" s="479">
        <f t="shared" si="48"/>
        <v>213</v>
      </c>
      <c r="G1008" s="275" t="str">
        <f t="shared" si="49"/>
        <v>n.a.</v>
      </c>
      <c r="H1008" s="275" t="str">
        <f>IF(G1008=EUconst_NA,"",MAX($H$795:H1007)+1)</f>
        <v/>
      </c>
      <c r="I1008" s="276" t="str">
        <f t="shared" si="50"/>
        <v/>
      </c>
      <c r="J1008" s="275"/>
      <c r="K1008" s="275"/>
      <c r="L1008" s="275"/>
      <c r="M1008" s="277"/>
    </row>
    <row r="1009" spans="1:13" hidden="1" x14ac:dyDescent="0.25">
      <c r="A1009" s="113" t="s">
        <v>0</v>
      </c>
      <c r="F1009" s="479">
        <f t="shared" si="48"/>
        <v>214</v>
      </c>
      <c r="G1009" s="275" t="str">
        <f t="shared" si="49"/>
        <v>n.a.</v>
      </c>
      <c r="H1009" s="275" t="str">
        <f>IF(G1009=EUconst_NA,"",MAX($H$795:H1008)+1)</f>
        <v/>
      </c>
      <c r="I1009" s="276" t="str">
        <f t="shared" si="50"/>
        <v/>
      </c>
      <c r="J1009" s="275"/>
      <c r="K1009" s="275"/>
      <c r="L1009" s="275"/>
      <c r="M1009" s="277"/>
    </row>
    <row r="1010" spans="1:13" hidden="1" x14ac:dyDescent="0.25">
      <c r="A1010" s="113" t="s">
        <v>0</v>
      </c>
      <c r="F1010" s="479">
        <f t="shared" si="48"/>
        <v>215</v>
      </c>
      <c r="G1010" s="275" t="str">
        <f t="shared" si="49"/>
        <v>n.a.</v>
      </c>
      <c r="H1010" s="275" t="str">
        <f>IF(G1010=EUconst_NA,"",MAX($H$795:H1009)+1)</f>
        <v/>
      </c>
      <c r="I1010" s="276" t="str">
        <f t="shared" si="50"/>
        <v/>
      </c>
      <c r="J1010" s="275"/>
      <c r="K1010" s="275"/>
      <c r="L1010" s="275"/>
      <c r="M1010" s="277"/>
    </row>
    <row r="1011" spans="1:13" hidden="1" x14ac:dyDescent="0.25">
      <c r="A1011" s="113" t="s">
        <v>0</v>
      </c>
      <c r="F1011" s="479">
        <f t="shared" si="48"/>
        <v>216</v>
      </c>
      <c r="G1011" s="275" t="str">
        <f t="shared" si="49"/>
        <v>n.a.</v>
      </c>
      <c r="H1011" s="275" t="str">
        <f>IF(G1011=EUconst_NA,"",MAX($H$795:H1010)+1)</f>
        <v/>
      </c>
      <c r="I1011" s="276" t="str">
        <f t="shared" si="50"/>
        <v/>
      </c>
      <c r="J1011" s="275"/>
      <c r="K1011" s="275"/>
      <c r="L1011" s="275"/>
      <c r="M1011" s="277"/>
    </row>
    <row r="1012" spans="1:13" hidden="1" x14ac:dyDescent="0.25">
      <c r="A1012" s="113" t="s">
        <v>0</v>
      </c>
      <c r="F1012" s="479">
        <f t="shared" si="48"/>
        <v>217</v>
      </c>
      <c r="G1012" s="275" t="str">
        <f t="shared" si="49"/>
        <v>n.a.</v>
      </c>
      <c r="H1012" s="275" t="str">
        <f>IF(G1012=EUconst_NA,"",MAX($H$795:H1011)+1)</f>
        <v/>
      </c>
      <c r="I1012" s="276" t="str">
        <f t="shared" si="50"/>
        <v/>
      </c>
      <c r="J1012" s="275"/>
      <c r="K1012" s="275"/>
      <c r="L1012" s="275"/>
      <c r="M1012" s="277"/>
    </row>
    <row r="1013" spans="1:13" hidden="1" x14ac:dyDescent="0.25">
      <c r="A1013" s="113" t="s">
        <v>0</v>
      </c>
      <c r="F1013" s="479">
        <f t="shared" si="48"/>
        <v>218</v>
      </c>
      <c r="G1013" s="275" t="str">
        <f t="shared" si="49"/>
        <v>n.a.</v>
      </c>
      <c r="H1013" s="275" t="str">
        <f>IF(G1013=EUconst_NA,"",MAX($H$795:H1012)+1)</f>
        <v/>
      </c>
      <c r="I1013" s="276" t="str">
        <f t="shared" si="50"/>
        <v/>
      </c>
      <c r="J1013" s="275"/>
      <c r="K1013" s="275"/>
      <c r="L1013" s="275"/>
      <c r="M1013" s="277"/>
    </row>
    <row r="1014" spans="1:13" hidden="1" x14ac:dyDescent="0.25">
      <c r="A1014" s="113" t="s">
        <v>0</v>
      </c>
      <c r="F1014" s="479">
        <f t="shared" si="48"/>
        <v>219</v>
      </c>
      <c r="G1014" s="275" t="str">
        <f t="shared" si="49"/>
        <v>n.a.</v>
      </c>
      <c r="H1014" s="275" t="str">
        <f>IF(G1014=EUconst_NA,"",MAX($H$795:H1013)+1)</f>
        <v/>
      </c>
      <c r="I1014" s="276" t="str">
        <f t="shared" si="50"/>
        <v/>
      </c>
      <c r="J1014" s="275"/>
      <c r="K1014" s="275"/>
      <c r="L1014" s="275"/>
      <c r="M1014" s="277"/>
    </row>
    <row r="1015" spans="1:13" hidden="1" x14ac:dyDescent="0.25">
      <c r="A1015" s="113" t="s">
        <v>0</v>
      </c>
      <c r="F1015" s="479">
        <f t="shared" si="48"/>
        <v>220</v>
      </c>
      <c r="G1015" s="275" t="str">
        <f t="shared" si="49"/>
        <v>n.a.</v>
      </c>
      <c r="H1015" s="275" t="str">
        <f>IF(G1015=EUconst_NA,"",MAX($H$795:H1014)+1)</f>
        <v/>
      </c>
      <c r="I1015" s="276" t="str">
        <f t="shared" si="50"/>
        <v/>
      </c>
      <c r="J1015" s="275"/>
      <c r="K1015" s="275"/>
      <c r="L1015" s="275"/>
      <c r="M1015" s="277"/>
    </row>
    <row r="1016" spans="1:13" hidden="1" x14ac:dyDescent="0.25">
      <c r="A1016" s="113" t="s">
        <v>0</v>
      </c>
      <c r="F1016" s="479">
        <f t="shared" si="48"/>
        <v>221</v>
      </c>
      <c r="G1016" s="275" t="str">
        <f t="shared" si="49"/>
        <v>n.a.</v>
      </c>
      <c r="H1016" s="275" t="str">
        <f>IF(G1016=EUconst_NA,"",MAX($H$795:H1015)+1)</f>
        <v/>
      </c>
      <c r="I1016" s="276" t="str">
        <f t="shared" si="50"/>
        <v/>
      </c>
      <c r="J1016" s="275"/>
      <c r="K1016" s="275"/>
      <c r="L1016" s="275"/>
      <c r="M1016" s="277"/>
    </row>
    <row r="1017" spans="1:13" hidden="1" x14ac:dyDescent="0.25">
      <c r="A1017" s="113" t="s">
        <v>0</v>
      </c>
      <c r="F1017" s="479">
        <f t="shared" si="48"/>
        <v>222</v>
      </c>
      <c r="G1017" s="275" t="str">
        <f t="shared" si="49"/>
        <v>n.a.</v>
      </c>
      <c r="H1017" s="275" t="str">
        <f>IF(G1017=EUconst_NA,"",MAX($H$795:H1016)+1)</f>
        <v/>
      </c>
      <c r="I1017" s="276" t="str">
        <f t="shared" si="50"/>
        <v/>
      </c>
      <c r="J1017" s="275"/>
      <c r="K1017" s="275"/>
      <c r="L1017" s="275"/>
      <c r="M1017" s="277"/>
    </row>
    <row r="1018" spans="1:13" hidden="1" x14ac:dyDescent="0.25">
      <c r="A1018" s="113" t="s">
        <v>0</v>
      </c>
      <c r="F1018" s="479">
        <f t="shared" si="48"/>
        <v>223</v>
      </c>
      <c r="G1018" s="275" t="str">
        <f t="shared" si="49"/>
        <v>n.a.</v>
      </c>
      <c r="H1018" s="275" t="str">
        <f>IF(G1018=EUconst_NA,"",MAX($H$795:H1017)+1)</f>
        <v/>
      </c>
      <c r="I1018" s="276" t="str">
        <f t="shared" si="50"/>
        <v/>
      </c>
      <c r="J1018" s="275"/>
      <c r="K1018" s="275"/>
      <c r="L1018" s="275"/>
      <c r="M1018" s="277"/>
    </row>
    <row r="1019" spans="1:13" hidden="1" x14ac:dyDescent="0.25">
      <c r="A1019" s="113" t="s">
        <v>0</v>
      </c>
      <c r="F1019" s="479">
        <f t="shared" si="48"/>
        <v>224</v>
      </c>
      <c r="G1019" s="275" t="str">
        <f t="shared" si="49"/>
        <v>n.a.</v>
      </c>
      <c r="H1019" s="275" t="str">
        <f>IF(G1019=EUconst_NA,"",MAX($H$795:H1018)+1)</f>
        <v/>
      </c>
      <c r="I1019" s="276" t="str">
        <f t="shared" si="50"/>
        <v/>
      </c>
      <c r="J1019" s="275"/>
      <c r="K1019" s="275"/>
      <c r="L1019" s="275"/>
      <c r="M1019" s="277"/>
    </row>
    <row r="1020" spans="1:13" hidden="1" x14ac:dyDescent="0.25">
      <c r="A1020" s="113" t="s">
        <v>0</v>
      </c>
      <c r="F1020" s="479">
        <f t="shared" si="48"/>
        <v>225</v>
      </c>
      <c r="G1020" s="275" t="str">
        <f t="shared" si="49"/>
        <v>n.a.</v>
      </c>
      <c r="H1020" s="275" t="str">
        <f>IF(G1020=EUconst_NA,"",MAX($H$795:H1019)+1)</f>
        <v/>
      </c>
      <c r="I1020" s="276" t="str">
        <f t="shared" si="50"/>
        <v/>
      </c>
      <c r="J1020" s="275"/>
      <c r="K1020" s="275"/>
      <c r="L1020" s="275"/>
      <c r="M1020" s="277"/>
    </row>
    <row r="1021" spans="1:13" hidden="1" x14ac:dyDescent="0.25">
      <c r="A1021" s="113" t="s">
        <v>0</v>
      </c>
      <c r="F1021" s="479">
        <f t="shared" si="48"/>
        <v>226</v>
      </c>
      <c r="G1021" s="275" t="str">
        <f t="shared" si="49"/>
        <v>n.a.</v>
      </c>
      <c r="H1021" s="275" t="str">
        <f>IF(G1021=EUconst_NA,"",MAX($H$795:H1020)+1)</f>
        <v/>
      </c>
      <c r="I1021" s="276" t="str">
        <f t="shared" si="50"/>
        <v/>
      </c>
      <c r="J1021" s="275"/>
      <c r="K1021" s="275"/>
      <c r="L1021" s="275"/>
      <c r="M1021" s="277"/>
    </row>
    <row r="1022" spans="1:13" hidden="1" x14ac:dyDescent="0.25">
      <c r="A1022" s="113" t="s">
        <v>0</v>
      </c>
      <c r="F1022" s="479">
        <f t="shared" si="48"/>
        <v>227</v>
      </c>
      <c r="G1022" s="275" t="str">
        <f t="shared" si="49"/>
        <v>n.a.</v>
      </c>
      <c r="H1022" s="275" t="str">
        <f>IF(G1022=EUconst_NA,"",MAX($H$795:H1021)+1)</f>
        <v/>
      </c>
      <c r="I1022" s="276" t="str">
        <f t="shared" si="50"/>
        <v/>
      </c>
      <c r="J1022" s="275"/>
      <c r="K1022" s="275"/>
      <c r="L1022" s="275"/>
      <c r="M1022" s="277"/>
    </row>
    <row r="1023" spans="1:13" hidden="1" x14ac:dyDescent="0.25">
      <c r="A1023" s="113" t="s">
        <v>0</v>
      </c>
      <c r="F1023" s="479">
        <f t="shared" si="48"/>
        <v>228</v>
      </c>
      <c r="G1023" s="275" t="str">
        <f t="shared" si="49"/>
        <v>n.a.</v>
      </c>
      <c r="H1023" s="275" t="str">
        <f>IF(G1023=EUconst_NA,"",MAX($H$795:H1022)+1)</f>
        <v/>
      </c>
      <c r="I1023" s="276" t="str">
        <f t="shared" si="50"/>
        <v/>
      </c>
      <c r="J1023" s="275"/>
      <c r="K1023" s="275"/>
      <c r="L1023" s="275"/>
      <c r="M1023" s="277"/>
    </row>
    <row r="1024" spans="1:13" hidden="1" x14ac:dyDescent="0.25">
      <c r="A1024" s="113" t="s">
        <v>0</v>
      </c>
      <c r="F1024" s="479">
        <f t="shared" si="48"/>
        <v>229</v>
      </c>
      <c r="G1024" s="275" t="str">
        <f t="shared" si="49"/>
        <v>n.a.</v>
      </c>
      <c r="H1024" s="275" t="str">
        <f>IF(G1024=EUconst_NA,"",MAX($H$795:H1023)+1)</f>
        <v/>
      </c>
      <c r="I1024" s="276" t="str">
        <f t="shared" si="50"/>
        <v/>
      </c>
      <c r="J1024" s="275"/>
      <c r="K1024" s="275"/>
      <c r="L1024" s="275"/>
      <c r="M1024" s="277"/>
    </row>
    <row r="1025" spans="1:13" hidden="1" x14ac:dyDescent="0.25">
      <c r="A1025" s="113" t="s">
        <v>0</v>
      </c>
      <c r="F1025" s="479">
        <f t="shared" si="48"/>
        <v>230</v>
      </c>
      <c r="G1025" s="275" t="str">
        <f t="shared" si="49"/>
        <v>n.a.</v>
      </c>
      <c r="H1025" s="275" t="str">
        <f>IF(G1025=EUconst_NA,"",MAX($H$795:H1024)+1)</f>
        <v/>
      </c>
      <c r="I1025" s="276" t="str">
        <f t="shared" si="50"/>
        <v/>
      </c>
      <c r="J1025" s="275"/>
      <c r="K1025" s="275"/>
      <c r="L1025" s="275"/>
      <c r="M1025" s="277"/>
    </row>
    <row r="1026" spans="1:13" hidden="1" x14ac:dyDescent="0.25">
      <c r="A1026" s="113" t="s">
        <v>0</v>
      </c>
      <c r="F1026" s="479">
        <f t="shared" si="48"/>
        <v>231</v>
      </c>
      <c r="G1026" s="275" t="str">
        <f t="shared" si="49"/>
        <v>n.a.</v>
      </c>
      <c r="H1026" s="275" t="str">
        <f>IF(G1026=EUconst_NA,"",MAX($H$795:H1025)+1)</f>
        <v/>
      </c>
      <c r="I1026" s="276" t="str">
        <f t="shared" si="50"/>
        <v/>
      </c>
      <c r="J1026" s="275"/>
      <c r="K1026" s="275"/>
      <c r="L1026" s="275"/>
      <c r="M1026" s="277"/>
    </row>
    <row r="1027" spans="1:13" hidden="1" x14ac:dyDescent="0.25">
      <c r="A1027" s="113" t="s">
        <v>0</v>
      </c>
      <c r="F1027" s="479">
        <f t="shared" si="48"/>
        <v>232</v>
      </c>
      <c r="G1027" s="275" t="str">
        <f t="shared" si="49"/>
        <v>n.a.</v>
      </c>
      <c r="H1027" s="275" t="str">
        <f>IF(G1027=EUconst_NA,"",MAX($H$795:H1026)+1)</f>
        <v/>
      </c>
      <c r="I1027" s="276" t="str">
        <f t="shared" si="50"/>
        <v/>
      </c>
      <c r="J1027" s="275"/>
      <c r="K1027" s="275"/>
      <c r="L1027" s="275"/>
      <c r="M1027" s="277"/>
    </row>
    <row r="1028" spans="1:13" hidden="1" x14ac:dyDescent="0.25">
      <c r="A1028" s="113" t="s">
        <v>0</v>
      </c>
      <c r="F1028" s="479">
        <f t="shared" si="48"/>
        <v>233</v>
      </c>
      <c r="G1028" s="275" t="str">
        <f t="shared" si="49"/>
        <v>n.a.</v>
      </c>
      <c r="H1028" s="275" t="str">
        <f>IF(G1028=EUconst_NA,"",MAX($H$795:H1027)+1)</f>
        <v/>
      </c>
      <c r="I1028" s="276" t="str">
        <f t="shared" si="50"/>
        <v/>
      </c>
      <c r="J1028" s="275"/>
      <c r="K1028" s="275"/>
      <c r="L1028" s="275"/>
      <c r="M1028" s="277"/>
    </row>
    <row r="1029" spans="1:13" hidden="1" x14ac:dyDescent="0.25">
      <c r="A1029" s="113" t="s">
        <v>0</v>
      </c>
      <c r="F1029" s="479">
        <f t="shared" si="48"/>
        <v>234</v>
      </c>
      <c r="G1029" s="275" t="str">
        <f t="shared" si="49"/>
        <v>n.a.</v>
      </c>
      <c r="H1029" s="275" t="str">
        <f>IF(G1029=EUconst_NA,"",MAX($H$795:H1028)+1)</f>
        <v/>
      </c>
      <c r="I1029" s="276" t="str">
        <f t="shared" si="50"/>
        <v/>
      </c>
      <c r="J1029" s="275"/>
      <c r="K1029" s="275"/>
      <c r="L1029" s="275"/>
      <c r="M1029" s="277"/>
    </row>
    <row r="1030" spans="1:13" hidden="1" x14ac:dyDescent="0.25">
      <c r="A1030" s="113" t="s">
        <v>0</v>
      </c>
      <c r="F1030" s="479">
        <f t="shared" si="48"/>
        <v>235</v>
      </c>
      <c r="G1030" s="275" t="str">
        <f t="shared" si="49"/>
        <v>n.a.</v>
      </c>
      <c r="H1030" s="275" t="str">
        <f>IF(G1030=EUconst_NA,"",MAX($H$795:H1029)+1)</f>
        <v/>
      </c>
      <c r="I1030" s="276" t="str">
        <f t="shared" si="50"/>
        <v/>
      </c>
      <c r="J1030" s="275"/>
      <c r="K1030" s="275"/>
      <c r="L1030" s="275"/>
      <c r="M1030" s="277"/>
    </row>
    <row r="1031" spans="1:13" hidden="1" x14ac:dyDescent="0.25">
      <c r="A1031" s="113" t="s">
        <v>0</v>
      </c>
      <c r="F1031" s="479">
        <f t="shared" si="48"/>
        <v>236</v>
      </c>
      <c r="G1031" s="275" t="str">
        <f t="shared" si="49"/>
        <v>n.a.</v>
      </c>
      <c r="H1031" s="275" t="str">
        <f>IF(G1031=EUconst_NA,"",MAX($H$795:H1030)+1)</f>
        <v/>
      </c>
      <c r="I1031" s="276" t="str">
        <f t="shared" si="50"/>
        <v/>
      </c>
      <c r="J1031" s="275"/>
      <c r="K1031" s="275"/>
      <c r="L1031" s="275"/>
      <c r="M1031" s="277"/>
    </row>
    <row r="1032" spans="1:13" hidden="1" x14ac:dyDescent="0.25">
      <c r="A1032" s="113" t="s">
        <v>0</v>
      </c>
      <c r="F1032" s="479">
        <f t="shared" si="48"/>
        <v>237</v>
      </c>
      <c r="G1032" s="275" t="str">
        <f t="shared" si="49"/>
        <v>n.a.</v>
      </c>
      <c r="H1032" s="275" t="str">
        <f>IF(G1032=EUconst_NA,"",MAX($H$795:H1031)+1)</f>
        <v/>
      </c>
      <c r="I1032" s="276" t="str">
        <f t="shared" si="50"/>
        <v/>
      </c>
      <c r="J1032" s="275"/>
      <c r="K1032" s="275"/>
      <c r="L1032" s="275"/>
      <c r="M1032" s="277"/>
    </row>
    <row r="1033" spans="1:13" hidden="1" x14ac:dyDescent="0.25">
      <c r="A1033" s="113" t="s">
        <v>0</v>
      </c>
      <c r="F1033" s="479">
        <f t="shared" si="48"/>
        <v>238</v>
      </c>
      <c r="G1033" s="275" t="str">
        <f t="shared" si="49"/>
        <v>n.a.</v>
      </c>
      <c r="H1033" s="275" t="str">
        <f>IF(G1033=EUconst_NA,"",MAX($H$795:H1032)+1)</f>
        <v/>
      </c>
      <c r="I1033" s="276" t="str">
        <f t="shared" si="50"/>
        <v/>
      </c>
      <c r="J1033" s="275"/>
      <c r="K1033" s="275"/>
      <c r="L1033" s="275"/>
      <c r="M1033" s="277"/>
    </row>
    <row r="1034" spans="1:13" hidden="1" x14ac:dyDescent="0.25">
      <c r="A1034" s="113" t="s">
        <v>0</v>
      </c>
      <c r="F1034" s="479">
        <f t="shared" si="48"/>
        <v>239</v>
      </c>
      <c r="G1034" s="275" t="str">
        <f t="shared" si="49"/>
        <v>n.a.</v>
      </c>
      <c r="H1034" s="275" t="str">
        <f>IF(G1034=EUconst_NA,"",MAX($H$795:H1033)+1)</f>
        <v/>
      </c>
      <c r="I1034" s="276" t="str">
        <f t="shared" si="50"/>
        <v/>
      </c>
      <c r="J1034" s="275"/>
      <c r="K1034" s="275"/>
      <c r="L1034" s="275"/>
      <c r="M1034" s="277"/>
    </row>
    <row r="1035" spans="1:13" hidden="1" x14ac:dyDescent="0.25">
      <c r="A1035" s="113" t="s">
        <v>0</v>
      </c>
      <c r="F1035" s="479">
        <f t="shared" si="48"/>
        <v>240</v>
      </c>
      <c r="G1035" s="275" t="str">
        <f t="shared" si="49"/>
        <v>n.a.</v>
      </c>
      <c r="H1035" s="275" t="str">
        <f>IF(G1035=EUconst_NA,"",MAX($H$795:H1034)+1)</f>
        <v/>
      </c>
      <c r="I1035" s="276" t="str">
        <f t="shared" si="50"/>
        <v/>
      </c>
      <c r="J1035" s="275"/>
      <c r="K1035" s="275"/>
      <c r="L1035" s="275"/>
      <c r="M1035" s="277"/>
    </row>
    <row r="1036" spans="1:13" hidden="1" x14ac:dyDescent="0.25">
      <c r="A1036" s="113" t="s">
        <v>0</v>
      </c>
      <c r="F1036" s="479">
        <f t="shared" si="48"/>
        <v>241</v>
      </c>
      <c r="G1036" s="275" t="str">
        <f t="shared" si="49"/>
        <v>n.a.</v>
      </c>
      <c r="H1036" s="275" t="str">
        <f>IF(G1036=EUconst_NA,"",MAX($H$795:H1035)+1)</f>
        <v/>
      </c>
      <c r="I1036" s="276" t="str">
        <f t="shared" si="50"/>
        <v/>
      </c>
      <c r="J1036" s="275"/>
      <c r="K1036" s="275"/>
      <c r="L1036" s="275"/>
      <c r="M1036" s="277"/>
    </row>
    <row r="1037" spans="1:13" hidden="1" x14ac:dyDescent="0.25">
      <c r="A1037" s="113" t="s">
        <v>0</v>
      </c>
      <c r="F1037" s="479">
        <f t="shared" si="48"/>
        <v>242</v>
      </c>
      <c r="G1037" s="275" t="str">
        <f t="shared" si="49"/>
        <v>n.a.</v>
      </c>
      <c r="H1037" s="275" t="str">
        <f>IF(G1037=EUconst_NA,"",MAX($H$795:H1036)+1)</f>
        <v/>
      </c>
      <c r="I1037" s="276" t="str">
        <f t="shared" si="50"/>
        <v/>
      </c>
      <c r="J1037" s="275"/>
      <c r="K1037" s="275"/>
      <c r="L1037" s="275"/>
      <c r="M1037" s="277"/>
    </row>
    <row r="1038" spans="1:13" hidden="1" x14ac:dyDescent="0.25">
      <c r="A1038" s="113" t="s">
        <v>0</v>
      </c>
      <c r="F1038" s="479">
        <f t="shared" si="48"/>
        <v>243</v>
      </c>
      <c r="G1038" s="275" t="str">
        <f t="shared" si="49"/>
        <v>n.a.</v>
      </c>
      <c r="H1038" s="275" t="str">
        <f>IF(G1038=EUconst_NA,"",MAX($H$795:H1037)+1)</f>
        <v/>
      </c>
      <c r="I1038" s="276" t="str">
        <f t="shared" si="50"/>
        <v/>
      </c>
      <c r="J1038" s="275"/>
      <c r="K1038" s="275"/>
      <c r="L1038" s="275"/>
      <c r="M1038" s="277"/>
    </row>
    <row r="1039" spans="1:13" hidden="1" x14ac:dyDescent="0.25">
      <c r="A1039" s="113" t="s">
        <v>0</v>
      </c>
      <c r="F1039" s="479">
        <f t="shared" si="48"/>
        <v>244</v>
      </c>
      <c r="G1039" s="275" t="str">
        <f t="shared" si="49"/>
        <v>n.a.</v>
      </c>
      <c r="H1039" s="275" t="str">
        <f>IF(G1039=EUconst_NA,"",MAX($H$795:H1038)+1)</f>
        <v/>
      </c>
      <c r="I1039" s="276" t="str">
        <f t="shared" si="50"/>
        <v/>
      </c>
      <c r="J1039" s="275"/>
      <c r="K1039" s="275"/>
      <c r="L1039" s="275"/>
      <c r="M1039" s="277"/>
    </row>
    <row r="1040" spans="1:13" hidden="1" x14ac:dyDescent="0.25">
      <c r="A1040" s="113" t="s">
        <v>0</v>
      </c>
      <c r="F1040" s="479">
        <f t="shared" si="48"/>
        <v>245</v>
      </c>
      <c r="G1040" s="275" t="str">
        <f t="shared" si="49"/>
        <v>n.a.</v>
      </c>
      <c r="H1040" s="275" t="str">
        <f>IF(G1040=EUconst_NA,"",MAX($H$795:H1039)+1)</f>
        <v/>
      </c>
      <c r="I1040" s="276" t="str">
        <f t="shared" si="50"/>
        <v/>
      </c>
      <c r="J1040" s="275"/>
      <c r="K1040" s="275"/>
      <c r="L1040" s="275"/>
      <c r="M1040" s="277"/>
    </row>
    <row r="1041" spans="1:13" hidden="1" x14ac:dyDescent="0.25">
      <c r="A1041" s="113" t="s">
        <v>0</v>
      </c>
      <c r="F1041" s="479">
        <f t="shared" si="48"/>
        <v>246</v>
      </c>
      <c r="G1041" s="275" t="str">
        <f t="shared" si="49"/>
        <v>n.a.</v>
      </c>
      <c r="H1041" s="275" t="str">
        <f>IF(G1041=EUconst_NA,"",MAX($H$795:H1040)+1)</f>
        <v/>
      </c>
      <c r="I1041" s="276" t="str">
        <f t="shared" si="50"/>
        <v/>
      </c>
      <c r="J1041" s="275"/>
      <c r="K1041" s="275"/>
      <c r="L1041" s="275"/>
      <c r="M1041" s="277"/>
    </row>
    <row r="1042" spans="1:13" hidden="1" x14ac:dyDescent="0.25">
      <c r="A1042" s="113" t="s">
        <v>0</v>
      </c>
      <c r="F1042" s="479">
        <f t="shared" si="48"/>
        <v>247</v>
      </c>
      <c r="G1042" s="275" t="str">
        <f t="shared" si="49"/>
        <v>n.a.</v>
      </c>
      <c r="H1042" s="275" t="str">
        <f>IF(G1042=EUconst_NA,"",MAX($H$795:H1041)+1)</f>
        <v/>
      </c>
      <c r="I1042" s="276" t="str">
        <f t="shared" si="50"/>
        <v/>
      </c>
      <c r="J1042" s="275"/>
      <c r="K1042" s="275"/>
      <c r="L1042" s="275"/>
      <c r="M1042" s="277"/>
    </row>
    <row r="1043" spans="1:13" hidden="1" x14ac:dyDescent="0.25">
      <c r="A1043" s="113" t="s">
        <v>0</v>
      </c>
      <c r="F1043" s="479">
        <f t="shared" si="48"/>
        <v>248</v>
      </c>
      <c r="G1043" s="275" t="str">
        <f t="shared" si="49"/>
        <v>n.a.</v>
      </c>
      <c r="H1043" s="275" t="str">
        <f>IF(G1043=EUconst_NA,"",MAX($H$795:H1042)+1)</f>
        <v/>
      </c>
      <c r="I1043" s="276" t="str">
        <f t="shared" si="50"/>
        <v/>
      </c>
      <c r="J1043" s="275"/>
      <c r="K1043" s="275"/>
      <c r="L1043" s="275"/>
      <c r="M1043" s="277"/>
    </row>
    <row r="1044" spans="1:13" hidden="1" x14ac:dyDescent="0.25">
      <c r="A1044" s="113" t="s">
        <v>0</v>
      </c>
      <c r="F1044" s="479">
        <f t="shared" si="48"/>
        <v>249</v>
      </c>
      <c r="G1044" s="275" t="str">
        <f t="shared" si="49"/>
        <v>n.a.</v>
      </c>
      <c r="H1044" s="275" t="str">
        <f>IF(G1044=EUconst_NA,"",MAX($H$795:H1043)+1)</f>
        <v/>
      </c>
      <c r="I1044" s="276" t="str">
        <f t="shared" si="50"/>
        <v/>
      </c>
      <c r="J1044" s="275"/>
      <c r="K1044" s="275"/>
      <c r="L1044" s="275"/>
      <c r="M1044" s="277"/>
    </row>
    <row r="1045" spans="1:13" hidden="1" x14ac:dyDescent="0.25">
      <c r="A1045" s="113" t="s">
        <v>0</v>
      </c>
      <c r="F1045" s="479">
        <f t="shared" si="48"/>
        <v>250</v>
      </c>
      <c r="G1045" s="275" t="str">
        <f t="shared" si="37"/>
        <v>n.a.</v>
      </c>
      <c r="H1045" s="275" t="str">
        <f>IF(G1045=EUconst_NA,"",MAX($H$795:H814)+1)</f>
        <v/>
      </c>
      <c r="I1045" s="276" t="str">
        <f t="shared" si="38"/>
        <v/>
      </c>
      <c r="J1045" s="275"/>
      <c r="K1045" s="275"/>
      <c r="L1045" s="275"/>
      <c r="M1045" s="277"/>
    </row>
    <row r="1046" spans="1:13" hidden="1" x14ac:dyDescent="0.25">
      <c r="A1046" s="110" t="s">
        <v>0</v>
      </c>
      <c r="F1046" s="479"/>
      <c r="G1046" s="275"/>
      <c r="H1046" s="275"/>
      <c r="I1046" s="276"/>
      <c r="J1046" s="275"/>
      <c r="K1046" s="275"/>
      <c r="L1046" s="275"/>
      <c r="M1046" s="277"/>
    </row>
    <row r="1047" spans="1:13" hidden="1" x14ac:dyDescent="0.25">
      <c r="A1047" s="110" t="s">
        <v>0</v>
      </c>
      <c r="F1047" s="479"/>
      <c r="G1047" s="275"/>
      <c r="H1047" s="275"/>
      <c r="I1047" s="276"/>
      <c r="J1047" s="275"/>
      <c r="K1047" s="275"/>
      <c r="L1047" s="275"/>
      <c r="M1047" s="277"/>
    </row>
    <row r="1048" spans="1:13" hidden="1" x14ac:dyDescent="0.25">
      <c r="A1048" s="110" t="s">
        <v>0</v>
      </c>
      <c r="F1048" s="479"/>
      <c r="G1048" s="275"/>
      <c r="H1048" s="275"/>
      <c r="I1048" s="276"/>
      <c r="J1048" s="275"/>
      <c r="K1048" s="275"/>
      <c r="L1048" s="275"/>
      <c r="M1048" s="277"/>
    </row>
    <row r="1049" spans="1:13" hidden="1" x14ac:dyDescent="0.25">
      <c r="A1049" s="110" t="s">
        <v>0</v>
      </c>
      <c r="F1049" s="479"/>
      <c r="G1049" s="275"/>
      <c r="H1049" s="275"/>
      <c r="I1049" s="276"/>
      <c r="J1049" s="275"/>
      <c r="K1049" s="275"/>
      <c r="L1049" s="275"/>
      <c r="M1049" s="277"/>
    </row>
    <row r="1050" spans="1:13" ht="13" hidden="1" thickBot="1" x14ac:dyDescent="0.3">
      <c r="A1050" s="110" t="s">
        <v>0</v>
      </c>
      <c r="F1050" s="480"/>
      <c r="G1050" s="283"/>
      <c r="H1050" s="283"/>
      <c r="I1050" s="284"/>
      <c r="J1050" s="283"/>
      <c r="K1050" s="283"/>
      <c r="L1050" s="283"/>
      <c r="M1050" s="285"/>
    </row>
    <row r="1051" spans="1:13" hidden="1" x14ac:dyDescent="0.25">
      <c r="A1051" s="110" t="s">
        <v>0</v>
      </c>
    </row>
  </sheetData>
  <sheetProtection sheet="1" objects="1" scenarios="1" formatCells="0" formatColumns="0" formatRows="0"/>
  <mergeCells count="1300">
    <mergeCell ref="J277:N277"/>
    <mergeCell ref="J278:N278"/>
    <mergeCell ref="J268:N268"/>
    <mergeCell ref="J269:N269"/>
    <mergeCell ref="J270:N270"/>
    <mergeCell ref="J271:N271"/>
    <mergeCell ref="J272:N272"/>
    <mergeCell ref="J273:N273"/>
    <mergeCell ref="J274:N274"/>
    <mergeCell ref="J275:N275"/>
    <mergeCell ref="J276:N276"/>
    <mergeCell ref="J259:N259"/>
    <mergeCell ref="J260:N260"/>
    <mergeCell ref="J261:N261"/>
    <mergeCell ref="J262:N262"/>
    <mergeCell ref="J263:N263"/>
    <mergeCell ref="J264:N264"/>
    <mergeCell ref="J265:N265"/>
    <mergeCell ref="J266:N266"/>
    <mergeCell ref="J267:N267"/>
    <mergeCell ref="J250:N250"/>
    <mergeCell ref="J251:N251"/>
    <mergeCell ref="J252:N252"/>
    <mergeCell ref="J253:N253"/>
    <mergeCell ref="J254:N254"/>
    <mergeCell ref="J255:N255"/>
    <mergeCell ref="J256:N256"/>
    <mergeCell ref="J257:N257"/>
    <mergeCell ref="J258:N258"/>
    <mergeCell ref="J241:N241"/>
    <mergeCell ref="J242:N242"/>
    <mergeCell ref="J243:N243"/>
    <mergeCell ref="J244:N244"/>
    <mergeCell ref="J245:N245"/>
    <mergeCell ref="J246:N246"/>
    <mergeCell ref="J247:N247"/>
    <mergeCell ref="J248:N248"/>
    <mergeCell ref="J249:N249"/>
    <mergeCell ref="J232:N232"/>
    <mergeCell ref="J233:N233"/>
    <mergeCell ref="J234:N234"/>
    <mergeCell ref="J235:N235"/>
    <mergeCell ref="J236:N236"/>
    <mergeCell ref="J237:N237"/>
    <mergeCell ref="J238:N238"/>
    <mergeCell ref="J239:N239"/>
    <mergeCell ref="J240:N240"/>
    <mergeCell ref="J223:N223"/>
    <mergeCell ref="J224:N224"/>
    <mergeCell ref="J225:N225"/>
    <mergeCell ref="J226:N226"/>
    <mergeCell ref="J227:N227"/>
    <mergeCell ref="J228:N228"/>
    <mergeCell ref="J229:N229"/>
    <mergeCell ref="J230:N230"/>
    <mergeCell ref="J231:N231"/>
    <mergeCell ref="J214:N214"/>
    <mergeCell ref="J215:N215"/>
    <mergeCell ref="J216:N216"/>
    <mergeCell ref="J217:N217"/>
    <mergeCell ref="J218:N218"/>
    <mergeCell ref="J219:N219"/>
    <mergeCell ref="J220:N220"/>
    <mergeCell ref="J221:N221"/>
    <mergeCell ref="J222:N222"/>
    <mergeCell ref="J205:N205"/>
    <mergeCell ref="J206:N206"/>
    <mergeCell ref="J207:N207"/>
    <mergeCell ref="J208:N208"/>
    <mergeCell ref="J209:N209"/>
    <mergeCell ref="J210:N210"/>
    <mergeCell ref="J211:N211"/>
    <mergeCell ref="J212:N212"/>
    <mergeCell ref="J213:N213"/>
    <mergeCell ref="J196:N196"/>
    <mergeCell ref="J197:N197"/>
    <mergeCell ref="J198:N198"/>
    <mergeCell ref="J199:N199"/>
    <mergeCell ref="J200:N200"/>
    <mergeCell ref="J201:N201"/>
    <mergeCell ref="J202:N202"/>
    <mergeCell ref="J203:N203"/>
    <mergeCell ref="J204:N204"/>
    <mergeCell ref="J187:N187"/>
    <mergeCell ref="J188:N188"/>
    <mergeCell ref="J189:N189"/>
    <mergeCell ref="J190:N190"/>
    <mergeCell ref="J191:N191"/>
    <mergeCell ref="J192:N192"/>
    <mergeCell ref="J193:N193"/>
    <mergeCell ref="J194:N194"/>
    <mergeCell ref="J195:N195"/>
    <mergeCell ref="J178:N178"/>
    <mergeCell ref="J179:N179"/>
    <mergeCell ref="J180:N180"/>
    <mergeCell ref="J181:N181"/>
    <mergeCell ref="J182:N182"/>
    <mergeCell ref="J183:N183"/>
    <mergeCell ref="J184:N184"/>
    <mergeCell ref="J185:N185"/>
    <mergeCell ref="J186:N186"/>
    <mergeCell ref="J169:N169"/>
    <mergeCell ref="J170:N170"/>
    <mergeCell ref="J171:N171"/>
    <mergeCell ref="J172:N172"/>
    <mergeCell ref="J173:N173"/>
    <mergeCell ref="J174:N174"/>
    <mergeCell ref="J175:N175"/>
    <mergeCell ref="J176:N176"/>
    <mergeCell ref="J177:N177"/>
    <mergeCell ref="J160:N160"/>
    <mergeCell ref="J161:N161"/>
    <mergeCell ref="J162:N162"/>
    <mergeCell ref="J163:N163"/>
    <mergeCell ref="J164:N164"/>
    <mergeCell ref="J165:N165"/>
    <mergeCell ref="J166:N166"/>
    <mergeCell ref="J167:N167"/>
    <mergeCell ref="J168:N168"/>
    <mergeCell ref="J151:N151"/>
    <mergeCell ref="J152:N152"/>
    <mergeCell ref="J153:N153"/>
    <mergeCell ref="J154:N154"/>
    <mergeCell ref="J155:N155"/>
    <mergeCell ref="J156:N156"/>
    <mergeCell ref="J157:N157"/>
    <mergeCell ref="J158:N158"/>
    <mergeCell ref="J159:N159"/>
    <mergeCell ref="J142:N142"/>
    <mergeCell ref="J143:N143"/>
    <mergeCell ref="J144:N144"/>
    <mergeCell ref="J145:N145"/>
    <mergeCell ref="J146:N146"/>
    <mergeCell ref="J147:N147"/>
    <mergeCell ref="J148:N148"/>
    <mergeCell ref="J149:N149"/>
    <mergeCell ref="J150:N150"/>
    <mergeCell ref="J133:N133"/>
    <mergeCell ref="J134:N134"/>
    <mergeCell ref="J135:N135"/>
    <mergeCell ref="J136:N136"/>
    <mergeCell ref="J137:N137"/>
    <mergeCell ref="J138:N138"/>
    <mergeCell ref="J139:N139"/>
    <mergeCell ref="J140:N140"/>
    <mergeCell ref="J141:N141"/>
    <mergeCell ref="J124:N124"/>
    <mergeCell ref="J125:N125"/>
    <mergeCell ref="J126:N126"/>
    <mergeCell ref="J127:N127"/>
    <mergeCell ref="J128:N128"/>
    <mergeCell ref="J129:N129"/>
    <mergeCell ref="J130:N130"/>
    <mergeCell ref="J131:N131"/>
    <mergeCell ref="J132:N132"/>
    <mergeCell ref="J115:N115"/>
    <mergeCell ref="J116:N116"/>
    <mergeCell ref="J117:N117"/>
    <mergeCell ref="J118:N118"/>
    <mergeCell ref="J119:N119"/>
    <mergeCell ref="J120:N120"/>
    <mergeCell ref="J121:N121"/>
    <mergeCell ref="J122:N122"/>
    <mergeCell ref="J123:N123"/>
    <mergeCell ref="J106:N106"/>
    <mergeCell ref="J107:N107"/>
    <mergeCell ref="J108:N108"/>
    <mergeCell ref="J109:N109"/>
    <mergeCell ref="J110:N110"/>
    <mergeCell ref="J111:N111"/>
    <mergeCell ref="J112:N112"/>
    <mergeCell ref="J113:N113"/>
    <mergeCell ref="J114:N114"/>
    <mergeCell ref="J97:N97"/>
    <mergeCell ref="J98:N98"/>
    <mergeCell ref="J99:N99"/>
    <mergeCell ref="J100:N100"/>
    <mergeCell ref="J101:N101"/>
    <mergeCell ref="J102:N102"/>
    <mergeCell ref="J103:N103"/>
    <mergeCell ref="J104:N104"/>
    <mergeCell ref="J105:N105"/>
    <mergeCell ref="J88:N88"/>
    <mergeCell ref="J89:N89"/>
    <mergeCell ref="J90:N90"/>
    <mergeCell ref="J91:N91"/>
    <mergeCell ref="J92:N92"/>
    <mergeCell ref="J93:N93"/>
    <mergeCell ref="J94:N94"/>
    <mergeCell ref="J95:N95"/>
    <mergeCell ref="J96:N96"/>
    <mergeCell ref="J79:N79"/>
    <mergeCell ref="J80:N80"/>
    <mergeCell ref="J81:N81"/>
    <mergeCell ref="J82:N82"/>
    <mergeCell ref="J83:N83"/>
    <mergeCell ref="J84:N84"/>
    <mergeCell ref="J85:N85"/>
    <mergeCell ref="J86:N86"/>
    <mergeCell ref="J87:N87"/>
    <mergeCell ref="J70:N70"/>
    <mergeCell ref="J71:N71"/>
    <mergeCell ref="J72:N72"/>
    <mergeCell ref="J73:N73"/>
    <mergeCell ref="J74:N74"/>
    <mergeCell ref="J75:N75"/>
    <mergeCell ref="J76:N76"/>
    <mergeCell ref="J77:N77"/>
    <mergeCell ref="J78:N78"/>
    <mergeCell ref="G276:I276"/>
    <mergeCell ref="G277:I277"/>
    <mergeCell ref="G278:I278"/>
    <mergeCell ref="J49:N49"/>
    <mergeCell ref="J50:N50"/>
    <mergeCell ref="J51:N51"/>
    <mergeCell ref="J52:N52"/>
    <mergeCell ref="J53:N53"/>
    <mergeCell ref="J54:N54"/>
    <mergeCell ref="J55:N55"/>
    <mergeCell ref="J56:N56"/>
    <mergeCell ref="J57:N57"/>
    <mergeCell ref="J58:N58"/>
    <mergeCell ref="J59:N59"/>
    <mergeCell ref="J60:N60"/>
    <mergeCell ref="J61:N61"/>
    <mergeCell ref="J62:N62"/>
    <mergeCell ref="J63:N63"/>
    <mergeCell ref="J64:N64"/>
    <mergeCell ref="J65:N65"/>
    <mergeCell ref="J66:N66"/>
    <mergeCell ref="J67:N67"/>
    <mergeCell ref="J68:N68"/>
    <mergeCell ref="J69:N69"/>
    <mergeCell ref="G267:I267"/>
    <mergeCell ref="G268:I268"/>
    <mergeCell ref="G269:I269"/>
    <mergeCell ref="G270:I270"/>
    <mergeCell ref="G271:I271"/>
    <mergeCell ref="G272:I272"/>
    <mergeCell ref="G273:I273"/>
    <mergeCell ref="G274:I274"/>
    <mergeCell ref="G275:I275"/>
    <mergeCell ref="G258:I258"/>
    <mergeCell ref="G259:I259"/>
    <mergeCell ref="G260:I260"/>
    <mergeCell ref="G261:I261"/>
    <mergeCell ref="G262:I262"/>
    <mergeCell ref="G263:I263"/>
    <mergeCell ref="G264:I264"/>
    <mergeCell ref="G265:I265"/>
    <mergeCell ref="G266:I266"/>
    <mergeCell ref="G249:I249"/>
    <mergeCell ref="G250:I250"/>
    <mergeCell ref="G251:I251"/>
    <mergeCell ref="G252:I252"/>
    <mergeCell ref="G253:I253"/>
    <mergeCell ref="G254:I254"/>
    <mergeCell ref="G255:I255"/>
    <mergeCell ref="G256:I256"/>
    <mergeCell ref="G257:I257"/>
    <mergeCell ref="G240:I240"/>
    <mergeCell ref="G241:I241"/>
    <mergeCell ref="G242:I242"/>
    <mergeCell ref="G243:I243"/>
    <mergeCell ref="G244:I244"/>
    <mergeCell ref="G245:I245"/>
    <mergeCell ref="G246:I246"/>
    <mergeCell ref="G247:I247"/>
    <mergeCell ref="G248:I248"/>
    <mergeCell ref="G231:I231"/>
    <mergeCell ref="G232:I232"/>
    <mergeCell ref="G233:I233"/>
    <mergeCell ref="G234:I234"/>
    <mergeCell ref="G235:I235"/>
    <mergeCell ref="G236:I236"/>
    <mergeCell ref="G237:I237"/>
    <mergeCell ref="G238:I238"/>
    <mergeCell ref="G239:I239"/>
    <mergeCell ref="G222:I222"/>
    <mergeCell ref="G223:I223"/>
    <mergeCell ref="G224:I224"/>
    <mergeCell ref="G225:I225"/>
    <mergeCell ref="G226:I226"/>
    <mergeCell ref="G227:I227"/>
    <mergeCell ref="G228:I228"/>
    <mergeCell ref="G229:I229"/>
    <mergeCell ref="G230:I230"/>
    <mergeCell ref="G213:I213"/>
    <mergeCell ref="G214:I214"/>
    <mergeCell ref="G215:I215"/>
    <mergeCell ref="G216:I216"/>
    <mergeCell ref="G217:I217"/>
    <mergeCell ref="G218:I218"/>
    <mergeCell ref="G219:I219"/>
    <mergeCell ref="G220:I220"/>
    <mergeCell ref="G221:I221"/>
    <mergeCell ref="G204:I204"/>
    <mergeCell ref="G205:I205"/>
    <mergeCell ref="G206:I206"/>
    <mergeCell ref="G207:I207"/>
    <mergeCell ref="G208:I208"/>
    <mergeCell ref="G209:I209"/>
    <mergeCell ref="G210:I210"/>
    <mergeCell ref="G211:I211"/>
    <mergeCell ref="G212:I212"/>
    <mergeCell ref="G196:I196"/>
    <mergeCell ref="G197:I197"/>
    <mergeCell ref="G198:I198"/>
    <mergeCell ref="G199:I199"/>
    <mergeCell ref="G200:I200"/>
    <mergeCell ref="G201:I201"/>
    <mergeCell ref="G202:I202"/>
    <mergeCell ref="G203:I203"/>
    <mergeCell ref="G186:I186"/>
    <mergeCell ref="G187:I187"/>
    <mergeCell ref="G188:I188"/>
    <mergeCell ref="G189:I189"/>
    <mergeCell ref="G190:I190"/>
    <mergeCell ref="G191:I191"/>
    <mergeCell ref="G192:I192"/>
    <mergeCell ref="G193:I193"/>
    <mergeCell ref="G194:I194"/>
    <mergeCell ref="G179:I179"/>
    <mergeCell ref="G180:I180"/>
    <mergeCell ref="G181:I181"/>
    <mergeCell ref="G182:I182"/>
    <mergeCell ref="G183:I183"/>
    <mergeCell ref="G184:I184"/>
    <mergeCell ref="G185:I185"/>
    <mergeCell ref="G168:I168"/>
    <mergeCell ref="G169:I169"/>
    <mergeCell ref="G170:I170"/>
    <mergeCell ref="G171:I171"/>
    <mergeCell ref="G172:I172"/>
    <mergeCell ref="G173:I173"/>
    <mergeCell ref="G174:I174"/>
    <mergeCell ref="G175:I175"/>
    <mergeCell ref="G176:I176"/>
    <mergeCell ref="G195:I195"/>
    <mergeCell ref="G162:I162"/>
    <mergeCell ref="G163:I163"/>
    <mergeCell ref="G164:I164"/>
    <mergeCell ref="G165:I165"/>
    <mergeCell ref="G166:I166"/>
    <mergeCell ref="G167:I167"/>
    <mergeCell ref="G150:I150"/>
    <mergeCell ref="G151:I151"/>
    <mergeCell ref="G152:I152"/>
    <mergeCell ref="G153:I153"/>
    <mergeCell ref="G154:I154"/>
    <mergeCell ref="G155:I155"/>
    <mergeCell ref="G156:I156"/>
    <mergeCell ref="G157:I157"/>
    <mergeCell ref="G158:I158"/>
    <mergeCell ref="G177:I177"/>
    <mergeCell ref="G178:I178"/>
    <mergeCell ref="G145:I145"/>
    <mergeCell ref="G146:I146"/>
    <mergeCell ref="G147:I147"/>
    <mergeCell ref="G148:I148"/>
    <mergeCell ref="G149:I149"/>
    <mergeCell ref="G132:I132"/>
    <mergeCell ref="G133:I133"/>
    <mergeCell ref="G134:I134"/>
    <mergeCell ref="G135:I135"/>
    <mergeCell ref="G136:I136"/>
    <mergeCell ref="G137:I137"/>
    <mergeCell ref="G138:I138"/>
    <mergeCell ref="G139:I139"/>
    <mergeCell ref="G140:I140"/>
    <mergeCell ref="G159:I159"/>
    <mergeCell ref="G160:I160"/>
    <mergeCell ref="G161:I161"/>
    <mergeCell ref="G128:I128"/>
    <mergeCell ref="G129:I129"/>
    <mergeCell ref="G130:I130"/>
    <mergeCell ref="G131:I131"/>
    <mergeCell ref="G114:I114"/>
    <mergeCell ref="G115:I115"/>
    <mergeCell ref="G116:I116"/>
    <mergeCell ref="G117:I117"/>
    <mergeCell ref="G118:I118"/>
    <mergeCell ref="G119:I119"/>
    <mergeCell ref="G120:I120"/>
    <mergeCell ref="G121:I121"/>
    <mergeCell ref="G122:I122"/>
    <mergeCell ref="G141:I141"/>
    <mergeCell ref="G142:I142"/>
    <mergeCell ref="G143:I143"/>
    <mergeCell ref="G144:I144"/>
    <mergeCell ref="G111:I111"/>
    <mergeCell ref="G112:I112"/>
    <mergeCell ref="G113:I113"/>
    <mergeCell ref="G96:I96"/>
    <mergeCell ref="G97:I97"/>
    <mergeCell ref="G98:I98"/>
    <mergeCell ref="G99:I99"/>
    <mergeCell ref="G100:I100"/>
    <mergeCell ref="G101:I101"/>
    <mergeCell ref="G102:I102"/>
    <mergeCell ref="G103:I103"/>
    <mergeCell ref="G104:I104"/>
    <mergeCell ref="G123:I123"/>
    <mergeCell ref="G124:I124"/>
    <mergeCell ref="G125:I125"/>
    <mergeCell ref="G126:I126"/>
    <mergeCell ref="G127:I127"/>
    <mergeCell ref="G94:I94"/>
    <mergeCell ref="G95:I95"/>
    <mergeCell ref="G78:I78"/>
    <mergeCell ref="G79:I79"/>
    <mergeCell ref="G80:I80"/>
    <mergeCell ref="G81:I81"/>
    <mergeCell ref="G82:I82"/>
    <mergeCell ref="G83:I83"/>
    <mergeCell ref="G84:I84"/>
    <mergeCell ref="G85:I85"/>
    <mergeCell ref="G86:I86"/>
    <mergeCell ref="G105:I105"/>
    <mergeCell ref="G106:I106"/>
    <mergeCell ref="G107:I107"/>
    <mergeCell ref="G108:I108"/>
    <mergeCell ref="G109:I109"/>
    <mergeCell ref="G110:I110"/>
    <mergeCell ref="F789:G789"/>
    <mergeCell ref="G49:I49"/>
    <mergeCell ref="G50:I50"/>
    <mergeCell ref="G51:I51"/>
    <mergeCell ref="G52:I52"/>
    <mergeCell ref="G53:I53"/>
    <mergeCell ref="G54:I54"/>
    <mergeCell ref="G55:I55"/>
    <mergeCell ref="G56:I56"/>
    <mergeCell ref="G57:I57"/>
    <mergeCell ref="G58:I58"/>
    <mergeCell ref="G59:I59"/>
    <mergeCell ref="G60:I60"/>
    <mergeCell ref="G61:I61"/>
    <mergeCell ref="G62:I62"/>
    <mergeCell ref="G63:I63"/>
    <mergeCell ref="G64:I64"/>
    <mergeCell ref="G65:I65"/>
    <mergeCell ref="G66:I66"/>
    <mergeCell ref="G67:I67"/>
    <mergeCell ref="G68:I68"/>
    <mergeCell ref="G69:I69"/>
    <mergeCell ref="G70:I70"/>
    <mergeCell ref="G71:I71"/>
    <mergeCell ref="F780:G780"/>
    <mergeCell ref="F781:G781"/>
    <mergeCell ref="F782:G782"/>
    <mergeCell ref="F783:G783"/>
    <mergeCell ref="F784:G784"/>
    <mergeCell ref="F785:G785"/>
    <mergeCell ref="F786:G786"/>
    <mergeCell ref="F787:G787"/>
    <mergeCell ref="F788:G788"/>
    <mergeCell ref="F771:G771"/>
    <mergeCell ref="F772:G772"/>
    <mergeCell ref="F773:G773"/>
    <mergeCell ref="F774:G774"/>
    <mergeCell ref="F775:G775"/>
    <mergeCell ref="F776:G776"/>
    <mergeCell ref="F777:G777"/>
    <mergeCell ref="F778:G778"/>
    <mergeCell ref="F779:G779"/>
    <mergeCell ref="F762:G762"/>
    <mergeCell ref="F763:G763"/>
    <mergeCell ref="F764:G764"/>
    <mergeCell ref="F765:G765"/>
    <mergeCell ref="F766:G766"/>
    <mergeCell ref="F767:G767"/>
    <mergeCell ref="F768:G768"/>
    <mergeCell ref="F769:G769"/>
    <mergeCell ref="F770:G770"/>
    <mergeCell ref="F753:G753"/>
    <mergeCell ref="F754:G754"/>
    <mergeCell ref="F755:G755"/>
    <mergeCell ref="F756:G756"/>
    <mergeCell ref="F757:G757"/>
    <mergeCell ref="F758:G758"/>
    <mergeCell ref="F759:G759"/>
    <mergeCell ref="F760:G760"/>
    <mergeCell ref="F761:G761"/>
    <mergeCell ref="F744:G744"/>
    <mergeCell ref="F745:G745"/>
    <mergeCell ref="F746:G746"/>
    <mergeCell ref="F747:G747"/>
    <mergeCell ref="F748:G748"/>
    <mergeCell ref="F749:G749"/>
    <mergeCell ref="F750:G750"/>
    <mergeCell ref="F751:G751"/>
    <mergeCell ref="F752:G752"/>
    <mergeCell ref="F735:G735"/>
    <mergeCell ref="F736:G736"/>
    <mergeCell ref="F737:G737"/>
    <mergeCell ref="F738:G738"/>
    <mergeCell ref="F739:G739"/>
    <mergeCell ref="F740:G740"/>
    <mergeCell ref="F741:G741"/>
    <mergeCell ref="F742:G742"/>
    <mergeCell ref="F743:G743"/>
    <mergeCell ref="F726:G726"/>
    <mergeCell ref="F727:G727"/>
    <mergeCell ref="F728:G728"/>
    <mergeCell ref="F729:G729"/>
    <mergeCell ref="F730:G730"/>
    <mergeCell ref="F731:G731"/>
    <mergeCell ref="F732:G732"/>
    <mergeCell ref="F733:G733"/>
    <mergeCell ref="F734:G734"/>
    <mergeCell ref="F717:G717"/>
    <mergeCell ref="F718:G718"/>
    <mergeCell ref="F719:G719"/>
    <mergeCell ref="F720:G720"/>
    <mergeCell ref="F721:G721"/>
    <mergeCell ref="F722:G722"/>
    <mergeCell ref="F723:G723"/>
    <mergeCell ref="F724:G724"/>
    <mergeCell ref="F725:G725"/>
    <mergeCell ref="F708:G708"/>
    <mergeCell ref="F709:G709"/>
    <mergeCell ref="F710:G710"/>
    <mergeCell ref="F711:G711"/>
    <mergeCell ref="F712:G712"/>
    <mergeCell ref="F713:G713"/>
    <mergeCell ref="F714:G714"/>
    <mergeCell ref="F715:G715"/>
    <mergeCell ref="F716:G716"/>
    <mergeCell ref="F700:G700"/>
    <mergeCell ref="F701:G701"/>
    <mergeCell ref="F702:G702"/>
    <mergeCell ref="F703:G703"/>
    <mergeCell ref="F704:G704"/>
    <mergeCell ref="F705:G705"/>
    <mergeCell ref="F706:G706"/>
    <mergeCell ref="F707:G707"/>
    <mergeCell ref="F690:G690"/>
    <mergeCell ref="F691:G691"/>
    <mergeCell ref="F692:G692"/>
    <mergeCell ref="F693:G693"/>
    <mergeCell ref="F694:G694"/>
    <mergeCell ref="F695:G695"/>
    <mergeCell ref="F696:G696"/>
    <mergeCell ref="F697:G697"/>
    <mergeCell ref="F698:G698"/>
    <mergeCell ref="F683:G683"/>
    <mergeCell ref="F684:G684"/>
    <mergeCell ref="F685:G685"/>
    <mergeCell ref="F686:G686"/>
    <mergeCell ref="F687:G687"/>
    <mergeCell ref="F688:G688"/>
    <mergeCell ref="F689:G689"/>
    <mergeCell ref="F672:G672"/>
    <mergeCell ref="F673:G673"/>
    <mergeCell ref="F674:G674"/>
    <mergeCell ref="F675:G675"/>
    <mergeCell ref="F676:G676"/>
    <mergeCell ref="F677:G677"/>
    <mergeCell ref="F678:G678"/>
    <mergeCell ref="F679:G679"/>
    <mergeCell ref="F680:G680"/>
    <mergeCell ref="F699:G699"/>
    <mergeCell ref="F666:G666"/>
    <mergeCell ref="F667:G667"/>
    <mergeCell ref="F668:G668"/>
    <mergeCell ref="F669:G669"/>
    <mergeCell ref="F670:G670"/>
    <mergeCell ref="F671:G671"/>
    <mergeCell ref="F654:G654"/>
    <mergeCell ref="F655:G655"/>
    <mergeCell ref="F656:G656"/>
    <mergeCell ref="F657:G657"/>
    <mergeCell ref="F658:G658"/>
    <mergeCell ref="F659:G659"/>
    <mergeCell ref="F660:G660"/>
    <mergeCell ref="F661:G661"/>
    <mergeCell ref="F662:G662"/>
    <mergeCell ref="F681:G681"/>
    <mergeCell ref="F682:G682"/>
    <mergeCell ref="F649:G649"/>
    <mergeCell ref="F650:G650"/>
    <mergeCell ref="F651:G651"/>
    <mergeCell ref="F652:G652"/>
    <mergeCell ref="F653:G653"/>
    <mergeCell ref="F636:G636"/>
    <mergeCell ref="F637:G637"/>
    <mergeCell ref="F638:G638"/>
    <mergeCell ref="F639:G639"/>
    <mergeCell ref="F640:G640"/>
    <mergeCell ref="F641:G641"/>
    <mergeCell ref="F642:G642"/>
    <mergeCell ref="F643:G643"/>
    <mergeCell ref="F644:G644"/>
    <mergeCell ref="F663:G663"/>
    <mergeCell ref="F664:G664"/>
    <mergeCell ref="F665:G665"/>
    <mergeCell ref="F632:G632"/>
    <mergeCell ref="F633:G633"/>
    <mergeCell ref="F634:G634"/>
    <mergeCell ref="F635:G635"/>
    <mergeCell ref="F618:G618"/>
    <mergeCell ref="F619:G619"/>
    <mergeCell ref="F620:G620"/>
    <mergeCell ref="F621:G621"/>
    <mergeCell ref="F622:G622"/>
    <mergeCell ref="F623:G623"/>
    <mergeCell ref="F624:G624"/>
    <mergeCell ref="F625:G625"/>
    <mergeCell ref="F626:G626"/>
    <mergeCell ref="F645:G645"/>
    <mergeCell ref="F646:G646"/>
    <mergeCell ref="F647:G647"/>
    <mergeCell ref="F648:G648"/>
    <mergeCell ref="F615:G615"/>
    <mergeCell ref="F616:G616"/>
    <mergeCell ref="F617:G617"/>
    <mergeCell ref="F600:G600"/>
    <mergeCell ref="F601:G601"/>
    <mergeCell ref="F602:G602"/>
    <mergeCell ref="F603:G603"/>
    <mergeCell ref="F604:G604"/>
    <mergeCell ref="F605:G605"/>
    <mergeCell ref="F606:G606"/>
    <mergeCell ref="F607:G607"/>
    <mergeCell ref="F608:G608"/>
    <mergeCell ref="F627:G627"/>
    <mergeCell ref="F628:G628"/>
    <mergeCell ref="F629:G629"/>
    <mergeCell ref="F630:G630"/>
    <mergeCell ref="F631:G631"/>
    <mergeCell ref="F598:G598"/>
    <mergeCell ref="F599:G599"/>
    <mergeCell ref="F582:G582"/>
    <mergeCell ref="F583:G583"/>
    <mergeCell ref="F584:G584"/>
    <mergeCell ref="F585:G585"/>
    <mergeCell ref="F586:G586"/>
    <mergeCell ref="F587:G587"/>
    <mergeCell ref="F588:G588"/>
    <mergeCell ref="F589:G589"/>
    <mergeCell ref="F590:G590"/>
    <mergeCell ref="F609:G609"/>
    <mergeCell ref="F610:G610"/>
    <mergeCell ref="F611:G611"/>
    <mergeCell ref="F612:G612"/>
    <mergeCell ref="F613:G613"/>
    <mergeCell ref="F614:G614"/>
    <mergeCell ref="F581:G581"/>
    <mergeCell ref="F564:G564"/>
    <mergeCell ref="F565:G565"/>
    <mergeCell ref="F566:G566"/>
    <mergeCell ref="F567:G567"/>
    <mergeCell ref="F568:G568"/>
    <mergeCell ref="F569:G569"/>
    <mergeCell ref="F570:G570"/>
    <mergeCell ref="F571:G571"/>
    <mergeCell ref="F572:G572"/>
    <mergeCell ref="F591:G591"/>
    <mergeCell ref="F592:G592"/>
    <mergeCell ref="F593:G593"/>
    <mergeCell ref="F594:G594"/>
    <mergeCell ref="F595:G595"/>
    <mergeCell ref="F596:G596"/>
    <mergeCell ref="F597:G597"/>
    <mergeCell ref="F531:G531"/>
    <mergeCell ref="H531:I531"/>
    <mergeCell ref="F532:G532"/>
    <mergeCell ref="H532:I532"/>
    <mergeCell ref="F533:G533"/>
    <mergeCell ref="H533:I533"/>
    <mergeCell ref="F534:G534"/>
    <mergeCell ref="H534:I534"/>
    <mergeCell ref="F535:G535"/>
    <mergeCell ref="H535:I535"/>
    <mergeCell ref="F526:G526"/>
    <mergeCell ref="H526:I526"/>
    <mergeCell ref="F527:G527"/>
    <mergeCell ref="H527:I527"/>
    <mergeCell ref="F528:G528"/>
    <mergeCell ref="H528:I528"/>
    <mergeCell ref="F529:G529"/>
    <mergeCell ref="H529:I529"/>
    <mergeCell ref="F530:G530"/>
    <mergeCell ref="H530:I530"/>
    <mergeCell ref="F521:G521"/>
    <mergeCell ref="H521:I521"/>
    <mergeCell ref="F522:G522"/>
    <mergeCell ref="H522:I522"/>
    <mergeCell ref="F523:G523"/>
    <mergeCell ref="H523:I523"/>
    <mergeCell ref="F524:G524"/>
    <mergeCell ref="H524:I524"/>
    <mergeCell ref="F525:G525"/>
    <mergeCell ref="H525:I525"/>
    <mergeCell ref="F516:G516"/>
    <mergeCell ref="H516:I516"/>
    <mergeCell ref="F517:G517"/>
    <mergeCell ref="H517:I517"/>
    <mergeCell ref="F518:G518"/>
    <mergeCell ref="H518:I518"/>
    <mergeCell ref="F519:G519"/>
    <mergeCell ref="H519:I519"/>
    <mergeCell ref="F520:G520"/>
    <mergeCell ref="H520:I520"/>
    <mergeCell ref="F511:G511"/>
    <mergeCell ref="H511:I511"/>
    <mergeCell ref="F512:G512"/>
    <mergeCell ref="H512:I512"/>
    <mergeCell ref="F513:G513"/>
    <mergeCell ref="H513:I513"/>
    <mergeCell ref="F514:G514"/>
    <mergeCell ref="H514:I514"/>
    <mergeCell ref="F515:G515"/>
    <mergeCell ref="H515:I515"/>
    <mergeCell ref="F506:G506"/>
    <mergeCell ref="H506:I506"/>
    <mergeCell ref="F507:G507"/>
    <mergeCell ref="H507:I507"/>
    <mergeCell ref="F508:G508"/>
    <mergeCell ref="H508:I508"/>
    <mergeCell ref="F509:G509"/>
    <mergeCell ref="H509:I509"/>
    <mergeCell ref="F510:G510"/>
    <mergeCell ref="H510:I510"/>
    <mergeCell ref="F501:G501"/>
    <mergeCell ref="H501:I501"/>
    <mergeCell ref="F502:G502"/>
    <mergeCell ref="H502:I502"/>
    <mergeCell ref="F503:G503"/>
    <mergeCell ref="H503:I503"/>
    <mergeCell ref="F504:G504"/>
    <mergeCell ref="H504:I504"/>
    <mergeCell ref="F505:G505"/>
    <mergeCell ref="H505:I505"/>
    <mergeCell ref="F496:G496"/>
    <mergeCell ref="H496:I496"/>
    <mergeCell ref="F497:G497"/>
    <mergeCell ref="H497:I497"/>
    <mergeCell ref="F498:G498"/>
    <mergeCell ref="H498:I498"/>
    <mergeCell ref="F499:G499"/>
    <mergeCell ref="H499:I499"/>
    <mergeCell ref="F500:G500"/>
    <mergeCell ref="H500:I500"/>
    <mergeCell ref="F491:G491"/>
    <mergeCell ref="H491:I491"/>
    <mergeCell ref="F492:G492"/>
    <mergeCell ref="H492:I492"/>
    <mergeCell ref="F493:G493"/>
    <mergeCell ref="H493:I493"/>
    <mergeCell ref="F494:G494"/>
    <mergeCell ref="H494:I494"/>
    <mergeCell ref="F495:G495"/>
    <mergeCell ref="H495:I495"/>
    <mergeCell ref="F486:G486"/>
    <mergeCell ref="H486:I486"/>
    <mergeCell ref="F487:G487"/>
    <mergeCell ref="H487:I487"/>
    <mergeCell ref="F488:G488"/>
    <mergeCell ref="H488:I488"/>
    <mergeCell ref="F489:G489"/>
    <mergeCell ref="H489:I489"/>
    <mergeCell ref="F490:G490"/>
    <mergeCell ref="H490:I490"/>
    <mergeCell ref="F481:G481"/>
    <mergeCell ref="H481:I481"/>
    <mergeCell ref="F482:G482"/>
    <mergeCell ref="H482:I482"/>
    <mergeCell ref="F483:G483"/>
    <mergeCell ref="H483:I483"/>
    <mergeCell ref="F484:G484"/>
    <mergeCell ref="H484:I484"/>
    <mergeCell ref="F485:G485"/>
    <mergeCell ref="H485:I485"/>
    <mergeCell ref="F476:G476"/>
    <mergeCell ref="H476:I476"/>
    <mergeCell ref="F477:G477"/>
    <mergeCell ref="H477:I477"/>
    <mergeCell ref="F478:G478"/>
    <mergeCell ref="H478:I478"/>
    <mergeCell ref="F479:G479"/>
    <mergeCell ref="H479:I479"/>
    <mergeCell ref="F480:G480"/>
    <mergeCell ref="H480:I480"/>
    <mergeCell ref="F471:G471"/>
    <mergeCell ref="H471:I471"/>
    <mergeCell ref="F472:G472"/>
    <mergeCell ref="H472:I472"/>
    <mergeCell ref="F473:G473"/>
    <mergeCell ref="H473:I473"/>
    <mergeCell ref="F474:G474"/>
    <mergeCell ref="H474:I474"/>
    <mergeCell ref="F475:G475"/>
    <mergeCell ref="H475:I475"/>
    <mergeCell ref="F466:G466"/>
    <mergeCell ref="H466:I466"/>
    <mergeCell ref="F467:G467"/>
    <mergeCell ref="H467:I467"/>
    <mergeCell ref="F468:G468"/>
    <mergeCell ref="H468:I468"/>
    <mergeCell ref="F469:G469"/>
    <mergeCell ref="H469:I469"/>
    <mergeCell ref="F470:G470"/>
    <mergeCell ref="H470:I470"/>
    <mergeCell ref="F461:G461"/>
    <mergeCell ref="H461:I461"/>
    <mergeCell ref="F462:G462"/>
    <mergeCell ref="H462:I462"/>
    <mergeCell ref="F463:G463"/>
    <mergeCell ref="H463:I463"/>
    <mergeCell ref="F464:G464"/>
    <mergeCell ref="H464:I464"/>
    <mergeCell ref="F465:G465"/>
    <mergeCell ref="H465:I465"/>
    <mergeCell ref="F456:G456"/>
    <mergeCell ref="H456:I456"/>
    <mergeCell ref="F457:G457"/>
    <mergeCell ref="H457:I457"/>
    <mergeCell ref="F458:G458"/>
    <mergeCell ref="H458:I458"/>
    <mergeCell ref="F459:G459"/>
    <mergeCell ref="H459:I459"/>
    <mergeCell ref="F460:G460"/>
    <mergeCell ref="H460:I460"/>
    <mergeCell ref="F451:G451"/>
    <mergeCell ref="H451:I451"/>
    <mergeCell ref="F452:G452"/>
    <mergeCell ref="H452:I452"/>
    <mergeCell ref="F453:G453"/>
    <mergeCell ref="H453:I453"/>
    <mergeCell ref="F454:G454"/>
    <mergeCell ref="H454:I454"/>
    <mergeCell ref="F455:G455"/>
    <mergeCell ref="H455:I455"/>
    <mergeCell ref="F446:G446"/>
    <mergeCell ref="H446:I446"/>
    <mergeCell ref="F447:G447"/>
    <mergeCell ref="H447:I447"/>
    <mergeCell ref="F448:G448"/>
    <mergeCell ref="H448:I448"/>
    <mergeCell ref="F449:G449"/>
    <mergeCell ref="H449:I449"/>
    <mergeCell ref="F450:G450"/>
    <mergeCell ref="H450:I450"/>
    <mergeCell ref="F441:G441"/>
    <mergeCell ref="H441:I441"/>
    <mergeCell ref="F442:G442"/>
    <mergeCell ref="H442:I442"/>
    <mergeCell ref="F443:G443"/>
    <mergeCell ref="H443:I443"/>
    <mergeCell ref="F444:G444"/>
    <mergeCell ref="H444:I444"/>
    <mergeCell ref="F445:G445"/>
    <mergeCell ref="H445:I445"/>
    <mergeCell ref="F436:G436"/>
    <mergeCell ref="H436:I436"/>
    <mergeCell ref="F437:G437"/>
    <mergeCell ref="H437:I437"/>
    <mergeCell ref="F438:G438"/>
    <mergeCell ref="H438:I438"/>
    <mergeCell ref="F439:G439"/>
    <mergeCell ref="H439:I439"/>
    <mergeCell ref="F440:G440"/>
    <mergeCell ref="H440:I440"/>
    <mergeCell ref="F431:G431"/>
    <mergeCell ref="H431:I431"/>
    <mergeCell ref="F432:G432"/>
    <mergeCell ref="H432:I432"/>
    <mergeCell ref="F433:G433"/>
    <mergeCell ref="H433:I433"/>
    <mergeCell ref="F434:G434"/>
    <mergeCell ref="H434:I434"/>
    <mergeCell ref="F435:G435"/>
    <mergeCell ref="H435:I435"/>
    <mergeCell ref="F426:G426"/>
    <mergeCell ref="H426:I426"/>
    <mergeCell ref="F427:G427"/>
    <mergeCell ref="H427:I427"/>
    <mergeCell ref="F428:G428"/>
    <mergeCell ref="H428:I428"/>
    <mergeCell ref="F429:G429"/>
    <mergeCell ref="H429:I429"/>
    <mergeCell ref="F430:G430"/>
    <mergeCell ref="H430:I430"/>
    <mergeCell ref="F421:G421"/>
    <mergeCell ref="H421:I421"/>
    <mergeCell ref="F422:G422"/>
    <mergeCell ref="H422:I422"/>
    <mergeCell ref="F423:G423"/>
    <mergeCell ref="H423:I423"/>
    <mergeCell ref="F424:G424"/>
    <mergeCell ref="H424:I424"/>
    <mergeCell ref="F425:G425"/>
    <mergeCell ref="H425:I425"/>
    <mergeCell ref="F416:G416"/>
    <mergeCell ref="H416:I416"/>
    <mergeCell ref="F417:G417"/>
    <mergeCell ref="H417:I417"/>
    <mergeCell ref="F418:G418"/>
    <mergeCell ref="H418:I418"/>
    <mergeCell ref="F419:G419"/>
    <mergeCell ref="H419:I419"/>
    <mergeCell ref="F420:G420"/>
    <mergeCell ref="H420:I420"/>
    <mergeCell ref="F411:G411"/>
    <mergeCell ref="H411:I411"/>
    <mergeCell ref="F412:G412"/>
    <mergeCell ref="H412:I412"/>
    <mergeCell ref="F413:G413"/>
    <mergeCell ref="H413:I413"/>
    <mergeCell ref="F414:G414"/>
    <mergeCell ref="H414:I414"/>
    <mergeCell ref="F415:G415"/>
    <mergeCell ref="H415:I415"/>
    <mergeCell ref="F406:G406"/>
    <mergeCell ref="H406:I406"/>
    <mergeCell ref="F407:G407"/>
    <mergeCell ref="H407:I407"/>
    <mergeCell ref="F408:G408"/>
    <mergeCell ref="H408:I408"/>
    <mergeCell ref="F409:G409"/>
    <mergeCell ref="H409:I409"/>
    <mergeCell ref="F410:G410"/>
    <mergeCell ref="H410:I410"/>
    <mergeCell ref="F401:G401"/>
    <mergeCell ref="H401:I401"/>
    <mergeCell ref="F402:G402"/>
    <mergeCell ref="H402:I402"/>
    <mergeCell ref="F403:G403"/>
    <mergeCell ref="H403:I403"/>
    <mergeCell ref="F404:G404"/>
    <mergeCell ref="H404:I404"/>
    <mergeCell ref="F405:G405"/>
    <mergeCell ref="H405:I405"/>
    <mergeCell ref="F396:G396"/>
    <mergeCell ref="H396:I396"/>
    <mergeCell ref="F397:G397"/>
    <mergeCell ref="H397:I397"/>
    <mergeCell ref="F398:G398"/>
    <mergeCell ref="H398:I398"/>
    <mergeCell ref="F399:G399"/>
    <mergeCell ref="H399:I399"/>
    <mergeCell ref="F400:G400"/>
    <mergeCell ref="H400:I400"/>
    <mergeCell ref="F391:G391"/>
    <mergeCell ref="H391:I391"/>
    <mergeCell ref="F392:G392"/>
    <mergeCell ref="H392:I392"/>
    <mergeCell ref="F393:G393"/>
    <mergeCell ref="H393:I393"/>
    <mergeCell ref="F394:G394"/>
    <mergeCell ref="H394:I394"/>
    <mergeCell ref="F395:G395"/>
    <mergeCell ref="H395:I395"/>
    <mergeCell ref="F386:G386"/>
    <mergeCell ref="H386:I386"/>
    <mergeCell ref="F387:G387"/>
    <mergeCell ref="H387:I387"/>
    <mergeCell ref="F388:G388"/>
    <mergeCell ref="H388:I388"/>
    <mergeCell ref="F389:G389"/>
    <mergeCell ref="H389:I389"/>
    <mergeCell ref="F390:G390"/>
    <mergeCell ref="H390:I390"/>
    <mergeCell ref="F381:G381"/>
    <mergeCell ref="H381:I381"/>
    <mergeCell ref="F382:G382"/>
    <mergeCell ref="H382:I382"/>
    <mergeCell ref="F383:G383"/>
    <mergeCell ref="H383:I383"/>
    <mergeCell ref="F384:G384"/>
    <mergeCell ref="H384:I384"/>
    <mergeCell ref="F385:G385"/>
    <mergeCell ref="H385:I385"/>
    <mergeCell ref="F376:G376"/>
    <mergeCell ref="H376:I376"/>
    <mergeCell ref="F377:G377"/>
    <mergeCell ref="H377:I377"/>
    <mergeCell ref="F378:G378"/>
    <mergeCell ref="H378:I378"/>
    <mergeCell ref="F379:G379"/>
    <mergeCell ref="H379:I379"/>
    <mergeCell ref="F380:G380"/>
    <mergeCell ref="H380:I380"/>
    <mergeCell ref="F371:G371"/>
    <mergeCell ref="H371:I371"/>
    <mergeCell ref="F372:G372"/>
    <mergeCell ref="H372:I372"/>
    <mergeCell ref="F373:G373"/>
    <mergeCell ref="H373:I373"/>
    <mergeCell ref="F374:G374"/>
    <mergeCell ref="H374:I374"/>
    <mergeCell ref="F375:G375"/>
    <mergeCell ref="H375:I375"/>
    <mergeCell ref="F366:G366"/>
    <mergeCell ref="H366:I366"/>
    <mergeCell ref="F367:G367"/>
    <mergeCell ref="H367:I367"/>
    <mergeCell ref="F368:G368"/>
    <mergeCell ref="H368:I368"/>
    <mergeCell ref="F369:G369"/>
    <mergeCell ref="H369:I369"/>
    <mergeCell ref="F370:G370"/>
    <mergeCell ref="H370:I370"/>
    <mergeCell ref="F361:G361"/>
    <mergeCell ref="H361:I361"/>
    <mergeCell ref="F362:G362"/>
    <mergeCell ref="H362:I362"/>
    <mergeCell ref="F363:G363"/>
    <mergeCell ref="H363:I363"/>
    <mergeCell ref="F364:G364"/>
    <mergeCell ref="H364:I364"/>
    <mergeCell ref="F365:G365"/>
    <mergeCell ref="H365:I365"/>
    <mergeCell ref="F356:G356"/>
    <mergeCell ref="H356:I356"/>
    <mergeCell ref="F357:G357"/>
    <mergeCell ref="H357:I357"/>
    <mergeCell ref="F358:G358"/>
    <mergeCell ref="H358:I358"/>
    <mergeCell ref="F359:G359"/>
    <mergeCell ref="H359:I359"/>
    <mergeCell ref="F360:G360"/>
    <mergeCell ref="H360:I360"/>
    <mergeCell ref="F351:G351"/>
    <mergeCell ref="H351:I351"/>
    <mergeCell ref="F352:G352"/>
    <mergeCell ref="H352:I352"/>
    <mergeCell ref="F353:G353"/>
    <mergeCell ref="H353:I353"/>
    <mergeCell ref="F354:G354"/>
    <mergeCell ref="H354:I354"/>
    <mergeCell ref="F355:G355"/>
    <mergeCell ref="H355:I355"/>
    <mergeCell ref="F346:G346"/>
    <mergeCell ref="H346:I346"/>
    <mergeCell ref="F347:G347"/>
    <mergeCell ref="H347:I347"/>
    <mergeCell ref="F348:G348"/>
    <mergeCell ref="H348:I348"/>
    <mergeCell ref="F349:G349"/>
    <mergeCell ref="H349:I349"/>
    <mergeCell ref="F350:G350"/>
    <mergeCell ref="H350:I350"/>
    <mergeCell ref="F342:G342"/>
    <mergeCell ref="H342:I342"/>
    <mergeCell ref="F343:G343"/>
    <mergeCell ref="H343:I343"/>
    <mergeCell ref="F344:G344"/>
    <mergeCell ref="H344:I344"/>
    <mergeCell ref="F345:G345"/>
    <mergeCell ref="H345:I345"/>
    <mergeCell ref="F336:G336"/>
    <mergeCell ref="H336:I336"/>
    <mergeCell ref="F337:G337"/>
    <mergeCell ref="H337:I337"/>
    <mergeCell ref="F338:G338"/>
    <mergeCell ref="H338:I338"/>
    <mergeCell ref="F339:G339"/>
    <mergeCell ref="H339:I339"/>
    <mergeCell ref="F340:G340"/>
    <mergeCell ref="H340:I340"/>
    <mergeCell ref="F333:G333"/>
    <mergeCell ref="H333:I333"/>
    <mergeCell ref="F334:G334"/>
    <mergeCell ref="H334:I334"/>
    <mergeCell ref="F335:G335"/>
    <mergeCell ref="H335:I335"/>
    <mergeCell ref="F326:G326"/>
    <mergeCell ref="H326:I326"/>
    <mergeCell ref="F327:G327"/>
    <mergeCell ref="H327:I327"/>
    <mergeCell ref="F328:G328"/>
    <mergeCell ref="H328:I328"/>
    <mergeCell ref="F329:G329"/>
    <mergeCell ref="H329:I329"/>
    <mergeCell ref="F330:G330"/>
    <mergeCell ref="H330:I330"/>
    <mergeCell ref="F341:G341"/>
    <mergeCell ref="H341:I341"/>
    <mergeCell ref="F324:G324"/>
    <mergeCell ref="H324:I324"/>
    <mergeCell ref="F325:G325"/>
    <mergeCell ref="H325:I325"/>
    <mergeCell ref="F316:G316"/>
    <mergeCell ref="H316:I316"/>
    <mergeCell ref="F317:G317"/>
    <mergeCell ref="H317:I317"/>
    <mergeCell ref="F318:G318"/>
    <mergeCell ref="H318:I318"/>
    <mergeCell ref="F319:G319"/>
    <mergeCell ref="H319:I319"/>
    <mergeCell ref="F320:G320"/>
    <mergeCell ref="H320:I320"/>
    <mergeCell ref="F331:G331"/>
    <mergeCell ref="H331:I331"/>
    <mergeCell ref="F332:G332"/>
    <mergeCell ref="H332:I332"/>
    <mergeCell ref="F315:G315"/>
    <mergeCell ref="H315:I315"/>
    <mergeCell ref="F306:G306"/>
    <mergeCell ref="H306:I306"/>
    <mergeCell ref="F307:G307"/>
    <mergeCell ref="H307:I307"/>
    <mergeCell ref="F308:G308"/>
    <mergeCell ref="H308:I308"/>
    <mergeCell ref="F309:G309"/>
    <mergeCell ref="H309:I309"/>
    <mergeCell ref="F310:G310"/>
    <mergeCell ref="H310:I310"/>
    <mergeCell ref="F321:G321"/>
    <mergeCell ref="H321:I321"/>
    <mergeCell ref="F322:G322"/>
    <mergeCell ref="H322:I322"/>
    <mergeCell ref="F323:G323"/>
    <mergeCell ref="H323:I323"/>
    <mergeCell ref="E10:N10"/>
    <mergeCell ref="E26:N26"/>
    <mergeCell ref="E283:N283"/>
    <mergeCell ref="F11:N11"/>
    <mergeCell ref="F12:N12"/>
    <mergeCell ref="F13:N13"/>
    <mergeCell ref="E282:N282"/>
    <mergeCell ref="F285:G285"/>
    <mergeCell ref="F300:G300"/>
    <mergeCell ref="J36:N36"/>
    <mergeCell ref="J37:N37"/>
    <mergeCell ref="H298:I298"/>
    <mergeCell ref="H299:I299"/>
    <mergeCell ref="H296:I296"/>
    <mergeCell ref="H297:I297"/>
    <mergeCell ref="F295:G295"/>
    <mergeCell ref="H290:I290"/>
    <mergeCell ref="F286:G286"/>
    <mergeCell ref="H286:I286"/>
    <mergeCell ref="H291:I291"/>
    <mergeCell ref="F289:G289"/>
    <mergeCell ref="F290:G290"/>
    <mergeCell ref="F291:G291"/>
    <mergeCell ref="H288:I288"/>
    <mergeCell ref="H292:I292"/>
    <mergeCell ref="F287:G287"/>
    <mergeCell ref="F288:G288"/>
    <mergeCell ref="F292:G292"/>
    <mergeCell ref="F284:G284"/>
    <mergeCell ref="H289:I289"/>
    <mergeCell ref="E281:N281"/>
    <mergeCell ref="H284:I284"/>
    <mergeCell ref="H536:I536"/>
    <mergeCell ref="F304:G304"/>
    <mergeCell ref="F305:G305"/>
    <mergeCell ref="F536:G536"/>
    <mergeCell ref="F541:G541"/>
    <mergeCell ref="F542:G542"/>
    <mergeCell ref="H301:I301"/>
    <mergeCell ref="H302:I302"/>
    <mergeCell ref="H293:I293"/>
    <mergeCell ref="H294:I294"/>
    <mergeCell ref="F293:G293"/>
    <mergeCell ref="F294:G294"/>
    <mergeCell ref="H295:I295"/>
    <mergeCell ref="H303:I303"/>
    <mergeCell ref="F301:G301"/>
    <mergeCell ref="F302:G302"/>
    <mergeCell ref="F303:G303"/>
    <mergeCell ref="H304:I304"/>
    <mergeCell ref="H305:I305"/>
    <mergeCell ref="H300:I300"/>
    <mergeCell ref="F298:G298"/>
    <mergeCell ref="F299:G299"/>
    <mergeCell ref="F296:G296"/>
    <mergeCell ref="F297:G297"/>
    <mergeCell ref="F311:G311"/>
    <mergeCell ref="H311:I311"/>
    <mergeCell ref="F312:G312"/>
    <mergeCell ref="H312:I312"/>
    <mergeCell ref="F313:G313"/>
    <mergeCell ref="H313:I313"/>
    <mergeCell ref="F314:G314"/>
    <mergeCell ref="H314:I314"/>
    <mergeCell ref="F558:G558"/>
    <mergeCell ref="F559:G559"/>
    <mergeCell ref="F790:G790"/>
    <mergeCell ref="E538:N538"/>
    <mergeCell ref="F540:G540"/>
    <mergeCell ref="F553:G553"/>
    <mergeCell ref="F554:G554"/>
    <mergeCell ref="F555:G555"/>
    <mergeCell ref="F556:G556"/>
    <mergeCell ref="F557:G557"/>
    <mergeCell ref="F552:G552"/>
    <mergeCell ref="F551:G551"/>
    <mergeCell ref="F543:G543"/>
    <mergeCell ref="F544:G544"/>
    <mergeCell ref="F545:G545"/>
    <mergeCell ref="F546:G546"/>
    <mergeCell ref="F547:G547"/>
    <mergeCell ref="F548:G548"/>
    <mergeCell ref="F549:G549"/>
    <mergeCell ref="F550:G550"/>
    <mergeCell ref="F560:G560"/>
    <mergeCell ref="F561:G561"/>
    <mergeCell ref="F562:G562"/>
    <mergeCell ref="F563:G563"/>
    <mergeCell ref="F573:G573"/>
    <mergeCell ref="F574:G574"/>
    <mergeCell ref="F575:G575"/>
    <mergeCell ref="F576:G576"/>
    <mergeCell ref="F577:G577"/>
    <mergeCell ref="F578:G578"/>
    <mergeCell ref="F579:G579"/>
    <mergeCell ref="F580:G580"/>
    <mergeCell ref="M2:N2"/>
    <mergeCell ref="E3:F3"/>
    <mergeCell ref="G3:H3"/>
    <mergeCell ref="I3:J3"/>
    <mergeCell ref="K3:L3"/>
    <mergeCell ref="K2:L2"/>
    <mergeCell ref="K4:L4"/>
    <mergeCell ref="D8:N8"/>
    <mergeCell ref="M3:N3"/>
    <mergeCell ref="I2:J2"/>
    <mergeCell ref="I4:J4"/>
    <mergeCell ref="B2:D4"/>
    <mergeCell ref="E2:F2"/>
    <mergeCell ref="G2:H2"/>
    <mergeCell ref="E4:F4"/>
    <mergeCell ref="G4:H4"/>
    <mergeCell ref="M4:N4"/>
    <mergeCell ref="C6:N6"/>
    <mergeCell ref="H287:I287"/>
    <mergeCell ref="J48:N48"/>
    <mergeCell ref="J279:N279"/>
    <mergeCell ref="G279:I279"/>
    <mergeCell ref="G41:I41"/>
    <mergeCell ref="H285:I285"/>
    <mergeCell ref="J40:N40"/>
    <mergeCell ref="G46:I46"/>
    <mergeCell ref="G47:I47"/>
    <mergeCell ref="G48:I48"/>
    <mergeCell ref="G43:I43"/>
    <mergeCell ref="G44:I44"/>
    <mergeCell ref="G45:I45"/>
    <mergeCell ref="J41:N41"/>
    <mergeCell ref="J42:N42"/>
    <mergeCell ref="J43:N43"/>
    <mergeCell ref="J44:N44"/>
    <mergeCell ref="J45:N45"/>
    <mergeCell ref="J46:N46"/>
    <mergeCell ref="G72:I72"/>
    <mergeCell ref="G73:I73"/>
    <mergeCell ref="G74:I74"/>
    <mergeCell ref="G75:I75"/>
    <mergeCell ref="G76:I76"/>
    <mergeCell ref="G77:I77"/>
    <mergeCell ref="G87:I87"/>
    <mergeCell ref="G88:I88"/>
    <mergeCell ref="G89:I89"/>
    <mergeCell ref="G90:I90"/>
    <mergeCell ref="G91:I91"/>
    <mergeCell ref="G92:I92"/>
    <mergeCell ref="G93:I93"/>
    <mergeCell ref="G38:I38"/>
    <mergeCell ref="G39:I39"/>
    <mergeCell ref="G40:I40"/>
    <mergeCell ref="J47:N47"/>
    <mergeCell ref="J27:N27"/>
    <mergeCell ref="J31:N31"/>
    <mergeCell ref="J32:N32"/>
    <mergeCell ref="J33:N33"/>
    <mergeCell ref="J34:N34"/>
    <mergeCell ref="J38:N38"/>
    <mergeCell ref="J35:N35"/>
    <mergeCell ref="G42:I42"/>
    <mergeCell ref="G32:I32"/>
    <mergeCell ref="G33:I33"/>
    <mergeCell ref="G30:I30"/>
    <mergeCell ref="G31:I31"/>
    <mergeCell ref="G29:I29"/>
    <mergeCell ref="J29:N29"/>
    <mergeCell ref="J30:N30"/>
    <mergeCell ref="J39:N39"/>
    <mergeCell ref="F19:N19"/>
    <mergeCell ref="F20:N20"/>
    <mergeCell ref="F18:N18"/>
    <mergeCell ref="F21:N21"/>
    <mergeCell ref="E25:N25"/>
    <mergeCell ref="F23:N23"/>
    <mergeCell ref="G27:I27"/>
    <mergeCell ref="G28:I28"/>
    <mergeCell ref="E15:N15"/>
    <mergeCell ref="F22:N22"/>
    <mergeCell ref="F16:N16"/>
    <mergeCell ref="F17:N17"/>
    <mergeCell ref="J28:N28"/>
    <mergeCell ref="G34:I34"/>
    <mergeCell ref="G35:I35"/>
    <mergeCell ref="G36:I36"/>
    <mergeCell ref="G37:I37"/>
  </mergeCells>
  <phoneticPr fontId="6" type="noConversion"/>
  <conditionalFormatting sqref="E541:N790">
    <cfRule type="expression" dxfId="533" priority="1" stopIfTrue="1">
      <formula>$X541</formula>
    </cfRule>
  </conditionalFormatting>
  <conditionalFormatting sqref="F287:N536">
    <cfRule type="expression" dxfId="532" priority="2" stopIfTrue="1">
      <formula>$X287</formula>
    </cfRule>
  </conditionalFormatting>
  <conditionalFormatting sqref="H285:H286">
    <cfRule type="expression" dxfId="531" priority="3" stopIfTrue="1">
      <formula>#REF!=TRUE</formula>
    </cfRule>
  </conditionalFormatting>
  <dataValidations count="3">
    <dataValidation type="list" allowBlank="1" showInputMessage="1" showErrorMessage="1" sqref="E30:E279" xr:uid="{00000000-0002-0000-0500-000000000000}">
      <formula1>EUconst_MSlist</formula1>
    </dataValidation>
    <dataValidation type="list" allowBlank="1" showInputMessage="1" showErrorMessage="1" sqref="E287:E536" xr:uid="{00000000-0002-0000-0500-000001000000}">
      <formula1>INDIRECT($M$796)</formula1>
    </dataValidation>
    <dataValidation type="list" allowBlank="1" showInputMessage="1" showErrorMessage="1" sqref="H287:I536" xr:uid="{00000000-0002-0000-0500-000002000000}">
      <formula1>INDIRECT($M$798)</formula1>
    </dataValidation>
  </dataValidations>
  <hyperlinks>
    <hyperlink ref="I3:J3" location="JUMP_K_15" display="Data flow activities" xr:uid="{00000000-0004-0000-0500-000001000000}"/>
    <hyperlink ref="K3:L3" location="JUMP_K_16" display="Control activities" xr:uid="{00000000-0004-0000-0500-000002000000}"/>
    <hyperlink ref="G4:H4" location="JUMP_K_17" display="Definitions and abbreviations" xr:uid="{00000000-0004-0000-0500-000003000000}"/>
    <hyperlink ref="I4:J4" location="JUMP_K_18" display="Additional information" xr:uid="{00000000-0004-0000-0500-000004000000}"/>
    <hyperlink ref="K4:L4" location="JUMP_K_19" display="Changes in operation" xr:uid="{00000000-0004-0000-0500-000005000000}"/>
    <hyperlink ref="G2:H2" location="JUMP_a_Content" display="Table of contents" xr:uid="{00000000-0004-0000-0500-000006000000}"/>
    <hyperlink ref="F18" r:id="rId1" display="https://ec.europa.eu/clima/ets/oha.do?languageCode=en" xr:uid="{00000000-0004-0000-0500-000007000000}"/>
  </hyperlinks>
  <pageMargins left="0.78740157480314965" right="0.78740157480314965" top="0.78740157480314965" bottom="0.78740157480314965" header="0.39370078740157483" footer="0.39370078740157483"/>
  <pageSetup paperSize="9" scale="59" fitToHeight="10" orientation="portrait" copies="2" r:id="rId2"/>
  <headerFooter alignWithMargins="0">
    <oddHeader>&amp;L&amp;F, &amp;A&amp;R&amp;D, &amp;T</oddHeader>
    <oddFooter>&amp;C&amp;P / &amp;N</oddFooter>
  </headerFooter>
  <colBreaks count="1" manualBreakCount="1">
    <brk id="13"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8">
    <tabColor theme="7" tint="-0.249977111117893"/>
    <pageSetUpPr fitToPage="1"/>
  </sheetPr>
  <dimension ref="A1:U50"/>
  <sheetViews>
    <sheetView topLeftCell="B1" zoomScaleNormal="100" workbookViewId="0">
      <pane ySplit="4" topLeftCell="A5" activePane="bottomLeft" state="frozen"/>
      <selection activeCell="B2" sqref="B2"/>
      <selection pane="bottomLeft" activeCell="B2" sqref="B2:D4"/>
    </sheetView>
  </sheetViews>
  <sheetFormatPr defaultColWidth="9.1796875" defaultRowHeight="12.5" x14ac:dyDescent="0.25"/>
  <cols>
    <col min="1" max="1" width="2.7265625" style="115" hidden="1" customWidth="1"/>
    <col min="2" max="2" width="2.7265625" style="116" customWidth="1"/>
    <col min="3" max="3" width="4.7265625" style="76" customWidth="1"/>
    <col min="4" max="4" width="4.7265625" style="473" customWidth="1"/>
    <col min="5" max="5" width="12.7265625" style="76" customWidth="1"/>
    <col min="6" max="14" width="12.7265625" style="116" customWidth="1"/>
    <col min="15" max="15" width="7.7265625" style="116" customWidth="1"/>
    <col min="16" max="16" width="12.1796875" style="532" customWidth="1"/>
    <col min="17" max="18" width="12.7265625" style="116" hidden="1" customWidth="1"/>
    <col min="19" max="21" width="11.453125" style="115" hidden="1" customWidth="1"/>
    <col min="22" max="16384" width="9.1796875" style="115"/>
  </cols>
  <sheetData>
    <row r="1" spans="1:21" ht="13" hidden="1" thickBot="1" x14ac:dyDescent="0.3">
      <c r="A1" s="518" t="s">
        <v>0</v>
      </c>
      <c r="B1" s="519"/>
      <c r="C1" s="520"/>
      <c r="D1" s="521"/>
      <c r="E1" s="520"/>
      <c r="F1" s="519"/>
      <c r="G1" s="519"/>
      <c r="H1" s="519"/>
      <c r="I1" s="519"/>
      <c r="J1" s="519"/>
      <c r="K1" s="519"/>
      <c r="L1" s="519"/>
      <c r="M1" s="519"/>
      <c r="N1" s="519"/>
      <c r="O1" s="522"/>
      <c r="P1" s="523"/>
      <c r="Q1" s="286" t="s">
        <v>0</v>
      </c>
      <c r="R1" s="286" t="s">
        <v>0</v>
      </c>
      <c r="S1" s="286" t="s">
        <v>0</v>
      </c>
      <c r="T1" s="286" t="s">
        <v>0</v>
      </c>
      <c r="U1" s="286" t="s">
        <v>0</v>
      </c>
    </row>
    <row r="2" spans="1:21" ht="13.5" thickBot="1" x14ac:dyDescent="0.35">
      <c r="A2" s="524"/>
      <c r="B2" s="1003" t="str">
        <f>Translations!$B$452</f>
        <v>E. Data Gaps</v>
      </c>
      <c r="C2" s="1213"/>
      <c r="D2" s="1214"/>
      <c r="E2" s="1019" t="str">
        <f>Translations!$B$13</f>
        <v>Navigation area:</v>
      </c>
      <c r="F2" s="1020"/>
      <c r="G2" s="1021" t="str">
        <f>Translations!$B$14</f>
        <v>Table of contents</v>
      </c>
      <c r="H2" s="1022"/>
      <c r="I2" s="1021" t="str">
        <f ca="1">HYPERLINK("#"&amp;INDEX(a_Contents!$R$4:$R$49,MATCH(INDEX(a_Contents!$T$4:$T$49,MATCH($T$2,a_Contents!$S$4:$S$49,0))-1,a_Contents!$T$4:$T$49,0)),EUconst_PreviousSheet)</f>
        <v>Previous sheet</v>
      </c>
      <c r="J2" s="1022"/>
      <c r="K2" s="1021" t="str">
        <f ca="1">HYPERLINK("#"&amp;INDEX(a_Contents!$R$4:$R$49,MATCH(INDEX(a_Contents!$T$4:$T$49,MATCH($T$2,a_Contents!$S$4:$S$49,0))+1,a_Contents!$T$4:$T$49,0)),EUconst_NextSheet)</f>
        <v>Next sheet</v>
      </c>
      <c r="L2" s="1022"/>
      <c r="M2" s="1014" t="str">
        <f ca="1">HYPERLINK("#"&amp;a_Contents!$R$46,INDIRECT(a_Contents!$R$46))</f>
        <v>I Accounting sheet</v>
      </c>
      <c r="N2" s="1015"/>
      <c r="O2" s="525"/>
      <c r="P2" s="523"/>
      <c r="Q2" s="61" t="s">
        <v>1</v>
      </c>
      <c r="R2" s="66" t="str">
        <f>ADDRESS(ROW($B$6),COLUMN($B$6)) &amp; ":" &amp; ADDRESS(MATCH("PRINT",$P:$P,0),COLUMN($P$6))</f>
        <v>$B$6:$P$45</v>
      </c>
      <c r="S2" s="61" t="s">
        <v>2</v>
      </c>
      <c r="T2" s="67" t="str">
        <f ca="1">IF(ISERROR(CELL("filename",U2)),"E_DataGaps",MID(CELL("filename",U2),FIND("]",CELL("filename",U2))+1,1024))</f>
        <v>E_DataGaps</v>
      </c>
      <c r="U2" s="138"/>
    </row>
    <row r="3" spans="1:21" x14ac:dyDescent="0.25">
      <c r="A3" s="524"/>
      <c r="B3" s="1215"/>
      <c r="C3" s="1216"/>
      <c r="D3" s="1217"/>
      <c r="E3" s="1013"/>
      <c r="F3" s="1013"/>
      <c r="G3" s="1013"/>
      <c r="H3" s="1013"/>
      <c r="I3" s="1013"/>
      <c r="J3" s="1013"/>
      <c r="K3" s="1013"/>
      <c r="L3" s="1013"/>
      <c r="M3" s="1013"/>
      <c r="N3" s="1013"/>
      <c r="O3" s="114"/>
      <c r="P3" s="523"/>
      <c r="Q3" s="286"/>
      <c r="R3" s="286"/>
      <c r="S3" s="138"/>
      <c r="T3" s="138"/>
      <c r="U3" s="138"/>
    </row>
    <row r="4" spans="1:21" ht="13" thickBot="1" x14ac:dyDescent="0.3">
      <c r="A4" s="524"/>
      <c r="B4" s="1218"/>
      <c r="C4" s="1219"/>
      <c r="D4" s="1220"/>
      <c r="E4" s="1013"/>
      <c r="F4" s="1013"/>
      <c r="G4" s="1314"/>
      <c r="H4" s="1087"/>
      <c r="I4" s="1013"/>
      <c r="J4" s="1013"/>
      <c r="K4" s="1013"/>
      <c r="L4" s="1013"/>
      <c r="M4" s="1013"/>
      <c r="N4" s="1013"/>
      <c r="O4" s="114"/>
      <c r="P4" s="523"/>
      <c r="Q4" s="286"/>
      <c r="R4" s="286"/>
      <c r="S4" s="138"/>
      <c r="T4" s="138"/>
      <c r="U4" s="138"/>
    </row>
    <row r="5" spans="1:21" ht="12.75" customHeight="1" x14ac:dyDescent="0.25">
      <c r="A5" s="526"/>
      <c r="B5" s="527"/>
      <c r="C5" s="528"/>
      <c r="D5" s="215"/>
      <c r="E5" s="68"/>
      <c r="F5" s="215"/>
      <c r="G5" s="215"/>
      <c r="H5" s="215"/>
      <c r="I5" s="115"/>
      <c r="J5" s="115"/>
      <c r="K5" s="115"/>
      <c r="L5" s="115"/>
      <c r="M5" s="132"/>
      <c r="N5" s="132"/>
      <c r="O5" s="114"/>
      <c r="P5" s="523"/>
      <c r="Q5" s="286"/>
      <c r="R5" s="286"/>
      <c r="S5" s="138"/>
      <c r="T5" s="138"/>
      <c r="U5" s="138"/>
    </row>
    <row r="6" spans="1:21" s="238" customFormat="1" ht="25.5" customHeight="1" x14ac:dyDescent="0.25">
      <c r="A6" s="307"/>
      <c r="B6" s="529"/>
      <c r="C6" s="1212" t="str">
        <f>Translations!$B$452</f>
        <v>E. Data Gaps</v>
      </c>
      <c r="D6" s="1212"/>
      <c r="E6" s="1212"/>
      <c r="F6" s="1212"/>
      <c r="G6" s="1212"/>
      <c r="H6" s="1212"/>
      <c r="I6" s="1212"/>
      <c r="J6" s="1212"/>
      <c r="K6" s="1212"/>
      <c r="L6" s="115"/>
      <c r="M6" s="115"/>
      <c r="N6" s="115"/>
      <c r="O6" s="160"/>
      <c r="P6" s="523"/>
      <c r="Q6" s="297"/>
      <c r="R6" s="297"/>
      <c r="S6" s="297"/>
      <c r="T6" s="297"/>
      <c r="U6" s="293"/>
    </row>
    <row r="7" spans="1:21" x14ac:dyDescent="0.25">
      <c r="A7" s="526"/>
      <c r="B7" s="527"/>
      <c r="C7" s="68"/>
      <c r="D7" s="115"/>
      <c r="E7" s="68"/>
      <c r="F7" s="115"/>
      <c r="G7" s="115"/>
      <c r="H7" s="115"/>
      <c r="I7" s="115"/>
      <c r="J7" s="115"/>
      <c r="K7" s="115"/>
      <c r="L7" s="115"/>
      <c r="M7" s="115"/>
      <c r="N7" s="115"/>
      <c r="O7" s="142"/>
      <c r="P7" s="530"/>
      <c r="Q7" s="297"/>
      <c r="R7" s="297"/>
      <c r="S7" s="297"/>
      <c r="T7" s="297"/>
      <c r="U7" s="138"/>
    </row>
    <row r="8" spans="1:21" s="68" customFormat="1" ht="18.75" customHeight="1" x14ac:dyDescent="0.25">
      <c r="A8" s="307"/>
      <c r="B8" s="531"/>
      <c r="C8" s="198">
        <v>1</v>
      </c>
      <c r="D8" s="1195" t="str">
        <f>Translations!$B$453</f>
        <v>Data Gaps identified during the reporting year</v>
      </c>
      <c r="E8" s="1195"/>
      <c r="F8" s="1195"/>
      <c r="G8" s="1195"/>
      <c r="H8" s="1195"/>
      <c r="I8" s="1195"/>
      <c r="J8" s="1195"/>
      <c r="K8" s="1195"/>
      <c r="L8" s="1195"/>
      <c r="M8" s="1195"/>
      <c r="N8" s="1195"/>
      <c r="O8" s="160"/>
      <c r="P8" s="532"/>
      <c r="Q8" s="297"/>
      <c r="R8" s="297"/>
      <c r="S8" s="297"/>
      <c r="T8" s="297"/>
      <c r="U8" s="293"/>
    </row>
    <row r="9" spans="1:21" ht="12.75" customHeight="1" x14ac:dyDescent="0.25">
      <c r="A9" s="526"/>
      <c r="B9" s="533"/>
      <c r="D9" s="295"/>
      <c r="E9" s="316"/>
      <c r="G9" s="95"/>
      <c r="H9" s="95"/>
      <c r="I9" s="95"/>
      <c r="J9" s="95"/>
      <c r="L9" s="95"/>
      <c r="M9" s="95"/>
      <c r="N9" s="95"/>
      <c r="O9" s="117"/>
      <c r="Q9" s="297"/>
      <c r="R9" s="297"/>
      <c r="S9" s="297"/>
      <c r="T9" s="297"/>
      <c r="U9" s="293"/>
    </row>
    <row r="10" spans="1:21" s="116" customFormat="1" ht="15" customHeight="1" x14ac:dyDescent="0.25">
      <c r="A10" s="534"/>
      <c r="B10" s="533"/>
      <c r="C10" s="76"/>
      <c r="D10" s="535"/>
      <c r="E10" s="1294" t="str">
        <f>Translations!$B$355</f>
        <v>Abbreviations:</v>
      </c>
      <c r="F10" s="1294"/>
      <c r="G10" s="1294"/>
      <c r="H10" s="1294"/>
      <c r="I10" s="1294"/>
      <c r="J10" s="1294"/>
      <c r="K10" s="1294"/>
      <c r="L10" s="1294"/>
      <c r="M10" s="1294"/>
      <c r="N10" s="1294"/>
      <c r="O10" s="117"/>
      <c r="P10" s="532"/>
      <c r="Q10" s="297"/>
      <c r="R10" s="297"/>
      <c r="S10" s="297"/>
      <c r="T10" s="297"/>
      <c r="U10" s="297"/>
    </row>
    <row r="11" spans="1:21" ht="25.5" customHeight="1" x14ac:dyDescent="0.25">
      <c r="A11" s="526"/>
      <c r="B11" s="527"/>
      <c r="C11" s="68"/>
      <c r="D11" s="115"/>
      <c r="E11" s="485" t="str">
        <f>Translations!$B$454</f>
        <v>Fuel stream name and ID</v>
      </c>
      <c r="F11" s="1288" t="str">
        <f>Translations!$B$455</f>
        <v>Please select the fuel stream from the drop-down list to identify to which fuel the data gap applies.</v>
      </c>
      <c r="G11" s="1288"/>
      <c r="H11" s="1288"/>
      <c r="I11" s="1288"/>
      <c r="J11" s="1288"/>
      <c r="K11" s="1288"/>
      <c r="L11" s="1288"/>
      <c r="M11" s="1288"/>
      <c r="N11" s="1288"/>
      <c r="O11" s="536"/>
      <c r="Q11" s="297"/>
      <c r="R11" s="297"/>
      <c r="S11" s="301"/>
      <c r="T11" s="138"/>
      <c r="U11" s="138"/>
    </row>
    <row r="12" spans="1:21" ht="12.75" customHeight="1" x14ac:dyDescent="0.25">
      <c r="A12" s="526"/>
      <c r="B12" s="527"/>
      <c r="C12" s="68"/>
      <c r="D12" s="115"/>
      <c r="E12" s="485" t="str">
        <f>Translations!$B$456</f>
        <v>from/until</v>
      </c>
      <c r="F12" s="1288" t="str">
        <f>Translations!$B$457</f>
        <v>Please enter here the start and the end date of each data gap.</v>
      </c>
      <c r="G12" s="1288"/>
      <c r="H12" s="1288"/>
      <c r="I12" s="1288"/>
      <c r="J12" s="1288"/>
      <c r="K12" s="1288"/>
      <c r="L12" s="1288"/>
      <c r="M12" s="1288"/>
      <c r="N12" s="1288"/>
      <c r="O12" s="536"/>
      <c r="Q12" s="297"/>
      <c r="R12" s="297"/>
      <c r="S12" s="301"/>
      <c r="T12" s="138"/>
      <c r="U12" s="138"/>
    </row>
    <row r="13" spans="1:21" ht="38.25" customHeight="1" x14ac:dyDescent="0.3">
      <c r="A13" s="526"/>
      <c r="B13" s="527"/>
      <c r="C13" s="68"/>
      <c r="D13" s="115"/>
      <c r="E13" s="1315" t="str">
        <f>Translations!$B$458</f>
        <v>Description, reasons and methods</v>
      </c>
      <c r="F13" s="1295" t="str">
        <f>Translations!$B$459</f>
        <v>Please briefly describe here what kind of data gaps have occurred, provide the reasons for their occurrence and describe how those data gaps have been closed in accordance with Article 66(1). If more space is required you may enter further reasons and descriptions in sheet G_AdditionalInformation providing a clear cross reference to the data gap number in the table below.</v>
      </c>
      <c r="G13" s="1295"/>
      <c r="H13" s="1295"/>
      <c r="I13" s="1295"/>
      <c r="J13" s="1295"/>
      <c r="K13" s="1295"/>
      <c r="L13" s="1295"/>
      <c r="M13" s="1295"/>
      <c r="N13" s="1295"/>
      <c r="O13" s="536"/>
      <c r="Q13" s="297"/>
      <c r="R13" s="297"/>
      <c r="S13" s="537"/>
      <c r="T13" s="138"/>
      <c r="U13" s="138"/>
    </row>
    <row r="14" spans="1:21" ht="25.5" customHeight="1" x14ac:dyDescent="0.3">
      <c r="A14" s="526"/>
      <c r="B14" s="527"/>
      <c r="C14" s="68"/>
      <c r="D14" s="115"/>
      <c r="E14" s="1316"/>
      <c r="F14" s="1286" t="str">
        <f>Translations!$B$460</f>
        <v>Where the estimation method for surrogate data has not yet been included in the monitoring plan, please provide a detailed description of the estimation method including evidence that the methodology used does not lead to an underestimation of emissions for the respective time period.</v>
      </c>
      <c r="G14" s="1286"/>
      <c r="H14" s="1286"/>
      <c r="I14" s="1286"/>
      <c r="J14" s="1286"/>
      <c r="K14" s="1286"/>
      <c r="L14" s="1286"/>
      <c r="M14" s="1286"/>
      <c r="N14" s="1286"/>
      <c r="O14" s="536"/>
      <c r="Q14" s="297"/>
      <c r="R14" s="297"/>
      <c r="S14" s="537"/>
      <c r="T14" s="138"/>
      <c r="U14" s="138"/>
    </row>
    <row r="15" spans="1:21" ht="25.5" customHeight="1" x14ac:dyDescent="0.25">
      <c r="A15" s="526"/>
      <c r="B15" s="527"/>
      <c r="C15" s="68"/>
      <c r="D15" s="115"/>
      <c r="E15" s="483" t="str">
        <f>Translations!$B$461</f>
        <v>Estimated emissions</v>
      </c>
      <c r="F15" s="1295" t="str">
        <f>Translations!$B$462</f>
        <v>Please enter here the emissions calculated based on surrogate data. Please note that the estimated emissions entered here will just be used as memo-items and will not be added to the emissions in other sheets. This means that the emissions entered in the previous sheets must INCLUDE the surrogate data.</v>
      </c>
      <c r="G15" s="1295"/>
      <c r="H15" s="1295"/>
      <c r="I15" s="1295"/>
      <c r="J15" s="1295"/>
      <c r="K15" s="1295"/>
      <c r="L15" s="1295"/>
      <c r="M15" s="1295"/>
      <c r="N15" s="1295"/>
      <c r="O15" s="536"/>
      <c r="Q15" s="297"/>
      <c r="R15" s="297"/>
      <c r="S15" s="301"/>
      <c r="T15" s="138"/>
      <c r="U15" s="138"/>
    </row>
    <row r="16" spans="1:21" ht="50.15" customHeight="1" x14ac:dyDescent="0.25">
      <c r="A16" s="526"/>
      <c r="B16" s="527"/>
      <c r="C16" s="68"/>
      <c r="D16" s="115"/>
      <c r="E16" s="304"/>
      <c r="F16" s="1286" t="str">
        <f>Translations!$B$463</f>
        <v>Example: For one batch of a fuel stream data for EF has been lost. The surrogate EF for this batch has been determined based on conservative estimates. In sheet C_FuelStreams the EF entered will be the weighted average of EFs from all batches including the one batch for which data is missing. Furthermore the estimated emissions entered here under "data gaps" only relates to the batch with missing data. I.e. emissions (data gap) = Fuel amounts (batch size for which data is missing) x EF (which has been calculated based on surrogate data).</v>
      </c>
      <c r="G16" s="1286"/>
      <c r="H16" s="1286"/>
      <c r="I16" s="1286"/>
      <c r="J16" s="1286"/>
      <c r="K16" s="1286"/>
      <c r="L16" s="1286"/>
      <c r="M16" s="1286"/>
      <c r="N16" s="1286"/>
      <c r="O16" s="536"/>
      <c r="Q16" s="297"/>
      <c r="R16" s="297"/>
      <c r="S16" s="301"/>
      <c r="T16" s="138"/>
      <c r="U16" s="138"/>
    </row>
    <row r="17" spans="1:21" ht="5.15" customHeight="1" x14ac:dyDescent="0.25">
      <c r="A17" s="526"/>
      <c r="B17" s="533"/>
      <c r="D17" s="295"/>
      <c r="E17" s="316"/>
      <c r="G17" s="95"/>
      <c r="H17" s="95"/>
      <c r="I17" s="95"/>
      <c r="J17" s="95"/>
      <c r="L17" s="95"/>
      <c r="M17" s="95"/>
      <c r="N17" s="95"/>
      <c r="O17" s="117"/>
      <c r="Q17" s="297"/>
      <c r="R17" s="297"/>
      <c r="S17" s="297"/>
      <c r="T17" s="297"/>
      <c r="U17" s="293"/>
    </row>
    <row r="18" spans="1:21" s="68" customFormat="1" ht="38.9" customHeight="1" x14ac:dyDescent="0.3">
      <c r="A18" s="315"/>
      <c r="B18" s="531"/>
      <c r="C18" s="76"/>
      <c r="D18" s="1317" t="str">
        <f>Translations!$B$454</f>
        <v>Fuel stream name and ID</v>
      </c>
      <c r="E18" s="1317"/>
      <c r="F18" s="1317"/>
      <c r="G18" s="1317"/>
      <c r="H18" s="538" t="str">
        <f>Translations!$B$464</f>
        <v>from</v>
      </c>
      <c r="I18" s="538" t="str">
        <f>Translations!$B$465</f>
        <v>until</v>
      </c>
      <c r="J18" s="1318" t="str">
        <f>Translations!$B$458</f>
        <v>Description, reasons and methods</v>
      </c>
      <c r="K18" s="1318"/>
      <c r="L18" s="1318"/>
      <c r="M18" s="1318"/>
      <c r="N18" s="189" t="str">
        <f>Translations!$B$466</f>
        <v>Estimated emissions (t CO2e)</v>
      </c>
      <c r="O18" s="160"/>
      <c r="P18" s="74"/>
      <c r="Q18" s="312"/>
      <c r="R18" s="312"/>
      <c r="S18" s="287"/>
      <c r="T18" s="336"/>
      <c r="U18" s="540"/>
    </row>
    <row r="19" spans="1:21" s="68" customFormat="1" ht="12.75" customHeight="1" x14ac:dyDescent="0.25">
      <c r="A19" s="315"/>
      <c r="B19" s="531"/>
      <c r="C19" s="76">
        <v>1</v>
      </c>
      <c r="D19" s="1319"/>
      <c r="E19" s="1319"/>
      <c r="F19" s="1319"/>
      <c r="G19" s="1319"/>
      <c r="H19" s="14"/>
      <c r="I19" s="14"/>
      <c r="J19" s="1320"/>
      <c r="K19" s="1320"/>
      <c r="L19" s="1320"/>
      <c r="M19" s="1321"/>
      <c r="N19" s="15"/>
      <c r="O19" s="160"/>
      <c r="P19" s="74"/>
      <c r="Q19" s="312"/>
      <c r="R19" s="312"/>
      <c r="S19" s="287"/>
      <c r="T19" s="336"/>
      <c r="U19" s="540"/>
    </row>
    <row r="20" spans="1:21" s="68" customFormat="1" ht="12.75" customHeight="1" x14ac:dyDescent="0.25">
      <c r="A20" s="315"/>
      <c r="B20" s="531"/>
      <c r="C20" s="76">
        <v>2</v>
      </c>
      <c r="D20" s="1319"/>
      <c r="E20" s="1319"/>
      <c r="F20" s="1319"/>
      <c r="G20" s="1319"/>
      <c r="H20" s="14"/>
      <c r="I20" s="14"/>
      <c r="J20" s="1320"/>
      <c r="K20" s="1320"/>
      <c r="L20" s="1320"/>
      <c r="M20" s="1320"/>
      <c r="N20" s="15"/>
      <c r="O20" s="160"/>
      <c r="P20" s="74"/>
      <c r="Q20" s="312"/>
      <c r="R20" s="312"/>
      <c r="S20" s="287"/>
      <c r="T20" s="336"/>
      <c r="U20" s="540"/>
    </row>
    <row r="21" spans="1:21" s="68" customFormat="1" ht="12.75" customHeight="1" x14ac:dyDescent="0.25">
      <c r="A21" s="315"/>
      <c r="B21" s="531"/>
      <c r="C21" s="76">
        <v>3</v>
      </c>
      <c r="D21" s="1319"/>
      <c r="E21" s="1319"/>
      <c r="F21" s="1319"/>
      <c r="G21" s="1319"/>
      <c r="H21" s="14"/>
      <c r="I21" s="14"/>
      <c r="J21" s="1320"/>
      <c r="K21" s="1320"/>
      <c r="L21" s="1320"/>
      <c r="M21" s="1320"/>
      <c r="N21" s="15"/>
      <c r="O21" s="160"/>
      <c r="P21" s="74"/>
      <c r="Q21" s="312"/>
      <c r="R21" s="312"/>
      <c r="S21" s="287"/>
      <c r="T21" s="336"/>
      <c r="U21" s="540"/>
    </row>
    <row r="22" spans="1:21" s="68" customFormat="1" ht="12.75" customHeight="1" x14ac:dyDescent="0.25">
      <c r="A22" s="315"/>
      <c r="B22" s="531"/>
      <c r="C22" s="76">
        <v>4</v>
      </c>
      <c r="D22" s="1319"/>
      <c r="E22" s="1319"/>
      <c r="F22" s="1319"/>
      <c r="G22" s="1319"/>
      <c r="H22" s="14"/>
      <c r="I22" s="14"/>
      <c r="J22" s="1320"/>
      <c r="K22" s="1320"/>
      <c r="L22" s="1320"/>
      <c r="M22" s="1320"/>
      <c r="N22" s="15"/>
      <c r="O22" s="160"/>
      <c r="P22" s="74"/>
      <c r="Q22" s="312"/>
      <c r="R22" s="312"/>
      <c r="S22" s="287"/>
      <c r="T22" s="336"/>
      <c r="U22" s="540"/>
    </row>
    <row r="23" spans="1:21" s="68" customFormat="1" ht="12.75" customHeight="1" x14ac:dyDescent="0.25">
      <c r="A23" s="315"/>
      <c r="B23" s="531"/>
      <c r="C23" s="76">
        <v>5</v>
      </c>
      <c r="D23" s="1319"/>
      <c r="E23" s="1319"/>
      <c r="F23" s="1319"/>
      <c r="G23" s="1319"/>
      <c r="H23" s="14"/>
      <c r="I23" s="14"/>
      <c r="J23" s="1320"/>
      <c r="K23" s="1320"/>
      <c r="L23" s="1320"/>
      <c r="M23" s="1320"/>
      <c r="N23" s="15"/>
      <c r="O23" s="160"/>
      <c r="P23" s="74"/>
      <c r="Q23" s="312"/>
      <c r="R23" s="312"/>
      <c r="S23" s="287"/>
      <c r="T23" s="336"/>
      <c r="U23" s="540"/>
    </row>
    <row r="24" spans="1:21" s="68" customFormat="1" ht="12.75" customHeight="1" x14ac:dyDescent="0.25">
      <c r="A24" s="315"/>
      <c r="B24" s="531"/>
      <c r="C24" s="76">
        <v>6</v>
      </c>
      <c r="D24" s="1319"/>
      <c r="E24" s="1319"/>
      <c r="F24" s="1319"/>
      <c r="G24" s="1319"/>
      <c r="H24" s="14"/>
      <c r="I24" s="14"/>
      <c r="J24" s="1320"/>
      <c r="K24" s="1320"/>
      <c r="L24" s="1320"/>
      <c r="M24" s="1320"/>
      <c r="N24" s="15"/>
      <c r="O24" s="160"/>
      <c r="P24" s="74"/>
      <c r="Q24" s="312"/>
      <c r="R24" s="312"/>
      <c r="S24" s="287"/>
      <c r="T24" s="336"/>
      <c r="U24" s="540"/>
    </row>
    <row r="25" spans="1:21" s="68" customFormat="1" ht="12.75" customHeight="1" x14ac:dyDescent="0.25">
      <c r="A25" s="315"/>
      <c r="B25" s="531"/>
      <c r="C25" s="76">
        <v>7</v>
      </c>
      <c r="D25" s="1319"/>
      <c r="E25" s="1319"/>
      <c r="F25" s="1319"/>
      <c r="G25" s="1319"/>
      <c r="H25" s="14"/>
      <c r="I25" s="14"/>
      <c r="J25" s="1320"/>
      <c r="K25" s="1320"/>
      <c r="L25" s="1320"/>
      <c r="M25" s="1320"/>
      <c r="N25" s="15"/>
      <c r="O25" s="160"/>
      <c r="P25" s="74"/>
      <c r="Q25" s="312"/>
      <c r="R25" s="312"/>
      <c r="S25" s="287"/>
      <c r="T25" s="336"/>
      <c r="U25" s="540"/>
    </row>
    <row r="26" spans="1:21" s="68" customFormat="1" ht="12.75" customHeight="1" x14ac:dyDescent="0.25">
      <c r="A26" s="315"/>
      <c r="B26" s="531"/>
      <c r="C26" s="76">
        <v>8</v>
      </c>
      <c r="D26" s="1319"/>
      <c r="E26" s="1319"/>
      <c r="F26" s="1319"/>
      <c r="G26" s="1319"/>
      <c r="H26" s="14"/>
      <c r="I26" s="14"/>
      <c r="J26" s="1320"/>
      <c r="K26" s="1320"/>
      <c r="L26" s="1320"/>
      <c r="M26" s="1320"/>
      <c r="N26" s="15"/>
      <c r="O26" s="160"/>
      <c r="P26" s="74"/>
      <c r="Q26" s="312"/>
      <c r="R26" s="312"/>
      <c r="S26" s="287"/>
      <c r="T26" s="336"/>
      <c r="U26" s="540"/>
    </row>
    <row r="27" spans="1:21" s="68" customFormat="1" ht="12.75" customHeight="1" x14ac:dyDescent="0.25">
      <c r="A27" s="315"/>
      <c r="B27" s="531"/>
      <c r="C27" s="76">
        <v>9</v>
      </c>
      <c r="D27" s="1319"/>
      <c r="E27" s="1319"/>
      <c r="F27" s="1319"/>
      <c r="G27" s="1319"/>
      <c r="H27" s="14"/>
      <c r="I27" s="14"/>
      <c r="J27" s="1320"/>
      <c r="K27" s="1320"/>
      <c r="L27" s="1320"/>
      <c r="M27" s="1320"/>
      <c r="N27" s="15"/>
      <c r="O27" s="160"/>
      <c r="P27" s="74"/>
      <c r="Q27" s="312"/>
      <c r="R27" s="312"/>
      <c r="S27" s="287"/>
      <c r="T27" s="336"/>
      <c r="U27" s="540"/>
    </row>
    <row r="28" spans="1:21" s="68" customFormat="1" ht="12.75" customHeight="1" x14ac:dyDescent="0.25">
      <c r="A28" s="315"/>
      <c r="B28" s="531"/>
      <c r="C28" s="76">
        <v>10</v>
      </c>
      <c r="D28" s="1319"/>
      <c r="E28" s="1319"/>
      <c r="F28" s="1319"/>
      <c r="G28" s="1319"/>
      <c r="H28" s="14"/>
      <c r="I28" s="14"/>
      <c r="J28" s="1320"/>
      <c r="K28" s="1320"/>
      <c r="L28" s="1320"/>
      <c r="M28" s="1320"/>
      <c r="N28" s="15"/>
      <c r="O28" s="160"/>
      <c r="P28" s="74"/>
      <c r="Q28" s="312"/>
      <c r="R28" s="312"/>
      <c r="S28" s="287"/>
      <c r="T28" s="336"/>
      <c r="U28" s="540"/>
    </row>
    <row r="29" spans="1:21" s="68" customFormat="1" ht="12.75" customHeight="1" x14ac:dyDescent="0.25">
      <c r="A29" s="315"/>
      <c r="B29" s="531"/>
      <c r="C29" s="76">
        <v>11</v>
      </c>
      <c r="D29" s="1319"/>
      <c r="E29" s="1319"/>
      <c r="F29" s="1319"/>
      <c r="G29" s="1319"/>
      <c r="H29" s="14"/>
      <c r="I29" s="14"/>
      <c r="J29" s="1320"/>
      <c r="K29" s="1320"/>
      <c r="L29" s="1320"/>
      <c r="M29" s="1320"/>
      <c r="N29" s="15"/>
      <c r="O29" s="160"/>
      <c r="P29" s="74"/>
      <c r="Q29" s="312"/>
      <c r="R29" s="312"/>
      <c r="S29" s="287"/>
      <c r="T29" s="336"/>
      <c r="U29" s="540"/>
    </row>
    <row r="30" spans="1:21" s="68" customFormat="1" ht="12.75" customHeight="1" x14ac:dyDescent="0.25">
      <c r="A30" s="315"/>
      <c r="B30" s="531"/>
      <c r="C30" s="76">
        <v>12</v>
      </c>
      <c r="D30" s="1319"/>
      <c r="E30" s="1319"/>
      <c r="F30" s="1319"/>
      <c r="G30" s="1319"/>
      <c r="H30" s="14"/>
      <c r="I30" s="14"/>
      <c r="J30" s="1320"/>
      <c r="K30" s="1320"/>
      <c r="L30" s="1320"/>
      <c r="M30" s="1320"/>
      <c r="N30" s="15"/>
      <c r="O30" s="160"/>
      <c r="P30" s="74"/>
      <c r="Q30" s="312"/>
      <c r="R30" s="312"/>
      <c r="S30" s="287"/>
      <c r="T30" s="336"/>
      <c r="U30" s="540"/>
    </row>
    <row r="31" spans="1:21" s="68" customFormat="1" ht="12.75" customHeight="1" x14ac:dyDescent="0.25">
      <c r="A31" s="315"/>
      <c r="B31" s="531"/>
      <c r="C31" s="76">
        <v>13</v>
      </c>
      <c r="D31" s="1319"/>
      <c r="E31" s="1319"/>
      <c r="F31" s="1319"/>
      <c r="G31" s="1319"/>
      <c r="H31" s="14"/>
      <c r="I31" s="14"/>
      <c r="J31" s="1320"/>
      <c r="K31" s="1320"/>
      <c r="L31" s="1320"/>
      <c r="M31" s="1320"/>
      <c r="N31" s="15"/>
      <c r="O31" s="160"/>
      <c r="P31" s="74"/>
      <c r="Q31" s="312"/>
      <c r="R31" s="312"/>
      <c r="S31" s="287"/>
      <c r="T31" s="336"/>
      <c r="U31" s="540"/>
    </row>
    <row r="32" spans="1:21" s="68" customFormat="1" ht="12.75" customHeight="1" x14ac:dyDescent="0.25">
      <c r="A32" s="315"/>
      <c r="B32" s="531"/>
      <c r="C32" s="76">
        <v>14</v>
      </c>
      <c r="D32" s="1319"/>
      <c r="E32" s="1319"/>
      <c r="F32" s="1319"/>
      <c r="G32" s="1319"/>
      <c r="H32" s="14"/>
      <c r="I32" s="14"/>
      <c r="J32" s="1320"/>
      <c r="K32" s="1320"/>
      <c r="L32" s="1320"/>
      <c r="M32" s="1320"/>
      <c r="N32" s="15"/>
      <c r="O32" s="160"/>
      <c r="P32" s="74"/>
      <c r="Q32" s="312"/>
      <c r="R32" s="312"/>
      <c r="S32" s="287"/>
      <c r="T32" s="336"/>
      <c r="U32" s="540"/>
    </row>
    <row r="33" spans="1:21" s="68" customFormat="1" ht="12.75" customHeight="1" x14ac:dyDescent="0.25">
      <c r="A33" s="315"/>
      <c r="B33" s="531"/>
      <c r="C33" s="76">
        <v>15</v>
      </c>
      <c r="D33" s="1319"/>
      <c r="E33" s="1319"/>
      <c r="F33" s="1319"/>
      <c r="G33" s="1319"/>
      <c r="H33" s="14"/>
      <c r="I33" s="14"/>
      <c r="J33" s="1320"/>
      <c r="K33" s="1320"/>
      <c r="L33" s="1320"/>
      <c r="M33" s="1320"/>
      <c r="N33" s="15"/>
      <c r="O33" s="160"/>
      <c r="P33" s="74"/>
      <c r="Q33" s="312"/>
      <c r="R33" s="312"/>
      <c r="S33" s="287"/>
      <c r="T33" s="336"/>
      <c r="U33" s="540"/>
    </row>
    <row r="34" spans="1:21" s="68" customFormat="1" ht="12.75" customHeight="1" x14ac:dyDescent="0.25">
      <c r="A34" s="315"/>
      <c r="B34" s="531"/>
      <c r="C34" s="76">
        <v>16</v>
      </c>
      <c r="D34" s="1319"/>
      <c r="E34" s="1319"/>
      <c r="F34" s="1319"/>
      <c r="G34" s="1319"/>
      <c r="H34" s="14"/>
      <c r="I34" s="14"/>
      <c r="J34" s="1320"/>
      <c r="K34" s="1320"/>
      <c r="L34" s="1320"/>
      <c r="M34" s="1320"/>
      <c r="N34" s="15"/>
      <c r="O34" s="160"/>
      <c r="P34" s="74"/>
      <c r="Q34" s="312"/>
      <c r="R34" s="312"/>
      <c r="S34" s="287"/>
      <c r="T34" s="336"/>
      <c r="U34" s="540"/>
    </row>
    <row r="35" spans="1:21" s="68" customFormat="1" ht="12.75" customHeight="1" x14ac:dyDescent="0.25">
      <c r="A35" s="315"/>
      <c r="B35" s="531"/>
      <c r="C35" s="76">
        <v>17</v>
      </c>
      <c r="D35" s="1319"/>
      <c r="E35" s="1319"/>
      <c r="F35" s="1319"/>
      <c r="G35" s="1319"/>
      <c r="H35" s="14"/>
      <c r="I35" s="14"/>
      <c r="J35" s="1320"/>
      <c r="K35" s="1320"/>
      <c r="L35" s="1320"/>
      <c r="M35" s="1320"/>
      <c r="N35" s="15"/>
      <c r="O35" s="160"/>
      <c r="P35" s="74"/>
      <c r="Q35" s="312"/>
      <c r="R35" s="312"/>
      <c r="S35" s="287"/>
      <c r="T35" s="336"/>
      <c r="U35" s="540"/>
    </row>
    <row r="36" spans="1:21" s="68" customFormat="1" ht="12.75" customHeight="1" x14ac:dyDescent="0.25">
      <c r="A36" s="315"/>
      <c r="B36" s="531"/>
      <c r="C36" s="76">
        <v>18</v>
      </c>
      <c r="D36" s="1319"/>
      <c r="E36" s="1319"/>
      <c r="F36" s="1319"/>
      <c r="G36" s="1319"/>
      <c r="H36" s="14"/>
      <c r="I36" s="14"/>
      <c r="J36" s="1320"/>
      <c r="K36" s="1320"/>
      <c r="L36" s="1320"/>
      <c r="M36" s="1320"/>
      <c r="N36" s="15"/>
      <c r="O36" s="160"/>
      <c r="P36" s="74"/>
      <c r="Q36" s="312"/>
      <c r="R36" s="312"/>
      <c r="S36" s="287"/>
      <c r="T36" s="336"/>
      <c r="U36" s="540"/>
    </row>
    <row r="37" spans="1:21" s="68" customFormat="1" ht="12.75" customHeight="1" x14ac:dyDescent="0.25">
      <c r="A37" s="315"/>
      <c r="B37" s="531"/>
      <c r="C37" s="76">
        <v>19</v>
      </c>
      <c r="D37" s="1319"/>
      <c r="E37" s="1319"/>
      <c r="F37" s="1319"/>
      <c r="G37" s="1319"/>
      <c r="H37" s="14"/>
      <c r="I37" s="14"/>
      <c r="J37" s="1320"/>
      <c r="K37" s="1320"/>
      <c r="L37" s="1320"/>
      <c r="M37" s="1320"/>
      <c r="N37" s="15"/>
      <c r="O37" s="160"/>
      <c r="P37" s="74"/>
      <c r="Q37" s="312"/>
      <c r="R37" s="312"/>
      <c r="S37" s="287"/>
      <c r="T37" s="336"/>
      <c r="U37" s="540"/>
    </row>
    <row r="38" spans="1:21" s="68" customFormat="1" ht="12.75" customHeight="1" x14ac:dyDescent="0.25">
      <c r="A38" s="315"/>
      <c r="B38" s="531"/>
      <c r="C38" s="76">
        <v>20</v>
      </c>
      <c r="D38" s="1319"/>
      <c r="E38" s="1319"/>
      <c r="F38" s="1319"/>
      <c r="G38" s="1319"/>
      <c r="H38" s="14"/>
      <c r="I38" s="14"/>
      <c r="J38" s="1320"/>
      <c r="K38" s="1320"/>
      <c r="L38" s="1320"/>
      <c r="M38" s="1320"/>
      <c r="N38" s="15"/>
      <c r="O38" s="160"/>
      <c r="P38" s="74"/>
      <c r="Q38" s="312"/>
      <c r="R38" s="312"/>
      <c r="S38" s="287"/>
      <c r="T38" s="336"/>
      <c r="U38" s="540"/>
    </row>
    <row r="39" spans="1:21" s="68" customFormat="1" ht="12.75" customHeight="1" x14ac:dyDescent="0.25">
      <c r="A39" s="315"/>
      <c r="B39" s="531"/>
      <c r="C39" s="76">
        <v>21</v>
      </c>
      <c r="D39" s="1319"/>
      <c r="E39" s="1319"/>
      <c r="F39" s="1319"/>
      <c r="G39" s="1319"/>
      <c r="H39" s="14"/>
      <c r="I39" s="14"/>
      <c r="J39" s="1320"/>
      <c r="K39" s="1320"/>
      <c r="L39" s="1320"/>
      <c r="M39" s="1320"/>
      <c r="N39" s="15"/>
      <c r="O39" s="160"/>
      <c r="P39" s="74"/>
      <c r="Q39" s="312"/>
      <c r="R39" s="312"/>
      <c r="S39" s="287"/>
      <c r="T39" s="336"/>
      <c r="U39" s="540"/>
    </row>
    <row r="40" spans="1:21" s="68" customFormat="1" ht="12.75" customHeight="1" x14ac:dyDescent="0.25">
      <c r="A40" s="315"/>
      <c r="B40" s="531"/>
      <c r="C40" s="76">
        <v>22</v>
      </c>
      <c r="D40" s="1319"/>
      <c r="E40" s="1319"/>
      <c r="F40" s="1319"/>
      <c r="G40" s="1319"/>
      <c r="H40" s="14"/>
      <c r="I40" s="14"/>
      <c r="J40" s="1320"/>
      <c r="K40" s="1320"/>
      <c r="L40" s="1320"/>
      <c r="M40" s="1320"/>
      <c r="N40" s="15"/>
      <c r="O40" s="160"/>
      <c r="P40" s="74"/>
      <c r="Q40" s="312"/>
      <c r="R40" s="312"/>
      <c r="S40" s="287"/>
      <c r="T40" s="336"/>
      <c r="U40" s="540"/>
    </row>
    <row r="41" spans="1:21" s="68" customFormat="1" ht="12.75" customHeight="1" x14ac:dyDescent="0.25">
      <c r="A41" s="315"/>
      <c r="B41" s="531"/>
      <c r="C41" s="76">
        <v>23</v>
      </c>
      <c r="D41" s="1319"/>
      <c r="E41" s="1319"/>
      <c r="F41" s="1319"/>
      <c r="G41" s="1319"/>
      <c r="H41" s="14"/>
      <c r="I41" s="14"/>
      <c r="J41" s="1320"/>
      <c r="K41" s="1320"/>
      <c r="L41" s="1320"/>
      <c r="M41" s="1320"/>
      <c r="N41" s="15"/>
      <c r="O41" s="160"/>
      <c r="P41" s="74"/>
      <c r="Q41" s="312"/>
      <c r="R41" s="312"/>
      <c r="S41" s="287"/>
      <c r="T41" s="336"/>
      <c r="U41" s="540"/>
    </row>
    <row r="42" spans="1:21" s="68" customFormat="1" ht="12.75" customHeight="1" x14ac:dyDescent="0.25">
      <c r="A42" s="315"/>
      <c r="B42" s="531"/>
      <c r="C42" s="76">
        <v>24</v>
      </c>
      <c r="D42" s="1319"/>
      <c r="E42" s="1319"/>
      <c r="F42" s="1319"/>
      <c r="G42" s="1319"/>
      <c r="H42" s="14"/>
      <c r="I42" s="14"/>
      <c r="J42" s="1320"/>
      <c r="K42" s="1320"/>
      <c r="L42" s="1320"/>
      <c r="M42" s="1320"/>
      <c r="N42" s="15"/>
      <c r="O42" s="160"/>
      <c r="P42" s="74"/>
      <c r="Q42" s="312"/>
      <c r="R42" s="312"/>
      <c r="S42" s="287"/>
      <c r="T42" s="336"/>
      <c r="U42" s="540"/>
    </row>
    <row r="43" spans="1:21" s="68" customFormat="1" ht="12.75" customHeight="1" x14ac:dyDescent="0.25">
      <c r="A43" s="315"/>
      <c r="B43" s="531"/>
      <c r="C43" s="76">
        <v>25</v>
      </c>
      <c r="D43" s="1319"/>
      <c r="E43" s="1319"/>
      <c r="F43" s="1319"/>
      <c r="G43" s="1319"/>
      <c r="H43" s="14"/>
      <c r="I43" s="14"/>
      <c r="J43" s="1320"/>
      <c r="K43" s="1320"/>
      <c r="L43" s="1320"/>
      <c r="M43" s="1320"/>
      <c r="N43" s="15"/>
      <c r="O43" s="160"/>
      <c r="P43" s="74"/>
      <c r="Q43" s="312"/>
      <c r="R43" s="312"/>
      <c r="S43" s="287"/>
      <c r="T43" s="336"/>
      <c r="U43" s="540"/>
    </row>
    <row r="44" spans="1:21" ht="13.5" thickBot="1" x14ac:dyDescent="0.3">
      <c r="A44" s="541"/>
      <c r="B44" s="542"/>
      <c r="C44" s="543"/>
      <c r="D44" s="544"/>
      <c r="E44" s="545"/>
      <c r="F44" s="546"/>
      <c r="G44" s="547"/>
      <c r="H44" s="547"/>
      <c r="I44" s="547"/>
      <c r="J44" s="547"/>
      <c r="K44" s="547"/>
      <c r="L44" s="547"/>
      <c r="M44" s="547"/>
      <c r="N44" s="547"/>
      <c r="O44" s="548"/>
      <c r="Q44" s="297"/>
      <c r="R44" s="297"/>
      <c r="S44" s="138"/>
      <c r="T44" s="138"/>
      <c r="U44" s="141"/>
    </row>
    <row r="45" spans="1:21" ht="12.75" hidden="1" customHeight="1" x14ac:dyDescent="0.25">
      <c r="A45" s="286" t="s">
        <v>0</v>
      </c>
      <c r="B45" s="286" t="s">
        <v>18</v>
      </c>
      <c r="C45" s="312" t="s">
        <v>18</v>
      </c>
      <c r="D45" s="286" t="s">
        <v>18</v>
      </c>
      <c r="E45" s="312" t="s">
        <v>18</v>
      </c>
      <c r="F45" s="286" t="s">
        <v>18</v>
      </c>
      <c r="G45" s="286" t="s">
        <v>18</v>
      </c>
      <c r="H45" s="286" t="s">
        <v>18</v>
      </c>
      <c r="I45" s="286" t="s">
        <v>18</v>
      </c>
      <c r="J45" s="286" t="s">
        <v>18</v>
      </c>
      <c r="K45" s="286" t="s">
        <v>18</v>
      </c>
      <c r="L45" s="286" t="s">
        <v>18</v>
      </c>
      <c r="M45" s="286" t="s">
        <v>18</v>
      </c>
      <c r="N45" s="286" t="s">
        <v>18</v>
      </c>
      <c r="O45" s="286" t="s">
        <v>18</v>
      </c>
      <c r="P45" s="286" t="s">
        <v>3</v>
      </c>
      <c r="Q45" s="286" t="s">
        <v>18</v>
      </c>
      <c r="R45" s="286" t="s">
        <v>18</v>
      </c>
      <c r="S45" s="286" t="s">
        <v>18</v>
      </c>
      <c r="T45" s="286" t="s">
        <v>18</v>
      </c>
      <c r="U45" s="286" t="s">
        <v>18</v>
      </c>
    </row>
    <row r="46" spans="1:21" ht="13" hidden="1" thickBot="1" x14ac:dyDescent="0.3">
      <c r="A46" s="137" t="s">
        <v>0</v>
      </c>
      <c r="P46" s="530"/>
      <c r="Q46" s="151"/>
      <c r="R46" s="151"/>
      <c r="S46" s="151"/>
      <c r="T46" s="151"/>
      <c r="U46" s="151"/>
    </row>
    <row r="47" spans="1:21" ht="12.75" hidden="1" customHeight="1" thickBot="1" x14ac:dyDescent="0.3">
      <c r="A47" s="137" t="s">
        <v>0</v>
      </c>
      <c r="B47" s="132"/>
      <c r="D47" s="132"/>
      <c r="F47" s="474"/>
      <c r="G47" s="475"/>
      <c r="H47" s="475"/>
      <c r="I47" s="475"/>
      <c r="J47" s="475"/>
      <c r="K47" s="475"/>
      <c r="L47" s="475"/>
      <c r="M47" s="476" t="str">
        <f>Translations!$B$402</f>
        <v>Range</v>
      </c>
      <c r="N47" s="132"/>
      <c r="O47" s="132"/>
      <c r="P47" s="530"/>
      <c r="Q47" s="151"/>
      <c r="R47" s="151"/>
      <c r="S47" s="151"/>
      <c r="T47" s="151"/>
      <c r="U47" s="151"/>
    </row>
    <row r="48" spans="1:21" s="116" customFormat="1" hidden="1" x14ac:dyDescent="0.25">
      <c r="A48" s="287" t="s">
        <v>0</v>
      </c>
      <c r="C48" s="76"/>
      <c r="E48" s="76"/>
      <c r="F48" s="477"/>
      <c r="G48" s="271"/>
      <c r="H48" s="271"/>
      <c r="I48" s="272"/>
      <c r="J48" s="271"/>
      <c r="K48" s="271"/>
      <c r="L48" s="271"/>
      <c r="M48" s="478" t="str">
        <f ca="1">C_FuelStreams!M1465</f>
        <v>C_FuelStreams!$I$1465:$I$1464</v>
      </c>
      <c r="P48" s="530"/>
      <c r="Q48" s="151"/>
      <c r="R48" s="151"/>
      <c r="S48" s="151"/>
      <c r="T48" s="151"/>
      <c r="U48" s="151"/>
    </row>
    <row r="49" spans="1:21" s="116" customFormat="1" hidden="1" x14ac:dyDescent="0.25">
      <c r="A49" s="287" t="s">
        <v>0</v>
      </c>
      <c r="C49" s="76"/>
      <c r="E49" s="76"/>
      <c r="F49" s="479"/>
      <c r="G49" s="275"/>
      <c r="H49" s="275"/>
      <c r="I49" s="276"/>
      <c r="J49" s="275"/>
      <c r="K49" s="275"/>
      <c r="L49" s="275"/>
      <c r="M49" s="277"/>
      <c r="P49" s="530"/>
      <c r="Q49" s="151"/>
      <c r="R49" s="151"/>
      <c r="S49" s="151"/>
      <c r="T49" s="151"/>
      <c r="U49" s="151"/>
    </row>
    <row r="50" spans="1:21" hidden="1" x14ac:dyDescent="0.25">
      <c r="A50" s="287" t="s">
        <v>0</v>
      </c>
    </row>
  </sheetData>
  <sheetProtection sheet="1" objects="1" scenarios="1" formatCells="0" formatColumns="0" formatRows="0"/>
  <mergeCells count="78">
    <mergeCell ref="D39:G39"/>
    <mergeCell ref="J39:M39"/>
    <mergeCell ref="D43:G43"/>
    <mergeCell ref="J43:M43"/>
    <mergeCell ref="D40:G40"/>
    <mergeCell ref="J40:M40"/>
    <mergeCell ref="D41:G41"/>
    <mergeCell ref="J41:M41"/>
    <mergeCell ref="D42:G42"/>
    <mergeCell ref="J42:M42"/>
    <mergeCell ref="D36:G36"/>
    <mergeCell ref="J36:M36"/>
    <mergeCell ref="D37:G37"/>
    <mergeCell ref="J37:M37"/>
    <mergeCell ref="D38:G38"/>
    <mergeCell ref="J38:M38"/>
    <mergeCell ref="D33:G33"/>
    <mergeCell ref="J33:M33"/>
    <mergeCell ref="D34:G34"/>
    <mergeCell ref="J34:M34"/>
    <mergeCell ref="D35:G35"/>
    <mergeCell ref="J35:M35"/>
    <mergeCell ref="D30:G30"/>
    <mergeCell ref="J30:M30"/>
    <mergeCell ref="D31:G31"/>
    <mergeCell ref="J31:M31"/>
    <mergeCell ref="D32:G32"/>
    <mergeCell ref="J32:M32"/>
    <mergeCell ref="D27:G27"/>
    <mergeCell ref="J27:M27"/>
    <mergeCell ref="D28:G28"/>
    <mergeCell ref="J28:M28"/>
    <mergeCell ref="D29:G29"/>
    <mergeCell ref="J29:M29"/>
    <mergeCell ref="D24:G24"/>
    <mergeCell ref="J24:M24"/>
    <mergeCell ref="D25:G25"/>
    <mergeCell ref="J25:M25"/>
    <mergeCell ref="D26:G26"/>
    <mergeCell ref="J26:M26"/>
    <mergeCell ref="D21:G21"/>
    <mergeCell ref="J21:M21"/>
    <mergeCell ref="D22:G22"/>
    <mergeCell ref="J22:M22"/>
    <mergeCell ref="D23:G23"/>
    <mergeCell ref="J23:M23"/>
    <mergeCell ref="D18:G18"/>
    <mergeCell ref="J18:M18"/>
    <mergeCell ref="D19:G19"/>
    <mergeCell ref="J19:M19"/>
    <mergeCell ref="D20:G20"/>
    <mergeCell ref="J20:M20"/>
    <mergeCell ref="E13:E14"/>
    <mergeCell ref="F13:N13"/>
    <mergeCell ref="F14:N14"/>
    <mergeCell ref="F15:N15"/>
    <mergeCell ref="F16:N16"/>
    <mergeCell ref="C6:K6"/>
    <mergeCell ref="D8:N8"/>
    <mergeCell ref="E10:N10"/>
    <mergeCell ref="F11:N11"/>
    <mergeCell ref="F12:N12"/>
    <mergeCell ref="K3:L3"/>
    <mergeCell ref="M4:N4"/>
    <mergeCell ref="B2:D4"/>
    <mergeCell ref="E2:F2"/>
    <mergeCell ref="G2:H2"/>
    <mergeCell ref="I2:J2"/>
    <mergeCell ref="K2:L2"/>
    <mergeCell ref="M2:N2"/>
    <mergeCell ref="E3:F3"/>
    <mergeCell ref="G3:H3"/>
    <mergeCell ref="I3:J3"/>
    <mergeCell ref="M3:N3"/>
    <mergeCell ref="E4:F4"/>
    <mergeCell ref="G4:H4"/>
    <mergeCell ref="I4:J4"/>
    <mergeCell ref="K4:L4"/>
  </mergeCells>
  <conditionalFormatting sqref="D19:D43 H19:J43">
    <cfRule type="expression" dxfId="530" priority="1182" stopIfTrue="1">
      <formula>#REF!=TRUE</formula>
    </cfRule>
  </conditionalFormatting>
  <dataValidations disablePrompts="1" count="1">
    <dataValidation type="list" allowBlank="1" showInputMessage="1" sqref="D19:G43" xr:uid="{00000000-0002-0000-0600-000000000000}">
      <formula1>INDIRECT($M$48)</formula1>
    </dataValidation>
  </dataValidations>
  <hyperlinks>
    <hyperlink ref="G2:H2" location="JUMP_a_Content" display="Table of contents" xr:uid="{00000000-0004-0000-0600-000000000000}"/>
  </hyperlinks>
  <pageMargins left="0.70866141732283472" right="0.70866141732283472" top="0.78740157480314965" bottom="0.78740157480314965" header="0.31496062992125984" footer="0.31496062992125984"/>
  <pageSetup paperSize="9" scale="60" fitToHeight="10" orientation="portrait" r:id="rId1"/>
  <headerFooter>
    <oddHeader>&amp;L&amp;F, &amp;A&amp;R&amp;D, &amp;T</oddHeader>
    <oddFooter>&amp;C&amp;P /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
    <tabColor rgb="FFCCFFFF"/>
    <pageSetUpPr fitToPage="1"/>
  </sheetPr>
  <dimension ref="A1:X133"/>
  <sheetViews>
    <sheetView zoomScaleNormal="100" workbookViewId="0">
      <pane ySplit="4" topLeftCell="A5" activePane="bottomLeft" state="frozen"/>
      <selection activeCell="B2" sqref="B2"/>
      <selection pane="bottomLeft" activeCell="B2" sqref="B2:D4"/>
    </sheetView>
  </sheetViews>
  <sheetFormatPr defaultColWidth="9.1796875" defaultRowHeight="12.5" x14ac:dyDescent="0.25"/>
  <cols>
    <col min="1" max="1" width="2.7265625" style="113" hidden="1" customWidth="1"/>
    <col min="2" max="2" width="2.7265625" style="115" customWidth="1"/>
    <col min="3" max="4" width="4.7265625" style="115" customWidth="1"/>
    <col min="5" max="5" width="20.7265625" style="170" customWidth="1"/>
    <col min="6" max="14" width="12.7265625" style="115" customWidth="1"/>
    <col min="15" max="15" width="2.7265625" style="212" customWidth="1"/>
    <col min="16" max="16" width="11.453125" style="143" customWidth="1"/>
    <col min="17" max="24" width="11.453125" style="110" hidden="1" customWidth="1"/>
    <col min="25" max="16384" width="9.1796875" style="530"/>
  </cols>
  <sheetData>
    <row r="1" spans="1:24" ht="13" hidden="1" thickBot="1" x14ac:dyDescent="0.3">
      <c r="A1" s="110" t="s">
        <v>0</v>
      </c>
      <c r="B1" s="138"/>
      <c r="C1" s="138"/>
      <c r="D1" s="141"/>
      <c r="E1" s="138"/>
      <c r="F1" s="138"/>
      <c r="G1" s="138"/>
      <c r="H1" s="138"/>
      <c r="I1" s="138"/>
      <c r="J1" s="138"/>
      <c r="K1" s="138"/>
      <c r="L1" s="138"/>
      <c r="M1" s="138"/>
      <c r="N1" s="138"/>
      <c r="O1" s="142"/>
      <c r="P1" s="115"/>
      <c r="Q1" s="110" t="s">
        <v>0</v>
      </c>
      <c r="R1" s="110" t="s">
        <v>0</v>
      </c>
      <c r="S1" s="110" t="s">
        <v>0</v>
      </c>
      <c r="T1" s="110" t="s">
        <v>0</v>
      </c>
      <c r="U1" s="110" t="s">
        <v>0</v>
      </c>
      <c r="V1" s="110" t="s">
        <v>0</v>
      </c>
      <c r="W1" s="110" t="s">
        <v>0</v>
      </c>
      <c r="X1" s="110" t="s">
        <v>0</v>
      </c>
    </row>
    <row r="2" spans="1:24" ht="13.5" customHeight="1" thickBot="1" x14ac:dyDescent="0.35">
      <c r="A2" s="110"/>
      <c r="B2" s="1003" t="str">
        <f>Translations!$B$467</f>
        <v>F. Tool for timing</v>
      </c>
      <c r="C2" s="1004"/>
      <c r="D2" s="1005"/>
      <c r="E2" s="1019" t="str">
        <f>Translations!$B$13</f>
        <v>Navigation area:</v>
      </c>
      <c r="F2" s="1020"/>
      <c r="G2" s="1021" t="str">
        <f>Translations!$B$14</f>
        <v>Table of contents</v>
      </c>
      <c r="H2" s="1022"/>
      <c r="I2" s="1021" t="str">
        <f ca="1">HYPERLINK("#"&amp;INDEX(a_Contents!$R$4:$R$49,MATCH(INDEX(a_Contents!$T$4:$T$49,MATCH($T$2,a_Contents!$S$4:$S$49,0))-1,a_Contents!$T$4:$T$49,0)),EUconst_PreviousSheet)</f>
        <v>Previous sheet</v>
      </c>
      <c r="J2" s="1022"/>
      <c r="K2" s="1021" t="str">
        <f ca="1">HYPERLINK("#"&amp;INDEX(a_Contents!$R$4:$R$49,MATCH(INDEX(a_Contents!$T$4:$T$49,MATCH($T$2,a_Contents!$S$4:$S$49,0))+1,a_Contents!$T$4:$T$49,0)),EUconst_NextSheet)</f>
        <v>Next sheet</v>
      </c>
      <c r="L2" s="1022"/>
      <c r="M2" s="1014" t="str">
        <f ca="1">HYPERLINK("#"&amp;a_Contents!$R$46,INDIRECT(a_Contents!$R$46))</f>
        <v>I Accounting sheet</v>
      </c>
      <c r="N2" s="1015"/>
      <c r="O2" s="142"/>
      <c r="P2" s="115"/>
      <c r="Q2" s="61" t="s">
        <v>1</v>
      </c>
      <c r="R2" s="66" t="str">
        <f>ADDRESS(ROW($B$6),COLUMN($B$6)) &amp; ":" &amp; ADDRESS(MATCH("PRINT",$P:$P,0),COLUMN($P$6))</f>
        <v>$B$6:$P$105</v>
      </c>
      <c r="S2" s="61" t="s">
        <v>2</v>
      </c>
      <c r="T2" s="67" t="str">
        <f ca="1">IF(ISERROR(CELL("filename",U2)),"F_Timing",MID(CELL("filename",U2),FIND("]",CELL("filename",U2))+1,1024))</f>
        <v>F_Timing</v>
      </c>
    </row>
    <row r="3" spans="1:24" ht="12.75" customHeight="1" x14ac:dyDescent="0.25">
      <c r="A3" s="110"/>
      <c r="B3" s="1006"/>
      <c r="C3" s="1007"/>
      <c r="D3" s="1008"/>
      <c r="E3" s="1013"/>
      <c r="F3" s="1013"/>
      <c r="G3" s="1013" t="str">
        <f>IFERROR(HYPERLINK("#"&amp;ADDRESS(ROW($A$1)+MATCH(Q3,$A:$A,0)-1,3),INDEX($Q:$Q,MATCH(Q3,$A:$A,0))),"")</f>
        <v>Introduction to the tool</v>
      </c>
      <c r="H3" s="1013"/>
      <c r="I3" s="1013" t="str">
        <f>IFERROR(HYPERLINK("#"&amp;ADDRESS(ROW($A$1)+MATCH(S3,$A:$A,0)-1,3),INDEX($Q:$Q,MATCH(S3,$A:$A,0))),"")</f>
        <v>Tool 1</v>
      </c>
      <c r="J3" s="1013"/>
      <c r="K3" s="1013" t="str">
        <f>IFERROR(HYPERLINK("#"&amp;ADDRESS(ROW($A$1)+MATCH(U3,$A:$A,0)-1,3),INDEX($Q:$Q,MATCH(U3,$A:$A,0))),"")</f>
        <v>Tool 2</v>
      </c>
      <c r="L3" s="1013"/>
      <c r="M3" s="1013" t="str">
        <f>IFERROR(HYPERLINK("#"&amp;ADDRESS(ROW($A$1)+MATCH(W3,$A:$A,0)-1,3),INDEX($Q:$Q,MATCH(W3,$A:$A,0))),"")</f>
        <v/>
      </c>
      <c r="N3" s="1013"/>
      <c r="O3" s="142"/>
      <c r="P3" s="115"/>
      <c r="Q3" s="145">
        <v>1</v>
      </c>
      <c r="R3" s="146"/>
      <c r="S3" s="146">
        <v>2</v>
      </c>
      <c r="T3" s="146"/>
      <c r="U3" s="146">
        <v>3</v>
      </c>
      <c r="V3" s="146"/>
      <c r="W3" s="147">
        <v>4</v>
      </c>
    </row>
    <row r="4" spans="1:24" ht="13.5" customHeight="1" thickBot="1" x14ac:dyDescent="0.3">
      <c r="A4" s="110"/>
      <c r="B4" s="1009"/>
      <c r="C4" s="1010"/>
      <c r="D4" s="1011"/>
      <c r="E4" s="1013"/>
      <c r="F4" s="1013"/>
      <c r="G4" s="1013" t="str">
        <f>IFERROR(HYPERLINK("#"&amp;ADDRESS(ROW($A$1)+MATCH(Q4,$A:$A,0)-1,3),INDEX($Q:$Q,MATCH(Q4,$A:$A,0))),"")</f>
        <v/>
      </c>
      <c r="H4" s="1013"/>
      <c r="I4" s="1013" t="str">
        <f>IFERROR(HYPERLINK("#"&amp;ADDRESS(ROW($A$1)+MATCH(S4,$A:$A,0)-1,3),INDEX($Q:$Q,MATCH(S4,$A:$A,0))),"")</f>
        <v/>
      </c>
      <c r="J4" s="1013"/>
      <c r="K4" s="1013" t="str">
        <f>IFERROR(HYPERLINK("#"&amp;ADDRESS(ROW($A$1)+MATCH(U4,$A:$A,0)-1,3),INDEX($Q:$Q,MATCH(U4,$A:$A,0))),"")</f>
        <v/>
      </c>
      <c r="L4" s="1013"/>
      <c r="M4" s="1013" t="str">
        <f>IFERROR(HYPERLINK("#"&amp;ADDRESS(ROW($A$1)+MATCH(W4,$A:$A,0)-1,3),INDEX($Q:$Q,MATCH(W4,$A:$A,0))),"")</f>
        <v/>
      </c>
      <c r="N4" s="1013"/>
      <c r="O4" s="142"/>
      <c r="P4" s="115"/>
      <c r="Q4" s="148">
        <v>5</v>
      </c>
      <c r="R4" s="149"/>
      <c r="S4" s="149">
        <v>6</v>
      </c>
      <c r="T4" s="149"/>
      <c r="U4" s="149">
        <v>7</v>
      </c>
      <c r="V4" s="149"/>
      <c r="W4" s="150">
        <v>8</v>
      </c>
    </row>
    <row r="5" spans="1:24" ht="12.75" customHeight="1" x14ac:dyDescent="0.25">
      <c r="C5" s="214"/>
      <c r="D5" s="215"/>
      <c r="E5" s="115"/>
      <c r="F5" s="215"/>
      <c r="G5" s="215"/>
      <c r="H5" s="215"/>
      <c r="L5" s="132"/>
      <c r="M5" s="132"/>
      <c r="N5" s="132"/>
      <c r="O5" s="142"/>
      <c r="P5" s="115"/>
    </row>
    <row r="6" spans="1:24" s="550" customFormat="1" ht="25.5" customHeight="1" x14ac:dyDescent="0.25">
      <c r="A6" s="62"/>
      <c r="B6" s="68"/>
      <c r="C6" s="1212" t="str">
        <f>Translations!$B$468</f>
        <v>F. Tool for determining released fuel amounts, where Article 75j(2) is relevant</v>
      </c>
      <c r="D6" s="1212"/>
      <c r="E6" s="1212"/>
      <c r="F6" s="1212"/>
      <c r="G6" s="1212"/>
      <c r="H6" s="1212"/>
      <c r="I6" s="1212"/>
      <c r="J6" s="1212"/>
      <c r="K6" s="1212"/>
      <c r="L6" s="1212"/>
      <c r="M6" s="1212"/>
      <c r="N6" s="1212"/>
      <c r="O6" s="64"/>
      <c r="P6" s="68"/>
      <c r="Q6" s="110"/>
      <c r="R6" s="110"/>
      <c r="S6" s="110"/>
      <c r="T6" s="110"/>
      <c r="U6" s="110"/>
      <c r="V6" s="549"/>
      <c r="W6" s="549"/>
      <c r="X6" s="549"/>
    </row>
    <row r="7" spans="1:24" x14ac:dyDescent="0.25">
      <c r="B7" s="132"/>
      <c r="C7" s="132"/>
      <c r="D7" s="132"/>
      <c r="E7" s="665"/>
      <c r="F7" s="132"/>
      <c r="G7" s="132"/>
      <c r="H7" s="132"/>
      <c r="I7" s="132"/>
      <c r="J7" s="132"/>
      <c r="K7" s="132"/>
      <c r="L7" s="132"/>
      <c r="M7" s="132"/>
      <c r="N7" s="132"/>
      <c r="O7" s="142"/>
      <c r="P7" s="115"/>
    </row>
    <row r="8" spans="1:24" s="69" customFormat="1" ht="18.75" customHeight="1" x14ac:dyDescent="0.25">
      <c r="A8" s="167">
        <f>C8</f>
        <v>1</v>
      </c>
      <c r="B8" s="76"/>
      <c r="C8" s="216">
        <v>1</v>
      </c>
      <c r="D8" s="1195" t="str">
        <f>Translations!$B$469</f>
        <v>Introduction to the tool</v>
      </c>
      <c r="E8" s="1195"/>
      <c r="F8" s="1195"/>
      <c r="G8" s="1195"/>
      <c r="H8" s="1195"/>
      <c r="I8" s="1195"/>
      <c r="J8" s="1195"/>
      <c r="K8" s="1195"/>
      <c r="L8" s="1195"/>
      <c r="M8" s="1195"/>
      <c r="N8" s="1195"/>
      <c r="O8" s="142"/>
      <c r="P8" s="115"/>
      <c r="Q8" s="464" t="str">
        <f>D8</f>
        <v>Introduction to the tool</v>
      </c>
      <c r="R8" s="110"/>
      <c r="S8" s="110"/>
      <c r="T8" s="110"/>
      <c r="U8" s="110"/>
      <c r="V8" s="109"/>
      <c r="W8" s="109"/>
      <c r="X8" s="109"/>
    </row>
    <row r="9" spans="1:24" ht="12.75" customHeight="1" x14ac:dyDescent="0.25">
      <c r="B9" s="132"/>
      <c r="C9" s="132"/>
      <c r="D9" s="132"/>
      <c r="E9" s="191"/>
      <c r="F9" s="116"/>
      <c r="G9" s="116"/>
      <c r="H9" s="116"/>
      <c r="I9" s="116"/>
      <c r="J9" s="116"/>
      <c r="K9" s="116"/>
      <c r="L9" s="116"/>
      <c r="M9" s="116"/>
      <c r="N9" s="132"/>
      <c r="O9" s="142"/>
      <c r="P9" s="115"/>
    </row>
    <row r="10" spans="1:24" ht="25.5" customHeight="1" x14ac:dyDescent="0.25">
      <c r="A10" s="151"/>
      <c r="C10" s="170"/>
      <c r="D10" s="194"/>
      <c r="E10" s="1090" t="str">
        <f>Translations!$B$470</f>
        <v>Theoretically, the cut-off time for annual amounts would have to be determined at midnight on 31 December every year, which may not be possible in practice. Therefore, Article 75j(2) allows for choosing the next most appropriate day to separate one reporting year from the following one.</v>
      </c>
      <c r="F10" s="1090"/>
      <c r="G10" s="1090"/>
      <c r="H10" s="1090"/>
      <c r="I10" s="1090"/>
      <c r="J10" s="1090"/>
      <c r="K10" s="1090"/>
      <c r="L10" s="1090"/>
      <c r="M10" s="1090"/>
      <c r="N10" s="1090"/>
      <c r="O10" s="142"/>
      <c r="P10" s="115"/>
      <c r="Q10" s="551"/>
      <c r="R10" s="287"/>
      <c r="S10" s="137"/>
      <c r="T10" s="137"/>
      <c r="U10" s="137"/>
      <c r="V10" s="137"/>
      <c r="W10" s="137"/>
      <c r="X10" s="137"/>
    </row>
    <row r="11" spans="1:24" ht="38.9" customHeight="1" x14ac:dyDescent="0.25">
      <c r="A11" s="151"/>
      <c r="C11" s="170"/>
      <c r="D11" s="194"/>
      <c r="E11" s="1090" t="str">
        <f>Translations!$B$471</f>
        <v>There may even be cases where the cut-off time for annual amounts is even later than the day on which the annual emissions report is being verified. A common example for such a case would be natural gas suppliers who receive the results of the meter reading performed by distribution system operators for the previous year's consumption levels (for at least part of the released amounts) only after the day on which the annual emissions report is being verified.</v>
      </c>
      <c r="F11" s="1090"/>
      <c r="G11" s="1090"/>
      <c r="H11" s="1090"/>
      <c r="I11" s="1090"/>
      <c r="J11" s="1090"/>
      <c r="K11" s="1090"/>
      <c r="L11" s="1090"/>
      <c r="M11" s="1090"/>
      <c r="N11" s="1090"/>
      <c r="O11" s="142"/>
      <c r="P11" s="115"/>
      <c r="Q11" s="551"/>
      <c r="R11" s="287"/>
      <c r="S11" s="137"/>
      <c r="T11" s="137"/>
      <c r="U11" s="137"/>
      <c r="V11" s="137"/>
      <c r="W11" s="137"/>
      <c r="X11" s="137"/>
    </row>
    <row r="12" spans="1:24" ht="25.5" customHeight="1" x14ac:dyDescent="0.25">
      <c r="A12" s="151"/>
      <c r="C12" s="170"/>
      <c r="D12" s="194"/>
      <c r="E12" s="1197" t="str">
        <f>Translations!$B$472</f>
        <v>The tools in this sheet support you with reconciling annual released fuel amounts where exactly such case arises, i.e. the cut-off time for at least some amounts is after the day on which the annual emissions report is verified. You may use each tool below for one specfic fuel stream's released fuel amounts.</v>
      </c>
      <c r="F12" s="1197"/>
      <c r="G12" s="1197"/>
      <c r="H12" s="1197"/>
      <c r="I12" s="1197"/>
      <c r="J12" s="1197"/>
      <c r="K12" s="1197"/>
      <c r="L12" s="1197"/>
      <c r="M12" s="1197"/>
      <c r="N12" s="1197"/>
      <c r="O12" s="142"/>
      <c r="P12" s="115"/>
      <c r="Q12" s="551"/>
      <c r="R12" s="287"/>
      <c r="S12" s="137"/>
      <c r="T12" s="137"/>
      <c r="U12" s="137"/>
      <c r="V12" s="137"/>
      <c r="W12" s="137"/>
      <c r="X12" s="137"/>
    </row>
    <row r="13" spans="1:24" ht="12.75" customHeight="1" x14ac:dyDescent="0.25">
      <c r="A13" s="151"/>
      <c r="C13" s="170"/>
      <c r="D13" s="194"/>
      <c r="E13" s="1197" t="str">
        <f>Translations!$B$473</f>
        <v>Please note that the results of this tool will have to be entered manually in sheet C! They are not automatically transferred and are for transparency purposes only.</v>
      </c>
      <c r="F13" s="1197"/>
      <c r="G13" s="1197"/>
      <c r="H13" s="1197"/>
      <c r="I13" s="1197"/>
      <c r="J13" s="1197"/>
      <c r="K13" s="1197"/>
      <c r="L13" s="1197"/>
      <c r="M13" s="1197"/>
      <c r="N13" s="1197"/>
      <c r="O13" s="142"/>
      <c r="P13" s="115"/>
      <c r="Q13" s="551"/>
      <c r="R13" s="287"/>
      <c r="S13" s="137"/>
      <c r="T13" s="137"/>
      <c r="U13" s="137"/>
      <c r="V13" s="137"/>
      <c r="W13" s="137"/>
      <c r="X13" s="137"/>
    </row>
    <row r="14" spans="1:24" ht="12.75" customHeight="1" x14ac:dyDescent="0.25">
      <c r="A14" s="151"/>
      <c r="C14" s="170"/>
      <c r="D14" s="194"/>
      <c r="E14" s="178"/>
      <c r="F14" s="178"/>
      <c r="G14" s="178"/>
      <c r="H14" s="178"/>
      <c r="I14" s="178"/>
      <c r="J14" s="178"/>
      <c r="K14" s="178"/>
      <c r="L14" s="178"/>
      <c r="M14" s="178"/>
      <c r="N14" s="178"/>
      <c r="O14" s="142"/>
      <c r="P14" s="115"/>
      <c r="Q14" s="287"/>
      <c r="R14" s="287"/>
      <c r="S14" s="137"/>
      <c r="T14" s="137"/>
      <c r="U14" s="137"/>
      <c r="V14" s="137"/>
      <c r="W14" s="137"/>
      <c r="X14" s="137"/>
    </row>
    <row r="15" spans="1:24" ht="12.75" customHeight="1" x14ac:dyDescent="0.25">
      <c r="B15" s="132"/>
      <c r="C15" s="132"/>
      <c r="D15" s="132"/>
      <c r="E15" s="1294" t="str">
        <f>Translations!$B$355</f>
        <v>Abbreviations:</v>
      </c>
      <c r="F15" s="1294"/>
      <c r="G15" s="1294"/>
      <c r="H15" s="1294"/>
      <c r="I15" s="1294"/>
      <c r="J15" s="1294"/>
      <c r="K15" s="1294"/>
      <c r="L15" s="1294"/>
      <c r="M15" s="1294"/>
      <c r="N15" s="1294"/>
      <c r="O15" s="142"/>
      <c r="P15" s="115"/>
    </row>
    <row r="16" spans="1:24" ht="12.75" customHeight="1" x14ac:dyDescent="0.25">
      <c r="B16" s="132"/>
      <c r="C16" s="132"/>
      <c r="D16" s="132"/>
      <c r="E16" s="483" t="str">
        <f>EUconst_ToolBestEstimate</f>
        <v>Best estimate</v>
      </c>
      <c r="F16" s="1295" t="str">
        <f>Translations!$B$474</f>
        <v>This is the best estimate released fuel amounts for the reporting year, i.e. the best estimate for the amounts released in year Y-1 that you have to report by 30 April Y.</v>
      </c>
      <c r="G16" s="1295"/>
      <c r="H16" s="1295"/>
      <c r="I16" s="1295"/>
      <c r="J16" s="1295"/>
      <c r="K16" s="1295"/>
      <c r="L16" s="1295"/>
      <c r="M16" s="1295"/>
      <c r="N16" s="1295"/>
      <c r="O16" s="142"/>
      <c r="P16" s="115"/>
    </row>
    <row r="17" spans="1:24" ht="25.5" customHeight="1" x14ac:dyDescent="0.25">
      <c r="B17" s="132"/>
      <c r="C17" s="132"/>
      <c r="D17" s="132"/>
      <c r="E17" s="483" t="str">
        <f>EUconst_ToolActualAmounts</f>
        <v>Actual released amounts</v>
      </c>
      <c r="F17" s="1295" t="str">
        <f>Translations!$B$475</f>
        <v>This is the actual amount of fuel released for year Y-1, i.e. the final number which will only be known after the verification of this year's annual emissions report took place. The actual amount will therefore only be known for the annual emissions report due by 30 April Y+1, which reports on emissions in year Y.</v>
      </c>
      <c r="G17" s="1295"/>
      <c r="H17" s="1295"/>
      <c r="I17" s="1295"/>
      <c r="J17" s="1295"/>
      <c r="K17" s="1295"/>
      <c r="L17" s="1295"/>
      <c r="M17" s="1295"/>
      <c r="N17" s="1295"/>
      <c r="O17" s="142"/>
      <c r="P17" s="115"/>
    </row>
    <row r="18" spans="1:24" ht="25.5" customHeight="1" x14ac:dyDescent="0.25">
      <c r="B18" s="132"/>
      <c r="C18" s="132"/>
      <c r="D18" s="132"/>
      <c r="E18" s="485" t="str">
        <f>K46</f>
        <v>Reportable amounts</v>
      </c>
      <c r="F18" s="1288" t="str">
        <f>Translations!$B$476</f>
        <v>These are the released fuel amounts to be reported for the relevant fuel stream in this year Y for amounts released during Y-1, based on the entries for best estimates and correcting for balance (see below) between reported and actual amounts outstanding from Y-1.</v>
      </c>
      <c r="G18" s="1288"/>
      <c r="H18" s="1288"/>
      <c r="I18" s="1288"/>
      <c r="J18" s="1288"/>
      <c r="K18" s="1288"/>
      <c r="L18" s="1288"/>
      <c r="M18" s="1288"/>
      <c r="N18" s="1288"/>
      <c r="O18" s="142"/>
      <c r="P18" s="115"/>
      <c r="Q18" s="24"/>
    </row>
    <row r="19" spans="1:24" ht="12.75" customHeight="1" x14ac:dyDescent="0.25">
      <c r="B19" s="132"/>
      <c r="C19" s="132"/>
      <c r="D19" s="132"/>
      <c r="E19" s="485" t="str">
        <f>M46</f>
        <v>Balance</v>
      </c>
      <c r="F19" s="1288" t="str">
        <f>Translations!$B$477</f>
        <v>This is the difference between the released fuel amounts reported and the actual amounts.</v>
      </c>
      <c r="G19" s="1288"/>
      <c r="H19" s="1288"/>
      <c r="I19" s="1288"/>
      <c r="J19" s="1288"/>
      <c r="K19" s="1288"/>
      <c r="L19" s="1288"/>
      <c r="M19" s="1288"/>
      <c r="N19" s="1288"/>
      <c r="O19" s="142"/>
      <c r="P19" s="115"/>
    </row>
    <row r="20" spans="1:24" ht="12.75" customHeight="1" x14ac:dyDescent="0.25">
      <c r="A20" s="151"/>
      <c r="C20" s="170"/>
      <c r="D20" s="194"/>
      <c r="E20" s="178"/>
      <c r="F20" s="178"/>
      <c r="G20" s="178"/>
      <c r="H20" s="178"/>
      <c r="I20" s="178"/>
      <c r="J20" s="178"/>
      <c r="K20" s="178"/>
      <c r="L20" s="178"/>
      <c r="M20" s="178"/>
      <c r="N20" s="178"/>
      <c r="O20" s="142"/>
      <c r="P20" s="115"/>
      <c r="Q20" s="287"/>
      <c r="R20" s="287"/>
      <c r="S20" s="137"/>
      <c r="T20" s="137"/>
      <c r="U20" s="137"/>
      <c r="V20" s="137"/>
      <c r="W20" s="137"/>
      <c r="X20" s="137"/>
    </row>
    <row r="21" spans="1:24" ht="12.75" customHeight="1" x14ac:dyDescent="0.25">
      <c r="B21" s="132"/>
      <c r="C21" s="132"/>
      <c r="D21" s="132"/>
      <c r="E21" s="1294" t="str">
        <f>Translations!$B$478</f>
        <v>Example (based on the corresponding example in section 5.3.2 of the General guidance for ETS2 regulated entities):</v>
      </c>
      <c r="F21" s="1294"/>
      <c r="G21" s="1294"/>
      <c r="H21" s="1294"/>
      <c r="I21" s="1294"/>
      <c r="J21" s="1294"/>
      <c r="K21" s="1294"/>
      <c r="L21" s="1294"/>
      <c r="M21" s="1294"/>
      <c r="N21" s="1294"/>
      <c r="O21" s="142"/>
      <c r="P21" s="115"/>
    </row>
    <row r="22" spans="1:24" ht="25.5" customHeight="1" x14ac:dyDescent="0.25">
      <c r="A22" s="151"/>
      <c r="C22" s="170"/>
      <c r="D22" s="194"/>
      <c r="E22" s="1090" t="str">
        <f>Translations!$B$479</f>
        <v>A natural gas supplier (the ETS2 regulated entity in this example) has direct contractual relationships with households. The annual natural gas consumption is measured once per year on 15 May with a flow meter that is owned and read by the natural gas distribution system operator (DSO).</v>
      </c>
      <c r="F22" s="1090"/>
      <c r="G22" s="1090"/>
      <c r="H22" s="1090"/>
      <c r="I22" s="1090"/>
      <c r="J22" s="1090"/>
      <c r="K22" s="1090"/>
      <c r="L22" s="1090"/>
      <c r="M22" s="1090"/>
      <c r="N22" s="1090"/>
      <c r="O22" s="142"/>
      <c r="P22" s="115"/>
      <c r="Q22" s="551"/>
      <c r="R22" s="287"/>
      <c r="S22" s="137"/>
      <c r="T22" s="137"/>
      <c r="U22" s="137"/>
      <c r="V22" s="137"/>
      <c r="W22" s="137"/>
      <c r="X22" s="137"/>
    </row>
    <row r="23" spans="1:24" ht="25.5" customHeight="1" x14ac:dyDescent="0.25">
      <c r="A23" s="151"/>
      <c r="C23" s="170"/>
      <c r="D23" s="194"/>
      <c r="E23" s="241" t="s">
        <v>46</v>
      </c>
      <c r="F23" s="1090" t="str">
        <f>Translations!$B$480</f>
        <v>Based on historical consumption levels and forecasts, you expect released fuel amounts of 2 500 kWh as the best available information to estimate the released fuel amounts for the total calendar year 2024 and report this figure in the annual emissions report due by 30 April 2025. Entries would therefore look as follows:</v>
      </c>
      <c r="G23" s="1090"/>
      <c r="H23" s="1090"/>
      <c r="I23" s="1090"/>
      <c r="J23" s="1090"/>
      <c r="K23" s="1090"/>
      <c r="L23" s="1090"/>
      <c r="M23" s="1090"/>
      <c r="N23" s="1090"/>
      <c r="O23" s="142"/>
      <c r="P23" s="115"/>
      <c r="Q23" s="551"/>
      <c r="R23" s="287"/>
      <c r="S23" s="137"/>
      <c r="T23" s="137"/>
      <c r="U23" s="137"/>
      <c r="V23" s="137"/>
      <c r="W23" s="137"/>
      <c r="X23" s="137"/>
    </row>
    <row r="24" spans="1:24" ht="12.75" customHeight="1" x14ac:dyDescent="0.25">
      <c r="A24" s="151"/>
      <c r="C24" s="170"/>
      <c r="D24" s="194"/>
      <c r="E24" s="241"/>
      <c r="F24" s="1090" t="str">
        <f>Translations!$B$481</f>
        <v>Entries in the tool for the report due by 30 April 2025 will look as follows:</v>
      </c>
      <c r="G24" s="1090"/>
      <c r="H24" s="1090"/>
      <c r="I24" s="1090"/>
      <c r="J24" s="1090"/>
      <c r="K24" s="1090"/>
      <c r="L24" s="1090"/>
      <c r="M24" s="1090"/>
      <c r="N24" s="1090"/>
      <c r="O24" s="142"/>
      <c r="P24" s="115"/>
      <c r="Q24" s="551"/>
      <c r="R24" s="287"/>
      <c r="S24" s="137"/>
      <c r="T24" s="137"/>
      <c r="U24" s="137"/>
      <c r="V24" s="137"/>
      <c r="W24" s="137"/>
      <c r="X24" s="137"/>
    </row>
    <row r="25" spans="1:24" ht="12.75" customHeight="1" x14ac:dyDescent="0.25">
      <c r="A25" s="151"/>
      <c r="C25" s="170"/>
      <c r="D25" s="132"/>
      <c r="E25" s="173"/>
      <c r="F25" s="552"/>
      <c r="G25" s="1360" t="str">
        <f>Translations!$B$482</f>
        <v>Best estimate</v>
      </c>
      <c r="H25" s="1362"/>
      <c r="I25" s="1360" t="str">
        <f>Translations!$B$483</f>
        <v>Actual released amounts</v>
      </c>
      <c r="J25" s="1361"/>
      <c r="K25" s="1360" t="str">
        <f>Translations!$B$484</f>
        <v>Reportable amounts</v>
      </c>
      <c r="L25" s="1361"/>
      <c r="M25" s="1362" t="str">
        <f>Translations!$B$485</f>
        <v>Balance</v>
      </c>
      <c r="N25" s="1361"/>
      <c r="O25" s="142"/>
      <c r="P25" s="115"/>
      <c r="Q25" s="551"/>
      <c r="R25" s="287"/>
      <c r="S25" s="137"/>
      <c r="T25" s="137"/>
      <c r="U25" s="137"/>
      <c r="V25" s="137"/>
      <c r="W25" s="137"/>
      <c r="X25" s="137"/>
    </row>
    <row r="26" spans="1:24" ht="12.75" customHeight="1" x14ac:dyDescent="0.25">
      <c r="A26" s="151"/>
      <c r="C26" s="170"/>
      <c r="D26" s="132"/>
      <c r="E26" s="173"/>
      <c r="F26" s="552"/>
      <c r="G26" s="1363" t="str">
        <f>Translations!$B$486</f>
        <v xml:space="preserve"> (for year Y-1)</v>
      </c>
      <c r="H26" s="1357"/>
      <c r="I26" s="1363" t="str">
        <f>Translations!$B$487</f>
        <v>(in year Y-1)</v>
      </c>
      <c r="J26" s="1358"/>
      <c r="K26" s="1363" t="str">
        <f>Translations!$B$488</f>
        <v>(in year Y for Y-1)</v>
      </c>
      <c r="L26" s="1358"/>
      <c r="M26" s="1357" t="str">
        <f>Translations!$B$489</f>
        <v>(reported - actual)</v>
      </c>
      <c r="N26" s="1358"/>
      <c r="O26" s="142"/>
      <c r="P26" s="115"/>
      <c r="Q26" s="551"/>
      <c r="R26" s="287"/>
      <c r="S26" s="137"/>
      <c r="T26" s="137"/>
      <c r="U26" s="137"/>
      <c r="V26" s="137"/>
      <c r="W26" s="137"/>
      <c r="X26" s="137"/>
    </row>
    <row r="27" spans="1:24" ht="12.75" customHeight="1" x14ac:dyDescent="0.25">
      <c r="A27" s="151"/>
      <c r="C27" s="170"/>
      <c r="D27" s="1350">
        <v>2025</v>
      </c>
      <c r="E27" s="1352" t="str">
        <f>Translations!$B$490</f>
        <v>Best estimate 2024</v>
      </c>
      <c r="F27" s="1353"/>
      <c r="G27" s="1344">
        <v>2500</v>
      </c>
      <c r="H27" s="1344"/>
      <c r="I27" s="1344"/>
      <c r="J27" s="1344"/>
      <c r="K27" s="1344">
        <v>2500</v>
      </c>
      <c r="L27" s="1359"/>
      <c r="M27" s="1344"/>
      <c r="N27" s="1344"/>
      <c r="O27" s="142"/>
      <c r="P27" s="115"/>
      <c r="Q27" s="551"/>
      <c r="R27" s="287"/>
      <c r="S27" s="137"/>
      <c r="T27" s="137"/>
      <c r="U27" s="137"/>
      <c r="V27" s="137"/>
      <c r="W27" s="137"/>
      <c r="X27" s="137"/>
    </row>
    <row r="28" spans="1:24" ht="12.75" customHeight="1" x14ac:dyDescent="0.25">
      <c r="A28" s="151"/>
      <c r="C28" s="170"/>
      <c r="D28" s="1351"/>
      <c r="E28" s="1345" t="str">
        <f>Translations!$B$491</f>
        <v>Actual released amounts 2024</v>
      </c>
      <c r="F28" s="1346"/>
      <c r="G28" s="1347"/>
      <c r="H28" s="1347"/>
      <c r="I28" s="1347"/>
      <c r="J28" s="1347"/>
      <c r="K28" s="1348"/>
      <c r="L28" s="1349"/>
      <c r="M28" s="1347"/>
      <c r="N28" s="1347"/>
      <c r="O28" s="142"/>
      <c r="P28" s="115"/>
      <c r="Q28" s="551"/>
      <c r="R28" s="287"/>
      <c r="S28" s="137"/>
      <c r="T28" s="137"/>
      <c r="U28" s="137"/>
      <c r="V28" s="137"/>
      <c r="W28" s="137"/>
      <c r="X28" s="137"/>
    </row>
    <row r="29" spans="1:24" ht="5.15" customHeight="1" x14ac:dyDescent="0.25">
      <c r="A29" s="151"/>
      <c r="C29" s="170"/>
      <c r="D29" s="194"/>
      <c r="E29" s="241"/>
      <c r="F29" s="178"/>
      <c r="G29" s="178"/>
      <c r="H29" s="178"/>
      <c r="I29" s="178"/>
      <c r="J29" s="178"/>
      <c r="K29" s="178"/>
      <c r="L29" s="178"/>
      <c r="M29" s="178"/>
      <c r="N29" s="178"/>
      <c r="O29" s="142"/>
      <c r="P29" s="115"/>
      <c r="Q29" s="551"/>
      <c r="R29" s="287"/>
      <c r="S29" s="137"/>
      <c r="T29" s="137"/>
      <c r="U29" s="137"/>
      <c r="V29" s="137"/>
      <c r="W29" s="137"/>
      <c r="X29" s="137"/>
    </row>
    <row r="30" spans="1:24" ht="25.5" customHeight="1" x14ac:dyDescent="0.25">
      <c r="A30" s="151"/>
      <c r="C30" s="170"/>
      <c r="D30" s="194"/>
      <c r="E30" s="241" t="s">
        <v>46</v>
      </c>
      <c r="F30" s="1090" t="str">
        <f>Translations!$B$492</f>
        <v>After the submission of the report for 2024 emissions, on 15 May 2025 the DSO reports to the regulated entity actual consumption between 15 May 2024 and 15 May 2025 to have been 2 300 kWh. For reporting on emissions during 2025 due by 30 April 2026, the best available data for released fuel amounts is therefore 2 300 kWh. However, in order to correct for the over-reporting in the previous year, the regulated entity has to deduct the 2 500 kWh – 2 300 kWh = 200 kWh which will lead to reporting released fuel amounts of 2 100 kWh for 2025.</v>
      </c>
      <c r="G30" s="1090"/>
      <c r="H30" s="1090"/>
      <c r="I30" s="1090"/>
      <c r="J30" s="1090"/>
      <c r="K30" s="1090"/>
      <c r="L30" s="1090"/>
      <c r="M30" s="1090"/>
      <c r="N30" s="1090"/>
      <c r="O30" s="142"/>
      <c r="P30" s="115"/>
      <c r="Q30" s="551"/>
      <c r="R30" s="287"/>
      <c r="S30" s="137"/>
      <c r="T30" s="137"/>
      <c r="U30" s="137"/>
      <c r="V30" s="137"/>
      <c r="W30" s="137"/>
      <c r="X30" s="137"/>
    </row>
    <row r="31" spans="1:24" ht="25.5" customHeight="1" x14ac:dyDescent="0.25">
      <c r="A31" s="151"/>
      <c r="C31" s="170"/>
      <c r="D31" s="194"/>
      <c r="E31" s="241"/>
      <c r="F31" s="1090" t="str">
        <f>Translations!$B$493</f>
        <v>For reporting on emissions during 2025 due by 30 April 2026, the best available data for released fuel amounts is therefore 2 300 kWh. However, in order to correct for the over-reporting in the previous year, you have to deduct the 2 500 kWh – 2 300 kWh = 200 kWh which will lead to reporting released fuel amounts of 2 100 kWh for 2025.</v>
      </c>
      <c r="G31" s="1090"/>
      <c r="H31" s="1090"/>
      <c r="I31" s="1090"/>
      <c r="J31" s="1090"/>
      <c r="K31" s="1090"/>
      <c r="L31" s="1090"/>
      <c r="M31" s="1090"/>
      <c r="N31" s="1090"/>
      <c r="O31" s="142"/>
      <c r="P31" s="115"/>
      <c r="Q31" s="551"/>
      <c r="R31" s="287"/>
      <c r="S31" s="137"/>
      <c r="T31" s="137"/>
      <c r="U31" s="137"/>
      <c r="V31" s="137"/>
      <c r="W31" s="137"/>
      <c r="X31" s="137"/>
    </row>
    <row r="32" spans="1:24" ht="12.75" customHeight="1" x14ac:dyDescent="0.25">
      <c r="A32" s="151"/>
      <c r="C32" s="170"/>
      <c r="D32" s="194"/>
      <c r="E32" s="241"/>
      <c r="F32" s="1090" t="str">
        <f>Translations!$B$494</f>
        <v>Entries in the tool for the report due by 30 April 2026 will look as follows:</v>
      </c>
      <c r="G32" s="1090"/>
      <c r="H32" s="1090"/>
      <c r="I32" s="1090"/>
      <c r="J32" s="1090"/>
      <c r="K32" s="1090"/>
      <c r="L32" s="1090"/>
      <c r="M32" s="1090"/>
      <c r="N32" s="1090"/>
      <c r="O32" s="142"/>
      <c r="P32" s="115"/>
      <c r="Q32" s="551"/>
      <c r="R32" s="287"/>
      <c r="S32" s="137"/>
      <c r="T32" s="137"/>
      <c r="U32" s="137"/>
      <c r="V32" s="137"/>
      <c r="W32" s="137"/>
      <c r="X32" s="137"/>
    </row>
    <row r="33" spans="1:24" ht="12.75" customHeight="1" x14ac:dyDescent="0.25">
      <c r="B33" s="132"/>
      <c r="C33" s="132"/>
      <c r="D33" s="555"/>
      <c r="E33" s="556"/>
      <c r="F33" s="557"/>
      <c r="G33" s="1354" t="str">
        <f>EUconst_ToolBestEstimate</f>
        <v>Best estimate</v>
      </c>
      <c r="H33" s="1355"/>
      <c r="I33" s="1354" t="str">
        <f>EUconst_ToolActualAmounts</f>
        <v>Actual released amounts</v>
      </c>
      <c r="J33" s="1356"/>
      <c r="K33" s="1354" t="str">
        <f>Translations!$B$484</f>
        <v>Reportable amounts</v>
      </c>
      <c r="L33" s="1356"/>
      <c r="M33" s="1355" t="str">
        <f>Translations!$B$485</f>
        <v>Balance</v>
      </c>
      <c r="N33" s="1356"/>
      <c r="O33" s="142"/>
      <c r="P33" s="115"/>
    </row>
    <row r="34" spans="1:24" ht="12.75" customHeight="1" x14ac:dyDescent="0.25">
      <c r="B34" s="132"/>
      <c r="C34" s="132"/>
      <c r="D34" s="555"/>
      <c r="E34" s="556"/>
      <c r="F34" s="557"/>
      <c r="G34" s="1364" t="str">
        <f>Translations!$B$486</f>
        <v xml:space="preserve"> (for year Y-1)</v>
      </c>
      <c r="H34" s="1365"/>
      <c r="I34" s="1364" t="str">
        <f>Translations!$B$487</f>
        <v>(in year Y-1)</v>
      </c>
      <c r="J34" s="1366"/>
      <c r="K34" s="1364" t="str">
        <f>Translations!$B$488</f>
        <v>(in year Y for Y-1)</v>
      </c>
      <c r="L34" s="1366"/>
      <c r="M34" s="1365" t="str">
        <f>Translations!$B$489</f>
        <v>(reported - actual)</v>
      </c>
      <c r="N34" s="1366"/>
      <c r="O34" s="142"/>
      <c r="P34" s="115"/>
    </row>
    <row r="35" spans="1:24" ht="12.75" customHeight="1" x14ac:dyDescent="0.25">
      <c r="B35" s="132"/>
      <c r="C35" s="132"/>
      <c r="D35" s="1350">
        <v>2025</v>
      </c>
      <c r="E35" s="1352" t="str">
        <f>EUconst_ToolBestEstimate &amp; " " &amp;D35-1</f>
        <v>Best estimate 2024</v>
      </c>
      <c r="F35" s="1353"/>
      <c r="G35" s="1344">
        <v>2500</v>
      </c>
      <c r="H35" s="1344"/>
      <c r="I35" s="1344"/>
      <c r="J35" s="1344"/>
      <c r="K35" s="1344">
        <f>IF(G35="","",MAX(0,G35-SUM(M34)))</f>
        <v>2500</v>
      </c>
      <c r="L35" s="1359"/>
      <c r="M35" s="1344"/>
      <c r="N35" s="1344"/>
      <c r="O35" s="142"/>
      <c r="P35" s="115"/>
    </row>
    <row r="36" spans="1:24" ht="12.75" customHeight="1" x14ac:dyDescent="0.25">
      <c r="B36" s="132"/>
      <c r="C36" s="132"/>
      <c r="D36" s="1351"/>
      <c r="E36" s="1345" t="str">
        <f>EUconst_ToolActualAmounts  &amp; " " &amp;D35-1</f>
        <v>Actual released amounts 2024</v>
      </c>
      <c r="F36" s="1346"/>
      <c r="G36" s="1347"/>
      <c r="H36" s="1347"/>
      <c r="I36" s="1347">
        <v>2300</v>
      </c>
      <c r="J36" s="1347"/>
      <c r="K36" s="1348"/>
      <c r="L36" s="1349"/>
      <c r="M36" s="1347">
        <f>IF(I36="","",M35+G35-SUM(I35:J36))</f>
        <v>200</v>
      </c>
      <c r="N36" s="1347"/>
      <c r="O36" s="142"/>
      <c r="P36" s="115"/>
    </row>
    <row r="37" spans="1:24" ht="12.75" customHeight="1" x14ac:dyDescent="0.25">
      <c r="B37" s="132"/>
      <c r="C37" s="132"/>
      <c r="D37" s="1350">
        <f>D35+1</f>
        <v>2026</v>
      </c>
      <c r="E37" s="1352" t="str">
        <f>EUconst_ToolBestEstimate &amp; " " &amp;D37-1</f>
        <v>Best estimate 2025</v>
      </c>
      <c r="F37" s="1353"/>
      <c r="G37" s="1344">
        <v>2300</v>
      </c>
      <c r="H37" s="1344"/>
      <c r="I37" s="1344"/>
      <c r="J37" s="1344"/>
      <c r="K37" s="1344">
        <f>IF(G37="","",MAX(0,G37-SUM(M36)))</f>
        <v>2100</v>
      </c>
      <c r="L37" s="1359"/>
      <c r="M37" s="1344">
        <f>IF(M36="","",SUM(K37:L$48)-SUM(I36:J$48)-G37)</f>
        <v>-2500</v>
      </c>
      <c r="N37" s="1344"/>
      <c r="O37" s="142"/>
      <c r="P37" s="115"/>
    </row>
    <row r="38" spans="1:24" ht="12.75" customHeight="1" x14ac:dyDescent="0.25">
      <c r="B38" s="132"/>
      <c r="C38" s="132"/>
      <c r="D38" s="1351"/>
      <c r="E38" s="1345" t="str">
        <f>EUconst_ToolActualAmounts  &amp; " " &amp;D37-1</f>
        <v>Actual released amounts 2025</v>
      </c>
      <c r="F38" s="1346"/>
      <c r="G38" s="1347"/>
      <c r="H38" s="1347"/>
      <c r="I38" s="1347"/>
      <c r="J38" s="1347"/>
      <c r="K38" s="1348"/>
      <c r="L38" s="1349"/>
      <c r="M38" s="1347" t="str">
        <f>IF(I38="","",M37+G37-SUM(I37:J38))</f>
        <v/>
      </c>
      <c r="N38" s="1347"/>
      <c r="O38" s="142"/>
      <c r="P38" s="115"/>
    </row>
    <row r="39" spans="1:24" ht="5.15" customHeight="1" x14ac:dyDescent="0.25">
      <c r="B39" s="132"/>
      <c r="C39" s="132"/>
      <c r="D39" s="132"/>
      <c r="E39" s="191"/>
      <c r="F39" s="116"/>
      <c r="G39" s="116"/>
      <c r="H39" s="116"/>
      <c r="I39" s="116"/>
      <c r="J39" s="116"/>
      <c r="K39" s="116"/>
      <c r="L39" s="116"/>
      <c r="M39" s="116"/>
      <c r="N39" s="132"/>
      <c r="O39" s="142"/>
      <c r="P39" s="115"/>
    </row>
    <row r="40" spans="1:24" ht="12.75" customHeight="1" x14ac:dyDescent="0.25">
      <c r="B40" s="132"/>
      <c r="C40" s="132"/>
      <c r="D40" s="132"/>
      <c r="E40" s="241" t="s">
        <v>46</v>
      </c>
      <c r="F40" s="1090" t="str">
        <f>Translations!$B$495</f>
        <v>The above steps would be reported for subsequent years as well</v>
      </c>
      <c r="G40" s="1090"/>
      <c r="H40" s="1090"/>
      <c r="I40" s="1090"/>
      <c r="J40" s="1090"/>
      <c r="K40" s="1090"/>
      <c r="L40" s="1090"/>
      <c r="M40" s="1090"/>
      <c r="N40" s="1090"/>
      <c r="O40" s="142"/>
      <c r="P40" s="115"/>
    </row>
    <row r="41" spans="1:24" ht="12.75" customHeight="1" x14ac:dyDescent="0.25">
      <c r="B41" s="132"/>
      <c r="C41" s="132"/>
      <c r="D41" s="132"/>
      <c r="E41" s="191"/>
      <c r="F41" s="116"/>
      <c r="G41" s="116"/>
      <c r="H41" s="116"/>
      <c r="I41" s="116"/>
      <c r="J41" s="116"/>
      <c r="K41" s="116"/>
      <c r="L41" s="116"/>
      <c r="M41" s="116"/>
      <c r="N41" s="132"/>
      <c r="O41" s="142"/>
      <c r="P41" s="115"/>
    </row>
    <row r="42" spans="1:24" s="69" customFormat="1" ht="18.75" customHeight="1" x14ac:dyDescent="0.25">
      <c r="A42" s="167">
        <f>C42</f>
        <v>2</v>
      </c>
      <c r="B42" s="76"/>
      <c r="C42" s="216">
        <v>2</v>
      </c>
      <c r="D42" s="1195" t="str">
        <f>Translations!$B$496</f>
        <v>Tool 1</v>
      </c>
      <c r="E42" s="1195"/>
      <c r="F42" s="1195"/>
      <c r="G42" s="1195"/>
      <c r="H42" s="1195"/>
      <c r="I42" s="1195"/>
      <c r="J42" s="1195"/>
      <c r="K42" s="1195"/>
      <c r="L42" s="1195"/>
      <c r="M42" s="1195"/>
      <c r="N42" s="1195"/>
      <c r="O42" s="142"/>
      <c r="P42" s="115"/>
      <c r="Q42" s="464" t="str">
        <f>D42</f>
        <v>Tool 1</v>
      </c>
      <c r="R42" s="110"/>
      <c r="S42" s="110"/>
      <c r="T42" s="110"/>
      <c r="U42" s="110"/>
      <c r="V42" s="109"/>
      <c r="W42" s="109"/>
      <c r="X42" s="109"/>
    </row>
    <row r="43" spans="1:24" ht="12.75" customHeight="1" x14ac:dyDescent="0.25">
      <c r="B43" s="132"/>
      <c r="C43" s="132"/>
      <c r="D43" s="132"/>
      <c r="E43" s="191"/>
      <c r="F43" s="116"/>
      <c r="G43" s="116"/>
      <c r="H43" s="116"/>
      <c r="I43" s="116"/>
      <c r="J43" s="116"/>
      <c r="K43" s="116"/>
      <c r="L43" s="116"/>
      <c r="M43" s="116"/>
      <c r="N43" s="132"/>
      <c r="O43" s="142"/>
      <c r="P43" s="115"/>
    </row>
    <row r="44" spans="1:24" ht="12.75" customHeight="1" x14ac:dyDescent="0.25">
      <c r="B44" s="132"/>
      <c r="C44" s="132"/>
      <c r="D44" s="132"/>
      <c r="E44" s="173"/>
      <c r="F44" s="530"/>
      <c r="G44" s="552"/>
      <c r="H44" s="558" t="str">
        <f>Translations!$B$497</f>
        <v>Fuel stream to which entries in this tool relate:</v>
      </c>
      <c r="I44" s="1340"/>
      <c r="J44" s="1340"/>
      <c r="K44" s="1340"/>
      <c r="L44" s="1340"/>
      <c r="M44" s="1340"/>
      <c r="N44" s="1340"/>
      <c r="O44" s="142"/>
      <c r="P44" s="115"/>
    </row>
    <row r="45" spans="1:24" ht="12.75" customHeight="1" x14ac:dyDescent="0.25">
      <c r="B45" s="132"/>
      <c r="C45" s="132"/>
      <c r="D45" s="132"/>
      <c r="E45" s="191"/>
      <c r="F45" s="116"/>
      <c r="G45" s="116"/>
      <c r="H45" s="116"/>
      <c r="I45" s="116"/>
      <c r="J45" s="116"/>
      <c r="K45" s="116"/>
      <c r="L45" s="116"/>
      <c r="M45" s="116"/>
      <c r="N45" s="132"/>
      <c r="O45" s="142"/>
      <c r="P45" s="115"/>
    </row>
    <row r="46" spans="1:24" ht="12.75" customHeight="1" x14ac:dyDescent="0.25">
      <c r="B46" s="132"/>
      <c r="C46" s="132"/>
      <c r="D46" s="132"/>
      <c r="E46" s="559" t="str">
        <f>Translations!$B$498</f>
        <v>Units:</v>
      </c>
      <c r="F46" s="560" t="str">
        <f>IF(I44="","",INDEX(C_FuelStreams!BM:BM,MATCH(I44,C_FuelStreams!BI:BI,0)))</f>
        <v/>
      </c>
      <c r="G46" s="1341" t="str">
        <f>EUconst_ToolBestEstimate</f>
        <v>Best estimate</v>
      </c>
      <c r="H46" s="1342"/>
      <c r="I46" s="1341" t="str">
        <f>EUconst_ToolActualAmounts</f>
        <v>Actual released amounts</v>
      </c>
      <c r="J46" s="1343"/>
      <c r="K46" s="1341" t="str">
        <f>Translations!$B$484</f>
        <v>Reportable amounts</v>
      </c>
      <c r="L46" s="1343"/>
      <c r="M46" s="1342" t="str">
        <f>Translations!$B$485</f>
        <v>Balance</v>
      </c>
      <c r="N46" s="1343"/>
      <c r="O46" s="142"/>
      <c r="P46" s="115"/>
    </row>
    <row r="47" spans="1:24" ht="12.75" customHeight="1" x14ac:dyDescent="0.25">
      <c r="B47" s="132"/>
      <c r="C47" s="132"/>
      <c r="D47" s="132"/>
      <c r="E47" s="173"/>
      <c r="F47" s="552"/>
      <c r="G47" s="1337" t="str">
        <f>Translations!$B$486</f>
        <v xml:space="preserve"> (for year Y-1)</v>
      </c>
      <c r="H47" s="1338"/>
      <c r="I47" s="1337" t="str">
        <f>Translations!$B$487</f>
        <v>(in year Y-1)</v>
      </c>
      <c r="J47" s="1339"/>
      <c r="K47" s="1337" t="str">
        <f>Translations!$B$488</f>
        <v>(in year Y for Y-1)</v>
      </c>
      <c r="L47" s="1339"/>
      <c r="M47" s="1338" t="str">
        <f>Translations!$B$489</f>
        <v>(reported - actual)</v>
      </c>
      <c r="N47" s="1339"/>
      <c r="O47" s="142"/>
      <c r="P47" s="115"/>
      <c r="W47" s="110" t="s">
        <v>185</v>
      </c>
    </row>
    <row r="48" spans="1:24" ht="12.75" customHeight="1" x14ac:dyDescent="0.25">
      <c r="B48" s="132"/>
      <c r="C48" s="132"/>
      <c r="D48" s="1325">
        <v>2025</v>
      </c>
      <c r="E48" s="1327" t="str">
        <f>EUconst_ToolBestEstimate &amp; " " &amp;D48-1</f>
        <v>Best estimate 2024</v>
      </c>
      <c r="F48" s="1328"/>
      <c r="G48" s="1329"/>
      <c r="H48" s="1329"/>
      <c r="I48" s="1330"/>
      <c r="J48" s="1330"/>
      <c r="K48" s="1331" t="str">
        <f>IF(G48="","",MAX(0,G48-SUM(M47)))</f>
        <v/>
      </c>
      <c r="L48" s="1332"/>
      <c r="M48" s="1330"/>
      <c r="N48" s="1330"/>
      <c r="O48" s="142"/>
      <c r="P48" s="115"/>
      <c r="R48" s="561">
        <f>D48</f>
        <v>2025</v>
      </c>
      <c r="W48" s="562" t="b">
        <f>OR(AND(COUNTA(B_IdentifyFuelStreams!$E$67:$M$116)&gt;0,R49&gt;MAX(CNTR_ReportingYear,2024)+1),W47)</f>
        <v>0</v>
      </c>
    </row>
    <row r="49" spans="2:23" ht="12.75" customHeight="1" x14ac:dyDescent="0.25">
      <c r="B49" s="132"/>
      <c r="C49" s="132"/>
      <c r="D49" s="1326"/>
      <c r="E49" s="1333" t="str">
        <f>EUconst_ToolActualAmounts  &amp; " " &amp;D48-1</f>
        <v>Actual released amounts 2024</v>
      </c>
      <c r="F49" s="1334"/>
      <c r="G49" s="1335"/>
      <c r="H49" s="1335"/>
      <c r="I49" s="1336"/>
      <c r="J49" s="1336"/>
      <c r="K49" s="1322"/>
      <c r="L49" s="1323"/>
      <c r="M49" s="1324" t="str">
        <f>IF(I49="","",M48+G48-SUM(I48:J49))</f>
        <v/>
      </c>
      <c r="N49" s="1324"/>
      <c r="O49" s="142"/>
      <c r="P49" s="115"/>
      <c r="R49" s="561">
        <f>R48</f>
        <v>2025</v>
      </c>
      <c r="W49" s="562" t="b">
        <f>OR(AND(COUNTA(B_IdentifyFuelStreams!$E$67:$M$116)&gt;0,R50&gt;MAX(CNTR_ReportingYear,2024)+1),W48)</f>
        <v>0</v>
      </c>
    </row>
    <row r="50" spans="2:23" ht="12.75" customHeight="1" x14ac:dyDescent="0.25">
      <c r="B50" s="132"/>
      <c r="C50" s="132"/>
      <c r="D50" s="1325">
        <f>D48+1</f>
        <v>2026</v>
      </c>
      <c r="E50" s="1327" t="str">
        <f>EUconst_ToolBestEstimate &amp; " " &amp;D50-1</f>
        <v>Best estimate 2025</v>
      </c>
      <c r="F50" s="1328"/>
      <c r="G50" s="1329"/>
      <c r="H50" s="1329"/>
      <c r="I50" s="1330"/>
      <c r="J50" s="1330"/>
      <c r="K50" s="1331" t="str">
        <f>IF(G50="","",MAX(0,G50-SUM(M49)))</f>
        <v/>
      </c>
      <c r="L50" s="1332"/>
      <c r="M50" s="1331" t="str">
        <f>IF(M49="","",SUM(K$48:L50)-SUM(I$48:J49)-G50)</f>
        <v/>
      </c>
      <c r="N50" s="1331"/>
      <c r="O50" s="142"/>
      <c r="P50" s="115"/>
      <c r="R50" s="561">
        <f>D50</f>
        <v>2026</v>
      </c>
      <c r="W50" s="562" t="b">
        <f>OR(AND(COUNTA(B_IdentifyFuelStreams!$E$67:$M$116)&gt;0,R51&gt;MAX(CNTR_ReportingYear,2024)+1),W49)</f>
        <v>0</v>
      </c>
    </row>
    <row r="51" spans="2:23" ht="12.75" customHeight="1" x14ac:dyDescent="0.25">
      <c r="B51" s="132"/>
      <c r="C51" s="132"/>
      <c r="D51" s="1326"/>
      <c r="E51" s="1333" t="str">
        <f>EUconst_ToolActualAmounts  &amp; " " &amp;D50-1</f>
        <v>Actual released amounts 2025</v>
      </c>
      <c r="F51" s="1334"/>
      <c r="G51" s="1335"/>
      <c r="H51" s="1335"/>
      <c r="I51" s="1336"/>
      <c r="J51" s="1336"/>
      <c r="K51" s="1322"/>
      <c r="L51" s="1323"/>
      <c r="M51" s="1324" t="str">
        <f>IF(I51="","",M50+G50-SUM(I50:J51))</f>
        <v/>
      </c>
      <c r="N51" s="1324"/>
      <c r="O51" s="142"/>
      <c r="P51" s="115"/>
      <c r="R51" s="561">
        <f>R50</f>
        <v>2026</v>
      </c>
      <c r="W51" s="562" t="b">
        <f>OR(AND(COUNTA(B_IdentifyFuelStreams!$E$67:$M$116)&gt;0,R52&gt;MAX(CNTR_ReportingYear,2024)+1),W50)</f>
        <v>0</v>
      </c>
    </row>
    <row r="52" spans="2:23" ht="12.75" customHeight="1" x14ac:dyDescent="0.25">
      <c r="B52" s="132"/>
      <c r="C52" s="132"/>
      <c r="D52" s="1325">
        <f>D50+1</f>
        <v>2027</v>
      </c>
      <c r="E52" s="1327" t="str">
        <f>EUconst_ToolBestEstimate &amp; " " &amp;D52-1</f>
        <v>Best estimate 2026</v>
      </c>
      <c r="F52" s="1328"/>
      <c r="G52" s="1329"/>
      <c r="H52" s="1329"/>
      <c r="I52" s="1330"/>
      <c r="J52" s="1330"/>
      <c r="K52" s="1331" t="str">
        <f>IF(G52="","",MAX(0,G52-SUM(M51)))</f>
        <v/>
      </c>
      <c r="L52" s="1332"/>
      <c r="M52" s="1331" t="str">
        <f>IF(M51="","",SUM(K$48:L52)-SUM(I$48:J51)-G52)</f>
        <v/>
      </c>
      <c r="N52" s="1331"/>
      <c r="O52" s="142"/>
      <c r="P52" s="115"/>
      <c r="R52" s="561">
        <f>D52</f>
        <v>2027</v>
      </c>
      <c r="W52" s="562" t="b">
        <f>OR(AND(COUNTA(B_IdentifyFuelStreams!$E$67:$M$116)&gt;0,R53&gt;MAX(CNTR_ReportingYear,2024)+1),W51)</f>
        <v>0</v>
      </c>
    </row>
    <row r="53" spans="2:23" ht="12.75" customHeight="1" x14ac:dyDescent="0.25">
      <c r="B53" s="132"/>
      <c r="C53" s="132"/>
      <c r="D53" s="1326"/>
      <c r="E53" s="1333" t="str">
        <f>EUconst_ToolActualAmounts  &amp; " " &amp;D52-1</f>
        <v>Actual released amounts 2026</v>
      </c>
      <c r="F53" s="1334"/>
      <c r="G53" s="1335"/>
      <c r="H53" s="1335"/>
      <c r="I53" s="1336"/>
      <c r="J53" s="1336"/>
      <c r="K53" s="1322"/>
      <c r="L53" s="1323"/>
      <c r="M53" s="1324" t="str">
        <f>IF(I53="","",M52+G52-SUM(I52:J53))</f>
        <v/>
      </c>
      <c r="N53" s="1324"/>
      <c r="O53" s="142"/>
      <c r="P53" s="115"/>
      <c r="R53" s="561">
        <f>R52</f>
        <v>2027</v>
      </c>
      <c r="W53" s="562" t="b">
        <f>OR(AND(COUNTA(B_IdentifyFuelStreams!$E$67:$M$116)&gt;0,R54&gt;MAX(CNTR_ReportingYear,2024)+1),W52)</f>
        <v>0</v>
      </c>
    </row>
    <row r="54" spans="2:23" ht="12.75" customHeight="1" x14ac:dyDescent="0.25">
      <c r="B54" s="132"/>
      <c r="C54" s="132"/>
      <c r="D54" s="1325">
        <f>D52+1</f>
        <v>2028</v>
      </c>
      <c r="E54" s="1327" t="str">
        <f>EUconst_ToolBestEstimate &amp; " " &amp;D54-1</f>
        <v>Best estimate 2027</v>
      </c>
      <c r="F54" s="1328"/>
      <c r="G54" s="1329"/>
      <c r="H54" s="1329"/>
      <c r="I54" s="1330"/>
      <c r="J54" s="1330"/>
      <c r="K54" s="1331" t="str">
        <f>IF(G54="","",MAX(0,G54-SUM(M53)))</f>
        <v/>
      </c>
      <c r="L54" s="1332"/>
      <c r="M54" s="1331" t="str">
        <f>IF(M53="","",SUM(K$48:L54)-SUM(I$48:J53)-G54)</f>
        <v/>
      </c>
      <c r="N54" s="1331"/>
      <c r="O54" s="142"/>
      <c r="P54" s="115"/>
      <c r="R54" s="561">
        <f>D54</f>
        <v>2028</v>
      </c>
      <c r="W54" s="562" t="b">
        <f>OR(AND(COUNTA(B_IdentifyFuelStreams!$E$67:$M$116)&gt;0,R55&gt;MAX(CNTR_ReportingYear,2024)+1),W53)</f>
        <v>0</v>
      </c>
    </row>
    <row r="55" spans="2:23" ht="12.75" customHeight="1" x14ac:dyDescent="0.25">
      <c r="B55" s="132"/>
      <c r="C55" s="132"/>
      <c r="D55" s="1326"/>
      <c r="E55" s="1333" t="str">
        <f>EUconst_ToolActualAmounts  &amp; " " &amp;D54-1</f>
        <v>Actual released amounts 2027</v>
      </c>
      <c r="F55" s="1334"/>
      <c r="G55" s="1335"/>
      <c r="H55" s="1335"/>
      <c r="I55" s="1336"/>
      <c r="J55" s="1336"/>
      <c r="K55" s="1322"/>
      <c r="L55" s="1323"/>
      <c r="M55" s="1324" t="str">
        <f>IF(I55="","",M54+G54-SUM(I54:J55))</f>
        <v/>
      </c>
      <c r="N55" s="1324"/>
      <c r="O55" s="142"/>
      <c r="P55" s="115"/>
      <c r="R55" s="561">
        <f>R54</f>
        <v>2028</v>
      </c>
      <c r="W55" s="562" t="b">
        <f>OR(AND(COUNTA(B_IdentifyFuelStreams!$E$67:$M$116)&gt;0,R56&gt;MAX(CNTR_ReportingYear,2024)+1),W54)</f>
        <v>0</v>
      </c>
    </row>
    <row r="56" spans="2:23" ht="12.75" customHeight="1" x14ac:dyDescent="0.25">
      <c r="B56" s="132"/>
      <c r="C56" s="132"/>
      <c r="D56" s="1325">
        <f>D54+1</f>
        <v>2029</v>
      </c>
      <c r="E56" s="1327" t="str">
        <f>EUconst_ToolBestEstimate &amp; " " &amp;D56-1</f>
        <v>Best estimate 2028</v>
      </c>
      <c r="F56" s="1328"/>
      <c r="G56" s="1329"/>
      <c r="H56" s="1329"/>
      <c r="I56" s="1330"/>
      <c r="J56" s="1330"/>
      <c r="K56" s="1331" t="str">
        <f>IF(G56="","",MAX(0,G56-SUM(M55)))</f>
        <v/>
      </c>
      <c r="L56" s="1332"/>
      <c r="M56" s="1331" t="str">
        <f>IF(M55="","",SUM(K$48:L56)-SUM(I$48:J55)-G56)</f>
        <v/>
      </c>
      <c r="N56" s="1331"/>
      <c r="O56" s="142"/>
      <c r="P56" s="115"/>
      <c r="R56" s="561">
        <f>D56</f>
        <v>2029</v>
      </c>
      <c r="W56" s="562" t="b">
        <f>OR(AND(COUNTA(B_IdentifyFuelStreams!$E$67:$M$116)&gt;0,R57&gt;MAX(CNTR_ReportingYear,2024)+1),W55)</f>
        <v>0</v>
      </c>
    </row>
    <row r="57" spans="2:23" ht="12.75" customHeight="1" x14ac:dyDescent="0.25">
      <c r="B57" s="132"/>
      <c r="C57" s="132"/>
      <c r="D57" s="1326"/>
      <c r="E57" s="1333" t="str">
        <f>EUconst_ToolActualAmounts  &amp; " " &amp;D56-1</f>
        <v>Actual released amounts 2028</v>
      </c>
      <c r="F57" s="1334"/>
      <c r="G57" s="1335"/>
      <c r="H57" s="1335"/>
      <c r="I57" s="1336"/>
      <c r="J57" s="1336"/>
      <c r="K57" s="1322"/>
      <c r="L57" s="1323"/>
      <c r="M57" s="1324" t="str">
        <f>IF(I57="","",M56+G56-SUM(I56:J57))</f>
        <v/>
      </c>
      <c r="N57" s="1324"/>
      <c r="O57" s="142"/>
      <c r="P57" s="115"/>
      <c r="R57" s="561">
        <f>R56</f>
        <v>2029</v>
      </c>
      <c r="W57" s="562" t="b">
        <f>OR(AND(COUNTA(B_IdentifyFuelStreams!$E$67:$M$116)&gt;0,R58&gt;MAX(CNTR_ReportingYear,2024)+1),W56)</f>
        <v>0</v>
      </c>
    </row>
    <row r="58" spans="2:23" ht="12.75" customHeight="1" x14ac:dyDescent="0.25">
      <c r="B58" s="132"/>
      <c r="C58" s="132"/>
      <c r="D58" s="1325">
        <f>D56+1</f>
        <v>2030</v>
      </c>
      <c r="E58" s="1327" t="str">
        <f>EUconst_ToolBestEstimate &amp; " " &amp;D58-1</f>
        <v>Best estimate 2029</v>
      </c>
      <c r="F58" s="1328"/>
      <c r="G58" s="1329"/>
      <c r="H58" s="1329"/>
      <c r="I58" s="1330"/>
      <c r="J58" s="1330"/>
      <c r="K58" s="1331" t="str">
        <f>IF(G58="","",MAX(0,G58-SUM(M57)))</f>
        <v/>
      </c>
      <c r="L58" s="1332"/>
      <c r="M58" s="1331" t="str">
        <f>IF(M57="","",SUM(K$48:L58)-SUM(I$48:J57)-G58)</f>
        <v/>
      </c>
      <c r="N58" s="1331"/>
      <c r="O58" s="142"/>
      <c r="P58" s="115"/>
      <c r="R58" s="561">
        <f>D58</f>
        <v>2030</v>
      </c>
      <c r="W58" s="562" t="b">
        <f>OR(AND(COUNTA(B_IdentifyFuelStreams!$E$67:$M$116)&gt;0,R59&gt;MAX(CNTR_ReportingYear,2024)+1),W57)</f>
        <v>0</v>
      </c>
    </row>
    <row r="59" spans="2:23" ht="12.75" customHeight="1" x14ac:dyDescent="0.25">
      <c r="B59" s="132"/>
      <c r="C59" s="132"/>
      <c r="D59" s="1326"/>
      <c r="E59" s="1333" t="str">
        <f>EUconst_ToolActualAmounts  &amp; " " &amp;D58-1</f>
        <v>Actual released amounts 2029</v>
      </c>
      <c r="F59" s="1334"/>
      <c r="G59" s="1335"/>
      <c r="H59" s="1335"/>
      <c r="I59" s="1336"/>
      <c r="J59" s="1336"/>
      <c r="K59" s="1322"/>
      <c r="L59" s="1323"/>
      <c r="M59" s="1324" t="str">
        <f>IF(I59="","",M58+G58-SUM(I58:J59))</f>
        <v/>
      </c>
      <c r="N59" s="1324"/>
      <c r="O59" s="142"/>
      <c r="P59" s="115"/>
      <c r="R59" s="561">
        <f>R58</f>
        <v>2030</v>
      </c>
      <c r="W59" s="562" t="b">
        <f>OR(AND(COUNTA(B_IdentifyFuelStreams!$E$67:$M$116)&gt;0,R60&gt;MAX(CNTR_ReportingYear,2024)+1),W58)</f>
        <v>0</v>
      </c>
    </row>
    <row r="60" spans="2:23" ht="12.75" customHeight="1" x14ac:dyDescent="0.25">
      <c r="B60" s="132"/>
      <c r="C60" s="132"/>
      <c r="D60" s="1325">
        <f>D58+1</f>
        <v>2031</v>
      </c>
      <c r="E60" s="1327" t="str">
        <f>EUconst_ToolBestEstimate &amp; " " &amp;D60-1</f>
        <v>Best estimate 2030</v>
      </c>
      <c r="F60" s="1328"/>
      <c r="G60" s="1329"/>
      <c r="H60" s="1329"/>
      <c r="I60" s="1330"/>
      <c r="J60" s="1330"/>
      <c r="K60" s="1331" t="str">
        <f>IF(G60="","",MAX(0,G60-SUM(M59)))</f>
        <v/>
      </c>
      <c r="L60" s="1332"/>
      <c r="M60" s="1331" t="str">
        <f>IF(M59="","",SUM(K$48:L60)-SUM(I$48:J59)-G60)</f>
        <v/>
      </c>
      <c r="N60" s="1331"/>
      <c r="O60" s="142"/>
      <c r="P60" s="115"/>
      <c r="R60" s="561">
        <f>D60</f>
        <v>2031</v>
      </c>
      <c r="W60" s="562" t="b">
        <f>OR(AND(COUNTA(B_IdentifyFuelStreams!$E$67:$M$116)&gt;0,R61&gt;MAX(CNTR_ReportingYear,2024)+1),W59)</f>
        <v>0</v>
      </c>
    </row>
    <row r="61" spans="2:23" ht="12.75" customHeight="1" x14ac:dyDescent="0.25">
      <c r="B61" s="132"/>
      <c r="C61" s="132"/>
      <c r="D61" s="1326"/>
      <c r="E61" s="1333" t="str">
        <f>EUconst_ToolActualAmounts  &amp; " " &amp;D60-1</f>
        <v>Actual released amounts 2030</v>
      </c>
      <c r="F61" s="1334"/>
      <c r="G61" s="1335"/>
      <c r="H61" s="1335"/>
      <c r="I61" s="1336"/>
      <c r="J61" s="1336"/>
      <c r="K61" s="1322"/>
      <c r="L61" s="1323"/>
      <c r="M61" s="1324" t="str">
        <f>IF(I61="","",M60+G60-SUM(I60:J61))</f>
        <v/>
      </c>
      <c r="N61" s="1324"/>
      <c r="O61" s="142"/>
      <c r="P61" s="115"/>
      <c r="R61" s="561">
        <f>R60</f>
        <v>2031</v>
      </c>
      <c r="W61" s="562" t="b">
        <f>OR(AND(COUNTA(B_IdentifyFuelStreams!$E$67:$M$116)&gt;0,R62&gt;MAX(CNTR_ReportingYear,2024)+1),W60)</f>
        <v>0</v>
      </c>
    </row>
    <row r="62" spans="2:23" ht="12.75" customHeight="1" x14ac:dyDescent="0.25">
      <c r="B62" s="132"/>
      <c r="C62" s="132"/>
      <c r="D62" s="1325">
        <f>D60+1</f>
        <v>2032</v>
      </c>
      <c r="E62" s="1327" t="str">
        <f>EUconst_ToolBestEstimate &amp; " " &amp;D62-1</f>
        <v>Best estimate 2031</v>
      </c>
      <c r="F62" s="1328"/>
      <c r="G62" s="1329"/>
      <c r="H62" s="1329"/>
      <c r="I62" s="1330"/>
      <c r="J62" s="1330"/>
      <c r="K62" s="1331" t="str">
        <f>IF(G62="","",MAX(0,G62-SUM(M61)))</f>
        <v/>
      </c>
      <c r="L62" s="1332"/>
      <c r="M62" s="1331" t="str">
        <f>IF(M61="","",SUM(K$48:L62)-SUM(I$48:J61)-G62)</f>
        <v/>
      </c>
      <c r="N62" s="1331"/>
      <c r="O62" s="142"/>
      <c r="P62" s="115"/>
      <c r="R62" s="561">
        <f>D62</f>
        <v>2032</v>
      </c>
      <c r="W62" s="562" t="b">
        <f>OR(AND(COUNTA(B_IdentifyFuelStreams!$E$67:$M$116)&gt;0,R63&gt;MAX(CNTR_ReportingYear,2024)+1),W61)</f>
        <v>0</v>
      </c>
    </row>
    <row r="63" spans="2:23" ht="12.75" customHeight="1" x14ac:dyDescent="0.25">
      <c r="B63" s="132"/>
      <c r="C63" s="132"/>
      <c r="D63" s="1326"/>
      <c r="E63" s="1333" t="str">
        <f>EUconst_ToolActualAmounts  &amp; " " &amp;D62-1</f>
        <v>Actual released amounts 2031</v>
      </c>
      <c r="F63" s="1334"/>
      <c r="G63" s="1335"/>
      <c r="H63" s="1335"/>
      <c r="I63" s="1336"/>
      <c r="J63" s="1336"/>
      <c r="K63" s="1322"/>
      <c r="L63" s="1323"/>
      <c r="M63" s="1324" t="str">
        <f>IF(I63="","",M62+G62-SUM(I62:J63))</f>
        <v/>
      </c>
      <c r="N63" s="1324"/>
      <c r="O63" s="142"/>
      <c r="P63" s="115"/>
      <c r="R63" s="561">
        <f>R62</f>
        <v>2032</v>
      </c>
      <c r="W63" s="562" t="b">
        <f>OR(AND(COUNTA(B_IdentifyFuelStreams!$E$67:$M$116)&gt;0,R64&gt;MAX(CNTR_ReportingYear,2024)+1),W62)</f>
        <v>0</v>
      </c>
    </row>
    <row r="64" spans="2:23" ht="12.75" customHeight="1" x14ac:dyDescent="0.25">
      <c r="B64" s="132"/>
      <c r="C64" s="132"/>
      <c r="D64" s="1325">
        <f>D62+1</f>
        <v>2033</v>
      </c>
      <c r="E64" s="1327" t="str">
        <f>EUconst_ToolBestEstimate &amp; " " &amp;D64-1</f>
        <v>Best estimate 2032</v>
      </c>
      <c r="F64" s="1328"/>
      <c r="G64" s="1329"/>
      <c r="H64" s="1329"/>
      <c r="I64" s="1330"/>
      <c r="J64" s="1330"/>
      <c r="K64" s="1331" t="str">
        <f>IF(G64="","",MAX(0,G64-SUM(M63)))</f>
        <v/>
      </c>
      <c r="L64" s="1332"/>
      <c r="M64" s="1331" t="str">
        <f>IF(M63="","",SUM(K$48:L64)-SUM(I$48:J63)-G64)</f>
        <v/>
      </c>
      <c r="N64" s="1331"/>
      <c r="O64" s="142"/>
      <c r="P64" s="115"/>
      <c r="R64" s="561">
        <f>D64</f>
        <v>2033</v>
      </c>
      <c r="W64" s="562" t="b">
        <f>OR(AND(COUNTA(B_IdentifyFuelStreams!$E$67:$M$116)&gt;0,R65&gt;MAX(CNTR_ReportingYear,2024)+1),W63)</f>
        <v>0</v>
      </c>
    </row>
    <row r="65" spans="1:24" ht="12.75" customHeight="1" x14ac:dyDescent="0.25">
      <c r="B65" s="132"/>
      <c r="C65" s="132"/>
      <c r="D65" s="1326"/>
      <c r="E65" s="1333" t="str">
        <f>EUconst_ToolActualAmounts  &amp; " " &amp;D64-1</f>
        <v>Actual released amounts 2032</v>
      </c>
      <c r="F65" s="1334"/>
      <c r="G65" s="1335"/>
      <c r="H65" s="1335"/>
      <c r="I65" s="1336"/>
      <c r="J65" s="1336"/>
      <c r="K65" s="1322"/>
      <c r="L65" s="1323"/>
      <c r="M65" s="1324" t="str">
        <f>IF(I65="","",M64+G64-SUM(I64:J65))</f>
        <v/>
      </c>
      <c r="N65" s="1324"/>
      <c r="O65" s="142"/>
      <c r="P65" s="115"/>
      <c r="R65" s="561">
        <f>R64</f>
        <v>2033</v>
      </c>
      <c r="W65" s="562" t="b">
        <f>OR(AND(COUNTA(B_IdentifyFuelStreams!$E$67:$M$116)&gt;0,R66&gt;MAX(CNTR_ReportingYear,2024)+1),W64)</f>
        <v>0</v>
      </c>
    </row>
    <row r="66" spans="1:24" ht="12.75" customHeight="1" x14ac:dyDescent="0.25">
      <c r="B66" s="132"/>
      <c r="C66" s="132"/>
      <c r="D66" s="1325">
        <f>D64+1</f>
        <v>2034</v>
      </c>
      <c r="E66" s="1327" t="str">
        <f>EUconst_ToolBestEstimate &amp; " " &amp;D66-1</f>
        <v>Best estimate 2033</v>
      </c>
      <c r="F66" s="1328"/>
      <c r="G66" s="1329"/>
      <c r="H66" s="1329"/>
      <c r="I66" s="1330"/>
      <c r="J66" s="1330"/>
      <c r="K66" s="1331" t="str">
        <f>IF(G66="","",MAX(0,G66-SUM(M65)))</f>
        <v/>
      </c>
      <c r="L66" s="1332"/>
      <c r="M66" s="1331" t="str">
        <f>IF(M65="","",SUM(K$48:L66)-SUM(I$48:J65)-G66)</f>
        <v/>
      </c>
      <c r="N66" s="1331"/>
      <c r="O66" s="142"/>
      <c r="P66" s="115"/>
      <c r="R66" s="561">
        <f>D66</f>
        <v>2034</v>
      </c>
      <c r="W66" s="562" t="b">
        <f>OR(AND(COUNTA(B_IdentifyFuelStreams!$E$67:$M$116)&gt;0,R67&gt;MAX(CNTR_ReportingYear,2024)+1),W65)</f>
        <v>0</v>
      </c>
    </row>
    <row r="67" spans="1:24" ht="12.75" customHeight="1" x14ac:dyDescent="0.25">
      <c r="B67" s="132"/>
      <c r="C67" s="132"/>
      <c r="D67" s="1326"/>
      <c r="E67" s="1333" t="str">
        <f>EUconst_ToolActualAmounts  &amp; " " &amp;D66-1</f>
        <v>Actual released amounts 2033</v>
      </c>
      <c r="F67" s="1334"/>
      <c r="G67" s="1335"/>
      <c r="H67" s="1335"/>
      <c r="I67" s="1336"/>
      <c r="J67" s="1336"/>
      <c r="K67" s="1322"/>
      <c r="L67" s="1323"/>
      <c r="M67" s="1324" t="str">
        <f>IF(I67="","",M66+G66-SUM(I66:J67))</f>
        <v/>
      </c>
      <c r="N67" s="1324"/>
      <c r="O67" s="142"/>
      <c r="P67" s="115"/>
      <c r="R67" s="561">
        <f>R66</f>
        <v>2034</v>
      </c>
      <c r="W67" s="562" t="b">
        <f>OR(AND(COUNTA(B_IdentifyFuelStreams!$E$67:$M$116)&gt;0,R68&gt;MAX(CNTR_ReportingYear,2024)+1),W66)</f>
        <v>0</v>
      </c>
    </row>
    <row r="68" spans="1:24" ht="12.75" customHeight="1" x14ac:dyDescent="0.25">
      <c r="B68" s="132"/>
      <c r="C68" s="132"/>
      <c r="D68" s="1325">
        <f>D66+1</f>
        <v>2035</v>
      </c>
      <c r="E68" s="1327" t="str">
        <f>EUconst_ToolBestEstimate &amp; " " &amp;D68-1</f>
        <v>Best estimate 2034</v>
      </c>
      <c r="F68" s="1328"/>
      <c r="G68" s="1329"/>
      <c r="H68" s="1329"/>
      <c r="I68" s="1330"/>
      <c r="J68" s="1330"/>
      <c r="K68" s="1331" t="str">
        <f>IF(G68="","",MAX(0,G68-SUM(M67)))</f>
        <v/>
      </c>
      <c r="L68" s="1332"/>
      <c r="M68" s="1331" t="str">
        <f>IF(M67="","",SUM(K$48:L68)-SUM(I$48:J67)-G68)</f>
        <v/>
      </c>
      <c r="N68" s="1331"/>
      <c r="O68" s="142"/>
      <c r="P68" s="115"/>
      <c r="R68" s="561">
        <f>D68</f>
        <v>2035</v>
      </c>
      <c r="W68" s="562" t="b">
        <f>OR(AND(COUNTA(B_IdentifyFuelStreams!$E$67:$M$116)&gt;0,R69&gt;MAX(CNTR_ReportingYear,2024)+1),W67)</f>
        <v>0</v>
      </c>
    </row>
    <row r="69" spans="1:24" ht="12.75" customHeight="1" x14ac:dyDescent="0.25">
      <c r="B69" s="132"/>
      <c r="C69" s="132"/>
      <c r="D69" s="1326"/>
      <c r="E69" s="1333" t="str">
        <f>EUconst_ToolActualAmounts  &amp; " " &amp;D68-1</f>
        <v>Actual released amounts 2034</v>
      </c>
      <c r="F69" s="1334"/>
      <c r="G69" s="1335"/>
      <c r="H69" s="1335"/>
      <c r="I69" s="1336"/>
      <c r="J69" s="1336"/>
      <c r="K69" s="1322"/>
      <c r="L69" s="1323"/>
      <c r="M69" s="1324" t="str">
        <f>IF(I69="","",M68+G68-SUM(I68:J69))</f>
        <v/>
      </c>
      <c r="N69" s="1324"/>
      <c r="O69" s="142"/>
      <c r="P69" s="115"/>
      <c r="R69" s="561">
        <f>R68</f>
        <v>2035</v>
      </c>
      <c r="W69" s="562" t="b">
        <f>OR(AND(COUNTA(B_IdentifyFuelStreams!$E$67:$M$116)&gt;0,R70&gt;MAX(CNTR_ReportingYear,2024)+1),W68)</f>
        <v>0</v>
      </c>
    </row>
    <row r="70" spans="1:24" ht="12.75" customHeight="1" x14ac:dyDescent="0.25">
      <c r="B70" s="132"/>
      <c r="C70" s="132"/>
      <c r="D70" s="132"/>
      <c r="E70" s="191"/>
      <c r="F70" s="116"/>
      <c r="G70" s="116"/>
      <c r="H70" s="116"/>
      <c r="I70" s="116"/>
      <c r="J70" s="116"/>
      <c r="K70" s="116"/>
      <c r="L70" s="116"/>
      <c r="M70" s="116"/>
      <c r="N70" s="132"/>
      <c r="O70" s="142"/>
      <c r="P70" s="115"/>
    </row>
    <row r="71" spans="1:24" s="69" customFormat="1" ht="18.75" customHeight="1" x14ac:dyDescent="0.25">
      <c r="A71" s="167">
        <f>C71</f>
        <v>3</v>
      </c>
      <c r="B71" s="76"/>
      <c r="C71" s="216">
        <v>3</v>
      </c>
      <c r="D71" s="1195" t="str">
        <f>Translations!$B$499</f>
        <v>Tool 2</v>
      </c>
      <c r="E71" s="1195"/>
      <c r="F71" s="1195"/>
      <c r="G71" s="1195"/>
      <c r="H71" s="1195"/>
      <c r="I71" s="1195"/>
      <c r="J71" s="1195"/>
      <c r="K71" s="1195"/>
      <c r="L71" s="1195"/>
      <c r="M71" s="1195"/>
      <c r="N71" s="1195"/>
      <c r="O71" s="142"/>
      <c r="P71" s="115"/>
      <c r="Q71" s="464" t="str">
        <f>D71</f>
        <v>Tool 2</v>
      </c>
      <c r="R71" s="110"/>
      <c r="S71" s="110"/>
      <c r="T71" s="110"/>
      <c r="U71" s="110"/>
      <c r="V71" s="109"/>
      <c r="W71" s="109"/>
      <c r="X71" s="109"/>
    </row>
    <row r="72" spans="1:24" ht="12.75" customHeight="1" x14ac:dyDescent="0.25">
      <c r="B72" s="132"/>
      <c r="C72" s="132"/>
      <c r="D72" s="132"/>
      <c r="E72" s="191"/>
      <c r="F72" s="116"/>
      <c r="G72" s="116"/>
      <c r="H72" s="116"/>
      <c r="I72" s="116"/>
      <c r="J72" s="116"/>
      <c r="K72" s="116"/>
      <c r="L72" s="116"/>
      <c r="M72" s="116"/>
      <c r="N72" s="132"/>
      <c r="O72" s="142"/>
      <c r="P72" s="115"/>
    </row>
    <row r="73" spans="1:24" ht="12.75" customHeight="1" x14ac:dyDescent="0.25">
      <c r="B73" s="132"/>
      <c r="C73" s="132"/>
      <c r="D73" s="132"/>
      <c r="E73" s="173"/>
      <c r="F73" s="530"/>
      <c r="G73" s="552"/>
      <c r="H73" s="558" t="str">
        <f>Translations!$B$497</f>
        <v>Fuel stream to which entries in this tool relate:</v>
      </c>
      <c r="I73" s="1340"/>
      <c r="J73" s="1340"/>
      <c r="K73" s="1340"/>
      <c r="L73" s="1340"/>
      <c r="M73" s="1340"/>
      <c r="N73" s="1340"/>
      <c r="O73" s="142"/>
      <c r="P73" s="115"/>
    </row>
    <row r="74" spans="1:24" ht="12.75" customHeight="1" x14ac:dyDescent="0.25">
      <c r="B74" s="132"/>
      <c r="C74" s="132"/>
      <c r="D74" s="132"/>
      <c r="E74" s="191"/>
      <c r="F74" s="116"/>
      <c r="G74" s="116"/>
      <c r="H74" s="116"/>
      <c r="I74" s="116"/>
      <c r="J74" s="116"/>
      <c r="K74" s="116"/>
      <c r="L74" s="116"/>
      <c r="M74" s="116"/>
      <c r="N74" s="132"/>
      <c r="O74" s="142"/>
      <c r="P74" s="115"/>
    </row>
    <row r="75" spans="1:24" ht="12.75" customHeight="1" x14ac:dyDescent="0.25">
      <c r="B75" s="132"/>
      <c r="C75" s="132"/>
      <c r="D75" s="132"/>
      <c r="E75" s="559" t="str">
        <f>Translations!$B$498</f>
        <v>Units:</v>
      </c>
      <c r="F75" s="560" t="str">
        <f>IF(I73="","",INDEX(C_FuelStreams!BM:BM,MATCH(I73,C_FuelStreams!BI:BI,0)))</f>
        <v/>
      </c>
      <c r="G75" s="1341" t="str">
        <f>EUconst_ToolBestEstimate</f>
        <v>Best estimate</v>
      </c>
      <c r="H75" s="1342"/>
      <c r="I75" s="1341" t="str">
        <f>EUconst_ToolActualAmounts</f>
        <v>Actual released amounts</v>
      </c>
      <c r="J75" s="1343"/>
      <c r="K75" s="1341" t="str">
        <f>Translations!$B$484</f>
        <v>Reportable amounts</v>
      </c>
      <c r="L75" s="1343"/>
      <c r="M75" s="1342" t="str">
        <f>Translations!$B$485</f>
        <v>Balance</v>
      </c>
      <c r="N75" s="1343"/>
      <c r="O75" s="142"/>
      <c r="P75" s="115"/>
    </row>
    <row r="76" spans="1:24" ht="12.75" customHeight="1" x14ac:dyDescent="0.25">
      <c r="B76" s="132"/>
      <c r="C76" s="132"/>
      <c r="D76" s="132"/>
      <c r="E76" s="173"/>
      <c r="F76" s="552"/>
      <c r="G76" s="1337" t="str">
        <f>Translations!$B$486</f>
        <v xml:space="preserve"> (for year Y-1)</v>
      </c>
      <c r="H76" s="1338"/>
      <c r="I76" s="1337" t="str">
        <f>Translations!$B$487</f>
        <v>(in year Y-1)</v>
      </c>
      <c r="J76" s="1339"/>
      <c r="K76" s="1337" t="str">
        <f>Translations!$B$488</f>
        <v>(in year Y for Y-1)</v>
      </c>
      <c r="L76" s="1339"/>
      <c r="M76" s="1338" t="str">
        <f>Translations!$B$489</f>
        <v>(reported - actual)</v>
      </c>
      <c r="N76" s="1339"/>
      <c r="O76" s="142"/>
      <c r="P76" s="115"/>
      <c r="T76" s="110" t="s">
        <v>186</v>
      </c>
      <c r="U76" s="110" t="s">
        <v>185</v>
      </c>
      <c r="W76" s="110" t="s">
        <v>185</v>
      </c>
    </row>
    <row r="77" spans="1:24" ht="12.75" customHeight="1" x14ac:dyDescent="0.25">
      <c r="B77" s="132"/>
      <c r="C77" s="132"/>
      <c r="D77" s="1325">
        <v>2025</v>
      </c>
      <c r="E77" s="1327" t="str">
        <f>EUconst_ToolBestEstimate &amp; " " &amp;D77-1</f>
        <v>Best estimate 2024</v>
      </c>
      <c r="F77" s="1328"/>
      <c r="G77" s="1329"/>
      <c r="H77" s="1329"/>
      <c r="I77" s="1330"/>
      <c r="J77" s="1330"/>
      <c r="K77" s="1331" t="str">
        <f>IF(G77="","",MAX(0,G77-SUM(M76)))</f>
        <v/>
      </c>
      <c r="L77" s="1332"/>
      <c r="M77" s="1330"/>
      <c r="N77" s="1330"/>
      <c r="O77" s="142"/>
      <c r="P77" s="115"/>
      <c r="R77" s="561">
        <f>D77</f>
        <v>2025</v>
      </c>
      <c r="U77" s="562" t="b">
        <f>AND(COUNTA(B_IdentifyFuelStreams!$E$67:$M$116)&gt;0,R77&gt;CNTR_ReportingYear+1)</f>
        <v>0</v>
      </c>
      <c r="W77" s="562" t="b">
        <f>OR(U78,W76)</f>
        <v>0</v>
      </c>
    </row>
    <row r="78" spans="1:24" ht="12.75" customHeight="1" x14ac:dyDescent="0.25">
      <c r="B78" s="132"/>
      <c r="C78" s="132"/>
      <c r="D78" s="1326"/>
      <c r="E78" s="1333" t="str">
        <f>EUconst_ToolActualAmounts  &amp; " " &amp;D77-1</f>
        <v>Actual released amounts 2024</v>
      </c>
      <c r="F78" s="1334"/>
      <c r="G78" s="1335"/>
      <c r="H78" s="1335"/>
      <c r="I78" s="1336"/>
      <c r="J78" s="1336"/>
      <c r="K78" s="1322"/>
      <c r="L78" s="1323"/>
      <c r="M78" s="1324" t="str">
        <f>IF(I78="","",M77+G77-SUM(I77:J78))</f>
        <v/>
      </c>
      <c r="N78" s="1324"/>
      <c r="O78" s="142"/>
      <c r="P78" s="115"/>
      <c r="R78" s="561">
        <f>R77</f>
        <v>2025</v>
      </c>
      <c r="U78" s="562" t="b">
        <f>AND(COUNTA(B_IdentifyFuelStreams!$E$67:$M$116)&gt;0,R78&gt;CNTR_ReportingYear+1)</f>
        <v>0</v>
      </c>
      <c r="W78" s="562" t="b">
        <f t="shared" ref="W78:W98" si="0">OR(U79,W77)</f>
        <v>0</v>
      </c>
    </row>
    <row r="79" spans="1:24" ht="12.75" customHeight="1" x14ac:dyDescent="0.25">
      <c r="B79" s="132"/>
      <c r="C79" s="132"/>
      <c r="D79" s="1325">
        <f>D77+1</f>
        <v>2026</v>
      </c>
      <c r="E79" s="1327" t="str">
        <f>EUconst_ToolBestEstimate &amp; " " &amp;D79-1</f>
        <v>Best estimate 2025</v>
      </c>
      <c r="F79" s="1328"/>
      <c r="G79" s="1329"/>
      <c r="H79" s="1329"/>
      <c r="I79" s="1330"/>
      <c r="J79" s="1330"/>
      <c r="K79" s="1331" t="str">
        <f>IF(G79="","",MAX(0,G79-SUM(M78)))</f>
        <v/>
      </c>
      <c r="L79" s="1332"/>
      <c r="M79" s="1331" t="str">
        <f>IF(M78="","",SUM(K$77:L79)-SUM(I$77:J78)-G79)</f>
        <v/>
      </c>
      <c r="N79" s="1331"/>
      <c r="O79" s="142"/>
      <c r="P79" s="115"/>
      <c r="R79" s="561">
        <f>D79</f>
        <v>2026</v>
      </c>
      <c r="U79" s="562" t="b">
        <f>AND(COUNTA(B_IdentifyFuelStreams!$E$67:$M$116)&gt;0,R79&gt;CNTR_ReportingYear+1)</f>
        <v>0</v>
      </c>
      <c r="W79" s="562" t="b">
        <f t="shared" si="0"/>
        <v>0</v>
      </c>
    </row>
    <row r="80" spans="1:24" ht="12.75" customHeight="1" x14ac:dyDescent="0.25">
      <c r="B80" s="132"/>
      <c r="C80" s="132"/>
      <c r="D80" s="1326"/>
      <c r="E80" s="1333" t="str">
        <f>EUconst_ToolActualAmounts  &amp; " " &amp;D79-1</f>
        <v>Actual released amounts 2025</v>
      </c>
      <c r="F80" s="1334"/>
      <c r="G80" s="1335"/>
      <c r="H80" s="1335"/>
      <c r="I80" s="1336"/>
      <c r="J80" s="1336"/>
      <c r="K80" s="1322"/>
      <c r="L80" s="1323"/>
      <c r="M80" s="1324" t="str">
        <f>IF(I80="","",M79+G79-SUM(I79:J80))</f>
        <v/>
      </c>
      <c r="N80" s="1324"/>
      <c r="O80" s="142"/>
      <c r="P80" s="115"/>
      <c r="R80" s="561">
        <f>R79</f>
        <v>2026</v>
      </c>
      <c r="U80" s="562" t="b">
        <f>AND(COUNTA(B_IdentifyFuelStreams!$E$67:$M$116)&gt;0,R80&gt;CNTR_ReportingYear+1)</f>
        <v>0</v>
      </c>
      <c r="W80" s="562" t="b">
        <f t="shared" si="0"/>
        <v>0</v>
      </c>
    </row>
    <row r="81" spans="2:23" ht="12.75" customHeight="1" x14ac:dyDescent="0.25">
      <c r="B81" s="132"/>
      <c r="C81" s="132"/>
      <c r="D81" s="1325">
        <f>D79+1</f>
        <v>2027</v>
      </c>
      <c r="E81" s="1327" t="str">
        <f>EUconst_ToolBestEstimate &amp; " " &amp;D81-1</f>
        <v>Best estimate 2026</v>
      </c>
      <c r="F81" s="1328"/>
      <c r="G81" s="1329"/>
      <c r="H81" s="1329"/>
      <c r="I81" s="1330"/>
      <c r="J81" s="1330"/>
      <c r="K81" s="1331" t="str">
        <f>IF(G81="","",MAX(0,G81-SUM(M80)))</f>
        <v/>
      </c>
      <c r="L81" s="1332"/>
      <c r="M81" s="1331" t="str">
        <f>IF(M80="","",SUM(K$77:L81)-SUM(I$77:J80)-G81)</f>
        <v/>
      </c>
      <c r="N81" s="1331"/>
      <c r="O81" s="142"/>
      <c r="P81" s="115"/>
      <c r="R81" s="561">
        <f>D81</f>
        <v>2027</v>
      </c>
      <c r="U81" s="562" t="b">
        <f>AND(COUNTA(B_IdentifyFuelStreams!$E$67:$M$116)&gt;0,R81&gt;CNTR_ReportingYear+1)</f>
        <v>0</v>
      </c>
      <c r="W81" s="562" t="b">
        <f t="shared" si="0"/>
        <v>0</v>
      </c>
    </row>
    <row r="82" spans="2:23" ht="12.75" customHeight="1" x14ac:dyDescent="0.25">
      <c r="B82" s="132"/>
      <c r="C82" s="132"/>
      <c r="D82" s="1326"/>
      <c r="E82" s="1333" t="str">
        <f>EUconst_ToolActualAmounts  &amp; " " &amp;D81-1</f>
        <v>Actual released amounts 2026</v>
      </c>
      <c r="F82" s="1334"/>
      <c r="G82" s="1335"/>
      <c r="H82" s="1335"/>
      <c r="I82" s="1336"/>
      <c r="J82" s="1336"/>
      <c r="K82" s="1322"/>
      <c r="L82" s="1323"/>
      <c r="M82" s="1324" t="str">
        <f>IF(I82="","",M81+G81-SUM(I81:J82))</f>
        <v/>
      </c>
      <c r="N82" s="1324"/>
      <c r="O82" s="142"/>
      <c r="P82" s="115"/>
      <c r="R82" s="561">
        <f>R81</f>
        <v>2027</v>
      </c>
      <c r="U82" s="562" t="b">
        <f>AND(COUNTA(B_IdentifyFuelStreams!$E$67:$M$116)&gt;0,R82&gt;CNTR_ReportingYear+1)</f>
        <v>0</v>
      </c>
      <c r="W82" s="562" t="b">
        <f t="shared" si="0"/>
        <v>0</v>
      </c>
    </row>
    <row r="83" spans="2:23" ht="12.75" customHeight="1" x14ac:dyDescent="0.25">
      <c r="B83" s="132"/>
      <c r="C83" s="132"/>
      <c r="D83" s="1325">
        <f>D81+1</f>
        <v>2028</v>
      </c>
      <c r="E83" s="1327" t="str">
        <f>EUconst_ToolBestEstimate &amp; " " &amp;D83-1</f>
        <v>Best estimate 2027</v>
      </c>
      <c r="F83" s="1328"/>
      <c r="G83" s="1329"/>
      <c r="H83" s="1329"/>
      <c r="I83" s="1330"/>
      <c r="J83" s="1330"/>
      <c r="K83" s="1331" t="str">
        <f>IF(G83="","",MAX(0,G83-SUM(M82)))</f>
        <v/>
      </c>
      <c r="L83" s="1332"/>
      <c r="M83" s="1331" t="str">
        <f>IF(M82="","",SUM(K$77:L83)-SUM(I$77:J82)-G83)</f>
        <v/>
      </c>
      <c r="N83" s="1331"/>
      <c r="O83" s="142"/>
      <c r="P83" s="115"/>
      <c r="R83" s="561">
        <f>D83</f>
        <v>2028</v>
      </c>
      <c r="U83" s="562" t="b">
        <f>AND(COUNTA(B_IdentifyFuelStreams!$E$67:$M$116)&gt;0,R83&gt;CNTR_ReportingYear+1)</f>
        <v>0</v>
      </c>
      <c r="W83" s="562" t="b">
        <f t="shared" si="0"/>
        <v>0</v>
      </c>
    </row>
    <row r="84" spans="2:23" ht="12.75" customHeight="1" x14ac:dyDescent="0.25">
      <c r="B84" s="132"/>
      <c r="C84" s="132"/>
      <c r="D84" s="1326"/>
      <c r="E84" s="1333" t="str">
        <f>EUconst_ToolActualAmounts  &amp; " " &amp;D83-1</f>
        <v>Actual released amounts 2027</v>
      </c>
      <c r="F84" s="1334"/>
      <c r="G84" s="1335"/>
      <c r="H84" s="1335"/>
      <c r="I84" s="1336"/>
      <c r="J84" s="1336"/>
      <c r="K84" s="1322"/>
      <c r="L84" s="1323"/>
      <c r="M84" s="1324" t="str">
        <f>IF(I84="","",M83+G83-SUM(I83:J84))</f>
        <v/>
      </c>
      <c r="N84" s="1324"/>
      <c r="O84" s="142"/>
      <c r="P84" s="115"/>
      <c r="R84" s="561">
        <f>R83</f>
        <v>2028</v>
      </c>
      <c r="U84" s="562" t="b">
        <f>AND(COUNTA(B_IdentifyFuelStreams!$E$67:$M$116)&gt;0,R84&gt;CNTR_ReportingYear+1)</f>
        <v>0</v>
      </c>
      <c r="W84" s="562" t="b">
        <f t="shared" si="0"/>
        <v>0</v>
      </c>
    </row>
    <row r="85" spans="2:23" ht="12.75" customHeight="1" x14ac:dyDescent="0.25">
      <c r="B85" s="132"/>
      <c r="C85" s="132"/>
      <c r="D85" s="1325">
        <f>D83+1</f>
        <v>2029</v>
      </c>
      <c r="E85" s="1327" t="str">
        <f>EUconst_ToolBestEstimate &amp; " " &amp;D85-1</f>
        <v>Best estimate 2028</v>
      </c>
      <c r="F85" s="1328"/>
      <c r="G85" s="1329"/>
      <c r="H85" s="1329"/>
      <c r="I85" s="1330"/>
      <c r="J85" s="1330"/>
      <c r="K85" s="1331" t="str">
        <f>IF(G85="","",MAX(0,G85-SUM(M84)))</f>
        <v/>
      </c>
      <c r="L85" s="1332"/>
      <c r="M85" s="1331" t="str">
        <f>IF(M84="","",SUM(K$77:L85)-SUM(I$77:J84)-G85)</f>
        <v/>
      </c>
      <c r="N85" s="1331"/>
      <c r="O85" s="142"/>
      <c r="P85" s="115"/>
      <c r="R85" s="561">
        <f>D85</f>
        <v>2029</v>
      </c>
      <c r="U85" s="562" t="b">
        <f>AND(COUNTA(B_IdentifyFuelStreams!$E$67:$M$116)&gt;0,R85&gt;CNTR_ReportingYear+1)</f>
        <v>0</v>
      </c>
      <c r="W85" s="562" t="b">
        <f t="shared" si="0"/>
        <v>0</v>
      </c>
    </row>
    <row r="86" spans="2:23" ht="12.75" customHeight="1" x14ac:dyDescent="0.25">
      <c r="B86" s="132"/>
      <c r="C86" s="132"/>
      <c r="D86" s="1326"/>
      <c r="E86" s="1333" t="str">
        <f>EUconst_ToolActualAmounts  &amp; " " &amp;D85-1</f>
        <v>Actual released amounts 2028</v>
      </c>
      <c r="F86" s="1334"/>
      <c r="G86" s="1335"/>
      <c r="H86" s="1335"/>
      <c r="I86" s="1336"/>
      <c r="J86" s="1336"/>
      <c r="K86" s="1322"/>
      <c r="L86" s="1323"/>
      <c r="M86" s="1324" t="str">
        <f>IF(I86="","",M85+G85-SUM(I85:J86))</f>
        <v/>
      </c>
      <c r="N86" s="1324"/>
      <c r="O86" s="142"/>
      <c r="P86" s="115"/>
      <c r="R86" s="561">
        <f>R85</f>
        <v>2029</v>
      </c>
      <c r="U86" s="562" t="b">
        <f>AND(COUNTA(B_IdentifyFuelStreams!$E$67:$M$116)&gt;0,R86&gt;CNTR_ReportingYear+1)</f>
        <v>0</v>
      </c>
      <c r="W86" s="562" t="b">
        <f t="shared" si="0"/>
        <v>0</v>
      </c>
    </row>
    <row r="87" spans="2:23" ht="12.75" customHeight="1" x14ac:dyDescent="0.25">
      <c r="B87" s="132"/>
      <c r="C87" s="132"/>
      <c r="D87" s="1325">
        <f>D85+1</f>
        <v>2030</v>
      </c>
      <c r="E87" s="1327" t="str">
        <f>EUconst_ToolBestEstimate &amp; " " &amp;D87-1</f>
        <v>Best estimate 2029</v>
      </c>
      <c r="F87" s="1328"/>
      <c r="G87" s="1329"/>
      <c r="H87" s="1329"/>
      <c r="I87" s="1330"/>
      <c r="J87" s="1330"/>
      <c r="K87" s="1331" t="str">
        <f>IF(G87="","",MAX(0,G87-SUM(M86)))</f>
        <v/>
      </c>
      <c r="L87" s="1332"/>
      <c r="M87" s="1331" t="str">
        <f>IF(M86="","",SUM(K$77:L87)-SUM(I$77:J86)-G87)</f>
        <v/>
      </c>
      <c r="N87" s="1331"/>
      <c r="O87" s="142"/>
      <c r="P87" s="115"/>
      <c r="R87" s="561">
        <f>D87</f>
        <v>2030</v>
      </c>
      <c r="U87" s="562" t="b">
        <f>AND(COUNTA(B_IdentifyFuelStreams!$E$67:$M$116)&gt;0,R87&gt;CNTR_ReportingYear+1)</f>
        <v>0</v>
      </c>
      <c r="W87" s="562" t="b">
        <f t="shared" si="0"/>
        <v>0</v>
      </c>
    </row>
    <row r="88" spans="2:23" ht="12.75" customHeight="1" x14ac:dyDescent="0.25">
      <c r="B88" s="132"/>
      <c r="C88" s="132"/>
      <c r="D88" s="1326"/>
      <c r="E88" s="1333" t="str">
        <f>EUconst_ToolActualAmounts  &amp; " " &amp;D87-1</f>
        <v>Actual released amounts 2029</v>
      </c>
      <c r="F88" s="1334"/>
      <c r="G88" s="1335"/>
      <c r="H88" s="1335"/>
      <c r="I88" s="1336"/>
      <c r="J88" s="1336"/>
      <c r="K88" s="1322"/>
      <c r="L88" s="1323"/>
      <c r="M88" s="1324" t="str">
        <f>IF(I88="","",M87+G87-SUM(I87:J88))</f>
        <v/>
      </c>
      <c r="N88" s="1324"/>
      <c r="O88" s="142"/>
      <c r="P88" s="115"/>
      <c r="R88" s="561">
        <f>R87</f>
        <v>2030</v>
      </c>
      <c r="U88" s="562" t="b">
        <f>AND(COUNTA(B_IdentifyFuelStreams!$E$67:$M$116)&gt;0,R88&gt;CNTR_ReportingYear+1)</f>
        <v>0</v>
      </c>
      <c r="W88" s="562" t="b">
        <f t="shared" si="0"/>
        <v>0</v>
      </c>
    </row>
    <row r="89" spans="2:23" ht="12.75" customHeight="1" x14ac:dyDescent="0.25">
      <c r="B89" s="132"/>
      <c r="C89" s="132"/>
      <c r="D89" s="1325">
        <f>D87+1</f>
        <v>2031</v>
      </c>
      <c r="E89" s="1327" t="str">
        <f>EUconst_ToolBestEstimate &amp; " " &amp;D89-1</f>
        <v>Best estimate 2030</v>
      </c>
      <c r="F89" s="1328"/>
      <c r="G89" s="1329"/>
      <c r="H89" s="1329"/>
      <c r="I89" s="1330"/>
      <c r="J89" s="1330"/>
      <c r="K89" s="1331" t="str">
        <f>IF(G89="","",MAX(0,G89-SUM(M88)))</f>
        <v/>
      </c>
      <c r="L89" s="1332"/>
      <c r="M89" s="1331" t="str">
        <f>IF(M88="","",SUM(K$77:L89)-SUM(I$77:J88)-G89)</f>
        <v/>
      </c>
      <c r="N89" s="1331"/>
      <c r="O89" s="142"/>
      <c r="P89" s="115"/>
      <c r="R89" s="561">
        <f>D89</f>
        <v>2031</v>
      </c>
      <c r="U89" s="562" t="b">
        <f>AND(COUNTA(B_IdentifyFuelStreams!$E$67:$M$116)&gt;0,R89&gt;CNTR_ReportingYear+1)</f>
        <v>0</v>
      </c>
      <c r="W89" s="562" t="b">
        <f t="shared" si="0"/>
        <v>0</v>
      </c>
    </row>
    <row r="90" spans="2:23" ht="12.75" customHeight="1" x14ac:dyDescent="0.25">
      <c r="B90" s="132"/>
      <c r="C90" s="132"/>
      <c r="D90" s="1326"/>
      <c r="E90" s="1333" t="str">
        <f>EUconst_ToolActualAmounts  &amp; " " &amp;D89-1</f>
        <v>Actual released amounts 2030</v>
      </c>
      <c r="F90" s="1334"/>
      <c r="G90" s="1335"/>
      <c r="H90" s="1335"/>
      <c r="I90" s="1336"/>
      <c r="J90" s="1336"/>
      <c r="K90" s="1322"/>
      <c r="L90" s="1323"/>
      <c r="M90" s="1324" t="str">
        <f>IF(I90="","",M89+G89-SUM(I89:J90))</f>
        <v/>
      </c>
      <c r="N90" s="1324"/>
      <c r="O90" s="142"/>
      <c r="P90" s="115"/>
      <c r="R90" s="561">
        <f>R89</f>
        <v>2031</v>
      </c>
      <c r="U90" s="562" t="b">
        <f>AND(COUNTA(B_IdentifyFuelStreams!$E$67:$M$116)&gt;0,R90&gt;CNTR_ReportingYear+1)</f>
        <v>0</v>
      </c>
      <c r="W90" s="562" t="b">
        <f t="shared" si="0"/>
        <v>0</v>
      </c>
    </row>
    <row r="91" spans="2:23" ht="12.75" customHeight="1" x14ac:dyDescent="0.25">
      <c r="B91" s="132"/>
      <c r="C91" s="132"/>
      <c r="D91" s="1325">
        <f>D89+1</f>
        <v>2032</v>
      </c>
      <c r="E91" s="1327" t="str">
        <f>EUconst_ToolBestEstimate &amp; " " &amp;D91-1</f>
        <v>Best estimate 2031</v>
      </c>
      <c r="F91" s="1328"/>
      <c r="G91" s="1329"/>
      <c r="H91" s="1329"/>
      <c r="I91" s="1330"/>
      <c r="J91" s="1330"/>
      <c r="K91" s="1331" t="str">
        <f>IF(G91="","",MAX(0,G91-SUM(M90)))</f>
        <v/>
      </c>
      <c r="L91" s="1332"/>
      <c r="M91" s="1331" t="str">
        <f>IF(M90="","",SUM(K$77:L91)-SUM(I$77:J90)-G91)</f>
        <v/>
      </c>
      <c r="N91" s="1331"/>
      <c r="O91" s="142"/>
      <c r="P91" s="115"/>
      <c r="R91" s="561">
        <f>D91</f>
        <v>2032</v>
      </c>
      <c r="U91" s="562" t="b">
        <f>AND(COUNTA(B_IdentifyFuelStreams!$E$67:$M$116)&gt;0,R91&gt;CNTR_ReportingYear+1)</f>
        <v>0</v>
      </c>
      <c r="W91" s="562" t="b">
        <f t="shared" si="0"/>
        <v>0</v>
      </c>
    </row>
    <row r="92" spans="2:23" ht="12.75" customHeight="1" x14ac:dyDescent="0.25">
      <c r="B92" s="132"/>
      <c r="C92" s="132"/>
      <c r="D92" s="1326"/>
      <c r="E92" s="1333" t="str">
        <f>EUconst_ToolActualAmounts  &amp; " " &amp;D91-1</f>
        <v>Actual released amounts 2031</v>
      </c>
      <c r="F92" s="1334"/>
      <c r="G92" s="1335"/>
      <c r="H92" s="1335"/>
      <c r="I92" s="1336"/>
      <c r="J92" s="1336"/>
      <c r="K92" s="1322"/>
      <c r="L92" s="1323"/>
      <c r="M92" s="1324" t="str">
        <f>IF(I92="","",M91+G91-SUM(I91:J92))</f>
        <v/>
      </c>
      <c r="N92" s="1324"/>
      <c r="O92" s="142"/>
      <c r="P92" s="115"/>
      <c r="R92" s="561">
        <f>R91</f>
        <v>2032</v>
      </c>
      <c r="U92" s="562" t="b">
        <f>AND(COUNTA(B_IdentifyFuelStreams!$E$67:$M$116)&gt;0,R92&gt;CNTR_ReportingYear+1)</f>
        <v>0</v>
      </c>
      <c r="W92" s="562" t="b">
        <f t="shared" si="0"/>
        <v>0</v>
      </c>
    </row>
    <row r="93" spans="2:23" ht="12.75" customHeight="1" x14ac:dyDescent="0.25">
      <c r="B93" s="132"/>
      <c r="C93" s="132"/>
      <c r="D93" s="1325">
        <f>D91+1</f>
        <v>2033</v>
      </c>
      <c r="E93" s="1327" t="str">
        <f>EUconst_ToolBestEstimate &amp; " " &amp;D93-1</f>
        <v>Best estimate 2032</v>
      </c>
      <c r="F93" s="1328"/>
      <c r="G93" s="1329"/>
      <c r="H93" s="1329"/>
      <c r="I93" s="1330"/>
      <c r="J93" s="1330"/>
      <c r="K93" s="1331" t="str">
        <f>IF(G93="","",MAX(0,G93-SUM(M92)))</f>
        <v/>
      </c>
      <c r="L93" s="1332"/>
      <c r="M93" s="1331" t="str">
        <f>IF(M92="","",SUM(K$77:L93)-SUM(I$77:J92)-G93)</f>
        <v/>
      </c>
      <c r="N93" s="1331"/>
      <c r="O93" s="142"/>
      <c r="P93" s="115"/>
      <c r="R93" s="561">
        <f>D93</f>
        <v>2033</v>
      </c>
      <c r="U93" s="562" t="b">
        <f>AND(COUNTA(B_IdentifyFuelStreams!$E$67:$M$116)&gt;0,R93&gt;CNTR_ReportingYear+1)</f>
        <v>0</v>
      </c>
      <c r="W93" s="562" t="b">
        <f t="shared" si="0"/>
        <v>0</v>
      </c>
    </row>
    <row r="94" spans="2:23" ht="12.75" customHeight="1" x14ac:dyDescent="0.25">
      <c r="B94" s="132"/>
      <c r="C94" s="132"/>
      <c r="D94" s="1326"/>
      <c r="E94" s="1333" t="str">
        <f>EUconst_ToolActualAmounts  &amp; " " &amp;D93-1</f>
        <v>Actual released amounts 2032</v>
      </c>
      <c r="F94" s="1334"/>
      <c r="G94" s="1335"/>
      <c r="H94" s="1335"/>
      <c r="I94" s="1336"/>
      <c r="J94" s="1336"/>
      <c r="K94" s="1322"/>
      <c r="L94" s="1323"/>
      <c r="M94" s="1324" t="str">
        <f>IF(I94="","",M93+G93-SUM(I93:J94))</f>
        <v/>
      </c>
      <c r="N94" s="1324"/>
      <c r="O94" s="142"/>
      <c r="P94" s="115"/>
      <c r="R94" s="561">
        <f>R93</f>
        <v>2033</v>
      </c>
      <c r="U94" s="562" t="b">
        <f>AND(COUNTA(B_IdentifyFuelStreams!$E$67:$M$116)&gt;0,R94&gt;CNTR_ReportingYear+1)</f>
        <v>0</v>
      </c>
      <c r="W94" s="562" t="b">
        <f t="shared" si="0"/>
        <v>0</v>
      </c>
    </row>
    <row r="95" spans="2:23" ht="12.75" customHeight="1" x14ac:dyDescent="0.25">
      <c r="B95" s="132"/>
      <c r="C95" s="132"/>
      <c r="D95" s="1325">
        <f>D93+1</f>
        <v>2034</v>
      </c>
      <c r="E95" s="1327" t="str">
        <f>EUconst_ToolBestEstimate &amp; " " &amp;D95-1</f>
        <v>Best estimate 2033</v>
      </c>
      <c r="F95" s="1328"/>
      <c r="G95" s="1329"/>
      <c r="H95" s="1329"/>
      <c r="I95" s="1330"/>
      <c r="J95" s="1330"/>
      <c r="K95" s="1331" t="str">
        <f>IF(G95="","",MAX(0,G95-SUM(M94)))</f>
        <v/>
      </c>
      <c r="L95" s="1332"/>
      <c r="M95" s="1331" t="str">
        <f>IF(M94="","",SUM(K$77:L95)-SUM(I$77:J94)-G95)</f>
        <v/>
      </c>
      <c r="N95" s="1331"/>
      <c r="O95" s="142"/>
      <c r="P95" s="115"/>
      <c r="R95" s="561">
        <f>D95</f>
        <v>2034</v>
      </c>
      <c r="U95" s="562" t="b">
        <f>AND(COUNTA(B_IdentifyFuelStreams!$E$67:$M$116)&gt;0,R95&gt;CNTR_ReportingYear+1)</f>
        <v>0</v>
      </c>
      <c r="W95" s="562" t="b">
        <f t="shared" si="0"/>
        <v>0</v>
      </c>
    </row>
    <row r="96" spans="2:23" ht="12.75" customHeight="1" x14ac:dyDescent="0.25">
      <c r="B96" s="132"/>
      <c r="C96" s="132"/>
      <c r="D96" s="1326"/>
      <c r="E96" s="1333" t="str">
        <f>EUconst_ToolActualAmounts  &amp; " " &amp;D95-1</f>
        <v>Actual released amounts 2033</v>
      </c>
      <c r="F96" s="1334"/>
      <c r="G96" s="1335"/>
      <c r="H96" s="1335"/>
      <c r="I96" s="1336"/>
      <c r="J96" s="1336"/>
      <c r="K96" s="1322"/>
      <c r="L96" s="1323"/>
      <c r="M96" s="1324" t="str">
        <f>IF(I96="","",M95+G95-SUM(I95:J96))</f>
        <v/>
      </c>
      <c r="N96" s="1324"/>
      <c r="O96" s="142"/>
      <c r="P96" s="115"/>
      <c r="R96" s="561">
        <f>R95</f>
        <v>2034</v>
      </c>
      <c r="U96" s="562" t="b">
        <f>AND(COUNTA(B_IdentifyFuelStreams!$E$67:$M$116)&gt;0,R96&gt;CNTR_ReportingYear+1)</f>
        <v>0</v>
      </c>
      <c r="W96" s="562" t="b">
        <f t="shared" si="0"/>
        <v>0</v>
      </c>
    </row>
    <row r="97" spans="1:24" ht="12.75" customHeight="1" x14ac:dyDescent="0.25">
      <c r="B97" s="132"/>
      <c r="C97" s="132"/>
      <c r="D97" s="1325">
        <f>D95+1</f>
        <v>2035</v>
      </c>
      <c r="E97" s="1327" t="str">
        <f>EUconst_ToolBestEstimate &amp; " " &amp;D97-1</f>
        <v>Best estimate 2034</v>
      </c>
      <c r="F97" s="1328"/>
      <c r="G97" s="1329"/>
      <c r="H97" s="1329"/>
      <c r="I97" s="1330"/>
      <c r="J97" s="1330"/>
      <c r="K97" s="1331" t="str">
        <f>IF(G97="","",MAX(0,G97-SUM(M96)))</f>
        <v/>
      </c>
      <c r="L97" s="1332"/>
      <c r="M97" s="1331" t="str">
        <f>IF(M96="","",SUM(K$77:L97)-SUM(I$77:J96)-G97)</f>
        <v/>
      </c>
      <c r="N97" s="1331"/>
      <c r="O97" s="142"/>
      <c r="P97" s="115"/>
      <c r="R97" s="561">
        <f>D97</f>
        <v>2035</v>
      </c>
      <c r="U97" s="562" t="b">
        <f>AND(COUNTA(B_IdentifyFuelStreams!$E$67:$M$116)&gt;0,R97&gt;CNTR_ReportingYear+1)</f>
        <v>0</v>
      </c>
      <c r="W97" s="562" t="b">
        <f t="shared" si="0"/>
        <v>0</v>
      </c>
    </row>
    <row r="98" spans="1:24" ht="12.75" customHeight="1" x14ac:dyDescent="0.25">
      <c r="B98" s="132"/>
      <c r="C98" s="132"/>
      <c r="D98" s="1326"/>
      <c r="E98" s="1333" t="str">
        <f>EUconst_ToolActualAmounts  &amp; " " &amp;D97-1</f>
        <v>Actual released amounts 2034</v>
      </c>
      <c r="F98" s="1334"/>
      <c r="G98" s="1335"/>
      <c r="H98" s="1335"/>
      <c r="I98" s="1336"/>
      <c r="J98" s="1336"/>
      <c r="K98" s="1322"/>
      <c r="L98" s="1323"/>
      <c r="M98" s="1324" t="str">
        <f>IF(I98="","",M97+G97-SUM(I97:J98))</f>
        <v/>
      </c>
      <c r="N98" s="1324"/>
      <c r="O98" s="142"/>
      <c r="P98" s="115"/>
      <c r="R98" s="561">
        <f>R97</f>
        <v>2035</v>
      </c>
      <c r="U98" s="562" t="b">
        <f>AND(COUNTA(B_IdentifyFuelStreams!$E$67:$M$116)&gt;0,R98&gt;CNTR_ReportingYear+1)</f>
        <v>0</v>
      </c>
      <c r="W98" s="562" t="b">
        <f t="shared" si="0"/>
        <v>0</v>
      </c>
    </row>
    <row r="99" spans="1:24" ht="12.75" customHeight="1" x14ac:dyDescent="0.25">
      <c r="B99" s="132"/>
      <c r="C99" s="132"/>
      <c r="D99" s="132"/>
      <c r="E99" s="191"/>
      <c r="F99" s="116"/>
      <c r="G99" s="116"/>
      <c r="H99" s="116"/>
      <c r="I99" s="116"/>
      <c r="J99" s="116"/>
      <c r="K99" s="116"/>
      <c r="L99" s="116"/>
      <c r="M99" s="116"/>
      <c r="N99" s="132"/>
      <c r="O99" s="142"/>
      <c r="P99" s="115"/>
    </row>
    <row r="100" spans="1:24" ht="12.75" customHeight="1" x14ac:dyDescent="0.25">
      <c r="B100" s="132"/>
      <c r="C100" s="132"/>
      <c r="D100" s="132"/>
      <c r="E100" s="191"/>
      <c r="F100" s="116"/>
      <c r="G100" s="116"/>
      <c r="H100" s="116"/>
      <c r="I100" s="116"/>
      <c r="J100" s="116"/>
      <c r="K100" s="116"/>
      <c r="L100" s="116"/>
      <c r="M100" s="116"/>
      <c r="N100" s="132"/>
      <c r="O100" s="142"/>
      <c r="P100" s="115"/>
    </row>
    <row r="101" spans="1:24" ht="12.75" customHeight="1" x14ac:dyDescent="0.25">
      <c r="B101" s="132"/>
      <c r="C101" s="132"/>
      <c r="D101" s="132"/>
      <c r="E101" s="191"/>
      <c r="F101" s="116"/>
      <c r="G101" s="116"/>
      <c r="H101" s="116"/>
      <c r="I101" s="116"/>
      <c r="J101" s="116"/>
      <c r="K101" s="116"/>
      <c r="L101" s="116"/>
      <c r="M101" s="116"/>
      <c r="N101" s="132"/>
      <c r="O101" s="142"/>
      <c r="P101" s="115"/>
    </row>
    <row r="102" spans="1:24" ht="12.75" customHeight="1" x14ac:dyDescent="0.25">
      <c r="B102" s="132"/>
      <c r="C102" s="132"/>
      <c r="D102" s="132"/>
      <c r="E102" s="191"/>
      <c r="F102" s="116"/>
      <c r="G102" s="116"/>
      <c r="H102" s="116"/>
      <c r="I102" s="116"/>
      <c r="J102" s="116"/>
      <c r="K102" s="116"/>
      <c r="L102" s="116"/>
      <c r="M102" s="116"/>
      <c r="N102" s="132"/>
      <c r="O102" s="142"/>
      <c r="P102" s="115"/>
    </row>
    <row r="104" spans="1:24" hidden="1" x14ac:dyDescent="0.25">
      <c r="A104" s="110" t="s">
        <v>0</v>
      </c>
      <c r="B104" s="110" t="s">
        <v>183</v>
      </c>
      <c r="C104" s="110" t="s">
        <v>183</v>
      </c>
      <c r="D104" s="110" t="s">
        <v>183</v>
      </c>
      <c r="E104" s="110" t="s">
        <v>183</v>
      </c>
      <c r="F104" s="110" t="s">
        <v>183</v>
      </c>
      <c r="G104" s="110" t="s">
        <v>183</v>
      </c>
      <c r="H104" s="110" t="s">
        <v>183</v>
      </c>
      <c r="I104" s="110" t="s">
        <v>183</v>
      </c>
      <c r="J104" s="110" t="s">
        <v>183</v>
      </c>
      <c r="K104" s="110" t="s">
        <v>183</v>
      </c>
      <c r="L104" s="110" t="s">
        <v>183</v>
      </c>
      <c r="M104" s="110" t="s">
        <v>183</v>
      </c>
      <c r="N104" s="110" t="s">
        <v>183</v>
      </c>
      <c r="O104" s="472" t="s">
        <v>183</v>
      </c>
      <c r="P104" s="110" t="s">
        <v>183</v>
      </c>
      <c r="Q104" s="110" t="s">
        <v>183</v>
      </c>
      <c r="R104" s="110" t="s">
        <v>183</v>
      </c>
      <c r="S104" s="110" t="s">
        <v>183</v>
      </c>
      <c r="T104" s="110" t="s">
        <v>183</v>
      </c>
      <c r="U104" s="110" t="s">
        <v>183</v>
      </c>
      <c r="V104" s="110" t="s">
        <v>183</v>
      </c>
      <c r="W104" s="110" t="s">
        <v>183</v>
      </c>
      <c r="X104" s="110" t="s">
        <v>183</v>
      </c>
    </row>
    <row r="105" spans="1:24" hidden="1" x14ac:dyDescent="0.25">
      <c r="A105" s="110" t="s">
        <v>0</v>
      </c>
      <c r="B105" s="113"/>
      <c r="C105" s="113"/>
      <c r="D105" s="113"/>
      <c r="E105" s="516"/>
      <c r="F105" s="113"/>
      <c r="G105" s="113"/>
      <c r="H105" s="113"/>
      <c r="I105" s="113"/>
      <c r="J105" s="113"/>
      <c r="K105" s="113"/>
      <c r="L105" s="113"/>
      <c r="M105" s="113"/>
      <c r="N105" s="113"/>
      <c r="O105" s="112"/>
      <c r="P105" s="111" t="s">
        <v>3</v>
      </c>
    </row>
    <row r="106" spans="1:24" ht="13" hidden="1" thickBot="1" x14ac:dyDescent="0.3">
      <c r="A106" s="110" t="s">
        <v>0</v>
      </c>
      <c r="O106" s="117"/>
      <c r="P106" s="116"/>
    </row>
    <row r="107" spans="1:24" ht="13.5" hidden="1" thickBot="1" x14ac:dyDescent="0.3">
      <c r="A107" s="110" t="s">
        <v>0</v>
      </c>
      <c r="F107" s="474"/>
      <c r="G107" s="475"/>
      <c r="H107" s="475"/>
      <c r="I107" s="475" t="str">
        <f>Translations!$B$235</f>
        <v>Fuel Stream</v>
      </c>
      <c r="J107" s="475"/>
      <c r="K107" s="475"/>
      <c r="L107" s="475"/>
      <c r="M107" s="476" t="str">
        <f>Translations!$B$402</f>
        <v>Range</v>
      </c>
      <c r="O107" s="117"/>
      <c r="P107" s="116"/>
    </row>
    <row r="108" spans="1:24" hidden="1" x14ac:dyDescent="0.25">
      <c r="A108" s="110" t="s">
        <v>0</v>
      </c>
      <c r="F108" s="477">
        <v>1</v>
      </c>
      <c r="G108" s="271"/>
      <c r="H108" s="271"/>
      <c r="I108" s="272" t="str">
        <f>IF(COUNTIF($H$108:$H$132,F108)=0,"",INDEX($G$108:$G$132,MATCH(F108,$H$108:$H$132,0)))</f>
        <v/>
      </c>
      <c r="J108" s="271"/>
      <c r="K108" s="271"/>
      <c r="L108" s="271"/>
      <c r="M108" s="478" t="str">
        <f ca="1">C_FuelStreams!M1465</f>
        <v>C_FuelStreams!$I$1465:$I$1464</v>
      </c>
      <c r="O108" s="117"/>
      <c r="P108" s="116"/>
    </row>
    <row r="109" spans="1:24" hidden="1" x14ac:dyDescent="0.25">
      <c r="A109" s="110" t="s">
        <v>0</v>
      </c>
      <c r="F109" s="479">
        <v>2</v>
      </c>
      <c r="G109" s="275"/>
      <c r="H109" s="275"/>
      <c r="I109" s="276" t="str">
        <f t="shared" ref="I109:I127" si="1">IF(COUNTIF($H$108:$H$132,F109)=0,"",INDEX($G$108:$G$132,MATCH(F109,$H$108:$H$132,0)))</f>
        <v/>
      </c>
      <c r="J109" s="275"/>
      <c r="K109" s="275"/>
      <c r="L109" s="275"/>
      <c r="M109" s="277"/>
      <c r="O109" s="117"/>
      <c r="P109" s="116"/>
    </row>
    <row r="110" spans="1:24" hidden="1" x14ac:dyDescent="0.25">
      <c r="A110" s="110" t="s">
        <v>0</v>
      </c>
      <c r="F110" s="479">
        <v>3</v>
      </c>
      <c r="G110" s="275"/>
      <c r="H110" s="275"/>
      <c r="I110" s="276" t="str">
        <f t="shared" si="1"/>
        <v/>
      </c>
      <c r="J110" s="275"/>
      <c r="K110" s="275"/>
      <c r="L110" s="275"/>
      <c r="M110" s="517"/>
      <c r="O110" s="117"/>
      <c r="P110" s="116"/>
    </row>
    <row r="111" spans="1:24" hidden="1" x14ac:dyDescent="0.25">
      <c r="A111" s="110" t="s">
        <v>0</v>
      </c>
      <c r="F111" s="479">
        <v>4</v>
      </c>
      <c r="G111" s="275"/>
      <c r="H111" s="275"/>
      <c r="I111" s="276" t="str">
        <f t="shared" si="1"/>
        <v/>
      </c>
      <c r="J111" s="275"/>
      <c r="K111" s="275"/>
      <c r="L111" s="275"/>
      <c r="M111" s="277"/>
      <c r="O111" s="117"/>
      <c r="P111" s="116"/>
    </row>
    <row r="112" spans="1:24" hidden="1" x14ac:dyDescent="0.25">
      <c r="A112" s="110" t="s">
        <v>0</v>
      </c>
      <c r="F112" s="479">
        <v>5</v>
      </c>
      <c r="G112" s="275"/>
      <c r="H112" s="275"/>
      <c r="I112" s="276" t="str">
        <f t="shared" si="1"/>
        <v/>
      </c>
      <c r="J112" s="275"/>
      <c r="K112" s="275"/>
      <c r="L112" s="275"/>
      <c r="M112" s="277"/>
      <c r="O112" s="117"/>
      <c r="P112" s="116"/>
    </row>
    <row r="113" spans="1:13" hidden="1" x14ac:dyDescent="0.25">
      <c r="A113" s="110" t="s">
        <v>0</v>
      </c>
      <c r="F113" s="479">
        <v>6</v>
      </c>
      <c r="G113" s="275"/>
      <c r="H113" s="275"/>
      <c r="I113" s="276" t="str">
        <f t="shared" si="1"/>
        <v/>
      </c>
      <c r="J113" s="275"/>
      <c r="K113" s="275"/>
      <c r="L113" s="275"/>
      <c r="M113" s="277"/>
    </row>
    <row r="114" spans="1:13" hidden="1" x14ac:dyDescent="0.25">
      <c r="A114" s="110" t="s">
        <v>0</v>
      </c>
      <c r="F114" s="479">
        <v>7</v>
      </c>
      <c r="G114" s="275"/>
      <c r="H114" s="275"/>
      <c r="I114" s="276" t="str">
        <f t="shared" si="1"/>
        <v/>
      </c>
      <c r="J114" s="275"/>
      <c r="K114" s="275"/>
      <c r="L114" s="275"/>
      <c r="M114" s="277"/>
    </row>
    <row r="115" spans="1:13" hidden="1" x14ac:dyDescent="0.25">
      <c r="A115" s="110" t="s">
        <v>0</v>
      </c>
      <c r="F115" s="479">
        <v>8</v>
      </c>
      <c r="G115" s="275"/>
      <c r="H115" s="275"/>
      <c r="I115" s="276" t="str">
        <f t="shared" si="1"/>
        <v/>
      </c>
      <c r="J115" s="275"/>
      <c r="K115" s="275"/>
      <c r="L115" s="275"/>
      <c r="M115" s="277"/>
    </row>
    <row r="116" spans="1:13" hidden="1" x14ac:dyDescent="0.25">
      <c r="A116" s="110" t="s">
        <v>0</v>
      </c>
      <c r="F116" s="479">
        <v>9</v>
      </c>
      <c r="G116" s="275"/>
      <c r="H116" s="275"/>
      <c r="I116" s="276" t="str">
        <f t="shared" si="1"/>
        <v/>
      </c>
      <c r="J116" s="275"/>
      <c r="K116" s="275"/>
      <c r="L116" s="275"/>
      <c r="M116" s="277"/>
    </row>
    <row r="117" spans="1:13" hidden="1" x14ac:dyDescent="0.25">
      <c r="A117" s="110" t="s">
        <v>0</v>
      </c>
      <c r="F117" s="479">
        <v>10</v>
      </c>
      <c r="G117" s="275"/>
      <c r="H117" s="275"/>
      <c r="I117" s="276" t="str">
        <f t="shared" si="1"/>
        <v/>
      </c>
      <c r="J117" s="275"/>
      <c r="K117" s="275"/>
      <c r="L117" s="275"/>
      <c r="M117" s="277"/>
    </row>
    <row r="118" spans="1:13" hidden="1" x14ac:dyDescent="0.25">
      <c r="A118" s="110" t="s">
        <v>0</v>
      </c>
      <c r="F118" s="479">
        <v>11</v>
      </c>
      <c r="G118" s="275"/>
      <c r="H118" s="275"/>
      <c r="I118" s="276" t="str">
        <f t="shared" si="1"/>
        <v/>
      </c>
      <c r="J118" s="275"/>
      <c r="K118" s="275"/>
      <c r="L118" s="275"/>
      <c r="M118" s="277"/>
    </row>
    <row r="119" spans="1:13" hidden="1" x14ac:dyDescent="0.25">
      <c r="A119" s="110" t="s">
        <v>0</v>
      </c>
      <c r="F119" s="479">
        <v>12</v>
      </c>
      <c r="G119" s="275"/>
      <c r="H119" s="275"/>
      <c r="I119" s="276" t="str">
        <f t="shared" si="1"/>
        <v/>
      </c>
      <c r="J119" s="275"/>
      <c r="K119" s="275"/>
      <c r="L119" s="275"/>
      <c r="M119" s="277"/>
    </row>
    <row r="120" spans="1:13" hidden="1" x14ac:dyDescent="0.25">
      <c r="A120" s="110" t="s">
        <v>0</v>
      </c>
      <c r="F120" s="479">
        <v>13</v>
      </c>
      <c r="G120" s="275"/>
      <c r="H120" s="275"/>
      <c r="I120" s="276" t="str">
        <f t="shared" si="1"/>
        <v/>
      </c>
      <c r="J120" s="275"/>
      <c r="K120" s="275"/>
      <c r="L120" s="275"/>
      <c r="M120" s="277"/>
    </row>
    <row r="121" spans="1:13" hidden="1" x14ac:dyDescent="0.25">
      <c r="A121" s="110" t="s">
        <v>0</v>
      </c>
      <c r="F121" s="479">
        <v>14</v>
      </c>
      <c r="G121" s="275"/>
      <c r="H121" s="275"/>
      <c r="I121" s="276" t="str">
        <f t="shared" si="1"/>
        <v/>
      </c>
      <c r="J121" s="275"/>
      <c r="K121" s="275"/>
      <c r="L121" s="275"/>
      <c r="M121" s="277"/>
    </row>
    <row r="122" spans="1:13" hidden="1" x14ac:dyDescent="0.25">
      <c r="A122" s="110" t="s">
        <v>0</v>
      </c>
      <c r="F122" s="479">
        <v>15</v>
      </c>
      <c r="G122" s="275"/>
      <c r="H122" s="275"/>
      <c r="I122" s="276" t="str">
        <f t="shared" si="1"/>
        <v/>
      </c>
      <c r="J122" s="275"/>
      <c r="K122" s="275"/>
      <c r="L122" s="275"/>
      <c r="M122" s="277"/>
    </row>
    <row r="123" spans="1:13" hidden="1" x14ac:dyDescent="0.25">
      <c r="A123" s="110" t="s">
        <v>0</v>
      </c>
      <c r="F123" s="479">
        <v>16</v>
      </c>
      <c r="G123" s="275"/>
      <c r="H123" s="275"/>
      <c r="I123" s="276" t="str">
        <f t="shared" si="1"/>
        <v/>
      </c>
      <c r="J123" s="275"/>
      <c r="K123" s="275"/>
      <c r="L123" s="275"/>
      <c r="M123" s="277"/>
    </row>
    <row r="124" spans="1:13" hidden="1" x14ac:dyDescent="0.25">
      <c r="A124" s="110" t="s">
        <v>0</v>
      </c>
      <c r="F124" s="479">
        <v>17</v>
      </c>
      <c r="G124" s="275"/>
      <c r="H124" s="275"/>
      <c r="I124" s="276" t="str">
        <f t="shared" si="1"/>
        <v/>
      </c>
      <c r="J124" s="275"/>
      <c r="K124" s="275"/>
      <c r="L124" s="275"/>
      <c r="M124" s="277"/>
    </row>
    <row r="125" spans="1:13" hidden="1" x14ac:dyDescent="0.25">
      <c r="A125" s="110" t="s">
        <v>0</v>
      </c>
      <c r="F125" s="479">
        <v>18</v>
      </c>
      <c r="G125" s="275"/>
      <c r="H125" s="275"/>
      <c r="I125" s="276" t="str">
        <f t="shared" si="1"/>
        <v/>
      </c>
      <c r="J125" s="275"/>
      <c r="K125" s="275"/>
      <c r="L125" s="275"/>
      <c r="M125" s="277"/>
    </row>
    <row r="126" spans="1:13" hidden="1" x14ac:dyDescent="0.25">
      <c r="A126" s="110" t="s">
        <v>0</v>
      </c>
      <c r="F126" s="479">
        <v>19</v>
      </c>
      <c r="G126" s="275"/>
      <c r="H126" s="275"/>
      <c r="I126" s="276" t="str">
        <f t="shared" si="1"/>
        <v/>
      </c>
      <c r="J126" s="275"/>
      <c r="K126" s="275"/>
      <c r="L126" s="275"/>
      <c r="M126" s="277"/>
    </row>
    <row r="127" spans="1:13" hidden="1" x14ac:dyDescent="0.25">
      <c r="A127" s="110" t="s">
        <v>0</v>
      </c>
      <c r="F127" s="479">
        <v>20</v>
      </c>
      <c r="G127" s="275"/>
      <c r="H127" s="275"/>
      <c r="I127" s="276" t="str">
        <f t="shared" si="1"/>
        <v/>
      </c>
      <c r="J127" s="275"/>
      <c r="K127" s="275"/>
      <c r="L127" s="275"/>
      <c r="M127" s="277"/>
    </row>
    <row r="128" spans="1:13" hidden="1" x14ac:dyDescent="0.25">
      <c r="A128" s="110" t="s">
        <v>0</v>
      </c>
      <c r="F128" s="479"/>
      <c r="G128" s="275"/>
      <c r="H128" s="275"/>
      <c r="I128" s="276"/>
      <c r="J128" s="275"/>
      <c r="K128" s="275"/>
      <c r="L128" s="275"/>
      <c r="M128" s="277"/>
    </row>
    <row r="129" spans="1:13" hidden="1" x14ac:dyDescent="0.25">
      <c r="A129" s="110" t="s">
        <v>0</v>
      </c>
      <c r="F129" s="479"/>
      <c r="G129" s="275"/>
      <c r="H129" s="275"/>
      <c r="I129" s="276"/>
      <c r="J129" s="275"/>
      <c r="K129" s="275"/>
      <c r="L129" s="275"/>
      <c r="M129" s="277"/>
    </row>
    <row r="130" spans="1:13" hidden="1" x14ac:dyDescent="0.25">
      <c r="A130" s="110" t="s">
        <v>0</v>
      </c>
      <c r="F130" s="479"/>
      <c r="G130" s="275"/>
      <c r="H130" s="275"/>
      <c r="I130" s="276"/>
      <c r="J130" s="275"/>
      <c r="K130" s="275"/>
      <c r="L130" s="275"/>
      <c r="M130" s="277"/>
    </row>
    <row r="131" spans="1:13" hidden="1" x14ac:dyDescent="0.25">
      <c r="A131" s="110" t="s">
        <v>0</v>
      </c>
      <c r="F131" s="479"/>
      <c r="G131" s="275"/>
      <c r="H131" s="275"/>
      <c r="I131" s="276"/>
      <c r="J131" s="275"/>
      <c r="K131" s="275"/>
      <c r="L131" s="275"/>
      <c r="M131" s="277"/>
    </row>
    <row r="132" spans="1:13" ht="13" hidden="1" thickBot="1" x14ac:dyDescent="0.3">
      <c r="A132" s="110" t="s">
        <v>0</v>
      </c>
      <c r="F132" s="480"/>
      <c r="G132" s="283"/>
      <c r="H132" s="283"/>
      <c r="I132" s="284"/>
      <c r="J132" s="283"/>
      <c r="K132" s="283"/>
      <c r="L132" s="283"/>
      <c r="M132" s="285"/>
    </row>
    <row r="133" spans="1:13" hidden="1" x14ac:dyDescent="0.25">
      <c r="A133" s="110" t="s">
        <v>0</v>
      </c>
    </row>
  </sheetData>
  <sheetProtection sheet="1" objects="1" scenarios="1" formatCells="0" formatColumns="0" formatRows="0"/>
  <mergeCells count="346">
    <mergeCell ref="E11:N11"/>
    <mergeCell ref="E12:N12"/>
    <mergeCell ref="D42:N42"/>
    <mergeCell ref="E21:N21"/>
    <mergeCell ref="E22:N22"/>
    <mergeCell ref="F32:N32"/>
    <mergeCell ref="G25:H25"/>
    <mergeCell ref="D68:D69"/>
    <mergeCell ref="E68:F68"/>
    <mergeCell ref="G68:H68"/>
    <mergeCell ref="I68:J68"/>
    <mergeCell ref="K68:L68"/>
    <mergeCell ref="M68:N68"/>
    <mergeCell ref="E69:F69"/>
    <mergeCell ref="G69:H69"/>
    <mergeCell ref="I69:J69"/>
    <mergeCell ref="K69:L69"/>
    <mergeCell ref="M69:N69"/>
    <mergeCell ref="D66:D67"/>
    <mergeCell ref="E66:F66"/>
    <mergeCell ref="G66:H66"/>
    <mergeCell ref="I66:J66"/>
    <mergeCell ref="K66:L66"/>
    <mergeCell ref="M66:N66"/>
    <mergeCell ref="E67:F67"/>
    <mergeCell ref="G67:H67"/>
    <mergeCell ref="I67:J67"/>
    <mergeCell ref="K67:L67"/>
    <mergeCell ref="M67:N67"/>
    <mergeCell ref="D64:D65"/>
    <mergeCell ref="E64:F64"/>
    <mergeCell ref="G64:H64"/>
    <mergeCell ref="I64:J64"/>
    <mergeCell ref="K64:L64"/>
    <mergeCell ref="M64:N64"/>
    <mergeCell ref="E65:F65"/>
    <mergeCell ref="G65:H65"/>
    <mergeCell ref="I65:J65"/>
    <mergeCell ref="K65:L65"/>
    <mergeCell ref="M65:N65"/>
    <mergeCell ref="D62:D63"/>
    <mergeCell ref="E62:F62"/>
    <mergeCell ref="G62:H62"/>
    <mergeCell ref="I62:J62"/>
    <mergeCell ref="K62:L62"/>
    <mergeCell ref="M62:N62"/>
    <mergeCell ref="E63:F63"/>
    <mergeCell ref="G63:H63"/>
    <mergeCell ref="I63:J63"/>
    <mergeCell ref="K63:L63"/>
    <mergeCell ref="M63:N63"/>
    <mergeCell ref="D60:D61"/>
    <mergeCell ref="E60:F60"/>
    <mergeCell ref="G60:H60"/>
    <mergeCell ref="I60:J60"/>
    <mergeCell ref="K60:L60"/>
    <mergeCell ref="M60:N60"/>
    <mergeCell ref="E61:F61"/>
    <mergeCell ref="G61:H61"/>
    <mergeCell ref="I61:J61"/>
    <mergeCell ref="K61:L61"/>
    <mergeCell ref="M61:N61"/>
    <mergeCell ref="D58:D59"/>
    <mergeCell ref="E58:F58"/>
    <mergeCell ref="G58:H58"/>
    <mergeCell ref="I58:J58"/>
    <mergeCell ref="K58:L58"/>
    <mergeCell ref="M58:N58"/>
    <mergeCell ref="E59:F59"/>
    <mergeCell ref="G59:H59"/>
    <mergeCell ref="I59:J59"/>
    <mergeCell ref="K59:L59"/>
    <mergeCell ref="M59:N59"/>
    <mergeCell ref="D56:D57"/>
    <mergeCell ref="E56:F56"/>
    <mergeCell ref="G56:H56"/>
    <mergeCell ref="I56:J56"/>
    <mergeCell ref="K56:L56"/>
    <mergeCell ref="M56:N56"/>
    <mergeCell ref="E57:F57"/>
    <mergeCell ref="G57:H57"/>
    <mergeCell ref="I57:J57"/>
    <mergeCell ref="K57:L57"/>
    <mergeCell ref="M57:N57"/>
    <mergeCell ref="D54:D55"/>
    <mergeCell ref="E54:F54"/>
    <mergeCell ref="G54:H54"/>
    <mergeCell ref="I54:J54"/>
    <mergeCell ref="K54:L54"/>
    <mergeCell ref="M54:N54"/>
    <mergeCell ref="E55:F55"/>
    <mergeCell ref="G55:H55"/>
    <mergeCell ref="I55:J55"/>
    <mergeCell ref="K55:L55"/>
    <mergeCell ref="M55:N55"/>
    <mergeCell ref="D52:D53"/>
    <mergeCell ref="E52:F52"/>
    <mergeCell ref="G52:H52"/>
    <mergeCell ref="I52:J52"/>
    <mergeCell ref="K52:L52"/>
    <mergeCell ref="M52:N52"/>
    <mergeCell ref="E53:F53"/>
    <mergeCell ref="G53:H53"/>
    <mergeCell ref="I53:J53"/>
    <mergeCell ref="K53:L53"/>
    <mergeCell ref="M53:N53"/>
    <mergeCell ref="D50:D51"/>
    <mergeCell ref="E50:F50"/>
    <mergeCell ref="G50:H50"/>
    <mergeCell ref="I50:J50"/>
    <mergeCell ref="K50:L50"/>
    <mergeCell ref="M50:N50"/>
    <mergeCell ref="E51:F51"/>
    <mergeCell ref="G51:H51"/>
    <mergeCell ref="I51:J51"/>
    <mergeCell ref="K51:L51"/>
    <mergeCell ref="M51:N51"/>
    <mergeCell ref="G47:H47"/>
    <mergeCell ref="I47:J47"/>
    <mergeCell ref="K47:L47"/>
    <mergeCell ref="M47:N47"/>
    <mergeCell ref="D48:D49"/>
    <mergeCell ref="E48:F48"/>
    <mergeCell ref="G48:H48"/>
    <mergeCell ref="I48:J48"/>
    <mergeCell ref="K48:L48"/>
    <mergeCell ref="M48:N48"/>
    <mergeCell ref="E49:F49"/>
    <mergeCell ref="G49:H49"/>
    <mergeCell ref="I49:J49"/>
    <mergeCell ref="K49:L49"/>
    <mergeCell ref="M49:N49"/>
    <mergeCell ref="G46:H46"/>
    <mergeCell ref="I46:J46"/>
    <mergeCell ref="K46:L46"/>
    <mergeCell ref="M46:N46"/>
    <mergeCell ref="I25:J25"/>
    <mergeCell ref="K25:L25"/>
    <mergeCell ref="M25:N25"/>
    <mergeCell ref="G26:H26"/>
    <mergeCell ref="I26:J26"/>
    <mergeCell ref="K26:L26"/>
    <mergeCell ref="M28:N28"/>
    <mergeCell ref="I37:J37"/>
    <mergeCell ref="K37:L37"/>
    <mergeCell ref="G34:H34"/>
    <mergeCell ref="I34:J34"/>
    <mergeCell ref="K34:L34"/>
    <mergeCell ref="M34:N34"/>
    <mergeCell ref="I35:J35"/>
    <mergeCell ref="K35:L35"/>
    <mergeCell ref="M35:N35"/>
    <mergeCell ref="F40:N40"/>
    <mergeCell ref="D27:D28"/>
    <mergeCell ref="E27:F27"/>
    <mergeCell ref="G27:H27"/>
    <mergeCell ref="I27:J27"/>
    <mergeCell ref="K27:L27"/>
    <mergeCell ref="M27:N27"/>
    <mergeCell ref="E28:F28"/>
    <mergeCell ref="G28:H28"/>
    <mergeCell ref="I28:J28"/>
    <mergeCell ref="K28:L28"/>
    <mergeCell ref="E13:N13"/>
    <mergeCell ref="I44:N44"/>
    <mergeCell ref="F24:N24"/>
    <mergeCell ref="G33:H33"/>
    <mergeCell ref="I33:J33"/>
    <mergeCell ref="K33:L33"/>
    <mergeCell ref="M33:N33"/>
    <mergeCell ref="F31:N31"/>
    <mergeCell ref="M26:N26"/>
    <mergeCell ref="D71:N71"/>
    <mergeCell ref="I73:N73"/>
    <mergeCell ref="G75:H75"/>
    <mergeCell ref="I75:J75"/>
    <mergeCell ref="K75:L75"/>
    <mergeCell ref="M75:N75"/>
    <mergeCell ref="F16:N16"/>
    <mergeCell ref="M37:N37"/>
    <mergeCell ref="E38:F38"/>
    <mergeCell ref="G38:H38"/>
    <mergeCell ref="I38:J38"/>
    <mergeCell ref="K38:L38"/>
    <mergeCell ref="M38:N38"/>
    <mergeCell ref="E36:F36"/>
    <mergeCell ref="G36:H36"/>
    <mergeCell ref="I36:J36"/>
    <mergeCell ref="K36:L36"/>
    <mergeCell ref="M36:N36"/>
    <mergeCell ref="D37:D38"/>
    <mergeCell ref="E37:F37"/>
    <mergeCell ref="G37:H37"/>
    <mergeCell ref="D35:D36"/>
    <mergeCell ref="E35:F35"/>
    <mergeCell ref="G35:H35"/>
    <mergeCell ref="G76:H76"/>
    <mergeCell ref="I76:J76"/>
    <mergeCell ref="K76:L76"/>
    <mergeCell ref="M76:N76"/>
    <mergeCell ref="D77:D78"/>
    <mergeCell ref="E77:F77"/>
    <mergeCell ref="G77:H77"/>
    <mergeCell ref="I77:J77"/>
    <mergeCell ref="K77:L77"/>
    <mergeCell ref="M77:N77"/>
    <mergeCell ref="M80:N80"/>
    <mergeCell ref="E78:F78"/>
    <mergeCell ref="G78:H78"/>
    <mergeCell ref="I78:J78"/>
    <mergeCell ref="K78:L78"/>
    <mergeCell ref="M78:N78"/>
    <mergeCell ref="D79:D80"/>
    <mergeCell ref="E79:F79"/>
    <mergeCell ref="G79:H79"/>
    <mergeCell ref="I79:J79"/>
    <mergeCell ref="K79:L79"/>
    <mergeCell ref="D81:D82"/>
    <mergeCell ref="E81:F81"/>
    <mergeCell ref="G81:H81"/>
    <mergeCell ref="I81:J81"/>
    <mergeCell ref="K81:L81"/>
    <mergeCell ref="M81:N81"/>
    <mergeCell ref="E82:F82"/>
    <mergeCell ref="G82:H82"/>
    <mergeCell ref="I82:J82"/>
    <mergeCell ref="K82:L82"/>
    <mergeCell ref="D83:D84"/>
    <mergeCell ref="E83:F83"/>
    <mergeCell ref="G83:H83"/>
    <mergeCell ref="I83:J83"/>
    <mergeCell ref="K83:L83"/>
    <mergeCell ref="M83:N83"/>
    <mergeCell ref="E84:F84"/>
    <mergeCell ref="G84:H84"/>
    <mergeCell ref="I84:J84"/>
    <mergeCell ref="D89:D90"/>
    <mergeCell ref="E89:F89"/>
    <mergeCell ref="G89:H89"/>
    <mergeCell ref="I89:J89"/>
    <mergeCell ref="K89:L89"/>
    <mergeCell ref="M89:N89"/>
    <mergeCell ref="I86:J86"/>
    <mergeCell ref="K86:L86"/>
    <mergeCell ref="M86:N86"/>
    <mergeCell ref="D87:D88"/>
    <mergeCell ref="E87:F87"/>
    <mergeCell ref="G87:H87"/>
    <mergeCell ref="I87:J87"/>
    <mergeCell ref="K87:L87"/>
    <mergeCell ref="M87:N87"/>
    <mergeCell ref="E88:F88"/>
    <mergeCell ref="D85:D86"/>
    <mergeCell ref="E85:F85"/>
    <mergeCell ref="G85:H85"/>
    <mergeCell ref="I85:J85"/>
    <mergeCell ref="K85:L85"/>
    <mergeCell ref="M85:N85"/>
    <mergeCell ref="E86:F86"/>
    <mergeCell ref="G86:H86"/>
    <mergeCell ref="M3:N3"/>
    <mergeCell ref="E4:F4"/>
    <mergeCell ref="G4:H4"/>
    <mergeCell ref="I4:J4"/>
    <mergeCell ref="K4:L4"/>
    <mergeCell ref="M4:N4"/>
    <mergeCell ref="B2:D4"/>
    <mergeCell ref="E2:F2"/>
    <mergeCell ref="G2:H2"/>
    <mergeCell ref="I2:J2"/>
    <mergeCell ref="K2:L2"/>
    <mergeCell ref="M2:N2"/>
    <mergeCell ref="E3:F3"/>
    <mergeCell ref="G3:H3"/>
    <mergeCell ref="I3:J3"/>
    <mergeCell ref="K3:L3"/>
    <mergeCell ref="D93:D94"/>
    <mergeCell ref="E93:F93"/>
    <mergeCell ref="G93:H93"/>
    <mergeCell ref="I93:J93"/>
    <mergeCell ref="K93:L93"/>
    <mergeCell ref="F23:N23"/>
    <mergeCell ref="F30:N30"/>
    <mergeCell ref="C6:N6"/>
    <mergeCell ref="D8:N8"/>
    <mergeCell ref="E10:N10"/>
    <mergeCell ref="M91:N91"/>
    <mergeCell ref="E92:F92"/>
    <mergeCell ref="G92:H92"/>
    <mergeCell ref="I92:J92"/>
    <mergeCell ref="K92:L92"/>
    <mergeCell ref="M92:N92"/>
    <mergeCell ref="E15:N15"/>
    <mergeCell ref="E90:F90"/>
    <mergeCell ref="G90:H90"/>
    <mergeCell ref="I90:J90"/>
    <mergeCell ref="K90:L90"/>
    <mergeCell ref="M90:N90"/>
    <mergeCell ref="D91:D92"/>
    <mergeCell ref="E91:F91"/>
    <mergeCell ref="M93:N93"/>
    <mergeCell ref="E94:F94"/>
    <mergeCell ref="G94:H94"/>
    <mergeCell ref="I94:J94"/>
    <mergeCell ref="K94:L94"/>
    <mergeCell ref="M94:N94"/>
    <mergeCell ref="F17:N17"/>
    <mergeCell ref="F18:N18"/>
    <mergeCell ref="F19:N19"/>
    <mergeCell ref="G91:H91"/>
    <mergeCell ref="I91:J91"/>
    <mergeCell ref="K91:L91"/>
    <mergeCell ref="G88:H88"/>
    <mergeCell ref="I88:J88"/>
    <mergeCell ref="K88:L88"/>
    <mergeCell ref="M88:N88"/>
    <mergeCell ref="K84:L84"/>
    <mergeCell ref="M84:N84"/>
    <mergeCell ref="M82:N82"/>
    <mergeCell ref="M79:N79"/>
    <mergeCell ref="E80:F80"/>
    <mergeCell ref="G80:H80"/>
    <mergeCell ref="I80:J80"/>
    <mergeCell ref="K80:L80"/>
    <mergeCell ref="K98:L98"/>
    <mergeCell ref="M98:N98"/>
    <mergeCell ref="M96:N96"/>
    <mergeCell ref="D97:D98"/>
    <mergeCell ref="E97:F97"/>
    <mergeCell ref="G97:H97"/>
    <mergeCell ref="I97:J97"/>
    <mergeCell ref="K97:L97"/>
    <mergeCell ref="M97:N97"/>
    <mergeCell ref="E98:F98"/>
    <mergeCell ref="G98:H98"/>
    <mergeCell ref="I98:J98"/>
    <mergeCell ref="D95:D96"/>
    <mergeCell ref="E95:F95"/>
    <mergeCell ref="G95:H95"/>
    <mergeCell ref="I95:J95"/>
    <mergeCell ref="K95:L95"/>
    <mergeCell ref="M95:N95"/>
    <mergeCell ref="E96:F96"/>
    <mergeCell ref="G96:H96"/>
    <mergeCell ref="I96:J96"/>
    <mergeCell ref="K96:L96"/>
  </mergeCells>
  <conditionalFormatting sqref="G48:N69 G77:N98">
    <cfRule type="expression" dxfId="529" priority="1" stopIfTrue="1">
      <formula>$W48</formula>
    </cfRule>
  </conditionalFormatting>
  <dataValidations count="1">
    <dataValidation type="list" allowBlank="1" showInputMessage="1" showErrorMessage="1" sqref="I44:N44 I73:N73" xr:uid="{00000000-0002-0000-0700-000000000000}">
      <formula1>INDIRECT($M$108)</formula1>
    </dataValidation>
  </dataValidations>
  <hyperlinks>
    <hyperlink ref="G4:H4" location="JUMP_K_17" display="Definitions and abbreviations" xr:uid="{00000000-0004-0000-0700-000002000000}"/>
    <hyperlink ref="I4:J4" location="JUMP_K_18" display="Additional information" xr:uid="{00000000-0004-0000-0700-000003000000}"/>
    <hyperlink ref="K4:L4" location="JUMP_K_19" display="Changes in operation" xr:uid="{00000000-0004-0000-0700-000004000000}"/>
    <hyperlink ref="G2:H2" location="JUMP_a_Content" display="Table of contents" xr:uid="{00000000-0004-0000-0700-000005000000}"/>
  </hyperlinks>
  <pageMargins left="0.78740157480314965" right="0.78740157480314965" top="0.78740157480314965" bottom="0.78740157480314965" header="0.39370078740157483" footer="0.39370078740157483"/>
  <pageSetup paperSize="9" scale="59" fitToHeight="10" orientation="portrait" copies="2" r:id="rId1"/>
  <headerFooter alignWithMargins="0">
    <oddHeader>&amp;L&amp;F, &amp;A&amp;R&amp;D, &amp;T</oddHeader>
    <oddFooter>&amp;C&amp;P / &amp;N</oddFooter>
  </headerFooter>
  <colBreaks count="1" manualBreakCount="1">
    <brk id="13"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3">
    <tabColor theme="3"/>
    <pageSetUpPr fitToPage="1"/>
  </sheetPr>
  <dimension ref="A1:AL794"/>
  <sheetViews>
    <sheetView topLeftCell="B1" zoomScaleNormal="100" workbookViewId="0">
      <pane ySplit="4" topLeftCell="A5" activePane="bottomLeft" state="frozen"/>
      <selection activeCell="B2" sqref="B2"/>
      <selection pane="bottomLeft" activeCell="B2" sqref="B2:D4"/>
    </sheetView>
  </sheetViews>
  <sheetFormatPr defaultColWidth="9.1796875" defaultRowHeight="12.5" x14ac:dyDescent="0.25"/>
  <cols>
    <col min="1" max="1" width="2.7265625" style="113" hidden="1" customWidth="1"/>
    <col min="2" max="2" width="2.7265625" style="115" customWidth="1"/>
    <col min="3" max="4" width="4.7265625" style="115" customWidth="1"/>
    <col min="5" max="5" width="20.7265625" style="170" customWidth="1"/>
    <col min="6" max="19" width="12.7265625" style="115" customWidth="1"/>
    <col min="20" max="20" width="2.7265625" style="212" customWidth="1"/>
    <col min="21" max="21" width="11.453125" style="143" customWidth="1"/>
    <col min="22" max="38" width="11.453125" style="110" hidden="1" customWidth="1"/>
    <col min="39" max="16384" width="9.1796875" style="530"/>
  </cols>
  <sheetData>
    <row r="1" spans="1:38" ht="13" hidden="1" thickBot="1" x14ac:dyDescent="0.3">
      <c r="A1" s="110" t="s">
        <v>0</v>
      </c>
      <c r="B1" s="138"/>
      <c r="C1" s="138"/>
      <c r="D1" s="141"/>
      <c r="E1" s="138"/>
      <c r="F1" s="138"/>
      <c r="G1" s="138"/>
      <c r="H1" s="138"/>
      <c r="I1" s="138"/>
      <c r="J1" s="138"/>
      <c r="K1" s="138"/>
      <c r="L1" s="138"/>
      <c r="M1" s="138"/>
      <c r="N1" s="138"/>
      <c r="O1" s="138"/>
      <c r="P1" s="138"/>
      <c r="Q1" s="138"/>
      <c r="R1" s="138"/>
      <c r="S1" s="138"/>
      <c r="T1" s="142"/>
      <c r="U1" s="115"/>
      <c r="V1" s="110" t="s">
        <v>0</v>
      </c>
      <c r="W1" s="110" t="s">
        <v>0</v>
      </c>
      <c r="X1" s="110" t="s">
        <v>0</v>
      </c>
      <c r="Y1" s="110" t="s">
        <v>0</v>
      </c>
      <c r="Z1" s="110" t="s">
        <v>0</v>
      </c>
      <c r="AA1" s="110" t="s">
        <v>0</v>
      </c>
      <c r="AB1" s="110" t="s">
        <v>0</v>
      </c>
      <c r="AC1" s="110" t="s">
        <v>0</v>
      </c>
      <c r="AD1" s="110" t="s">
        <v>0</v>
      </c>
      <c r="AE1" s="110" t="s">
        <v>0</v>
      </c>
      <c r="AF1" s="110" t="s">
        <v>0</v>
      </c>
      <c r="AG1" s="110" t="s">
        <v>0</v>
      </c>
      <c r="AH1" s="110" t="s">
        <v>0</v>
      </c>
      <c r="AI1" s="110" t="s">
        <v>0</v>
      </c>
      <c r="AJ1" s="110" t="s">
        <v>0</v>
      </c>
      <c r="AK1" s="110" t="s">
        <v>0</v>
      </c>
      <c r="AL1" s="110" t="s">
        <v>0</v>
      </c>
    </row>
    <row r="2" spans="1:38" ht="13.5" customHeight="1" thickBot="1" x14ac:dyDescent="0.35">
      <c r="A2" s="110"/>
      <c r="B2" s="1003" t="str">
        <f>Translations!$B$623</f>
        <v>F.a. Tool Blending</v>
      </c>
      <c r="C2" s="1004"/>
      <c r="D2" s="1005"/>
      <c r="E2" s="1019" t="str">
        <f>Translations!$B$13</f>
        <v>Navigation area:</v>
      </c>
      <c r="F2" s="1020"/>
      <c r="G2" s="1021" t="str">
        <f>Translations!$B$14</f>
        <v>Table of contents</v>
      </c>
      <c r="H2" s="1022"/>
      <c r="I2" s="1021"/>
      <c r="J2" s="1022"/>
      <c r="K2" s="1021"/>
      <c r="L2" s="1022"/>
      <c r="M2" s="1014" t="str">
        <f ca="1">HYPERLINK("#"&amp;a_Contents!$R$46,INDIRECT(a_Contents!$R$46))</f>
        <v>I Accounting sheet</v>
      </c>
      <c r="N2" s="1408"/>
      <c r="O2" s="1408"/>
      <c r="P2" s="1408"/>
      <c r="Q2" s="1408"/>
      <c r="R2" s="1408"/>
      <c r="S2" s="1015"/>
      <c r="T2" s="142"/>
      <c r="U2" s="115"/>
      <c r="V2" s="61" t="s">
        <v>1</v>
      </c>
      <c r="W2" s="66" t="str">
        <f>ADDRESS(ROW($B$6),COLUMN($B$6)) &amp; ":" &amp; ADDRESS(MATCH("PRINT",$U:$U,0),COLUMN($U$6))</f>
        <v>$B$6:$U$766</v>
      </c>
      <c r="X2" s="61" t="s">
        <v>2</v>
      </c>
      <c r="Y2" s="67" t="str">
        <f ca="1">IF(ISERROR(CELL("filename",Z2)),"F_ManagementControl",MID(CELL("filename",Z2),FIND("]",CELL("filename",Z2))+1,1024))</f>
        <v>F.a.Tool_Blending</v>
      </c>
    </row>
    <row r="3" spans="1:38" ht="12.75" customHeight="1" x14ac:dyDescent="0.25">
      <c r="A3" s="110"/>
      <c r="B3" s="1006"/>
      <c r="C3" s="1007"/>
      <c r="D3" s="1008"/>
      <c r="E3" s="1013"/>
      <c r="F3" s="1013"/>
      <c r="G3" s="1013" t="str">
        <f>IFERROR(HYPERLINK("#"&amp;ADDRESS(ROW($A$1)+MATCH(V3,$A:$A,0)-1,3),INDEX($V:$V,MATCH(V3,$A:$A,0))),"")</f>
        <v>Introduction to the tool</v>
      </c>
      <c r="H3" s="1013"/>
      <c r="I3" s="1013" t="str">
        <f>IFERROR(HYPERLINK("#"&amp;ADDRESS(ROW($A$1)+MATCH(X3,$A:$A,0)-1,3),INDEX($V:$V,MATCH(X3,$A:$A,0))),"")</f>
        <v>Summary of the results of all tools of this sheet</v>
      </c>
      <c r="J3" s="1013"/>
      <c r="K3" s="1013" t="str">
        <f>IFERROR(HYPERLINK("#"&amp;ADDRESS(ROW($A$1)+MATCH(Z3,$A:$A,0)-1,3),INDEX($V:$V,MATCH(Z3,$A:$A,0))),"")</f>
        <v>Tool 1</v>
      </c>
      <c r="L3" s="1013"/>
      <c r="M3" s="1013" t="str">
        <f>IFERROR(HYPERLINK("#"&amp;ADDRESS(ROW($A$1)+MATCH(AB3,$A:$A,0)-1,3),INDEX($V:$V,MATCH(AB3,$A:$A,0))),"")</f>
        <v>Tool 2</v>
      </c>
      <c r="N3" s="1013"/>
      <c r="O3" s="1013" t="str">
        <f>IFERROR(HYPERLINK("#"&amp;ADDRESS(ROW($A$1)+MATCH(AD3,$A:$A,0)-1,3),INDEX($V:$V,MATCH(AD3,$A:$A,0))),"")</f>
        <v>Tool 3</v>
      </c>
      <c r="P3" s="1013"/>
      <c r="Q3" s="1013" t="str">
        <f>IFERROR(HYPERLINK("#"&amp;ADDRESS(ROW($A$1)+MATCH(AF3,$A:$A,0)-1,3),INDEX($V:$V,MATCH(AF3,$A:$A,0))),"")</f>
        <v>Tool 4</v>
      </c>
      <c r="R3" s="1013"/>
      <c r="S3" s="41"/>
      <c r="T3" s="142"/>
      <c r="U3" s="115"/>
      <c r="V3" s="145">
        <v>1</v>
      </c>
      <c r="W3" s="146"/>
      <c r="X3" s="146">
        <v>2</v>
      </c>
      <c r="Y3" s="146"/>
      <c r="Z3" s="146">
        <v>3</v>
      </c>
      <c r="AA3" s="146"/>
      <c r="AB3" s="147">
        <v>4</v>
      </c>
      <c r="AC3" s="146"/>
      <c r="AD3" s="146">
        <v>5</v>
      </c>
      <c r="AE3" s="147"/>
      <c r="AF3" s="146">
        <v>6</v>
      </c>
      <c r="AG3" s="549"/>
      <c r="AH3" s="549"/>
      <c r="AI3" s="549"/>
      <c r="AJ3" s="549"/>
    </row>
    <row r="4" spans="1:38" ht="13.5" customHeight="1" thickBot="1" x14ac:dyDescent="0.3">
      <c r="A4" s="110"/>
      <c r="B4" s="1009"/>
      <c r="C4" s="1010"/>
      <c r="D4" s="1011"/>
      <c r="E4" s="1013"/>
      <c r="F4" s="1013"/>
      <c r="G4" s="1013" t="str">
        <f>IFERROR(HYPERLINK("#"&amp;ADDRESS(ROW($A$1)+MATCH(V4,$A:$A,0)-1,3),INDEX($V:$V,MATCH(V4,$A:$A,0))),"")</f>
        <v>Tool 5</v>
      </c>
      <c r="H4" s="1013"/>
      <c r="I4" s="1013" t="str">
        <f>IFERROR(HYPERLINK("#"&amp;ADDRESS(ROW($A$1)+MATCH(X4,$A:$A,0)-1,3),INDEX($V:$V,MATCH(X4,$A:$A,0))),"")</f>
        <v>Tool 6</v>
      </c>
      <c r="J4" s="1013"/>
      <c r="K4" s="1013" t="str">
        <f>IFERROR(HYPERLINK("#"&amp;ADDRESS(ROW($A$1)+MATCH(Z4,$A:$A,0)-1,3),INDEX($V:$V,MATCH(Z4,$A:$A,0))),"")</f>
        <v>Tool 7</v>
      </c>
      <c r="L4" s="1013"/>
      <c r="M4" s="1013" t="str">
        <f>IFERROR(HYPERLINK("#"&amp;ADDRESS(ROW($A$1)+MATCH(AB4,$A:$A,0)-1,3),INDEX($V:$V,MATCH(AB4,$A:$A,0))),"")</f>
        <v>Tool 8</v>
      </c>
      <c r="N4" s="1013"/>
      <c r="O4" s="1013" t="str">
        <f>IFERROR(HYPERLINK("#"&amp;ADDRESS(ROW($A$1)+MATCH(AD4,$A:$A,0)-1,3),INDEX($V:$V,MATCH(AD4,$A:$A,0))),"")</f>
        <v>Tool 9</v>
      </c>
      <c r="P4" s="1013"/>
      <c r="Q4" s="1013" t="str">
        <f>IFERROR(HYPERLINK("#"&amp;ADDRESS(ROW($A$1)+MATCH(AF4,$A:$A,0)-1,3),INDEX($V:$V,MATCH(AF4,$A:$A,0))),"")</f>
        <v>Tool 10</v>
      </c>
      <c r="R4" s="1013"/>
      <c r="S4" s="41"/>
      <c r="T4" s="142"/>
      <c r="U4" s="115"/>
      <c r="V4" s="148">
        <f>MAX(V3:AM3)+1</f>
        <v>7</v>
      </c>
      <c r="W4" s="149"/>
      <c r="X4" s="149">
        <f>V4+1</f>
        <v>8</v>
      </c>
      <c r="Y4" s="149"/>
      <c r="Z4" s="149">
        <f>X4+1</f>
        <v>9</v>
      </c>
      <c r="AA4" s="149"/>
      <c r="AB4" s="149">
        <f>Z4+1</f>
        <v>10</v>
      </c>
      <c r="AC4" s="149"/>
      <c r="AD4" s="149">
        <f>AB4+1</f>
        <v>11</v>
      </c>
      <c r="AE4" s="149"/>
      <c r="AF4" s="149">
        <f>AD4+1</f>
        <v>12</v>
      </c>
      <c r="AG4" s="549"/>
      <c r="AH4" s="549"/>
      <c r="AI4" s="549"/>
      <c r="AJ4" s="549"/>
    </row>
    <row r="5" spans="1:38" ht="12.75" customHeight="1" x14ac:dyDescent="0.25">
      <c r="C5" s="214"/>
      <c r="D5" s="215"/>
      <c r="E5" s="115"/>
      <c r="F5" s="215"/>
      <c r="G5" s="215"/>
      <c r="H5" s="215"/>
      <c r="L5" s="132"/>
      <c r="M5" s="132"/>
      <c r="N5" s="132"/>
      <c r="O5" s="132"/>
      <c r="P5" s="132"/>
      <c r="Q5" s="132"/>
      <c r="R5" s="132"/>
      <c r="S5" s="132"/>
      <c r="T5" s="142"/>
      <c r="U5" s="115"/>
      <c r="AF5" s="549"/>
      <c r="AG5" s="549"/>
      <c r="AH5" s="549"/>
      <c r="AI5" s="549"/>
      <c r="AJ5" s="549"/>
    </row>
    <row r="6" spans="1:38" s="550" customFormat="1" ht="25.5" customHeight="1" x14ac:dyDescent="0.25">
      <c r="A6" s="62"/>
      <c r="B6" s="68"/>
      <c r="C6" s="1212" t="str">
        <f>Translations!$B$624</f>
        <v>F.a. Tool for calculating calculation factors of blended fuel streams</v>
      </c>
      <c r="D6" s="1212"/>
      <c r="E6" s="1212"/>
      <c r="F6" s="1212"/>
      <c r="G6" s="1212"/>
      <c r="H6" s="1212"/>
      <c r="I6" s="1212"/>
      <c r="J6" s="1212"/>
      <c r="K6" s="1212"/>
      <c r="L6" s="1212"/>
      <c r="M6" s="1212"/>
      <c r="N6" s="1212"/>
      <c r="O6" s="1212"/>
      <c r="P6" s="1212"/>
      <c r="Q6" s="1212"/>
      <c r="R6" s="1212"/>
      <c r="S6" s="1212"/>
      <c r="T6" s="64"/>
      <c r="U6" s="40"/>
      <c r="V6" s="110"/>
      <c r="W6" s="110"/>
      <c r="X6" s="110"/>
      <c r="Y6" s="110"/>
      <c r="Z6" s="110"/>
      <c r="AA6" s="549"/>
      <c r="AB6" s="549"/>
      <c r="AC6" s="549"/>
      <c r="AD6" s="549"/>
      <c r="AE6" s="549"/>
      <c r="AF6" s="549"/>
      <c r="AG6" s="549"/>
      <c r="AH6" s="549"/>
      <c r="AI6" s="549"/>
      <c r="AJ6" s="549"/>
      <c r="AK6" s="549"/>
      <c r="AL6" s="549"/>
    </row>
    <row r="7" spans="1:38" x14ac:dyDescent="0.25">
      <c r="B7" s="132"/>
      <c r="C7" s="132"/>
      <c r="D7" s="132"/>
      <c r="E7" s="665"/>
      <c r="F7" s="132"/>
      <c r="G7" s="132"/>
      <c r="H7" s="132"/>
      <c r="I7" s="132"/>
      <c r="J7" s="132"/>
      <c r="K7" s="132"/>
      <c r="L7" s="132"/>
      <c r="M7" s="132"/>
      <c r="N7" s="132"/>
      <c r="O7" s="132"/>
      <c r="P7" s="132"/>
      <c r="Q7" s="132"/>
      <c r="R7" s="132"/>
      <c r="S7" s="132"/>
      <c r="T7" s="142"/>
      <c r="U7" s="115"/>
    </row>
    <row r="8" spans="1:38" s="69" customFormat="1" ht="18.75" customHeight="1" x14ac:dyDescent="0.25">
      <c r="A8" s="167">
        <f>C8</f>
        <v>1</v>
      </c>
      <c r="B8" s="76"/>
      <c r="C8" s="216">
        <v>1</v>
      </c>
      <c r="D8" s="1195" t="str">
        <f>Translations!$B$469</f>
        <v>Introduction to the tool</v>
      </c>
      <c r="E8" s="1195"/>
      <c r="F8" s="1195"/>
      <c r="G8" s="1195"/>
      <c r="H8" s="1195"/>
      <c r="I8" s="1195"/>
      <c r="J8" s="1195"/>
      <c r="K8" s="1195"/>
      <c r="L8" s="1195"/>
      <c r="M8" s="1195"/>
      <c r="N8" s="1195"/>
      <c r="O8" s="1195"/>
      <c r="P8" s="1195"/>
      <c r="Q8" s="1195"/>
      <c r="R8" s="1195"/>
      <c r="S8" s="1195"/>
      <c r="T8" s="142"/>
      <c r="U8" s="115"/>
      <c r="V8" s="464" t="str">
        <f>D8</f>
        <v>Introduction to the tool</v>
      </c>
      <c r="W8" s="110"/>
      <c r="X8" s="110"/>
      <c r="Y8" s="110"/>
      <c r="Z8" s="110"/>
      <c r="AA8" s="109"/>
      <c r="AB8" s="109"/>
      <c r="AC8" s="109"/>
      <c r="AD8" s="109"/>
      <c r="AE8" s="109"/>
      <c r="AF8" s="109"/>
      <c r="AG8" s="109"/>
      <c r="AH8" s="109"/>
      <c r="AI8" s="109"/>
      <c r="AJ8" s="109"/>
      <c r="AK8" s="109"/>
      <c r="AL8" s="109"/>
    </row>
    <row r="9" spans="1:38" ht="12.75" customHeight="1" x14ac:dyDescent="0.25">
      <c r="B9" s="132"/>
      <c r="C9" s="132"/>
      <c r="D9" s="132"/>
      <c r="E9" s="191"/>
      <c r="F9" s="116"/>
      <c r="G9" s="116"/>
      <c r="H9" s="116"/>
      <c r="I9" s="116"/>
      <c r="J9" s="116"/>
      <c r="K9" s="116"/>
      <c r="L9" s="116"/>
      <c r="M9" s="116"/>
      <c r="N9" s="116"/>
      <c r="O9" s="116"/>
      <c r="P9" s="116"/>
      <c r="Q9" s="116"/>
      <c r="R9" s="116"/>
      <c r="S9" s="132"/>
      <c r="T9" s="142"/>
      <c r="U9" s="115"/>
    </row>
    <row r="10" spans="1:38" ht="12.75" customHeight="1" x14ac:dyDescent="0.25">
      <c r="A10" s="151"/>
      <c r="C10" s="170"/>
      <c r="D10" s="194"/>
      <c r="E10" s="1090" t="str">
        <f>Translations!$B$625</f>
        <v>Common transport fuels are usually 'commercial standard fuels' and you can therefore apply Tier 2a national default values for the unit conversion and the emission factor (see section 5.7 of the General Guidance on ETS2).</v>
      </c>
      <c r="F10" s="1090"/>
      <c r="G10" s="1090"/>
      <c r="H10" s="1090"/>
      <c r="I10" s="1090"/>
      <c r="J10" s="1090"/>
      <c r="K10" s="1090"/>
      <c r="L10" s="1090"/>
      <c r="M10" s="1090"/>
      <c r="N10" s="1090"/>
      <c r="O10" s="1090"/>
      <c r="P10" s="1090"/>
      <c r="Q10" s="1090"/>
      <c r="R10" s="1090"/>
      <c r="S10" s="1090"/>
      <c r="T10" s="142"/>
      <c r="U10" s="115"/>
      <c r="V10" s="551"/>
      <c r="W10" s="287"/>
      <c r="X10" s="137"/>
      <c r="Y10" s="137"/>
      <c r="Z10" s="137"/>
      <c r="AA10" s="137"/>
      <c r="AB10" s="137"/>
      <c r="AC10" s="137"/>
      <c r="AD10" s="137"/>
      <c r="AE10" s="137"/>
      <c r="AF10" s="137"/>
      <c r="AG10" s="137"/>
      <c r="AH10" s="137"/>
      <c r="AI10" s="137"/>
      <c r="AJ10" s="137"/>
      <c r="AK10" s="137"/>
      <c r="AL10" s="137"/>
    </row>
    <row r="11" spans="1:38" ht="12.75" customHeight="1" x14ac:dyDescent="0.25">
      <c r="A11" s="151"/>
      <c r="C11" s="170"/>
      <c r="D11" s="194"/>
      <c r="E11" s="1090" t="str">
        <f>Translations!$B$626</f>
        <v>They typically comprise a main fossil component, a biogenic component, and small amounts of additives. At the point of their release for consumption, they can either be released individually (prior to blending performed downstream), or already in their blended form.</v>
      </c>
      <c r="F11" s="1090"/>
      <c r="G11" s="1090"/>
      <c r="H11" s="1090"/>
      <c r="I11" s="1090"/>
      <c r="J11" s="1090"/>
      <c r="K11" s="1090"/>
      <c r="L11" s="1090"/>
      <c r="M11" s="1090"/>
      <c r="N11" s="1090"/>
      <c r="O11" s="1090"/>
      <c r="P11" s="1090"/>
      <c r="Q11" s="1090"/>
      <c r="R11" s="1090"/>
      <c r="S11" s="1090"/>
      <c r="T11" s="142"/>
      <c r="U11" s="115"/>
      <c r="V11" s="551"/>
      <c r="W11" s="287"/>
      <c r="X11" s="137"/>
      <c r="Y11" s="137"/>
      <c r="Z11" s="137"/>
      <c r="AA11" s="137"/>
      <c r="AB11" s="137"/>
      <c r="AC11" s="137"/>
      <c r="AD11" s="137"/>
      <c r="AE11" s="137"/>
      <c r="AF11" s="137"/>
      <c r="AG11" s="137"/>
      <c r="AH11" s="137"/>
      <c r="AI11" s="137"/>
      <c r="AJ11" s="137"/>
      <c r="AK11" s="137"/>
      <c r="AL11" s="137"/>
    </row>
    <row r="12" spans="1:38" ht="12.75" customHeight="1" x14ac:dyDescent="0.25">
      <c r="A12" s="151"/>
      <c r="C12" s="170"/>
      <c r="D12" s="194"/>
      <c r="E12" s="1090" t="str">
        <f>Translations!$B$627</f>
        <v>For already blended fuel streams, the default values need to take into account the actual share of each component to calculate the correct weighted averages.</v>
      </c>
      <c r="F12" s="1090"/>
      <c r="G12" s="1090"/>
      <c r="H12" s="1090"/>
      <c r="I12" s="1090"/>
      <c r="J12" s="1090"/>
      <c r="K12" s="1090"/>
      <c r="L12" s="1090"/>
      <c r="M12" s="1090"/>
      <c r="N12" s="1090"/>
      <c r="O12" s="1090"/>
      <c r="P12" s="1090"/>
      <c r="Q12" s="1090"/>
      <c r="R12" s="1090"/>
      <c r="S12" s="1090"/>
      <c r="T12" s="142"/>
      <c r="U12" s="115"/>
      <c r="V12" s="551"/>
      <c r="W12" s="287"/>
      <c r="X12" s="137"/>
      <c r="Y12" s="137"/>
      <c r="Z12" s="137"/>
      <c r="AA12" s="137"/>
      <c r="AB12" s="137"/>
      <c r="AC12" s="137"/>
      <c r="AD12" s="137"/>
      <c r="AE12" s="137"/>
      <c r="AF12" s="137"/>
      <c r="AG12" s="137"/>
      <c r="AH12" s="137"/>
      <c r="AI12" s="137"/>
      <c r="AJ12" s="137"/>
      <c r="AK12" s="137"/>
      <c r="AL12" s="137"/>
    </row>
    <row r="13" spans="1:38" ht="25.5" customHeight="1" x14ac:dyDescent="0.25">
      <c r="A13" s="151"/>
      <c r="C13" s="170"/>
      <c r="D13" s="194"/>
      <c r="E13" s="1197" t="str">
        <f>Translations!$B$628</f>
        <v>The tools in this sheet support you, as well as your verifier and your CA, with calculating the weighted values of each blended fuel stream released for consumption. For each fuel stream (e.g. E5, E10) a separate tool (table) below needs to be completed. The results of the tool must then be transferred manually into sheet C.</v>
      </c>
      <c r="F13" s="1197"/>
      <c r="G13" s="1197"/>
      <c r="H13" s="1197"/>
      <c r="I13" s="1197"/>
      <c r="J13" s="1197"/>
      <c r="K13" s="1197"/>
      <c r="L13" s="1197"/>
      <c r="M13" s="1197"/>
      <c r="N13" s="1197"/>
      <c r="O13" s="1197"/>
      <c r="P13" s="1197"/>
      <c r="Q13" s="1197"/>
      <c r="R13" s="1197"/>
      <c r="S13" s="1197"/>
      <c r="T13" s="142"/>
      <c r="U13" s="115"/>
      <c r="V13" s="551"/>
      <c r="W13" s="287"/>
      <c r="X13" s="137"/>
      <c r="Y13" s="137"/>
      <c r="Z13" s="137"/>
      <c r="AA13" s="137"/>
      <c r="AB13" s="137"/>
      <c r="AC13" s="137"/>
      <c r="AD13" s="137"/>
      <c r="AE13" s="137"/>
      <c r="AF13" s="137"/>
      <c r="AG13" s="137"/>
      <c r="AH13" s="137"/>
      <c r="AI13" s="137"/>
      <c r="AJ13" s="137"/>
      <c r="AK13" s="137"/>
      <c r="AL13" s="137"/>
    </row>
    <row r="14" spans="1:38" ht="38.9" customHeight="1" x14ac:dyDescent="0.25">
      <c r="B14" s="132"/>
      <c r="C14" s="132"/>
      <c r="D14" s="132"/>
      <c r="E14" s="1090" t="str">
        <f>Translations!$B$629</f>
        <v>The table below shows a simplified example for how the calculation for an E10 fuel stream could look like. From the drop-down list in column E of the first 10 rows you can select relevant compontents for which the applicable units and default values for the unit conversion factor and emission factor will be displayed automatically. The last 5 rows are for any components for which your competent authority has not entered the relevant Tier 2a values in this template. In this case you have to enter all data manually. In any case, consistency of all relevant units has to be ensured.</v>
      </c>
      <c r="F14" s="1090"/>
      <c r="G14" s="1090"/>
      <c r="H14" s="1090"/>
      <c r="I14" s="1090"/>
      <c r="J14" s="1090"/>
      <c r="K14" s="1090"/>
      <c r="L14" s="1090"/>
      <c r="M14" s="1090"/>
      <c r="N14" s="1090"/>
      <c r="O14" s="1090"/>
      <c r="P14" s="1090"/>
      <c r="Q14" s="1090"/>
      <c r="R14" s="1090"/>
      <c r="S14" s="1090"/>
      <c r="T14" s="142"/>
      <c r="U14" s="115"/>
    </row>
    <row r="15" spans="1:38" ht="12.75" customHeight="1" x14ac:dyDescent="0.25">
      <c r="B15" s="132"/>
      <c r="C15" s="132"/>
      <c r="D15" s="132"/>
      <c r="E15" s="1090" t="str">
        <f>Translations!$B$630</f>
        <v>Any row highlighted in red font indicates inconsistencies with the units shown in the table header. Furthermore, fuel streams can be selected from the drop-down list in column P to check consistency with the values entered in sheet C.</v>
      </c>
      <c r="F15" s="1090"/>
      <c r="G15" s="1090"/>
      <c r="H15" s="1090"/>
      <c r="I15" s="1090"/>
      <c r="J15" s="1090"/>
      <c r="K15" s="1090"/>
      <c r="L15" s="1090"/>
      <c r="M15" s="1090"/>
      <c r="N15" s="1090"/>
      <c r="O15" s="1090"/>
      <c r="P15" s="1090"/>
      <c r="Q15" s="1090"/>
      <c r="R15" s="1090"/>
      <c r="S15" s="1090"/>
      <c r="T15" s="142"/>
      <c r="U15" s="115"/>
    </row>
    <row r="16" spans="1:38" ht="12.75" customHeight="1" x14ac:dyDescent="0.25">
      <c r="B16" s="132"/>
      <c r="C16" s="132"/>
      <c r="D16" s="132"/>
      <c r="E16" s="1090"/>
      <c r="F16" s="1090"/>
      <c r="G16" s="1090"/>
      <c r="H16" s="1090"/>
      <c r="I16" s="1090"/>
      <c r="J16" s="1090"/>
      <c r="K16" s="1090"/>
      <c r="L16" s="1090"/>
      <c r="M16" s="1090"/>
      <c r="N16" s="1090"/>
      <c r="O16" s="1090"/>
      <c r="P16" s="1090"/>
      <c r="Q16" s="1090"/>
      <c r="R16" s="1090"/>
      <c r="S16" s="1090"/>
      <c r="T16" s="142"/>
      <c r="U16" s="115"/>
    </row>
    <row r="17" spans="2:38" ht="12.75" customHeight="1" x14ac:dyDescent="0.25">
      <c r="B17" s="132"/>
      <c r="C17" s="132"/>
      <c r="D17" s="1401" t="str">
        <f>Translations!$B$631</f>
        <v>Component</v>
      </c>
      <c r="E17" s="1402"/>
      <c r="F17" s="563">
        <v>1</v>
      </c>
      <c r="G17" s="563">
        <v>2</v>
      </c>
      <c r="H17" s="563">
        <v>3</v>
      </c>
      <c r="I17" s="563">
        <v>4</v>
      </c>
      <c r="J17" s="563">
        <v>5</v>
      </c>
      <c r="K17" s="563">
        <v>6</v>
      </c>
      <c r="L17" s="563">
        <v>7</v>
      </c>
      <c r="M17" s="564"/>
      <c r="N17" s="564"/>
      <c r="O17" s="564"/>
      <c r="P17" s="564"/>
      <c r="Q17" s="564"/>
      <c r="R17" s="564"/>
      <c r="S17" s="565"/>
      <c r="T17" s="142"/>
      <c r="U17" s="115"/>
      <c r="V17" s="566" t="str">
        <f>Translations!$B$498</f>
        <v>Units:</v>
      </c>
      <c r="W17" s="561"/>
      <c r="X17" s="561"/>
      <c r="Y17" s="567"/>
      <c r="Z17" s="561"/>
      <c r="AA17" s="567"/>
    </row>
    <row r="18" spans="2:38" ht="12.75" customHeight="1" x14ac:dyDescent="0.25">
      <c r="B18" s="132"/>
      <c r="C18" s="132"/>
      <c r="D18" s="1403"/>
      <c r="E18" s="1404"/>
      <c r="F18" s="1413" t="str">
        <f>Translations!$B$377</f>
        <v>RFA</v>
      </c>
      <c r="G18" s="1413" t="str">
        <f>Translations!$B$386</f>
        <v>UCF</v>
      </c>
      <c r="H18" s="1413" t="str">
        <f>Translations!$B$383</f>
        <v>EF</v>
      </c>
      <c r="I18" s="1413" t="str">
        <f>Translations!$B$632</f>
        <v>Zero-rated F</v>
      </c>
      <c r="J18" s="1413" t="str">
        <f>Translations!$B$633</f>
        <v>Energy</v>
      </c>
      <c r="K18" s="1415" t="str">
        <f>Translations!$B$522</f>
        <v>Emissions (fossil)</v>
      </c>
      <c r="L18" s="1415" t="str">
        <f>Translations!$B$634</f>
        <v>Emissions (bio)</v>
      </c>
      <c r="M18" s="564"/>
      <c r="N18" s="564"/>
      <c r="O18" s="564"/>
      <c r="P18" s="564"/>
      <c r="Q18" s="564"/>
      <c r="R18" s="564"/>
      <c r="S18" s="565"/>
      <c r="T18" s="142"/>
      <c r="U18" s="115"/>
      <c r="W18" s="561"/>
      <c r="X18" s="561"/>
      <c r="Y18" s="567"/>
      <c r="Z18" s="561"/>
      <c r="AA18" s="567"/>
    </row>
    <row r="19" spans="2:38" ht="12.75" customHeight="1" x14ac:dyDescent="0.3">
      <c r="B19" s="132"/>
      <c r="C19" s="132"/>
      <c r="D19" s="1403"/>
      <c r="E19" s="1404"/>
      <c r="F19" s="1414"/>
      <c r="G19" s="1414"/>
      <c r="H19" s="1414"/>
      <c r="I19" s="1414"/>
      <c r="J19" s="1414"/>
      <c r="K19" s="1416"/>
      <c r="L19" s="1416"/>
      <c r="M19" s="564"/>
      <c r="N19" s="568" t="str">
        <f>Translations!$B$635</f>
        <v>Result to be entered in sheet C</v>
      </c>
      <c r="O19" s="564"/>
      <c r="P19" s="564"/>
      <c r="Q19" s="564"/>
      <c r="R19" s="564"/>
      <c r="S19" s="565"/>
      <c r="T19" s="142"/>
      <c r="U19" s="115"/>
      <c r="W19" s="569" t="str">
        <f>Translations!$B$377</f>
        <v>RFA</v>
      </c>
      <c r="X19" s="569" t="str">
        <f>Translations!$B$386</f>
        <v>UCF</v>
      </c>
      <c r="Y19" s="569"/>
      <c r="Z19" s="569" t="str">
        <f>Translations!$B$383</f>
        <v>EF</v>
      </c>
      <c r="AA19" s="569"/>
      <c r="AB19" s="570"/>
      <c r="AC19" s="570"/>
      <c r="AH19" s="570"/>
      <c r="AI19" s="570"/>
      <c r="AJ19" s="570"/>
    </row>
    <row r="20" spans="2:38" ht="12.75" customHeight="1" x14ac:dyDescent="0.3">
      <c r="B20" s="132"/>
      <c r="C20" s="132"/>
      <c r="D20" s="1405"/>
      <c r="E20" s="1406"/>
      <c r="F20" s="571" t="str">
        <f>EUconst_klitres</f>
        <v>1000litres</v>
      </c>
      <c r="G20" s="571" t="str">
        <f>EUconst_GJ&amp;"/"&amp;EUconst_klitres</f>
        <v>GJ/1000litres</v>
      </c>
      <c r="H20" s="571" t="str">
        <f>EUconst_tCO2&amp;"/"&amp;EUconst_TJ</f>
        <v>tCO2/TJ</v>
      </c>
      <c r="I20" s="572" t="s">
        <v>46</v>
      </c>
      <c r="J20" s="573" t="s">
        <v>187</v>
      </c>
      <c r="K20" s="573" t="s">
        <v>188</v>
      </c>
      <c r="L20" s="573" t="s">
        <v>188</v>
      </c>
      <c r="M20" s="564"/>
      <c r="N20" s="1407" t="str">
        <f>Translations!$B$636</f>
        <v>The results of this tool are the relevant (weighted average) values below. Each value has to be entered manually in sheet C for the respective fuel stream. Select fuel stream below for comparison.</v>
      </c>
      <c r="O20" s="1407"/>
      <c r="P20" s="1407"/>
      <c r="Q20" s="1407"/>
      <c r="R20" s="1407"/>
      <c r="S20" s="1407"/>
      <c r="T20" s="142"/>
      <c r="U20" s="115"/>
      <c r="W20" s="569" t="str">
        <f>EUconst_CNTR_ActivityData&amp;EUconst_Unit</f>
        <v>ActivityData_Unit</v>
      </c>
      <c r="X20" s="569" t="str">
        <f>EUconst_CNTR_UCF&amp;EUconst_Unit</f>
        <v>UCF_Unit</v>
      </c>
      <c r="Y20" s="569" t="str">
        <f>EUconst_CNTR_UCF&amp;EUconst_Value</f>
        <v>UCF_Value</v>
      </c>
      <c r="Z20" s="569" t="str">
        <f>EUconst_CNTR_EF&amp;EUconst_Unit</f>
        <v>EF_Unit</v>
      </c>
      <c r="AA20" s="569" t="str">
        <f>EUconst_CNTR_EF&amp;EUconst_Value</f>
        <v>EF_Value</v>
      </c>
      <c r="AB20" s="569" t="s">
        <v>189</v>
      </c>
      <c r="AC20" s="575"/>
      <c r="AD20" s="576" t="s">
        <v>147</v>
      </c>
      <c r="AE20" s="576" t="s">
        <v>151</v>
      </c>
      <c r="AF20" s="576" t="s">
        <v>153</v>
      </c>
      <c r="AG20" s="576" t="s">
        <v>155</v>
      </c>
      <c r="AH20" s="575"/>
      <c r="AI20" s="575"/>
      <c r="AJ20" s="575" t="s">
        <v>190</v>
      </c>
      <c r="AK20" s="575" t="s">
        <v>191</v>
      </c>
      <c r="AL20" s="575" t="s">
        <v>192</v>
      </c>
    </row>
    <row r="21" spans="2:38" ht="12.75" customHeight="1" x14ac:dyDescent="0.25">
      <c r="B21" s="132"/>
      <c r="C21" s="132"/>
      <c r="D21" s="1396" t="str">
        <f>Translations!$B$637</f>
        <v>Default compontents provided by the CA</v>
      </c>
      <c r="E21" s="577" t="str">
        <f>Translations!$B$341</f>
        <v>Liquid - Motor Gasoline</v>
      </c>
      <c r="F21" s="578">
        <v>8950</v>
      </c>
      <c r="G21" s="579">
        <v>33.6</v>
      </c>
      <c r="H21" s="579">
        <v>69.8</v>
      </c>
      <c r="I21" s="580">
        <v>0</v>
      </c>
      <c r="J21" s="581">
        <f>F21*G21</f>
        <v>300720</v>
      </c>
      <c r="K21" s="581">
        <f>F21*G21/1000*H21*(1-I21)</f>
        <v>20990.256000000001</v>
      </c>
      <c r="L21" s="581">
        <f>F21*G21/1000*H21*I21</f>
        <v>0</v>
      </c>
      <c r="M21" s="1400"/>
      <c r="N21" s="1407"/>
      <c r="O21" s="1407"/>
      <c r="P21" s="1407"/>
      <c r="Q21" s="1407"/>
      <c r="R21" s="1407"/>
      <c r="S21" s="1407"/>
      <c r="T21" s="142"/>
      <c r="U21" s="115"/>
      <c r="W21" s="561"/>
      <c r="X21" s="561"/>
      <c r="Y21" s="561"/>
      <c r="Z21" s="561"/>
      <c r="AA21" s="561"/>
      <c r="AB21" s="561"/>
      <c r="AC21" s="567"/>
      <c r="AD21" s="561"/>
      <c r="AE21" s="561"/>
      <c r="AF21" s="561"/>
      <c r="AG21" s="561"/>
      <c r="AH21" s="561"/>
      <c r="AI21" s="561"/>
      <c r="AJ21" s="582"/>
      <c r="AK21" s="582"/>
      <c r="AL21" s="582"/>
    </row>
    <row r="22" spans="2:38" ht="12.75" customHeight="1" x14ac:dyDescent="0.25">
      <c r="B22" s="132"/>
      <c r="C22" s="132"/>
      <c r="D22" s="1396"/>
      <c r="E22" s="583" t="str">
        <f>Translations!$B$638</f>
        <v>Liquid - Bioethanol</v>
      </c>
      <c r="F22" s="584">
        <v>950</v>
      </c>
      <c r="G22" s="585">
        <v>21.2</v>
      </c>
      <c r="H22" s="585">
        <v>71.400000000000006</v>
      </c>
      <c r="I22" s="586">
        <v>1</v>
      </c>
      <c r="J22" s="587">
        <f t="shared" ref="J22:J23" si="0">F22*G22</f>
        <v>20140</v>
      </c>
      <c r="K22" s="587">
        <f t="shared" ref="K22:K23" si="1">F22*G22/1000*H22*(1-I22)</f>
        <v>0</v>
      </c>
      <c r="L22" s="587">
        <f t="shared" ref="L22:L23" si="2">F22*G22/1000*H22*I22</f>
        <v>1437.9960000000001</v>
      </c>
      <c r="M22" s="1400"/>
      <c r="N22" s="574"/>
      <c r="O22" s="588" t="str">
        <f>Translations!$B$639</f>
        <v>Fuel stream:</v>
      </c>
      <c r="P22" s="1409" t="str">
        <f>Translations!$B$640</f>
        <v>F2. Liquid - Motor Gasoline (E10)</v>
      </c>
      <c r="Q22" s="1410"/>
      <c r="R22" s="1410"/>
      <c r="S22" s="1411"/>
      <c r="T22" s="142"/>
      <c r="U22" s="115"/>
      <c r="W22" s="561"/>
      <c r="X22" s="561"/>
      <c r="Y22" s="561"/>
      <c r="Z22" s="561"/>
      <c r="AA22" s="561"/>
      <c r="AB22" s="561"/>
      <c r="AC22" s="567"/>
      <c r="AD22" s="561"/>
      <c r="AE22" s="561"/>
      <c r="AF22" s="561"/>
      <c r="AG22" s="561"/>
      <c r="AH22" s="561"/>
      <c r="AI22" s="561"/>
      <c r="AJ22" s="582"/>
      <c r="AK22" s="582"/>
      <c r="AL22" s="582"/>
    </row>
    <row r="23" spans="2:38" ht="12.75" customHeight="1" x14ac:dyDescent="0.25">
      <c r="B23" s="132"/>
      <c r="C23" s="132"/>
      <c r="D23" s="1396"/>
      <c r="E23" s="583" t="str">
        <f>Translations!$B$641</f>
        <v>Liquid - MTBE</v>
      </c>
      <c r="F23" s="584">
        <v>100</v>
      </c>
      <c r="G23" s="585">
        <v>28</v>
      </c>
      <c r="H23" s="585">
        <v>68.3</v>
      </c>
      <c r="I23" s="586">
        <v>0</v>
      </c>
      <c r="J23" s="587">
        <f t="shared" si="0"/>
        <v>2800</v>
      </c>
      <c r="K23" s="587">
        <f t="shared" si="1"/>
        <v>191.23999999999998</v>
      </c>
      <c r="L23" s="587">
        <f t="shared" si="2"/>
        <v>0</v>
      </c>
      <c r="M23" s="1400"/>
      <c r="N23" s="564"/>
      <c r="O23" s="564"/>
      <c r="P23" s="564"/>
      <c r="Q23" s="564"/>
      <c r="R23" s="564"/>
      <c r="S23" s="565"/>
      <c r="T23" s="142"/>
      <c r="U23" s="115"/>
      <c r="W23" s="561"/>
      <c r="X23" s="561"/>
      <c r="Y23" s="561"/>
      <c r="Z23" s="561"/>
      <c r="AA23" s="561"/>
      <c r="AB23" s="561"/>
      <c r="AC23" s="567"/>
      <c r="AD23" s="561"/>
      <c r="AE23" s="561"/>
      <c r="AF23" s="561"/>
      <c r="AG23" s="561"/>
      <c r="AH23" s="561"/>
      <c r="AI23" s="561"/>
      <c r="AJ23" s="582"/>
      <c r="AK23" s="582"/>
      <c r="AL23" s="582"/>
    </row>
    <row r="24" spans="2:38" ht="12.75" customHeight="1" thickBot="1" x14ac:dyDescent="0.35">
      <c r="B24" s="132"/>
      <c r="C24" s="132"/>
      <c r="D24" s="1396"/>
      <c r="E24" s="583"/>
      <c r="F24" s="584"/>
      <c r="G24" s="585" t="s">
        <v>193</v>
      </c>
      <c r="H24" s="585" t="s">
        <v>193</v>
      </c>
      <c r="I24" s="590"/>
      <c r="J24" s="587" t="s">
        <v>193</v>
      </c>
      <c r="K24" s="587" t="s">
        <v>193</v>
      </c>
      <c r="L24" s="587" t="s">
        <v>193</v>
      </c>
      <c r="M24" s="1400"/>
      <c r="N24" s="1397" t="str">
        <f>Translations!$B$394</f>
        <v>Unit</v>
      </c>
      <c r="O24" s="1397"/>
      <c r="P24" s="1397" t="str">
        <f>Translations!$B$395</f>
        <v>Value</v>
      </c>
      <c r="Q24" s="1397"/>
      <c r="R24" s="564"/>
      <c r="S24" s="591" t="str">
        <f>Translations!$B$642</f>
        <v>Sheet C values</v>
      </c>
      <c r="T24" s="142"/>
      <c r="U24" s="115"/>
      <c r="W24" s="561"/>
      <c r="X24" s="561"/>
      <c r="Y24" s="561"/>
      <c r="Z24" s="561"/>
      <c r="AA24" s="561"/>
      <c r="AB24" s="561"/>
      <c r="AC24" s="567"/>
      <c r="AD24" s="561"/>
      <c r="AE24" s="561"/>
      <c r="AF24" s="561"/>
      <c r="AG24" s="561"/>
      <c r="AH24" s="561"/>
      <c r="AI24" s="561"/>
      <c r="AJ24" s="582"/>
      <c r="AK24" s="582"/>
      <c r="AL24" s="582"/>
    </row>
    <row r="25" spans="2:38" ht="12.75" customHeight="1" thickBot="1" x14ac:dyDescent="0.3">
      <c r="B25" s="132"/>
      <c r="C25" s="132"/>
      <c r="D25" s="1396"/>
      <c r="E25" s="583"/>
      <c r="F25" s="584"/>
      <c r="G25" s="585" t="s">
        <v>193</v>
      </c>
      <c r="H25" s="585" t="s">
        <v>193</v>
      </c>
      <c r="I25" s="590"/>
      <c r="J25" s="587" t="s">
        <v>193</v>
      </c>
      <c r="K25" s="587" t="s">
        <v>193</v>
      </c>
      <c r="L25" s="587" t="s">
        <v>193</v>
      </c>
      <c r="M25" s="564"/>
      <c r="N25" s="592" t="str">
        <f>F20</f>
        <v>1000litres</v>
      </c>
      <c r="O25" s="593"/>
      <c r="P25" s="1398">
        <f>F36</f>
        <v>10000</v>
      </c>
      <c r="Q25" s="1399"/>
      <c r="R25" s="564"/>
      <c r="S25" s="594">
        <v>10000</v>
      </c>
      <c r="T25" s="142"/>
      <c r="U25" s="115"/>
      <c r="W25" s="561"/>
      <c r="X25" s="561"/>
      <c r="Y25" s="561"/>
      <c r="Z25" s="561"/>
      <c r="AA25" s="561"/>
      <c r="AB25" s="561"/>
      <c r="AC25" s="567"/>
      <c r="AD25" s="561"/>
      <c r="AE25" s="561"/>
      <c r="AF25" s="561"/>
      <c r="AG25" s="561"/>
      <c r="AH25" s="561"/>
      <c r="AI25" s="561"/>
      <c r="AJ25" s="582"/>
      <c r="AK25" s="582"/>
      <c r="AL25" s="582"/>
    </row>
    <row r="26" spans="2:38" ht="12.75" customHeight="1" thickBot="1" x14ac:dyDescent="0.3">
      <c r="B26" s="132"/>
      <c r="C26" s="132"/>
      <c r="D26" s="1396"/>
      <c r="E26" s="583"/>
      <c r="F26" s="584"/>
      <c r="G26" s="585" t="s">
        <v>193</v>
      </c>
      <c r="H26" s="585" t="s">
        <v>193</v>
      </c>
      <c r="I26" s="590"/>
      <c r="J26" s="587" t="s">
        <v>193</v>
      </c>
      <c r="K26" s="587" t="s">
        <v>193</v>
      </c>
      <c r="L26" s="587" t="s">
        <v>193</v>
      </c>
      <c r="M26" s="564"/>
      <c r="N26" s="595"/>
      <c r="O26" s="595"/>
      <c r="P26" s="596"/>
      <c r="Q26" s="596"/>
      <c r="R26" s="564"/>
      <c r="S26" s="597"/>
      <c r="T26" s="142"/>
      <c r="U26" s="115"/>
      <c r="W26" s="561"/>
      <c r="X26" s="561"/>
      <c r="Y26" s="561"/>
      <c r="Z26" s="561"/>
      <c r="AA26" s="561"/>
      <c r="AB26" s="561"/>
      <c r="AC26" s="567"/>
      <c r="AD26" s="561"/>
      <c r="AE26" s="561"/>
      <c r="AF26" s="561"/>
      <c r="AG26" s="561"/>
      <c r="AH26" s="561"/>
      <c r="AI26" s="561"/>
      <c r="AJ26" s="582"/>
      <c r="AK26" s="582"/>
      <c r="AL26" s="582"/>
    </row>
    <row r="27" spans="2:38" ht="12.75" customHeight="1" x14ac:dyDescent="0.25">
      <c r="B27" s="132"/>
      <c r="C27" s="132"/>
      <c r="D27" s="1396"/>
      <c r="E27" s="583"/>
      <c r="F27" s="584"/>
      <c r="G27" s="585" t="s">
        <v>193</v>
      </c>
      <c r="H27" s="585" t="s">
        <v>193</v>
      </c>
      <c r="I27" s="590"/>
      <c r="J27" s="587" t="s">
        <v>193</v>
      </c>
      <c r="K27" s="587" t="s">
        <v>193</v>
      </c>
      <c r="L27" s="587" t="s">
        <v>193</v>
      </c>
      <c r="M27" s="564"/>
      <c r="N27" s="598" t="str">
        <f>G20</f>
        <v>GJ/1000litres</v>
      </c>
      <c r="O27" s="599"/>
      <c r="P27" s="600"/>
      <c r="Q27" s="601">
        <f>G36</f>
        <v>32.366</v>
      </c>
      <c r="R27" s="564"/>
      <c r="S27" s="602">
        <v>32.4</v>
      </c>
      <c r="T27" s="142"/>
      <c r="U27" s="115"/>
      <c r="W27" s="561"/>
      <c r="X27" s="561"/>
      <c r="Y27" s="561"/>
      <c r="Z27" s="561"/>
      <c r="AA27" s="561"/>
      <c r="AB27" s="561"/>
      <c r="AC27" s="567"/>
      <c r="AD27" s="561"/>
      <c r="AE27" s="561"/>
      <c r="AF27" s="561"/>
      <c r="AG27" s="561"/>
      <c r="AH27" s="561"/>
      <c r="AI27" s="561"/>
      <c r="AJ27" s="582"/>
      <c r="AK27" s="582"/>
      <c r="AL27" s="582"/>
    </row>
    <row r="28" spans="2:38" ht="12.75" customHeight="1" thickBot="1" x14ac:dyDescent="0.3">
      <c r="B28" s="132"/>
      <c r="C28" s="132"/>
      <c r="D28" s="1396"/>
      <c r="E28" s="583"/>
      <c r="F28" s="584"/>
      <c r="G28" s="585" t="s">
        <v>193</v>
      </c>
      <c r="H28" s="585" t="s">
        <v>193</v>
      </c>
      <c r="I28" s="590"/>
      <c r="J28" s="587" t="s">
        <v>193</v>
      </c>
      <c r="K28" s="587" t="s">
        <v>193</v>
      </c>
      <c r="L28" s="587" t="s">
        <v>193</v>
      </c>
      <c r="M28" s="564"/>
      <c r="N28" s="603" t="str">
        <f>H20</f>
        <v>tCO2/TJ</v>
      </c>
      <c r="O28" s="604"/>
      <c r="P28" s="605"/>
      <c r="Q28" s="606">
        <f>H36</f>
        <v>69.886584687635178</v>
      </c>
      <c r="R28" s="564"/>
      <c r="S28" s="607">
        <v>69.900000000000006</v>
      </c>
      <c r="T28" s="142"/>
      <c r="U28" s="115"/>
      <c r="W28" s="561"/>
      <c r="X28" s="561"/>
      <c r="Y28" s="561"/>
      <c r="Z28" s="561"/>
      <c r="AA28" s="561"/>
      <c r="AB28" s="561"/>
      <c r="AC28" s="567"/>
      <c r="AD28" s="561"/>
      <c r="AE28" s="561"/>
      <c r="AF28" s="561"/>
      <c r="AG28" s="561"/>
      <c r="AH28" s="561"/>
      <c r="AI28" s="561"/>
      <c r="AJ28" s="582"/>
      <c r="AK28" s="582"/>
      <c r="AL28" s="582"/>
    </row>
    <row r="29" spans="2:38" ht="12.75" customHeight="1" x14ac:dyDescent="0.25">
      <c r="B29" s="132"/>
      <c r="C29" s="132"/>
      <c r="D29" s="1396"/>
      <c r="E29" s="583"/>
      <c r="F29" s="584"/>
      <c r="G29" s="585" t="s">
        <v>193</v>
      </c>
      <c r="H29" s="585" t="s">
        <v>193</v>
      </c>
      <c r="I29" s="590"/>
      <c r="J29" s="587" t="s">
        <v>193</v>
      </c>
      <c r="K29" s="587" t="s">
        <v>193</v>
      </c>
      <c r="L29" s="587" t="s">
        <v>193</v>
      </c>
      <c r="M29" s="564"/>
      <c r="N29" s="608" t="s">
        <v>46</v>
      </c>
      <c r="O29" s="609"/>
      <c r="P29" s="610"/>
      <c r="Q29" s="611">
        <f>I36</f>
        <v>6.3573311018655945E-2</v>
      </c>
      <c r="R29" s="564"/>
      <c r="S29" s="612">
        <v>6.3600000000000004E-2</v>
      </c>
      <c r="T29" s="142"/>
      <c r="U29" s="115"/>
      <c r="W29" s="561"/>
      <c r="X29" s="561"/>
      <c r="Y29" s="561"/>
      <c r="Z29" s="561"/>
      <c r="AA29" s="561"/>
      <c r="AB29" s="561"/>
      <c r="AC29" s="567"/>
      <c r="AD29" s="561"/>
      <c r="AE29" s="561"/>
      <c r="AF29" s="561"/>
      <c r="AG29" s="561"/>
      <c r="AH29" s="561"/>
      <c r="AI29" s="561"/>
      <c r="AJ29" s="582"/>
      <c r="AK29" s="582"/>
      <c r="AL29" s="582"/>
    </row>
    <row r="30" spans="2:38" ht="12.75" customHeight="1" x14ac:dyDescent="0.25">
      <c r="B30" s="132"/>
      <c r="C30" s="132"/>
      <c r="D30" s="1396"/>
      <c r="E30" s="583"/>
      <c r="F30" s="584"/>
      <c r="G30" s="585" t="s">
        <v>193</v>
      </c>
      <c r="H30" s="585" t="s">
        <v>193</v>
      </c>
      <c r="I30" s="590"/>
      <c r="J30" s="587" t="s">
        <v>193</v>
      </c>
      <c r="K30" s="587" t="s">
        <v>193</v>
      </c>
      <c r="L30" s="587" t="s">
        <v>193</v>
      </c>
      <c r="M30" s="1412"/>
      <c r="N30" s="564"/>
      <c r="O30" s="564"/>
      <c r="P30" s="564"/>
      <c r="Q30" s="564"/>
      <c r="R30" s="564"/>
      <c r="S30" s="565"/>
      <c r="T30" s="142"/>
      <c r="U30" s="115"/>
      <c r="W30" s="561"/>
      <c r="X30" s="561"/>
      <c r="Y30" s="561"/>
      <c r="Z30" s="561"/>
      <c r="AA30" s="561"/>
      <c r="AB30" s="561"/>
      <c r="AC30" s="567"/>
      <c r="AD30" s="561"/>
      <c r="AE30" s="561"/>
      <c r="AF30" s="561"/>
      <c r="AG30" s="561"/>
      <c r="AH30" s="561"/>
      <c r="AI30" s="561"/>
      <c r="AJ30" s="582"/>
      <c r="AK30" s="582"/>
      <c r="AL30" s="582"/>
    </row>
    <row r="31" spans="2:38" ht="12.75" customHeight="1" x14ac:dyDescent="0.25">
      <c r="B31" s="132"/>
      <c r="C31" s="132"/>
      <c r="D31" s="1396" t="str">
        <f>Translations!$B$643</f>
        <v>Customised components</v>
      </c>
      <c r="E31" s="577"/>
      <c r="F31" s="578"/>
      <c r="G31" s="613"/>
      <c r="H31" s="613"/>
      <c r="I31" s="614"/>
      <c r="J31" s="581" t="s">
        <v>193</v>
      </c>
      <c r="K31" s="581" t="s">
        <v>193</v>
      </c>
      <c r="L31" s="581" t="s">
        <v>193</v>
      </c>
      <c r="M31" s="1412"/>
      <c r="N31" s="564"/>
      <c r="O31" s="564"/>
      <c r="P31" s="615" t="str">
        <f>Translations!$B$644</f>
        <v>CO2 fossil (before scope factor):</v>
      </c>
      <c r="Q31" s="616">
        <f>K36</f>
        <v>21181.496000000003</v>
      </c>
      <c r="R31" s="615"/>
      <c r="S31" s="616">
        <v>21207.212640000002</v>
      </c>
      <c r="T31" s="142"/>
      <c r="U31" s="115"/>
      <c r="V31" s="110" t="str">
        <f>Translations!$B$398</f>
        <v>Scope factor:</v>
      </c>
      <c r="W31" s="617"/>
      <c r="AD31" s="561"/>
      <c r="AE31" s="561"/>
      <c r="AF31" s="561"/>
      <c r="AG31" s="561"/>
      <c r="AH31" s="561"/>
      <c r="AI31" s="561"/>
      <c r="AJ31" s="582"/>
      <c r="AK31" s="582"/>
      <c r="AL31" s="582"/>
    </row>
    <row r="32" spans="2:38" ht="12.75" customHeight="1" x14ac:dyDescent="0.25">
      <c r="B32" s="132"/>
      <c r="C32" s="132"/>
      <c r="D32" s="1396"/>
      <c r="E32" s="583"/>
      <c r="F32" s="584"/>
      <c r="G32" s="618"/>
      <c r="H32" s="618"/>
      <c r="I32" s="590"/>
      <c r="J32" s="587" t="s">
        <v>193</v>
      </c>
      <c r="K32" s="587" t="s">
        <v>193</v>
      </c>
      <c r="L32" s="587" t="s">
        <v>193</v>
      </c>
      <c r="M32" s="1412"/>
      <c r="N32" s="564"/>
      <c r="O32" s="564"/>
      <c r="P32" s="564"/>
      <c r="Q32" s="564"/>
      <c r="R32" s="564"/>
      <c r="S32" s="54"/>
      <c r="T32" s="142"/>
      <c r="U32" s="115"/>
      <c r="AD32" s="561"/>
      <c r="AE32" s="561"/>
      <c r="AF32" s="561"/>
      <c r="AG32" s="561"/>
      <c r="AH32" s="561"/>
      <c r="AI32" s="561"/>
      <c r="AJ32" s="582"/>
      <c r="AK32" s="582"/>
      <c r="AL32" s="582"/>
    </row>
    <row r="33" spans="1:38" ht="12.75" customHeight="1" x14ac:dyDescent="0.25">
      <c r="B33" s="132"/>
      <c r="C33" s="132"/>
      <c r="D33" s="1396"/>
      <c r="E33" s="583"/>
      <c r="F33" s="584"/>
      <c r="G33" s="618"/>
      <c r="H33" s="618"/>
      <c r="I33" s="590"/>
      <c r="J33" s="587" t="s">
        <v>193</v>
      </c>
      <c r="K33" s="587" t="s">
        <v>193</v>
      </c>
      <c r="L33" s="587" t="s">
        <v>193</v>
      </c>
      <c r="M33" s="1412"/>
      <c r="N33" s="564"/>
      <c r="O33" s="564"/>
      <c r="P33" s="564"/>
      <c r="Q33" s="564"/>
      <c r="R33" s="564"/>
      <c r="S33" s="565"/>
      <c r="T33" s="142"/>
      <c r="U33" s="115"/>
      <c r="AD33" s="561"/>
      <c r="AE33" s="561"/>
      <c r="AF33" s="561"/>
      <c r="AG33" s="561"/>
      <c r="AH33" s="561"/>
      <c r="AI33" s="561"/>
      <c r="AJ33" s="582"/>
      <c r="AK33" s="582"/>
      <c r="AL33" s="582"/>
    </row>
    <row r="34" spans="1:38" ht="12.75" customHeight="1" x14ac:dyDescent="0.25">
      <c r="B34" s="132"/>
      <c r="C34" s="132"/>
      <c r="D34" s="1396"/>
      <c r="E34" s="583"/>
      <c r="F34" s="584"/>
      <c r="G34" s="618"/>
      <c r="H34" s="618"/>
      <c r="I34" s="590"/>
      <c r="J34" s="587" t="s">
        <v>193</v>
      </c>
      <c r="K34" s="587" t="s">
        <v>193</v>
      </c>
      <c r="L34" s="587" t="s">
        <v>193</v>
      </c>
      <c r="M34" s="1412"/>
      <c r="N34" s="564"/>
      <c r="O34" s="564"/>
      <c r="P34" s="564"/>
      <c r="Q34" s="564"/>
      <c r="R34" s="564"/>
      <c r="S34" s="565"/>
      <c r="T34" s="142"/>
      <c r="U34" s="115"/>
      <c r="AD34" s="561"/>
      <c r="AE34" s="561"/>
      <c r="AF34" s="561"/>
      <c r="AG34" s="561"/>
      <c r="AH34" s="561"/>
      <c r="AI34" s="561"/>
      <c r="AJ34" s="582"/>
      <c r="AK34" s="582"/>
      <c r="AL34" s="582"/>
    </row>
    <row r="35" spans="1:38" ht="12.75" customHeight="1" x14ac:dyDescent="0.25">
      <c r="B35" s="132"/>
      <c r="C35" s="132"/>
      <c r="D35" s="1396"/>
      <c r="E35" s="619"/>
      <c r="F35" s="620"/>
      <c r="G35" s="621"/>
      <c r="H35" s="621"/>
      <c r="I35" s="622"/>
      <c r="J35" s="623" t="s">
        <v>193</v>
      </c>
      <c r="K35" s="623" t="s">
        <v>193</v>
      </c>
      <c r="L35" s="623" t="s">
        <v>193</v>
      </c>
      <c r="M35" s="1412"/>
      <c r="N35" s="564"/>
      <c r="O35" s="564"/>
      <c r="P35" s="564"/>
      <c r="Q35" s="564"/>
      <c r="R35" s="564"/>
      <c r="S35" s="565"/>
      <c r="T35" s="142"/>
      <c r="U35" s="115"/>
      <c r="AD35" s="561"/>
      <c r="AE35" s="561"/>
      <c r="AF35" s="561"/>
      <c r="AG35" s="561"/>
      <c r="AH35" s="561"/>
      <c r="AI35" s="561"/>
      <c r="AJ35" s="582"/>
      <c r="AK35" s="582"/>
      <c r="AL35" s="582"/>
    </row>
    <row r="36" spans="1:38" ht="12.75" customHeight="1" x14ac:dyDescent="0.25">
      <c r="B36" s="132"/>
      <c r="C36" s="132"/>
      <c r="D36" s="565"/>
      <c r="E36" s="624" t="str">
        <f>Translations!$B$645</f>
        <v>TOTALS</v>
      </c>
      <c r="F36" s="625">
        <f>IF(SUM(F21:F35)=0,"",SUM(F21:F35))</f>
        <v>10000</v>
      </c>
      <c r="G36" s="626">
        <f>IF(SUM(F36)=0,"",J36/F36)</f>
        <v>32.366</v>
      </c>
      <c r="H36" s="626">
        <v>69.886584687635178</v>
      </c>
      <c r="I36" s="627">
        <f>IF(SUM(K36:L36)=0,"",L36/SUM(K36:L36))</f>
        <v>6.3573311018655945E-2</v>
      </c>
      <c r="J36" s="625">
        <f>IF(COUNTA(E21:E35)=0,"",IFERROR(SUM(J21:J35),EUconst_ERR_Inconsistent))</f>
        <v>323660</v>
      </c>
      <c r="K36" s="625">
        <f>IF(COUNTA(E21:E35)=0,"",IFERROR(SUM(K21:K35),EUconst_ERR_Inconsistent))</f>
        <v>21181.496000000003</v>
      </c>
      <c r="L36" s="625">
        <f>IF(COUNTA(E21:E35)=0,"",IFERROR(SUM(L21:L35),EUconst_ERR_Inconsistent))</f>
        <v>1437.9960000000001</v>
      </c>
      <c r="M36" s="1412"/>
      <c r="N36" s="564"/>
      <c r="O36" s="564"/>
      <c r="P36" s="564"/>
      <c r="Q36" s="564"/>
      <c r="R36" s="564"/>
      <c r="S36" s="565"/>
      <c r="T36" s="142"/>
      <c r="U36" s="115"/>
    </row>
    <row r="37" spans="1:38" ht="38.25" customHeight="1" x14ac:dyDescent="0.25">
      <c r="B37" s="132"/>
      <c r="C37" s="132"/>
      <c r="D37" s="565"/>
      <c r="E37" s="628"/>
      <c r="F37" s="629" t="str">
        <f>Translations!$B$646</f>
        <v>sum of the above</v>
      </c>
      <c r="G37" s="629" t="str">
        <f>Translations!$B$647</f>
        <v>weighted average (5./1.)</v>
      </c>
      <c r="H37" s="629" t="str">
        <f>Translations!$B$648</f>
        <v>weighted average ((6.+7.)/5.)</v>
      </c>
      <c r="I37" s="629" t="str">
        <f>Translations!$B$649</f>
        <v>weighted average (7./(6.+7.))</v>
      </c>
      <c r="J37" s="629" t="str">
        <f>Translations!$B$646</f>
        <v>sum of the above</v>
      </c>
      <c r="K37" s="629" t="str">
        <f>Translations!$B$646</f>
        <v>sum of the above</v>
      </c>
      <c r="L37" s="629" t="str">
        <f>Translations!$B$646</f>
        <v>sum of the above</v>
      </c>
      <c r="M37" s="564"/>
      <c r="N37" s="564"/>
      <c r="O37" s="564"/>
      <c r="P37" s="564"/>
      <c r="Q37" s="564"/>
      <c r="R37" s="564"/>
      <c r="S37" s="565"/>
      <c r="T37" s="142"/>
      <c r="U37" s="115"/>
    </row>
    <row r="38" spans="1:38" ht="12.75" customHeight="1" x14ac:dyDescent="0.25">
      <c r="B38" s="132"/>
      <c r="C38" s="132"/>
      <c r="D38" s="132"/>
      <c r="E38" s="191"/>
      <c r="F38" s="116"/>
      <c r="G38" s="116"/>
      <c r="H38" s="116"/>
      <c r="I38" s="116"/>
      <c r="J38" s="116"/>
      <c r="K38" s="116"/>
      <c r="L38" s="116"/>
      <c r="M38" s="116"/>
      <c r="N38" s="116"/>
      <c r="O38" s="116"/>
      <c r="P38" s="116"/>
      <c r="Q38" s="116"/>
      <c r="R38" s="116"/>
      <c r="S38" s="116"/>
      <c r="T38" s="142"/>
      <c r="U38" s="115"/>
    </row>
    <row r="39" spans="1:38" s="69" customFormat="1" ht="18.75" customHeight="1" x14ac:dyDescent="0.25">
      <c r="A39" s="167">
        <f>C39</f>
        <v>2</v>
      </c>
      <c r="B39" s="76"/>
      <c r="C39" s="216">
        <v>2</v>
      </c>
      <c r="D39" s="1195" t="str">
        <f>Translations!$B$650</f>
        <v>Summary of the results of all tools of this sheet</v>
      </c>
      <c r="E39" s="1195"/>
      <c r="F39" s="1195"/>
      <c r="G39" s="1195"/>
      <c r="H39" s="1195"/>
      <c r="I39" s="1195"/>
      <c r="J39" s="1195"/>
      <c r="K39" s="1195"/>
      <c r="L39" s="1195"/>
      <c r="M39" s="1195"/>
      <c r="N39" s="1195"/>
      <c r="O39" s="1195"/>
      <c r="P39" s="1195"/>
      <c r="Q39" s="1195"/>
      <c r="R39" s="1195"/>
      <c r="S39" s="1195"/>
      <c r="T39" s="142"/>
      <c r="U39" s="115"/>
      <c r="V39" s="464" t="str">
        <f>D39</f>
        <v>Summary of the results of all tools of this sheet</v>
      </c>
      <c r="W39" s="110"/>
      <c r="X39" s="110"/>
      <c r="Y39" s="110"/>
      <c r="Z39" s="110"/>
      <c r="AA39" s="109"/>
      <c r="AB39" s="109"/>
      <c r="AC39" s="109"/>
      <c r="AD39" s="109"/>
      <c r="AE39" s="109"/>
      <c r="AF39" s="109"/>
      <c r="AG39" s="109"/>
      <c r="AH39" s="109"/>
      <c r="AI39" s="109"/>
      <c r="AJ39" s="109"/>
      <c r="AK39" s="109"/>
      <c r="AL39" s="109"/>
    </row>
    <row r="40" spans="1:38" ht="12.75" customHeight="1" x14ac:dyDescent="0.25">
      <c r="B40" s="132"/>
      <c r="C40" s="132"/>
      <c r="D40" s="132"/>
      <c r="E40" s="191"/>
      <c r="F40" s="116"/>
      <c r="G40" s="116"/>
      <c r="H40" s="116"/>
      <c r="I40" s="116"/>
      <c r="J40" s="116"/>
      <c r="K40" s="116"/>
      <c r="L40" s="116"/>
      <c r="M40" s="116"/>
      <c r="N40" s="116"/>
      <c r="O40" s="116"/>
      <c r="P40" s="116"/>
      <c r="Q40" s="116"/>
      <c r="R40" s="116"/>
      <c r="S40" s="132"/>
      <c r="T40" s="142"/>
      <c r="U40" s="115"/>
    </row>
    <row r="41" spans="1:38" ht="12.75" customHeight="1" x14ac:dyDescent="0.25">
      <c r="B41" s="132"/>
      <c r="C41" s="132"/>
      <c r="D41" s="132"/>
      <c r="E41" s="1375" t="str">
        <f>Translations!$B$651</f>
        <v>Tool number</v>
      </c>
      <c r="F41" s="1374" t="str">
        <f>Translations!$B$377</f>
        <v>RFA</v>
      </c>
      <c r="G41" s="1374" t="str">
        <f>Translations!$B$386</f>
        <v>UCF</v>
      </c>
      <c r="H41" s="1374" t="str">
        <f>Translations!$B$383</f>
        <v>EF</v>
      </c>
      <c r="I41" s="1374" t="str">
        <f>Translations!$B$632</f>
        <v>Zero-rated F</v>
      </c>
      <c r="J41" s="1373" t="str">
        <f>Translations!$B$652</f>
        <v>Energy or other</v>
      </c>
      <c r="K41" s="1373" t="str">
        <f>Translations!$B$522</f>
        <v>Emissions (fossil)</v>
      </c>
      <c r="L41" s="1373" t="str">
        <f>Translations!$B$634</f>
        <v>Emissions (bio)</v>
      </c>
      <c r="M41" s="1370" t="str">
        <f>Translations!$B$653</f>
        <v>Fuel stream, if relevant</v>
      </c>
      <c r="N41" s="1370"/>
      <c r="O41" s="1370"/>
      <c r="P41" s="1370"/>
      <c r="Q41" s="1371" t="str">
        <f>Translations!$B$654</f>
        <v>This table provides a summary of the results of each of the tools below, in order to check for completeness and consistency. Since units applied may differ across tools, only values are shown in this summary table. In order to keep the table short, summary for only the first 10 tools is shown. If needed, tools 11-30 can be shown by unhiding the hidden rows at the bottom of this table.</v>
      </c>
      <c r="R41" s="1372"/>
      <c r="S41" s="1372"/>
      <c r="T41" s="142"/>
      <c r="U41" s="115"/>
    </row>
    <row r="42" spans="1:38" ht="12.75" customHeight="1" x14ac:dyDescent="0.25">
      <c r="B42" s="132"/>
      <c r="C42" s="132"/>
      <c r="D42" s="132"/>
      <c r="E42" s="1376"/>
      <c r="F42" s="1374"/>
      <c r="G42" s="1374"/>
      <c r="H42" s="1374"/>
      <c r="I42" s="1374"/>
      <c r="J42" s="1373"/>
      <c r="K42" s="1373"/>
      <c r="L42" s="1373"/>
      <c r="M42" s="1370"/>
      <c r="N42" s="1370"/>
      <c r="O42" s="1370"/>
      <c r="P42" s="1370"/>
      <c r="Q42" s="1371"/>
      <c r="R42" s="1372"/>
      <c r="S42" s="1372"/>
      <c r="T42" s="142"/>
      <c r="U42" s="115"/>
    </row>
    <row r="43" spans="1:38" ht="12.75" customHeight="1" x14ac:dyDescent="0.25">
      <c r="B43" s="132"/>
      <c r="C43" s="132"/>
      <c r="D43" s="632">
        <v>1</v>
      </c>
      <c r="E43" s="900" t="str">
        <f>INDEX($D$74:$D$1016,MATCH(D43+2,$C$74:$C$1016,0))</f>
        <v>Tool 1</v>
      </c>
      <c r="F43" s="993" t="str" cm="1">
        <f t="array" ref="F43">INDEX(F$74:F$1016,MATCH($D43+2,$C$74:$C$1016,0)+21)</f>
        <v/>
      </c>
      <c r="G43" s="994" t="str" cm="1">
        <f t="array" ref="G43">INDEX(G$74:G$1016,MATCH($D43+2,$C$74:$C$1016,0)+21)</f>
        <v/>
      </c>
      <c r="H43" s="994" t="str" cm="1">
        <f t="array" ref="H43">INDEX(H$74:H$1016,MATCH($D43+2,$C$74:$C$1016,0)+21)</f>
        <v/>
      </c>
      <c r="I43" s="995" t="str" cm="1">
        <f t="array" ref="I43">INDEX(I$74:I$1016,MATCH($D43+2,$C$74:$C$1016,0)+21)</f>
        <v/>
      </c>
      <c r="J43" s="993" t="str" cm="1">
        <f t="array" ref="J43">INDEX(J$74:J$1016,MATCH($D43+2,$C$74:$C$1016,0)+21)</f>
        <v/>
      </c>
      <c r="K43" s="993" t="str" cm="1">
        <f t="array" ref="K43">INDEX(K$74:K$1016,MATCH($D43+2,$C$74:$C$1016,0)+21)</f>
        <v/>
      </c>
      <c r="L43" s="993" t="str" cm="1">
        <f t="array" ref="L43">INDEX(L$74:L$1016,MATCH($D43+2,$C$74:$C$1016,0)+21)</f>
        <v/>
      </c>
      <c r="M43" s="1367" t="str" cm="1">
        <f t="array" ref="M43">IF(F43="","",INDEX(P$74:P$1016,MATCH($D43+2,$C$74:$C$1016,0)+7))</f>
        <v/>
      </c>
      <c r="N43" s="1368"/>
      <c r="O43" s="1368"/>
      <c r="P43" s="1369"/>
      <c r="Q43" s="1371"/>
      <c r="R43" s="1372"/>
      <c r="S43" s="1372"/>
      <c r="T43" s="142"/>
      <c r="U43" s="115"/>
    </row>
    <row r="44" spans="1:38" ht="12.75" customHeight="1" x14ac:dyDescent="0.25">
      <c r="B44" s="132"/>
      <c r="C44" s="132"/>
      <c r="D44" s="632">
        <v>2</v>
      </c>
      <c r="E44" s="900" t="str">
        <f t="shared" ref="E44:E72" si="3">INDEX($D$74:$D$1016,MATCH(D44+2,$C$74:$C$1016,0))</f>
        <v>Tool 2</v>
      </c>
      <c r="F44" s="993" t="str" cm="1">
        <f t="array" ref="F44">INDEX(F$74:F$1016,MATCH($D44+2,$C$74:$C$1016,0)+21)</f>
        <v/>
      </c>
      <c r="G44" s="994" t="str" cm="1">
        <f t="array" ref="G44">INDEX(G$74:G$1016,MATCH($D44+2,$C$74:$C$1016,0)+21)</f>
        <v/>
      </c>
      <c r="H44" s="994" t="str" cm="1">
        <f t="array" ref="H44">INDEX(H$74:H$1016,MATCH($D44+2,$C$74:$C$1016,0)+21)</f>
        <v/>
      </c>
      <c r="I44" s="995" t="str" cm="1">
        <f t="array" ref="I44">INDEX(I$74:I$1016,MATCH($D44+2,$C$74:$C$1016,0)+21)</f>
        <v/>
      </c>
      <c r="J44" s="993" t="str" cm="1">
        <f t="array" ref="J44">INDEX(J$74:J$1016,MATCH($D44+2,$C$74:$C$1016,0)+21)</f>
        <v/>
      </c>
      <c r="K44" s="993" t="str" cm="1">
        <f t="array" ref="K44">INDEX(K$74:K$1016,MATCH($D44+2,$C$74:$C$1016,0)+21)</f>
        <v/>
      </c>
      <c r="L44" s="993" t="str" cm="1">
        <f t="array" ref="L44">INDEX(L$74:L$1016,MATCH($D44+2,$C$74:$C$1016,0)+21)</f>
        <v/>
      </c>
      <c r="M44" s="1367" t="str" cm="1">
        <f t="array" ref="M44">IF(F44="","",INDEX(P$74:P$1016,MATCH($D44+2,$C$74:$C$1016,0)+7))</f>
        <v/>
      </c>
      <c r="N44" s="1368"/>
      <c r="O44" s="1368"/>
      <c r="P44" s="1369"/>
      <c r="Q44" s="1371"/>
      <c r="R44" s="1372"/>
      <c r="S44" s="1372"/>
      <c r="T44" s="142"/>
      <c r="U44" s="115"/>
    </row>
    <row r="45" spans="1:38" ht="12.75" customHeight="1" x14ac:dyDescent="0.25">
      <c r="B45" s="132"/>
      <c r="C45" s="132"/>
      <c r="D45" s="632">
        <v>3</v>
      </c>
      <c r="E45" s="900" t="str">
        <f t="shared" si="3"/>
        <v>Tool 3</v>
      </c>
      <c r="F45" s="993" t="str" cm="1">
        <f t="array" ref="F45">INDEX(F$74:F$1016,MATCH($D45+2,$C$74:$C$1016,0)+21)</f>
        <v/>
      </c>
      <c r="G45" s="994" t="str" cm="1">
        <f t="array" ref="G45">INDEX(G$74:G$1016,MATCH($D45+2,$C$74:$C$1016,0)+21)</f>
        <v/>
      </c>
      <c r="H45" s="994" t="str" cm="1">
        <f t="array" ref="H45">INDEX(H$74:H$1016,MATCH($D45+2,$C$74:$C$1016,0)+21)</f>
        <v/>
      </c>
      <c r="I45" s="995" t="str" cm="1">
        <f t="array" ref="I45">INDEX(I$74:I$1016,MATCH($D45+2,$C$74:$C$1016,0)+21)</f>
        <v/>
      </c>
      <c r="J45" s="993" t="str" cm="1">
        <f t="array" ref="J45">INDEX(J$74:J$1016,MATCH($D45+2,$C$74:$C$1016,0)+21)</f>
        <v/>
      </c>
      <c r="K45" s="993" t="str" cm="1">
        <f t="array" ref="K45">INDEX(K$74:K$1016,MATCH($D45+2,$C$74:$C$1016,0)+21)</f>
        <v/>
      </c>
      <c r="L45" s="993" t="str" cm="1">
        <f t="array" ref="L45">INDEX(L$74:L$1016,MATCH($D45+2,$C$74:$C$1016,0)+21)</f>
        <v/>
      </c>
      <c r="M45" s="1367" t="str" cm="1">
        <f t="array" ref="M45">IF(F45="","",INDEX(P$74:P$1016,MATCH($D45+2,$C$74:$C$1016,0)+7))</f>
        <v/>
      </c>
      <c r="N45" s="1368"/>
      <c r="O45" s="1368"/>
      <c r="P45" s="1369"/>
      <c r="Q45" s="1371"/>
      <c r="R45" s="1372"/>
      <c r="S45" s="1372"/>
      <c r="T45" s="142"/>
      <c r="U45" s="115"/>
    </row>
    <row r="46" spans="1:38" ht="12.75" customHeight="1" x14ac:dyDescent="0.25">
      <c r="B46" s="132"/>
      <c r="C46" s="132"/>
      <c r="D46" s="632">
        <v>4</v>
      </c>
      <c r="E46" s="900" t="str">
        <f t="shared" si="3"/>
        <v>Tool 4</v>
      </c>
      <c r="F46" s="993" t="str" cm="1">
        <f t="array" ref="F46">INDEX(F$74:F$1016,MATCH($D46+2,$C$74:$C$1016,0)+21)</f>
        <v/>
      </c>
      <c r="G46" s="994" t="str" cm="1">
        <f t="array" ref="G46">INDEX(G$74:G$1016,MATCH($D46+2,$C$74:$C$1016,0)+21)</f>
        <v/>
      </c>
      <c r="H46" s="994" t="str" cm="1">
        <f t="array" ref="H46">INDEX(H$74:H$1016,MATCH($D46+2,$C$74:$C$1016,0)+21)</f>
        <v/>
      </c>
      <c r="I46" s="995" t="str" cm="1">
        <f t="array" ref="I46">INDEX(I$74:I$1016,MATCH($D46+2,$C$74:$C$1016,0)+21)</f>
        <v/>
      </c>
      <c r="J46" s="993" t="str" cm="1">
        <f t="array" ref="J46">INDEX(J$74:J$1016,MATCH($D46+2,$C$74:$C$1016,0)+21)</f>
        <v/>
      </c>
      <c r="K46" s="993" t="str" cm="1">
        <f t="array" ref="K46">INDEX(K$74:K$1016,MATCH($D46+2,$C$74:$C$1016,0)+21)</f>
        <v/>
      </c>
      <c r="L46" s="993" t="str" cm="1">
        <f t="array" ref="L46">INDEX(L$74:L$1016,MATCH($D46+2,$C$74:$C$1016,0)+21)</f>
        <v/>
      </c>
      <c r="M46" s="1367" t="str" cm="1">
        <f t="array" ref="M46">IF(F46="","",INDEX(P$74:P$1016,MATCH($D46+2,$C$74:$C$1016,0)+7))</f>
        <v/>
      </c>
      <c r="N46" s="1368"/>
      <c r="O46" s="1368"/>
      <c r="P46" s="1369"/>
      <c r="Q46" s="1371"/>
      <c r="R46" s="1372"/>
      <c r="S46" s="1372"/>
      <c r="T46" s="142"/>
      <c r="U46" s="115"/>
    </row>
    <row r="47" spans="1:38" ht="12.75" customHeight="1" x14ac:dyDescent="0.25">
      <c r="B47" s="132"/>
      <c r="C47" s="132"/>
      <c r="D47" s="632">
        <v>5</v>
      </c>
      <c r="E47" s="900" t="str">
        <f t="shared" si="3"/>
        <v>Tool 5</v>
      </c>
      <c r="F47" s="993" t="str" cm="1">
        <f t="array" ref="F47">INDEX(F$74:F$1016,MATCH($D47+2,$C$74:$C$1016,0)+21)</f>
        <v/>
      </c>
      <c r="G47" s="994" t="str" cm="1">
        <f t="array" ref="G47">INDEX(G$74:G$1016,MATCH($D47+2,$C$74:$C$1016,0)+21)</f>
        <v/>
      </c>
      <c r="H47" s="994" t="str" cm="1">
        <f t="array" ref="H47">INDEX(H$74:H$1016,MATCH($D47+2,$C$74:$C$1016,0)+21)</f>
        <v/>
      </c>
      <c r="I47" s="995" t="str" cm="1">
        <f t="array" ref="I47">INDEX(I$74:I$1016,MATCH($D47+2,$C$74:$C$1016,0)+21)</f>
        <v/>
      </c>
      <c r="J47" s="993" t="str" cm="1">
        <f t="array" ref="J47">INDEX(J$74:J$1016,MATCH($D47+2,$C$74:$C$1016,0)+21)</f>
        <v/>
      </c>
      <c r="K47" s="993" t="str" cm="1">
        <f t="array" ref="K47">INDEX(K$74:K$1016,MATCH($D47+2,$C$74:$C$1016,0)+21)</f>
        <v/>
      </c>
      <c r="L47" s="993" t="str" cm="1">
        <f t="array" ref="L47">INDEX(L$74:L$1016,MATCH($D47+2,$C$74:$C$1016,0)+21)</f>
        <v/>
      </c>
      <c r="M47" s="1367" t="str" cm="1">
        <f t="array" ref="M47">IF(F47="","",INDEX(P$74:P$1016,MATCH($D47+2,$C$74:$C$1016,0)+7))</f>
        <v/>
      </c>
      <c r="N47" s="1368"/>
      <c r="O47" s="1368"/>
      <c r="P47" s="1369"/>
      <c r="Q47" s="1371"/>
      <c r="R47" s="1372"/>
      <c r="S47" s="1372"/>
      <c r="T47" s="142"/>
      <c r="U47" s="115"/>
    </row>
    <row r="48" spans="1:38" ht="12.75" customHeight="1" x14ac:dyDescent="0.25">
      <c r="B48" s="132"/>
      <c r="C48" s="132"/>
      <c r="D48" s="632">
        <v>6</v>
      </c>
      <c r="E48" s="900" t="str">
        <f t="shared" si="3"/>
        <v>Tool 6</v>
      </c>
      <c r="F48" s="993" t="str" cm="1">
        <f t="array" ref="F48">INDEX(F$74:F$1016,MATCH($D48+2,$C$74:$C$1016,0)+21)</f>
        <v/>
      </c>
      <c r="G48" s="994" t="str" cm="1">
        <f t="array" ref="G48">INDEX(G$74:G$1016,MATCH($D48+2,$C$74:$C$1016,0)+21)</f>
        <v/>
      </c>
      <c r="H48" s="994" t="str" cm="1">
        <f t="array" ref="H48">INDEX(H$74:H$1016,MATCH($D48+2,$C$74:$C$1016,0)+21)</f>
        <v/>
      </c>
      <c r="I48" s="995" t="str" cm="1">
        <f t="array" ref="I48">INDEX(I$74:I$1016,MATCH($D48+2,$C$74:$C$1016,0)+21)</f>
        <v/>
      </c>
      <c r="J48" s="993" t="str" cm="1">
        <f t="array" ref="J48">INDEX(J$74:J$1016,MATCH($D48+2,$C$74:$C$1016,0)+21)</f>
        <v/>
      </c>
      <c r="K48" s="993" t="str" cm="1">
        <f t="array" ref="K48">INDEX(K$74:K$1016,MATCH($D48+2,$C$74:$C$1016,0)+21)</f>
        <v/>
      </c>
      <c r="L48" s="993" t="str" cm="1">
        <f t="array" ref="L48">INDEX(L$74:L$1016,MATCH($D48+2,$C$74:$C$1016,0)+21)</f>
        <v/>
      </c>
      <c r="M48" s="1367" t="str" cm="1">
        <f t="array" ref="M48">IF(F48="","",INDEX(P$74:P$1016,MATCH($D48+2,$C$74:$C$1016,0)+7))</f>
        <v/>
      </c>
      <c r="N48" s="1368"/>
      <c r="O48" s="1368"/>
      <c r="P48" s="1369"/>
      <c r="Q48" s="1371"/>
      <c r="R48" s="1372"/>
      <c r="S48" s="1372"/>
      <c r="T48" s="142"/>
      <c r="U48" s="115"/>
    </row>
    <row r="49" spans="1:21" ht="12.75" customHeight="1" x14ac:dyDescent="0.25">
      <c r="B49" s="132"/>
      <c r="C49" s="132"/>
      <c r="D49" s="632">
        <v>7</v>
      </c>
      <c r="E49" s="900" t="str">
        <f t="shared" si="3"/>
        <v>Tool 7</v>
      </c>
      <c r="F49" s="993" t="str" cm="1">
        <f t="array" ref="F49">INDEX(F$74:F$1016,MATCH($D49+2,$C$74:$C$1016,0)+21)</f>
        <v/>
      </c>
      <c r="G49" s="994" t="str" cm="1">
        <f t="array" ref="G49">INDEX(G$74:G$1016,MATCH($D49+2,$C$74:$C$1016,0)+21)</f>
        <v/>
      </c>
      <c r="H49" s="994" t="str" cm="1">
        <f t="array" ref="H49">INDEX(H$74:H$1016,MATCH($D49+2,$C$74:$C$1016,0)+21)</f>
        <v/>
      </c>
      <c r="I49" s="995" t="str" cm="1">
        <f t="array" ref="I49">INDEX(I$74:I$1016,MATCH($D49+2,$C$74:$C$1016,0)+21)</f>
        <v/>
      </c>
      <c r="J49" s="993" t="str" cm="1">
        <f t="array" ref="J49">INDEX(J$74:J$1016,MATCH($D49+2,$C$74:$C$1016,0)+21)</f>
        <v/>
      </c>
      <c r="K49" s="993" t="str" cm="1">
        <f t="array" ref="K49">INDEX(K$74:K$1016,MATCH($D49+2,$C$74:$C$1016,0)+21)</f>
        <v/>
      </c>
      <c r="L49" s="993" t="str" cm="1">
        <f t="array" ref="L49">INDEX(L$74:L$1016,MATCH($D49+2,$C$74:$C$1016,0)+21)</f>
        <v/>
      </c>
      <c r="M49" s="1367" t="str" cm="1">
        <f t="array" ref="M49">IF(F49="","",INDEX(P$74:P$1016,MATCH($D49+2,$C$74:$C$1016,0)+7))</f>
        <v/>
      </c>
      <c r="N49" s="1368"/>
      <c r="O49" s="1368"/>
      <c r="P49" s="1369"/>
      <c r="Q49" s="1371"/>
      <c r="R49" s="1372"/>
      <c r="S49" s="1372"/>
      <c r="T49" s="142"/>
      <c r="U49" s="115"/>
    </row>
    <row r="50" spans="1:21" ht="12.75" customHeight="1" x14ac:dyDescent="0.25">
      <c r="B50" s="132"/>
      <c r="C50" s="132"/>
      <c r="D50" s="632">
        <v>8</v>
      </c>
      <c r="E50" s="900" t="str">
        <f t="shared" si="3"/>
        <v>Tool 8</v>
      </c>
      <c r="F50" s="993" t="str" cm="1">
        <f t="array" ref="F50">INDEX(F$74:F$1016,MATCH($D50+2,$C$74:$C$1016,0)+21)</f>
        <v/>
      </c>
      <c r="G50" s="994" t="str" cm="1">
        <f t="array" ref="G50">INDEX(G$74:G$1016,MATCH($D50+2,$C$74:$C$1016,0)+21)</f>
        <v/>
      </c>
      <c r="H50" s="994" t="str" cm="1">
        <f t="array" ref="H50">INDEX(H$74:H$1016,MATCH($D50+2,$C$74:$C$1016,0)+21)</f>
        <v/>
      </c>
      <c r="I50" s="995" t="str" cm="1">
        <f t="array" ref="I50">INDEX(I$74:I$1016,MATCH($D50+2,$C$74:$C$1016,0)+21)</f>
        <v/>
      </c>
      <c r="J50" s="993" t="str" cm="1">
        <f t="array" ref="J50">INDEX(J$74:J$1016,MATCH($D50+2,$C$74:$C$1016,0)+21)</f>
        <v/>
      </c>
      <c r="K50" s="993" t="str" cm="1">
        <f t="array" ref="K50">INDEX(K$74:K$1016,MATCH($D50+2,$C$74:$C$1016,0)+21)</f>
        <v/>
      </c>
      <c r="L50" s="993" t="str" cm="1">
        <f t="array" ref="L50">INDEX(L$74:L$1016,MATCH($D50+2,$C$74:$C$1016,0)+21)</f>
        <v/>
      </c>
      <c r="M50" s="1367" t="str" cm="1">
        <f t="array" ref="M50">IF(F50="","",INDEX(P$74:P$1016,MATCH($D50+2,$C$74:$C$1016,0)+7))</f>
        <v/>
      </c>
      <c r="N50" s="1368"/>
      <c r="O50" s="1368"/>
      <c r="P50" s="1369"/>
      <c r="Q50" s="1371"/>
      <c r="R50" s="1372"/>
      <c r="S50" s="1372"/>
      <c r="T50" s="142"/>
      <c r="U50" s="115"/>
    </row>
    <row r="51" spans="1:21" ht="12.75" customHeight="1" x14ac:dyDescent="0.25">
      <c r="B51" s="132"/>
      <c r="C51" s="132"/>
      <c r="D51" s="632">
        <v>9</v>
      </c>
      <c r="E51" s="900" t="str">
        <f t="shared" si="3"/>
        <v>Tool 9</v>
      </c>
      <c r="F51" s="993" t="str" cm="1">
        <f t="array" ref="F51">INDEX(F$74:F$1016,MATCH($D51+2,$C$74:$C$1016,0)+21)</f>
        <v/>
      </c>
      <c r="G51" s="994" t="str" cm="1">
        <f t="array" ref="G51">INDEX(G$74:G$1016,MATCH($D51+2,$C$74:$C$1016,0)+21)</f>
        <v/>
      </c>
      <c r="H51" s="994" t="str" cm="1">
        <f t="array" ref="H51">INDEX(H$74:H$1016,MATCH($D51+2,$C$74:$C$1016,0)+21)</f>
        <v/>
      </c>
      <c r="I51" s="995" t="str" cm="1">
        <f t="array" ref="I51">INDEX(I$74:I$1016,MATCH($D51+2,$C$74:$C$1016,0)+21)</f>
        <v/>
      </c>
      <c r="J51" s="993" t="str" cm="1">
        <f t="array" ref="J51">INDEX(J$74:J$1016,MATCH($D51+2,$C$74:$C$1016,0)+21)</f>
        <v/>
      </c>
      <c r="K51" s="993" t="str" cm="1">
        <f t="array" ref="K51">INDEX(K$74:K$1016,MATCH($D51+2,$C$74:$C$1016,0)+21)</f>
        <v/>
      </c>
      <c r="L51" s="993" t="str" cm="1">
        <f t="array" ref="L51">INDEX(L$74:L$1016,MATCH($D51+2,$C$74:$C$1016,0)+21)</f>
        <v/>
      </c>
      <c r="M51" s="1367" t="str" cm="1">
        <f t="array" ref="M51">IF(F51="","",INDEX(P$74:P$1016,MATCH($D51+2,$C$74:$C$1016,0)+7))</f>
        <v/>
      </c>
      <c r="N51" s="1368"/>
      <c r="O51" s="1368"/>
      <c r="P51" s="1369"/>
      <c r="Q51" s="1371"/>
      <c r="R51" s="1372"/>
      <c r="S51" s="1372"/>
      <c r="T51" s="142"/>
      <c r="U51" s="115"/>
    </row>
    <row r="52" spans="1:21" ht="12.75" customHeight="1" x14ac:dyDescent="0.25">
      <c r="B52" s="132"/>
      <c r="C52" s="132"/>
      <c r="D52" s="632">
        <v>10</v>
      </c>
      <c r="E52" s="900" t="str">
        <f t="shared" si="3"/>
        <v>Tool 10</v>
      </c>
      <c r="F52" s="993" t="str" cm="1">
        <f t="array" ref="F52">INDEX(F$74:F$1016,MATCH($D52+2,$C$74:$C$1016,0)+21)</f>
        <v/>
      </c>
      <c r="G52" s="994" t="str" cm="1">
        <f t="array" ref="G52">INDEX(G$74:G$1016,MATCH($D52+2,$C$74:$C$1016,0)+21)</f>
        <v/>
      </c>
      <c r="H52" s="994" t="str" cm="1">
        <f t="array" ref="H52">INDEX(H$74:H$1016,MATCH($D52+2,$C$74:$C$1016,0)+21)</f>
        <v/>
      </c>
      <c r="I52" s="995" t="str" cm="1">
        <f t="array" ref="I52">INDEX(I$74:I$1016,MATCH($D52+2,$C$74:$C$1016,0)+21)</f>
        <v/>
      </c>
      <c r="J52" s="993" t="str" cm="1">
        <f t="array" ref="J52">INDEX(J$74:J$1016,MATCH($D52+2,$C$74:$C$1016,0)+21)</f>
        <v/>
      </c>
      <c r="K52" s="993" t="str" cm="1">
        <f t="array" ref="K52">INDEX(K$74:K$1016,MATCH($D52+2,$C$74:$C$1016,0)+21)</f>
        <v/>
      </c>
      <c r="L52" s="993" t="str" cm="1">
        <f t="array" ref="L52">INDEX(L$74:L$1016,MATCH($D52+2,$C$74:$C$1016,0)+21)</f>
        <v/>
      </c>
      <c r="M52" s="1367" t="str" cm="1">
        <f t="array" ref="M52">IF(F52="","",INDEX(P$74:P$1016,MATCH($D52+2,$C$74:$C$1016,0)+7))</f>
        <v/>
      </c>
      <c r="N52" s="1368"/>
      <c r="O52" s="1368"/>
      <c r="P52" s="1369"/>
      <c r="Q52" s="116"/>
      <c r="R52" s="116"/>
      <c r="S52" s="132"/>
      <c r="T52" s="142"/>
      <c r="U52" s="115"/>
    </row>
    <row r="53" spans="1:21" ht="12.75" hidden="1" customHeight="1" x14ac:dyDescent="0.25">
      <c r="A53" s="110" t="s">
        <v>0</v>
      </c>
      <c r="B53" s="132"/>
      <c r="C53" s="132"/>
      <c r="D53" s="632">
        <v>11</v>
      </c>
      <c r="E53" s="900" t="str">
        <f t="shared" si="3"/>
        <v>Tool 11</v>
      </c>
      <c r="F53" s="993" t="str" cm="1">
        <f t="array" ref="F53">INDEX(F$74:F$1016,MATCH($D53+2,$C$74:$C$1016,0)+21)</f>
        <v/>
      </c>
      <c r="G53" s="994" t="str" cm="1">
        <f t="array" ref="G53">INDEX(G$74:G$1016,MATCH($D53+2,$C$74:$C$1016,0)+21)</f>
        <v/>
      </c>
      <c r="H53" s="994" t="str" cm="1">
        <f t="array" ref="H53">INDEX(H$74:H$1016,MATCH($D53+2,$C$74:$C$1016,0)+21)</f>
        <v/>
      </c>
      <c r="I53" s="995" t="str" cm="1">
        <f t="array" ref="I53">INDEX(I$74:I$1016,MATCH($D53+2,$C$74:$C$1016,0)+21)</f>
        <v/>
      </c>
      <c r="J53" s="993" t="str" cm="1">
        <f t="array" ref="J53">INDEX(J$74:J$1016,MATCH($D53+2,$C$74:$C$1016,0)+21)</f>
        <v/>
      </c>
      <c r="K53" s="993" t="str" cm="1">
        <f t="array" ref="K53">INDEX(K$74:K$1016,MATCH($D53+2,$C$74:$C$1016,0)+21)</f>
        <v/>
      </c>
      <c r="L53" s="993" t="str" cm="1">
        <f t="array" ref="L53">INDEX(L$74:L$1016,MATCH($D53+2,$C$74:$C$1016,0)+21)</f>
        <v/>
      </c>
      <c r="M53" s="1367" t="str" cm="1">
        <f t="array" ref="M53">IF(F53="","",INDEX(P$74:P$1016,MATCH($D53+2,$C$74:$C$1016,0)+7))</f>
        <v/>
      </c>
      <c r="N53" s="1368"/>
      <c r="O53" s="1368"/>
      <c r="P53" s="1369"/>
      <c r="Q53" s="116"/>
      <c r="R53" s="116"/>
      <c r="S53" s="132"/>
      <c r="T53" s="142"/>
      <c r="U53" s="115"/>
    </row>
    <row r="54" spans="1:21" ht="12.75" hidden="1" customHeight="1" x14ac:dyDescent="0.25">
      <c r="A54" s="110" t="s">
        <v>0</v>
      </c>
      <c r="B54" s="132"/>
      <c r="C54" s="132"/>
      <c r="D54" s="632">
        <v>12</v>
      </c>
      <c r="E54" s="900" t="str">
        <f t="shared" si="3"/>
        <v>Tool 12</v>
      </c>
      <c r="F54" s="993" t="str" cm="1">
        <f t="array" ref="F54">INDEX(F$74:F$1016,MATCH($D54+2,$C$74:$C$1016,0)+21)</f>
        <v/>
      </c>
      <c r="G54" s="994" t="str" cm="1">
        <f t="array" ref="G54">INDEX(G$74:G$1016,MATCH($D54+2,$C$74:$C$1016,0)+21)</f>
        <v/>
      </c>
      <c r="H54" s="994" t="str" cm="1">
        <f t="array" ref="H54">INDEX(H$74:H$1016,MATCH($D54+2,$C$74:$C$1016,0)+21)</f>
        <v/>
      </c>
      <c r="I54" s="995" t="str" cm="1">
        <f t="array" ref="I54">INDEX(I$74:I$1016,MATCH($D54+2,$C$74:$C$1016,0)+21)</f>
        <v/>
      </c>
      <c r="J54" s="993" t="str" cm="1">
        <f t="array" ref="J54">INDEX(J$74:J$1016,MATCH($D54+2,$C$74:$C$1016,0)+21)</f>
        <v/>
      </c>
      <c r="K54" s="993" t="str" cm="1">
        <f t="array" ref="K54">INDEX(K$74:K$1016,MATCH($D54+2,$C$74:$C$1016,0)+21)</f>
        <v/>
      </c>
      <c r="L54" s="993" t="str" cm="1">
        <f t="array" ref="L54">INDEX(L$74:L$1016,MATCH($D54+2,$C$74:$C$1016,0)+21)</f>
        <v/>
      </c>
      <c r="M54" s="1367" t="str" cm="1">
        <f t="array" ref="M54">IF(F54="","",INDEX(P$74:P$1016,MATCH($D54+2,$C$74:$C$1016,0)+7))</f>
        <v/>
      </c>
      <c r="N54" s="1368"/>
      <c r="O54" s="1368"/>
      <c r="P54" s="1369"/>
      <c r="Q54" s="116"/>
      <c r="R54" s="116"/>
      <c r="S54" s="132"/>
      <c r="T54" s="142"/>
      <c r="U54" s="115"/>
    </row>
    <row r="55" spans="1:21" ht="12.75" hidden="1" customHeight="1" x14ac:dyDescent="0.25">
      <c r="A55" s="110" t="s">
        <v>0</v>
      </c>
      <c r="B55" s="132"/>
      <c r="C55" s="132"/>
      <c r="D55" s="632">
        <v>13</v>
      </c>
      <c r="E55" s="900" t="str">
        <f t="shared" si="3"/>
        <v>Tool 13</v>
      </c>
      <c r="F55" s="993" t="str" cm="1">
        <f t="array" ref="F55">INDEX(F$74:F$1016,MATCH($D55+2,$C$74:$C$1016,0)+21)</f>
        <v/>
      </c>
      <c r="G55" s="994" t="str" cm="1">
        <f t="array" ref="G55">INDEX(G$74:G$1016,MATCH($D55+2,$C$74:$C$1016,0)+21)</f>
        <v/>
      </c>
      <c r="H55" s="994" t="str" cm="1">
        <f t="array" ref="H55">INDEX(H$74:H$1016,MATCH($D55+2,$C$74:$C$1016,0)+21)</f>
        <v/>
      </c>
      <c r="I55" s="995" t="str" cm="1">
        <f t="array" ref="I55">INDEX(I$74:I$1016,MATCH($D55+2,$C$74:$C$1016,0)+21)</f>
        <v/>
      </c>
      <c r="J55" s="993" t="str" cm="1">
        <f t="array" ref="J55">INDEX(J$74:J$1016,MATCH($D55+2,$C$74:$C$1016,0)+21)</f>
        <v/>
      </c>
      <c r="K55" s="993" t="str" cm="1">
        <f t="array" ref="K55">INDEX(K$74:K$1016,MATCH($D55+2,$C$74:$C$1016,0)+21)</f>
        <v/>
      </c>
      <c r="L55" s="993" t="str" cm="1">
        <f t="array" ref="L55">INDEX(L$74:L$1016,MATCH($D55+2,$C$74:$C$1016,0)+21)</f>
        <v/>
      </c>
      <c r="M55" s="1367" t="str" cm="1">
        <f t="array" ref="M55">IF(F55="","",INDEX(P$74:P$1016,MATCH($D55+2,$C$74:$C$1016,0)+7))</f>
        <v/>
      </c>
      <c r="N55" s="1368"/>
      <c r="O55" s="1368"/>
      <c r="P55" s="1369"/>
      <c r="Q55" s="116"/>
      <c r="R55" s="116"/>
      <c r="S55" s="132"/>
      <c r="T55" s="142"/>
      <c r="U55" s="115"/>
    </row>
    <row r="56" spans="1:21" ht="12.75" hidden="1" customHeight="1" x14ac:dyDescent="0.25">
      <c r="A56" s="110" t="s">
        <v>0</v>
      </c>
      <c r="B56" s="132"/>
      <c r="C56" s="132"/>
      <c r="D56" s="632">
        <v>14</v>
      </c>
      <c r="E56" s="900" t="str">
        <f t="shared" si="3"/>
        <v>Tool 14</v>
      </c>
      <c r="F56" s="993" t="str" cm="1">
        <f t="array" ref="F56">INDEX(F$74:F$1016,MATCH($D56+2,$C$74:$C$1016,0)+21)</f>
        <v/>
      </c>
      <c r="G56" s="994" t="str" cm="1">
        <f t="array" ref="G56">INDEX(G$74:G$1016,MATCH($D56+2,$C$74:$C$1016,0)+21)</f>
        <v/>
      </c>
      <c r="H56" s="994" t="str" cm="1">
        <f t="array" ref="H56">INDEX(H$74:H$1016,MATCH($D56+2,$C$74:$C$1016,0)+21)</f>
        <v/>
      </c>
      <c r="I56" s="995" t="str" cm="1">
        <f t="array" ref="I56">INDEX(I$74:I$1016,MATCH($D56+2,$C$74:$C$1016,0)+21)</f>
        <v/>
      </c>
      <c r="J56" s="993" t="str" cm="1">
        <f t="array" ref="J56">INDEX(J$74:J$1016,MATCH($D56+2,$C$74:$C$1016,0)+21)</f>
        <v/>
      </c>
      <c r="K56" s="993" t="str" cm="1">
        <f t="array" ref="K56">INDEX(K$74:K$1016,MATCH($D56+2,$C$74:$C$1016,0)+21)</f>
        <v/>
      </c>
      <c r="L56" s="993" t="str" cm="1">
        <f t="array" ref="L56">INDEX(L$74:L$1016,MATCH($D56+2,$C$74:$C$1016,0)+21)</f>
        <v/>
      </c>
      <c r="M56" s="1367" t="str" cm="1">
        <f t="array" ref="M56">IF(F56="","",INDEX(P$74:P$1016,MATCH($D56+2,$C$74:$C$1016,0)+7))</f>
        <v/>
      </c>
      <c r="N56" s="1368"/>
      <c r="O56" s="1368"/>
      <c r="P56" s="1369"/>
      <c r="Q56" s="116"/>
      <c r="R56" s="116"/>
      <c r="S56" s="132"/>
      <c r="T56" s="142"/>
      <c r="U56" s="115"/>
    </row>
    <row r="57" spans="1:21" ht="12.75" hidden="1" customHeight="1" x14ac:dyDescent="0.25">
      <c r="A57" s="110" t="s">
        <v>0</v>
      </c>
      <c r="B57" s="132"/>
      <c r="C57" s="132"/>
      <c r="D57" s="632">
        <v>15</v>
      </c>
      <c r="E57" s="900" t="str">
        <f t="shared" si="3"/>
        <v>Tool 15</v>
      </c>
      <c r="F57" s="993" t="str" cm="1">
        <f t="array" ref="F57">INDEX(F$74:F$1016,MATCH($D57+2,$C$74:$C$1016,0)+21)</f>
        <v/>
      </c>
      <c r="G57" s="994" t="str" cm="1">
        <f t="array" ref="G57">INDEX(G$74:G$1016,MATCH($D57+2,$C$74:$C$1016,0)+21)</f>
        <v/>
      </c>
      <c r="H57" s="994" t="str" cm="1">
        <f t="array" ref="H57">INDEX(H$74:H$1016,MATCH($D57+2,$C$74:$C$1016,0)+21)</f>
        <v/>
      </c>
      <c r="I57" s="995" t="str" cm="1">
        <f t="array" ref="I57">INDEX(I$74:I$1016,MATCH($D57+2,$C$74:$C$1016,0)+21)</f>
        <v/>
      </c>
      <c r="J57" s="993" t="str" cm="1">
        <f t="array" ref="J57">INDEX(J$74:J$1016,MATCH($D57+2,$C$74:$C$1016,0)+21)</f>
        <v/>
      </c>
      <c r="K57" s="993" t="str" cm="1">
        <f t="array" ref="K57">INDEX(K$74:K$1016,MATCH($D57+2,$C$74:$C$1016,0)+21)</f>
        <v/>
      </c>
      <c r="L57" s="993" t="str" cm="1">
        <f t="array" ref="L57">INDEX(L$74:L$1016,MATCH($D57+2,$C$74:$C$1016,0)+21)</f>
        <v/>
      </c>
      <c r="M57" s="1367" t="str" cm="1">
        <f t="array" ref="M57">IF(F57="","",INDEX(P$74:P$1016,MATCH($D57+2,$C$74:$C$1016,0)+7))</f>
        <v/>
      </c>
      <c r="N57" s="1368"/>
      <c r="O57" s="1368"/>
      <c r="P57" s="1369"/>
      <c r="Q57" s="116"/>
      <c r="R57" s="116"/>
      <c r="S57" s="132"/>
      <c r="T57" s="142"/>
      <c r="U57" s="115"/>
    </row>
    <row r="58" spans="1:21" ht="12.75" hidden="1" customHeight="1" x14ac:dyDescent="0.25">
      <c r="A58" s="110" t="s">
        <v>0</v>
      </c>
      <c r="B58" s="132"/>
      <c r="C58" s="132"/>
      <c r="D58" s="632">
        <v>16</v>
      </c>
      <c r="E58" s="900" t="str">
        <f t="shared" si="3"/>
        <v>Tool 16</v>
      </c>
      <c r="F58" s="993" t="str" cm="1">
        <f t="array" ref="F58">INDEX(F$74:F$1016,MATCH($D58+2,$C$74:$C$1016,0)+21)</f>
        <v/>
      </c>
      <c r="G58" s="994" t="str" cm="1">
        <f t="array" ref="G58">INDEX(G$74:G$1016,MATCH($D58+2,$C$74:$C$1016,0)+21)</f>
        <v/>
      </c>
      <c r="H58" s="994" t="str" cm="1">
        <f t="array" ref="H58">INDEX(H$74:H$1016,MATCH($D58+2,$C$74:$C$1016,0)+21)</f>
        <v/>
      </c>
      <c r="I58" s="995" t="str" cm="1">
        <f t="array" ref="I58">INDEX(I$74:I$1016,MATCH($D58+2,$C$74:$C$1016,0)+21)</f>
        <v/>
      </c>
      <c r="J58" s="993" t="str" cm="1">
        <f t="array" ref="J58">INDEX(J$74:J$1016,MATCH($D58+2,$C$74:$C$1016,0)+21)</f>
        <v/>
      </c>
      <c r="K58" s="993" t="str" cm="1">
        <f t="array" ref="K58">INDEX(K$74:K$1016,MATCH($D58+2,$C$74:$C$1016,0)+21)</f>
        <v/>
      </c>
      <c r="L58" s="993" t="str" cm="1">
        <f t="array" ref="L58">INDEX(L$74:L$1016,MATCH($D58+2,$C$74:$C$1016,0)+21)</f>
        <v/>
      </c>
      <c r="M58" s="1367" t="str" cm="1">
        <f t="array" ref="M58">IF(F58="","",INDEX(P$74:P$1016,MATCH($D58+2,$C$74:$C$1016,0)+7))</f>
        <v/>
      </c>
      <c r="N58" s="1368"/>
      <c r="O58" s="1368"/>
      <c r="P58" s="1369"/>
      <c r="Q58" s="116"/>
      <c r="R58" s="116"/>
      <c r="S58" s="132"/>
      <c r="T58" s="142"/>
      <c r="U58" s="115"/>
    </row>
    <row r="59" spans="1:21" ht="12.75" hidden="1" customHeight="1" x14ac:dyDescent="0.25">
      <c r="A59" s="110" t="s">
        <v>0</v>
      </c>
      <c r="B59" s="132"/>
      <c r="C59" s="132"/>
      <c r="D59" s="632">
        <v>17</v>
      </c>
      <c r="E59" s="900" t="str">
        <f t="shared" si="3"/>
        <v>Tool 17</v>
      </c>
      <c r="F59" s="993" t="str" cm="1">
        <f t="array" ref="F59">INDEX(F$74:F$1016,MATCH($D59+2,$C$74:$C$1016,0)+21)</f>
        <v/>
      </c>
      <c r="G59" s="994" t="str" cm="1">
        <f t="array" ref="G59">INDEX(G$74:G$1016,MATCH($D59+2,$C$74:$C$1016,0)+21)</f>
        <v/>
      </c>
      <c r="H59" s="994" t="str" cm="1">
        <f t="array" ref="H59">INDEX(H$74:H$1016,MATCH($D59+2,$C$74:$C$1016,0)+21)</f>
        <v/>
      </c>
      <c r="I59" s="995" t="str" cm="1">
        <f t="array" ref="I59">INDEX(I$74:I$1016,MATCH($D59+2,$C$74:$C$1016,0)+21)</f>
        <v/>
      </c>
      <c r="J59" s="993" t="str" cm="1">
        <f t="array" ref="J59">INDEX(J$74:J$1016,MATCH($D59+2,$C$74:$C$1016,0)+21)</f>
        <v/>
      </c>
      <c r="K59" s="993" t="str" cm="1">
        <f t="array" ref="K59">INDEX(K$74:K$1016,MATCH($D59+2,$C$74:$C$1016,0)+21)</f>
        <v/>
      </c>
      <c r="L59" s="993" t="str" cm="1">
        <f t="array" ref="L59">INDEX(L$74:L$1016,MATCH($D59+2,$C$74:$C$1016,0)+21)</f>
        <v/>
      </c>
      <c r="M59" s="1367" t="str" cm="1">
        <f t="array" ref="M59">IF(F59="","",INDEX(P$74:P$1016,MATCH($D59+2,$C$74:$C$1016,0)+7))</f>
        <v/>
      </c>
      <c r="N59" s="1368"/>
      <c r="O59" s="1368"/>
      <c r="P59" s="1369"/>
      <c r="Q59" s="116"/>
      <c r="R59" s="116"/>
      <c r="S59" s="132"/>
      <c r="T59" s="142"/>
      <c r="U59" s="115"/>
    </row>
    <row r="60" spans="1:21" ht="12.75" hidden="1" customHeight="1" x14ac:dyDescent="0.25">
      <c r="A60" s="110" t="s">
        <v>0</v>
      </c>
      <c r="B60" s="132"/>
      <c r="C60" s="132"/>
      <c r="D60" s="632">
        <v>18</v>
      </c>
      <c r="E60" s="900" t="str">
        <f t="shared" si="3"/>
        <v>Tool 18</v>
      </c>
      <c r="F60" s="993" t="str" cm="1">
        <f t="array" ref="F60">INDEX(F$74:F$1016,MATCH($D60+2,$C$74:$C$1016,0)+21)</f>
        <v/>
      </c>
      <c r="G60" s="994" t="str" cm="1">
        <f t="array" ref="G60">INDEX(G$74:G$1016,MATCH($D60+2,$C$74:$C$1016,0)+21)</f>
        <v/>
      </c>
      <c r="H60" s="994" t="str" cm="1">
        <f t="array" ref="H60">INDEX(H$74:H$1016,MATCH($D60+2,$C$74:$C$1016,0)+21)</f>
        <v/>
      </c>
      <c r="I60" s="995" t="str" cm="1">
        <f t="array" ref="I60">INDEX(I$74:I$1016,MATCH($D60+2,$C$74:$C$1016,0)+21)</f>
        <v/>
      </c>
      <c r="J60" s="993" t="str" cm="1">
        <f t="array" ref="J60">INDEX(J$74:J$1016,MATCH($D60+2,$C$74:$C$1016,0)+21)</f>
        <v/>
      </c>
      <c r="K60" s="993" t="str" cm="1">
        <f t="array" ref="K60">INDEX(K$74:K$1016,MATCH($D60+2,$C$74:$C$1016,0)+21)</f>
        <v/>
      </c>
      <c r="L60" s="993" t="str" cm="1">
        <f t="array" ref="L60">INDEX(L$74:L$1016,MATCH($D60+2,$C$74:$C$1016,0)+21)</f>
        <v/>
      </c>
      <c r="M60" s="1367" t="str" cm="1">
        <f t="array" ref="M60">IF(F60="","",INDEX(P$74:P$1016,MATCH($D60+2,$C$74:$C$1016,0)+7))</f>
        <v/>
      </c>
      <c r="N60" s="1368"/>
      <c r="O60" s="1368"/>
      <c r="P60" s="1369"/>
      <c r="Q60" s="116"/>
      <c r="R60" s="116"/>
      <c r="S60" s="132"/>
      <c r="T60" s="142"/>
      <c r="U60" s="115"/>
    </row>
    <row r="61" spans="1:21" ht="12.75" hidden="1" customHeight="1" x14ac:dyDescent="0.25">
      <c r="A61" s="110" t="s">
        <v>0</v>
      </c>
      <c r="B61" s="132"/>
      <c r="C61" s="132"/>
      <c r="D61" s="632">
        <v>19</v>
      </c>
      <c r="E61" s="900" t="str">
        <f t="shared" si="3"/>
        <v>Tool 19</v>
      </c>
      <c r="F61" s="993" t="str" cm="1">
        <f t="array" ref="F61">INDEX(F$74:F$1016,MATCH($D61+2,$C$74:$C$1016,0)+21)</f>
        <v/>
      </c>
      <c r="G61" s="994" t="str" cm="1">
        <f t="array" ref="G61">INDEX(G$74:G$1016,MATCH($D61+2,$C$74:$C$1016,0)+21)</f>
        <v/>
      </c>
      <c r="H61" s="994" t="str" cm="1">
        <f t="array" ref="H61">INDEX(H$74:H$1016,MATCH($D61+2,$C$74:$C$1016,0)+21)</f>
        <v/>
      </c>
      <c r="I61" s="995" t="str" cm="1">
        <f t="array" ref="I61">INDEX(I$74:I$1016,MATCH($D61+2,$C$74:$C$1016,0)+21)</f>
        <v/>
      </c>
      <c r="J61" s="993" t="str" cm="1">
        <f t="array" ref="J61">INDEX(J$74:J$1016,MATCH($D61+2,$C$74:$C$1016,0)+21)</f>
        <v/>
      </c>
      <c r="K61" s="993" t="str" cm="1">
        <f t="array" ref="K61">INDEX(K$74:K$1016,MATCH($D61+2,$C$74:$C$1016,0)+21)</f>
        <v/>
      </c>
      <c r="L61" s="993" t="str" cm="1">
        <f t="array" ref="L61">INDEX(L$74:L$1016,MATCH($D61+2,$C$74:$C$1016,0)+21)</f>
        <v/>
      </c>
      <c r="M61" s="1367" t="str" cm="1">
        <f t="array" ref="M61">IF(F61="","",INDEX(P$74:P$1016,MATCH($D61+2,$C$74:$C$1016,0)+7))</f>
        <v/>
      </c>
      <c r="N61" s="1368"/>
      <c r="O61" s="1368"/>
      <c r="P61" s="1369"/>
      <c r="Q61" s="116"/>
      <c r="R61" s="116"/>
      <c r="S61" s="132"/>
      <c r="T61" s="142"/>
      <c r="U61" s="115"/>
    </row>
    <row r="62" spans="1:21" ht="12.75" hidden="1" customHeight="1" x14ac:dyDescent="0.25">
      <c r="A62" s="110" t="s">
        <v>0</v>
      </c>
      <c r="B62" s="132"/>
      <c r="C62" s="132"/>
      <c r="D62" s="632">
        <v>20</v>
      </c>
      <c r="E62" s="900" t="str">
        <f t="shared" si="3"/>
        <v>Tool 20</v>
      </c>
      <c r="F62" s="993" t="str" cm="1">
        <f t="array" ref="F62">INDEX(F$74:F$1016,MATCH($D62+2,$C$74:$C$1016,0)+21)</f>
        <v/>
      </c>
      <c r="G62" s="994" t="str" cm="1">
        <f t="array" ref="G62">INDEX(G$74:G$1016,MATCH($D62+2,$C$74:$C$1016,0)+21)</f>
        <v/>
      </c>
      <c r="H62" s="994" t="str" cm="1">
        <f t="array" ref="H62">INDEX(H$74:H$1016,MATCH($D62+2,$C$74:$C$1016,0)+21)</f>
        <v/>
      </c>
      <c r="I62" s="995" t="str" cm="1">
        <f t="array" ref="I62">INDEX(I$74:I$1016,MATCH($D62+2,$C$74:$C$1016,0)+21)</f>
        <v/>
      </c>
      <c r="J62" s="993" t="str" cm="1">
        <f t="array" ref="J62">INDEX(J$74:J$1016,MATCH($D62+2,$C$74:$C$1016,0)+21)</f>
        <v/>
      </c>
      <c r="K62" s="993" t="str" cm="1">
        <f t="array" ref="K62">INDEX(K$74:K$1016,MATCH($D62+2,$C$74:$C$1016,0)+21)</f>
        <v/>
      </c>
      <c r="L62" s="993" t="str" cm="1">
        <f t="array" ref="L62">INDEX(L$74:L$1016,MATCH($D62+2,$C$74:$C$1016,0)+21)</f>
        <v/>
      </c>
      <c r="M62" s="1367" t="str" cm="1">
        <f t="array" ref="M62">IF(F62="","",INDEX(P$74:P$1016,MATCH($D62+2,$C$74:$C$1016,0)+7))</f>
        <v/>
      </c>
      <c r="N62" s="1368"/>
      <c r="O62" s="1368"/>
      <c r="P62" s="1369"/>
      <c r="Q62" s="116"/>
      <c r="R62" s="116"/>
      <c r="S62" s="132"/>
      <c r="T62" s="142"/>
      <c r="U62" s="115"/>
    </row>
    <row r="63" spans="1:21" ht="12.75" hidden="1" customHeight="1" x14ac:dyDescent="0.25">
      <c r="A63" s="110" t="s">
        <v>0</v>
      </c>
      <c r="B63" s="132"/>
      <c r="C63" s="132"/>
      <c r="D63" s="632">
        <v>21</v>
      </c>
      <c r="E63" s="900" t="str">
        <f t="shared" si="3"/>
        <v>Tool 21</v>
      </c>
      <c r="F63" s="993" t="str" cm="1">
        <f t="array" ref="F63">INDEX(F$74:F$1016,MATCH($D63+2,$C$74:$C$1016,0)+21)</f>
        <v/>
      </c>
      <c r="G63" s="994" t="str" cm="1">
        <f t="array" ref="G63">INDEX(G$74:G$1016,MATCH($D63+2,$C$74:$C$1016,0)+21)</f>
        <v/>
      </c>
      <c r="H63" s="994" t="str" cm="1">
        <f t="array" ref="H63">INDEX(H$74:H$1016,MATCH($D63+2,$C$74:$C$1016,0)+21)</f>
        <v/>
      </c>
      <c r="I63" s="995" t="str" cm="1">
        <f t="array" ref="I63">INDEX(I$74:I$1016,MATCH($D63+2,$C$74:$C$1016,0)+21)</f>
        <v/>
      </c>
      <c r="J63" s="993" t="str" cm="1">
        <f t="array" ref="J63">INDEX(J$74:J$1016,MATCH($D63+2,$C$74:$C$1016,0)+21)</f>
        <v/>
      </c>
      <c r="K63" s="993" t="str" cm="1">
        <f t="array" ref="K63">INDEX(K$74:K$1016,MATCH($D63+2,$C$74:$C$1016,0)+21)</f>
        <v/>
      </c>
      <c r="L63" s="993" t="str" cm="1">
        <f t="array" ref="L63">INDEX(L$74:L$1016,MATCH($D63+2,$C$74:$C$1016,0)+21)</f>
        <v/>
      </c>
      <c r="M63" s="1367" t="str" cm="1">
        <f t="array" ref="M63">IF(F63="","",INDEX(P$74:P$1016,MATCH($D63+2,$C$74:$C$1016,0)+7))</f>
        <v/>
      </c>
      <c r="N63" s="1368"/>
      <c r="O63" s="1368"/>
      <c r="P63" s="1369"/>
      <c r="Q63" s="116"/>
      <c r="R63" s="116"/>
      <c r="S63" s="132"/>
      <c r="T63" s="142"/>
      <c r="U63" s="115"/>
    </row>
    <row r="64" spans="1:21" ht="12.75" hidden="1" customHeight="1" x14ac:dyDescent="0.25">
      <c r="A64" s="110" t="s">
        <v>0</v>
      </c>
      <c r="B64" s="132"/>
      <c r="C64" s="132"/>
      <c r="D64" s="632">
        <v>22</v>
      </c>
      <c r="E64" s="900" t="str">
        <f t="shared" si="3"/>
        <v>Tool 22</v>
      </c>
      <c r="F64" s="993" t="str" cm="1">
        <f t="array" ref="F64">INDEX(F$74:F$1016,MATCH($D64+2,$C$74:$C$1016,0)+21)</f>
        <v/>
      </c>
      <c r="G64" s="994" t="str" cm="1">
        <f t="array" ref="G64">INDEX(G$74:G$1016,MATCH($D64+2,$C$74:$C$1016,0)+21)</f>
        <v/>
      </c>
      <c r="H64" s="994" t="str" cm="1">
        <f t="array" ref="H64">INDEX(H$74:H$1016,MATCH($D64+2,$C$74:$C$1016,0)+21)</f>
        <v/>
      </c>
      <c r="I64" s="995" t="str" cm="1">
        <f t="array" ref="I64">INDEX(I$74:I$1016,MATCH($D64+2,$C$74:$C$1016,0)+21)</f>
        <v/>
      </c>
      <c r="J64" s="993" t="str" cm="1">
        <f t="array" ref="J64">INDEX(J$74:J$1016,MATCH($D64+2,$C$74:$C$1016,0)+21)</f>
        <v/>
      </c>
      <c r="K64" s="993" t="str" cm="1">
        <f t="array" ref="K64">INDEX(K$74:K$1016,MATCH($D64+2,$C$74:$C$1016,0)+21)</f>
        <v/>
      </c>
      <c r="L64" s="993" t="str" cm="1">
        <f t="array" ref="L64">INDEX(L$74:L$1016,MATCH($D64+2,$C$74:$C$1016,0)+21)</f>
        <v/>
      </c>
      <c r="M64" s="1367" t="str" cm="1">
        <f t="array" ref="M64">IF(F64="","",INDEX(P$74:P$1016,MATCH($D64+2,$C$74:$C$1016,0)+7))</f>
        <v/>
      </c>
      <c r="N64" s="1368"/>
      <c r="O64" s="1368"/>
      <c r="P64" s="1369"/>
      <c r="Q64" s="116"/>
      <c r="R64" s="116"/>
      <c r="S64" s="132"/>
      <c r="T64" s="142"/>
      <c r="U64" s="115"/>
    </row>
    <row r="65" spans="1:38" ht="12.75" hidden="1" customHeight="1" x14ac:dyDescent="0.25">
      <c r="A65" s="110" t="s">
        <v>0</v>
      </c>
      <c r="B65" s="132"/>
      <c r="C65" s="132"/>
      <c r="D65" s="632">
        <v>23</v>
      </c>
      <c r="E65" s="900" t="str">
        <f t="shared" si="3"/>
        <v>Tool 23</v>
      </c>
      <c r="F65" s="993" t="str" cm="1">
        <f t="array" ref="F65">INDEX(F$74:F$1016,MATCH($D65+2,$C$74:$C$1016,0)+21)</f>
        <v/>
      </c>
      <c r="G65" s="994" t="str" cm="1">
        <f t="array" ref="G65">INDEX(G$74:G$1016,MATCH($D65+2,$C$74:$C$1016,0)+21)</f>
        <v/>
      </c>
      <c r="H65" s="994" t="str" cm="1">
        <f t="array" ref="H65">INDEX(H$74:H$1016,MATCH($D65+2,$C$74:$C$1016,0)+21)</f>
        <v/>
      </c>
      <c r="I65" s="995" t="str" cm="1">
        <f t="array" ref="I65">INDEX(I$74:I$1016,MATCH($D65+2,$C$74:$C$1016,0)+21)</f>
        <v/>
      </c>
      <c r="J65" s="993" t="str" cm="1">
        <f t="array" ref="J65">INDEX(J$74:J$1016,MATCH($D65+2,$C$74:$C$1016,0)+21)</f>
        <v/>
      </c>
      <c r="K65" s="993" t="str" cm="1">
        <f t="array" ref="K65">INDEX(K$74:K$1016,MATCH($D65+2,$C$74:$C$1016,0)+21)</f>
        <v/>
      </c>
      <c r="L65" s="993" t="str" cm="1">
        <f t="array" ref="L65">INDEX(L$74:L$1016,MATCH($D65+2,$C$74:$C$1016,0)+21)</f>
        <v/>
      </c>
      <c r="M65" s="1367" t="str" cm="1">
        <f t="array" ref="M65">IF(F65="","",INDEX(P$74:P$1016,MATCH($D65+2,$C$74:$C$1016,0)+7))</f>
        <v/>
      </c>
      <c r="N65" s="1368"/>
      <c r="O65" s="1368"/>
      <c r="P65" s="1369"/>
      <c r="Q65" s="116"/>
      <c r="R65" s="116"/>
      <c r="S65" s="132"/>
      <c r="T65" s="142"/>
      <c r="U65" s="115"/>
    </row>
    <row r="66" spans="1:38" ht="12.75" hidden="1" customHeight="1" x14ac:dyDescent="0.25">
      <c r="A66" s="110" t="s">
        <v>0</v>
      </c>
      <c r="B66" s="132"/>
      <c r="C66" s="132"/>
      <c r="D66" s="632">
        <v>24</v>
      </c>
      <c r="E66" s="900" t="str">
        <f t="shared" si="3"/>
        <v>Tool 24</v>
      </c>
      <c r="F66" s="993" t="str" cm="1">
        <f t="array" ref="F66">INDEX(F$74:F$1016,MATCH($D66+2,$C$74:$C$1016,0)+21)</f>
        <v/>
      </c>
      <c r="G66" s="994" t="str" cm="1">
        <f t="array" ref="G66">INDEX(G$74:G$1016,MATCH($D66+2,$C$74:$C$1016,0)+21)</f>
        <v/>
      </c>
      <c r="H66" s="994" t="str" cm="1">
        <f t="array" ref="H66">INDEX(H$74:H$1016,MATCH($D66+2,$C$74:$C$1016,0)+21)</f>
        <v/>
      </c>
      <c r="I66" s="995" t="str" cm="1">
        <f t="array" ref="I66">INDEX(I$74:I$1016,MATCH($D66+2,$C$74:$C$1016,0)+21)</f>
        <v/>
      </c>
      <c r="J66" s="993" t="str" cm="1">
        <f t="array" ref="J66">INDEX(J$74:J$1016,MATCH($D66+2,$C$74:$C$1016,0)+21)</f>
        <v/>
      </c>
      <c r="K66" s="993" t="str" cm="1">
        <f t="array" ref="K66">INDEX(K$74:K$1016,MATCH($D66+2,$C$74:$C$1016,0)+21)</f>
        <v/>
      </c>
      <c r="L66" s="993" t="str" cm="1">
        <f t="array" ref="L66">INDEX(L$74:L$1016,MATCH($D66+2,$C$74:$C$1016,0)+21)</f>
        <v/>
      </c>
      <c r="M66" s="1367" t="str" cm="1">
        <f t="array" ref="M66">IF(F66="","",INDEX(P$74:P$1016,MATCH($D66+2,$C$74:$C$1016,0)+7))</f>
        <v/>
      </c>
      <c r="N66" s="1368"/>
      <c r="O66" s="1368"/>
      <c r="P66" s="1369"/>
      <c r="Q66" s="116"/>
      <c r="R66" s="116"/>
      <c r="S66" s="132"/>
      <c r="T66" s="142"/>
      <c r="U66" s="115"/>
    </row>
    <row r="67" spans="1:38" ht="12.75" hidden="1" customHeight="1" x14ac:dyDescent="0.25">
      <c r="A67" s="110" t="s">
        <v>0</v>
      </c>
      <c r="B67" s="132"/>
      <c r="C67" s="132"/>
      <c r="D67" s="632">
        <v>25</v>
      </c>
      <c r="E67" s="900" t="str">
        <f t="shared" si="3"/>
        <v>Tool 25</v>
      </c>
      <c r="F67" s="993" t="str" cm="1">
        <f t="array" ref="F67">INDEX(F$74:F$1016,MATCH($D67+2,$C$74:$C$1016,0)+21)</f>
        <v/>
      </c>
      <c r="G67" s="994" t="str" cm="1">
        <f t="array" ref="G67">INDEX(G$74:G$1016,MATCH($D67+2,$C$74:$C$1016,0)+21)</f>
        <v/>
      </c>
      <c r="H67" s="994" t="str" cm="1">
        <f t="array" ref="H67">INDEX(H$74:H$1016,MATCH($D67+2,$C$74:$C$1016,0)+21)</f>
        <v/>
      </c>
      <c r="I67" s="995" t="str" cm="1">
        <f t="array" ref="I67">INDEX(I$74:I$1016,MATCH($D67+2,$C$74:$C$1016,0)+21)</f>
        <v/>
      </c>
      <c r="J67" s="993" t="str" cm="1">
        <f t="array" ref="J67">INDEX(J$74:J$1016,MATCH($D67+2,$C$74:$C$1016,0)+21)</f>
        <v/>
      </c>
      <c r="K67" s="993" t="str" cm="1">
        <f t="array" ref="K67">INDEX(K$74:K$1016,MATCH($D67+2,$C$74:$C$1016,0)+21)</f>
        <v/>
      </c>
      <c r="L67" s="993" t="str" cm="1">
        <f t="array" ref="L67">INDEX(L$74:L$1016,MATCH($D67+2,$C$74:$C$1016,0)+21)</f>
        <v/>
      </c>
      <c r="M67" s="1367" t="str" cm="1">
        <f t="array" ref="M67">IF(F67="","",INDEX(P$74:P$1016,MATCH($D67+2,$C$74:$C$1016,0)+7))</f>
        <v/>
      </c>
      <c r="N67" s="1368"/>
      <c r="O67" s="1368"/>
      <c r="P67" s="1369"/>
      <c r="Q67" s="116"/>
      <c r="R67" s="116"/>
      <c r="S67" s="132"/>
      <c r="T67" s="142"/>
      <c r="U67" s="115"/>
    </row>
    <row r="68" spans="1:38" ht="12.75" hidden="1" customHeight="1" x14ac:dyDescent="0.25">
      <c r="A68" s="110" t="s">
        <v>0</v>
      </c>
      <c r="B68" s="132"/>
      <c r="C68" s="132"/>
      <c r="D68" s="632">
        <v>26</v>
      </c>
      <c r="E68" s="900" t="str">
        <f t="shared" si="3"/>
        <v>Tool 26</v>
      </c>
      <c r="F68" s="993" t="str" cm="1">
        <f t="array" ref="F68">INDEX(F$74:F$1016,MATCH($D68+2,$C$74:$C$1016,0)+21)</f>
        <v/>
      </c>
      <c r="G68" s="994" t="str" cm="1">
        <f t="array" ref="G68">INDEX(G$74:G$1016,MATCH($D68+2,$C$74:$C$1016,0)+21)</f>
        <v/>
      </c>
      <c r="H68" s="994" t="str" cm="1">
        <f t="array" ref="H68">INDEX(H$74:H$1016,MATCH($D68+2,$C$74:$C$1016,0)+21)</f>
        <v/>
      </c>
      <c r="I68" s="995" t="str" cm="1">
        <f t="array" ref="I68">INDEX(I$74:I$1016,MATCH($D68+2,$C$74:$C$1016,0)+21)</f>
        <v/>
      </c>
      <c r="J68" s="993" t="str" cm="1">
        <f t="array" ref="J68">INDEX(J$74:J$1016,MATCH($D68+2,$C$74:$C$1016,0)+21)</f>
        <v/>
      </c>
      <c r="K68" s="993" t="str" cm="1">
        <f t="array" ref="K68">INDEX(K$74:K$1016,MATCH($D68+2,$C$74:$C$1016,0)+21)</f>
        <v/>
      </c>
      <c r="L68" s="993" t="str" cm="1">
        <f t="array" ref="L68">INDEX(L$74:L$1016,MATCH($D68+2,$C$74:$C$1016,0)+21)</f>
        <v/>
      </c>
      <c r="M68" s="1367" t="str" cm="1">
        <f t="array" ref="M68">IF(F68="","",INDEX(P$74:P$1016,MATCH($D68+2,$C$74:$C$1016,0)+7))</f>
        <v/>
      </c>
      <c r="N68" s="1368"/>
      <c r="O68" s="1368"/>
      <c r="P68" s="1369"/>
      <c r="Q68" s="116"/>
      <c r="R68" s="116"/>
      <c r="S68" s="132"/>
      <c r="T68" s="142"/>
      <c r="U68" s="115"/>
    </row>
    <row r="69" spans="1:38" ht="12.75" hidden="1" customHeight="1" x14ac:dyDescent="0.25">
      <c r="A69" s="110" t="s">
        <v>0</v>
      </c>
      <c r="B69" s="132"/>
      <c r="C69" s="132"/>
      <c r="D69" s="632">
        <v>27</v>
      </c>
      <c r="E69" s="900" t="str">
        <f t="shared" si="3"/>
        <v>Tool 27</v>
      </c>
      <c r="F69" s="993" t="str" cm="1">
        <f t="array" ref="F69">INDEX(F$74:F$1016,MATCH($D69+2,$C$74:$C$1016,0)+21)</f>
        <v/>
      </c>
      <c r="G69" s="994" t="str" cm="1">
        <f t="array" ref="G69">INDEX(G$74:G$1016,MATCH($D69+2,$C$74:$C$1016,0)+21)</f>
        <v/>
      </c>
      <c r="H69" s="994" t="str" cm="1">
        <f t="array" ref="H69">INDEX(H$74:H$1016,MATCH($D69+2,$C$74:$C$1016,0)+21)</f>
        <v/>
      </c>
      <c r="I69" s="995" t="str" cm="1">
        <f t="array" ref="I69">INDEX(I$74:I$1016,MATCH($D69+2,$C$74:$C$1016,0)+21)</f>
        <v/>
      </c>
      <c r="J69" s="993" t="str" cm="1">
        <f t="array" ref="J69">INDEX(J$74:J$1016,MATCH($D69+2,$C$74:$C$1016,0)+21)</f>
        <v/>
      </c>
      <c r="K69" s="993" t="str" cm="1">
        <f t="array" ref="K69">INDEX(K$74:K$1016,MATCH($D69+2,$C$74:$C$1016,0)+21)</f>
        <v/>
      </c>
      <c r="L69" s="993" t="str" cm="1">
        <f t="array" ref="L69">INDEX(L$74:L$1016,MATCH($D69+2,$C$74:$C$1016,0)+21)</f>
        <v/>
      </c>
      <c r="M69" s="1367" t="str" cm="1">
        <f t="array" ref="M69">IF(F69="","",INDEX(P$74:P$1016,MATCH($D69+2,$C$74:$C$1016,0)+7))</f>
        <v/>
      </c>
      <c r="N69" s="1368"/>
      <c r="O69" s="1368"/>
      <c r="P69" s="1369"/>
      <c r="Q69" s="116"/>
      <c r="R69" s="116"/>
      <c r="S69" s="132"/>
      <c r="T69" s="142"/>
      <c r="U69" s="115"/>
    </row>
    <row r="70" spans="1:38" ht="12.75" hidden="1" customHeight="1" x14ac:dyDescent="0.25">
      <c r="A70" s="110" t="s">
        <v>0</v>
      </c>
      <c r="B70" s="132"/>
      <c r="C70" s="132"/>
      <c r="D70" s="632">
        <v>28</v>
      </c>
      <c r="E70" s="900" t="str">
        <f t="shared" si="3"/>
        <v>Tool 28</v>
      </c>
      <c r="F70" s="993" t="str" cm="1">
        <f t="array" ref="F70">INDEX(F$74:F$1016,MATCH($D70+2,$C$74:$C$1016,0)+21)</f>
        <v/>
      </c>
      <c r="G70" s="994" t="str" cm="1">
        <f t="array" ref="G70">INDEX(G$74:G$1016,MATCH($D70+2,$C$74:$C$1016,0)+21)</f>
        <v/>
      </c>
      <c r="H70" s="994" t="str" cm="1">
        <f t="array" ref="H70">INDEX(H$74:H$1016,MATCH($D70+2,$C$74:$C$1016,0)+21)</f>
        <v/>
      </c>
      <c r="I70" s="995" t="str" cm="1">
        <f t="array" ref="I70">INDEX(I$74:I$1016,MATCH($D70+2,$C$74:$C$1016,0)+21)</f>
        <v/>
      </c>
      <c r="J70" s="993" t="str" cm="1">
        <f t="array" ref="J70">INDEX(J$74:J$1016,MATCH($D70+2,$C$74:$C$1016,0)+21)</f>
        <v/>
      </c>
      <c r="K70" s="993" t="str" cm="1">
        <f t="array" ref="K70">INDEX(K$74:K$1016,MATCH($D70+2,$C$74:$C$1016,0)+21)</f>
        <v/>
      </c>
      <c r="L70" s="993" t="str" cm="1">
        <f t="array" ref="L70">INDEX(L$74:L$1016,MATCH($D70+2,$C$74:$C$1016,0)+21)</f>
        <v/>
      </c>
      <c r="M70" s="1367" t="str" cm="1">
        <f t="array" ref="M70">IF(F70="","",INDEX(P$74:P$1016,MATCH($D70+2,$C$74:$C$1016,0)+7))</f>
        <v/>
      </c>
      <c r="N70" s="1368"/>
      <c r="O70" s="1368"/>
      <c r="P70" s="1369"/>
      <c r="Q70" s="116"/>
      <c r="R70" s="116"/>
      <c r="S70" s="132"/>
      <c r="T70" s="142"/>
      <c r="U70" s="115"/>
    </row>
    <row r="71" spans="1:38" ht="12.75" hidden="1" customHeight="1" x14ac:dyDescent="0.25">
      <c r="A71" s="110" t="s">
        <v>0</v>
      </c>
      <c r="B71" s="132"/>
      <c r="C71" s="132"/>
      <c r="D71" s="632">
        <v>29</v>
      </c>
      <c r="E71" s="900" t="str">
        <f t="shared" si="3"/>
        <v>Tool 29</v>
      </c>
      <c r="F71" s="993" t="str" cm="1">
        <f t="array" ref="F71">INDEX(F$74:F$1016,MATCH($D71+2,$C$74:$C$1016,0)+21)</f>
        <v/>
      </c>
      <c r="G71" s="994" t="str" cm="1">
        <f t="array" ref="G71">INDEX(G$74:G$1016,MATCH($D71+2,$C$74:$C$1016,0)+21)</f>
        <v/>
      </c>
      <c r="H71" s="994" t="str" cm="1">
        <f t="array" ref="H71">INDEX(H$74:H$1016,MATCH($D71+2,$C$74:$C$1016,0)+21)</f>
        <v/>
      </c>
      <c r="I71" s="995" t="str" cm="1">
        <f t="array" ref="I71">INDEX(I$74:I$1016,MATCH($D71+2,$C$74:$C$1016,0)+21)</f>
        <v/>
      </c>
      <c r="J71" s="993" t="str" cm="1">
        <f t="array" ref="J71">INDEX(J$74:J$1016,MATCH($D71+2,$C$74:$C$1016,0)+21)</f>
        <v/>
      </c>
      <c r="K71" s="993" t="str" cm="1">
        <f t="array" ref="K71">INDEX(K$74:K$1016,MATCH($D71+2,$C$74:$C$1016,0)+21)</f>
        <v/>
      </c>
      <c r="L71" s="993" t="str" cm="1">
        <f t="array" ref="L71">INDEX(L$74:L$1016,MATCH($D71+2,$C$74:$C$1016,0)+21)</f>
        <v/>
      </c>
      <c r="M71" s="1367" t="str" cm="1">
        <f t="array" ref="M71">IF(F71="","",INDEX(P$74:P$1016,MATCH($D71+2,$C$74:$C$1016,0)+7))</f>
        <v/>
      </c>
      <c r="N71" s="1368"/>
      <c r="O71" s="1368"/>
      <c r="P71" s="1369"/>
      <c r="Q71" s="116"/>
      <c r="R71" s="116"/>
      <c r="S71" s="132"/>
      <c r="T71" s="142"/>
      <c r="U71" s="115"/>
    </row>
    <row r="72" spans="1:38" ht="12.75" hidden="1" customHeight="1" x14ac:dyDescent="0.25">
      <c r="A72" s="110" t="s">
        <v>0</v>
      </c>
      <c r="B72" s="132"/>
      <c r="C72" s="132"/>
      <c r="D72" s="632">
        <v>30</v>
      </c>
      <c r="E72" s="900" t="str">
        <f t="shared" si="3"/>
        <v>Tool 30</v>
      </c>
      <c r="F72" s="993" t="str" cm="1">
        <f t="array" ref="F72">INDEX(F$74:F$1016,MATCH($D72+2,$C$74:$C$1016,0)+21)</f>
        <v/>
      </c>
      <c r="G72" s="994" t="str" cm="1">
        <f t="array" ref="G72">INDEX(G$74:G$1016,MATCH($D72+2,$C$74:$C$1016,0)+21)</f>
        <v/>
      </c>
      <c r="H72" s="994" t="str" cm="1">
        <f t="array" ref="H72">INDEX(H$74:H$1016,MATCH($D72+2,$C$74:$C$1016,0)+21)</f>
        <v/>
      </c>
      <c r="I72" s="995" t="str" cm="1">
        <f t="array" ref="I72">INDEX(I$74:I$1016,MATCH($D72+2,$C$74:$C$1016,0)+21)</f>
        <v/>
      </c>
      <c r="J72" s="993" t="str" cm="1">
        <f t="array" ref="J72">INDEX(J$74:J$1016,MATCH($D72+2,$C$74:$C$1016,0)+21)</f>
        <v/>
      </c>
      <c r="K72" s="993" t="str" cm="1">
        <f t="array" ref="K72">INDEX(K$74:K$1016,MATCH($D72+2,$C$74:$C$1016,0)+21)</f>
        <v/>
      </c>
      <c r="L72" s="993" t="str" cm="1">
        <f t="array" ref="L72">INDEX(L$74:L$1016,MATCH($D72+2,$C$74:$C$1016,0)+21)</f>
        <v/>
      </c>
      <c r="M72" s="1367" t="str" cm="1">
        <f t="array" ref="M72">IF(F72="","",INDEX(P$74:P$1016,MATCH($D72+2,$C$74:$C$1016,0)+7))</f>
        <v/>
      </c>
      <c r="N72" s="1368"/>
      <c r="O72" s="1368"/>
      <c r="P72" s="1369"/>
      <c r="Q72" s="116"/>
      <c r="R72" s="116"/>
      <c r="S72" s="132"/>
      <c r="T72" s="142"/>
      <c r="U72" s="115"/>
    </row>
    <row r="73" spans="1:38" ht="12.75" customHeight="1" x14ac:dyDescent="0.25">
      <c r="B73" s="132"/>
      <c r="C73" s="132"/>
      <c r="D73" s="132"/>
      <c r="E73" s="191"/>
      <c r="F73" s="116"/>
      <c r="G73" s="116"/>
      <c r="H73" s="116"/>
      <c r="I73" s="116"/>
      <c r="J73" s="116"/>
      <c r="K73" s="116"/>
      <c r="L73" s="116"/>
      <c r="M73" s="116"/>
      <c r="N73" s="116"/>
      <c r="O73" s="116"/>
      <c r="P73" s="116"/>
      <c r="Q73" s="116"/>
      <c r="R73" s="116"/>
      <c r="S73" s="132"/>
      <c r="T73" s="142"/>
      <c r="U73" s="115"/>
    </row>
    <row r="74" spans="1:38" s="69" customFormat="1" ht="18.75" customHeight="1" x14ac:dyDescent="0.25">
      <c r="A74" s="167">
        <f>C74</f>
        <v>3</v>
      </c>
      <c r="B74" s="76"/>
      <c r="C74" s="216">
        <v>3</v>
      </c>
      <c r="D74" s="1195" t="str">
        <f>"Tool " &amp;C74-2</f>
        <v>Tool 1</v>
      </c>
      <c r="E74" s="1195"/>
      <c r="F74" s="1195"/>
      <c r="G74" s="1195"/>
      <c r="H74" s="1195"/>
      <c r="I74" s="1195"/>
      <c r="J74" s="1195"/>
      <c r="K74" s="1195"/>
      <c r="L74" s="1195"/>
      <c r="M74" s="1195"/>
      <c r="N74" s="1195"/>
      <c r="O74" s="1195"/>
      <c r="P74" s="1195"/>
      <c r="Q74" s="1195"/>
      <c r="R74" s="1195"/>
      <c r="S74" s="1195"/>
      <c r="T74" s="142"/>
      <c r="U74" s="115"/>
      <c r="V74" s="464" t="str">
        <f>D74</f>
        <v>Tool 1</v>
      </c>
      <c r="W74" s="110"/>
      <c r="X74" s="110"/>
      <c r="Y74" s="110"/>
      <c r="Z74" s="110"/>
      <c r="AA74" s="109"/>
      <c r="AB74" s="109"/>
      <c r="AC74" s="109"/>
      <c r="AD74" s="109"/>
      <c r="AE74" s="109"/>
      <c r="AF74" s="109"/>
      <c r="AG74" s="109"/>
      <c r="AH74" s="109"/>
      <c r="AI74" s="109"/>
      <c r="AJ74" s="109"/>
      <c r="AK74" s="109"/>
      <c r="AL74" s="109"/>
    </row>
    <row r="75" spans="1:38" ht="12.75" customHeight="1" x14ac:dyDescent="0.25">
      <c r="B75" s="132"/>
      <c r="C75" s="132"/>
      <c r="D75" s="132"/>
      <c r="E75" s="191"/>
      <c r="F75" s="116"/>
      <c r="G75" s="116"/>
      <c r="H75" s="116"/>
      <c r="I75" s="116"/>
      <c r="J75" s="116"/>
      <c r="K75" s="116"/>
      <c r="L75" s="116"/>
      <c r="M75" s="116"/>
      <c r="N75" s="116"/>
      <c r="O75" s="116"/>
      <c r="P75" s="116"/>
      <c r="Q75" s="116"/>
      <c r="R75" s="116"/>
      <c r="S75" s="132"/>
      <c r="T75" s="142"/>
      <c r="U75" s="115"/>
    </row>
    <row r="76" spans="1:38" ht="12.75" customHeight="1" x14ac:dyDescent="0.25">
      <c r="B76" s="132"/>
      <c r="C76" s="132"/>
      <c r="D76" s="1377" t="str">
        <f>Translations!$B$631</f>
        <v>Component</v>
      </c>
      <c r="E76" s="1378"/>
      <c r="F76" s="633">
        <v>1</v>
      </c>
      <c r="G76" s="633">
        <v>2</v>
      </c>
      <c r="H76" s="633">
        <v>3</v>
      </c>
      <c r="I76" s="633">
        <v>4</v>
      </c>
      <c r="J76" s="633">
        <v>5</v>
      </c>
      <c r="K76" s="633">
        <v>6</v>
      </c>
      <c r="L76" s="633">
        <v>7</v>
      </c>
      <c r="M76" s="116"/>
      <c r="N76" s="116"/>
      <c r="O76" s="116"/>
      <c r="P76" s="116"/>
      <c r="Q76" s="116"/>
      <c r="R76" s="116"/>
      <c r="S76" s="132"/>
      <c r="T76" s="142"/>
      <c r="U76" s="115"/>
      <c r="V76" s="566" t="str">
        <f>Translations!$B$498</f>
        <v>Units:</v>
      </c>
      <c r="W76" s="561" t="str" cm="1">
        <f t="array" ref="W76">IFERROR(INDEX(_xlfn._xlws.FILTER(W80:W89,(W80:W89)&lt;&gt;"",""),1),W77)</f>
        <v/>
      </c>
      <c r="X76" s="561" t="str" cm="1">
        <f t="array" ref="X76">IFERROR(INDEX(_xlfn._xlws.FILTER(X80:X89,(X80:X89)&lt;&gt;"",""),1),X77)</f>
        <v/>
      </c>
      <c r="Y76" s="567"/>
      <c r="Z76" s="561" t="str" cm="1">
        <f t="array" ref="Z76">IFERROR(INDEX(_xlfn._xlws.FILTER(Z80:Z89,(Z80:Z89)&lt;&gt;"",""),1),Z77)</f>
        <v/>
      </c>
      <c r="AA76" s="567"/>
    </row>
    <row r="77" spans="1:38" ht="12.75" customHeight="1" x14ac:dyDescent="0.25">
      <c r="B77" s="132"/>
      <c r="C77" s="132"/>
      <c r="D77" s="1379"/>
      <c r="E77" s="1380"/>
      <c r="F77" s="1383" t="str">
        <f>Translations!$B$377</f>
        <v>RFA</v>
      </c>
      <c r="G77" s="1383" t="str">
        <f>Translations!$B$386</f>
        <v>UCF</v>
      </c>
      <c r="H77" s="1383" t="str">
        <f>Translations!$B$383</f>
        <v>EF</v>
      </c>
      <c r="I77" s="1383" t="str">
        <f>Translations!$B$632</f>
        <v>Zero-rated F</v>
      </c>
      <c r="J77" s="1385" t="str">
        <f>Translations!$B$652</f>
        <v>Energy or other</v>
      </c>
      <c r="K77" s="1385" t="str">
        <f>Translations!$B$522</f>
        <v>Emissions (fossil)</v>
      </c>
      <c r="L77" s="1385" t="str">
        <f>Translations!$B$634</f>
        <v>Emissions (bio)</v>
      </c>
      <c r="M77" s="116"/>
      <c r="N77" s="116"/>
      <c r="O77" s="116"/>
      <c r="P77" s="116"/>
      <c r="Q77" s="116"/>
      <c r="R77" s="116"/>
      <c r="S77" s="132"/>
      <c r="T77" s="142"/>
      <c r="U77" s="115"/>
      <c r="W77" s="561" t="str">
        <f t="array" ref="W77">IFERROR(INDEX(W80:W89,MATCH(TRUE,(W80:W89)&lt;&gt;"",0)),"")</f>
        <v/>
      </c>
      <c r="X77" s="561" t="str">
        <f t="array" ref="X77">IFERROR(INDEX(X80:X89,MATCH(TRUE,(X80:X89)&lt;&gt;"",0)),"")</f>
        <v/>
      </c>
      <c r="Y77" s="567"/>
      <c r="Z77" s="561" t="str">
        <f t="array" ref="Z77">IFERROR(INDEX(Z80:Z89,MATCH(TRUE,(Z80:Z89)&lt;&gt;"",0)),"")</f>
        <v/>
      </c>
      <c r="AA77" s="567"/>
    </row>
    <row r="78" spans="1:38" ht="12.75" customHeight="1" x14ac:dyDescent="0.3">
      <c r="B78" s="132"/>
      <c r="C78" s="132"/>
      <c r="D78" s="1379"/>
      <c r="E78" s="1380"/>
      <c r="F78" s="1384"/>
      <c r="G78" s="1384"/>
      <c r="H78" s="1384"/>
      <c r="I78" s="1384"/>
      <c r="J78" s="1386"/>
      <c r="K78" s="1386"/>
      <c r="L78" s="1386"/>
      <c r="M78" s="116"/>
      <c r="N78" s="634" t="str">
        <f>Translations!$B$635</f>
        <v>Result to be entered in sheet C</v>
      </c>
      <c r="O78" s="116"/>
      <c r="P78" s="116"/>
      <c r="Q78" s="116"/>
      <c r="R78" s="116"/>
      <c r="S78" s="132"/>
      <c r="T78" s="142"/>
      <c r="U78" s="115"/>
      <c r="W78" s="569" t="str">
        <f>Translations!$B$377</f>
        <v>RFA</v>
      </c>
      <c r="X78" s="569" t="str">
        <f>Translations!$B$386</f>
        <v>UCF</v>
      </c>
      <c r="Y78" s="569"/>
      <c r="Z78" s="569" t="str">
        <f>Translations!$B$383</f>
        <v>EF</v>
      </c>
      <c r="AA78" s="569"/>
      <c r="AB78" s="570"/>
      <c r="AC78" s="570"/>
      <c r="AH78" s="570"/>
      <c r="AI78" s="570"/>
      <c r="AJ78" s="570"/>
    </row>
    <row r="79" spans="1:38" ht="12.75" customHeight="1" x14ac:dyDescent="0.3">
      <c r="B79" s="132"/>
      <c r="C79" s="132"/>
      <c r="D79" s="1381"/>
      <c r="E79" s="1382"/>
      <c r="F79" s="635" t="str">
        <f>IF(COUNTA($E80:$E94)=0,"",$W76)</f>
        <v/>
      </c>
      <c r="G79" s="635" t="str">
        <f>IF(COUNTA($E80:$E94)=0,"",$X76)</f>
        <v/>
      </c>
      <c r="H79" s="635" t="str">
        <f>IF(COUNTA($E80:$E94)=0,"",$Z76)</f>
        <v/>
      </c>
      <c r="I79" s="636" t="s">
        <v>46</v>
      </c>
      <c r="J79" s="635" t="str">
        <f>IF(AE80=EUconst_NA,EUconst_GJ,AE80)</f>
        <v>GJ</v>
      </c>
      <c r="K79" s="637" t="s">
        <v>188</v>
      </c>
      <c r="L79" s="637" t="s">
        <v>188</v>
      </c>
      <c r="M79" s="116"/>
      <c r="N79" s="1387" t="str">
        <f>Translations!$B$636</f>
        <v>The results of this tool are the relevant (weighted average) values below. Each value has to be entered manually in sheet C for the respective fuel stream. Select fuel stream below for comparison.</v>
      </c>
      <c r="O79" s="1387"/>
      <c r="P79" s="1387"/>
      <c r="Q79" s="1387"/>
      <c r="R79" s="1387"/>
      <c r="S79" s="1387"/>
      <c r="T79" s="142"/>
      <c r="U79" s="115"/>
      <c r="W79" s="569" t="str">
        <f>EUconst_CNTR_ActivityData&amp;EUconst_Unit</f>
        <v>ActivityData_Unit</v>
      </c>
      <c r="X79" s="569" t="str">
        <f>EUconst_CNTR_UCF&amp;EUconst_Unit</f>
        <v>UCF_Unit</v>
      </c>
      <c r="Y79" s="569" t="str">
        <f>EUconst_CNTR_UCF&amp;EUconst_Value</f>
        <v>UCF_Value</v>
      </c>
      <c r="Z79" s="569" t="str">
        <f>EUconst_CNTR_EF&amp;EUconst_Unit</f>
        <v>EF_Unit</v>
      </c>
      <c r="AA79" s="569" t="str">
        <f>EUconst_CNTR_EF&amp;EUconst_Value</f>
        <v>EF_Value</v>
      </c>
      <c r="AB79" s="569" t="s">
        <v>189</v>
      </c>
      <c r="AC79" s="575"/>
      <c r="AD79" s="576" t="s">
        <v>147</v>
      </c>
      <c r="AE79" s="576" t="s">
        <v>151</v>
      </c>
      <c r="AF79" s="576" t="s">
        <v>153</v>
      </c>
      <c r="AG79" s="576" t="s">
        <v>155</v>
      </c>
      <c r="AH79" s="575"/>
      <c r="AI79" s="575"/>
      <c r="AJ79" s="575" t="s">
        <v>190</v>
      </c>
      <c r="AK79" s="575" t="s">
        <v>191</v>
      </c>
      <c r="AL79" s="575" t="s">
        <v>192</v>
      </c>
    </row>
    <row r="80" spans="1:38" ht="12.75" customHeight="1" x14ac:dyDescent="0.25">
      <c r="B80" s="132"/>
      <c r="C80" s="132"/>
      <c r="D80" s="1388" t="str">
        <f>Translations!$B$637</f>
        <v>Default compontents provided by the CA</v>
      </c>
      <c r="E80" s="42"/>
      <c r="F80" s="45"/>
      <c r="G80" s="639" t="str">
        <f>IF($E80="","",Y80)</f>
        <v/>
      </c>
      <c r="H80" s="639" t="str">
        <f>IF($E80="","",AA80)</f>
        <v/>
      </c>
      <c r="I80" s="46"/>
      <c r="J80" s="640" t="str">
        <f t="shared" ref="J80:J94" si="4">IFERROR(IF(E80="","",AL80),EUconst_ERR_Inconsistent)</f>
        <v/>
      </c>
      <c r="K80" s="640" t="str">
        <f t="shared" ref="K80:K94" si="5">IFERROR(IF(E80="","",AJ80),EUconst_ERR_Inconsistent)</f>
        <v/>
      </c>
      <c r="L80" s="640" t="str">
        <f t="shared" ref="L80:L94" si="6">IFERROR(IF(E80="","",AK80),EUconst_ERR_Inconsistent)</f>
        <v/>
      </c>
      <c r="M80" s="1389"/>
      <c r="N80" s="1387"/>
      <c r="O80" s="1387"/>
      <c r="P80" s="1387"/>
      <c r="Q80" s="1387"/>
      <c r="R80" s="1387"/>
      <c r="S80" s="1387"/>
      <c r="T80" s="142"/>
      <c r="U80" s="115"/>
      <c r="W80" s="561" t="str">
        <f t="shared" ref="W80:AA89" si="7">IF($E80="","",INDEX(MSPara_CalcFactorsMatrix,MATCH($E80,MSPara_SourceStreamCategory,0),MATCH(W$20&amp;"_"&amp;2,MSPara_CalcFactors,0)))</f>
        <v/>
      </c>
      <c r="X80" s="561" t="str">
        <f t="shared" si="7"/>
        <v/>
      </c>
      <c r="Y80" s="561" t="str">
        <f t="shared" si="7"/>
        <v/>
      </c>
      <c r="Z80" s="561" t="str">
        <f t="shared" si="7"/>
        <v/>
      </c>
      <c r="AA80" s="561" t="str">
        <f t="shared" si="7"/>
        <v/>
      </c>
      <c r="AB80" s="561" t="str">
        <f>IF(E80="","",OR(W80&lt;&gt;W76,X80&lt;&gt;X76,Z80&lt;&gt;Z76))</f>
        <v/>
      </c>
      <c r="AC80" s="567"/>
      <c r="AD80" s="561" t="str">
        <f>W80</f>
        <v/>
      </c>
      <c r="AE80" s="561" t="str">
        <f>IF(X80="",EUconst_NA,IF(AD80=EUconst_TJ,EUconst_TJ,INDEX(EUwideConstants!$C$135:$G$139,MATCH(AD80,RFAUnits,0),MATCH(X80,UCFUnits,0))))</f>
        <v>n.a.</v>
      </c>
      <c r="AF80" s="561" t="str">
        <f>IF(COUNTIF(RFAUnits,AD80)=0,EUconst_NA,INDEX(EUwideConstants!$C$150:$H$154,MATCH(Z80,EFUnits,0),MATCH(AD80,EUwideConstants!$C$149:$H$149,0)))</f>
        <v>n.a.</v>
      </c>
      <c r="AG80" s="561" t="str">
        <f>IF(AE80=EUconst_NA,EUconst_NA,INDEX(EUwideConstants!$C$150:$H$154,MATCH(Z80,EFUnits,0),MATCH(AE80,EUwideConstants!$C$149:$H$149,0)))</f>
        <v>n.a.</v>
      </c>
      <c r="AH80" s="561" t="b">
        <f t="shared" ref="AH80" si="8">AF80&lt;&gt;EUconst_NA</f>
        <v>0</v>
      </c>
      <c r="AI80" s="561" t="b">
        <f t="shared" ref="AI80" si="9">AG80&lt;&gt;EUconst_NA</f>
        <v>0</v>
      </c>
      <c r="AJ80" s="582" t="str">
        <f>IF(OR(E80="",COUNTIF(AH80:AI80,TRUE)=0),"",F80*IF(AH80,1,G80*AG80)*H80*(1-I80))</f>
        <v/>
      </c>
      <c r="AK80" s="582" t="str">
        <f>IF(OR(E80="",COUNTIF(AH80:AI80,TRUE)=0),"",F80*IF(AH80,1,G80*AG80)*H80*I80)</f>
        <v/>
      </c>
      <c r="AL80" s="582" t="str">
        <f t="shared" ref="AL80:AL94" si="10">IF(E80="","",IF(W80=EUconst_TJ,F80,F80*G80))</f>
        <v/>
      </c>
    </row>
    <row r="81" spans="2:38" ht="12.75" customHeight="1" x14ac:dyDescent="0.25">
      <c r="B81" s="132"/>
      <c r="C81" s="132"/>
      <c r="D81" s="1388"/>
      <c r="E81" s="43"/>
      <c r="F81" s="47"/>
      <c r="G81" s="641" t="str">
        <f t="shared" ref="G81:G89" si="11">IF($E81="","",Y81)</f>
        <v/>
      </c>
      <c r="H81" s="641" t="str">
        <f t="shared" ref="H81:H89" si="12">IF($E81="","",AA81)</f>
        <v/>
      </c>
      <c r="I81" s="48"/>
      <c r="J81" s="642" t="str">
        <f t="shared" si="4"/>
        <v/>
      </c>
      <c r="K81" s="642" t="str">
        <f t="shared" si="5"/>
        <v/>
      </c>
      <c r="L81" s="642" t="str">
        <f t="shared" si="6"/>
        <v/>
      </c>
      <c r="M81" s="1389"/>
      <c r="N81" s="638"/>
      <c r="O81" s="643" t="str">
        <f>Translations!$B$639</f>
        <v>Fuel stream:</v>
      </c>
      <c r="P81" s="1390"/>
      <c r="Q81" s="1391"/>
      <c r="R81" s="1391"/>
      <c r="S81" s="1392"/>
      <c r="T81" s="142"/>
      <c r="U81" s="115"/>
      <c r="W81" s="561" t="str">
        <f t="shared" si="7"/>
        <v/>
      </c>
      <c r="X81" s="561" t="str">
        <f t="shared" si="7"/>
        <v/>
      </c>
      <c r="Y81" s="561" t="str">
        <f t="shared" si="7"/>
        <v/>
      </c>
      <c r="Z81" s="561" t="str">
        <f t="shared" si="7"/>
        <v/>
      </c>
      <c r="AA81" s="561" t="str">
        <f t="shared" si="7"/>
        <v/>
      </c>
      <c r="AB81" s="561" t="str">
        <f>IF(E81="","",OR(W81&lt;&gt;W76,X81&lt;&gt;X76,Z81&lt;&gt;Z76))</f>
        <v/>
      </c>
      <c r="AC81" s="567"/>
      <c r="AD81" s="561" t="str">
        <f>AD80</f>
        <v/>
      </c>
      <c r="AE81" s="561" t="str">
        <f t="shared" ref="AE81:AE94" si="13">AE80</f>
        <v>n.a.</v>
      </c>
      <c r="AF81" s="561" t="str">
        <f t="shared" ref="AF81:AF94" si="14">AF80</f>
        <v>n.a.</v>
      </c>
      <c r="AG81" s="561" t="str">
        <f t="shared" ref="AG81:AG94" si="15">AG80</f>
        <v>n.a.</v>
      </c>
      <c r="AH81" s="561" t="b">
        <f t="shared" ref="AH81:AH94" si="16">AH80</f>
        <v>0</v>
      </c>
      <c r="AI81" s="561" t="b">
        <f t="shared" ref="AI81:AI94" si="17">AI80</f>
        <v>0</v>
      </c>
      <c r="AJ81" s="582" t="str">
        <f t="shared" ref="AJ81:AJ94" si="18">IF(OR(E81="",COUNTIF(AH81:AI81,TRUE)=0),"",F81*IF(AH81,1,G81*AG81)*H81*(1-I81))</f>
        <v/>
      </c>
      <c r="AK81" s="582" t="str">
        <f t="shared" ref="AK81:AK94" si="19">IF(OR(E81="",COUNTIF(AH81:AI81,TRUE)=0),"",F81*IF(AH81,1,G81*AG81)*H81*I81)</f>
        <v/>
      </c>
      <c r="AL81" s="582" t="str">
        <f t="shared" si="10"/>
        <v/>
      </c>
    </row>
    <row r="82" spans="2:38" ht="12.75" customHeight="1" x14ac:dyDescent="0.25">
      <c r="B82" s="132"/>
      <c r="C82" s="132"/>
      <c r="D82" s="1388"/>
      <c r="E82" s="43"/>
      <c r="F82" s="47"/>
      <c r="G82" s="641" t="str">
        <f t="shared" si="11"/>
        <v/>
      </c>
      <c r="H82" s="641" t="str">
        <f t="shared" si="12"/>
        <v/>
      </c>
      <c r="I82" s="48"/>
      <c r="J82" s="642" t="str">
        <f t="shared" si="4"/>
        <v/>
      </c>
      <c r="K82" s="642" t="str">
        <f t="shared" si="5"/>
        <v/>
      </c>
      <c r="L82" s="642" t="str">
        <f t="shared" si="6"/>
        <v/>
      </c>
      <c r="M82" s="1389"/>
      <c r="N82" s="116"/>
      <c r="O82" s="116"/>
      <c r="P82" s="116"/>
      <c r="Q82" s="116"/>
      <c r="R82" s="116"/>
      <c r="S82" s="132"/>
      <c r="T82" s="142"/>
      <c r="U82" s="115"/>
      <c r="W82" s="561" t="str">
        <f t="shared" si="7"/>
        <v/>
      </c>
      <c r="X82" s="561" t="str">
        <f t="shared" si="7"/>
        <v/>
      </c>
      <c r="Y82" s="561" t="str">
        <f t="shared" si="7"/>
        <v/>
      </c>
      <c r="Z82" s="561" t="str">
        <f t="shared" si="7"/>
        <v/>
      </c>
      <c r="AA82" s="561" t="str">
        <f t="shared" si="7"/>
        <v/>
      </c>
      <c r="AB82" s="561" t="str">
        <f>IF(E82="","",OR(W82&lt;&gt;W76,X82&lt;&gt;X76,Z82&lt;&gt;Z76))</f>
        <v/>
      </c>
      <c r="AC82" s="567"/>
      <c r="AD82" s="561" t="str">
        <f t="shared" ref="AD82:AD94" si="20">AD81</f>
        <v/>
      </c>
      <c r="AE82" s="561" t="str">
        <f t="shared" si="13"/>
        <v>n.a.</v>
      </c>
      <c r="AF82" s="561" t="str">
        <f t="shared" si="14"/>
        <v>n.a.</v>
      </c>
      <c r="AG82" s="561" t="str">
        <f t="shared" si="15"/>
        <v>n.a.</v>
      </c>
      <c r="AH82" s="561" t="b">
        <f t="shared" si="16"/>
        <v>0</v>
      </c>
      <c r="AI82" s="561" t="b">
        <f t="shared" si="17"/>
        <v>0</v>
      </c>
      <c r="AJ82" s="582" t="str">
        <f t="shared" si="18"/>
        <v/>
      </c>
      <c r="AK82" s="582" t="str">
        <f t="shared" si="19"/>
        <v/>
      </c>
      <c r="AL82" s="582" t="str">
        <f t="shared" si="10"/>
        <v/>
      </c>
    </row>
    <row r="83" spans="2:38" ht="12.75" customHeight="1" thickBot="1" x14ac:dyDescent="0.35">
      <c r="B83" s="132"/>
      <c r="C83" s="132"/>
      <c r="D83" s="1388"/>
      <c r="E83" s="43"/>
      <c r="F83" s="47"/>
      <c r="G83" s="641" t="str">
        <f t="shared" si="11"/>
        <v/>
      </c>
      <c r="H83" s="641" t="str">
        <f t="shared" si="12"/>
        <v/>
      </c>
      <c r="I83" s="48"/>
      <c r="J83" s="642" t="str">
        <f t="shared" si="4"/>
        <v/>
      </c>
      <c r="K83" s="642" t="str">
        <f t="shared" si="5"/>
        <v/>
      </c>
      <c r="L83" s="642" t="str">
        <f t="shared" si="6"/>
        <v/>
      </c>
      <c r="M83" s="1389"/>
      <c r="N83" s="1255" t="str">
        <f>Translations!$B$394</f>
        <v>Unit</v>
      </c>
      <c r="O83" s="1255"/>
      <c r="P83" s="1255" t="str">
        <f>Translations!$B$395</f>
        <v>Value</v>
      </c>
      <c r="Q83" s="1255"/>
      <c r="R83" s="116"/>
      <c r="S83" s="644" t="str">
        <f>Translations!$B$642</f>
        <v>Sheet C values</v>
      </c>
      <c r="T83" s="142"/>
      <c r="U83" s="115"/>
      <c r="W83" s="561" t="str">
        <f t="shared" si="7"/>
        <v/>
      </c>
      <c r="X83" s="561" t="str">
        <f t="shared" si="7"/>
        <v/>
      </c>
      <c r="Y83" s="561" t="str">
        <f t="shared" si="7"/>
        <v/>
      </c>
      <c r="Z83" s="561" t="str">
        <f t="shared" si="7"/>
        <v/>
      </c>
      <c r="AA83" s="561" t="str">
        <f t="shared" si="7"/>
        <v/>
      </c>
      <c r="AB83" s="561" t="str">
        <f>IF(E83="","",OR(W83&lt;&gt;W76,X83&lt;&gt;X76,Z83&lt;&gt;Z76))</f>
        <v/>
      </c>
      <c r="AC83" s="567"/>
      <c r="AD83" s="561" t="str">
        <f t="shared" si="20"/>
        <v/>
      </c>
      <c r="AE83" s="561" t="str">
        <f t="shared" si="13"/>
        <v>n.a.</v>
      </c>
      <c r="AF83" s="561" t="str">
        <f t="shared" si="14"/>
        <v>n.a.</v>
      </c>
      <c r="AG83" s="561" t="str">
        <f t="shared" si="15"/>
        <v>n.a.</v>
      </c>
      <c r="AH83" s="561" t="b">
        <f t="shared" si="16"/>
        <v>0</v>
      </c>
      <c r="AI83" s="561" t="b">
        <f t="shared" si="17"/>
        <v>0</v>
      </c>
      <c r="AJ83" s="582" t="str">
        <f t="shared" si="18"/>
        <v/>
      </c>
      <c r="AK83" s="582" t="str">
        <f t="shared" si="19"/>
        <v/>
      </c>
      <c r="AL83" s="582" t="str">
        <f t="shared" si="10"/>
        <v/>
      </c>
    </row>
    <row r="84" spans="2:38" ht="12.75" customHeight="1" thickBot="1" x14ac:dyDescent="0.3">
      <c r="B84" s="132"/>
      <c r="C84" s="132"/>
      <c r="D84" s="1388"/>
      <c r="E84" s="43"/>
      <c r="F84" s="47"/>
      <c r="G84" s="641" t="str">
        <f t="shared" si="11"/>
        <v/>
      </c>
      <c r="H84" s="641" t="str">
        <f t="shared" si="12"/>
        <v/>
      </c>
      <c r="I84" s="48"/>
      <c r="J84" s="642" t="str">
        <f t="shared" si="4"/>
        <v/>
      </c>
      <c r="K84" s="642" t="str">
        <f t="shared" si="5"/>
        <v/>
      </c>
      <c r="L84" s="642" t="str">
        <f t="shared" si="6"/>
        <v/>
      </c>
      <c r="M84" s="116"/>
      <c r="N84" s="346" t="str">
        <f>F79</f>
        <v/>
      </c>
      <c r="O84" s="7"/>
      <c r="P84" s="1393" t="str">
        <f>IF(F95="","",F95)</f>
        <v/>
      </c>
      <c r="Q84" s="1394"/>
      <c r="R84" s="116"/>
      <c r="S84" s="645" t="str">
        <f>IF(P81="","",SUMIFS(C_FuelStreams!BK:BK,C_FuelStreams!BI:BI,P81))</f>
        <v/>
      </c>
      <c r="T84" s="142"/>
      <c r="U84" s="115"/>
      <c r="W84" s="561" t="str">
        <f t="shared" si="7"/>
        <v/>
      </c>
      <c r="X84" s="561" t="str">
        <f t="shared" si="7"/>
        <v/>
      </c>
      <c r="Y84" s="561" t="str">
        <f t="shared" si="7"/>
        <v/>
      </c>
      <c r="Z84" s="561" t="str">
        <f t="shared" si="7"/>
        <v/>
      </c>
      <c r="AA84" s="561" t="str">
        <f t="shared" si="7"/>
        <v/>
      </c>
      <c r="AB84" s="561" t="str">
        <f>IF(E84="","",OR(W84&lt;&gt;W76,X84&lt;&gt;X76,Z84&lt;&gt;Z76))</f>
        <v/>
      </c>
      <c r="AC84" s="567"/>
      <c r="AD84" s="561" t="str">
        <f t="shared" si="20"/>
        <v/>
      </c>
      <c r="AE84" s="561" t="str">
        <f t="shared" si="13"/>
        <v>n.a.</v>
      </c>
      <c r="AF84" s="561" t="str">
        <f t="shared" si="14"/>
        <v>n.a.</v>
      </c>
      <c r="AG84" s="561" t="str">
        <f t="shared" si="15"/>
        <v>n.a.</v>
      </c>
      <c r="AH84" s="561" t="b">
        <f t="shared" si="16"/>
        <v>0</v>
      </c>
      <c r="AI84" s="561" t="b">
        <f t="shared" si="17"/>
        <v>0</v>
      </c>
      <c r="AJ84" s="582" t="str">
        <f t="shared" si="18"/>
        <v/>
      </c>
      <c r="AK84" s="582" t="str">
        <f t="shared" si="19"/>
        <v/>
      </c>
      <c r="AL84" s="582" t="str">
        <f t="shared" si="10"/>
        <v/>
      </c>
    </row>
    <row r="85" spans="2:38" ht="12.75" customHeight="1" thickBot="1" x14ac:dyDescent="0.3">
      <c r="B85" s="132"/>
      <c r="C85" s="132"/>
      <c r="D85" s="1388"/>
      <c r="E85" s="43"/>
      <c r="F85" s="47"/>
      <c r="G85" s="641" t="str">
        <f t="shared" si="11"/>
        <v/>
      </c>
      <c r="H85" s="641" t="str">
        <f t="shared" si="12"/>
        <v/>
      </c>
      <c r="I85" s="48"/>
      <c r="J85" s="642" t="str">
        <f t="shared" si="4"/>
        <v/>
      </c>
      <c r="K85" s="642" t="str">
        <f t="shared" si="5"/>
        <v/>
      </c>
      <c r="L85" s="642" t="str">
        <f t="shared" si="6"/>
        <v/>
      </c>
      <c r="M85" s="116"/>
      <c r="N85" s="162"/>
      <c r="O85" s="162"/>
      <c r="P85" s="76"/>
      <c r="Q85" s="76"/>
      <c r="R85" s="116"/>
      <c r="S85" s="996"/>
      <c r="T85" s="142"/>
      <c r="U85" s="115"/>
      <c r="W85" s="561" t="str">
        <f t="shared" si="7"/>
        <v/>
      </c>
      <c r="X85" s="561" t="str">
        <f t="shared" si="7"/>
        <v/>
      </c>
      <c r="Y85" s="561" t="str">
        <f t="shared" si="7"/>
        <v/>
      </c>
      <c r="Z85" s="561" t="str">
        <f t="shared" si="7"/>
        <v/>
      </c>
      <c r="AA85" s="561" t="str">
        <f t="shared" si="7"/>
        <v/>
      </c>
      <c r="AB85" s="561" t="str">
        <f>IF(E85="","",OR(W85&lt;&gt;W76,X85&lt;&gt;X76,Z85&lt;&gt;Z76))</f>
        <v/>
      </c>
      <c r="AC85" s="567"/>
      <c r="AD85" s="561" t="str">
        <f t="shared" si="20"/>
        <v/>
      </c>
      <c r="AE85" s="561" t="str">
        <f t="shared" si="13"/>
        <v>n.a.</v>
      </c>
      <c r="AF85" s="561" t="str">
        <f t="shared" si="14"/>
        <v>n.a.</v>
      </c>
      <c r="AG85" s="561" t="str">
        <f t="shared" si="15"/>
        <v>n.a.</v>
      </c>
      <c r="AH85" s="561" t="b">
        <f t="shared" si="16"/>
        <v>0</v>
      </c>
      <c r="AI85" s="561" t="b">
        <f t="shared" si="17"/>
        <v>0</v>
      </c>
      <c r="AJ85" s="582" t="str">
        <f t="shared" si="18"/>
        <v/>
      </c>
      <c r="AK85" s="582" t="str">
        <f t="shared" si="19"/>
        <v/>
      </c>
      <c r="AL85" s="582" t="str">
        <f t="shared" si="10"/>
        <v/>
      </c>
    </row>
    <row r="86" spans="2:38" ht="12.75" customHeight="1" x14ac:dyDescent="0.25">
      <c r="B86" s="132"/>
      <c r="C86" s="132"/>
      <c r="D86" s="1388"/>
      <c r="E86" s="43"/>
      <c r="F86" s="47"/>
      <c r="G86" s="641" t="str">
        <f t="shared" si="11"/>
        <v/>
      </c>
      <c r="H86" s="641" t="str">
        <f t="shared" si="12"/>
        <v/>
      </c>
      <c r="I86" s="48"/>
      <c r="J86" s="642" t="str">
        <f t="shared" si="4"/>
        <v/>
      </c>
      <c r="K86" s="642" t="str">
        <f t="shared" si="5"/>
        <v/>
      </c>
      <c r="L86" s="642" t="str">
        <f t="shared" si="6"/>
        <v/>
      </c>
      <c r="M86" s="116"/>
      <c r="N86" s="365" t="str">
        <f>G79</f>
        <v/>
      </c>
      <c r="O86" s="11"/>
      <c r="P86" s="366"/>
      <c r="Q86" s="646" t="str">
        <f>IF(G95="","",G95)</f>
        <v/>
      </c>
      <c r="R86" s="116"/>
      <c r="S86" s="647" t="str">
        <f>IF(P81="","",SUMIFS(C_FuelStreams!BU:BU,C_FuelStreams!BI:BI,P81))</f>
        <v/>
      </c>
      <c r="T86" s="142"/>
      <c r="U86" s="115"/>
      <c r="W86" s="561" t="str">
        <f t="shared" si="7"/>
        <v/>
      </c>
      <c r="X86" s="561" t="str">
        <f t="shared" si="7"/>
        <v/>
      </c>
      <c r="Y86" s="561" t="str">
        <f t="shared" si="7"/>
        <v/>
      </c>
      <c r="Z86" s="561" t="str">
        <f t="shared" si="7"/>
        <v/>
      </c>
      <c r="AA86" s="561" t="str">
        <f t="shared" si="7"/>
        <v/>
      </c>
      <c r="AB86" s="561" t="str">
        <f>IF(E86="","",OR(W86&lt;&gt;W76,X86&lt;&gt;X76,Z86&lt;&gt;Z76))</f>
        <v/>
      </c>
      <c r="AC86" s="567"/>
      <c r="AD86" s="561" t="str">
        <f t="shared" si="20"/>
        <v/>
      </c>
      <c r="AE86" s="561" t="str">
        <f t="shared" si="13"/>
        <v>n.a.</v>
      </c>
      <c r="AF86" s="561" t="str">
        <f t="shared" si="14"/>
        <v>n.a.</v>
      </c>
      <c r="AG86" s="561" t="str">
        <f t="shared" si="15"/>
        <v>n.a.</v>
      </c>
      <c r="AH86" s="561" t="b">
        <f t="shared" si="16"/>
        <v>0</v>
      </c>
      <c r="AI86" s="561" t="b">
        <f t="shared" si="17"/>
        <v>0</v>
      </c>
      <c r="AJ86" s="582" t="str">
        <f t="shared" si="18"/>
        <v/>
      </c>
      <c r="AK86" s="582" t="str">
        <f t="shared" si="19"/>
        <v/>
      </c>
      <c r="AL86" s="582" t="str">
        <f t="shared" si="10"/>
        <v/>
      </c>
    </row>
    <row r="87" spans="2:38" ht="12.75" customHeight="1" thickBot="1" x14ac:dyDescent="0.3">
      <c r="B87" s="132"/>
      <c r="C87" s="132"/>
      <c r="D87" s="1388"/>
      <c r="E87" s="43"/>
      <c r="F87" s="47"/>
      <c r="G87" s="641" t="str">
        <f t="shared" si="11"/>
        <v/>
      </c>
      <c r="H87" s="641" t="str">
        <f t="shared" si="12"/>
        <v/>
      </c>
      <c r="I87" s="48"/>
      <c r="J87" s="642" t="str">
        <f t="shared" si="4"/>
        <v/>
      </c>
      <c r="K87" s="642" t="str">
        <f t="shared" si="5"/>
        <v/>
      </c>
      <c r="L87" s="642" t="str">
        <f t="shared" si="6"/>
        <v/>
      </c>
      <c r="M87" s="116"/>
      <c r="N87" s="648" t="str">
        <f>H79</f>
        <v/>
      </c>
      <c r="O87" s="22"/>
      <c r="P87" s="649"/>
      <c r="Q87" s="650" t="str">
        <f>IF(H95="","",H95)</f>
        <v/>
      </c>
      <c r="R87" s="116"/>
      <c r="S87" s="651" t="str">
        <f>IF(P81="","",SUMIFS(C_FuelStreams!BR:BR,C_FuelStreams!BI:BI,P81))</f>
        <v/>
      </c>
      <c r="T87" s="142"/>
      <c r="U87" s="115"/>
      <c r="W87" s="561" t="str">
        <f t="shared" si="7"/>
        <v/>
      </c>
      <c r="X87" s="561" t="str">
        <f t="shared" si="7"/>
        <v/>
      </c>
      <c r="Y87" s="561" t="str">
        <f t="shared" si="7"/>
        <v/>
      </c>
      <c r="Z87" s="561" t="str">
        <f t="shared" si="7"/>
        <v/>
      </c>
      <c r="AA87" s="561" t="str">
        <f t="shared" si="7"/>
        <v/>
      </c>
      <c r="AB87" s="561" t="str">
        <f>IF(E87="","",OR(W87&lt;&gt;W76,X87&lt;&gt;X76,Z87&lt;&gt;Z76))</f>
        <v/>
      </c>
      <c r="AC87" s="567"/>
      <c r="AD87" s="561" t="str">
        <f t="shared" si="20"/>
        <v/>
      </c>
      <c r="AE87" s="561" t="str">
        <f t="shared" si="13"/>
        <v>n.a.</v>
      </c>
      <c r="AF87" s="561" t="str">
        <f t="shared" si="14"/>
        <v>n.a.</v>
      </c>
      <c r="AG87" s="561" t="str">
        <f t="shared" si="15"/>
        <v>n.a.</v>
      </c>
      <c r="AH87" s="561" t="b">
        <f t="shared" si="16"/>
        <v>0</v>
      </c>
      <c r="AI87" s="561" t="b">
        <f t="shared" si="17"/>
        <v>0</v>
      </c>
      <c r="AJ87" s="582" t="str">
        <f t="shared" si="18"/>
        <v/>
      </c>
      <c r="AK87" s="582" t="str">
        <f t="shared" si="19"/>
        <v/>
      </c>
      <c r="AL87" s="582" t="str">
        <f t="shared" si="10"/>
        <v/>
      </c>
    </row>
    <row r="88" spans="2:38" ht="12.75" customHeight="1" x14ac:dyDescent="0.25">
      <c r="B88" s="132"/>
      <c r="C88" s="132"/>
      <c r="D88" s="1388"/>
      <c r="E88" s="43"/>
      <c r="F88" s="47"/>
      <c r="G88" s="641" t="str">
        <f t="shared" si="11"/>
        <v/>
      </c>
      <c r="H88" s="641" t="str">
        <f t="shared" si="12"/>
        <v/>
      </c>
      <c r="I88" s="48"/>
      <c r="J88" s="642" t="str">
        <f t="shared" si="4"/>
        <v/>
      </c>
      <c r="K88" s="642" t="str">
        <f t="shared" si="5"/>
        <v/>
      </c>
      <c r="L88" s="642" t="str">
        <f t="shared" si="6"/>
        <v/>
      </c>
      <c r="M88" s="116"/>
      <c r="N88" s="652" t="s">
        <v>46</v>
      </c>
      <c r="O88" s="411"/>
      <c r="P88" s="653"/>
      <c r="Q88" s="654" t="str">
        <f>IF(I95="","",I95)</f>
        <v/>
      </c>
      <c r="R88" s="116"/>
      <c r="S88" s="655" t="str">
        <f>IF(P81="","",SUMIFS(C_FuelStreams!BX:BX,C_FuelStreams!BI:BI,P81))</f>
        <v/>
      </c>
      <c r="T88" s="142"/>
      <c r="U88" s="115"/>
      <c r="W88" s="561" t="str">
        <f t="shared" si="7"/>
        <v/>
      </c>
      <c r="X88" s="561" t="str">
        <f t="shared" si="7"/>
        <v/>
      </c>
      <c r="Y88" s="561" t="str">
        <f t="shared" si="7"/>
        <v/>
      </c>
      <c r="Z88" s="561" t="str">
        <f t="shared" si="7"/>
        <v/>
      </c>
      <c r="AA88" s="561" t="str">
        <f t="shared" si="7"/>
        <v/>
      </c>
      <c r="AB88" s="561" t="str">
        <f>IF(E88="","",OR(W88&lt;&gt;W76,X88&lt;&gt;X76,Z88&lt;&gt;Z76))</f>
        <v/>
      </c>
      <c r="AC88" s="567"/>
      <c r="AD88" s="561" t="str">
        <f t="shared" si="20"/>
        <v/>
      </c>
      <c r="AE88" s="561" t="str">
        <f t="shared" si="13"/>
        <v>n.a.</v>
      </c>
      <c r="AF88" s="561" t="str">
        <f t="shared" si="14"/>
        <v>n.a.</v>
      </c>
      <c r="AG88" s="561" t="str">
        <f t="shared" si="15"/>
        <v>n.a.</v>
      </c>
      <c r="AH88" s="561" t="b">
        <f t="shared" si="16"/>
        <v>0</v>
      </c>
      <c r="AI88" s="561" t="b">
        <f t="shared" si="17"/>
        <v>0</v>
      </c>
      <c r="AJ88" s="582" t="str">
        <f t="shared" si="18"/>
        <v/>
      </c>
      <c r="AK88" s="582" t="str">
        <f t="shared" si="19"/>
        <v/>
      </c>
      <c r="AL88" s="582" t="str">
        <f t="shared" si="10"/>
        <v/>
      </c>
    </row>
    <row r="89" spans="2:38" ht="12.75" customHeight="1" x14ac:dyDescent="0.25">
      <c r="B89" s="132"/>
      <c r="C89" s="132"/>
      <c r="D89" s="1388"/>
      <c r="E89" s="43"/>
      <c r="F89" s="47"/>
      <c r="G89" s="641" t="str">
        <f t="shared" si="11"/>
        <v/>
      </c>
      <c r="H89" s="641" t="str">
        <f t="shared" si="12"/>
        <v/>
      </c>
      <c r="I89" s="48"/>
      <c r="J89" s="642" t="str">
        <f t="shared" si="4"/>
        <v/>
      </c>
      <c r="K89" s="642" t="str">
        <f t="shared" si="5"/>
        <v/>
      </c>
      <c r="L89" s="642" t="str">
        <f t="shared" si="6"/>
        <v/>
      </c>
      <c r="M89" s="1395"/>
      <c r="N89" s="116"/>
      <c r="O89" s="116"/>
      <c r="P89" s="116"/>
      <c r="Q89" s="116"/>
      <c r="R89" s="116"/>
      <c r="S89" s="132"/>
      <c r="T89" s="142"/>
      <c r="U89" s="115"/>
      <c r="W89" s="561" t="str">
        <f t="shared" si="7"/>
        <v/>
      </c>
      <c r="X89" s="561" t="str">
        <f t="shared" si="7"/>
        <v/>
      </c>
      <c r="Y89" s="561" t="str">
        <f t="shared" si="7"/>
        <v/>
      </c>
      <c r="Z89" s="561" t="str">
        <f t="shared" si="7"/>
        <v/>
      </c>
      <c r="AA89" s="561" t="str">
        <f t="shared" si="7"/>
        <v/>
      </c>
      <c r="AB89" s="561" t="str">
        <f>IF(E89="","",OR(W89&lt;&gt;W76,X89&lt;&gt;X76,Z89&lt;&gt;Z76))</f>
        <v/>
      </c>
      <c r="AC89" s="567"/>
      <c r="AD89" s="561" t="str">
        <f t="shared" si="20"/>
        <v/>
      </c>
      <c r="AE89" s="561" t="str">
        <f t="shared" si="13"/>
        <v>n.a.</v>
      </c>
      <c r="AF89" s="561" t="str">
        <f t="shared" si="14"/>
        <v>n.a.</v>
      </c>
      <c r="AG89" s="561" t="str">
        <f t="shared" si="15"/>
        <v>n.a.</v>
      </c>
      <c r="AH89" s="561" t="b">
        <f t="shared" si="16"/>
        <v>0</v>
      </c>
      <c r="AI89" s="561" t="b">
        <f t="shared" si="17"/>
        <v>0</v>
      </c>
      <c r="AJ89" s="582" t="str">
        <f t="shared" si="18"/>
        <v/>
      </c>
      <c r="AK89" s="582" t="str">
        <f t="shared" si="19"/>
        <v/>
      </c>
      <c r="AL89" s="582" t="str">
        <f t="shared" si="10"/>
        <v/>
      </c>
    </row>
    <row r="90" spans="2:38" ht="12.75" customHeight="1" x14ac:dyDescent="0.25">
      <c r="B90" s="132"/>
      <c r="C90" s="132"/>
      <c r="D90" s="1388" t="str">
        <f>Translations!$B$643</f>
        <v>Customised components</v>
      </c>
      <c r="E90" s="42"/>
      <c r="F90" s="45"/>
      <c r="G90" s="49"/>
      <c r="H90" s="49"/>
      <c r="I90" s="46"/>
      <c r="J90" s="640" t="str">
        <f t="shared" si="4"/>
        <v/>
      </c>
      <c r="K90" s="640" t="str">
        <f t="shared" si="5"/>
        <v/>
      </c>
      <c r="L90" s="640" t="str">
        <f t="shared" si="6"/>
        <v/>
      </c>
      <c r="M90" s="1395"/>
      <c r="N90" s="116"/>
      <c r="O90" s="116"/>
      <c r="P90" s="656" t="str">
        <f>Translations!$B$644</f>
        <v>CO2 fossil (before scope factor):</v>
      </c>
      <c r="Q90" s="997" t="str">
        <f>IF(K95="","",K95)</f>
        <v/>
      </c>
      <c r="R90" s="656"/>
      <c r="S90" s="997" t="str">
        <f>IF(P81="","",IF(W90=0,0,SUMIFS(C_FuelStreams!CE:CE,C_FuelStreams!BI:BI,P81)/W90))</f>
        <v/>
      </c>
      <c r="T90" s="142"/>
      <c r="U90" s="115"/>
      <c r="V90" s="110" t="str">
        <f>Translations!$B$398</f>
        <v>Scope factor:</v>
      </c>
      <c r="W90" s="617" t="str">
        <f>IF(P81="","",SUMIFS(C_FuelStreams!BP:BP,C_FuelStreams!BI:BI,P81))</f>
        <v/>
      </c>
      <c r="AD90" s="561" t="str">
        <f t="shared" si="20"/>
        <v/>
      </c>
      <c r="AE90" s="561" t="str">
        <f t="shared" si="13"/>
        <v>n.a.</v>
      </c>
      <c r="AF90" s="561" t="str">
        <f t="shared" si="14"/>
        <v>n.a.</v>
      </c>
      <c r="AG90" s="561" t="str">
        <f t="shared" si="15"/>
        <v>n.a.</v>
      </c>
      <c r="AH90" s="561" t="b">
        <f t="shared" si="16"/>
        <v>0</v>
      </c>
      <c r="AI90" s="561" t="b">
        <f t="shared" si="17"/>
        <v>0</v>
      </c>
      <c r="AJ90" s="582" t="str">
        <f t="shared" si="18"/>
        <v/>
      </c>
      <c r="AK90" s="582" t="str">
        <f t="shared" si="19"/>
        <v/>
      </c>
      <c r="AL90" s="582" t="str">
        <f t="shared" si="10"/>
        <v/>
      </c>
    </row>
    <row r="91" spans="2:38" ht="12.75" customHeight="1" x14ac:dyDescent="0.25">
      <c r="B91" s="132"/>
      <c r="C91" s="132"/>
      <c r="D91" s="1388"/>
      <c r="E91" s="43"/>
      <c r="F91" s="47"/>
      <c r="G91" s="50"/>
      <c r="H91" s="50"/>
      <c r="I91" s="48"/>
      <c r="J91" s="642" t="str">
        <f t="shared" si="4"/>
        <v/>
      </c>
      <c r="K91" s="642" t="str">
        <f t="shared" si="5"/>
        <v/>
      </c>
      <c r="L91" s="642" t="str">
        <f t="shared" si="6"/>
        <v/>
      </c>
      <c r="M91" s="1395"/>
      <c r="N91" s="116"/>
      <c r="O91" s="116"/>
      <c r="P91" s="116"/>
      <c r="Q91" s="116"/>
      <c r="R91" s="116"/>
      <c r="S91" s="132"/>
      <c r="T91" s="142"/>
      <c r="U91" s="115"/>
      <c r="AD91" s="561" t="str">
        <f t="shared" si="20"/>
        <v/>
      </c>
      <c r="AE91" s="561" t="str">
        <f t="shared" si="13"/>
        <v>n.a.</v>
      </c>
      <c r="AF91" s="561" t="str">
        <f t="shared" si="14"/>
        <v>n.a.</v>
      </c>
      <c r="AG91" s="561" t="str">
        <f t="shared" si="15"/>
        <v>n.a.</v>
      </c>
      <c r="AH91" s="561" t="b">
        <f t="shared" si="16"/>
        <v>0</v>
      </c>
      <c r="AI91" s="561" t="b">
        <f t="shared" si="17"/>
        <v>0</v>
      </c>
      <c r="AJ91" s="582" t="str">
        <f t="shared" si="18"/>
        <v/>
      </c>
      <c r="AK91" s="582" t="str">
        <f t="shared" si="19"/>
        <v/>
      </c>
      <c r="AL91" s="582" t="str">
        <f t="shared" si="10"/>
        <v/>
      </c>
    </row>
    <row r="92" spans="2:38" ht="12.75" customHeight="1" x14ac:dyDescent="0.25">
      <c r="B92" s="132"/>
      <c r="C92" s="132"/>
      <c r="D92" s="1388"/>
      <c r="E92" s="43"/>
      <c r="F92" s="47"/>
      <c r="G92" s="50"/>
      <c r="H92" s="50"/>
      <c r="I92" s="48"/>
      <c r="J92" s="642" t="str">
        <f t="shared" si="4"/>
        <v/>
      </c>
      <c r="K92" s="642" t="str">
        <f t="shared" si="5"/>
        <v/>
      </c>
      <c r="L92" s="642" t="str">
        <f t="shared" si="6"/>
        <v/>
      </c>
      <c r="M92" s="1395"/>
      <c r="N92" s="116"/>
      <c r="O92" s="116"/>
      <c r="P92" s="116"/>
      <c r="Q92" s="116"/>
      <c r="R92" s="116"/>
      <c r="S92" s="132"/>
      <c r="T92" s="142"/>
      <c r="U92" s="115"/>
      <c r="AD92" s="561" t="str">
        <f t="shared" si="20"/>
        <v/>
      </c>
      <c r="AE92" s="561" t="str">
        <f t="shared" si="13"/>
        <v>n.a.</v>
      </c>
      <c r="AF92" s="561" t="str">
        <f t="shared" si="14"/>
        <v>n.a.</v>
      </c>
      <c r="AG92" s="561" t="str">
        <f t="shared" si="15"/>
        <v>n.a.</v>
      </c>
      <c r="AH92" s="561" t="b">
        <f t="shared" si="16"/>
        <v>0</v>
      </c>
      <c r="AI92" s="561" t="b">
        <f t="shared" si="17"/>
        <v>0</v>
      </c>
      <c r="AJ92" s="582" t="str">
        <f t="shared" si="18"/>
        <v/>
      </c>
      <c r="AK92" s="582" t="str">
        <f t="shared" si="19"/>
        <v/>
      </c>
      <c r="AL92" s="582" t="str">
        <f t="shared" si="10"/>
        <v/>
      </c>
    </row>
    <row r="93" spans="2:38" ht="12.75" customHeight="1" x14ac:dyDescent="0.25">
      <c r="B93" s="132"/>
      <c r="C93" s="132"/>
      <c r="D93" s="1388"/>
      <c r="E93" s="43"/>
      <c r="F93" s="47"/>
      <c r="G93" s="50"/>
      <c r="H93" s="50"/>
      <c r="I93" s="48"/>
      <c r="J93" s="642" t="str">
        <f t="shared" si="4"/>
        <v/>
      </c>
      <c r="K93" s="642" t="str">
        <f t="shared" si="5"/>
        <v/>
      </c>
      <c r="L93" s="642" t="str">
        <f t="shared" si="6"/>
        <v/>
      </c>
      <c r="M93" s="1395"/>
      <c r="N93" s="116"/>
      <c r="O93" s="116"/>
      <c r="P93" s="116"/>
      <c r="Q93" s="116"/>
      <c r="R93" s="116"/>
      <c r="S93" s="132"/>
      <c r="T93" s="142"/>
      <c r="U93" s="115"/>
      <c r="AD93" s="561" t="str">
        <f t="shared" si="20"/>
        <v/>
      </c>
      <c r="AE93" s="561" t="str">
        <f t="shared" si="13"/>
        <v>n.a.</v>
      </c>
      <c r="AF93" s="561" t="str">
        <f t="shared" si="14"/>
        <v>n.a.</v>
      </c>
      <c r="AG93" s="561" t="str">
        <f t="shared" si="15"/>
        <v>n.a.</v>
      </c>
      <c r="AH93" s="561" t="b">
        <f t="shared" si="16"/>
        <v>0</v>
      </c>
      <c r="AI93" s="561" t="b">
        <f t="shared" si="17"/>
        <v>0</v>
      </c>
      <c r="AJ93" s="582" t="str">
        <f t="shared" si="18"/>
        <v/>
      </c>
      <c r="AK93" s="582" t="str">
        <f t="shared" si="19"/>
        <v/>
      </c>
      <c r="AL93" s="582" t="str">
        <f t="shared" si="10"/>
        <v/>
      </c>
    </row>
    <row r="94" spans="2:38" ht="12.75" customHeight="1" x14ac:dyDescent="0.25">
      <c r="B94" s="132"/>
      <c r="C94" s="132"/>
      <c r="D94" s="1388"/>
      <c r="E94" s="44"/>
      <c r="F94" s="51"/>
      <c r="G94" s="52"/>
      <c r="H94" s="52"/>
      <c r="I94" s="53"/>
      <c r="J94" s="657" t="str">
        <f t="shared" si="4"/>
        <v/>
      </c>
      <c r="K94" s="657" t="str">
        <f t="shared" si="5"/>
        <v/>
      </c>
      <c r="L94" s="657" t="str">
        <f t="shared" si="6"/>
        <v/>
      </c>
      <c r="M94" s="1395"/>
      <c r="N94" s="116"/>
      <c r="O94" s="116"/>
      <c r="P94" s="116"/>
      <c r="Q94" s="116"/>
      <c r="R94" s="116"/>
      <c r="S94" s="132"/>
      <c r="T94" s="142"/>
      <c r="U94" s="115"/>
      <c r="AD94" s="561" t="str">
        <f t="shared" si="20"/>
        <v/>
      </c>
      <c r="AE94" s="561" t="str">
        <f t="shared" si="13"/>
        <v>n.a.</v>
      </c>
      <c r="AF94" s="561" t="str">
        <f t="shared" si="14"/>
        <v>n.a.</v>
      </c>
      <c r="AG94" s="561" t="str">
        <f t="shared" si="15"/>
        <v>n.a.</v>
      </c>
      <c r="AH94" s="561" t="b">
        <f t="shared" si="16"/>
        <v>0</v>
      </c>
      <c r="AI94" s="561" t="b">
        <f t="shared" si="17"/>
        <v>0</v>
      </c>
      <c r="AJ94" s="582" t="str">
        <f t="shared" si="18"/>
        <v/>
      </c>
      <c r="AK94" s="582" t="str">
        <f t="shared" si="19"/>
        <v/>
      </c>
      <c r="AL94" s="582" t="str">
        <f t="shared" si="10"/>
        <v/>
      </c>
    </row>
    <row r="95" spans="2:38" ht="12.75" customHeight="1" x14ac:dyDescent="0.25">
      <c r="B95" s="132"/>
      <c r="C95" s="132"/>
      <c r="D95" s="132"/>
      <c r="E95" s="658" t="str">
        <f>Translations!$B$645</f>
        <v>TOTALS</v>
      </c>
      <c r="F95" s="659" t="str">
        <f>IF(SUM(F80:F94)=0,"",SUM(F80:F94))</f>
        <v/>
      </c>
      <c r="G95" s="660" t="str">
        <f>IF(SUM(F95)=0,"",J95/F95)</f>
        <v/>
      </c>
      <c r="H95" s="660" t="str">
        <f>IF(SUM(J95)=0,"",SUM(K95:L95)/IF(AF80&lt;&gt;EUconst_NA,F95,J95)/IF(AG80=EUconst_NA,1,AG80))</f>
        <v/>
      </c>
      <c r="I95" s="661" t="str">
        <f>IF(SUM(K95:L95)=0,"",L95/SUM(K95:L95))</f>
        <v/>
      </c>
      <c r="J95" s="659" t="str">
        <f>IF(COUNTA(E80:E94)=0,"",IFERROR(SUM(J80:J94),EUconst_ERR_Inconsistent))</f>
        <v/>
      </c>
      <c r="K95" s="659" t="str">
        <f>IF(COUNTA(E80:E94)=0,"",IFERROR(SUM(K80:K94),EUconst_ERR_Inconsistent))</f>
        <v/>
      </c>
      <c r="L95" s="659" t="str">
        <f>IF(COUNTA(E80:E94)=0,"",IFERROR(SUM(L80:L94),EUconst_ERR_Inconsistent))</f>
        <v/>
      </c>
      <c r="M95" s="1395"/>
      <c r="N95" s="116"/>
      <c r="O95" s="116"/>
      <c r="P95" s="116"/>
      <c r="Q95" s="116"/>
      <c r="R95" s="116"/>
      <c r="S95" s="132"/>
      <c r="T95" s="142"/>
      <c r="U95" s="115"/>
    </row>
    <row r="96" spans="2:38" ht="12.75" customHeight="1" x14ac:dyDescent="0.25">
      <c r="B96" s="132"/>
      <c r="C96" s="132"/>
      <c r="D96" s="132"/>
      <c r="E96" s="191"/>
      <c r="F96" s="116"/>
      <c r="G96" s="116"/>
      <c r="H96" s="116"/>
      <c r="I96" s="116"/>
      <c r="J96" s="116"/>
      <c r="K96" s="116"/>
      <c r="L96" s="116"/>
      <c r="M96" s="116"/>
      <c r="N96" s="116"/>
      <c r="O96" s="116"/>
      <c r="P96" s="116"/>
      <c r="Q96" s="116"/>
      <c r="R96" s="116"/>
      <c r="S96" s="132"/>
      <c r="T96" s="142"/>
      <c r="U96" s="115"/>
    </row>
    <row r="97" spans="1:38" s="69" customFormat="1" ht="18.75" customHeight="1" x14ac:dyDescent="0.25">
      <c r="A97" s="167">
        <f>C97</f>
        <v>4</v>
      </c>
      <c r="B97" s="76"/>
      <c r="C97" s="216">
        <f>C74+1</f>
        <v>4</v>
      </c>
      <c r="D97" s="1195" t="str">
        <f>"Tool " &amp;C97-2</f>
        <v>Tool 2</v>
      </c>
      <c r="E97" s="1195"/>
      <c r="F97" s="1195"/>
      <c r="G97" s="1195"/>
      <c r="H97" s="1195"/>
      <c r="I97" s="1195"/>
      <c r="J97" s="1195"/>
      <c r="K97" s="1195"/>
      <c r="L97" s="1195"/>
      <c r="M97" s="1195"/>
      <c r="N97" s="1195"/>
      <c r="O97" s="1195"/>
      <c r="P97" s="1195"/>
      <c r="Q97" s="1195"/>
      <c r="R97" s="1195"/>
      <c r="S97" s="1195"/>
      <c r="T97" s="142"/>
      <c r="U97" s="115"/>
      <c r="V97" s="464" t="str">
        <f>D97</f>
        <v>Tool 2</v>
      </c>
      <c r="W97" s="110"/>
      <c r="X97" s="110"/>
      <c r="Y97" s="110"/>
      <c r="Z97" s="110"/>
      <c r="AA97" s="109"/>
      <c r="AB97" s="109"/>
      <c r="AC97" s="109"/>
      <c r="AD97" s="109"/>
      <c r="AE97" s="109"/>
      <c r="AF97" s="109"/>
      <c r="AG97" s="109"/>
      <c r="AH97" s="109"/>
      <c r="AI97" s="109"/>
      <c r="AJ97" s="109"/>
      <c r="AK97" s="109"/>
      <c r="AL97" s="109"/>
    </row>
    <row r="98" spans="1:38" ht="12.75" customHeight="1" x14ac:dyDescent="0.25">
      <c r="B98" s="132"/>
      <c r="C98" s="132"/>
      <c r="D98" s="132"/>
      <c r="E98" s="191"/>
      <c r="F98" s="116"/>
      <c r="G98" s="116"/>
      <c r="H98" s="116"/>
      <c r="I98" s="116"/>
      <c r="J98" s="116"/>
      <c r="K98" s="116"/>
      <c r="L98" s="116"/>
      <c r="M98" s="116"/>
      <c r="N98" s="116"/>
      <c r="O98" s="116"/>
      <c r="P98" s="116"/>
      <c r="Q98" s="116"/>
      <c r="R98" s="116"/>
      <c r="S98" s="132"/>
      <c r="T98" s="142"/>
      <c r="U98" s="115"/>
    </row>
    <row r="99" spans="1:38" ht="12.75" customHeight="1" x14ac:dyDescent="0.25">
      <c r="B99" s="132"/>
      <c r="C99" s="132"/>
      <c r="D99" s="1377" t="str">
        <f>Translations!$B$631</f>
        <v>Component</v>
      </c>
      <c r="E99" s="1378"/>
      <c r="F99" s="633">
        <v>1</v>
      </c>
      <c r="G99" s="633">
        <v>2</v>
      </c>
      <c r="H99" s="633">
        <v>3</v>
      </c>
      <c r="I99" s="633">
        <v>4</v>
      </c>
      <c r="J99" s="633">
        <v>5</v>
      </c>
      <c r="K99" s="633">
        <v>6</v>
      </c>
      <c r="L99" s="633">
        <v>7</v>
      </c>
      <c r="M99" s="116"/>
      <c r="N99" s="116"/>
      <c r="O99" s="116"/>
      <c r="P99" s="116"/>
      <c r="Q99" s="116"/>
      <c r="R99" s="116"/>
      <c r="S99" s="132"/>
      <c r="T99" s="142"/>
      <c r="U99" s="115"/>
      <c r="V99" s="566" t="str">
        <f>Translations!$B$498</f>
        <v>Units:</v>
      </c>
      <c r="W99" s="561" t="str" cm="1">
        <f t="array" ref="W99">IFERROR(INDEX(_xlfn._xlws.FILTER(W103:W112,(W103:W112)&lt;&gt;"",""),1),W100)</f>
        <v/>
      </c>
      <c r="X99" s="561" t="str" cm="1">
        <f t="array" ref="X99">IFERROR(INDEX(_xlfn._xlws.FILTER(X103:X112,(X103:X112)&lt;&gt;"",""),1),X100)</f>
        <v/>
      </c>
      <c r="Y99" s="567"/>
      <c r="Z99" s="561" t="str" cm="1">
        <f t="array" ref="Z99">IFERROR(INDEX(_xlfn._xlws.FILTER(Z103:Z112,(Z103:Z112)&lt;&gt;"",""),1),Z100)</f>
        <v/>
      </c>
      <c r="AA99" s="567"/>
    </row>
    <row r="100" spans="1:38" ht="12.75" customHeight="1" x14ac:dyDescent="0.25">
      <c r="B100" s="132"/>
      <c r="C100" s="132"/>
      <c r="D100" s="1379"/>
      <c r="E100" s="1380"/>
      <c r="F100" s="1383" t="str">
        <f>Translations!$B$377</f>
        <v>RFA</v>
      </c>
      <c r="G100" s="1383" t="str">
        <f>Translations!$B$386</f>
        <v>UCF</v>
      </c>
      <c r="H100" s="1383" t="str">
        <f>Translations!$B$383</f>
        <v>EF</v>
      </c>
      <c r="I100" s="1383" t="str">
        <f>Translations!$B$632</f>
        <v>Zero-rated F</v>
      </c>
      <c r="J100" s="1385" t="str">
        <f>Translations!$B$652</f>
        <v>Energy or other</v>
      </c>
      <c r="K100" s="1385" t="str">
        <f>Translations!$B$522</f>
        <v>Emissions (fossil)</v>
      </c>
      <c r="L100" s="1385" t="str">
        <f>Translations!$B$634</f>
        <v>Emissions (bio)</v>
      </c>
      <c r="M100" s="116"/>
      <c r="N100" s="116"/>
      <c r="O100" s="116"/>
      <c r="P100" s="116"/>
      <c r="Q100" s="116"/>
      <c r="R100" s="116"/>
      <c r="S100" s="132"/>
      <c r="T100" s="142"/>
      <c r="U100" s="115"/>
      <c r="W100" s="561" t="str">
        <f t="array" ref="W100">IFERROR(INDEX(W103:W112,MATCH(TRUE,(W103:W112)&lt;&gt;"",0)),"")</f>
        <v/>
      </c>
      <c r="X100" s="561" t="str">
        <f t="array" ref="X100">IFERROR(INDEX(X103:X112,MATCH(TRUE,(X103:X112)&lt;&gt;"",0)),"")</f>
        <v/>
      </c>
      <c r="Y100" s="567"/>
      <c r="Z100" s="561" t="str">
        <f t="array" ref="Z100">IFERROR(INDEX(Z103:Z112,MATCH(TRUE,(Z103:Z112)&lt;&gt;"",0)),"")</f>
        <v/>
      </c>
      <c r="AA100" s="567"/>
    </row>
    <row r="101" spans="1:38" ht="12.75" customHeight="1" x14ac:dyDescent="0.3">
      <c r="B101" s="132"/>
      <c r="C101" s="132"/>
      <c r="D101" s="1379"/>
      <c r="E101" s="1380"/>
      <c r="F101" s="1384"/>
      <c r="G101" s="1384"/>
      <c r="H101" s="1384"/>
      <c r="I101" s="1384"/>
      <c r="J101" s="1386"/>
      <c r="K101" s="1386"/>
      <c r="L101" s="1386"/>
      <c r="M101" s="116"/>
      <c r="N101" s="634" t="str">
        <f>Translations!$B$635</f>
        <v>Result to be entered in sheet C</v>
      </c>
      <c r="O101" s="116"/>
      <c r="P101" s="116"/>
      <c r="Q101" s="116"/>
      <c r="R101" s="116"/>
      <c r="S101" s="132"/>
      <c r="T101" s="142"/>
      <c r="U101" s="115"/>
      <c r="W101" s="569" t="str">
        <f>Translations!$B$377</f>
        <v>RFA</v>
      </c>
      <c r="X101" s="569" t="str">
        <f>Translations!$B$386</f>
        <v>UCF</v>
      </c>
      <c r="Y101" s="569"/>
      <c r="Z101" s="569" t="str">
        <f>Translations!$B$383</f>
        <v>EF</v>
      </c>
      <c r="AA101" s="569"/>
      <c r="AB101" s="570"/>
      <c r="AC101" s="570"/>
      <c r="AH101" s="570"/>
      <c r="AI101" s="570"/>
      <c r="AJ101" s="570"/>
    </row>
    <row r="102" spans="1:38" ht="12.75" customHeight="1" x14ac:dyDescent="0.3">
      <c r="B102" s="132"/>
      <c r="C102" s="132"/>
      <c r="D102" s="1381"/>
      <c r="E102" s="1382"/>
      <c r="F102" s="635" t="str">
        <f>IF(COUNTA($E103:$E117)=0,"",$W99)</f>
        <v/>
      </c>
      <c r="G102" s="635" t="str">
        <f>IF(COUNTA($E103:$E117)=0,"",$X99)</f>
        <v/>
      </c>
      <c r="H102" s="635" t="str">
        <f>IF(COUNTA($E103:$E117)=0,"",$Z99)</f>
        <v/>
      </c>
      <c r="I102" s="636" t="s">
        <v>46</v>
      </c>
      <c r="J102" s="635" t="str">
        <f>IF(AE103=EUconst_NA,EUconst_GJ,AE103)</f>
        <v>GJ</v>
      </c>
      <c r="K102" s="637" t="s">
        <v>188</v>
      </c>
      <c r="L102" s="637" t="s">
        <v>188</v>
      </c>
      <c r="M102" s="116"/>
      <c r="N102" s="1387" t="str">
        <f>Translations!$B$636</f>
        <v>The results of this tool are the relevant (weighted average) values below. Each value has to be entered manually in sheet C for the respective fuel stream. Select fuel stream below for comparison.</v>
      </c>
      <c r="O102" s="1387"/>
      <c r="P102" s="1387"/>
      <c r="Q102" s="1387"/>
      <c r="R102" s="1387"/>
      <c r="S102" s="1387"/>
      <c r="T102" s="142"/>
      <c r="U102" s="115"/>
      <c r="W102" s="569" t="str">
        <f>EUconst_CNTR_ActivityData&amp;EUconst_Unit</f>
        <v>ActivityData_Unit</v>
      </c>
      <c r="X102" s="569" t="str">
        <f>EUconst_CNTR_UCF&amp;EUconst_Unit</f>
        <v>UCF_Unit</v>
      </c>
      <c r="Y102" s="569" t="str">
        <f>EUconst_CNTR_UCF&amp;EUconst_Value</f>
        <v>UCF_Value</v>
      </c>
      <c r="Z102" s="569" t="str">
        <f>EUconst_CNTR_EF&amp;EUconst_Unit</f>
        <v>EF_Unit</v>
      </c>
      <c r="AA102" s="569" t="str">
        <f>EUconst_CNTR_EF&amp;EUconst_Value</f>
        <v>EF_Value</v>
      </c>
      <c r="AB102" s="569" t="s">
        <v>189</v>
      </c>
      <c r="AC102" s="575"/>
      <c r="AD102" s="576" t="s">
        <v>147</v>
      </c>
      <c r="AE102" s="576" t="s">
        <v>151</v>
      </c>
      <c r="AF102" s="576" t="s">
        <v>153</v>
      </c>
      <c r="AG102" s="576" t="s">
        <v>155</v>
      </c>
      <c r="AH102" s="575"/>
      <c r="AI102" s="575"/>
      <c r="AJ102" s="575" t="s">
        <v>190</v>
      </c>
      <c r="AK102" s="575" t="s">
        <v>191</v>
      </c>
      <c r="AL102" s="575" t="s">
        <v>192</v>
      </c>
    </row>
    <row r="103" spans="1:38" ht="12.75" customHeight="1" x14ac:dyDescent="0.25">
      <c r="B103" s="132"/>
      <c r="C103" s="132"/>
      <c r="D103" s="1388" t="str">
        <f>Translations!$B$637</f>
        <v>Default compontents provided by the CA</v>
      </c>
      <c r="E103" s="42"/>
      <c r="F103" s="45"/>
      <c r="G103" s="639" t="str">
        <f>IF($E103="","",Y103)</f>
        <v/>
      </c>
      <c r="H103" s="639" t="str">
        <f>IF($E103="","",AA103)</f>
        <v/>
      </c>
      <c r="I103" s="46"/>
      <c r="J103" s="640" t="str">
        <f t="shared" ref="J103:J117" si="21">IFERROR(IF(E103="","",AL103),EUconst_ERR_Inconsistent)</f>
        <v/>
      </c>
      <c r="K103" s="640" t="str">
        <f t="shared" ref="K103:K117" si="22">IFERROR(IF(E103="","",AJ103),EUconst_ERR_Inconsistent)</f>
        <v/>
      </c>
      <c r="L103" s="640" t="str">
        <f t="shared" ref="L103:L117" si="23">IFERROR(IF(E103="","",AK103),EUconst_ERR_Inconsistent)</f>
        <v/>
      </c>
      <c r="M103" s="1389"/>
      <c r="N103" s="1387"/>
      <c r="O103" s="1387"/>
      <c r="P103" s="1387"/>
      <c r="Q103" s="1387"/>
      <c r="R103" s="1387"/>
      <c r="S103" s="1387"/>
      <c r="T103" s="142"/>
      <c r="U103" s="115"/>
      <c r="W103" s="561" t="str">
        <f t="shared" ref="W103:AA112" si="24">IF($E103="","",INDEX(MSPara_CalcFactorsMatrix,MATCH($E103,MSPara_SourceStreamCategory,0),MATCH(W$20&amp;"_"&amp;2,MSPara_CalcFactors,0)))</f>
        <v/>
      </c>
      <c r="X103" s="561" t="str">
        <f t="shared" si="24"/>
        <v/>
      </c>
      <c r="Y103" s="561" t="str">
        <f t="shared" si="24"/>
        <v/>
      </c>
      <c r="Z103" s="561" t="str">
        <f t="shared" si="24"/>
        <v/>
      </c>
      <c r="AA103" s="561" t="str">
        <f t="shared" si="24"/>
        <v/>
      </c>
      <c r="AB103" s="561" t="str">
        <f>IF(E103="","",OR(W103&lt;&gt;W99,X103&lt;&gt;X99,Z103&lt;&gt;Z99))</f>
        <v/>
      </c>
      <c r="AC103" s="567"/>
      <c r="AD103" s="561" t="str">
        <f>W103</f>
        <v/>
      </c>
      <c r="AE103" s="561" t="str">
        <f>IF(X103="",EUconst_NA,IF(AD103=EUconst_TJ,EUconst_TJ,INDEX(EUwideConstants!$C$135:$G$139,MATCH(AD103,RFAUnits,0),MATCH(X103,UCFUnits,0))))</f>
        <v>n.a.</v>
      </c>
      <c r="AF103" s="561" t="str">
        <f>IF(COUNTIF(RFAUnits,AD103)=0,EUconst_NA,INDEX(EUwideConstants!$C$150:$H$154,MATCH(Z103,EFUnits,0),MATCH(AD103,EUwideConstants!$C$149:$H$149,0)))</f>
        <v>n.a.</v>
      </c>
      <c r="AG103" s="561" t="str">
        <f>IF(AE103=EUconst_NA,EUconst_NA,INDEX(EUwideConstants!$C$150:$H$154,MATCH(Z103,EFUnits,0),MATCH(AE103,EUwideConstants!$C$149:$H$149,0)))</f>
        <v>n.a.</v>
      </c>
      <c r="AH103" s="561" t="b">
        <f t="shared" ref="AH103" si="25">AF103&lt;&gt;EUconst_NA</f>
        <v>0</v>
      </c>
      <c r="AI103" s="561" t="b">
        <f t="shared" ref="AI103" si="26">AG103&lt;&gt;EUconst_NA</f>
        <v>0</v>
      </c>
      <c r="AJ103" s="582" t="str">
        <f>IF(OR(E103="",COUNTIF(AH103:AI103,TRUE)=0),"",F103*IF(AH103,1,G103*AG103)*H103*(1-I103))</f>
        <v/>
      </c>
      <c r="AK103" s="582" t="str">
        <f>IF(OR(E103="",COUNTIF(AH103:AI103,TRUE)=0),"",F103*IF(AH103,1,G103*AG103)*H103*I103)</f>
        <v/>
      </c>
      <c r="AL103" s="582" t="str">
        <f t="shared" ref="AL103:AL117" si="27">IF(E103="","",IF(W103=EUconst_TJ,F103,F103*G103))</f>
        <v/>
      </c>
    </row>
    <row r="104" spans="1:38" ht="12.75" customHeight="1" x14ac:dyDescent="0.25">
      <c r="B104" s="132"/>
      <c r="C104" s="132"/>
      <c r="D104" s="1388"/>
      <c r="E104" s="43"/>
      <c r="F104" s="47"/>
      <c r="G104" s="641" t="str">
        <f t="shared" ref="G104:G112" si="28">IF($E104="","",Y104)</f>
        <v/>
      </c>
      <c r="H104" s="641" t="str">
        <f t="shared" ref="H104:H112" si="29">IF($E104="","",AA104)</f>
        <v/>
      </c>
      <c r="I104" s="48"/>
      <c r="J104" s="642" t="str">
        <f t="shared" si="21"/>
        <v/>
      </c>
      <c r="K104" s="642" t="str">
        <f t="shared" si="22"/>
        <v/>
      </c>
      <c r="L104" s="642" t="str">
        <f t="shared" si="23"/>
        <v/>
      </c>
      <c r="M104" s="1389"/>
      <c r="N104" s="638"/>
      <c r="O104" s="643" t="str">
        <f>Translations!$B$639</f>
        <v>Fuel stream:</v>
      </c>
      <c r="P104" s="1390"/>
      <c r="Q104" s="1391"/>
      <c r="R104" s="1391"/>
      <c r="S104" s="1392"/>
      <c r="T104" s="142"/>
      <c r="U104" s="115"/>
      <c r="W104" s="561" t="str">
        <f t="shared" si="24"/>
        <v/>
      </c>
      <c r="X104" s="561" t="str">
        <f t="shared" si="24"/>
        <v/>
      </c>
      <c r="Y104" s="561" t="str">
        <f t="shared" si="24"/>
        <v/>
      </c>
      <c r="Z104" s="561" t="str">
        <f t="shared" si="24"/>
        <v/>
      </c>
      <c r="AA104" s="561" t="str">
        <f t="shared" si="24"/>
        <v/>
      </c>
      <c r="AB104" s="561" t="str">
        <f>IF(E104="","",OR(W104&lt;&gt;W99,X104&lt;&gt;X99,Z104&lt;&gt;Z99))</f>
        <v/>
      </c>
      <c r="AC104" s="567"/>
      <c r="AD104" s="561" t="str">
        <f>AD103</f>
        <v/>
      </c>
      <c r="AE104" s="561" t="str">
        <f t="shared" ref="AE104:AE117" si="30">AE103</f>
        <v>n.a.</v>
      </c>
      <c r="AF104" s="561" t="str">
        <f t="shared" ref="AF104:AF117" si="31">AF103</f>
        <v>n.a.</v>
      </c>
      <c r="AG104" s="561" t="str">
        <f t="shared" ref="AG104:AG117" si="32">AG103</f>
        <v>n.a.</v>
      </c>
      <c r="AH104" s="561" t="b">
        <f t="shared" ref="AH104:AH117" si="33">AH103</f>
        <v>0</v>
      </c>
      <c r="AI104" s="561" t="b">
        <f t="shared" ref="AI104:AI117" si="34">AI103</f>
        <v>0</v>
      </c>
      <c r="AJ104" s="582" t="str">
        <f t="shared" ref="AJ104:AJ117" si="35">IF(OR(E104="",COUNTIF(AH104:AI104,TRUE)=0),"",F104*IF(AH104,1,G104*AG104)*H104*(1-I104))</f>
        <v/>
      </c>
      <c r="AK104" s="582" t="str">
        <f t="shared" ref="AK104:AK117" si="36">IF(OR(E104="",COUNTIF(AH104:AI104,TRUE)=0),"",F104*IF(AH104,1,G104*AG104)*H104*I104)</f>
        <v/>
      </c>
      <c r="AL104" s="582" t="str">
        <f t="shared" si="27"/>
        <v/>
      </c>
    </row>
    <row r="105" spans="1:38" ht="12.75" customHeight="1" x14ac:dyDescent="0.25">
      <c r="B105" s="132"/>
      <c r="C105" s="132"/>
      <c r="D105" s="1388"/>
      <c r="E105" s="43"/>
      <c r="F105" s="47"/>
      <c r="G105" s="641" t="str">
        <f t="shared" si="28"/>
        <v/>
      </c>
      <c r="H105" s="641" t="str">
        <f t="shared" si="29"/>
        <v/>
      </c>
      <c r="I105" s="48"/>
      <c r="J105" s="642" t="str">
        <f t="shared" si="21"/>
        <v/>
      </c>
      <c r="K105" s="642" t="str">
        <f t="shared" si="22"/>
        <v/>
      </c>
      <c r="L105" s="642" t="str">
        <f t="shared" si="23"/>
        <v/>
      </c>
      <c r="M105" s="1389"/>
      <c r="N105" s="116"/>
      <c r="O105" s="116"/>
      <c r="P105" s="116"/>
      <c r="Q105" s="116"/>
      <c r="R105" s="116"/>
      <c r="S105" s="132"/>
      <c r="T105" s="142"/>
      <c r="U105" s="115"/>
      <c r="W105" s="561" t="str">
        <f t="shared" si="24"/>
        <v/>
      </c>
      <c r="X105" s="561" t="str">
        <f t="shared" si="24"/>
        <v/>
      </c>
      <c r="Y105" s="561" t="str">
        <f t="shared" si="24"/>
        <v/>
      </c>
      <c r="Z105" s="561" t="str">
        <f t="shared" si="24"/>
        <v/>
      </c>
      <c r="AA105" s="561" t="str">
        <f t="shared" si="24"/>
        <v/>
      </c>
      <c r="AB105" s="561" t="str">
        <f>IF(E105="","",OR(W105&lt;&gt;W99,X105&lt;&gt;X99,Z105&lt;&gt;Z99))</f>
        <v/>
      </c>
      <c r="AC105" s="567"/>
      <c r="AD105" s="561" t="str">
        <f t="shared" ref="AD105:AD117" si="37">AD104</f>
        <v/>
      </c>
      <c r="AE105" s="561" t="str">
        <f t="shared" si="30"/>
        <v>n.a.</v>
      </c>
      <c r="AF105" s="561" t="str">
        <f t="shared" si="31"/>
        <v>n.a.</v>
      </c>
      <c r="AG105" s="561" t="str">
        <f t="shared" si="32"/>
        <v>n.a.</v>
      </c>
      <c r="AH105" s="561" t="b">
        <f t="shared" si="33"/>
        <v>0</v>
      </c>
      <c r="AI105" s="561" t="b">
        <f t="shared" si="34"/>
        <v>0</v>
      </c>
      <c r="AJ105" s="582" t="str">
        <f t="shared" si="35"/>
        <v/>
      </c>
      <c r="AK105" s="582" t="str">
        <f t="shared" si="36"/>
        <v/>
      </c>
      <c r="AL105" s="582" t="str">
        <f t="shared" si="27"/>
        <v/>
      </c>
    </row>
    <row r="106" spans="1:38" ht="12.75" customHeight="1" thickBot="1" x14ac:dyDescent="0.35">
      <c r="B106" s="132"/>
      <c r="C106" s="132"/>
      <c r="D106" s="1388"/>
      <c r="E106" s="43"/>
      <c r="F106" s="47"/>
      <c r="G106" s="641" t="str">
        <f t="shared" si="28"/>
        <v/>
      </c>
      <c r="H106" s="641" t="str">
        <f t="shared" si="29"/>
        <v/>
      </c>
      <c r="I106" s="48"/>
      <c r="J106" s="642" t="str">
        <f t="shared" si="21"/>
        <v/>
      </c>
      <c r="K106" s="642" t="str">
        <f t="shared" si="22"/>
        <v/>
      </c>
      <c r="L106" s="642" t="str">
        <f t="shared" si="23"/>
        <v/>
      </c>
      <c r="M106" s="1389"/>
      <c r="N106" s="1255" t="str">
        <f>Translations!$B$394</f>
        <v>Unit</v>
      </c>
      <c r="O106" s="1255"/>
      <c r="P106" s="1255" t="str">
        <f>Translations!$B$395</f>
        <v>Value</v>
      </c>
      <c r="Q106" s="1255"/>
      <c r="R106" s="116"/>
      <c r="S106" s="644" t="str">
        <f>Translations!$B$642</f>
        <v>Sheet C values</v>
      </c>
      <c r="T106" s="142"/>
      <c r="U106" s="115"/>
      <c r="W106" s="561" t="str">
        <f t="shared" si="24"/>
        <v/>
      </c>
      <c r="X106" s="561" t="str">
        <f t="shared" si="24"/>
        <v/>
      </c>
      <c r="Y106" s="561" t="str">
        <f t="shared" si="24"/>
        <v/>
      </c>
      <c r="Z106" s="561" t="str">
        <f t="shared" si="24"/>
        <v/>
      </c>
      <c r="AA106" s="561" t="str">
        <f t="shared" si="24"/>
        <v/>
      </c>
      <c r="AB106" s="561" t="str">
        <f>IF(E106="","",OR(W106&lt;&gt;W99,X106&lt;&gt;X99,Z106&lt;&gt;Z99))</f>
        <v/>
      </c>
      <c r="AC106" s="567"/>
      <c r="AD106" s="561" t="str">
        <f t="shared" si="37"/>
        <v/>
      </c>
      <c r="AE106" s="561" t="str">
        <f t="shared" si="30"/>
        <v>n.a.</v>
      </c>
      <c r="AF106" s="561" t="str">
        <f t="shared" si="31"/>
        <v>n.a.</v>
      </c>
      <c r="AG106" s="561" t="str">
        <f t="shared" si="32"/>
        <v>n.a.</v>
      </c>
      <c r="AH106" s="561" t="b">
        <f t="shared" si="33"/>
        <v>0</v>
      </c>
      <c r="AI106" s="561" t="b">
        <f t="shared" si="34"/>
        <v>0</v>
      </c>
      <c r="AJ106" s="582" t="str">
        <f t="shared" si="35"/>
        <v/>
      </c>
      <c r="AK106" s="582" t="str">
        <f t="shared" si="36"/>
        <v/>
      </c>
      <c r="AL106" s="582" t="str">
        <f t="shared" si="27"/>
        <v/>
      </c>
    </row>
    <row r="107" spans="1:38" ht="12.75" customHeight="1" thickBot="1" x14ac:dyDescent="0.3">
      <c r="B107" s="132"/>
      <c r="C107" s="132"/>
      <c r="D107" s="1388"/>
      <c r="E107" s="43"/>
      <c r="F107" s="47"/>
      <c r="G107" s="641" t="str">
        <f t="shared" si="28"/>
        <v/>
      </c>
      <c r="H107" s="641" t="str">
        <f t="shared" si="29"/>
        <v/>
      </c>
      <c r="I107" s="48"/>
      <c r="J107" s="642" t="str">
        <f t="shared" si="21"/>
        <v/>
      </c>
      <c r="K107" s="642" t="str">
        <f t="shared" si="22"/>
        <v/>
      </c>
      <c r="L107" s="642" t="str">
        <f t="shared" si="23"/>
        <v/>
      </c>
      <c r="M107" s="116"/>
      <c r="N107" s="346" t="str">
        <f>F102</f>
        <v/>
      </c>
      <c r="O107" s="7"/>
      <c r="P107" s="1393" t="str">
        <f>IF(F118="","",F118)</f>
        <v/>
      </c>
      <c r="Q107" s="1394"/>
      <c r="R107" s="116"/>
      <c r="S107" s="645" t="str">
        <f>IF(P104="","",SUMIFS(C_FuelStreams!BK:BK,C_FuelStreams!BI:BI,P104))</f>
        <v/>
      </c>
      <c r="T107" s="142"/>
      <c r="U107" s="115"/>
      <c r="W107" s="561" t="str">
        <f t="shared" si="24"/>
        <v/>
      </c>
      <c r="X107" s="561" t="str">
        <f t="shared" si="24"/>
        <v/>
      </c>
      <c r="Y107" s="561" t="str">
        <f t="shared" si="24"/>
        <v/>
      </c>
      <c r="Z107" s="561" t="str">
        <f t="shared" si="24"/>
        <v/>
      </c>
      <c r="AA107" s="561" t="str">
        <f t="shared" si="24"/>
        <v/>
      </c>
      <c r="AB107" s="561" t="str">
        <f>IF(E107="","",OR(W107&lt;&gt;W99,X107&lt;&gt;X99,Z107&lt;&gt;Z99))</f>
        <v/>
      </c>
      <c r="AC107" s="567"/>
      <c r="AD107" s="561" t="str">
        <f t="shared" si="37"/>
        <v/>
      </c>
      <c r="AE107" s="561" t="str">
        <f t="shared" si="30"/>
        <v>n.a.</v>
      </c>
      <c r="AF107" s="561" t="str">
        <f t="shared" si="31"/>
        <v>n.a.</v>
      </c>
      <c r="AG107" s="561" t="str">
        <f t="shared" si="32"/>
        <v>n.a.</v>
      </c>
      <c r="AH107" s="561" t="b">
        <f t="shared" si="33"/>
        <v>0</v>
      </c>
      <c r="AI107" s="561" t="b">
        <f t="shared" si="34"/>
        <v>0</v>
      </c>
      <c r="AJ107" s="582" t="str">
        <f t="shared" si="35"/>
        <v/>
      </c>
      <c r="AK107" s="582" t="str">
        <f t="shared" si="36"/>
        <v/>
      </c>
      <c r="AL107" s="582" t="str">
        <f t="shared" si="27"/>
        <v/>
      </c>
    </row>
    <row r="108" spans="1:38" ht="12.75" customHeight="1" thickBot="1" x14ac:dyDescent="0.3">
      <c r="B108" s="132"/>
      <c r="C108" s="132"/>
      <c r="D108" s="1388"/>
      <c r="E108" s="43"/>
      <c r="F108" s="47"/>
      <c r="G108" s="641" t="str">
        <f t="shared" si="28"/>
        <v/>
      </c>
      <c r="H108" s="641" t="str">
        <f t="shared" si="29"/>
        <v/>
      </c>
      <c r="I108" s="48"/>
      <c r="J108" s="642" t="str">
        <f t="shared" si="21"/>
        <v/>
      </c>
      <c r="K108" s="642" t="str">
        <f t="shared" si="22"/>
        <v/>
      </c>
      <c r="L108" s="642" t="str">
        <f t="shared" si="23"/>
        <v/>
      </c>
      <c r="M108" s="116"/>
      <c r="N108" s="162"/>
      <c r="O108" s="162"/>
      <c r="P108" s="76"/>
      <c r="Q108" s="76"/>
      <c r="R108" s="116"/>
      <c r="S108" s="996"/>
      <c r="T108" s="142"/>
      <c r="U108" s="115"/>
      <c r="W108" s="561" t="str">
        <f t="shared" si="24"/>
        <v/>
      </c>
      <c r="X108" s="561" t="str">
        <f t="shared" si="24"/>
        <v/>
      </c>
      <c r="Y108" s="561" t="str">
        <f t="shared" si="24"/>
        <v/>
      </c>
      <c r="Z108" s="561" t="str">
        <f t="shared" si="24"/>
        <v/>
      </c>
      <c r="AA108" s="561" t="str">
        <f t="shared" si="24"/>
        <v/>
      </c>
      <c r="AB108" s="561" t="str">
        <f>IF(E108="","",OR(W108&lt;&gt;W99,X108&lt;&gt;X99,Z108&lt;&gt;Z99))</f>
        <v/>
      </c>
      <c r="AC108" s="567"/>
      <c r="AD108" s="561" t="str">
        <f t="shared" si="37"/>
        <v/>
      </c>
      <c r="AE108" s="561" t="str">
        <f t="shared" si="30"/>
        <v>n.a.</v>
      </c>
      <c r="AF108" s="561" t="str">
        <f t="shared" si="31"/>
        <v>n.a.</v>
      </c>
      <c r="AG108" s="561" t="str">
        <f t="shared" si="32"/>
        <v>n.a.</v>
      </c>
      <c r="AH108" s="561" t="b">
        <f t="shared" si="33"/>
        <v>0</v>
      </c>
      <c r="AI108" s="561" t="b">
        <f t="shared" si="34"/>
        <v>0</v>
      </c>
      <c r="AJ108" s="582" t="str">
        <f t="shared" si="35"/>
        <v/>
      </c>
      <c r="AK108" s="582" t="str">
        <f t="shared" si="36"/>
        <v/>
      </c>
      <c r="AL108" s="582" t="str">
        <f t="shared" si="27"/>
        <v/>
      </c>
    </row>
    <row r="109" spans="1:38" ht="12.75" customHeight="1" x14ac:dyDescent="0.25">
      <c r="B109" s="132"/>
      <c r="C109" s="132"/>
      <c r="D109" s="1388"/>
      <c r="E109" s="43"/>
      <c r="F109" s="47"/>
      <c r="G109" s="641" t="str">
        <f t="shared" si="28"/>
        <v/>
      </c>
      <c r="H109" s="641" t="str">
        <f t="shared" si="29"/>
        <v/>
      </c>
      <c r="I109" s="48"/>
      <c r="J109" s="642" t="str">
        <f t="shared" si="21"/>
        <v/>
      </c>
      <c r="K109" s="642" t="str">
        <f t="shared" si="22"/>
        <v/>
      </c>
      <c r="L109" s="642" t="str">
        <f t="shared" si="23"/>
        <v/>
      </c>
      <c r="M109" s="116"/>
      <c r="N109" s="365" t="str">
        <f>G102</f>
        <v/>
      </c>
      <c r="O109" s="11"/>
      <c r="P109" s="366"/>
      <c r="Q109" s="646" t="str">
        <f>IF(G118="","",G118)</f>
        <v/>
      </c>
      <c r="R109" s="116"/>
      <c r="S109" s="647" t="str">
        <f>IF(P104="","",SUMIFS(C_FuelStreams!BU:BU,C_FuelStreams!BI:BI,P104))</f>
        <v/>
      </c>
      <c r="T109" s="142"/>
      <c r="U109" s="115"/>
      <c r="W109" s="561" t="str">
        <f t="shared" si="24"/>
        <v/>
      </c>
      <c r="X109" s="561" t="str">
        <f t="shared" si="24"/>
        <v/>
      </c>
      <c r="Y109" s="561" t="str">
        <f t="shared" si="24"/>
        <v/>
      </c>
      <c r="Z109" s="561" t="str">
        <f t="shared" si="24"/>
        <v/>
      </c>
      <c r="AA109" s="561" t="str">
        <f t="shared" si="24"/>
        <v/>
      </c>
      <c r="AB109" s="561" t="str">
        <f>IF(E109="","",OR(W109&lt;&gt;W99,X109&lt;&gt;X99,Z109&lt;&gt;Z99))</f>
        <v/>
      </c>
      <c r="AC109" s="567"/>
      <c r="AD109" s="561" t="str">
        <f t="shared" si="37"/>
        <v/>
      </c>
      <c r="AE109" s="561" t="str">
        <f t="shared" si="30"/>
        <v>n.a.</v>
      </c>
      <c r="AF109" s="561" t="str">
        <f t="shared" si="31"/>
        <v>n.a.</v>
      </c>
      <c r="AG109" s="561" t="str">
        <f t="shared" si="32"/>
        <v>n.a.</v>
      </c>
      <c r="AH109" s="561" t="b">
        <f t="shared" si="33"/>
        <v>0</v>
      </c>
      <c r="AI109" s="561" t="b">
        <f t="shared" si="34"/>
        <v>0</v>
      </c>
      <c r="AJ109" s="582" t="str">
        <f t="shared" si="35"/>
        <v/>
      </c>
      <c r="AK109" s="582" t="str">
        <f t="shared" si="36"/>
        <v/>
      </c>
      <c r="AL109" s="582" t="str">
        <f t="shared" si="27"/>
        <v/>
      </c>
    </row>
    <row r="110" spans="1:38" ht="12.75" customHeight="1" thickBot="1" x14ac:dyDescent="0.3">
      <c r="B110" s="132"/>
      <c r="C110" s="132"/>
      <c r="D110" s="1388"/>
      <c r="E110" s="43"/>
      <c r="F110" s="47"/>
      <c r="G110" s="641" t="str">
        <f t="shared" si="28"/>
        <v/>
      </c>
      <c r="H110" s="641" t="str">
        <f t="shared" si="29"/>
        <v/>
      </c>
      <c r="I110" s="48"/>
      <c r="J110" s="642" t="str">
        <f t="shared" si="21"/>
        <v/>
      </c>
      <c r="K110" s="642" t="str">
        <f t="shared" si="22"/>
        <v/>
      </c>
      <c r="L110" s="642" t="str">
        <f t="shared" si="23"/>
        <v/>
      </c>
      <c r="M110" s="116"/>
      <c r="N110" s="648" t="str">
        <f>H102</f>
        <v/>
      </c>
      <c r="O110" s="22"/>
      <c r="P110" s="649"/>
      <c r="Q110" s="650" t="str">
        <f>IF(H118="","",H118)</f>
        <v/>
      </c>
      <c r="R110" s="116"/>
      <c r="S110" s="651" t="str">
        <f>IF(P104="","",SUMIFS(C_FuelStreams!BR:BR,C_FuelStreams!BI:BI,P104))</f>
        <v/>
      </c>
      <c r="T110" s="142"/>
      <c r="U110" s="115"/>
      <c r="W110" s="561" t="str">
        <f t="shared" si="24"/>
        <v/>
      </c>
      <c r="X110" s="561" t="str">
        <f t="shared" si="24"/>
        <v/>
      </c>
      <c r="Y110" s="561" t="str">
        <f t="shared" si="24"/>
        <v/>
      </c>
      <c r="Z110" s="561" t="str">
        <f t="shared" si="24"/>
        <v/>
      </c>
      <c r="AA110" s="561" t="str">
        <f t="shared" si="24"/>
        <v/>
      </c>
      <c r="AB110" s="561" t="str">
        <f>IF(E110="","",OR(W110&lt;&gt;W99,X110&lt;&gt;X99,Z110&lt;&gt;Z99))</f>
        <v/>
      </c>
      <c r="AC110" s="567"/>
      <c r="AD110" s="561" t="str">
        <f t="shared" si="37"/>
        <v/>
      </c>
      <c r="AE110" s="561" t="str">
        <f t="shared" si="30"/>
        <v>n.a.</v>
      </c>
      <c r="AF110" s="561" t="str">
        <f t="shared" si="31"/>
        <v>n.a.</v>
      </c>
      <c r="AG110" s="561" t="str">
        <f t="shared" si="32"/>
        <v>n.a.</v>
      </c>
      <c r="AH110" s="561" t="b">
        <f t="shared" si="33"/>
        <v>0</v>
      </c>
      <c r="AI110" s="561" t="b">
        <f t="shared" si="34"/>
        <v>0</v>
      </c>
      <c r="AJ110" s="582" t="str">
        <f t="shared" si="35"/>
        <v/>
      </c>
      <c r="AK110" s="582" t="str">
        <f t="shared" si="36"/>
        <v/>
      </c>
      <c r="AL110" s="582" t="str">
        <f t="shared" si="27"/>
        <v/>
      </c>
    </row>
    <row r="111" spans="1:38" ht="12.75" customHeight="1" x14ac:dyDescent="0.25">
      <c r="B111" s="132"/>
      <c r="C111" s="132"/>
      <c r="D111" s="1388"/>
      <c r="E111" s="43"/>
      <c r="F111" s="47"/>
      <c r="G111" s="641" t="str">
        <f t="shared" si="28"/>
        <v/>
      </c>
      <c r="H111" s="641" t="str">
        <f t="shared" si="29"/>
        <v/>
      </c>
      <c r="I111" s="48"/>
      <c r="J111" s="642" t="str">
        <f t="shared" si="21"/>
        <v/>
      </c>
      <c r="K111" s="642" t="str">
        <f t="shared" si="22"/>
        <v/>
      </c>
      <c r="L111" s="642" t="str">
        <f t="shared" si="23"/>
        <v/>
      </c>
      <c r="M111" s="116"/>
      <c r="N111" s="652" t="s">
        <v>46</v>
      </c>
      <c r="O111" s="411"/>
      <c r="P111" s="653"/>
      <c r="Q111" s="654" t="str">
        <f>IF(I118="","",I118)</f>
        <v/>
      </c>
      <c r="R111" s="116"/>
      <c r="S111" s="655" t="str">
        <f>IF(P104="","",SUMIFS(C_FuelStreams!BX:BX,C_FuelStreams!BI:BI,P104))</f>
        <v/>
      </c>
      <c r="T111" s="142"/>
      <c r="U111" s="115"/>
      <c r="W111" s="561" t="str">
        <f t="shared" si="24"/>
        <v/>
      </c>
      <c r="X111" s="561" t="str">
        <f t="shared" si="24"/>
        <v/>
      </c>
      <c r="Y111" s="561" t="str">
        <f t="shared" si="24"/>
        <v/>
      </c>
      <c r="Z111" s="561" t="str">
        <f t="shared" si="24"/>
        <v/>
      </c>
      <c r="AA111" s="561" t="str">
        <f t="shared" si="24"/>
        <v/>
      </c>
      <c r="AB111" s="561" t="str">
        <f>IF(E111="","",OR(W111&lt;&gt;W99,X111&lt;&gt;X99,Z111&lt;&gt;Z99))</f>
        <v/>
      </c>
      <c r="AC111" s="567"/>
      <c r="AD111" s="561" t="str">
        <f t="shared" si="37"/>
        <v/>
      </c>
      <c r="AE111" s="561" t="str">
        <f t="shared" si="30"/>
        <v>n.a.</v>
      </c>
      <c r="AF111" s="561" t="str">
        <f t="shared" si="31"/>
        <v>n.a.</v>
      </c>
      <c r="AG111" s="561" t="str">
        <f t="shared" si="32"/>
        <v>n.a.</v>
      </c>
      <c r="AH111" s="561" t="b">
        <f t="shared" si="33"/>
        <v>0</v>
      </c>
      <c r="AI111" s="561" t="b">
        <f t="shared" si="34"/>
        <v>0</v>
      </c>
      <c r="AJ111" s="582" t="str">
        <f t="shared" si="35"/>
        <v/>
      </c>
      <c r="AK111" s="582" t="str">
        <f t="shared" si="36"/>
        <v/>
      </c>
      <c r="AL111" s="582" t="str">
        <f t="shared" si="27"/>
        <v/>
      </c>
    </row>
    <row r="112" spans="1:38" ht="12.75" customHeight="1" x14ac:dyDescent="0.25">
      <c r="B112" s="132"/>
      <c r="C112" s="132"/>
      <c r="D112" s="1388"/>
      <c r="E112" s="43"/>
      <c r="F112" s="47"/>
      <c r="G112" s="641" t="str">
        <f t="shared" si="28"/>
        <v/>
      </c>
      <c r="H112" s="641" t="str">
        <f t="shared" si="29"/>
        <v/>
      </c>
      <c r="I112" s="48"/>
      <c r="J112" s="642" t="str">
        <f t="shared" si="21"/>
        <v/>
      </c>
      <c r="K112" s="642" t="str">
        <f t="shared" si="22"/>
        <v/>
      </c>
      <c r="L112" s="642" t="str">
        <f t="shared" si="23"/>
        <v/>
      </c>
      <c r="M112" s="1395"/>
      <c r="N112" s="116"/>
      <c r="O112" s="116"/>
      <c r="P112" s="116"/>
      <c r="Q112" s="116"/>
      <c r="R112" s="116"/>
      <c r="S112" s="132"/>
      <c r="T112" s="142"/>
      <c r="U112" s="115"/>
      <c r="W112" s="561" t="str">
        <f t="shared" si="24"/>
        <v/>
      </c>
      <c r="X112" s="561" t="str">
        <f t="shared" si="24"/>
        <v/>
      </c>
      <c r="Y112" s="561" t="str">
        <f t="shared" si="24"/>
        <v/>
      </c>
      <c r="Z112" s="561" t="str">
        <f t="shared" si="24"/>
        <v/>
      </c>
      <c r="AA112" s="561" t="str">
        <f t="shared" si="24"/>
        <v/>
      </c>
      <c r="AB112" s="561" t="str">
        <f>IF(E112="","",OR(W112&lt;&gt;W99,X112&lt;&gt;X99,Z112&lt;&gt;Z99))</f>
        <v/>
      </c>
      <c r="AC112" s="567"/>
      <c r="AD112" s="561" t="str">
        <f t="shared" si="37"/>
        <v/>
      </c>
      <c r="AE112" s="561" t="str">
        <f t="shared" si="30"/>
        <v>n.a.</v>
      </c>
      <c r="AF112" s="561" t="str">
        <f t="shared" si="31"/>
        <v>n.a.</v>
      </c>
      <c r="AG112" s="561" t="str">
        <f t="shared" si="32"/>
        <v>n.a.</v>
      </c>
      <c r="AH112" s="561" t="b">
        <f t="shared" si="33"/>
        <v>0</v>
      </c>
      <c r="AI112" s="561" t="b">
        <f t="shared" si="34"/>
        <v>0</v>
      </c>
      <c r="AJ112" s="582" t="str">
        <f t="shared" si="35"/>
        <v/>
      </c>
      <c r="AK112" s="582" t="str">
        <f t="shared" si="36"/>
        <v/>
      </c>
      <c r="AL112" s="582" t="str">
        <f t="shared" si="27"/>
        <v/>
      </c>
    </row>
    <row r="113" spans="1:38" ht="12.75" customHeight="1" x14ac:dyDescent="0.25">
      <c r="B113" s="132"/>
      <c r="C113" s="132"/>
      <c r="D113" s="1388" t="str">
        <f>Translations!$B$643</f>
        <v>Customised components</v>
      </c>
      <c r="E113" s="42"/>
      <c r="F113" s="45"/>
      <c r="G113" s="49"/>
      <c r="H113" s="49"/>
      <c r="I113" s="46"/>
      <c r="J113" s="640" t="str">
        <f t="shared" si="21"/>
        <v/>
      </c>
      <c r="K113" s="640" t="str">
        <f t="shared" si="22"/>
        <v/>
      </c>
      <c r="L113" s="640" t="str">
        <f t="shared" si="23"/>
        <v/>
      </c>
      <c r="M113" s="1395"/>
      <c r="N113" s="116"/>
      <c r="O113" s="116"/>
      <c r="P113" s="656" t="str">
        <f>Translations!$B$644</f>
        <v>CO2 fossil (before scope factor):</v>
      </c>
      <c r="Q113" s="997" t="str">
        <f>IF(K118="","",K118)</f>
        <v/>
      </c>
      <c r="R113" s="656"/>
      <c r="S113" s="997" t="str">
        <f>IF(P104="","",IF(W113=0,0,SUMIFS(C_FuelStreams!CE:CE,C_FuelStreams!BI:BI,P104)/W113))</f>
        <v/>
      </c>
      <c r="T113" s="142"/>
      <c r="U113" s="115"/>
      <c r="V113" s="110" t="str">
        <f>Translations!$B$398</f>
        <v>Scope factor:</v>
      </c>
      <c r="W113" s="617" t="str">
        <f>IF(P104="","",SUMIFS(C_FuelStreams!BP:BP,C_FuelStreams!BI:BI,P104))</f>
        <v/>
      </c>
      <c r="AD113" s="561" t="str">
        <f t="shared" si="37"/>
        <v/>
      </c>
      <c r="AE113" s="561" t="str">
        <f t="shared" si="30"/>
        <v>n.a.</v>
      </c>
      <c r="AF113" s="561" t="str">
        <f t="shared" si="31"/>
        <v>n.a.</v>
      </c>
      <c r="AG113" s="561" t="str">
        <f t="shared" si="32"/>
        <v>n.a.</v>
      </c>
      <c r="AH113" s="561" t="b">
        <f t="shared" si="33"/>
        <v>0</v>
      </c>
      <c r="AI113" s="561" t="b">
        <f t="shared" si="34"/>
        <v>0</v>
      </c>
      <c r="AJ113" s="582" t="str">
        <f t="shared" si="35"/>
        <v/>
      </c>
      <c r="AK113" s="582" t="str">
        <f t="shared" si="36"/>
        <v/>
      </c>
      <c r="AL113" s="582" t="str">
        <f t="shared" si="27"/>
        <v/>
      </c>
    </row>
    <row r="114" spans="1:38" ht="12.75" customHeight="1" x14ac:dyDescent="0.25">
      <c r="B114" s="132"/>
      <c r="C114" s="132"/>
      <c r="D114" s="1388"/>
      <c r="E114" s="43"/>
      <c r="F114" s="47"/>
      <c r="G114" s="50"/>
      <c r="H114" s="50"/>
      <c r="I114" s="48"/>
      <c r="J114" s="642" t="str">
        <f t="shared" si="21"/>
        <v/>
      </c>
      <c r="K114" s="642" t="str">
        <f t="shared" si="22"/>
        <v/>
      </c>
      <c r="L114" s="642" t="str">
        <f t="shared" si="23"/>
        <v/>
      </c>
      <c r="M114" s="1395"/>
      <c r="N114" s="116"/>
      <c r="O114" s="116"/>
      <c r="P114" s="116"/>
      <c r="Q114" s="116"/>
      <c r="R114" s="116"/>
      <c r="S114" s="132"/>
      <c r="T114" s="142"/>
      <c r="U114" s="115"/>
      <c r="AD114" s="561" t="str">
        <f t="shared" si="37"/>
        <v/>
      </c>
      <c r="AE114" s="561" t="str">
        <f t="shared" si="30"/>
        <v>n.a.</v>
      </c>
      <c r="AF114" s="561" t="str">
        <f t="shared" si="31"/>
        <v>n.a.</v>
      </c>
      <c r="AG114" s="561" t="str">
        <f t="shared" si="32"/>
        <v>n.a.</v>
      </c>
      <c r="AH114" s="561" t="b">
        <f t="shared" si="33"/>
        <v>0</v>
      </c>
      <c r="AI114" s="561" t="b">
        <f t="shared" si="34"/>
        <v>0</v>
      </c>
      <c r="AJ114" s="582" t="str">
        <f t="shared" si="35"/>
        <v/>
      </c>
      <c r="AK114" s="582" t="str">
        <f t="shared" si="36"/>
        <v/>
      </c>
      <c r="AL114" s="582" t="str">
        <f t="shared" si="27"/>
        <v/>
      </c>
    </row>
    <row r="115" spans="1:38" ht="12.75" customHeight="1" x14ac:dyDescent="0.25">
      <c r="B115" s="132"/>
      <c r="C115" s="132"/>
      <c r="D115" s="1388"/>
      <c r="E115" s="43"/>
      <c r="F115" s="47"/>
      <c r="G115" s="50"/>
      <c r="H115" s="50"/>
      <c r="I115" s="48"/>
      <c r="J115" s="642" t="str">
        <f t="shared" si="21"/>
        <v/>
      </c>
      <c r="K115" s="642" t="str">
        <f t="shared" si="22"/>
        <v/>
      </c>
      <c r="L115" s="642" t="str">
        <f t="shared" si="23"/>
        <v/>
      </c>
      <c r="M115" s="1395"/>
      <c r="N115" s="116"/>
      <c r="O115" s="116"/>
      <c r="P115" s="116"/>
      <c r="Q115" s="116"/>
      <c r="R115" s="116"/>
      <c r="S115" s="132"/>
      <c r="T115" s="142"/>
      <c r="U115" s="115"/>
      <c r="AD115" s="561" t="str">
        <f t="shared" si="37"/>
        <v/>
      </c>
      <c r="AE115" s="561" t="str">
        <f t="shared" si="30"/>
        <v>n.a.</v>
      </c>
      <c r="AF115" s="561" t="str">
        <f t="shared" si="31"/>
        <v>n.a.</v>
      </c>
      <c r="AG115" s="561" t="str">
        <f t="shared" si="32"/>
        <v>n.a.</v>
      </c>
      <c r="AH115" s="561" t="b">
        <f t="shared" si="33"/>
        <v>0</v>
      </c>
      <c r="AI115" s="561" t="b">
        <f t="shared" si="34"/>
        <v>0</v>
      </c>
      <c r="AJ115" s="582" t="str">
        <f t="shared" si="35"/>
        <v/>
      </c>
      <c r="AK115" s="582" t="str">
        <f t="shared" si="36"/>
        <v/>
      </c>
      <c r="AL115" s="582" t="str">
        <f t="shared" si="27"/>
        <v/>
      </c>
    </row>
    <row r="116" spans="1:38" ht="12.75" customHeight="1" x14ac:dyDescent="0.25">
      <c r="B116" s="132"/>
      <c r="C116" s="132"/>
      <c r="D116" s="1388"/>
      <c r="E116" s="43"/>
      <c r="F116" s="47"/>
      <c r="G116" s="50"/>
      <c r="H116" s="50"/>
      <c r="I116" s="48"/>
      <c r="J116" s="642" t="str">
        <f t="shared" si="21"/>
        <v/>
      </c>
      <c r="K116" s="642" t="str">
        <f t="shared" si="22"/>
        <v/>
      </c>
      <c r="L116" s="642" t="str">
        <f t="shared" si="23"/>
        <v/>
      </c>
      <c r="M116" s="1395"/>
      <c r="N116" s="116"/>
      <c r="O116" s="116"/>
      <c r="P116" s="116"/>
      <c r="Q116" s="116"/>
      <c r="R116" s="116"/>
      <c r="S116" s="132"/>
      <c r="T116" s="142"/>
      <c r="U116" s="115"/>
      <c r="AD116" s="561" t="str">
        <f t="shared" si="37"/>
        <v/>
      </c>
      <c r="AE116" s="561" t="str">
        <f t="shared" si="30"/>
        <v>n.a.</v>
      </c>
      <c r="AF116" s="561" t="str">
        <f t="shared" si="31"/>
        <v>n.a.</v>
      </c>
      <c r="AG116" s="561" t="str">
        <f t="shared" si="32"/>
        <v>n.a.</v>
      </c>
      <c r="AH116" s="561" t="b">
        <f t="shared" si="33"/>
        <v>0</v>
      </c>
      <c r="AI116" s="561" t="b">
        <f t="shared" si="34"/>
        <v>0</v>
      </c>
      <c r="AJ116" s="582" t="str">
        <f t="shared" si="35"/>
        <v/>
      </c>
      <c r="AK116" s="582" t="str">
        <f t="shared" si="36"/>
        <v/>
      </c>
      <c r="AL116" s="582" t="str">
        <f t="shared" si="27"/>
        <v/>
      </c>
    </row>
    <row r="117" spans="1:38" ht="12.75" customHeight="1" x14ac:dyDescent="0.25">
      <c r="B117" s="132"/>
      <c r="C117" s="132"/>
      <c r="D117" s="1388"/>
      <c r="E117" s="44"/>
      <c r="F117" s="51"/>
      <c r="G117" s="52"/>
      <c r="H117" s="52"/>
      <c r="I117" s="53"/>
      <c r="J117" s="657" t="str">
        <f t="shared" si="21"/>
        <v/>
      </c>
      <c r="K117" s="657" t="str">
        <f t="shared" si="22"/>
        <v/>
      </c>
      <c r="L117" s="657" t="str">
        <f t="shared" si="23"/>
        <v/>
      </c>
      <c r="M117" s="1395"/>
      <c r="N117" s="116"/>
      <c r="O117" s="116"/>
      <c r="P117" s="116"/>
      <c r="Q117" s="116"/>
      <c r="R117" s="116"/>
      <c r="S117" s="132"/>
      <c r="T117" s="142"/>
      <c r="U117" s="115"/>
      <c r="AD117" s="561" t="str">
        <f t="shared" si="37"/>
        <v/>
      </c>
      <c r="AE117" s="561" t="str">
        <f t="shared" si="30"/>
        <v>n.a.</v>
      </c>
      <c r="AF117" s="561" t="str">
        <f t="shared" si="31"/>
        <v>n.a.</v>
      </c>
      <c r="AG117" s="561" t="str">
        <f t="shared" si="32"/>
        <v>n.a.</v>
      </c>
      <c r="AH117" s="561" t="b">
        <f t="shared" si="33"/>
        <v>0</v>
      </c>
      <c r="AI117" s="561" t="b">
        <f t="shared" si="34"/>
        <v>0</v>
      </c>
      <c r="AJ117" s="582" t="str">
        <f t="shared" si="35"/>
        <v/>
      </c>
      <c r="AK117" s="582" t="str">
        <f t="shared" si="36"/>
        <v/>
      </c>
      <c r="AL117" s="582" t="str">
        <f t="shared" si="27"/>
        <v/>
      </c>
    </row>
    <row r="118" spans="1:38" ht="12.75" customHeight="1" x14ac:dyDescent="0.25">
      <c r="B118" s="132"/>
      <c r="C118" s="132"/>
      <c r="D118" s="132"/>
      <c r="E118" s="658" t="str">
        <f>Translations!$B$645</f>
        <v>TOTALS</v>
      </c>
      <c r="F118" s="659" t="str">
        <f>IF(SUM(F103:F117)=0,"",SUM(F103:F117))</f>
        <v/>
      </c>
      <c r="G118" s="660" t="str">
        <f>IF(SUM(F118)=0,"",J118/F118)</f>
        <v/>
      </c>
      <c r="H118" s="660" t="str">
        <f>IF(SUM(J118)=0,"",SUM(K118:L118)/IF(AF103&lt;&gt;EUconst_NA,F118,J118)/IF(AG103=EUconst_NA,1,AG103))</f>
        <v/>
      </c>
      <c r="I118" s="661" t="str">
        <f>IF(SUM(K118:L118)=0,"",L118/SUM(K118:L118))</f>
        <v/>
      </c>
      <c r="J118" s="659" t="str">
        <f>IF(COUNTA(E103:E117)=0,"",IFERROR(SUM(J103:J117),EUconst_ERR_Inconsistent))</f>
        <v/>
      </c>
      <c r="K118" s="659" t="str">
        <f>IF(COUNTA(E103:E117)=0,"",IFERROR(SUM(K103:K117),EUconst_ERR_Inconsistent))</f>
        <v/>
      </c>
      <c r="L118" s="659" t="str">
        <f>IF(COUNTA(E103:E117)=0,"",IFERROR(SUM(L103:L117),EUconst_ERR_Inconsistent))</f>
        <v/>
      </c>
      <c r="M118" s="1395"/>
      <c r="N118" s="116"/>
      <c r="O118" s="116"/>
      <c r="P118" s="116"/>
      <c r="Q118" s="116"/>
      <c r="R118" s="116"/>
      <c r="S118" s="132"/>
      <c r="T118" s="142"/>
      <c r="U118" s="115"/>
    </row>
    <row r="119" spans="1:38" ht="12.75" customHeight="1" x14ac:dyDescent="0.25">
      <c r="B119" s="132"/>
      <c r="C119" s="132"/>
      <c r="D119" s="132"/>
      <c r="E119" s="191"/>
      <c r="F119" s="116"/>
      <c r="G119" s="116"/>
      <c r="H119" s="116"/>
      <c r="I119" s="116"/>
      <c r="J119" s="116"/>
      <c r="K119" s="116"/>
      <c r="L119" s="116"/>
      <c r="M119" s="116"/>
      <c r="N119" s="116"/>
      <c r="O119" s="116"/>
      <c r="P119" s="116"/>
      <c r="Q119" s="116"/>
      <c r="R119" s="116"/>
      <c r="S119" s="132"/>
      <c r="T119" s="142"/>
      <c r="U119" s="115"/>
    </row>
    <row r="120" spans="1:38" s="69" customFormat="1" ht="18.75" customHeight="1" x14ac:dyDescent="0.25">
      <c r="A120" s="167">
        <f>C120</f>
        <v>5</v>
      </c>
      <c r="B120" s="76"/>
      <c r="C120" s="216">
        <f>C97+1</f>
        <v>5</v>
      </c>
      <c r="D120" s="1195" t="str">
        <f>"Tool " &amp;C120-2</f>
        <v>Tool 3</v>
      </c>
      <c r="E120" s="1195"/>
      <c r="F120" s="1195"/>
      <c r="G120" s="1195"/>
      <c r="H120" s="1195"/>
      <c r="I120" s="1195"/>
      <c r="J120" s="1195"/>
      <c r="K120" s="1195"/>
      <c r="L120" s="1195"/>
      <c r="M120" s="1195"/>
      <c r="N120" s="1195"/>
      <c r="O120" s="1195"/>
      <c r="P120" s="1195"/>
      <c r="Q120" s="1195"/>
      <c r="R120" s="1195"/>
      <c r="S120" s="1195"/>
      <c r="T120" s="142"/>
      <c r="U120" s="115"/>
      <c r="V120" s="464" t="str">
        <f>D120</f>
        <v>Tool 3</v>
      </c>
      <c r="W120" s="110"/>
      <c r="X120" s="110"/>
      <c r="Y120" s="110"/>
      <c r="Z120" s="110"/>
      <c r="AA120" s="109"/>
      <c r="AB120" s="109"/>
      <c r="AC120" s="109"/>
      <c r="AD120" s="109"/>
      <c r="AE120" s="109"/>
      <c r="AF120" s="109"/>
      <c r="AG120" s="109"/>
      <c r="AH120" s="109"/>
      <c r="AI120" s="109"/>
      <c r="AJ120" s="109"/>
      <c r="AK120" s="109"/>
      <c r="AL120" s="109"/>
    </row>
    <row r="121" spans="1:38" ht="12.75" customHeight="1" x14ac:dyDescent="0.25">
      <c r="B121" s="132"/>
      <c r="C121" s="132"/>
      <c r="D121" s="132"/>
      <c r="E121" s="191"/>
      <c r="F121" s="116"/>
      <c r="G121" s="116"/>
      <c r="H121" s="116"/>
      <c r="I121" s="116"/>
      <c r="J121" s="116"/>
      <c r="K121" s="116"/>
      <c r="L121" s="116"/>
      <c r="M121" s="116"/>
      <c r="N121" s="116"/>
      <c r="O121" s="116"/>
      <c r="P121" s="116"/>
      <c r="Q121" s="116"/>
      <c r="R121" s="116"/>
      <c r="S121" s="132"/>
      <c r="T121" s="142"/>
      <c r="U121" s="115"/>
    </row>
    <row r="122" spans="1:38" ht="12.75" customHeight="1" x14ac:dyDescent="0.25">
      <c r="B122" s="132"/>
      <c r="C122" s="132"/>
      <c r="D122" s="1377" t="str">
        <f>Translations!$B$631</f>
        <v>Component</v>
      </c>
      <c r="E122" s="1378"/>
      <c r="F122" s="633">
        <v>1</v>
      </c>
      <c r="G122" s="633">
        <v>2</v>
      </c>
      <c r="H122" s="633">
        <v>3</v>
      </c>
      <c r="I122" s="633">
        <v>4</v>
      </c>
      <c r="J122" s="633">
        <v>5</v>
      </c>
      <c r="K122" s="633">
        <v>6</v>
      </c>
      <c r="L122" s="633">
        <v>7</v>
      </c>
      <c r="M122" s="116"/>
      <c r="N122" s="116"/>
      <c r="O122" s="116"/>
      <c r="P122" s="116"/>
      <c r="Q122" s="116"/>
      <c r="R122" s="116"/>
      <c r="S122" s="132"/>
      <c r="T122" s="142"/>
      <c r="U122" s="115"/>
      <c r="V122" s="566" t="str">
        <f>Translations!$B$498</f>
        <v>Units:</v>
      </c>
      <c r="W122" s="561" t="str" cm="1">
        <f t="array" ref="W122">IFERROR(INDEX(_xlfn._xlws.FILTER(W126:W135,(W126:W135)&lt;&gt;"",""),1),W123)</f>
        <v/>
      </c>
      <c r="X122" s="561" t="str" cm="1">
        <f t="array" ref="X122">IFERROR(INDEX(_xlfn._xlws.FILTER(X126:X135,(X126:X135)&lt;&gt;"",""),1),X123)</f>
        <v/>
      </c>
      <c r="Y122" s="567"/>
      <c r="Z122" s="561" t="str" cm="1">
        <f t="array" ref="Z122">IFERROR(INDEX(_xlfn._xlws.FILTER(Z126:Z135,(Z126:Z135)&lt;&gt;"",""),1),Z123)</f>
        <v/>
      </c>
      <c r="AA122" s="567"/>
    </row>
    <row r="123" spans="1:38" ht="12.75" customHeight="1" x14ac:dyDescent="0.25">
      <c r="B123" s="132"/>
      <c r="C123" s="132"/>
      <c r="D123" s="1379"/>
      <c r="E123" s="1380"/>
      <c r="F123" s="1383" t="str">
        <f>Translations!$B$377</f>
        <v>RFA</v>
      </c>
      <c r="G123" s="1383" t="str">
        <f>Translations!$B$386</f>
        <v>UCF</v>
      </c>
      <c r="H123" s="1383" t="str">
        <f>Translations!$B$383</f>
        <v>EF</v>
      </c>
      <c r="I123" s="1383" t="str">
        <f>Translations!$B$632</f>
        <v>Zero-rated F</v>
      </c>
      <c r="J123" s="1385" t="str">
        <f>Translations!$B$652</f>
        <v>Energy or other</v>
      </c>
      <c r="K123" s="1385" t="str">
        <f>Translations!$B$522</f>
        <v>Emissions (fossil)</v>
      </c>
      <c r="L123" s="1385" t="str">
        <f>Translations!$B$634</f>
        <v>Emissions (bio)</v>
      </c>
      <c r="M123" s="116"/>
      <c r="N123" s="116"/>
      <c r="O123" s="116"/>
      <c r="P123" s="116"/>
      <c r="Q123" s="116"/>
      <c r="R123" s="116"/>
      <c r="S123" s="132"/>
      <c r="T123" s="142"/>
      <c r="U123" s="115"/>
      <c r="W123" s="561" t="str">
        <f t="array" ref="W123">IFERROR(INDEX(W126:W135,MATCH(TRUE,(W126:W135)&lt;&gt;"",0)),"")</f>
        <v/>
      </c>
      <c r="X123" s="561" t="str">
        <f t="array" ref="X123">IFERROR(INDEX(X126:X135,MATCH(TRUE,(X126:X135)&lt;&gt;"",0)),"")</f>
        <v/>
      </c>
      <c r="Y123" s="567"/>
      <c r="Z123" s="561" t="str">
        <f t="array" ref="Z123">IFERROR(INDEX(Z126:Z135,MATCH(TRUE,(Z126:Z135)&lt;&gt;"",0)),"")</f>
        <v/>
      </c>
      <c r="AA123" s="567"/>
    </row>
    <row r="124" spans="1:38" ht="12.75" customHeight="1" x14ac:dyDescent="0.3">
      <c r="B124" s="132"/>
      <c r="C124" s="132"/>
      <c r="D124" s="1379"/>
      <c r="E124" s="1380"/>
      <c r="F124" s="1384"/>
      <c r="G124" s="1384"/>
      <c r="H124" s="1384"/>
      <c r="I124" s="1384"/>
      <c r="J124" s="1386"/>
      <c r="K124" s="1386"/>
      <c r="L124" s="1386"/>
      <c r="M124" s="116"/>
      <c r="N124" s="634" t="str">
        <f>Translations!$B$635</f>
        <v>Result to be entered in sheet C</v>
      </c>
      <c r="O124" s="116"/>
      <c r="P124" s="116"/>
      <c r="Q124" s="116"/>
      <c r="R124" s="116"/>
      <c r="S124" s="132"/>
      <c r="T124" s="142"/>
      <c r="U124" s="115"/>
      <c r="W124" s="569" t="str">
        <f>Translations!$B$377</f>
        <v>RFA</v>
      </c>
      <c r="X124" s="569" t="str">
        <f>Translations!$B$386</f>
        <v>UCF</v>
      </c>
      <c r="Y124" s="569"/>
      <c r="Z124" s="569" t="str">
        <f>Translations!$B$383</f>
        <v>EF</v>
      </c>
      <c r="AA124" s="569"/>
      <c r="AB124" s="570"/>
      <c r="AC124" s="570"/>
      <c r="AH124" s="570"/>
      <c r="AI124" s="570"/>
      <c r="AJ124" s="570"/>
    </row>
    <row r="125" spans="1:38" ht="12.75" customHeight="1" x14ac:dyDescent="0.3">
      <c r="B125" s="132"/>
      <c r="C125" s="132"/>
      <c r="D125" s="1381"/>
      <c r="E125" s="1382"/>
      <c r="F125" s="635" t="str">
        <f>IF(COUNTA($E126:$E140)=0,"",$W122)</f>
        <v/>
      </c>
      <c r="G125" s="635" t="str">
        <f>IF(COUNTA($E126:$E140)=0,"",$X122)</f>
        <v/>
      </c>
      <c r="H125" s="635" t="str">
        <f>IF(COUNTA($E126:$E140)=0,"",$Z122)</f>
        <v/>
      </c>
      <c r="I125" s="636" t="s">
        <v>46</v>
      </c>
      <c r="J125" s="635" t="str">
        <f>IF(AE126=EUconst_NA,EUconst_GJ,AE126)</f>
        <v>GJ</v>
      </c>
      <c r="K125" s="637" t="s">
        <v>188</v>
      </c>
      <c r="L125" s="637" t="s">
        <v>188</v>
      </c>
      <c r="M125" s="116"/>
      <c r="N125" s="1387" t="str">
        <f>Translations!$B$636</f>
        <v>The results of this tool are the relevant (weighted average) values below. Each value has to be entered manually in sheet C for the respective fuel stream. Select fuel stream below for comparison.</v>
      </c>
      <c r="O125" s="1387"/>
      <c r="P125" s="1387"/>
      <c r="Q125" s="1387"/>
      <c r="R125" s="1387"/>
      <c r="S125" s="1387"/>
      <c r="T125" s="142"/>
      <c r="U125" s="115"/>
      <c r="W125" s="569" t="str">
        <f>EUconst_CNTR_ActivityData&amp;EUconst_Unit</f>
        <v>ActivityData_Unit</v>
      </c>
      <c r="X125" s="569" t="str">
        <f>EUconst_CNTR_UCF&amp;EUconst_Unit</f>
        <v>UCF_Unit</v>
      </c>
      <c r="Y125" s="569" t="str">
        <f>EUconst_CNTR_UCF&amp;EUconst_Value</f>
        <v>UCF_Value</v>
      </c>
      <c r="Z125" s="569" t="str">
        <f>EUconst_CNTR_EF&amp;EUconst_Unit</f>
        <v>EF_Unit</v>
      </c>
      <c r="AA125" s="569" t="str">
        <f>EUconst_CNTR_EF&amp;EUconst_Value</f>
        <v>EF_Value</v>
      </c>
      <c r="AB125" s="569" t="s">
        <v>189</v>
      </c>
      <c r="AC125" s="575"/>
      <c r="AD125" s="576" t="s">
        <v>147</v>
      </c>
      <c r="AE125" s="576" t="s">
        <v>151</v>
      </c>
      <c r="AF125" s="576" t="s">
        <v>153</v>
      </c>
      <c r="AG125" s="576" t="s">
        <v>155</v>
      </c>
      <c r="AH125" s="575"/>
      <c r="AI125" s="575"/>
      <c r="AJ125" s="575" t="s">
        <v>190</v>
      </c>
      <c r="AK125" s="575" t="s">
        <v>191</v>
      </c>
      <c r="AL125" s="575" t="s">
        <v>192</v>
      </c>
    </row>
    <row r="126" spans="1:38" ht="12.75" customHeight="1" x14ac:dyDescent="0.25">
      <c r="B126" s="132"/>
      <c r="C126" s="132"/>
      <c r="D126" s="1388" t="str">
        <f>Translations!$B$637</f>
        <v>Default compontents provided by the CA</v>
      </c>
      <c r="E126" s="42"/>
      <c r="F126" s="45"/>
      <c r="G126" s="639" t="str">
        <f>IF($E126="","",Y126)</f>
        <v/>
      </c>
      <c r="H126" s="639" t="str">
        <f>IF($E126="","",AA126)</f>
        <v/>
      </c>
      <c r="I126" s="46"/>
      <c r="J126" s="640" t="str">
        <f t="shared" ref="J126:J140" si="38">IFERROR(IF(E126="","",AL126),EUconst_ERR_Inconsistent)</f>
        <v/>
      </c>
      <c r="K126" s="640" t="str">
        <f t="shared" ref="K126:K140" si="39">IFERROR(IF(E126="","",AJ126),EUconst_ERR_Inconsistent)</f>
        <v/>
      </c>
      <c r="L126" s="640" t="str">
        <f t="shared" ref="L126:L140" si="40">IFERROR(IF(E126="","",AK126),EUconst_ERR_Inconsistent)</f>
        <v/>
      </c>
      <c r="M126" s="1389"/>
      <c r="N126" s="1387"/>
      <c r="O126" s="1387"/>
      <c r="P126" s="1387"/>
      <c r="Q126" s="1387"/>
      <c r="R126" s="1387"/>
      <c r="S126" s="1387"/>
      <c r="T126" s="142"/>
      <c r="U126" s="115"/>
      <c r="W126" s="561" t="str">
        <f t="shared" ref="W126:AA135" si="41">IF($E126="","",INDEX(MSPara_CalcFactorsMatrix,MATCH($E126,MSPara_SourceStreamCategory,0),MATCH(W$20&amp;"_"&amp;2,MSPara_CalcFactors,0)))</f>
        <v/>
      </c>
      <c r="X126" s="561" t="str">
        <f t="shared" si="41"/>
        <v/>
      </c>
      <c r="Y126" s="561" t="str">
        <f t="shared" si="41"/>
        <v/>
      </c>
      <c r="Z126" s="561" t="str">
        <f t="shared" si="41"/>
        <v/>
      </c>
      <c r="AA126" s="561" t="str">
        <f t="shared" si="41"/>
        <v/>
      </c>
      <c r="AB126" s="561" t="str">
        <f>IF(E126="","",OR(W126&lt;&gt;W122,X126&lt;&gt;X122,Z126&lt;&gt;Z122))</f>
        <v/>
      </c>
      <c r="AC126" s="567"/>
      <c r="AD126" s="561" t="str">
        <f>W126</f>
        <v/>
      </c>
      <c r="AE126" s="561" t="str">
        <f>IF(X126="",EUconst_NA,IF(AD126=EUconst_TJ,EUconst_TJ,INDEX(EUwideConstants!$C$135:$G$139,MATCH(AD126,RFAUnits,0),MATCH(X126,UCFUnits,0))))</f>
        <v>n.a.</v>
      </c>
      <c r="AF126" s="561" t="str">
        <f>IF(COUNTIF(RFAUnits,AD126)=0,EUconst_NA,INDEX(EUwideConstants!$C$150:$H$154,MATCH(Z126,EFUnits,0),MATCH(AD126,EUwideConstants!$C$149:$H$149,0)))</f>
        <v>n.a.</v>
      </c>
      <c r="AG126" s="561" t="str">
        <f>IF(AE126=EUconst_NA,EUconst_NA,INDEX(EUwideConstants!$C$150:$H$154,MATCH(Z126,EFUnits,0),MATCH(AE126,EUwideConstants!$C$149:$H$149,0)))</f>
        <v>n.a.</v>
      </c>
      <c r="AH126" s="561" t="b">
        <f t="shared" ref="AH126" si="42">AF126&lt;&gt;EUconst_NA</f>
        <v>0</v>
      </c>
      <c r="AI126" s="561" t="b">
        <f t="shared" ref="AI126" si="43">AG126&lt;&gt;EUconst_NA</f>
        <v>0</v>
      </c>
      <c r="AJ126" s="582" t="str">
        <f>IF(OR(E126="",COUNTIF(AH126:AI126,TRUE)=0),"",F126*IF(AH126,1,G126*AG126)*H126*(1-I126))</f>
        <v/>
      </c>
      <c r="AK126" s="582" t="str">
        <f>IF(OR(E126="",COUNTIF(AH126:AI126,TRUE)=0),"",F126*IF(AH126,1,G126*AG126)*H126*I126)</f>
        <v/>
      </c>
      <c r="AL126" s="582" t="str">
        <f t="shared" ref="AL126:AL140" si="44">IF(E126="","",IF(W126=EUconst_TJ,F126,F126*G126))</f>
        <v/>
      </c>
    </row>
    <row r="127" spans="1:38" ht="12.75" customHeight="1" x14ac:dyDescent="0.25">
      <c r="B127" s="132"/>
      <c r="C127" s="132"/>
      <c r="D127" s="1388"/>
      <c r="E127" s="43"/>
      <c r="F127" s="47"/>
      <c r="G127" s="641" t="str">
        <f t="shared" ref="G127:G135" si="45">IF($E127="","",Y127)</f>
        <v/>
      </c>
      <c r="H127" s="641" t="str">
        <f t="shared" ref="H127:H135" si="46">IF($E127="","",AA127)</f>
        <v/>
      </c>
      <c r="I127" s="48"/>
      <c r="J127" s="642" t="str">
        <f t="shared" si="38"/>
        <v/>
      </c>
      <c r="K127" s="642" t="str">
        <f t="shared" si="39"/>
        <v/>
      </c>
      <c r="L127" s="642" t="str">
        <f t="shared" si="40"/>
        <v/>
      </c>
      <c r="M127" s="1389"/>
      <c r="N127" s="638"/>
      <c r="O127" s="643" t="str">
        <f>Translations!$B$639</f>
        <v>Fuel stream:</v>
      </c>
      <c r="P127" s="1390"/>
      <c r="Q127" s="1391"/>
      <c r="R127" s="1391"/>
      <c r="S127" s="1392"/>
      <c r="T127" s="142"/>
      <c r="U127" s="115"/>
      <c r="W127" s="561" t="str">
        <f t="shared" si="41"/>
        <v/>
      </c>
      <c r="X127" s="561" t="str">
        <f t="shared" si="41"/>
        <v/>
      </c>
      <c r="Y127" s="561" t="str">
        <f t="shared" si="41"/>
        <v/>
      </c>
      <c r="Z127" s="561" t="str">
        <f t="shared" si="41"/>
        <v/>
      </c>
      <c r="AA127" s="561" t="str">
        <f t="shared" si="41"/>
        <v/>
      </c>
      <c r="AB127" s="561" t="str">
        <f>IF(E127="","",OR(W127&lt;&gt;W122,X127&lt;&gt;X122,Z127&lt;&gt;Z122))</f>
        <v/>
      </c>
      <c r="AC127" s="567"/>
      <c r="AD127" s="561" t="str">
        <f>AD126</f>
        <v/>
      </c>
      <c r="AE127" s="561" t="str">
        <f t="shared" ref="AE127:AE140" si="47">AE126</f>
        <v>n.a.</v>
      </c>
      <c r="AF127" s="561" t="str">
        <f t="shared" ref="AF127:AF140" si="48">AF126</f>
        <v>n.a.</v>
      </c>
      <c r="AG127" s="561" t="str">
        <f t="shared" ref="AG127:AG140" si="49">AG126</f>
        <v>n.a.</v>
      </c>
      <c r="AH127" s="561" t="b">
        <f t="shared" ref="AH127:AH140" si="50">AH126</f>
        <v>0</v>
      </c>
      <c r="AI127" s="561" t="b">
        <f t="shared" ref="AI127:AI140" si="51">AI126</f>
        <v>0</v>
      </c>
      <c r="AJ127" s="582" t="str">
        <f t="shared" ref="AJ127:AJ140" si="52">IF(OR(E127="",COUNTIF(AH127:AI127,TRUE)=0),"",F127*IF(AH127,1,G127*AG127)*H127*(1-I127))</f>
        <v/>
      </c>
      <c r="AK127" s="582" t="str">
        <f t="shared" ref="AK127:AK140" si="53">IF(OR(E127="",COUNTIF(AH127:AI127,TRUE)=0),"",F127*IF(AH127,1,G127*AG127)*H127*I127)</f>
        <v/>
      </c>
      <c r="AL127" s="582" t="str">
        <f t="shared" si="44"/>
        <v/>
      </c>
    </row>
    <row r="128" spans="1:38" ht="12.75" customHeight="1" x14ac:dyDescent="0.25">
      <c r="B128" s="132"/>
      <c r="C128" s="132"/>
      <c r="D128" s="1388"/>
      <c r="E128" s="43"/>
      <c r="F128" s="47"/>
      <c r="G128" s="641" t="str">
        <f t="shared" si="45"/>
        <v/>
      </c>
      <c r="H128" s="641" t="str">
        <f t="shared" si="46"/>
        <v/>
      </c>
      <c r="I128" s="48"/>
      <c r="J128" s="642" t="str">
        <f t="shared" si="38"/>
        <v/>
      </c>
      <c r="K128" s="642" t="str">
        <f t="shared" si="39"/>
        <v/>
      </c>
      <c r="L128" s="642" t="str">
        <f t="shared" si="40"/>
        <v/>
      </c>
      <c r="M128" s="1389"/>
      <c r="N128" s="116"/>
      <c r="O128" s="116"/>
      <c r="P128" s="116"/>
      <c r="Q128" s="116"/>
      <c r="R128" s="116"/>
      <c r="S128" s="132"/>
      <c r="T128" s="142"/>
      <c r="U128" s="115"/>
      <c r="W128" s="561" t="str">
        <f t="shared" si="41"/>
        <v/>
      </c>
      <c r="X128" s="561" t="str">
        <f t="shared" si="41"/>
        <v/>
      </c>
      <c r="Y128" s="561" t="str">
        <f t="shared" si="41"/>
        <v/>
      </c>
      <c r="Z128" s="561" t="str">
        <f t="shared" si="41"/>
        <v/>
      </c>
      <c r="AA128" s="561" t="str">
        <f t="shared" si="41"/>
        <v/>
      </c>
      <c r="AB128" s="561" t="str">
        <f>IF(E128="","",OR(W128&lt;&gt;W122,X128&lt;&gt;X122,Z128&lt;&gt;Z122))</f>
        <v/>
      </c>
      <c r="AC128" s="567"/>
      <c r="AD128" s="561" t="str">
        <f t="shared" ref="AD128:AD140" si="54">AD127</f>
        <v/>
      </c>
      <c r="AE128" s="561" t="str">
        <f t="shared" si="47"/>
        <v>n.a.</v>
      </c>
      <c r="AF128" s="561" t="str">
        <f t="shared" si="48"/>
        <v>n.a.</v>
      </c>
      <c r="AG128" s="561" t="str">
        <f t="shared" si="49"/>
        <v>n.a.</v>
      </c>
      <c r="AH128" s="561" t="b">
        <f t="shared" si="50"/>
        <v>0</v>
      </c>
      <c r="AI128" s="561" t="b">
        <f t="shared" si="51"/>
        <v>0</v>
      </c>
      <c r="AJ128" s="582" t="str">
        <f t="shared" si="52"/>
        <v/>
      </c>
      <c r="AK128" s="582" t="str">
        <f t="shared" si="53"/>
        <v/>
      </c>
      <c r="AL128" s="582" t="str">
        <f t="shared" si="44"/>
        <v/>
      </c>
    </row>
    <row r="129" spans="1:38" ht="12.75" customHeight="1" thickBot="1" x14ac:dyDescent="0.35">
      <c r="B129" s="132"/>
      <c r="C129" s="132"/>
      <c r="D129" s="1388"/>
      <c r="E129" s="43"/>
      <c r="F129" s="47"/>
      <c r="G129" s="641" t="str">
        <f t="shared" si="45"/>
        <v/>
      </c>
      <c r="H129" s="641" t="str">
        <f t="shared" si="46"/>
        <v/>
      </c>
      <c r="I129" s="48"/>
      <c r="J129" s="642" t="str">
        <f t="shared" si="38"/>
        <v/>
      </c>
      <c r="K129" s="642" t="str">
        <f t="shared" si="39"/>
        <v/>
      </c>
      <c r="L129" s="642" t="str">
        <f t="shared" si="40"/>
        <v/>
      </c>
      <c r="M129" s="1389"/>
      <c r="N129" s="1255" t="str">
        <f>Translations!$B$394</f>
        <v>Unit</v>
      </c>
      <c r="O129" s="1255"/>
      <c r="P129" s="1255" t="str">
        <f>Translations!$B$395</f>
        <v>Value</v>
      </c>
      <c r="Q129" s="1255"/>
      <c r="R129" s="116"/>
      <c r="S129" s="644" t="str">
        <f>Translations!$B$642</f>
        <v>Sheet C values</v>
      </c>
      <c r="T129" s="142"/>
      <c r="U129" s="115"/>
      <c r="W129" s="561" t="str">
        <f t="shared" si="41"/>
        <v/>
      </c>
      <c r="X129" s="561" t="str">
        <f t="shared" si="41"/>
        <v/>
      </c>
      <c r="Y129" s="561" t="str">
        <f t="shared" si="41"/>
        <v/>
      </c>
      <c r="Z129" s="561" t="str">
        <f t="shared" si="41"/>
        <v/>
      </c>
      <c r="AA129" s="561" t="str">
        <f t="shared" si="41"/>
        <v/>
      </c>
      <c r="AB129" s="561" t="str">
        <f>IF(E129="","",OR(W129&lt;&gt;W122,X129&lt;&gt;X122,Z129&lt;&gt;Z122))</f>
        <v/>
      </c>
      <c r="AC129" s="567"/>
      <c r="AD129" s="561" t="str">
        <f t="shared" si="54"/>
        <v/>
      </c>
      <c r="AE129" s="561" t="str">
        <f t="shared" si="47"/>
        <v>n.a.</v>
      </c>
      <c r="AF129" s="561" t="str">
        <f t="shared" si="48"/>
        <v>n.a.</v>
      </c>
      <c r="AG129" s="561" t="str">
        <f t="shared" si="49"/>
        <v>n.a.</v>
      </c>
      <c r="AH129" s="561" t="b">
        <f t="shared" si="50"/>
        <v>0</v>
      </c>
      <c r="AI129" s="561" t="b">
        <f t="shared" si="51"/>
        <v>0</v>
      </c>
      <c r="AJ129" s="582" t="str">
        <f t="shared" si="52"/>
        <v/>
      </c>
      <c r="AK129" s="582" t="str">
        <f t="shared" si="53"/>
        <v/>
      </c>
      <c r="AL129" s="582" t="str">
        <f t="shared" si="44"/>
        <v/>
      </c>
    </row>
    <row r="130" spans="1:38" ht="12.75" customHeight="1" thickBot="1" x14ac:dyDescent="0.3">
      <c r="B130" s="132"/>
      <c r="C130" s="132"/>
      <c r="D130" s="1388"/>
      <c r="E130" s="43"/>
      <c r="F130" s="47"/>
      <c r="G130" s="641" t="str">
        <f t="shared" si="45"/>
        <v/>
      </c>
      <c r="H130" s="641" t="str">
        <f t="shared" si="46"/>
        <v/>
      </c>
      <c r="I130" s="48"/>
      <c r="J130" s="642" t="str">
        <f t="shared" si="38"/>
        <v/>
      </c>
      <c r="K130" s="642" t="str">
        <f t="shared" si="39"/>
        <v/>
      </c>
      <c r="L130" s="642" t="str">
        <f t="shared" si="40"/>
        <v/>
      </c>
      <c r="M130" s="116"/>
      <c r="N130" s="346" t="str">
        <f>F125</f>
        <v/>
      </c>
      <c r="O130" s="7"/>
      <c r="P130" s="1393" t="str">
        <f>IF(F141="","",F141)</f>
        <v/>
      </c>
      <c r="Q130" s="1394"/>
      <c r="R130" s="116"/>
      <c r="S130" s="645" t="str">
        <f>IF(P127="","",SUMIFS(C_FuelStreams!BK:BK,C_FuelStreams!BI:BI,P127))</f>
        <v/>
      </c>
      <c r="T130" s="142"/>
      <c r="U130" s="115"/>
      <c r="W130" s="561" t="str">
        <f t="shared" si="41"/>
        <v/>
      </c>
      <c r="X130" s="561" t="str">
        <f t="shared" si="41"/>
        <v/>
      </c>
      <c r="Y130" s="561" t="str">
        <f t="shared" si="41"/>
        <v/>
      </c>
      <c r="Z130" s="561" t="str">
        <f t="shared" si="41"/>
        <v/>
      </c>
      <c r="AA130" s="561" t="str">
        <f t="shared" si="41"/>
        <v/>
      </c>
      <c r="AB130" s="561" t="str">
        <f>IF(E130="","",OR(W130&lt;&gt;W122,X130&lt;&gt;X122,Z130&lt;&gt;Z122))</f>
        <v/>
      </c>
      <c r="AC130" s="567"/>
      <c r="AD130" s="561" t="str">
        <f t="shared" si="54"/>
        <v/>
      </c>
      <c r="AE130" s="561" t="str">
        <f t="shared" si="47"/>
        <v>n.a.</v>
      </c>
      <c r="AF130" s="561" t="str">
        <f t="shared" si="48"/>
        <v>n.a.</v>
      </c>
      <c r="AG130" s="561" t="str">
        <f t="shared" si="49"/>
        <v>n.a.</v>
      </c>
      <c r="AH130" s="561" t="b">
        <f t="shared" si="50"/>
        <v>0</v>
      </c>
      <c r="AI130" s="561" t="b">
        <f t="shared" si="51"/>
        <v>0</v>
      </c>
      <c r="AJ130" s="582" t="str">
        <f t="shared" si="52"/>
        <v/>
      </c>
      <c r="AK130" s="582" t="str">
        <f t="shared" si="53"/>
        <v/>
      </c>
      <c r="AL130" s="582" t="str">
        <f t="shared" si="44"/>
        <v/>
      </c>
    </row>
    <row r="131" spans="1:38" ht="12.75" customHeight="1" thickBot="1" x14ac:dyDescent="0.3">
      <c r="B131" s="132"/>
      <c r="C131" s="132"/>
      <c r="D131" s="1388"/>
      <c r="E131" s="43"/>
      <c r="F131" s="47"/>
      <c r="G131" s="641" t="str">
        <f t="shared" si="45"/>
        <v/>
      </c>
      <c r="H131" s="641" t="str">
        <f t="shared" si="46"/>
        <v/>
      </c>
      <c r="I131" s="48"/>
      <c r="J131" s="642" t="str">
        <f t="shared" si="38"/>
        <v/>
      </c>
      <c r="K131" s="642" t="str">
        <f t="shared" si="39"/>
        <v/>
      </c>
      <c r="L131" s="642" t="str">
        <f t="shared" si="40"/>
        <v/>
      </c>
      <c r="M131" s="116"/>
      <c r="N131" s="162"/>
      <c r="O131" s="162"/>
      <c r="P131" s="76"/>
      <c r="Q131" s="76"/>
      <c r="R131" s="116"/>
      <c r="S131" s="996"/>
      <c r="T131" s="142"/>
      <c r="U131" s="115"/>
      <c r="W131" s="561" t="str">
        <f t="shared" si="41"/>
        <v/>
      </c>
      <c r="X131" s="561" t="str">
        <f t="shared" si="41"/>
        <v/>
      </c>
      <c r="Y131" s="561" t="str">
        <f t="shared" si="41"/>
        <v/>
      </c>
      <c r="Z131" s="561" t="str">
        <f t="shared" si="41"/>
        <v/>
      </c>
      <c r="AA131" s="561" t="str">
        <f t="shared" si="41"/>
        <v/>
      </c>
      <c r="AB131" s="561" t="str">
        <f>IF(E131="","",OR(W131&lt;&gt;W122,X131&lt;&gt;X122,Z131&lt;&gt;Z122))</f>
        <v/>
      </c>
      <c r="AC131" s="567"/>
      <c r="AD131" s="561" t="str">
        <f t="shared" si="54"/>
        <v/>
      </c>
      <c r="AE131" s="561" t="str">
        <f t="shared" si="47"/>
        <v>n.a.</v>
      </c>
      <c r="AF131" s="561" t="str">
        <f t="shared" si="48"/>
        <v>n.a.</v>
      </c>
      <c r="AG131" s="561" t="str">
        <f t="shared" si="49"/>
        <v>n.a.</v>
      </c>
      <c r="AH131" s="561" t="b">
        <f t="shared" si="50"/>
        <v>0</v>
      </c>
      <c r="AI131" s="561" t="b">
        <f t="shared" si="51"/>
        <v>0</v>
      </c>
      <c r="AJ131" s="582" t="str">
        <f t="shared" si="52"/>
        <v/>
      </c>
      <c r="AK131" s="582" t="str">
        <f t="shared" si="53"/>
        <v/>
      </c>
      <c r="AL131" s="582" t="str">
        <f t="shared" si="44"/>
        <v/>
      </c>
    </row>
    <row r="132" spans="1:38" ht="12.75" customHeight="1" x14ac:dyDescent="0.25">
      <c r="B132" s="132"/>
      <c r="C132" s="132"/>
      <c r="D132" s="1388"/>
      <c r="E132" s="43"/>
      <c r="F132" s="47"/>
      <c r="G132" s="641" t="str">
        <f t="shared" si="45"/>
        <v/>
      </c>
      <c r="H132" s="641" t="str">
        <f t="shared" si="46"/>
        <v/>
      </c>
      <c r="I132" s="48"/>
      <c r="J132" s="642" t="str">
        <f t="shared" si="38"/>
        <v/>
      </c>
      <c r="K132" s="642" t="str">
        <f t="shared" si="39"/>
        <v/>
      </c>
      <c r="L132" s="642" t="str">
        <f t="shared" si="40"/>
        <v/>
      </c>
      <c r="M132" s="116"/>
      <c r="N132" s="365" t="str">
        <f>G125</f>
        <v/>
      </c>
      <c r="O132" s="11"/>
      <c r="P132" s="366"/>
      <c r="Q132" s="646" t="str">
        <f>IF(G141="","",G141)</f>
        <v/>
      </c>
      <c r="R132" s="116"/>
      <c r="S132" s="647" t="str">
        <f>IF(P127="","",SUMIFS(C_FuelStreams!BU:BU,C_FuelStreams!BI:BI,P127))</f>
        <v/>
      </c>
      <c r="T132" s="142"/>
      <c r="U132" s="115"/>
      <c r="W132" s="561" t="str">
        <f t="shared" si="41"/>
        <v/>
      </c>
      <c r="X132" s="561" t="str">
        <f t="shared" si="41"/>
        <v/>
      </c>
      <c r="Y132" s="561" t="str">
        <f t="shared" si="41"/>
        <v/>
      </c>
      <c r="Z132" s="561" t="str">
        <f t="shared" si="41"/>
        <v/>
      </c>
      <c r="AA132" s="561" t="str">
        <f t="shared" si="41"/>
        <v/>
      </c>
      <c r="AB132" s="561" t="str">
        <f>IF(E132="","",OR(W132&lt;&gt;W122,X132&lt;&gt;X122,Z132&lt;&gt;Z122))</f>
        <v/>
      </c>
      <c r="AC132" s="567"/>
      <c r="AD132" s="561" t="str">
        <f t="shared" si="54"/>
        <v/>
      </c>
      <c r="AE132" s="561" t="str">
        <f t="shared" si="47"/>
        <v>n.a.</v>
      </c>
      <c r="AF132" s="561" t="str">
        <f t="shared" si="48"/>
        <v>n.a.</v>
      </c>
      <c r="AG132" s="561" t="str">
        <f t="shared" si="49"/>
        <v>n.a.</v>
      </c>
      <c r="AH132" s="561" t="b">
        <f t="shared" si="50"/>
        <v>0</v>
      </c>
      <c r="AI132" s="561" t="b">
        <f t="shared" si="51"/>
        <v>0</v>
      </c>
      <c r="AJ132" s="582" t="str">
        <f t="shared" si="52"/>
        <v/>
      </c>
      <c r="AK132" s="582" t="str">
        <f t="shared" si="53"/>
        <v/>
      </c>
      <c r="AL132" s="582" t="str">
        <f t="shared" si="44"/>
        <v/>
      </c>
    </row>
    <row r="133" spans="1:38" ht="12.75" customHeight="1" thickBot="1" x14ac:dyDescent="0.3">
      <c r="B133" s="132"/>
      <c r="C133" s="132"/>
      <c r="D133" s="1388"/>
      <c r="E133" s="43"/>
      <c r="F133" s="47"/>
      <c r="G133" s="641" t="str">
        <f t="shared" si="45"/>
        <v/>
      </c>
      <c r="H133" s="641" t="str">
        <f t="shared" si="46"/>
        <v/>
      </c>
      <c r="I133" s="48"/>
      <c r="J133" s="642" t="str">
        <f t="shared" si="38"/>
        <v/>
      </c>
      <c r="K133" s="642" t="str">
        <f t="shared" si="39"/>
        <v/>
      </c>
      <c r="L133" s="642" t="str">
        <f t="shared" si="40"/>
        <v/>
      </c>
      <c r="M133" s="116"/>
      <c r="N133" s="648" t="str">
        <f>H125</f>
        <v/>
      </c>
      <c r="O133" s="22"/>
      <c r="P133" s="649"/>
      <c r="Q133" s="650" t="str">
        <f>IF(H141="","",H141)</f>
        <v/>
      </c>
      <c r="R133" s="116"/>
      <c r="S133" s="651" t="str">
        <f>IF(P127="","",SUMIFS(C_FuelStreams!BR:BR,C_FuelStreams!BI:BI,P127))</f>
        <v/>
      </c>
      <c r="T133" s="142"/>
      <c r="U133" s="115"/>
      <c r="W133" s="561" t="str">
        <f t="shared" si="41"/>
        <v/>
      </c>
      <c r="X133" s="561" t="str">
        <f t="shared" si="41"/>
        <v/>
      </c>
      <c r="Y133" s="561" t="str">
        <f t="shared" si="41"/>
        <v/>
      </c>
      <c r="Z133" s="561" t="str">
        <f t="shared" si="41"/>
        <v/>
      </c>
      <c r="AA133" s="561" t="str">
        <f t="shared" si="41"/>
        <v/>
      </c>
      <c r="AB133" s="561" t="str">
        <f>IF(E133="","",OR(W133&lt;&gt;W122,X133&lt;&gt;X122,Z133&lt;&gt;Z122))</f>
        <v/>
      </c>
      <c r="AC133" s="567"/>
      <c r="AD133" s="561" t="str">
        <f t="shared" si="54"/>
        <v/>
      </c>
      <c r="AE133" s="561" t="str">
        <f t="shared" si="47"/>
        <v>n.a.</v>
      </c>
      <c r="AF133" s="561" t="str">
        <f t="shared" si="48"/>
        <v>n.a.</v>
      </c>
      <c r="AG133" s="561" t="str">
        <f t="shared" si="49"/>
        <v>n.a.</v>
      </c>
      <c r="AH133" s="561" t="b">
        <f t="shared" si="50"/>
        <v>0</v>
      </c>
      <c r="AI133" s="561" t="b">
        <f t="shared" si="51"/>
        <v>0</v>
      </c>
      <c r="AJ133" s="582" t="str">
        <f t="shared" si="52"/>
        <v/>
      </c>
      <c r="AK133" s="582" t="str">
        <f t="shared" si="53"/>
        <v/>
      </c>
      <c r="AL133" s="582" t="str">
        <f t="shared" si="44"/>
        <v/>
      </c>
    </row>
    <row r="134" spans="1:38" ht="12.75" customHeight="1" x14ac:dyDescent="0.25">
      <c r="B134" s="132"/>
      <c r="C134" s="132"/>
      <c r="D134" s="1388"/>
      <c r="E134" s="43"/>
      <c r="F134" s="47"/>
      <c r="G134" s="641" t="str">
        <f t="shared" si="45"/>
        <v/>
      </c>
      <c r="H134" s="641" t="str">
        <f t="shared" si="46"/>
        <v/>
      </c>
      <c r="I134" s="48"/>
      <c r="J134" s="642" t="str">
        <f t="shared" si="38"/>
        <v/>
      </c>
      <c r="K134" s="642" t="str">
        <f t="shared" si="39"/>
        <v/>
      </c>
      <c r="L134" s="642" t="str">
        <f t="shared" si="40"/>
        <v/>
      </c>
      <c r="M134" s="116"/>
      <c r="N134" s="652" t="s">
        <v>46</v>
      </c>
      <c r="O134" s="411"/>
      <c r="P134" s="653"/>
      <c r="Q134" s="654" t="str">
        <f>IF(I141="","",I141)</f>
        <v/>
      </c>
      <c r="R134" s="116"/>
      <c r="S134" s="655" t="str">
        <f>IF(P127="","",SUMIFS(C_FuelStreams!BX:BX,C_FuelStreams!BI:BI,P127))</f>
        <v/>
      </c>
      <c r="T134" s="142"/>
      <c r="U134" s="115"/>
      <c r="W134" s="561" t="str">
        <f t="shared" si="41"/>
        <v/>
      </c>
      <c r="X134" s="561" t="str">
        <f t="shared" si="41"/>
        <v/>
      </c>
      <c r="Y134" s="561" t="str">
        <f t="shared" si="41"/>
        <v/>
      </c>
      <c r="Z134" s="561" t="str">
        <f t="shared" si="41"/>
        <v/>
      </c>
      <c r="AA134" s="561" t="str">
        <f t="shared" si="41"/>
        <v/>
      </c>
      <c r="AB134" s="561" t="str">
        <f>IF(E134="","",OR(W134&lt;&gt;W122,X134&lt;&gt;X122,Z134&lt;&gt;Z122))</f>
        <v/>
      </c>
      <c r="AC134" s="567"/>
      <c r="AD134" s="561" t="str">
        <f t="shared" si="54"/>
        <v/>
      </c>
      <c r="AE134" s="561" t="str">
        <f t="shared" si="47"/>
        <v>n.a.</v>
      </c>
      <c r="AF134" s="561" t="str">
        <f t="shared" si="48"/>
        <v>n.a.</v>
      </c>
      <c r="AG134" s="561" t="str">
        <f t="shared" si="49"/>
        <v>n.a.</v>
      </c>
      <c r="AH134" s="561" t="b">
        <f t="shared" si="50"/>
        <v>0</v>
      </c>
      <c r="AI134" s="561" t="b">
        <f t="shared" si="51"/>
        <v>0</v>
      </c>
      <c r="AJ134" s="582" t="str">
        <f t="shared" si="52"/>
        <v/>
      </c>
      <c r="AK134" s="582" t="str">
        <f t="shared" si="53"/>
        <v/>
      </c>
      <c r="AL134" s="582" t="str">
        <f t="shared" si="44"/>
        <v/>
      </c>
    </row>
    <row r="135" spans="1:38" ht="12.75" customHeight="1" x14ac:dyDescent="0.25">
      <c r="B135" s="132"/>
      <c r="C135" s="132"/>
      <c r="D135" s="1388"/>
      <c r="E135" s="43"/>
      <c r="F135" s="47"/>
      <c r="G135" s="641" t="str">
        <f t="shared" si="45"/>
        <v/>
      </c>
      <c r="H135" s="641" t="str">
        <f t="shared" si="46"/>
        <v/>
      </c>
      <c r="I135" s="48"/>
      <c r="J135" s="642" t="str">
        <f t="shared" si="38"/>
        <v/>
      </c>
      <c r="K135" s="642" t="str">
        <f t="shared" si="39"/>
        <v/>
      </c>
      <c r="L135" s="642" t="str">
        <f t="shared" si="40"/>
        <v/>
      </c>
      <c r="M135" s="1395"/>
      <c r="N135" s="116"/>
      <c r="O135" s="116"/>
      <c r="P135" s="116"/>
      <c r="Q135" s="116"/>
      <c r="R135" s="116"/>
      <c r="S135" s="132"/>
      <c r="T135" s="142"/>
      <c r="U135" s="115"/>
      <c r="W135" s="561" t="str">
        <f t="shared" si="41"/>
        <v/>
      </c>
      <c r="X135" s="561" t="str">
        <f t="shared" si="41"/>
        <v/>
      </c>
      <c r="Y135" s="561" t="str">
        <f t="shared" si="41"/>
        <v/>
      </c>
      <c r="Z135" s="561" t="str">
        <f t="shared" si="41"/>
        <v/>
      </c>
      <c r="AA135" s="561" t="str">
        <f t="shared" si="41"/>
        <v/>
      </c>
      <c r="AB135" s="561" t="str">
        <f>IF(E135="","",OR(W135&lt;&gt;W122,X135&lt;&gt;X122,Z135&lt;&gt;Z122))</f>
        <v/>
      </c>
      <c r="AC135" s="567"/>
      <c r="AD135" s="561" t="str">
        <f t="shared" si="54"/>
        <v/>
      </c>
      <c r="AE135" s="561" t="str">
        <f t="shared" si="47"/>
        <v>n.a.</v>
      </c>
      <c r="AF135" s="561" t="str">
        <f t="shared" si="48"/>
        <v>n.a.</v>
      </c>
      <c r="AG135" s="561" t="str">
        <f t="shared" si="49"/>
        <v>n.a.</v>
      </c>
      <c r="AH135" s="561" t="b">
        <f t="shared" si="50"/>
        <v>0</v>
      </c>
      <c r="AI135" s="561" t="b">
        <f t="shared" si="51"/>
        <v>0</v>
      </c>
      <c r="AJ135" s="582" t="str">
        <f t="shared" si="52"/>
        <v/>
      </c>
      <c r="AK135" s="582" t="str">
        <f t="shared" si="53"/>
        <v/>
      </c>
      <c r="AL135" s="582" t="str">
        <f t="shared" si="44"/>
        <v/>
      </c>
    </row>
    <row r="136" spans="1:38" ht="12.75" customHeight="1" x14ac:dyDescent="0.25">
      <c r="B136" s="132"/>
      <c r="C136" s="132"/>
      <c r="D136" s="1388" t="str">
        <f>Translations!$B$643</f>
        <v>Customised components</v>
      </c>
      <c r="E136" s="42"/>
      <c r="F136" s="45"/>
      <c r="G136" s="49"/>
      <c r="H136" s="49"/>
      <c r="I136" s="46"/>
      <c r="J136" s="640" t="str">
        <f t="shared" si="38"/>
        <v/>
      </c>
      <c r="K136" s="640" t="str">
        <f t="shared" si="39"/>
        <v/>
      </c>
      <c r="L136" s="640" t="str">
        <f t="shared" si="40"/>
        <v/>
      </c>
      <c r="M136" s="1395"/>
      <c r="N136" s="116"/>
      <c r="O136" s="116"/>
      <c r="P136" s="656" t="str">
        <f>Translations!$B$644</f>
        <v>CO2 fossil (before scope factor):</v>
      </c>
      <c r="Q136" s="997" t="str">
        <f>IF(K141="","",K141)</f>
        <v/>
      </c>
      <c r="R136" s="656"/>
      <c r="S136" s="997" t="str">
        <f>IF(P127="","",IF(W136=0,0,SUMIFS(C_FuelStreams!CE:CE,C_FuelStreams!BI:BI,P127)/W136))</f>
        <v/>
      </c>
      <c r="T136" s="142"/>
      <c r="U136" s="115"/>
      <c r="V136" s="110" t="str">
        <f>Translations!$B$398</f>
        <v>Scope factor:</v>
      </c>
      <c r="W136" s="617" t="str">
        <f>IF(P127="","",SUMIFS(C_FuelStreams!BP:BP,C_FuelStreams!BI:BI,P127))</f>
        <v/>
      </c>
      <c r="AD136" s="561" t="str">
        <f t="shared" si="54"/>
        <v/>
      </c>
      <c r="AE136" s="561" t="str">
        <f t="shared" si="47"/>
        <v>n.a.</v>
      </c>
      <c r="AF136" s="561" t="str">
        <f t="shared" si="48"/>
        <v>n.a.</v>
      </c>
      <c r="AG136" s="561" t="str">
        <f t="shared" si="49"/>
        <v>n.a.</v>
      </c>
      <c r="AH136" s="561" t="b">
        <f t="shared" si="50"/>
        <v>0</v>
      </c>
      <c r="AI136" s="561" t="b">
        <f t="shared" si="51"/>
        <v>0</v>
      </c>
      <c r="AJ136" s="582" t="str">
        <f t="shared" si="52"/>
        <v/>
      </c>
      <c r="AK136" s="582" t="str">
        <f t="shared" si="53"/>
        <v/>
      </c>
      <c r="AL136" s="582" t="str">
        <f t="shared" si="44"/>
        <v/>
      </c>
    </row>
    <row r="137" spans="1:38" ht="12.75" customHeight="1" x14ac:dyDescent="0.25">
      <c r="B137" s="132"/>
      <c r="C137" s="132"/>
      <c r="D137" s="1388"/>
      <c r="E137" s="43"/>
      <c r="F137" s="47"/>
      <c r="G137" s="50"/>
      <c r="H137" s="50"/>
      <c r="I137" s="48"/>
      <c r="J137" s="642" t="str">
        <f t="shared" si="38"/>
        <v/>
      </c>
      <c r="K137" s="642" t="str">
        <f t="shared" si="39"/>
        <v/>
      </c>
      <c r="L137" s="642" t="str">
        <f t="shared" si="40"/>
        <v/>
      </c>
      <c r="M137" s="1395"/>
      <c r="N137" s="116"/>
      <c r="O137" s="116"/>
      <c r="P137" s="116"/>
      <c r="Q137" s="116"/>
      <c r="R137" s="116"/>
      <c r="S137" s="132"/>
      <c r="T137" s="142"/>
      <c r="U137" s="115"/>
      <c r="AD137" s="561" t="str">
        <f t="shared" si="54"/>
        <v/>
      </c>
      <c r="AE137" s="561" t="str">
        <f t="shared" si="47"/>
        <v>n.a.</v>
      </c>
      <c r="AF137" s="561" t="str">
        <f t="shared" si="48"/>
        <v>n.a.</v>
      </c>
      <c r="AG137" s="561" t="str">
        <f t="shared" si="49"/>
        <v>n.a.</v>
      </c>
      <c r="AH137" s="561" t="b">
        <f t="shared" si="50"/>
        <v>0</v>
      </c>
      <c r="AI137" s="561" t="b">
        <f t="shared" si="51"/>
        <v>0</v>
      </c>
      <c r="AJ137" s="582" t="str">
        <f t="shared" si="52"/>
        <v/>
      </c>
      <c r="AK137" s="582" t="str">
        <f t="shared" si="53"/>
        <v/>
      </c>
      <c r="AL137" s="582" t="str">
        <f t="shared" si="44"/>
        <v/>
      </c>
    </row>
    <row r="138" spans="1:38" ht="12.75" customHeight="1" x14ac:dyDescent="0.25">
      <c r="B138" s="132"/>
      <c r="C138" s="132"/>
      <c r="D138" s="1388"/>
      <c r="E138" s="43"/>
      <c r="F138" s="47"/>
      <c r="G138" s="50"/>
      <c r="H138" s="50"/>
      <c r="I138" s="48"/>
      <c r="J138" s="642" t="str">
        <f t="shared" si="38"/>
        <v/>
      </c>
      <c r="K138" s="642" t="str">
        <f t="shared" si="39"/>
        <v/>
      </c>
      <c r="L138" s="642" t="str">
        <f t="shared" si="40"/>
        <v/>
      </c>
      <c r="M138" s="1395"/>
      <c r="N138" s="116"/>
      <c r="O138" s="116"/>
      <c r="P138" s="116"/>
      <c r="Q138" s="116"/>
      <c r="R138" s="116"/>
      <c r="S138" s="132"/>
      <c r="T138" s="142"/>
      <c r="U138" s="115"/>
      <c r="AD138" s="561" t="str">
        <f t="shared" si="54"/>
        <v/>
      </c>
      <c r="AE138" s="561" t="str">
        <f t="shared" si="47"/>
        <v>n.a.</v>
      </c>
      <c r="AF138" s="561" t="str">
        <f t="shared" si="48"/>
        <v>n.a.</v>
      </c>
      <c r="AG138" s="561" t="str">
        <f t="shared" si="49"/>
        <v>n.a.</v>
      </c>
      <c r="AH138" s="561" t="b">
        <f t="shared" si="50"/>
        <v>0</v>
      </c>
      <c r="AI138" s="561" t="b">
        <f t="shared" si="51"/>
        <v>0</v>
      </c>
      <c r="AJ138" s="582" t="str">
        <f t="shared" si="52"/>
        <v/>
      </c>
      <c r="AK138" s="582" t="str">
        <f t="shared" si="53"/>
        <v/>
      </c>
      <c r="AL138" s="582" t="str">
        <f t="shared" si="44"/>
        <v/>
      </c>
    </row>
    <row r="139" spans="1:38" ht="12.75" customHeight="1" x14ac:dyDescent="0.25">
      <c r="B139" s="132"/>
      <c r="C139" s="132"/>
      <c r="D139" s="1388"/>
      <c r="E139" s="43"/>
      <c r="F139" s="47"/>
      <c r="G139" s="50"/>
      <c r="H139" s="50"/>
      <c r="I139" s="48"/>
      <c r="J139" s="642" t="str">
        <f t="shared" si="38"/>
        <v/>
      </c>
      <c r="K139" s="642" t="str">
        <f t="shared" si="39"/>
        <v/>
      </c>
      <c r="L139" s="642" t="str">
        <f t="shared" si="40"/>
        <v/>
      </c>
      <c r="M139" s="1395"/>
      <c r="N139" s="116"/>
      <c r="O139" s="116"/>
      <c r="P139" s="116"/>
      <c r="Q139" s="116"/>
      <c r="R139" s="116"/>
      <c r="S139" s="132"/>
      <c r="T139" s="142"/>
      <c r="U139" s="115"/>
      <c r="AD139" s="561" t="str">
        <f t="shared" si="54"/>
        <v/>
      </c>
      <c r="AE139" s="561" t="str">
        <f t="shared" si="47"/>
        <v>n.a.</v>
      </c>
      <c r="AF139" s="561" t="str">
        <f t="shared" si="48"/>
        <v>n.a.</v>
      </c>
      <c r="AG139" s="561" t="str">
        <f t="shared" si="49"/>
        <v>n.a.</v>
      </c>
      <c r="AH139" s="561" t="b">
        <f t="shared" si="50"/>
        <v>0</v>
      </c>
      <c r="AI139" s="561" t="b">
        <f t="shared" si="51"/>
        <v>0</v>
      </c>
      <c r="AJ139" s="582" t="str">
        <f t="shared" si="52"/>
        <v/>
      </c>
      <c r="AK139" s="582" t="str">
        <f t="shared" si="53"/>
        <v/>
      </c>
      <c r="AL139" s="582" t="str">
        <f t="shared" si="44"/>
        <v/>
      </c>
    </row>
    <row r="140" spans="1:38" ht="12.75" customHeight="1" x14ac:dyDescent="0.25">
      <c r="B140" s="132"/>
      <c r="C140" s="132"/>
      <c r="D140" s="1388"/>
      <c r="E140" s="44"/>
      <c r="F140" s="51"/>
      <c r="G140" s="52"/>
      <c r="H140" s="52"/>
      <c r="I140" s="53"/>
      <c r="J140" s="657" t="str">
        <f t="shared" si="38"/>
        <v/>
      </c>
      <c r="K140" s="657" t="str">
        <f t="shared" si="39"/>
        <v/>
      </c>
      <c r="L140" s="657" t="str">
        <f t="shared" si="40"/>
        <v/>
      </c>
      <c r="M140" s="1395"/>
      <c r="N140" s="116"/>
      <c r="O140" s="116"/>
      <c r="P140" s="116"/>
      <c r="Q140" s="116"/>
      <c r="R140" s="116"/>
      <c r="S140" s="132"/>
      <c r="T140" s="142"/>
      <c r="U140" s="115"/>
      <c r="AD140" s="561" t="str">
        <f t="shared" si="54"/>
        <v/>
      </c>
      <c r="AE140" s="561" t="str">
        <f t="shared" si="47"/>
        <v>n.a.</v>
      </c>
      <c r="AF140" s="561" t="str">
        <f t="shared" si="48"/>
        <v>n.a.</v>
      </c>
      <c r="AG140" s="561" t="str">
        <f t="shared" si="49"/>
        <v>n.a.</v>
      </c>
      <c r="AH140" s="561" t="b">
        <f t="shared" si="50"/>
        <v>0</v>
      </c>
      <c r="AI140" s="561" t="b">
        <f t="shared" si="51"/>
        <v>0</v>
      </c>
      <c r="AJ140" s="582" t="str">
        <f t="shared" si="52"/>
        <v/>
      </c>
      <c r="AK140" s="582" t="str">
        <f t="shared" si="53"/>
        <v/>
      </c>
      <c r="AL140" s="582" t="str">
        <f t="shared" si="44"/>
        <v/>
      </c>
    </row>
    <row r="141" spans="1:38" ht="12.75" customHeight="1" x14ac:dyDescent="0.25">
      <c r="B141" s="132"/>
      <c r="C141" s="132"/>
      <c r="D141" s="132"/>
      <c r="E141" s="658" t="str">
        <f>Translations!$B$645</f>
        <v>TOTALS</v>
      </c>
      <c r="F141" s="659" t="str">
        <f>IF(SUM(F126:F140)=0,"",SUM(F126:F140))</f>
        <v/>
      </c>
      <c r="G141" s="660" t="str">
        <f>IF(SUM(F141)=0,"",J141/F141)</f>
        <v/>
      </c>
      <c r="H141" s="660" t="str">
        <f>IF(SUM(J141)=0,"",SUM(K141:L141)/IF(AF126&lt;&gt;EUconst_NA,F141,J141)/IF(AG126=EUconst_NA,1,AG126))</f>
        <v/>
      </c>
      <c r="I141" s="661" t="str">
        <f>IF(SUM(K141:L141)=0,"",L141/SUM(K141:L141))</f>
        <v/>
      </c>
      <c r="J141" s="659" t="str">
        <f>IF(COUNTA(E126:E140)=0,"",IFERROR(SUM(J126:J140),EUconst_ERR_Inconsistent))</f>
        <v/>
      </c>
      <c r="K141" s="659" t="str">
        <f>IF(COUNTA(E126:E140)=0,"",IFERROR(SUM(K126:K140),EUconst_ERR_Inconsistent))</f>
        <v/>
      </c>
      <c r="L141" s="659" t="str">
        <f>IF(COUNTA(E126:E140)=0,"",IFERROR(SUM(L126:L140),EUconst_ERR_Inconsistent))</f>
        <v/>
      </c>
      <c r="M141" s="1395"/>
      <c r="N141" s="116"/>
      <c r="O141" s="116"/>
      <c r="P141" s="116"/>
      <c r="Q141" s="116"/>
      <c r="R141" s="116"/>
      <c r="S141" s="132"/>
      <c r="T141" s="142"/>
      <c r="U141" s="115"/>
    </row>
    <row r="142" spans="1:38" ht="12.75" customHeight="1" x14ac:dyDescent="0.25">
      <c r="B142" s="132"/>
      <c r="C142" s="132"/>
      <c r="D142" s="132"/>
      <c r="E142" s="191"/>
      <c r="F142" s="116"/>
      <c r="G142" s="116"/>
      <c r="H142" s="116"/>
      <c r="I142" s="116"/>
      <c r="J142" s="116"/>
      <c r="K142" s="116"/>
      <c r="L142" s="116"/>
      <c r="M142" s="116"/>
      <c r="N142" s="116"/>
      <c r="O142" s="116"/>
      <c r="P142" s="116"/>
      <c r="Q142" s="116"/>
      <c r="R142" s="116"/>
      <c r="S142" s="132"/>
      <c r="T142" s="142"/>
      <c r="U142" s="115"/>
    </row>
    <row r="143" spans="1:38" s="69" customFormat="1" ht="18.75" customHeight="1" x14ac:dyDescent="0.25">
      <c r="A143" s="167">
        <f>C143</f>
        <v>6</v>
      </c>
      <c r="B143" s="76"/>
      <c r="C143" s="216">
        <f>C120+1</f>
        <v>6</v>
      </c>
      <c r="D143" s="1195" t="str">
        <f>"Tool " &amp;C143-2</f>
        <v>Tool 4</v>
      </c>
      <c r="E143" s="1195"/>
      <c r="F143" s="1195"/>
      <c r="G143" s="1195"/>
      <c r="H143" s="1195"/>
      <c r="I143" s="1195"/>
      <c r="J143" s="1195"/>
      <c r="K143" s="1195"/>
      <c r="L143" s="1195"/>
      <c r="M143" s="1195"/>
      <c r="N143" s="1195"/>
      <c r="O143" s="1195"/>
      <c r="P143" s="1195"/>
      <c r="Q143" s="1195"/>
      <c r="R143" s="1195"/>
      <c r="S143" s="1195"/>
      <c r="T143" s="142"/>
      <c r="U143" s="115"/>
      <c r="V143" s="464" t="str">
        <f>D143</f>
        <v>Tool 4</v>
      </c>
      <c r="W143" s="110"/>
      <c r="X143" s="110"/>
      <c r="Y143" s="110"/>
      <c r="Z143" s="110"/>
      <c r="AA143" s="109"/>
      <c r="AB143" s="109"/>
      <c r="AC143" s="109"/>
      <c r="AD143" s="109"/>
      <c r="AE143" s="109"/>
      <c r="AF143" s="109"/>
      <c r="AG143" s="109"/>
      <c r="AH143" s="109"/>
      <c r="AI143" s="109"/>
      <c r="AJ143" s="109"/>
      <c r="AK143" s="109"/>
      <c r="AL143" s="109"/>
    </row>
    <row r="144" spans="1:38" ht="12.75" customHeight="1" x14ac:dyDescent="0.25">
      <c r="B144" s="132"/>
      <c r="C144" s="132"/>
      <c r="D144" s="132"/>
      <c r="E144" s="191"/>
      <c r="F144" s="116"/>
      <c r="G144" s="116"/>
      <c r="H144" s="116"/>
      <c r="I144" s="116"/>
      <c r="J144" s="116"/>
      <c r="K144" s="116"/>
      <c r="L144" s="116"/>
      <c r="M144" s="116"/>
      <c r="N144" s="116"/>
      <c r="O144" s="116"/>
      <c r="P144" s="116"/>
      <c r="Q144" s="116"/>
      <c r="R144" s="116"/>
      <c r="S144" s="132"/>
      <c r="T144" s="142"/>
      <c r="U144" s="115"/>
    </row>
    <row r="145" spans="2:38" ht="12.75" customHeight="1" x14ac:dyDescent="0.25">
      <c r="B145" s="132"/>
      <c r="C145" s="132"/>
      <c r="D145" s="1377" t="str">
        <f>Translations!$B$631</f>
        <v>Component</v>
      </c>
      <c r="E145" s="1378"/>
      <c r="F145" s="633">
        <v>1</v>
      </c>
      <c r="G145" s="633">
        <v>2</v>
      </c>
      <c r="H145" s="633">
        <v>3</v>
      </c>
      <c r="I145" s="633">
        <v>4</v>
      </c>
      <c r="J145" s="633">
        <v>5</v>
      </c>
      <c r="K145" s="633">
        <v>6</v>
      </c>
      <c r="L145" s="633">
        <v>7</v>
      </c>
      <c r="M145" s="116"/>
      <c r="N145" s="116"/>
      <c r="O145" s="116"/>
      <c r="P145" s="116"/>
      <c r="Q145" s="116"/>
      <c r="R145" s="116"/>
      <c r="S145" s="132"/>
      <c r="T145" s="142"/>
      <c r="U145" s="115"/>
      <c r="V145" s="566" t="str">
        <f>Translations!$B$498</f>
        <v>Units:</v>
      </c>
      <c r="W145" s="561" t="str" cm="1">
        <f t="array" ref="W145">IFERROR(INDEX(_xlfn._xlws.FILTER(W149:W158,(W149:W158)&lt;&gt;"",""),1),W146)</f>
        <v/>
      </c>
      <c r="X145" s="561" t="str" cm="1">
        <f t="array" ref="X145">IFERROR(INDEX(_xlfn._xlws.FILTER(X149:X158,(X149:X158)&lt;&gt;"",""),1),X146)</f>
        <v/>
      </c>
      <c r="Y145" s="567"/>
      <c r="Z145" s="561" t="str" cm="1">
        <f t="array" ref="Z145">IFERROR(INDEX(_xlfn._xlws.FILTER(Z149:Z158,(Z149:Z158)&lt;&gt;"",""),1),Z146)</f>
        <v/>
      </c>
      <c r="AA145" s="567"/>
    </row>
    <row r="146" spans="2:38" ht="12.75" customHeight="1" x14ac:dyDescent="0.25">
      <c r="B146" s="132"/>
      <c r="C146" s="132"/>
      <c r="D146" s="1379"/>
      <c r="E146" s="1380"/>
      <c r="F146" s="1383" t="str">
        <f>Translations!$B$377</f>
        <v>RFA</v>
      </c>
      <c r="G146" s="1383" t="str">
        <f>Translations!$B$386</f>
        <v>UCF</v>
      </c>
      <c r="H146" s="1383" t="str">
        <f>Translations!$B$383</f>
        <v>EF</v>
      </c>
      <c r="I146" s="1383" t="str">
        <f>Translations!$B$632</f>
        <v>Zero-rated F</v>
      </c>
      <c r="J146" s="1385" t="str">
        <f>Translations!$B$652</f>
        <v>Energy or other</v>
      </c>
      <c r="K146" s="1385" t="str">
        <f>Translations!$B$522</f>
        <v>Emissions (fossil)</v>
      </c>
      <c r="L146" s="1385" t="str">
        <f>Translations!$B$634</f>
        <v>Emissions (bio)</v>
      </c>
      <c r="M146" s="116"/>
      <c r="N146" s="116"/>
      <c r="O146" s="116"/>
      <c r="P146" s="116"/>
      <c r="Q146" s="116"/>
      <c r="R146" s="116"/>
      <c r="S146" s="132"/>
      <c r="T146" s="142"/>
      <c r="U146" s="115"/>
      <c r="W146" s="561" t="str">
        <f t="array" ref="W146">IFERROR(INDEX(W149:W158,MATCH(TRUE,(W149:W158)&lt;&gt;"",0)),"")</f>
        <v/>
      </c>
      <c r="X146" s="561" t="str">
        <f t="array" ref="X146">IFERROR(INDEX(X149:X158,MATCH(TRUE,(X149:X158)&lt;&gt;"",0)),"")</f>
        <v/>
      </c>
      <c r="Y146" s="567"/>
      <c r="Z146" s="561" t="str">
        <f t="array" ref="Z146">IFERROR(INDEX(Z149:Z158,MATCH(TRUE,(Z149:Z158)&lt;&gt;"",0)),"")</f>
        <v/>
      </c>
      <c r="AA146" s="567"/>
    </row>
    <row r="147" spans="2:38" ht="12.75" customHeight="1" x14ac:dyDescent="0.3">
      <c r="B147" s="132"/>
      <c r="C147" s="132"/>
      <c r="D147" s="1379"/>
      <c r="E147" s="1380"/>
      <c r="F147" s="1384"/>
      <c r="G147" s="1384"/>
      <c r="H147" s="1384"/>
      <c r="I147" s="1384"/>
      <c r="J147" s="1386"/>
      <c r="K147" s="1386"/>
      <c r="L147" s="1386"/>
      <c r="M147" s="116"/>
      <c r="N147" s="634" t="str">
        <f>Translations!$B$635</f>
        <v>Result to be entered in sheet C</v>
      </c>
      <c r="O147" s="116"/>
      <c r="P147" s="116"/>
      <c r="Q147" s="116"/>
      <c r="R147" s="116"/>
      <c r="S147" s="132"/>
      <c r="T147" s="142"/>
      <c r="U147" s="115"/>
      <c r="W147" s="569" t="str">
        <f>Translations!$B$377</f>
        <v>RFA</v>
      </c>
      <c r="X147" s="569" t="str">
        <f>Translations!$B$386</f>
        <v>UCF</v>
      </c>
      <c r="Y147" s="569"/>
      <c r="Z147" s="569" t="str">
        <f>Translations!$B$383</f>
        <v>EF</v>
      </c>
      <c r="AA147" s="569"/>
      <c r="AB147" s="570"/>
      <c r="AC147" s="570"/>
      <c r="AH147" s="570"/>
      <c r="AI147" s="570"/>
      <c r="AJ147" s="570"/>
    </row>
    <row r="148" spans="2:38" ht="12.75" customHeight="1" x14ac:dyDescent="0.3">
      <c r="B148" s="132"/>
      <c r="C148" s="132"/>
      <c r="D148" s="1381"/>
      <c r="E148" s="1382"/>
      <c r="F148" s="635" t="str">
        <f>IF(COUNTA($E149:$E163)=0,"",$W145)</f>
        <v/>
      </c>
      <c r="G148" s="635" t="str">
        <f>IF(COUNTA($E149:$E163)=0,"",$X145)</f>
        <v/>
      </c>
      <c r="H148" s="635" t="str">
        <f>IF(COUNTA($E149:$E163)=0,"",$Z145)</f>
        <v/>
      </c>
      <c r="I148" s="636" t="s">
        <v>46</v>
      </c>
      <c r="J148" s="635" t="str">
        <f>IF(AE149=EUconst_NA,EUconst_GJ,AE149)</f>
        <v>GJ</v>
      </c>
      <c r="K148" s="637" t="s">
        <v>188</v>
      </c>
      <c r="L148" s="637" t="s">
        <v>188</v>
      </c>
      <c r="M148" s="116"/>
      <c r="N148" s="1387" t="str">
        <f>Translations!$B$636</f>
        <v>The results of this tool are the relevant (weighted average) values below. Each value has to be entered manually in sheet C for the respective fuel stream. Select fuel stream below for comparison.</v>
      </c>
      <c r="O148" s="1387"/>
      <c r="P148" s="1387"/>
      <c r="Q148" s="1387"/>
      <c r="R148" s="1387"/>
      <c r="S148" s="1387"/>
      <c r="T148" s="142"/>
      <c r="U148" s="115"/>
      <c r="W148" s="569" t="str">
        <f>EUconst_CNTR_ActivityData&amp;EUconst_Unit</f>
        <v>ActivityData_Unit</v>
      </c>
      <c r="X148" s="569" t="str">
        <f>EUconst_CNTR_UCF&amp;EUconst_Unit</f>
        <v>UCF_Unit</v>
      </c>
      <c r="Y148" s="569" t="str">
        <f>EUconst_CNTR_UCF&amp;EUconst_Value</f>
        <v>UCF_Value</v>
      </c>
      <c r="Z148" s="569" t="str">
        <f>EUconst_CNTR_EF&amp;EUconst_Unit</f>
        <v>EF_Unit</v>
      </c>
      <c r="AA148" s="569" t="str">
        <f>EUconst_CNTR_EF&amp;EUconst_Value</f>
        <v>EF_Value</v>
      </c>
      <c r="AB148" s="569" t="s">
        <v>189</v>
      </c>
      <c r="AC148" s="575"/>
      <c r="AD148" s="576" t="s">
        <v>147</v>
      </c>
      <c r="AE148" s="576" t="s">
        <v>151</v>
      </c>
      <c r="AF148" s="576" t="s">
        <v>153</v>
      </c>
      <c r="AG148" s="576" t="s">
        <v>155</v>
      </c>
      <c r="AH148" s="575"/>
      <c r="AI148" s="575"/>
      <c r="AJ148" s="575" t="s">
        <v>190</v>
      </c>
      <c r="AK148" s="575" t="s">
        <v>191</v>
      </c>
      <c r="AL148" s="575" t="s">
        <v>192</v>
      </c>
    </row>
    <row r="149" spans="2:38" ht="12.75" customHeight="1" x14ac:dyDescent="0.25">
      <c r="B149" s="132"/>
      <c r="C149" s="132"/>
      <c r="D149" s="1388" t="str">
        <f>Translations!$B$637</f>
        <v>Default compontents provided by the CA</v>
      </c>
      <c r="E149" s="42"/>
      <c r="F149" s="45"/>
      <c r="G149" s="639" t="str">
        <f>IF($E149="","",Y149)</f>
        <v/>
      </c>
      <c r="H149" s="639" t="str">
        <f>IF($E149="","",AA149)</f>
        <v/>
      </c>
      <c r="I149" s="46"/>
      <c r="J149" s="640" t="str">
        <f t="shared" ref="J149:J163" si="55">IFERROR(IF(E149="","",AL149),EUconst_ERR_Inconsistent)</f>
        <v/>
      </c>
      <c r="K149" s="640" t="str">
        <f t="shared" ref="K149:K163" si="56">IFERROR(IF(E149="","",AJ149),EUconst_ERR_Inconsistent)</f>
        <v/>
      </c>
      <c r="L149" s="640" t="str">
        <f t="shared" ref="L149:L163" si="57">IFERROR(IF(E149="","",AK149),EUconst_ERR_Inconsistent)</f>
        <v/>
      </c>
      <c r="M149" s="1389"/>
      <c r="N149" s="1387"/>
      <c r="O149" s="1387"/>
      <c r="P149" s="1387"/>
      <c r="Q149" s="1387"/>
      <c r="R149" s="1387"/>
      <c r="S149" s="1387"/>
      <c r="T149" s="142"/>
      <c r="U149" s="115"/>
      <c r="W149" s="561" t="str">
        <f t="shared" ref="W149:AA158" si="58">IF($E149="","",INDEX(MSPara_CalcFactorsMatrix,MATCH($E149,MSPara_SourceStreamCategory,0),MATCH(W$20&amp;"_"&amp;2,MSPara_CalcFactors,0)))</f>
        <v/>
      </c>
      <c r="X149" s="561" t="str">
        <f t="shared" si="58"/>
        <v/>
      </c>
      <c r="Y149" s="561" t="str">
        <f t="shared" si="58"/>
        <v/>
      </c>
      <c r="Z149" s="561" t="str">
        <f t="shared" si="58"/>
        <v/>
      </c>
      <c r="AA149" s="561" t="str">
        <f t="shared" si="58"/>
        <v/>
      </c>
      <c r="AB149" s="561" t="str">
        <f>IF(E149="","",OR(W149&lt;&gt;W145,X149&lt;&gt;X145,Z149&lt;&gt;Z145))</f>
        <v/>
      </c>
      <c r="AC149" s="567"/>
      <c r="AD149" s="561" t="str">
        <f>W149</f>
        <v/>
      </c>
      <c r="AE149" s="561" t="str">
        <f>IF(X149="",EUconst_NA,IF(AD149=EUconst_TJ,EUconst_TJ,INDEX(EUwideConstants!$C$135:$G$139,MATCH(AD149,RFAUnits,0),MATCH(X149,UCFUnits,0))))</f>
        <v>n.a.</v>
      </c>
      <c r="AF149" s="561" t="str">
        <f>IF(COUNTIF(RFAUnits,AD149)=0,EUconst_NA,INDEX(EUwideConstants!$C$150:$H$154,MATCH(Z149,EFUnits,0),MATCH(AD149,EUwideConstants!$C$149:$H$149,0)))</f>
        <v>n.a.</v>
      </c>
      <c r="AG149" s="561" t="str">
        <f>IF(AE149=EUconst_NA,EUconst_NA,INDEX(EUwideConstants!$C$150:$H$154,MATCH(Z149,EFUnits,0),MATCH(AE149,EUwideConstants!$C$149:$H$149,0)))</f>
        <v>n.a.</v>
      </c>
      <c r="AH149" s="561" t="b">
        <f t="shared" ref="AH149" si="59">AF149&lt;&gt;EUconst_NA</f>
        <v>0</v>
      </c>
      <c r="AI149" s="561" t="b">
        <f t="shared" ref="AI149" si="60">AG149&lt;&gt;EUconst_NA</f>
        <v>0</v>
      </c>
      <c r="AJ149" s="582" t="str">
        <f>IF(OR(E149="",COUNTIF(AH149:AI149,TRUE)=0),"",F149*IF(AH149,1,G149*AG149)*H149*(1-I149))</f>
        <v/>
      </c>
      <c r="AK149" s="582" t="str">
        <f>IF(OR(E149="",COUNTIF(AH149:AI149,TRUE)=0),"",F149*IF(AH149,1,G149*AG149)*H149*I149)</f>
        <v/>
      </c>
      <c r="AL149" s="582" t="str">
        <f t="shared" ref="AL149:AL163" si="61">IF(E149="","",IF(W149=EUconst_TJ,F149,F149*G149))</f>
        <v/>
      </c>
    </row>
    <row r="150" spans="2:38" ht="12.75" customHeight="1" x14ac:dyDescent="0.25">
      <c r="B150" s="132"/>
      <c r="C150" s="132"/>
      <c r="D150" s="1388"/>
      <c r="E150" s="43"/>
      <c r="F150" s="47"/>
      <c r="G150" s="641" t="str">
        <f t="shared" ref="G150:G158" si="62">IF($E150="","",Y150)</f>
        <v/>
      </c>
      <c r="H150" s="641" t="str">
        <f t="shared" ref="H150:H158" si="63">IF($E150="","",AA150)</f>
        <v/>
      </c>
      <c r="I150" s="48"/>
      <c r="J150" s="642" t="str">
        <f t="shared" si="55"/>
        <v/>
      </c>
      <c r="K150" s="642" t="str">
        <f t="shared" si="56"/>
        <v/>
      </c>
      <c r="L150" s="642" t="str">
        <f t="shared" si="57"/>
        <v/>
      </c>
      <c r="M150" s="1389"/>
      <c r="N150" s="638"/>
      <c r="O150" s="643" t="str">
        <f>Translations!$B$639</f>
        <v>Fuel stream:</v>
      </c>
      <c r="P150" s="1390"/>
      <c r="Q150" s="1391"/>
      <c r="R150" s="1391"/>
      <c r="S150" s="1392"/>
      <c r="T150" s="142"/>
      <c r="U150" s="115"/>
      <c r="W150" s="561" t="str">
        <f t="shared" si="58"/>
        <v/>
      </c>
      <c r="X150" s="561" t="str">
        <f t="shared" si="58"/>
        <v/>
      </c>
      <c r="Y150" s="561" t="str">
        <f t="shared" si="58"/>
        <v/>
      </c>
      <c r="Z150" s="561" t="str">
        <f t="shared" si="58"/>
        <v/>
      </c>
      <c r="AA150" s="561" t="str">
        <f t="shared" si="58"/>
        <v/>
      </c>
      <c r="AB150" s="561" t="str">
        <f>IF(E150="","",OR(W150&lt;&gt;W145,X150&lt;&gt;X145,Z150&lt;&gt;Z145))</f>
        <v/>
      </c>
      <c r="AC150" s="567"/>
      <c r="AD150" s="561" t="str">
        <f>AD149</f>
        <v/>
      </c>
      <c r="AE150" s="561" t="str">
        <f t="shared" ref="AE150:AE163" si="64">AE149</f>
        <v>n.a.</v>
      </c>
      <c r="AF150" s="561" t="str">
        <f t="shared" ref="AF150:AF163" si="65">AF149</f>
        <v>n.a.</v>
      </c>
      <c r="AG150" s="561" t="str">
        <f t="shared" ref="AG150:AG163" si="66">AG149</f>
        <v>n.a.</v>
      </c>
      <c r="AH150" s="561" t="b">
        <f t="shared" ref="AH150:AH163" si="67">AH149</f>
        <v>0</v>
      </c>
      <c r="AI150" s="561" t="b">
        <f t="shared" ref="AI150:AI163" si="68">AI149</f>
        <v>0</v>
      </c>
      <c r="AJ150" s="582" t="str">
        <f t="shared" ref="AJ150:AJ163" si="69">IF(OR(E150="",COUNTIF(AH150:AI150,TRUE)=0),"",F150*IF(AH150,1,G150*AG150)*H150*(1-I150))</f>
        <v/>
      </c>
      <c r="AK150" s="582" t="str">
        <f t="shared" ref="AK150:AK163" si="70">IF(OR(E150="",COUNTIF(AH150:AI150,TRUE)=0),"",F150*IF(AH150,1,G150*AG150)*H150*I150)</f>
        <v/>
      </c>
      <c r="AL150" s="582" t="str">
        <f t="shared" si="61"/>
        <v/>
      </c>
    </row>
    <row r="151" spans="2:38" ht="12.75" customHeight="1" x14ac:dyDescent="0.25">
      <c r="B151" s="132"/>
      <c r="C151" s="132"/>
      <c r="D151" s="1388"/>
      <c r="E151" s="43"/>
      <c r="F151" s="47"/>
      <c r="G151" s="641" t="str">
        <f t="shared" si="62"/>
        <v/>
      </c>
      <c r="H151" s="641" t="str">
        <f t="shared" si="63"/>
        <v/>
      </c>
      <c r="I151" s="48"/>
      <c r="J151" s="642" t="str">
        <f t="shared" si="55"/>
        <v/>
      </c>
      <c r="K151" s="642" t="str">
        <f t="shared" si="56"/>
        <v/>
      </c>
      <c r="L151" s="642" t="str">
        <f t="shared" si="57"/>
        <v/>
      </c>
      <c r="M151" s="1389"/>
      <c r="N151" s="116"/>
      <c r="O151" s="116"/>
      <c r="P151" s="116"/>
      <c r="Q151" s="116"/>
      <c r="R151" s="116"/>
      <c r="S151" s="132"/>
      <c r="T151" s="142"/>
      <c r="U151" s="115"/>
      <c r="W151" s="561" t="str">
        <f t="shared" si="58"/>
        <v/>
      </c>
      <c r="X151" s="561" t="str">
        <f t="shared" si="58"/>
        <v/>
      </c>
      <c r="Y151" s="561" t="str">
        <f t="shared" si="58"/>
        <v/>
      </c>
      <c r="Z151" s="561" t="str">
        <f t="shared" si="58"/>
        <v/>
      </c>
      <c r="AA151" s="561" t="str">
        <f t="shared" si="58"/>
        <v/>
      </c>
      <c r="AB151" s="561" t="str">
        <f>IF(E151="","",OR(W151&lt;&gt;W145,X151&lt;&gt;X145,Z151&lt;&gt;Z145))</f>
        <v/>
      </c>
      <c r="AC151" s="567"/>
      <c r="AD151" s="561" t="str">
        <f t="shared" ref="AD151:AD163" si="71">AD150</f>
        <v/>
      </c>
      <c r="AE151" s="561" t="str">
        <f t="shared" si="64"/>
        <v>n.a.</v>
      </c>
      <c r="AF151" s="561" t="str">
        <f t="shared" si="65"/>
        <v>n.a.</v>
      </c>
      <c r="AG151" s="561" t="str">
        <f t="shared" si="66"/>
        <v>n.a.</v>
      </c>
      <c r="AH151" s="561" t="b">
        <f t="shared" si="67"/>
        <v>0</v>
      </c>
      <c r="AI151" s="561" t="b">
        <f t="shared" si="68"/>
        <v>0</v>
      </c>
      <c r="AJ151" s="582" t="str">
        <f t="shared" si="69"/>
        <v/>
      </c>
      <c r="AK151" s="582" t="str">
        <f t="shared" si="70"/>
        <v/>
      </c>
      <c r="AL151" s="582" t="str">
        <f t="shared" si="61"/>
        <v/>
      </c>
    </row>
    <row r="152" spans="2:38" ht="12.75" customHeight="1" thickBot="1" x14ac:dyDescent="0.35">
      <c r="B152" s="132"/>
      <c r="C152" s="132"/>
      <c r="D152" s="1388"/>
      <c r="E152" s="43"/>
      <c r="F152" s="47"/>
      <c r="G152" s="641" t="str">
        <f t="shared" si="62"/>
        <v/>
      </c>
      <c r="H152" s="641" t="str">
        <f t="shared" si="63"/>
        <v/>
      </c>
      <c r="I152" s="48"/>
      <c r="J152" s="642" t="str">
        <f t="shared" si="55"/>
        <v/>
      </c>
      <c r="K152" s="642" t="str">
        <f t="shared" si="56"/>
        <v/>
      </c>
      <c r="L152" s="642" t="str">
        <f t="shared" si="57"/>
        <v/>
      </c>
      <c r="M152" s="1389"/>
      <c r="N152" s="1255" t="str">
        <f>Translations!$B$394</f>
        <v>Unit</v>
      </c>
      <c r="O152" s="1255"/>
      <c r="P152" s="1255" t="str">
        <f>Translations!$B$395</f>
        <v>Value</v>
      </c>
      <c r="Q152" s="1255"/>
      <c r="R152" s="116"/>
      <c r="S152" s="644" t="str">
        <f>Translations!$B$642</f>
        <v>Sheet C values</v>
      </c>
      <c r="T152" s="142"/>
      <c r="U152" s="115"/>
      <c r="W152" s="561" t="str">
        <f t="shared" si="58"/>
        <v/>
      </c>
      <c r="X152" s="561" t="str">
        <f t="shared" si="58"/>
        <v/>
      </c>
      <c r="Y152" s="561" t="str">
        <f t="shared" si="58"/>
        <v/>
      </c>
      <c r="Z152" s="561" t="str">
        <f t="shared" si="58"/>
        <v/>
      </c>
      <c r="AA152" s="561" t="str">
        <f t="shared" si="58"/>
        <v/>
      </c>
      <c r="AB152" s="561" t="str">
        <f>IF(E152="","",OR(W152&lt;&gt;W145,X152&lt;&gt;X145,Z152&lt;&gt;Z145))</f>
        <v/>
      </c>
      <c r="AC152" s="567"/>
      <c r="AD152" s="561" t="str">
        <f t="shared" si="71"/>
        <v/>
      </c>
      <c r="AE152" s="561" t="str">
        <f t="shared" si="64"/>
        <v>n.a.</v>
      </c>
      <c r="AF152" s="561" t="str">
        <f t="shared" si="65"/>
        <v>n.a.</v>
      </c>
      <c r="AG152" s="561" t="str">
        <f t="shared" si="66"/>
        <v>n.a.</v>
      </c>
      <c r="AH152" s="561" t="b">
        <f t="shared" si="67"/>
        <v>0</v>
      </c>
      <c r="AI152" s="561" t="b">
        <f t="shared" si="68"/>
        <v>0</v>
      </c>
      <c r="AJ152" s="582" t="str">
        <f t="shared" si="69"/>
        <v/>
      </c>
      <c r="AK152" s="582" t="str">
        <f t="shared" si="70"/>
        <v/>
      </c>
      <c r="AL152" s="582" t="str">
        <f t="shared" si="61"/>
        <v/>
      </c>
    </row>
    <row r="153" spans="2:38" ht="12.75" customHeight="1" thickBot="1" x14ac:dyDescent="0.3">
      <c r="B153" s="132"/>
      <c r="C153" s="132"/>
      <c r="D153" s="1388"/>
      <c r="E153" s="43"/>
      <c r="F153" s="47"/>
      <c r="G153" s="641" t="str">
        <f t="shared" si="62"/>
        <v/>
      </c>
      <c r="H153" s="641" t="str">
        <f t="shared" si="63"/>
        <v/>
      </c>
      <c r="I153" s="48"/>
      <c r="J153" s="642" t="str">
        <f t="shared" si="55"/>
        <v/>
      </c>
      <c r="K153" s="642" t="str">
        <f t="shared" si="56"/>
        <v/>
      </c>
      <c r="L153" s="642" t="str">
        <f t="shared" si="57"/>
        <v/>
      </c>
      <c r="M153" s="116"/>
      <c r="N153" s="346" t="str">
        <f>F148</f>
        <v/>
      </c>
      <c r="O153" s="7"/>
      <c r="P153" s="1393" t="str">
        <f>IF(F164="","",F164)</f>
        <v/>
      </c>
      <c r="Q153" s="1394"/>
      <c r="R153" s="116"/>
      <c r="S153" s="645" t="str">
        <f>IF(P150="","",SUMIFS(C_FuelStreams!BK:BK,C_FuelStreams!BI:BI,P150))</f>
        <v/>
      </c>
      <c r="T153" s="142"/>
      <c r="U153" s="115"/>
      <c r="W153" s="561" t="str">
        <f t="shared" si="58"/>
        <v/>
      </c>
      <c r="X153" s="561" t="str">
        <f t="shared" si="58"/>
        <v/>
      </c>
      <c r="Y153" s="561" t="str">
        <f t="shared" si="58"/>
        <v/>
      </c>
      <c r="Z153" s="561" t="str">
        <f t="shared" si="58"/>
        <v/>
      </c>
      <c r="AA153" s="561" t="str">
        <f t="shared" si="58"/>
        <v/>
      </c>
      <c r="AB153" s="561" t="str">
        <f>IF(E153="","",OR(W153&lt;&gt;W145,X153&lt;&gt;X145,Z153&lt;&gt;Z145))</f>
        <v/>
      </c>
      <c r="AC153" s="567"/>
      <c r="AD153" s="561" t="str">
        <f t="shared" si="71"/>
        <v/>
      </c>
      <c r="AE153" s="561" t="str">
        <f t="shared" si="64"/>
        <v>n.a.</v>
      </c>
      <c r="AF153" s="561" t="str">
        <f t="shared" si="65"/>
        <v>n.a.</v>
      </c>
      <c r="AG153" s="561" t="str">
        <f t="shared" si="66"/>
        <v>n.a.</v>
      </c>
      <c r="AH153" s="561" t="b">
        <f t="shared" si="67"/>
        <v>0</v>
      </c>
      <c r="AI153" s="561" t="b">
        <f t="shared" si="68"/>
        <v>0</v>
      </c>
      <c r="AJ153" s="582" t="str">
        <f t="shared" si="69"/>
        <v/>
      </c>
      <c r="AK153" s="582" t="str">
        <f t="shared" si="70"/>
        <v/>
      </c>
      <c r="AL153" s="582" t="str">
        <f t="shared" si="61"/>
        <v/>
      </c>
    </row>
    <row r="154" spans="2:38" ht="12.75" customHeight="1" thickBot="1" x14ac:dyDescent="0.3">
      <c r="B154" s="132"/>
      <c r="C154" s="132"/>
      <c r="D154" s="1388"/>
      <c r="E154" s="43"/>
      <c r="F154" s="47"/>
      <c r="G154" s="641" t="str">
        <f t="shared" si="62"/>
        <v/>
      </c>
      <c r="H154" s="641" t="str">
        <f t="shared" si="63"/>
        <v/>
      </c>
      <c r="I154" s="48"/>
      <c r="J154" s="642" t="str">
        <f t="shared" si="55"/>
        <v/>
      </c>
      <c r="K154" s="642" t="str">
        <f t="shared" si="56"/>
        <v/>
      </c>
      <c r="L154" s="642" t="str">
        <f t="shared" si="57"/>
        <v/>
      </c>
      <c r="M154" s="116"/>
      <c r="N154" s="162"/>
      <c r="O154" s="162"/>
      <c r="P154" s="76"/>
      <c r="Q154" s="76"/>
      <c r="R154" s="116"/>
      <c r="S154" s="996"/>
      <c r="T154" s="142"/>
      <c r="U154" s="115"/>
      <c r="W154" s="561" t="str">
        <f t="shared" si="58"/>
        <v/>
      </c>
      <c r="X154" s="561" t="str">
        <f t="shared" si="58"/>
        <v/>
      </c>
      <c r="Y154" s="561" t="str">
        <f t="shared" si="58"/>
        <v/>
      </c>
      <c r="Z154" s="561" t="str">
        <f t="shared" si="58"/>
        <v/>
      </c>
      <c r="AA154" s="561" t="str">
        <f t="shared" si="58"/>
        <v/>
      </c>
      <c r="AB154" s="561" t="str">
        <f>IF(E154="","",OR(W154&lt;&gt;W145,X154&lt;&gt;X145,Z154&lt;&gt;Z145))</f>
        <v/>
      </c>
      <c r="AC154" s="567"/>
      <c r="AD154" s="561" t="str">
        <f t="shared" si="71"/>
        <v/>
      </c>
      <c r="AE154" s="561" t="str">
        <f t="shared" si="64"/>
        <v>n.a.</v>
      </c>
      <c r="AF154" s="561" t="str">
        <f t="shared" si="65"/>
        <v>n.a.</v>
      </c>
      <c r="AG154" s="561" t="str">
        <f t="shared" si="66"/>
        <v>n.a.</v>
      </c>
      <c r="AH154" s="561" t="b">
        <f t="shared" si="67"/>
        <v>0</v>
      </c>
      <c r="AI154" s="561" t="b">
        <f t="shared" si="68"/>
        <v>0</v>
      </c>
      <c r="AJ154" s="582" t="str">
        <f t="shared" si="69"/>
        <v/>
      </c>
      <c r="AK154" s="582" t="str">
        <f t="shared" si="70"/>
        <v/>
      </c>
      <c r="AL154" s="582" t="str">
        <f t="shared" si="61"/>
        <v/>
      </c>
    </row>
    <row r="155" spans="2:38" ht="12.75" customHeight="1" x14ac:dyDescent="0.25">
      <c r="B155" s="132"/>
      <c r="C155" s="132"/>
      <c r="D155" s="1388"/>
      <c r="E155" s="43"/>
      <c r="F155" s="47"/>
      <c r="G155" s="641" t="str">
        <f t="shared" si="62"/>
        <v/>
      </c>
      <c r="H155" s="641" t="str">
        <f t="shared" si="63"/>
        <v/>
      </c>
      <c r="I155" s="48"/>
      <c r="J155" s="642" t="str">
        <f t="shared" si="55"/>
        <v/>
      </c>
      <c r="K155" s="642" t="str">
        <f t="shared" si="56"/>
        <v/>
      </c>
      <c r="L155" s="642" t="str">
        <f t="shared" si="57"/>
        <v/>
      </c>
      <c r="M155" s="116"/>
      <c r="N155" s="365" t="str">
        <f>G148</f>
        <v/>
      </c>
      <c r="O155" s="11"/>
      <c r="P155" s="366"/>
      <c r="Q155" s="646" t="str">
        <f>IF(G164="","",G164)</f>
        <v/>
      </c>
      <c r="R155" s="116"/>
      <c r="S155" s="647" t="str">
        <f>IF(P150="","",SUMIFS(C_FuelStreams!BU:BU,C_FuelStreams!BI:BI,P150))</f>
        <v/>
      </c>
      <c r="T155" s="142"/>
      <c r="U155" s="115"/>
      <c r="W155" s="561" t="str">
        <f t="shared" si="58"/>
        <v/>
      </c>
      <c r="X155" s="561" t="str">
        <f t="shared" si="58"/>
        <v/>
      </c>
      <c r="Y155" s="561" t="str">
        <f t="shared" si="58"/>
        <v/>
      </c>
      <c r="Z155" s="561" t="str">
        <f t="shared" si="58"/>
        <v/>
      </c>
      <c r="AA155" s="561" t="str">
        <f t="shared" si="58"/>
        <v/>
      </c>
      <c r="AB155" s="561" t="str">
        <f>IF(E155="","",OR(W155&lt;&gt;W145,X155&lt;&gt;X145,Z155&lt;&gt;Z145))</f>
        <v/>
      </c>
      <c r="AC155" s="567"/>
      <c r="AD155" s="561" t="str">
        <f t="shared" si="71"/>
        <v/>
      </c>
      <c r="AE155" s="561" t="str">
        <f t="shared" si="64"/>
        <v>n.a.</v>
      </c>
      <c r="AF155" s="561" t="str">
        <f t="shared" si="65"/>
        <v>n.a.</v>
      </c>
      <c r="AG155" s="561" t="str">
        <f t="shared" si="66"/>
        <v>n.a.</v>
      </c>
      <c r="AH155" s="561" t="b">
        <f t="shared" si="67"/>
        <v>0</v>
      </c>
      <c r="AI155" s="561" t="b">
        <f t="shared" si="68"/>
        <v>0</v>
      </c>
      <c r="AJ155" s="582" t="str">
        <f t="shared" si="69"/>
        <v/>
      </c>
      <c r="AK155" s="582" t="str">
        <f t="shared" si="70"/>
        <v/>
      </c>
      <c r="AL155" s="582" t="str">
        <f t="shared" si="61"/>
        <v/>
      </c>
    </row>
    <row r="156" spans="2:38" ht="12.75" customHeight="1" thickBot="1" x14ac:dyDescent="0.3">
      <c r="B156" s="132"/>
      <c r="C156" s="132"/>
      <c r="D156" s="1388"/>
      <c r="E156" s="43"/>
      <c r="F156" s="47"/>
      <c r="G156" s="641" t="str">
        <f t="shared" si="62"/>
        <v/>
      </c>
      <c r="H156" s="641" t="str">
        <f t="shared" si="63"/>
        <v/>
      </c>
      <c r="I156" s="48"/>
      <c r="J156" s="642" t="str">
        <f t="shared" si="55"/>
        <v/>
      </c>
      <c r="K156" s="642" t="str">
        <f t="shared" si="56"/>
        <v/>
      </c>
      <c r="L156" s="642" t="str">
        <f t="shared" si="57"/>
        <v/>
      </c>
      <c r="M156" s="116"/>
      <c r="N156" s="648" t="str">
        <f>H148</f>
        <v/>
      </c>
      <c r="O156" s="22"/>
      <c r="P156" s="649"/>
      <c r="Q156" s="650" t="str">
        <f>IF(H164="","",H164)</f>
        <v/>
      </c>
      <c r="R156" s="116"/>
      <c r="S156" s="651" t="str">
        <f>IF(P150="","",SUMIFS(C_FuelStreams!BR:BR,C_FuelStreams!BI:BI,P150))</f>
        <v/>
      </c>
      <c r="T156" s="142"/>
      <c r="U156" s="115"/>
      <c r="W156" s="561" t="str">
        <f t="shared" si="58"/>
        <v/>
      </c>
      <c r="X156" s="561" t="str">
        <f t="shared" si="58"/>
        <v/>
      </c>
      <c r="Y156" s="561" t="str">
        <f t="shared" si="58"/>
        <v/>
      </c>
      <c r="Z156" s="561" t="str">
        <f t="shared" si="58"/>
        <v/>
      </c>
      <c r="AA156" s="561" t="str">
        <f t="shared" si="58"/>
        <v/>
      </c>
      <c r="AB156" s="561" t="str">
        <f>IF(E156="","",OR(W156&lt;&gt;W145,X156&lt;&gt;X145,Z156&lt;&gt;Z145))</f>
        <v/>
      </c>
      <c r="AC156" s="567"/>
      <c r="AD156" s="561" t="str">
        <f t="shared" si="71"/>
        <v/>
      </c>
      <c r="AE156" s="561" t="str">
        <f t="shared" si="64"/>
        <v>n.a.</v>
      </c>
      <c r="AF156" s="561" t="str">
        <f t="shared" si="65"/>
        <v>n.a.</v>
      </c>
      <c r="AG156" s="561" t="str">
        <f t="shared" si="66"/>
        <v>n.a.</v>
      </c>
      <c r="AH156" s="561" t="b">
        <f t="shared" si="67"/>
        <v>0</v>
      </c>
      <c r="AI156" s="561" t="b">
        <f t="shared" si="68"/>
        <v>0</v>
      </c>
      <c r="AJ156" s="582" t="str">
        <f t="shared" si="69"/>
        <v/>
      </c>
      <c r="AK156" s="582" t="str">
        <f t="shared" si="70"/>
        <v/>
      </c>
      <c r="AL156" s="582" t="str">
        <f t="shared" si="61"/>
        <v/>
      </c>
    </row>
    <row r="157" spans="2:38" ht="12.75" customHeight="1" x14ac:dyDescent="0.25">
      <c r="B157" s="132"/>
      <c r="C157" s="132"/>
      <c r="D157" s="1388"/>
      <c r="E157" s="43"/>
      <c r="F157" s="47"/>
      <c r="G157" s="641" t="str">
        <f t="shared" si="62"/>
        <v/>
      </c>
      <c r="H157" s="641" t="str">
        <f t="shared" si="63"/>
        <v/>
      </c>
      <c r="I157" s="48"/>
      <c r="J157" s="642" t="str">
        <f t="shared" si="55"/>
        <v/>
      </c>
      <c r="K157" s="642" t="str">
        <f t="shared" si="56"/>
        <v/>
      </c>
      <c r="L157" s="642" t="str">
        <f t="shared" si="57"/>
        <v/>
      </c>
      <c r="M157" s="116"/>
      <c r="N157" s="652" t="s">
        <v>46</v>
      </c>
      <c r="O157" s="411"/>
      <c r="P157" s="653"/>
      <c r="Q157" s="654" t="str">
        <f>IF(I164="","",I164)</f>
        <v/>
      </c>
      <c r="R157" s="116"/>
      <c r="S157" s="655" t="str">
        <f>IF(P150="","",SUMIFS(C_FuelStreams!BX:BX,C_FuelStreams!BI:BI,P150))</f>
        <v/>
      </c>
      <c r="T157" s="142"/>
      <c r="U157" s="115"/>
      <c r="W157" s="561" t="str">
        <f t="shared" si="58"/>
        <v/>
      </c>
      <c r="X157" s="561" t="str">
        <f t="shared" si="58"/>
        <v/>
      </c>
      <c r="Y157" s="561" t="str">
        <f t="shared" si="58"/>
        <v/>
      </c>
      <c r="Z157" s="561" t="str">
        <f t="shared" si="58"/>
        <v/>
      </c>
      <c r="AA157" s="561" t="str">
        <f t="shared" si="58"/>
        <v/>
      </c>
      <c r="AB157" s="561" t="str">
        <f>IF(E157="","",OR(W157&lt;&gt;W145,X157&lt;&gt;X145,Z157&lt;&gt;Z145))</f>
        <v/>
      </c>
      <c r="AC157" s="567"/>
      <c r="AD157" s="561" t="str">
        <f t="shared" si="71"/>
        <v/>
      </c>
      <c r="AE157" s="561" t="str">
        <f t="shared" si="64"/>
        <v>n.a.</v>
      </c>
      <c r="AF157" s="561" t="str">
        <f t="shared" si="65"/>
        <v>n.a.</v>
      </c>
      <c r="AG157" s="561" t="str">
        <f t="shared" si="66"/>
        <v>n.a.</v>
      </c>
      <c r="AH157" s="561" t="b">
        <f t="shared" si="67"/>
        <v>0</v>
      </c>
      <c r="AI157" s="561" t="b">
        <f t="shared" si="68"/>
        <v>0</v>
      </c>
      <c r="AJ157" s="582" t="str">
        <f t="shared" si="69"/>
        <v/>
      </c>
      <c r="AK157" s="582" t="str">
        <f t="shared" si="70"/>
        <v/>
      </c>
      <c r="AL157" s="582" t="str">
        <f t="shared" si="61"/>
        <v/>
      </c>
    </row>
    <row r="158" spans="2:38" ht="12.75" customHeight="1" x14ac:dyDescent="0.25">
      <c r="B158" s="132"/>
      <c r="C158" s="132"/>
      <c r="D158" s="1388"/>
      <c r="E158" s="43"/>
      <c r="F158" s="47"/>
      <c r="G158" s="641" t="str">
        <f t="shared" si="62"/>
        <v/>
      </c>
      <c r="H158" s="641" t="str">
        <f t="shared" si="63"/>
        <v/>
      </c>
      <c r="I158" s="48"/>
      <c r="J158" s="642" t="str">
        <f t="shared" si="55"/>
        <v/>
      </c>
      <c r="K158" s="642" t="str">
        <f t="shared" si="56"/>
        <v/>
      </c>
      <c r="L158" s="642" t="str">
        <f t="shared" si="57"/>
        <v/>
      </c>
      <c r="M158" s="1395"/>
      <c r="N158" s="116"/>
      <c r="O158" s="116"/>
      <c r="P158" s="116"/>
      <c r="Q158" s="116"/>
      <c r="R158" s="116"/>
      <c r="S158" s="132"/>
      <c r="T158" s="142"/>
      <c r="U158" s="115"/>
      <c r="W158" s="561" t="str">
        <f t="shared" si="58"/>
        <v/>
      </c>
      <c r="X158" s="561" t="str">
        <f t="shared" si="58"/>
        <v/>
      </c>
      <c r="Y158" s="561" t="str">
        <f t="shared" si="58"/>
        <v/>
      </c>
      <c r="Z158" s="561" t="str">
        <f t="shared" si="58"/>
        <v/>
      </c>
      <c r="AA158" s="561" t="str">
        <f t="shared" si="58"/>
        <v/>
      </c>
      <c r="AB158" s="561" t="str">
        <f>IF(E158="","",OR(W158&lt;&gt;W145,X158&lt;&gt;X145,Z158&lt;&gt;Z145))</f>
        <v/>
      </c>
      <c r="AC158" s="567"/>
      <c r="AD158" s="561" t="str">
        <f t="shared" si="71"/>
        <v/>
      </c>
      <c r="AE158" s="561" t="str">
        <f t="shared" si="64"/>
        <v>n.a.</v>
      </c>
      <c r="AF158" s="561" t="str">
        <f t="shared" si="65"/>
        <v>n.a.</v>
      </c>
      <c r="AG158" s="561" t="str">
        <f t="shared" si="66"/>
        <v>n.a.</v>
      </c>
      <c r="AH158" s="561" t="b">
        <f t="shared" si="67"/>
        <v>0</v>
      </c>
      <c r="AI158" s="561" t="b">
        <f t="shared" si="68"/>
        <v>0</v>
      </c>
      <c r="AJ158" s="582" t="str">
        <f t="shared" si="69"/>
        <v/>
      </c>
      <c r="AK158" s="582" t="str">
        <f t="shared" si="70"/>
        <v/>
      </c>
      <c r="AL158" s="582" t="str">
        <f t="shared" si="61"/>
        <v/>
      </c>
    </row>
    <row r="159" spans="2:38" ht="12.75" customHeight="1" x14ac:dyDescent="0.25">
      <c r="B159" s="132"/>
      <c r="C159" s="132"/>
      <c r="D159" s="1388" t="str">
        <f>Translations!$B$643</f>
        <v>Customised components</v>
      </c>
      <c r="E159" s="42"/>
      <c r="F159" s="45"/>
      <c r="G159" s="49"/>
      <c r="H159" s="49"/>
      <c r="I159" s="46"/>
      <c r="J159" s="640" t="str">
        <f t="shared" si="55"/>
        <v/>
      </c>
      <c r="K159" s="640" t="str">
        <f t="shared" si="56"/>
        <v/>
      </c>
      <c r="L159" s="640" t="str">
        <f t="shared" si="57"/>
        <v/>
      </c>
      <c r="M159" s="1395"/>
      <c r="N159" s="116"/>
      <c r="O159" s="116"/>
      <c r="P159" s="656" t="str">
        <f>Translations!$B$644</f>
        <v>CO2 fossil (before scope factor):</v>
      </c>
      <c r="Q159" s="997" t="str">
        <f>IF(K164="","",K164)</f>
        <v/>
      </c>
      <c r="R159" s="656"/>
      <c r="S159" s="997" t="str">
        <f>IF(P150="","",IF(W159=0,0,SUMIFS(C_FuelStreams!CE:CE,C_FuelStreams!BI:BI,P150)/W159))</f>
        <v/>
      </c>
      <c r="T159" s="142"/>
      <c r="U159" s="115"/>
      <c r="V159" s="110" t="str">
        <f>Translations!$B$398</f>
        <v>Scope factor:</v>
      </c>
      <c r="W159" s="617" t="str">
        <f>IF(P150="","",SUMIFS(C_FuelStreams!BP:BP,C_FuelStreams!BI:BI,P150))</f>
        <v/>
      </c>
      <c r="AD159" s="561" t="str">
        <f t="shared" si="71"/>
        <v/>
      </c>
      <c r="AE159" s="561" t="str">
        <f t="shared" si="64"/>
        <v>n.a.</v>
      </c>
      <c r="AF159" s="561" t="str">
        <f t="shared" si="65"/>
        <v>n.a.</v>
      </c>
      <c r="AG159" s="561" t="str">
        <f t="shared" si="66"/>
        <v>n.a.</v>
      </c>
      <c r="AH159" s="561" t="b">
        <f t="shared" si="67"/>
        <v>0</v>
      </c>
      <c r="AI159" s="561" t="b">
        <f t="shared" si="68"/>
        <v>0</v>
      </c>
      <c r="AJ159" s="582" t="str">
        <f t="shared" si="69"/>
        <v/>
      </c>
      <c r="AK159" s="582" t="str">
        <f t="shared" si="70"/>
        <v/>
      </c>
      <c r="AL159" s="582" t="str">
        <f t="shared" si="61"/>
        <v/>
      </c>
    </row>
    <row r="160" spans="2:38" ht="12.75" customHeight="1" x14ac:dyDescent="0.25">
      <c r="B160" s="132"/>
      <c r="C160" s="132"/>
      <c r="D160" s="1388"/>
      <c r="E160" s="43"/>
      <c r="F160" s="47"/>
      <c r="G160" s="50"/>
      <c r="H160" s="50"/>
      <c r="I160" s="48"/>
      <c r="J160" s="642" t="str">
        <f t="shared" si="55"/>
        <v/>
      </c>
      <c r="K160" s="642" t="str">
        <f t="shared" si="56"/>
        <v/>
      </c>
      <c r="L160" s="642" t="str">
        <f t="shared" si="57"/>
        <v/>
      </c>
      <c r="M160" s="1395"/>
      <c r="N160" s="116"/>
      <c r="O160" s="116"/>
      <c r="P160" s="116"/>
      <c r="Q160" s="116"/>
      <c r="R160" s="116"/>
      <c r="S160" s="132"/>
      <c r="T160" s="142"/>
      <c r="U160" s="115"/>
      <c r="AD160" s="561" t="str">
        <f t="shared" si="71"/>
        <v/>
      </c>
      <c r="AE160" s="561" t="str">
        <f t="shared" si="64"/>
        <v>n.a.</v>
      </c>
      <c r="AF160" s="561" t="str">
        <f t="shared" si="65"/>
        <v>n.a.</v>
      </c>
      <c r="AG160" s="561" t="str">
        <f t="shared" si="66"/>
        <v>n.a.</v>
      </c>
      <c r="AH160" s="561" t="b">
        <f t="shared" si="67"/>
        <v>0</v>
      </c>
      <c r="AI160" s="561" t="b">
        <f t="shared" si="68"/>
        <v>0</v>
      </c>
      <c r="AJ160" s="582" t="str">
        <f t="shared" si="69"/>
        <v/>
      </c>
      <c r="AK160" s="582" t="str">
        <f t="shared" si="70"/>
        <v/>
      </c>
      <c r="AL160" s="582" t="str">
        <f t="shared" si="61"/>
        <v/>
      </c>
    </row>
    <row r="161" spans="1:38" ht="12.75" customHeight="1" x14ac:dyDescent="0.25">
      <c r="B161" s="132"/>
      <c r="C161" s="132"/>
      <c r="D161" s="1388"/>
      <c r="E161" s="43"/>
      <c r="F161" s="47"/>
      <c r="G161" s="50"/>
      <c r="H161" s="50"/>
      <c r="I161" s="48"/>
      <c r="J161" s="642" t="str">
        <f t="shared" si="55"/>
        <v/>
      </c>
      <c r="K161" s="642" t="str">
        <f t="shared" si="56"/>
        <v/>
      </c>
      <c r="L161" s="642" t="str">
        <f t="shared" si="57"/>
        <v/>
      </c>
      <c r="M161" s="1395"/>
      <c r="N161" s="116"/>
      <c r="O161" s="116"/>
      <c r="P161" s="116"/>
      <c r="Q161" s="116"/>
      <c r="R161" s="116"/>
      <c r="S161" s="132"/>
      <c r="T161" s="142"/>
      <c r="U161" s="115"/>
      <c r="AD161" s="561" t="str">
        <f t="shared" si="71"/>
        <v/>
      </c>
      <c r="AE161" s="561" t="str">
        <f t="shared" si="64"/>
        <v>n.a.</v>
      </c>
      <c r="AF161" s="561" t="str">
        <f t="shared" si="65"/>
        <v>n.a.</v>
      </c>
      <c r="AG161" s="561" t="str">
        <f t="shared" si="66"/>
        <v>n.a.</v>
      </c>
      <c r="AH161" s="561" t="b">
        <f t="shared" si="67"/>
        <v>0</v>
      </c>
      <c r="AI161" s="561" t="b">
        <f t="shared" si="68"/>
        <v>0</v>
      </c>
      <c r="AJ161" s="582" t="str">
        <f t="shared" si="69"/>
        <v/>
      </c>
      <c r="AK161" s="582" t="str">
        <f t="shared" si="70"/>
        <v/>
      </c>
      <c r="AL161" s="582" t="str">
        <f t="shared" si="61"/>
        <v/>
      </c>
    </row>
    <row r="162" spans="1:38" ht="12.75" customHeight="1" x14ac:dyDescent="0.25">
      <c r="B162" s="132"/>
      <c r="C162" s="132"/>
      <c r="D162" s="1388"/>
      <c r="E162" s="43"/>
      <c r="F162" s="47"/>
      <c r="G162" s="50"/>
      <c r="H162" s="50"/>
      <c r="I162" s="48"/>
      <c r="J162" s="642" t="str">
        <f t="shared" si="55"/>
        <v/>
      </c>
      <c r="K162" s="642" t="str">
        <f t="shared" si="56"/>
        <v/>
      </c>
      <c r="L162" s="642" t="str">
        <f t="shared" si="57"/>
        <v/>
      </c>
      <c r="M162" s="1395"/>
      <c r="N162" s="116"/>
      <c r="O162" s="116"/>
      <c r="P162" s="116"/>
      <c r="Q162" s="116"/>
      <c r="R162" s="116"/>
      <c r="S162" s="132"/>
      <c r="T162" s="142"/>
      <c r="U162" s="115"/>
      <c r="AD162" s="561" t="str">
        <f t="shared" si="71"/>
        <v/>
      </c>
      <c r="AE162" s="561" t="str">
        <f t="shared" si="64"/>
        <v>n.a.</v>
      </c>
      <c r="AF162" s="561" t="str">
        <f t="shared" si="65"/>
        <v>n.a.</v>
      </c>
      <c r="AG162" s="561" t="str">
        <f t="shared" si="66"/>
        <v>n.a.</v>
      </c>
      <c r="AH162" s="561" t="b">
        <f t="shared" si="67"/>
        <v>0</v>
      </c>
      <c r="AI162" s="561" t="b">
        <f t="shared" si="68"/>
        <v>0</v>
      </c>
      <c r="AJ162" s="582" t="str">
        <f t="shared" si="69"/>
        <v/>
      </c>
      <c r="AK162" s="582" t="str">
        <f t="shared" si="70"/>
        <v/>
      </c>
      <c r="AL162" s="582" t="str">
        <f t="shared" si="61"/>
        <v/>
      </c>
    </row>
    <row r="163" spans="1:38" ht="12.75" customHeight="1" x14ac:dyDescent="0.25">
      <c r="B163" s="132"/>
      <c r="C163" s="132"/>
      <c r="D163" s="1388"/>
      <c r="E163" s="44"/>
      <c r="F163" s="51"/>
      <c r="G163" s="52"/>
      <c r="H163" s="52"/>
      <c r="I163" s="53"/>
      <c r="J163" s="657" t="str">
        <f t="shared" si="55"/>
        <v/>
      </c>
      <c r="K163" s="657" t="str">
        <f t="shared" si="56"/>
        <v/>
      </c>
      <c r="L163" s="657" t="str">
        <f t="shared" si="57"/>
        <v/>
      </c>
      <c r="M163" s="1395"/>
      <c r="N163" s="116"/>
      <c r="O163" s="116"/>
      <c r="P163" s="116"/>
      <c r="Q163" s="116"/>
      <c r="R163" s="116"/>
      <c r="S163" s="132"/>
      <c r="T163" s="142"/>
      <c r="U163" s="115"/>
      <c r="AD163" s="561" t="str">
        <f t="shared" si="71"/>
        <v/>
      </c>
      <c r="AE163" s="561" t="str">
        <f t="shared" si="64"/>
        <v>n.a.</v>
      </c>
      <c r="AF163" s="561" t="str">
        <f t="shared" si="65"/>
        <v>n.a.</v>
      </c>
      <c r="AG163" s="561" t="str">
        <f t="shared" si="66"/>
        <v>n.a.</v>
      </c>
      <c r="AH163" s="561" t="b">
        <f t="shared" si="67"/>
        <v>0</v>
      </c>
      <c r="AI163" s="561" t="b">
        <f t="shared" si="68"/>
        <v>0</v>
      </c>
      <c r="AJ163" s="582" t="str">
        <f t="shared" si="69"/>
        <v/>
      </c>
      <c r="AK163" s="582" t="str">
        <f t="shared" si="70"/>
        <v/>
      </c>
      <c r="AL163" s="582" t="str">
        <f t="shared" si="61"/>
        <v/>
      </c>
    </row>
    <row r="164" spans="1:38" ht="12.75" customHeight="1" x14ac:dyDescent="0.25">
      <c r="B164" s="132"/>
      <c r="C164" s="132"/>
      <c r="D164" s="132"/>
      <c r="E164" s="658" t="str">
        <f>Translations!$B$645</f>
        <v>TOTALS</v>
      </c>
      <c r="F164" s="659" t="str">
        <f>IF(SUM(F149:F163)=0,"",SUM(F149:F163))</f>
        <v/>
      </c>
      <c r="G164" s="660" t="str">
        <f>IF(SUM(F164)=0,"",J164/F164)</f>
        <v/>
      </c>
      <c r="H164" s="660" t="str">
        <f>IF(SUM(J164)=0,"",SUM(K164:L164)/IF(AF149&lt;&gt;EUconst_NA,F164,J164)/IF(AG149=EUconst_NA,1,AG149))</f>
        <v/>
      </c>
      <c r="I164" s="661" t="str">
        <f>IF(SUM(K164:L164)=0,"",L164/SUM(K164:L164))</f>
        <v/>
      </c>
      <c r="J164" s="659" t="str">
        <f>IF(COUNTA(E149:E163)=0,"",IFERROR(SUM(J149:J163),EUconst_ERR_Inconsistent))</f>
        <v/>
      </c>
      <c r="K164" s="659" t="str">
        <f>IF(COUNTA(E149:E163)=0,"",IFERROR(SUM(K149:K163),EUconst_ERR_Inconsistent))</f>
        <v/>
      </c>
      <c r="L164" s="659" t="str">
        <f>IF(COUNTA(E149:E163)=0,"",IFERROR(SUM(L149:L163),EUconst_ERR_Inconsistent))</f>
        <v/>
      </c>
      <c r="M164" s="1395"/>
      <c r="N164" s="116"/>
      <c r="O164" s="116"/>
      <c r="P164" s="116"/>
      <c r="Q164" s="116"/>
      <c r="R164" s="116"/>
      <c r="S164" s="132"/>
      <c r="T164" s="142"/>
      <c r="U164" s="115"/>
    </row>
    <row r="165" spans="1:38" ht="12.75" customHeight="1" x14ac:dyDescent="0.25">
      <c r="B165" s="132"/>
      <c r="C165" s="132"/>
      <c r="D165" s="132"/>
      <c r="E165" s="191"/>
      <c r="F165" s="116"/>
      <c r="G165" s="116"/>
      <c r="H165" s="116"/>
      <c r="I165" s="116"/>
      <c r="J165" s="116"/>
      <c r="K165" s="116"/>
      <c r="L165" s="116"/>
      <c r="M165" s="116"/>
      <c r="N165" s="116"/>
      <c r="O165" s="116"/>
      <c r="P165" s="116"/>
      <c r="Q165" s="116"/>
      <c r="R165" s="116"/>
      <c r="S165" s="132"/>
      <c r="T165" s="142"/>
      <c r="U165" s="115"/>
    </row>
    <row r="166" spans="1:38" s="69" customFormat="1" ht="18.75" customHeight="1" x14ac:dyDescent="0.25">
      <c r="A166" s="167">
        <f>C166</f>
        <v>7</v>
      </c>
      <c r="B166" s="76"/>
      <c r="C166" s="216">
        <f>C143+1</f>
        <v>7</v>
      </c>
      <c r="D166" s="1195" t="str">
        <f>"Tool " &amp;C166-2</f>
        <v>Tool 5</v>
      </c>
      <c r="E166" s="1195"/>
      <c r="F166" s="1195"/>
      <c r="G166" s="1195"/>
      <c r="H166" s="1195"/>
      <c r="I166" s="1195"/>
      <c r="J166" s="1195"/>
      <c r="K166" s="1195"/>
      <c r="L166" s="1195"/>
      <c r="M166" s="1195"/>
      <c r="N166" s="1195"/>
      <c r="O166" s="1195"/>
      <c r="P166" s="1195"/>
      <c r="Q166" s="1195"/>
      <c r="R166" s="1195"/>
      <c r="S166" s="1195"/>
      <c r="T166" s="142"/>
      <c r="U166" s="115"/>
      <c r="V166" s="464" t="str">
        <f>D166</f>
        <v>Tool 5</v>
      </c>
      <c r="W166" s="110"/>
      <c r="X166" s="110"/>
      <c r="Y166" s="110"/>
      <c r="Z166" s="110"/>
      <c r="AA166" s="109"/>
      <c r="AB166" s="109"/>
      <c r="AC166" s="109"/>
      <c r="AD166" s="109"/>
      <c r="AE166" s="109"/>
      <c r="AF166" s="109"/>
      <c r="AG166" s="109"/>
      <c r="AH166" s="109"/>
      <c r="AI166" s="109"/>
      <c r="AJ166" s="109"/>
      <c r="AK166" s="109"/>
      <c r="AL166" s="109"/>
    </row>
    <row r="167" spans="1:38" ht="12.75" customHeight="1" x14ac:dyDescent="0.25">
      <c r="B167" s="132"/>
      <c r="C167" s="132"/>
      <c r="D167" s="132"/>
      <c r="E167" s="191"/>
      <c r="F167" s="116"/>
      <c r="G167" s="116"/>
      <c r="H167" s="116"/>
      <c r="I167" s="116"/>
      <c r="J167" s="116"/>
      <c r="K167" s="116"/>
      <c r="L167" s="116"/>
      <c r="M167" s="116"/>
      <c r="N167" s="116"/>
      <c r="O167" s="116"/>
      <c r="P167" s="116"/>
      <c r="Q167" s="116"/>
      <c r="R167" s="116"/>
      <c r="S167" s="132"/>
      <c r="T167" s="142"/>
      <c r="U167" s="115"/>
    </row>
    <row r="168" spans="1:38" ht="12.75" customHeight="1" x14ac:dyDescent="0.25">
      <c r="B168" s="132"/>
      <c r="C168" s="132"/>
      <c r="D168" s="1377" t="str">
        <f>Translations!$B$631</f>
        <v>Component</v>
      </c>
      <c r="E168" s="1378"/>
      <c r="F168" s="633">
        <v>1</v>
      </c>
      <c r="G168" s="633">
        <v>2</v>
      </c>
      <c r="H168" s="633">
        <v>3</v>
      </c>
      <c r="I168" s="633">
        <v>4</v>
      </c>
      <c r="J168" s="633">
        <v>5</v>
      </c>
      <c r="K168" s="633">
        <v>6</v>
      </c>
      <c r="L168" s="633">
        <v>7</v>
      </c>
      <c r="M168" s="116"/>
      <c r="N168" s="116"/>
      <c r="O168" s="116"/>
      <c r="P168" s="116"/>
      <c r="Q168" s="116"/>
      <c r="R168" s="116"/>
      <c r="S168" s="132"/>
      <c r="T168" s="142"/>
      <c r="U168" s="115"/>
      <c r="V168" s="566" t="str">
        <f>Translations!$B$498</f>
        <v>Units:</v>
      </c>
      <c r="W168" s="561" t="str" cm="1">
        <f t="array" ref="W168">IFERROR(INDEX(_xlfn._xlws.FILTER(W172:W181,(W172:W181)&lt;&gt;"",""),1),W169)</f>
        <v/>
      </c>
      <c r="X168" s="561" t="str" cm="1">
        <f t="array" ref="X168">IFERROR(INDEX(_xlfn._xlws.FILTER(X172:X181,(X172:X181)&lt;&gt;"",""),1),X169)</f>
        <v/>
      </c>
      <c r="Y168" s="567"/>
      <c r="Z168" s="561" t="str" cm="1">
        <f t="array" ref="Z168">IFERROR(INDEX(_xlfn._xlws.FILTER(Z172:Z181,(Z172:Z181)&lt;&gt;"",""),1),Z169)</f>
        <v/>
      </c>
      <c r="AA168" s="567"/>
    </row>
    <row r="169" spans="1:38" ht="12.75" customHeight="1" x14ac:dyDescent="0.25">
      <c r="B169" s="132"/>
      <c r="C169" s="132"/>
      <c r="D169" s="1379"/>
      <c r="E169" s="1380"/>
      <c r="F169" s="1383" t="str">
        <f>Translations!$B$377</f>
        <v>RFA</v>
      </c>
      <c r="G169" s="1383" t="str">
        <f>Translations!$B$386</f>
        <v>UCF</v>
      </c>
      <c r="H169" s="1383" t="str">
        <f>Translations!$B$383</f>
        <v>EF</v>
      </c>
      <c r="I169" s="1383" t="s">
        <v>194</v>
      </c>
      <c r="J169" s="1385" t="s">
        <v>195</v>
      </c>
      <c r="K169" s="1385" t="str">
        <f>Translations!$B$522</f>
        <v>Emissions (fossil)</v>
      </c>
      <c r="L169" s="1385" t="str">
        <f>Translations!$B$634</f>
        <v>Emissions (bio)</v>
      </c>
      <c r="M169" s="116"/>
      <c r="N169" s="116"/>
      <c r="O169" s="116"/>
      <c r="P169" s="116"/>
      <c r="Q169" s="116"/>
      <c r="R169" s="116"/>
      <c r="S169" s="132"/>
      <c r="T169" s="142"/>
      <c r="U169" s="115"/>
      <c r="W169" s="561" t="str">
        <f t="array" ref="W169">IFERROR(INDEX(W172:W181,MATCH(TRUE,(W172:W181)&lt;&gt;"",0)),"")</f>
        <v/>
      </c>
      <c r="X169" s="561" t="str">
        <f t="array" ref="X169">IFERROR(INDEX(X172:X181,MATCH(TRUE,(X172:X181)&lt;&gt;"",0)),"")</f>
        <v/>
      </c>
      <c r="Y169" s="567"/>
      <c r="Z169" s="561" t="str">
        <f t="array" ref="Z169">IFERROR(INDEX(Z172:Z181,MATCH(TRUE,(Z172:Z181)&lt;&gt;"",0)),"")</f>
        <v/>
      </c>
      <c r="AA169" s="567"/>
    </row>
    <row r="170" spans="1:38" ht="12.75" customHeight="1" x14ac:dyDescent="0.3">
      <c r="B170" s="132"/>
      <c r="C170" s="132"/>
      <c r="D170" s="1379"/>
      <c r="E170" s="1380"/>
      <c r="F170" s="1384"/>
      <c r="G170" s="1384"/>
      <c r="H170" s="1384"/>
      <c r="I170" s="1384"/>
      <c r="J170" s="1386"/>
      <c r="K170" s="1386"/>
      <c r="L170" s="1386"/>
      <c r="M170" s="116"/>
      <c r="N170" s="634" t="s">
        <v>196</v>
      </c>
      <c r="O170" s="116"/>
      <c r="P170" s="116"/>
      <c r="Q170" s="116"/>
      <c r="R170" s="116"/>
      <c r="S170" s="132"/>
      <c r="T170" s="142"/>
      <c r="U170" s="115"/>
      <c r="W170" s="569" t="str">
        <f>Translations!$B$377</f>
        <v>RFA</v>
      </c>
      <c r="X170" s="569" t="str">
        <f>Translations!$B$386</f>
        <v>UCF</v>
      </c>
      <c r="Y170" s="569"/>
      <c r="Z170" s="569" t="str">
        <f>Translations!$B$383</f>
        <v>EF</v>
      </c>
      <c r="AA170" s="569"/>
      <c r="AB170" s="570"/>
      <c r="AC170" s="570"/>
      <c r="AH170" s="570"/>
      <c r="AI170" s="570"/>
      <c r="AJ170" s="570"/>
    </row>
    <row r="171" spans="1:38" ht="12.75" customHeight="1" x14ac:dyDescent="0.3">
      <c r="B171" s="132"/>
      <c r="C171" s="132"/>
      <c r="D171" s="1381"/>
      <c r="E171" s="1382"/>
      <c r="F171" s="635" t="str">
        <f>IF(COUNTA($E172:$E186)=0,"",$W168)</f>
        <v/>
      </c>
      <c r="G171" s="635" t="str">
        <f>IF(COUNTA($E172:$E186)=0,"",$X168)</f>
        <v/>
      </c>
      <c r="H171" s="635" t="str">
        <f>IF(COUNTA($E172:$E186)=0,"",$Z168)</f>
        <v/>
      </c>
      <c r="I171" s="636" t="s">
        <v>46</v>
      </c>
      <c r="J171" s="635" t="str">
        <f>IF(AE172=EUconst_NA,EUconst_GJ,AE172)</f>
        <v>GJ</v>
      </c>
      <c r="K171" s="637" t="s">
        <v>188</v>
      </c>
      <c r="L171" s="637" t="s">
        <v>188</v>
      </c>
      <c r="M171" s="116"/>
      <c r="N171" s="1387" t="str">
        <f>Translations!$B$636</f>
        <v>The results of this tool are the relevant (weighted average) values below. Each value has to be entered manually in sheet C for the respective fuel stream. Select fuel stream below for comparison.</v>
      </c>
      <c r="O171" s="1387"/>
      <c r="P171" s="1387"/>
      <c r="Q171" s="1387"/>
      <c r="R171" s="1387"/>
      <c r="S171" s="1387"/>
      <c r="T171" s="142"/>
      <c r="U171" s="115"/>
      <c r="W171" s="569" t="str">
        <f>EUconst_CNTR_ActivityData&amp;EUconst_Unit</f>
        <v>ActivityData_Unit</v>
      </c>
      <c r="X171" s="569" t="str">
        <f>EUconst_CNTR_UCF&amp;EUconst_Unit</f>
        <v>UCF_Unit</v>
      </c>
      <c r="Y171" s="569" t="str">
        <f>EUconst_CNTR_UCF&amp;EUconst_Value</f>
        <v>UCF_Value</v>
      </c>
      <c r="Z171" s="569" t="str">
        <f>EUconst_CNTR_EF&amp;EUconst_Unit</f>
        <v>EF_Unit</v>
      </c>
      <c r="AA171" s="569" t="str">
        <f>EUconst_CNTR_EF&amp;EUconst_Value</f>
        <v>EF_Value</v>
      </c>
      <c r="AB171" s="569" t="s">
        <v>189</v>
      </c>
      <c r="AC171" s="575"/>
      <c r="AD171" s="576" t="s">
        <v>147</v>
      </c>
      <c r="AE171" s="576" t="s">
        <v>151</v>
      </c>
      <c r="AF171" s="576" t="s">
        <v>153</v>
      </c>
      <c r="AG171" s="576" t="s">
        <v>155</v>
      </c>
      <c r="AH171" s="575"/>
      <c r="AI171" s="575"/>
      <c r="AJ171" s="575" t="s">
        <v>190</v>
      </c>
      <c r="AK171" s="575" t="s">
        <v>191</v>
      </c>
      <c r="AL171" s="575" t="s">
        <v>192</v>
      </c>
    </row>
    <row r="172" spans="1:38" ht="12.75" customHeight="1" x14ac:dyDescent="0.25">
      <c r="B172" s="132"/>
      <c r="C172" s="132"/>
      <c r="D172" s="1388" t="str">
        <f>Translations!$B$637</f>
        <v>Default compontents provided by the CA</v>
      </c>
      <c r="E172" s="42"/>
      <c r="F172" s="45"/>
      <c r="G172" s="639" t="str">
        <f>IF($E172="","",Y172)</f>
        <v/>
      </c>
      <c r="H172" s="639" t="str">
        <f>IF($E172="","",AA172)</f>
        <v/>
      </c>
      <c r="I172" s="46"/>
      <c r="J172" s="640" t="str">
        <f t="shared" ref="J172:J186" si="72">IFERROR(IF(E172="","",AL172),EUconst_ERR_Inconsistent)</f>
        <v/>
      </c>
      <c r="K172" s="640" t="str">
        <f t="shared" ref="K172:K186" si="73">IFERROR(IF(E172="","",AJ172),EUconst_ERR_Inconsistent)</f>
        <v/>
      </c>
      <c r="L172" s="640" t="str">
        <f t="shared" ref="L172:L186" si="74">IFERROR(IF(E172="","",AK172),EUconst_ERR_Inconsistent)</f>
        <v/>
      </c>
      <c r="M172" s="1389"/>
      <c r="N172" s="1387"/>
      <c r="O172" s="1387"/>
      <c r="P172" s="1387"/>
      <c r="Q172" s="1387"/>
      <c r="R172" s="1387"/>
      <c r="S172" s="1387"/>
      <c r="T172" s="142"/>
      <c r="U172" s="115"/>
      <c r="W172" s="561" t="str">
        <f t="shared" ref="W172:AA181" si="75">IF($E172="","",INDEX(MSPara_CalcFactorsMatrix,MATCH($E172,MSPara_SourceStreamCategory,0),MATCH(W$20&amp;"_"&amp;2,MSPara_CalcFactors,0)))</f>
        <v/>
      </c>
      <c r="X172" s="561" t="str">
        <f t="shared" si="75"/>
        <v/>
      </c>
      <c r="Y172" s="561" t="str">
        <f t="shared" si="75"/>
        <v/>
      </c>
      <c r="Z172" s="561" t="str">
        <f t="shared" si="75"/>
        <v/>
      </c>
      <c r="AA172" s="561" t="str">
        <f t="shared" si="75"/>
        <v/>
      </c>
      <c r="AB172" s="561" t="str">
        <f>IF(E172="","",OR(W172&lt;&gt;W168,X172&lt;&gt;X168,Z172&lt;&gt;Z168))</f>
        <v/>
      </c>
      <c r="AC172" s="567"/>
      <c r="AD172" s="561" t="str">
        <f>W172</f>
        <v/>
      </c>
      <c r="AE172" s="561" t="str">
        <f>IF(X172="",EUconst_NA,IF(AD172=EUconst_TJ,EUconst_TJ,INDEX(EUwideConstants!$C$135:$G$139,MATCH(AD172,RFAUnits,0),MATCH(X172,UCFUnits,0))))</f>
        <v>n.a.</v>
      </c>
      <c r="AF172" s="561" t="str">
        <f>IF(COUNTIF(RFAUnits,AD172)=0,EUconst_NA,INDEX(EUwideConstants!$C$150:$H$154,MATCH(Z172,EFUnits,0),MATCH(AD172,EUwideConstants!$C$149:$H$149,0)))</f>
        <v>n.a.</v>
      </c>
      <c r="AG172" s="561" t="str">
        <f>IF(AE172=EUconst_NA,EUconst_NA,INDEX(EUwideConstants!$C$150:$H$154,MATCH(Z172,EFUnits,0),MATCH(AE172,EUwideConstants!$C$149:$H$149,0)))</f>
        <v>n.a.</v>
      </c>
      <c r="AH172" s="561" t="b">
        <f t="shared" ref="AH172" si="76">AF172&lt;&gt;EUconst_NA</f>
        <v>0</v>
      </c>
      <c r="AI172" s="561" t="b">
        <f t="shared" ref="AI172" si="77">AG172&lt;&gt;EUconst_NA</f>
        <v>0</v>
      </c>
      <c r="AJ172" s="582" t="str">
        <f>IF(OR(E172="",COUNTIF(AH172:AI172,TRUE)=0),"",F172*IF(AH172,1,G172*AG172)*H172*(1-I172))</f>
        <v/>
      </c>
      <c r="AK172" s="582" t="str">
        <f>IF(OR(E172="",COUNTIF(AH172:AI172,TRUE)=0),"",F172*IF(AH172,1,G172*AG172)*H172*I172)</f>
        <v/>
      </c>
      <c r="AL172" s="582" t="str">
        <f t="shared" ref="AL172:AL186" si="78">IF(E172="","",IF(W172=EUconst_TJ,F172,F172*G172))</f>
        <v/>
      </c>
    </row>
    <row r="173" spans="1:38" ht="12.75" customHeight="1" x14ac:dyDescent="0.25">
      <c r="B173" s="132"/>
      <c r="C173" s="132"/>
      <c r="D173" s="1388"/>
      <c r="E173" s="43"/>
      <c r="F173" s="47"/>
      <c r="G173" s="641" t="str">
        <f t="shared" ref="G173:G181" si="79">IF($E173="","",Y173)</f>
        <v/>
      </c>
      <c r="H173" s="641" t="str">
        <f t="shared" ref="H173:H181" si="80">IF($E173="","",AA173)</f>
        <v/>
      </c>
      <c r="I173" s="48"/>
      <c r="J173" s="642" t="str">
        <f t="shared" si="72"/>
        <v/>
      </c>
      <c r="K173" s="642" t="str">
        <f t="shared" si="73"/>
        <v/>
      </c>
      <c r="L173" s="642" t="str">
        <f t="shared" si="74"/>
        <v/>
      </c>
      <c r="M173" s="1389"/>
      <c r="N173" s="638"/>
      <c r="O173" s="643" t="str">
        <f>Translations!$B$639</f>
        <v>Fuel stream:</v>
      </c>
      <c r="P173" s="1390"/>
      <c r="Q173" s="1391"/>
      <c r="R173" s="1391"/>
      <c r="S173" s="1392"/>
      <c r="T173" s="142"/>
      <c r="U173" s="115"/>
      <c r="W173" s="561" t="str">
        <f t="shared" si="75"/>
        <v/>
      </c>
      <c r="X173" s="561" t="str">
        <f t="shared" si="75"/>
        <v/>
      </c>
      <c r="Y173" s="561" t="str">
        <f t="shared" si="75"/>
        <v/>
      </c>
      <c r="Z173" s="561" t="str">
        <f t="shared" si="75"/>
        <v/>
      </c>
      <c r="AA173" s="561" t="str">
        <f t="shared" si="75"/>
        <v/>
      </c>
      <c r="AB173" s="561" t="str">
        <f>IF(E173="","",OR(W173&lt;&gt;W168,X173&lt;&gt;X168,Z173&lt;&gt;Z168))</f>
        <v/>
      </c>
      <c r="AC173" s="567"/>
      <c r="AD173" s="561" t="str">
        <f>AD172</f>
        <v/>
      </c>
      <c r="AE173" s="561" t="str">
        <f t="shared" ref="AE173:AE186" si="81">AE172</f>
        <v>n.a.</v>
      </c>
      <c r="AF173" s="561" t="str">
        <f t="shared" ref="AF173:AF186" si="82">AF172</f>
        <v>n.a.</v>
      </c>
      <c r="AG173" s="561" t="str">
        <f t="shared" ref="AG173:AG186" si="83">AG172</f>
        <v>n.a.</v>
      </c>
      <c r="AH173" s="561" t="b">
        <f t="shared" ref="AH173:AH186" si="84">AH172</f>
        <v>0</v>
      </c>
      <c r="AI173" s="561" t="b">
        <f t="shared" ref="AI173:AI186" si="85">AI172</f>
        <v>0</v>
      </c>
      <c r="AJ173" s="582" t="str">
        <f t="shared" ref="AJ173:AJ186" si="86">IF(OR(E173="",COUNTIF(AH173:AI173,TRUE)=0),"",F173*IF(AH173,1,G173*AG173)*H173*(1-I173))</f>
        <v/>
      </c>
      <c r="AK173" s="582" t="str">
        <f t="shared" ref="AK173:AK186" si="87">IF(OR(E173="",COUNTIF(AH173:AI173,TRUE)=0),"",F173*IF(AH173,1,G173*AG173)*H173*I173)</f>
        <v/>
      </c>
      <c r="AL173" s="582" t="str">
        <f t="shared" si="78"/>
        <v/>
      </c>
    </row>
    <row r="174" spans="1:38" ht="12.75" customHeight="1" x14ac:dyDescent="0.25">
      <c r="B174" s="132"/>
      <c r="C174" s="132"/>
      <c r="D174" s="1388"/>
      <c r="E174" s="43"/>
      <c r="F174" s="47"/>
      <c r="G174" s="641" t="str">
        <f t="shared" si="79"/>
        <v/>
      </c>
      <c r="H174" s="641" t="str">
        <f t="shared" si="80"/>
        <v/>
      </c>
      <c r="I174" s="48"/>
      <c r="J174" s="642" t="str">
        <f t="shared" si="72"/>
        <v/>
      </c>
      <c r="K174" s="642" t="str">
        <f t="shared" si="73"/>
        <v/>
      </c>
      <c r="L174" s="642" t="str">
        <f t="shared" si="74"/>
        <v/>
      </c>
      <c r="M174" s="1389"/>
      <c r="N174" s="116"/>
      <c r="O174" s="116"/>
      <c r="P174" s="116"/>
      <c r="Q174" s="116"/>
      <c r="R174" s="116"/>
      <c r="S174" s="132"/>
      <c r="T174" s="142"/>
      <c r="U174" s="115"/>
      <c r="W174" s="561" t="str">
        <f t="shared" si="75"/>
        <v/>
      </c>
      <c r="X174" s="561" t="str">
        <f t="shared" si="75"/>
        <v/>
      </c>
      <c r="Y174" s="561" t="str">
        <f t="shared" si="75"/>
        <v/>
      </c>
      <c r="Z174" s="561" t="str">
        <f t="shared" si="75"/>
        <v/>
      </c>
      <c r="AA174" s="561" t="str">
        <f t="shared" si="75"/>
        <v/>
      </c>
      <c r="AB174" s="561" t="str">
        <f>IF(E174="","",OR(W174&lt;&gt;W168,X174&lt;&gt;X168,Z174&lt;&gt;Z168))</f>
        <v/>
      </c>
      <c r="AC174" s="567"/>
      <c r="AD174" s="561" t="str">
        <f t="shared" ref="AD174:AD186" si="88">AD173</f>
        <v/>
      </c>
      <c r="AE174" s="561" t="str">
        <f t="shared" si="81"/>
        <v>n.a.</v>
      </c>
      <c r="AF174" s="561" t="str">
        <f t="shared" si="82"/>
        <v>n.a.</v>
      </c>
      <c r="AG174" s="561" t="str">
        <f t="shared" si="83"/>
        <v>n.a.</v>
      </c>
      <c r="AH174" s="561" t="b">
        <f t="shared" si="84"/>
        <v>0</v>
      </c>
      <c r="AI174" s="561" t="b">
        <f t="shared" si="85"/>
        <v>0</v>
      </c>
      <c r="AJ174" s="582" t="str">
        <f t="shared" si="86"/>
        <v/>
      </c>
      <c r="AK174" s="582" t="str">
        <f t="shared" si="87"/>
        <v/>
      </c>
      <c r="AL174" s="582" t="str">
        <f t="shared" si="78"/>
        <v/>
      </c>
    </row>
    <row r="175" spans="1:38" ht="12.75" customHeight="1" thickBot="1" x14ac:dyDescent="0.35">
      <c r="B175" s="132"/>
      <c r="C175" s="132"/>
      <c r="D175" s="1388"/>
      <c r="E175" s="43"/>
      <c r="F175" s="47"/>
      <c r="G175" s="641" t="str">
        <f t="shared" si="79"/>
        <v/>
      </c>
      <c r="H175" s="641" t="str">
        <f t="shared" si="80"/>
        <v/>
      </c>
      <c r="I175" s="48"/>
      <c r="J175" s="642" t="str">
        <f t="shared" si="72"/>
        <v/>
      </c>
      <c r="K175" s="642" t="str">
        <f t="shared" si="73"/>
        <v/>
      </c>
      <c r="L175" s="642" t="str">
        <f t="shared" si="74"/>
        <v/>
      </c>
      <c r="M175" s="1389"/>
      <c r="N175" s="1255" t="str">
        <f>Translations!$B$394</f>
        <v>Unit</v>
      </c>
      <c r="O175" s="1255"/>
      <c r="P175" s="1255" t="str">
        <f>Translations!$B$395</f>
        <v>Value</v>
      </c>
      <c r="Q175" s="1255"/>
      <c r="R175" s="116"/>
      <c r="S175" s="644" t="str">
        <f>Translations!$B$642</f>
        <v>Sheet C values</v>
      </c>
      <c r="T175" s="142"/>
      <c r="U175" s="115"/>
      <c r="W175" s="561" t="str">
        <f t="shared" si="75"/>
        <v/>
      </c>
      <c r="X175" s="561" t="str">
        <f t="shared" si="75"/>
        <v/>
      </c>
      <c r="Y175" s="561" t="str">
        <f t="shared" si="75"/>
        <v/>
      </c>
      <c r="Z175" s="561" t="str">
        <f t="shared" si="75"/>
        <v/>
      </c>
      <c r="AA175" s="561" t="str">
        <f t="shared" si="75"/>
        <v/>
      </c>
      <c r="AB175" s="561" t="str">
        <f>IF(E175="","",OR(W175&lt;&gt;W168,X175&lt;&gt;X168,Z175&lt;&gt;Z168))</f>
        <v/>
      </c>
      <c r="AC175" s="567"/>
      <c r="AD175" s="561" t="str">
        <f t="shared" si="88"/>
        <v/>
      </c>
      <c r="AE175" s="561" t="str">
        <f t="shared" si="81"/>
        <v>n.a.</v>
      </c>
      <c r="AF175" s="561" t="str">
        <f t="shared" si="82"/>
        <v>n.a.</v>
      </c>
      <c r="AG175" s="561" t="str">
        <f t="shared" si="83"/>
        <v>n.a.</v>
      </c>
      <c r="AH175" s="561" t="b">
        <f t="shared" si="84"/>
        <v>0</v>
      </c>
      <c r="AI175" s="561" t="b">
        <f t="shared" si="85"/>
        <v>0</v>
      </c>
      <c r="AJ175" s="582" t="str">
        <f t="shared" si="86"/>
        <v/>
      </c>
      <c r="AK175" s="582" t="str">
        <f t="shared" si="87"/>
        <v/>
      </c>
      <c r="AL175" s="582" t="str">
        <f t="shared" si="78"/>
        <v/>
      </c>
    </row>
    <row r="176" spans="1:38" ht="12.75" customHeight="1" thickBot="1" x14ac:dyDescent="0.3">
      <c r="B176" s="132"/>
      <c r="C176" s="132"/>
      <c r="D176" s="1388"/>
      <c r="E176" s="43"/>
      <c r="F176" s="47"/>
      <c r="G176" s="641" t="str">
        <f t="shared" si="79"/>
        <v/>
      </c>
      <c r="H176" s="641" t="str">
        <f t="shared" si="80"/>
        <v/>
      </c>
      <c r="I176" s="48"/>
      <c r="J176" s="642" t="str">
        <f t="shared" si="72"/>
        <v/>
      </c>
      <c r="K176" s="642" t="str">
        <f t="shared" si="73"/>
        <v/>
      </c>
      <c r="L176" s="642" t="str">
        <f t="shared" si="74"/>
        <v/>
      </c>
      <c r="M176" s="116"/>
      <c r="N176" s="346" t="str">
        <f>F171</f>
        <v/>
      </c>
      <c r="O176" s="7"/>
      <c r="P176" s="1393" t="str">
        <f>IF(F187="","",F187)</f>
        <v/>
      </c>
      <c r="Q176" s="1394"/>
      <c r="R176" s="116"/>
      <c r="S176" s="645" t="str">
        <f>IF(P173="","",SUMIFS(C_FuelStreams!BK:BK,C_FuelStreams!BI:BI,P173))</f>
        <v/>
      </c>
      <c r="T176" s="142"/>
      <c r="U176" s="115"/>
      <c r="W176" s="561" t="str">
        <f t="shared" si="75"/>
        <v/>
      </c>
      <c r="X176" s="561" t="str">
        <f t="shared" si="75"/>
        <v/>
      </c>
      <c r="Y176" s="561" t="str">
        <f t="shared" si="75"/>
        <v/>
      </c>
      <c r="Z176" s="561" t="str">
        <f t="shared" si="75"/>
        <v/>
      </c>
      <c r="AA176" s="561" t="str">
        <f t="shared" si="75"/>
        <v/>
      </c>
      <c r="AB176" s="561" t="str">
        <f>IF(E176="","",OR(W176&lt;&gt;W168,X176&lt;&gt;X168,Z176&lt;&gt;Z168))</f>
        <v/>
      </c>
      <c r="AC176" s="567"/>
      <c r="AD176" s="561" t="str">
        <f t="shared" si="88"/>
        <v/>
      </c>
      <c r="AE176" s="561" t="str">
        <f t="shared" si="81"/>
        <v>n.a.</v>
      </c>
      <c r="AF176" s="561" t="str">
        <f t="shared" si="82"/>
        <v>n.a.</v>
      </c>
      <c r="AG176" s="561" t="str">
        <f t="shared" si="83"/>
        <v>n.a.</v>
      </c>
      <c r="AH176" s="561" t="b">
        <f t="shared" si="84"/>
        <v>0</v>
      </c>
      <c r="AI176" s="561" t="b">
        <f t="shared" si="85"/>
        <v>0</v>
      </c>
      <c r="AJ176" s="582" t="str">
        <f t="shared" si="86"/>
        <v/>
      </c>
      <c r="AK176" s="582" t="str">
        <f t="shared" si="87"/>
        <v/>
      </c>
      <c r="AL176" s="582" t="str">
        <f t="shared" si="78"/>
        <v/>
      </c>
    </row>
    <row r="177" spans="1:38" ht="12.75" customHeight="1" thickBot="1" x14ac:dyDescent="0.3">
      <c r="B177" s="132"/>
      <c r="C177" s="132"/>
      <c r="D177" s="1388"/>
      <c r="E177" s="43"/>
      <c r="F177" s="47"/>
      <c r="G177" s="641" t="str">
        <f t="shared" si="79"/>
        <v/>
      </c>
      <c r="H177" s="641" t="str">
        <f t="shared" si="80"/>
        <v/>
      </c>
      <c r="I177" s="48"/>
      <c r="J177" s="642" t="str">
        <f t="shared" si="72"/>
        <v/>
      </c>
      <c r="K177" s="642" t="str">
        <f t="shared" si="73"/>
        <v/>
      </c>
      <c r="L177" s="642" t="str">
        <f t="shared" si="74"/>
        <v/>
      </c>
      <c r="M177" s="116"/>
      <c r="N177" s="162"/>
      <c r="O177" s="162"/>
      <c r="P177" s="76"/>
      <c r="Q177" s="76"/>
      <c r="R177" s="116"/>
      <c r="S177" s="996"/>
      <c r="T177" s="142"/>
      <c r="U177" s="115"/>
      <c r="W177" s="561" t="str">
        <f t="shared" si="75"/>
        <v/>
      </c>
      <c r="X177" s="561" t="str">
        <f t="shared" si="75"/>
        <v/>
      </c>
      <c r="Y177" s="561" t="str">
        <f t="shared" si="75"/>
        <v/>
      </c>
      <c r="Z177" s="561" t="str">
        <f t="shared" si="75"/>
        <v/>
      </c>
      <c r="AA177" s="561" t="str">
        <f t="shared" si="75"/>
        <v/>
      </c>
      <c r="AB177" s="561" t="str">
        <f>IF(E177="","",OR(W177&lt;&gt;W168,X177&lt;&gt;X168,Z177&lt;&gt;Z168))</f>
        <v/>
      </c>
      <c r="AC177" s="567"/>
      <c r="AD177" s="561" t="str">
        <f t="shared" si="88"/>
        <v/>
      </c>
      <c r="AE177" s="561" t="str">
        <f t="shared" si="81"/>
        <v>n.a.</v>
      </c>
      <c r="AF177" s="561" t="str">
        <f t="shared" si="82"/>
        <v>n.a.</v>
      </c>
      <c r="AG177" s="561" t="str">
        <f t="shared" si="83"/>
        <v>n.a.</v>
      </c>
      <c r="AH177" s="561" t="b">
        <f t="shared" si="84"/>
        <v>0</v>
      </c>
      <c r="AI177" s="561" t="b">
        <f t="shared" si="85"/>
        <v>0</v>
      </c>
      <c r="AJ177" s="582" t="str">
        <f t="shared" si="86"/>
        <v/>
      </c>
      <c r="AK177" s="582" t="str">
        <f t="shared" si="87"/>
        <v/>
      </c>
      <c r="AL177" s="582" t="str">
        <f t="shared" si="78"/>
        <v/>
      </c>
    </row>
    <row r="178" spans="1:38" ht="12.75" customHeight="1" x14ac:dyDescent="0.25">
      <c r="B178" s="132"/>
      <c r="C178" s="132"/>
      <c r="D178" s="1388"/>
      <c r="E178" s="43"/>
      <c r="F178" s="47"/>
      <c r="G178" s="641" t="str">
        <f t="shared" si="79"/>
        <v/>
      </c>
      <c r="H178" s="641" t="str">
        <f t="shared" si="80"/>
        <v/>
      </c>
      <c r="I178" s="48"/>
      <c r="J178" s="642" t="str">
        <f t="shared" si="72"/>
        <v/>
      </c>
      <c r="K178" s="642" t="str">
        <f t="shared" si="73"/>
        <v/>
      </c>
      <c r="L178" s="642" t="str">
        <f t="shared" si="74"/>
        <v/>
      </c>
      <c r="M178" s="116"/>
      <c r="N178" s="365" t="str">
        <f>G171</f>
        <v/>
      </c>
      <c r="O178" s="11"/>
      <c r="P178" s="366"/>
      <c r="Q178" s="646" t="str">
        <f>IF(G187="","",G187)</f>
        <v/>
      </c>
      <c r="R178" s="116"/>
      <c r="S178" s="647" t="str">
        <f>IF(P173="","",SUMIFS(C_FuelStreams!BU:BU,C_FuelStreams!BI:BI,P173))</f>
        <v/>
      </c>
      <c r="T178" s="142"/>
      <c r="U178" s="115"/>
      <c r="W178" s="561" t="str">
        <f t="shared" si="75"/>
        <v/>
      </c>
      <c r="X178" s="561" t="str">
        <f t="shared" si="75"/>
        <v/>
      </c>
      <c r="Y178" s="561" t="str">
        <f t="shared" si="75"/>
        <v/>
      </c>
      <c r="Z178" s="561" t="str">
        <f t="shared" si="75"/>
        <v/>
      </c>
      <c r="AA178" s="561" t="str">
        <f t="shared" si="75"/>
        <v/>
      </c>
      <c r="AB178" s="561" t="str">
        <f>IF(E178="","",OR(W178&lt;&gt;W168,X178&lt;&gt;X168,Z178&lt;&gt;Z168))</f>
        <v/>
      </c>
      <c r="AC178" s="567"/>
      <c r="AD178" s="561" t="str">
        <f t="shared" si="88"/>
        <v/>
      </c>
      <c r="AE178" s="561" t="str">
        <f t="shared" si="81"/>
        <v>n.a.</v>
      </c>
      <c r="AF178" s="561" t="str">
        <f t="shared" si="82"/>
        <v>n.a.</v>
      </c>
      <c r="AG178" s="561" t="str">
        <f t="shared" si="83"/>
        <v>n.a.</v>
      </c>
      <c r="AH178" s="561" t="b">
        <f t="shared" si="84"/>
        <v>0</v>
      </c>
      <c r="AI178" s="561" t="b">
        <f t="shared" si="85"/>
        <v>0</v>
      </c>
      <c r="AJ178" s="582" t="str">
        <f t="shared" si="86"/>
        <v/>
      </c>
      <c r="AK178" s="582" t="str">
        <f t="shared" si="87"/>
        <v/>
      </c>
      <c r="AL178" s="582" t="str">
        <f t="shared" si="78"/>
        <v/>
      </c>
    </row>
    <row r="179" spans="1:38" ht="12.75" customHeight="1" thickBot="1" x14ac:dyDescent="0.3">
      <c r="B179" s="132"/>
      <c r="C179" s="132"/>
      <c r="D179" s="1388"/>
      <c r="E179" s="43"/>
      <c r="F179" s="47"/>
      <c r="G179" s="641" t="str">
        <f t="shared" si="79"/>
        <v/>
      </c>
      <c r="H179" s="641" t="str">
        <f t="shared" si="80"/>
        <v/>
      </c>
      <c r="I179" s="48"/>
      <c r="J179" s="642" t="str">
        <f t="shared" si="72"/>
        <v/>
      </c>
      <c r="K179" s="642" t="str">
        <f t="shared" si="73"/>
        <v/>
      </c>
      <c r="L179" s="642" t="str">
        <f t="shared" si="74"/>
        <v/>
      </c>
      <c r="M179" s="116"/>
      <c r="N179" s="648" t="str">
        <f>H171</f>
        <v/>
      </c>
      <c r="O179" s="22"/>
      <c r="P179" s="649"/>
      <c r="Q179" s="650" t="str">
        <f>IF(H187="","",H187)</f>
        <v/>
      </c>
      <c r="R179" s="116"/>
      <c r="S179" s="651" t="str">
        <f>IF(P173="","",SUMIFS(C_FuelStreams!BR:BR,C_FuelStreams!BI:BI,P173))</f>
        <v/>
      </c>
      <c r="T179" s="142"/>
      <c r="U179" s="115"/>
      <c r="W179" s="561" t="str">
        <f t="shared" si="75"/>
        <v/>
      </c>
      <c r="X179" s="561" t="str">
        <f t="shared" si="75"/>
        <v/>
      </c>
      <c r="Y179" s="561" t="str">
        <f t="shared" si="75"/>
        <v/>
      </c>
      <c r="Z179" s="561" t="str">
        <f t="shared" si="75"/>
        <v/>
      </c>
      <c r="AA179" s="561" t="str">
        <f t="shared" si="75"/>
        <v/>
      </c>
      <c r="AB179" s="561" t="str">
        <f>IF(E179="","",OR(W179&lt;&gt;W168,X179&lt;&gt;X168,Z179&lt;&gt;Z168))</f>
        <v/>
      </c>
      <c r="AC179" s="567"/>
      <c r="AD179" s="561" t="str">
        <f t="shared" si="88"/>
        <v/>
      </c>
      <c r="AE179" s="561" t="str">
        <f t="shared" si="81"/>
        <v>n.a.</v>
      </c>
      <c r="AF179" s="561" t="str">
        <f t="shared" si="82"/>
        <v>n.a.</v>
      </c>
      <c r="AG179" s="561" t="str">
        <f t="shared" si="83"/>
        <v>n.a.</v>
      </c>
      <c r="AH179" s="561" t="b">
        <f t="shared" si="84"/>
        <v>0</v>
      </c>
      <c r="AI179" s="561" t="b">
        <f t="shared" si="85"/>
        <v>0</v>
      </c>
      <c r="AJ179" s="582" t="str">
        <f t="shared" si="86"/>
        <v/>
      </c>
      <c r="AK179" s="582" t="str">
        <f t="shared" si="87"/>
        <v/>
      </c>
      <c r="AL179" s="582" t="str">
        <f t="shared" si="78"/>
        <v/>
      </c>
    </row>
    <row r="180" spans="1:38" ht="12.75" customHeight="1" x14ac:dyDescent="0.25">
      <c r="B180" s="132"/>
      <c r="C180" s="132"/>
      <c r="D180" s="1388"/>
      <c r="E180" s="43"/>
      <c r="F180" s="47"/>
      <c r="G180" s="641" t="str">
        <f t="shared" si="79"/>
        <v/>
      </c>
      <c r="H180" s="641" t="str">
        <f t="shared" si="80"/>
        <v/>
      </c>
      <c r="I180" s="48"/>
      <c r="J180" s="642" t="str">
        <f t="shared" si="72"/>
        <v/>
      </c>
      <c r="K180" s="642" t="str">
        <f t="shared" si="73"/>
        <v/>
      </c>
      <c r="L180" s="642" t="str">
        <f t="shared" si="74"/>
        <v/>
      </c>
      <c r="M180" s="116"/>
      <c r="N180" s="652" t="s">
        <v>46</v>
      </c>
      <c r="O180" s="411"/>
      <c r="P180" s="653"/>
      <c r="Q180" s="654" t="str">
        <f>IF(I187="","",I187)</f>
        <v/>
      </c>
      <c r="R180" s="116"/>
      <c r="S180" s="655" t="str">
        <f>IF(P173="","",SUMIFS(C_FuelStreams!BX:BX,C_FuelStreams!BI:BI,P173))</f>
        <v/>
      </c>
      <c r="T180" s="142"/>
      <c r="U180" s="115"/>
      <c r="W180" s="561" t="str">
        <f t="shared" si="75"/>
        <v/>
      </c>
      <c r="X180" s="561" t="str">
        <f t="shared" si="75"/>
        <v/>
      </c>
      <c r="Y180" s="561" t="str">
        <f t="shared" si="75"/>
        <v/>
      </c>
      <c r="Z180" s="561" t="str">
        <f t="shared" si="75"/>
        <v/>
      </c>
      <c r="AA180" s="561" t="str">
        <f t="shared" si="75"/>
        <v/>
      </c>
      <c r="AB180" s="561" t="str">
        <f>IF(E180="","",OR(W180&lt;&gt;W168,X180&lt;&gt;X168,Z180&lt;&gt;Z168))</f>
        <v/>
      </c>
      <c r="AC180" s="567"/>
      <c r="AD180" s="561" t="str">
        <f t="shared" si="88"/>
        <v/>
      </c>
      <c r="AE180" s="561" t="str">
        <f t="shared" si="81"/>
        <v>n.a.</v>
      </c>
      <c r="AF180" s="561" t="str">
        <f t="shared" si="82"/>
        <v>n.a.</v>
      </c>
      <c r="AG180" s="561" t="str">
        <f t="shared" si="83"/>
        <v>n.a.</v>
      </c>
      <c r="AH180" s="561" t="b">
        <f t="shared" si="84"/>
        <v>0</v>
      </c>
      <c r="AI180" s="561" t="b">
        <f t="shared" si="85"/>
        <v>0</v>
      </c>
      <c r="AJ180" s="582" t="str">
        <f t="shared" si="86"/>
        <v/>
      </c>
      <c r="AK180" s="582" t="str">
        <f t="shared" si="87"/>
        <v/>
      </c>
      <c r="AL180" s="582" t="str">
        <f t="shared" si="78"/>
        <v/>
      </c>
    </row>
    <row r="181" spans="1:38" ht="12.75" customHeight="1" x14ac:dyDescent="0.25">
      <c r="B181" s="132"/>
      <c r="C181" s="132"/>
      <c r="D181" s="1388"/>
      <c r="E181" s="43"/>
      <c r="F181" s="47"/>
      <c r="G181" s="641" t="str">
        <f t="shared" si="79"/>
        <v/>
      </c>
      <c r="H181" s="641" t="str">
        <f t="shared" si="80"/>
        <v/>
      </c>
      <c r="I181" s="48"/>
      <c r="J181" s="642" t="str">
        <f t="shared" si="72"/>
        <v/>
      </c>
      <c r="K181" s="642" t="str">
        <f t="shared" si="73"/>
        <v/>
      </c>
      <c r="L181" s="642" t="str">
        <f t="shared" si="74"/>
        <v/>
      </c>
      <c r="M181" s="1395"/>
      <c r="N181" s="116"/>
      <c r="O181" s="116"/>
      <c r="P181" s="116"/>
      <c r="Q181" s="116"/>
      <c r="R181" s="116"/>
      <c r="S181" s="132"/>
      <c r="T181" s="142"/>
      <c r="U181" s="115"/>
      <c r="W181" s="561" t="str">
        <f t="shared" si="75"/>
        <v/>
      </c>
      <c r="X181" s="561" t="str">
        <f t="shared" si="75"/>
        <v/>
      </c>
      <c r="Y181" s="561" t="str">
        <f t="shared" si="75"/>
        <v/>
      </c>
      <c r="Z181" s="561" t="str">
        <f t="shared" si="75"/>
        <v/>
      </c>
      <c r="AA181" s="561" t="str">
        <f t="shared" si="75"/>
        <v/>
      </c>
      <c r="AB181" s="561" t="str">
        <f>IF(E181="","",OR(W181&lt;&gt;W168,X181&lt;&gt;X168,Z181&lt;&gt;Z168))</f>
        <v/>
      </c>
      <c r="AC181" s="567"/>
      <c r="AD181" s="561" t="str">
        <f t="shared" si="88"/>
        <v/>
      </c>
      <c r="AE181" s="561" t="str">
        <f t="shared" si="81"/>
        <v>n.a.</v>
      </c>
      <c r="AF181" s="561" t="str">
        <f t="shared" si="82"/>
        <v>n.a.</v>
      </c>
      <c r="AG181" s="561" t="str">
        <f t="shared" si="83"/>
        <v>n.a.</v>
      </c>
      <c r="AH181" s="561" t="b">
        <f t="shared" si="84"/>
        <v>0</v>
      </c>
      <c r="AI181" s="561" t="b">
        <f t="shared" si="85"/>
        <v>0</v>
      </c>
      <c r="AJ181" s="582" t="str">
        <f t="shared" si="86"/>
        <v/>
      </c>
      <c r="AK181" s="582" t="str">
        <f t="shared" si="87"/>
        <v/>
      </c>
      <c r="AL181" s="582" t="str">
        <f t="shared" si="78"/>
        <v/>
      </c>
    </row>
    <row r="182" spans="1:38" ht="12.75" customHeight="1" x14ac:dyDescent="0.25">
      <c r="B182" s="132"/>
      <c r="C182" s="132"/>
      <c r="D182" s="1388" t="str">
        <f>Translations!$B$643</f>
        <v>Customised components</v>
      </c>
      <c r="E182" s="42"/>
      <c r="F182" s="45"/>
      <c r="G182" s="49"/>
      <c r="H182" s="49"/>
      <c r="I182" s="46"/>
      <c r="J182" s="640" t="str">
        <f t="shared" si="72"/>
        <v/>
      </c>
      <c r="K182" s="640" t="str">
        <f t="shared" si="73"/>
        <v/>
      </c>
      <c r="L182" s="640" t="str">
        <f t="shared" si="74"/>
        <v/>
      </c>
      <c r="M182" s="1395"/>
      <c r="N182" s="116"/>
      <c r="O182" s="116"/>
      <c r="P182" s="656" t="str">
        <f>Translations!$B$644</f>
        <v>CO2 fossil (before scope factor):</v>
      </c>
      <c r="Q182" s="997" t="str">
        <f>IF(K187="","",K187)</f>
        <v/>
      </c>
      <c r="R182" s="656"/>
      <c r="S182" s="997" t="str">
        <f>IF(P173="","",IF(W182=0,0,SUMIFS(C_FuelStreams!CE:CE,C_FuelStreams!BI:BI,P173)/W182))</f>
        <v/>
      </c>
      <c r="T182" s="142"/>
      <c r="U182" s="115"/>
      <c r="V182" s="110" t="str">
        <f>Translations!$B$398</f>
        <v>Scope factor:</v>
      </c>
      <c r="W182" s="617" t="str">
        <f>IF(P173="","",SUMIFS(C_FuelStreams!BP:BP,C_FuelStreams!BI:BI,P173))</f>
        <v/>
      </c>
      <c r="AD182" s="561" t="str">
        <f t="shared" si="88"/>
        <v/>
      </c>
      <c r="AE182" s="561" t="str">
        <f t="shared" si="81"/>
        <v>n.a.</v>
      </c>
      <c r="AF182" s="561" t="str">
        <f t="shared" si="82"/>
        <v>n.a.</v>
      </c>
      <c r="AG182" s="561" t="str">
        <f t="shared" si="83"/>
        <v>n.a.</v>
      </c>
      <c r="AH182" s="561" t="b">
        <f t="shared" si="84"/>
        <v>0</v>
      </c>
      <c r="AI182" s="561" t="b">
        <f t="shared" si="85"/>
        <v>0</v>
      </c>
      <c r="AJ182" s="582" t="str">
        <f t="shared" si="86"/>
        <v/>
      </c>
      <c r="AK182" s="582" t="str">
        <f t="shared" si="87"/>
        <v/>
      </c>
      <c r="AL182" s="582" t="str">
        <f t="shared" si="78"/>
        <v/>
      </c>
    </row>
    <row r="183" spans="1:38" ht="12.75" customHeight="1" x14ac:dyDescent="0.25">
      <c r="B183" s="132"/>
      <c r="C183" s="132"/>
      <c r="D183" s="1388"/>
      <c r="E183" s="43"/>
      <c r="F183" s="47"/>
      <c r="G183" s="50"/>
      <c r="H183" s="50"/>
      <c r="I183" s="48"/>
      <c r="J183" s="642" t="str">
        <f t="shared" si="72"/>
        <v/>
      </c>
      <c r="K183" s="642" t="str">
        <f t="shared" si="73"/>
        <v/>
      </c>
      <c r="L183" s="642" t="str">
        <f t="shared" si="74"/>
        <v/>
      </c>
      <c r="M183" s="1395"/>
      <c r="N183" s="116"/>
      <c r="O183" s="116"/>
      <c r="P183" s="116"/>
      <c r="Q183" s="116"/>
      <c r="R183" s="116"/>
      <c r="S183" s="132"/>
      <c r="T183" s="142"/>
      <c r="U183" s="115"/>
      <c r="AD183" s="561" t="str">
        <f t="shared" si="88"/>
        <v/>
      </c>
      <c r="AE183" s="561" t="str">
        <f t="shared" si="81"/>
        <v>n.a.</v>
      </c>
      <c r="AF183" s="561" t="str">
        <f t="shared" si="82"/>
        <v>n.a.</v>
      </c>
      <c r="AG183" s="561" t="str">
        <f t="shared" si="83"/>
        <v>n.a.</v>
      </c>
      <c r="AH183" s="561" t="b">
        <f t="shared" si="84"/>
        <v>0</v>
      </c>
      <c r="AI183" s="561" t="b">
        <f t="shared" si="85"/>
        <v>0</v>
      </c>
      <c r="AJ183" s="582" t="str">
        <f t="shared" si="86"/>
        <v/>
      </c>
      <c r="AK183" s="582" t="str">
        <f t="shared" si="87"/>
        <v/>
      </c>
      <c r="AL183" s="582" t="str">
        <f t="shared" si="78"/>
        <v/>
      </c>
    </row>
    <row r="184" spans="1:38" ht="12.75" customHeight="1" x14ac:dyDescent="0.25">
      <c r="B184" s="132"/>
      <c r="C184" s="132"/>
      <c r="D184" s="1388"/>
      <c r="E184" s="43"/>
      <c r="F184" s="47"/>
      <c r="G184" s="50"/>
      <c r="H184" s="50"/>
      <c r="I184" s="48"/>
      <c r="J184" s="642" t="str">
        <f t="shared" si="72"/>
        <v/>
      </c>
      <c r="K184" s="642" t="str">
        <f t="shared" si="73"/>
        <v/>
      </c>
      <c r="L184" s="642" t="str">
        <f t="shared" si="74"/>
        <v/>
      </c>
      <c r="M184" s="1395"/>
      <c r="N184" s="116"/>
      <c r="O184" s="116"/>
      <c r="P184" s="116"/>
      <c r="Q184" s="116"/>
      <c r="R184" s="116"/>
      <c r="S184" s="132"/>
      <c r="T184" s="142"/>
      <c r="U184" s="115"/>
      <c r="AD184" s="561" t="str">
        <f t="shared" si="88"/>
        <v/>
      </c>
      <c r="AE184" s="561" t="str">
        <f t="shared" si="81"/>
        <v>n.a.</v>
      </c>
      <c r="AF184" s="561" t="str">
        <f t="shared" si="82"/>
        <v>n.a.</v>
      </c>
      <c r="AG184" s="561" t="str">
        <f t="shared" si="83"/>
        <v>n.a.</v>
      </c>
      <c r="AH184" s="561" t="b">
        <f t="shared" si="84"/>
        <v>0</v>
      </c>
      <c r="AI184" s="561" t="b">
        <f t="shared" si="85"/>
        <v>0</v>
      </c>
      <c r="AJ184" s="582" t="str">
        <f t="shared" si="86"/>
        <v/>
      </c>
      <c r="AK184" s="582" t="str">
        <f t="shared" si="87"/>
        <v/>
      </c>
      <c r="AL184" s="582" t="str">
        <f t="shared" si="78"/>
        <v/>
      </c>
    </row>
    <row r="185" spans="1:38" ht="12.75" customHeight="1" x14ac:dyDescent="0.25">
      <c r="B185" s="132"/>
      <c r="C185" s="132"/>
      <c r="D185" s="1388"/>
      <c r="E185" s="43"/>
      <c r="F185" s="47"/>
      <c r="G185" s="50"/>
      <c r="H185" s="50"/>
      <c r="I185" s="48"/>
      <c r="J185" s="642" t="str">
        <f t="shared" si="72"/>
        <v/>
      </c>
      <c r="K185" s="642" t="str">
        <f t="shared" si="73"/>
        <v/>
      </c>
      <c r="L185" s="642" t="str">
        <f t="shared" si="74"/>
        <v/>
      </c>
      <c r="M185" s="1395"/>
      <c r="N185" s="116"/>
      <c r="O185" s="116"/>
      <c r="P185" s="116"/>
      <c r="Q185" s="116"/>
      <c r="R185" s="116"/>
      <c r="S185" s="132"/>
      <c r="T185" s="142"/>
      <c r="U185" s="115"/>
      <c r="AD185" s="561" t="str">
        <f t="shared" si="88"/>
        <v/>
      </c>
      <c r="AE185" s="561" t="str">
        <f t="shared" si="81"/>
        <v>n.a.</v>
      </c>
      <c r="AF185" s="561" t="str">
        <f t="shared" si="82"/>
        <v>n.a.</v>
      </c>
      <c r="AG185" s="561" t="str">
        <f t="shared" si="83"/>
        <v>n.a.</v>
      </c>
      <c r="AH185" s="561" t="b">
        <f t="shared" si="84"/>
        <v>0</v>
      </c>
      <c r="AI185" s="561" t="b">
        <f t="shared" si="85"/>
        <v>0</v>
      </c>
      <c r="AJ185" s="582" t="str">
        <f t="shared" si="86"/>
        <v/>
      </c>
      <c r="AK185" s="582" t="str">
        <f t="shared" si="87"/>
        <v/>
      </c>
      <c r="AL185" s="582" t="str">
        <f t="shared" si="78"/>
        <v/>
      </c>
    </row>
    <row r="186" spans="1:38" ht="12.75" customHeight="1" x14ac:dyDescent="0.25">
      <c r="B186" s="132"/>
      <c r="C186" s="132"/>
      <c r="D186" s="1388"/>
      <c r="E186" s="44"/>
      <c r="F186" s="51"/>
      <c r="G186" s="52"/>
      <c r="H186" s="52"/>
      <c r="I186" s="53"/>
      <c r="J186" s="657" t="str">
        <f t="shared" si="72"/>
        <v/>
      </c>
      <c r="K186" s="657" t="str">
        <f t="shared" si="73"/>
        <v/>
      </c>
      <c r="L186" s="657" t="str">
        <f t="shared" si="74"/>
        <v/>
      </c>
      <c r="M186" s="1395"/>
      <c r="N186" s="116"/>
      <c r="O186" s="116"/>
      <c r="P186" s="116"/>
      <c r="Q186" s="116"/>
      <c r="R186" s="116"/>
      <c r="S186" s="132"/>
      <c r="T186" s="142"/>
      <c r="U186" s="115"/>
      <c r="AD186" s="561" t="str">
        <f t="shared" si="88"/>
        <v/>
      </c>
      <c r="AE186" s="561" t="str">
        <f t="shared" si="81"/>
        <v>n.a.</v>
      </c>
      <c r="AF186" s="561" t="str">
        <f t="shared" si="82"/>
        <v>n.a.</v>
      </c>
      <c r="AG186" s="561" t="str">
        <f t="shared" si="83"/>
        <v>n.a.</v>
      </c>
      <c r="AH186" s="561" t="b">
        <f t="shared" si="84"/>
        <v>0</v>
      </c>
      <c r="AI186" s="561" t="b">
        <f t="shared" si="85"/>
        <v>0</v>
      </c>
      <c r="AJ186" s="582" t="str">
        <f t="shared" si="86"/>
        <v/>
      </c>
      <c r="AK186" s="582" t="str">
        <f t="shared" si="87"/>
        <v/>
      </c>
      <c r="AL186" s="582" t="str">
        <f t="shared" si="78"/>
        <v/>
      </c>
    </row>
    <row r="187" spans="1:38" ht="12.75" customHeight="1" x14ac:dyDescent="0.25">
      <c r="B187" s="132"/>
      <c r="C187" s="132"/>
      <c r="D187" s="132"/>
      <c r="E187" s="658" t="str">
        <f>Translations!$B$645</f>
        <v>TOTALS</v>
      </c>
      <c r="F187" s="659" t="str">
        <f>IF(SUM(F172:F186)=0,"",SUM(F172:F186))</f>
        <v/>
      </c>
      <c r="G187" s="660" t="str">
        <f>IF(SUM(F187)=0,"",J187/F187)</f>
        <v/>
      </c>
      <c r="H187" s="660" t="str">
        <f>IF(SUM(J187)=0,"",SUM(K187:L187)/IF(AF172&lt;&gt;EUconst_NA,F187,J187)/IF(AG172=EUconst_NA,1,AG172))</f>
        <v/>
      </c>
      <c r="I187" s="661" t="str">
        <f>IF(SUM(K187:L187)=0,"",L187/SUM(K187:L187))</f>
        <v/>
      </c>
      <c r="J187" s="659" t="str">
        <f>IF(COUNTA(E172:E186)=0,"",IFERROR(SUM(J172:J186),EUconst_ERR_Inconsistent))</f>
        <v/>
      </c>
      <c r="K187" s="659" t="str">
        <f>IF(COUNTA(E172:E186)=0,"",IFERROR(SUM(K172:K186),EUconst_ERR_Inconsistent))</f>
        <v/>
      </c>
      <c r="L187" s="659" t="str">
        <f>IF(COUNTA(E172:E186)=0,"",IFERROR(SUM(L172:L186),EUconst_ERR_Inconsistent))</f>
        <v/>
      </c>
      <c r="M187" s="1395"/>
      <c r="N187" s="116"/>
      <c r="O187" s="116"/>
      <c r="P187" s="116"/>
      <c r="Q187" s="116"/>
      <c r="R187" s="116"/>
      <c r="S187" s="132"/>
      <c r="T187" s="142"/>
      <c r="U187" s="115"/>
    </row>
    <row r="188" spans="1:38" ht="12.75" customHeight="1" x14ac:dyDescent="0.25">
      <c r="B188" s="132"/>
      <c r="C188" s="132"/>
      <c r="D188" s="132"/>
      <c r="E188" s="191"/>
      <c r="F188" s="116"/>
      <c r="G188" s="116"/>
      <c r="H188" s="116"/>
      <c r="I188" s="116"/>
      <c r="J188" s="116"/>
      <c r="K188" s="116"/>
      <c r="L188" s="116"/>
      <c r="M188" s="116"/>
      <c r="N188" s="116"/>
      <c r="O188" s="116"/>
      <c r="P188" s="116"/>
      <c r="Q188" s="116"/>
      <c r="R188" s="116"/>
      <c r="S188" s="132"/>
      <c r="T188" s="142"/>
      <c r="U188" s="115"/>
    </row>
    <row r="189" spans="1:38" s="69" customFormat="1" ht="18.75" customHeight="1" x14ac:dyDescent="0.25">
      <c r="A189" s="167">
        <f>C189</f>
        <v>8</v>
      </c>
      <c r="B189" s="76"/>
      <c r="C189" s="216">
        <f>C166+1</f>
        <v>8</v>
      </c>
      <c r="D189" s="1195" t="str">
        <f>"Tool " &amp;C189-2</f>
        <v>Tool 6</v>
      </c>
      <c r="E189" s="1195"/>
      <c r="F189" s="1195"/>
      <c r="G189" s="1195"/>
      <c r="H189" s="1195"/>
      <c r="I189" s="1195"/>
      <c r="J189" s="1195"/>
      <c r="K189" s="1195"/>
      <c r="L189" s="1195"/>
      <c r="M189" s="1195"/>
      <c r="N189" s="1195"/>
      <c r="O189" s="1195"/>
      <c r="P189" s="1195"/>
      <c r="Q189" s="1195"/>
      <c r="R189" s="1195"/>
      <c r="S189" s="1195"/>
      <c r="T189" s="142"/>
      <c r="U189" s="115"/>
      <c r="V189" s="464" t="str">
        <f>D189</f>
        <v>Tool 6</v>
      </c>
      <c r="W189" s="110"/>
      <c r="X189" s="110"/>
      <c r="Y189" s="110"/>
      <c r="Z189" s="110"/>
      <c r="AA189" s="109"/>
      <c r="AB189" s="109"/>
      <c r="AC189" s="109"/>
      <c r="AD189" s="109"/>
      <c r="AE189" s="109"/>
      <c r="AF189" s="109"/>
      <c r="AG189" s="109"/>
      <c r="AH189" s="109"/>
      <c r="AI189" s="109"/>
      <c r="AJ189" s="109"/>
      <c r="AK189" s="109"/>
      <c r="AL189" s="109"/>
    </row>
    <row r="190" spans="1:38" ht="12.75" customHeight="1" x14ac:dyDescent="0.25">
      <c r="B190" s="132"/>
      <c r="C190" s="132"/>
      <c r="D190" s="132"/>
      <c r="E190" s="191"/>
      <c r="F190" s="116"/>
      <c r="G190" s="116"/>
      <c r="H190" s="116"/>
      <c r="I190" s="116"/>
      <c r="J190" s="116"/>
      <c r="K190" s="116"/>
      <c r="L190" s="116"/>
      <c r="M190" s="116"/>
      <c r="N190" s="116"/>
      <c r="O190" s="116"/>
      <c r="P190" s="116"/>
      <c r="Q190" s="116"/>
      <c r="R190" s="116"/>
      <c r="S190" s="132"/>
      <c r="T190" s="142"/>
      <c r="U190" s="115"/>
    </row>
    <row r="191" spans="1:38" ht="12.75" customHeight="1" x14ac:dyDescent="0.25">
      <c r="B191" s="132"/>
      <c r="C191" s="132"/>
      <c r="D191" s="1377" t="str">
        <f>Translations!$B$631</f>
        <v>Component</v>
      </c>
      <c r="E191" s="1378"/>
      <c r="F191" s="633">
        <v>1</v>
      </c>
      <c r="G191" s="633">
        <v>2</v>
      </c>
      <c r="H191" s="633">
        <v>3</v>
      </c>
      <c r="I191" s="633">
        <v>4</v>
      </c>
      <c r="J191" s="633">
        <v>5</v>
      </c>
      <c r="K191" s="633">
        <v>6</v>
      </c>
      <c r="L191" s="633">
        <v>7</v>
      </c>
      <c r="M191" s="116"/>
      <c r="N191" s="116"/>
      <c r="O191" s="116"/>
      <c r="P191" s="116"/>
      <c r="Q191" s="116"/>
      <c r="R191" s="116"/>
      <c r="S191" s="132"/>
      <c r="T191" s="142"/>
      <c r="U191" s="115"/>
      <c r="V191" s="566" t="str">
        <f>Translations!$B$498</f>
        <v>Units:</v>
      </c>
      <c r="W191" s="561" t="str" cm="1">
        <f t="array" ref="W191">IFERROR(INDEX(_xlfn._xlws.FILTER(W195:W204,(W195:W204)&lt;&gt;"",""),1),W192)</f>
        <v/>
      </c>
      <c r="X191" s="561" t="str" cm="1">
        <f t="array" ref="X191">IFERROR(INDEX(_xlfn._xlws.FILTER(X195:X204,(X195:X204)&lt;&gt;"",""),1),X192)</f>
        <v/>
      </c>
      <c r="Y191" s="567"/>
      <c r="Z191" s="561" t="str" cm="1">
        <f t="array" ref="Z191">IFERROR(INDEX(_xlfn._xlws.FILTER(Z195:Z204,(Z195:Z204)&lt;&gt;"",""),1),Z192)</f>
        <v/>
      </c>
      <c r="AA191" s="567"/>
    </row>
    <row r="192" spans="1:38" ht="12.75" customHeight="1" x14ac:dyDescent="0.25">
      <c r="B192" s="132"/>
      <c r="C192" s="132"/>
      <c r="D192" s="1379"/>
      <c r="E192" s="1380"/>
      <c r="F192" s="1383" t="str">
        <f>Translations!$B$377</f>
        <v>RFA</v>
      </c>
      <c r="G192" s="1383" t="str">
        <f>Translations!$B$386</f>
        <v>UCF</v>
      </c>
      <c r="H192" s="1383" t="str">
        <f>Translations!$B$383</f>
        <v>EF</v>
      </c>
      <c r="I192" s="1383" t="str">
        <f>Translations!$B$632</f>
        <v>Zero-rated F</v>
      </c>
      <c r="J192" s="1385" t="str">
        <f>Translations!$B$652</f>
        <v>Energy or other</v>
      </c>
      <c r="K192" s="1385" t="str">
        <f>Translations!$B$522</f>
        <v>Emissions (fossil)</v>
      </c>
      <c r="L192" s="1385" t="str">
        <f>Translations!$B$634</f>
        <v>Emissions (bio)</v>
      </c>
      <c r="M192" s="116"/>
      <c r="N192" s="116"/>
      <c r="O192" s="116"/>
      <c r="P192" s="116"/>
      <c r="Q192" s="116"/>
      <c r="R192" s="116"/>
      <c r="S192" s="132"/>
      <c r="T192" s="142"/>
      <c r="U192" s="115"/>
      <c r="W192" s="561" t="str">
        <f t="array" ref="W192">IFERROR(INDEX(W195:W204,MATCH(TRUE,(W195:W204)&lt;&gt;"",0)),"")</f>
        <v/>
      </c>
      <c r="X192" s="561" t="str">
        <f t="array" ref="X192">IFERROR(INDEX(X195:X204,MATCH(TRUE,(X195:X204)&lt;&gt;"",0)),"")</f>
        <v/>
      </c>
      <c r="Y192" s="567"/>
      <c r="Z192" s="561" t="str">
        <f t="array" ref="Z192">IFERROR(INDEX(Z195:Z204,MATCH(TRUE,(Z195:Z204)&lt;&gt;"",0)),"")</f>
        <v/>
      </c>
      <c r="AA192" s="567"/>
    </row>
    <row r="193" spans="2:38" ht="12.75" customHeight="1" x14ac:dyDescent="0.3">
      <c r="B193" s="132"/>
      <c r="C193" s="132"/>
      <c r="D193" s="1379"/>
      <c r="E193" s="1380"/>
      <c r="F193" s="1384"/>
      <c r="G193" s="1384"/>
      <c r="H193" s="1384"/>
      <c r="I193" s="1384"/>
      <c r="J193" s="1386"/>
      <c r="K193" s="1386"/>
      <c r="L193" s="1386"/>
      <c r="M193" s="116"/>
      <c r="N193" s="634" t="str">
        <f>Translations!$B$635</f>
        <v>Result to be entered in sheet C</v>
      </c>
      <c r="O193" s="116"/>
      <c r="P193" s="116"/>
      <c r="Q193" s="116"/>
      <c r="R193" s="116"/>
      <c r="S193" s="132"/>
      <c r="T193" s="142"/>
      <c r="U193" s="115"/>
      <c r="W193" s="569" t="str">
        <f>Translations!$B$377</f>
        <v>RFA</v>
      </c>
      <c r="X193" s="569" t="str">
        <f>Translations!$B$386</f>
        <v>UCF</v>
      </c>
      <c r="Y193" s="569"/>
      <c r="Z193" s="569" t="str">
        <f>Translations!$B$383</f>
        <v>EF</v>
      </c>
      <c r="AA193" s="569"/>
      <c r="AB193" s="570"/>
      <c r="AC193" s="570"/>
      <c r="AH193" s="570"/>
      <c r="AI193" s="570"/>
      <c r="AJ193" s="570"/>
    </row>
    <row r="194" spans="2:38" ht="12.75" customHeight="1" x14ac:dyDescent="0.3">
      <c r="B194" s="132"/>
      <c r="C194" s="132"/>
      <c r="D194" s="1381"/>
      <c r="E194" s="1382"/>
      <c r="F194" s="635" t="str">
        <f>IF(COUNTA($E195:$E209)=0,"",$W191)</f>
        <v/>
      </c>
      <c r="G194" s="635" t="str">
        <f>IF(COUNTA($E195:$E209)=0,"",$X191)</f>
        <v/>
      </c>
      <c r="H194" s="635" t="str">
        <f>IF(COUNTA($E195:$E209)=0,"",$Z191)</f>
        <v/>
      </c>
      <c r="I194" s="636" t="s">
        <v>46</v>
      </c>
      <c r="J194" s="635" t="str">
        <f>IF(AE195=EUconst_NA,EUconst_GJ,AE195)</f>
        <v>GJ</v>
      </c>
      <c r="K194" s="637" t="s">
        <v>188</v>
      </c>
      <c r="L194" s="637" t="s">
        <v>188</v>
      </c>
      <c r="M194" s="116"/>
      <c r="N194" s="1387" t="str">
        <f>Translations!$B$636</f>
        <v>The results of this tool are the relevant (weighted average) values below. Each value has to be entered manually in sheet C for the respective fuel stream. Select fuel stream below for comparison.</v>
      </c>
      <c r="O194" s="1387"/>
      <c r="P194" s="1387"/>
      <c r="Q194" s="1387"/>
      <c r="R194" s="1387"/>
      <c r="S194" s="1387"/>
      <c r="T194" s="142"/>
      <c r="U194" s="115"/>
      <c r="W194" s="569" t="str">
        <f>EUconst_CNTR_ActivityData&amp;EUconst_Unit</f>
        <v>ActivityData_Unit</v>
      </c>
      <c r="X194" s="569" t="str">
        <f>EUconst_CNTR_UCF&amp;EUconst_Unit</f>
        <v>UCF_Unit</v>
      </c>
      <c r="Y194" s="569" t="str">
        <f>EUconst_CNTR_UCF&amp;EUconst_Value</f>
        <v>UCF_Value</v>
      </c>
      <c r="Z194" s="569" t="str">
        <f>EUconst_CNTR_EF&amp;EUconst_Unit</f>
        <v>EF_Unit</v>
      </c>
      <c r="AA194" s="569" t="str">
        <f>EUconst_CNTR_EF&amp;EUconst_Value</f>
        <v>EF_Value</v>
      </c>
      <c r="AB194" s="569" t="s">
        <v>189</v>
      </c>
      <c r="AC194" s="575"/>
      <c r="AD194" s="576" t="s">
        <v>147</v>
      </c>
      <c r="AE194" s="576" t="s">
        <v>151</v>
      </c>
      <c r="AF194" s="576" t="s">
        <v>153</v>
      </c>
      <c r="AG194" s="576" t="s">
        <v>155</v>
      </c>
      <c r="AH194" s="575"/>
      <c r="AI194" s="575"/>
      <c r="AJ194" s="575" t="s">
        <v>190</v>
      </c>
      <c r="AK194" s="575" t="s">
        <v>191</v>
      </c>
      <c r="AL194" s="575" t="s">
        <v>192</v>
      </c>
    </row>
    <row r="195" spans="2:38" ht="12.75" customHeight="1" x14ac:dyDescent="0.25">
      <c r="B195" s="132"/>
      <c r="C195" s="132"/>
      <c r="D195" s="1388" t="str">
        <f>Translations!$B$637</f>
        <v>Default compontents provided by the CA</v>
      </c>
      <c r="E195" s="42"/>
      <c r="F195" s="45"/>
      <c r="G195" s="639" t="str">
        <f>IF($E195="","",Y195)</f>
        <v/>
      </c>
      <c r="H195" s="639" t="str">
        <f>IF($E195="","",AA195)</f>
        <v/>
      </c>
      <c r="I195" s="46"/>
      <c r="J195" s="640" t="str">
        <f t="shared" ref="J195:J209" si="89">IFERROR(IF(E195="","",AL195),EUconst_ERR_Inconsistent)</f>
        <v/>
      </c>
      <c r="K195" s="640" t="str">
        <f t="shared" ref="K195:K209" si="90">IFERROR(IF(E195="","",AJ195),EUconst_ERR_Inconsistent)</f>
        <v/>
      </c>
      <c r="L195" s="640" t="str">
        <f t="shared" ref="L195:L209" si="91">IFERROR(IF(E195="","",AK195),EUconst_ERR_Inconsistent)</f>
        <v/>
      </c>
      <c r="M195" s="1389"/>
      <c r="N195" s="1387"/>
      <c r="O195" s="1387"/>
      <c r="P195" s="1387"/>
      <c r="Q195" s="1387"/>
      <c r="R195" s="1387"/>
      <c r="S195" s="1387"/>
      <c r="T195" s="142"/>
      <c r="U195" s="115"/>
      <c r="W195" s="561" t="str">
        <f t="shared" ref="W195:AA204" si="92">IF($E195="","",INDEX(MSPara_CalcFactorsMatrix,MATCH($E195,MSPara_SourceStreamCategory,0),MATCH(W$20&amp;"_"&amp;2,MSPara_CalcFactors,0)))</f>
        <v/>
      </c>
      <c r="X195" s="561" t="str">
        <f t="shared" si="92"/>
        <v/>
      </c>
      <c r="Y195" s="561" t="str">
        <f t="shared" si="92"/>
        <v/>
      </c>
      <c r="Z195" s="561" t="str">
        <f t="shared" si="92"/>
        <v/>
      </c>
      <c r="AA195" s="561" t="str">
        <f t="shared" si="92"/>
        <v/>
      </c>
      <c r="AB195" s="561" t="str">
        <f>IF(E195="","",OR(W195&lt;&gt;W191,X195&lt;&gt;X191,Z195&lt;&gt;Z191))</f>
        <v/>
      </c>
      <c r="AC195" s="567"/>
      <c r="AD195" s="561" t="str">
        <f>W195</f>
        <v/>
      </c>
      <c r="AE195" s="561" t="str">
        <f>IF(X195="",EUconst_NA,IF(AD195=EUconst_TJ,EUconst_TJ,INDEX(EUwideConstants!$C$135:$G$139,MATCH(AD195,RFAUnits,0),MATCH(X195,UCFUnits,0))))</f>
        <v>n.a.</v>
      </c>
      <c r="AF195" s="561" t="str">
        <f>IF(COUNTIF(RFAUnits,AD195)=0,EUconst_NA,INDEX(EUwideConstants!$C$150:$H$154,MATCH(Z195,EFUnits,0),MATCH(AD195,EUwideConstants!$C$149:$H$149,0)))</f>
        <v>n.a.</v>
      </c>
      <c r="AG195" s="561" t="str">
        <f>IF(AE195=EUconst_NA,EUconst_NA,INDEX(EUwideConstants!$C$150:$H$154,MATCH(Z195,EFUnits,0),MATCH(AE195,EUwideConstants!$C$149:$H$149,0)))</f>
        <v>n.a.</v>
      </c>
      <c r="AH195" s="561" t="b">
        <f t="shared" ref="AH195" si="93">AF195&lt;&gt;EUconst_NA</f>
        <v>0</v>
      </c>
      <c r="AI195" s="561" t="b">
        <f t="shared" ref="AI195" si="94">AG195&lt;&gt;EUconst_NA</f>
        <v>0</v>
      </c>
      <c r="AJ195" s="582" t="str">
        <f>IF(OR(E195="",COUNTIF(AH195:AI195,TRUE)=0),"",F195*IF(AH195,1,G195*AG195)*H195*(1-I195))</f>
        <v/>
      </c>
      <c r="AK195" s="582" t="str">
        <f>IF(OR(E195="",COUNTIF(AH195:AI195,TRUE)=0),"",F195*IF(AH195,1,G195*AG195)*H195*I195)</f>
        <v/>
      </c>
      <c r="AL195" s="582" t="str">
        <f t="shared" ref="AL195:AL209" si="95">IF(E195="","",IF(W195=EUconst_TJ,F195,F195*G195))</f>
        <v/>
      </c>
    </row>
    <row r="196" spans="2:38" ht="12.75" customHeight="1" x14ac:dyDescent="0.25">
      <c r="B196" s="132"/>
      <c r="C196" s="132"/>
      <c r="D196" s="1388"/>
      <c r="E196" s="43"/>
      <c r="F196" s="47"/>
      <c r="G196" s="641" t="str">
        <f t="shared" ref="G196:G204" si="96">IF($E196="","",Y196)</f>
        <v/>
      </c>
      <c r="H196" s="641" t="str">
        <f t="shared" ref="H196:H204" si="97">IF($E196="","",AA196)</f>
        <v/>
      </c>
      <c r="I196" s="48"/>
      <c r="J196" s="642" t="str">
        <f t="shared" si="89"/>
        <v/>
      </c>
      <c r="K196" s="642" t="str">
        <f t="shared" si="90"/>
        <v/>
      </c>
      <c r="L196" s="642" t="str">
        <f t="shared" si="91"/>
        <v/>
      </c>
      <c r="M196" s="1389"/>
      <c r="N196" s="638"/>
      <c r="O196" s="643" t="str">
        <f>Translations!$B$639</f>
        <v>Fuel stream:</v>
      </c>
      <c r="P196" s="1390"/>
      <c r="Q196" s="1391"/>
      <c r="R196" s="1391"/>
      <c r="S196" s="1392"/>
      <c r="T196" s="142"/>
      <c r="U196" s="115"/>
      <c r="W196" s="561" t="str">
        <f t="shared" si="92"/>
        <v/>
      </c>
      <c r="X196" s="561" t="str">
        <f t="shared" si="92"/>
        <v/>
      </c>
      <c r="Y196" s="561" t="str">
        <f t="shared" si="92"/>
        <v/>
      </c>
      <c r="Z196" s="561" t="str">
        <f t="shared" si="92"/>
        <v/>
      </c>
      <c r="AA196" s="561" t="str">
        <f t="shared" si="92"/>
        <v/>
      </c>
      <c r="AB196" s="561" t="str">
        <f>IF(E196="","",OR(W196&lt;&gt;W191,X196&lt;&gt;X191,Z196&lt;&gt;Z191))</f>
        <v/>
      </c>
      <c r="AC196" s="567"/>
      <c r="AD196" s="561" t="str">
        <f>AD195</f>
        <v/>
      </c>
      <c r="AE196" s="561" t="str">
        <f t="shared" ref="AE196:AE209" si="98">AE195</f>
        <v>n.a.</v>
      </c>
      <c r="AF196" s="561" t="str">
        <f t="shared" ref="AF196:AF209" si="99">AF195</f>
        <v>n.a.</v>
      </c>
      <c r="AG196" s="561" t="str">
        <f t="shared" ref="AG196:AG209" si="100">AG195</f>
        <v>n.a.</v>
      </c>
      <c r="AH196" s="561" t="b">
        <f t="shared" ref="AH196:AH209" si="101">AH195</f>
        <v>0</v>
      </c>
      <c r="AI196" s="561" t="b">
        <f t="shared" ref="AI196:AI209" si="102">AI195</f>
        <v>0</v>
      </c>
      <c r="AJ196" s="582" t="str">
        <f t="shared" ref="AJ196:AJ209" si="103">IF(OR(E196="",COUNTIF(AH196:AI196,TRUE)=0),"",F196*IF(AH196,1,G196*AG196)*H196*(1-I196))</f>
        <v/>
      </c>
      <c r="AK196" s="582" t="str">
        <f t="shared" ref="AK196:AK209" si="104">IF(OR(E196="",COUNTIF(AH196:AI196,TRUE)=0),"",F196*IF(AH196,1,G196*AG196)*H196*I196)</f>
        <v/>
      </c>
      <c r="AL196" s="582" t="str">
        <f t="shared" si="95"/>
        <v/>
      </c>
    </row>
    <row r="197" spans="2:38" ht="12.75" customHeight="1" x14ac:dyDescent="0.25">
      <c r="B197" s="132"/>
      <c r="C197" s="132"/>
      <c r="D197" s="1388"/>
      <c r="E197" s="43"/>
      <c r="F197" s="47"/>
      <c r="G197" s="641" t="str">
        <f t="shared" si="96"/>
        <v/>
      </c>
      <c r="H197" s="641" t="str">
        <f t="shared" si="97"/>
        <v/>
      </c>
      <c r="I197" s="48"/>
      <c r="J197" s="642" t="str">
        <f t="shared" si="89"/>
        <v/>
      </c>
      <c r="K197" s="642" t="str">
        <f t="shared" si="90"/>
        <v/>
      </c>
      <c r="L197" s="642" t="str">
        <f t="shared" si="91"/>
        <v/>
      </c>
      <c r="M197" s="1389"/>
      <c r="N197" s="116"/>
      <c r="O197" s="116"/>
      <c r="P197" s="116"/>
      <c r="Q197" s="116"/>
      <c r="R197" s="116"/>
      <c r="S197" s="132"/>
      <c r="T197" s="142"/>
      <c r="U197" s="115"/>
      <c r="W197" s="561" t="str">
        <f t="shared" si="92"/>
        <v/>
      </c>
      <c r="X197" s="561" t="str">
        <f t="shared" si="92"/>
        <v/>
      </c>
      <c r="Y197" s="561" t="str">
        <f t="shared" si="92"/>
        <v/>
      </c>
      <c r="Z197" s="561" t="str">
        <f t="shared" si="92"/>
        <v/>
      </c>
      <c r="AA197" s="561" t="str">
        <f t="shared" si="92"/>
        <v/>
      </c>
      <c r="AB197" s="561" t="str">
        <f>IF(E197="","",OR(W197&lt;&gt;W191,X197&lt;&gt;X191,Z197&lt;&gt;Z191))</f>
        <v/>
      </c>
      <c r="AC197" s="567"/>
      <c r="AD197" s="561" t="str">
        <f t="shared" ref="AD197:AD209" si="105">AD196</f>
        <v/>
      </c>
      <c r="AE197" s="561" t="str">
        <f t="shared" si="98"/>
        <v>n.a.</v>
      </c>
      <c r="AF197" s="561" t="str">
        <f t="shared" si="99"/>
        <v>n.a.</v>
      </c>
      <c r="AG197" s="561" t="str">
        <f t="shared" si="100"/>
        <v>n.a.</v>
      </c>
      <c r="AH197" s="561" t="b">
        <f t="shared" si="101"/>
        <v>0</v>
      </c>
      <c r="AI197" s="561" t="b">
        <f t="shared" si="102"/>
        <v>0</v>
      </c>
      <c r="AJ197" s="582" t="str">
        <f t="shared" si="103"/>
        <v/>
      </c>
      <c r="AK197" s="582" t="str">
        <f t="shared" si="104"/>
        <v/>
      </c>
      <c r="AL197" s="582" t="str">
        <f t="shared" si="95"/>
        <v/>
      </c>
    </row>
    <row r="198" spans="2:38" ht="12.75" customHeight="1" thickBot="1" x14ac:dyDescent="0.35">
      <c r="B198" s="132"/>
      <c r="C198" s="132"/>
      <c r="D198" s="1388"/>
      <c r="E198" s="43"/>
      <c r="F198" s="47"/>
      <c r="G198" s="641" t="str">
        <f t="shared" si="96"/>
        <v/>
      </c>
      <c r="H198" s="641" t="str">
        <f t="shared" si="97"/>
        <v/>
      </c>
      <c r="I198" s="48"/>
      <c r="J198" s="642" t="str">
        <f t="shared" si="89"/>
        <v/>
      </c>
      <c r="K198" s="642" t="str">
        <f t="shared" si="90"/>
        <v/>
      </c>
      <c r="L198" s="642" t="str">
        <f t="shared" si="91"/>
        <v/>
      </c>
      <c r="M198" s="1389"/>
      <c r="N198" s="1255" t="str">
        <f>Translations!$B$394</f>
        <v>Unit</v>
      </c>
      <c r="O198" s="1255"/>
      <c r="P198" s="1255" t="str">
        <f>Translations!$B$395</f>
        <v>Value</v>
      </c>
      <c r="Q198" s="1255"/>
      <c r="R198" s="116"/>
      <c r="S198" s="644" t="str">
        <f>Translations!$B$642</f>
        <v>Sheet C values</v>
      </c>
      <c r="T198" s="142"/>
      <c r="U198" s="115"/>
      <c r="W198" s="561" t="str">
        <f t="shared" si="92"/>
        <v/>
      </c>
      <c r="X198" s="561" t="str">
        <f t="shared" si="92"/>
        <v/>
      </c>
      <c r="Y198" s="561" t="str">
        <f t="shared" si="92"/>
        <v/>
      </c>
      <c r="Z198" s="561" t="str">
        <f t="shared" si="92"/>
        <v/>
      </c>
      <c r="AA198" s="561" t="str">
        <f t="shared" si="92"/>
        <v/>
      </c>
      <c r="AB198" s="561" t="str">
        <f>IF(E198="","",OR(W198&lt;&gt;W191,X198&lt;&gt;X191,Z198&lt;&gt;Z191))</f>
        <v/>
      </c>
      <c r="AC198" s="567"/>
      <c r="AD198" s="561" t="str">
        <f t="shared" si="105"/>
        <v/>
      </c>
      <c r="AE198" s="561" t="str">
        <f t="shared" si="98"/>
        <v>n.a.</v>
      </c>
      <c r="AF198" s="561" t="str">
        <f t="shared" si="99"/>
        <v>n.a.</v>
      </c>
      <c r="AG198" s="561" t="str">
        <f t="shared" si="100"/>
        <v>n.a.</v>
      </c>
      <c r="AH198" s="561" t="b">
        <f t="shared" si="101"/>
        <v>0</v>
      </c>
      <c r="AI198" s="561" t="b">
        <f t="shared" si="102"/>
        <v>0</v>
      </c>
      <c r="AJ198" s="582" t="str">
        <f t="shared" si="103"/>
        <v/>
      </c>
      <c r="AK198" s="582" t="str">
        <f t="shared" si="104"/>
        <v/>
      </c>
      <c r="AL198" s="582" t="str">
        <f t="shared" si="95"/>
        <v/>
      </c>
    </row>
    <row r="199" spans="2:38" ht="12.75" customHeight="1" thickBot="1" x14ac:dyDescent="0.3">
      <c r="B199" s="132"/>
      <c r="C199" s="132"/>
      <c r="D199" s="1388"/>
      <c r="E199" s="43"/>
      <c r="F199" s="47"/>
      <c r="G199" s="641" t="str">
        <f t="shared" si="96"/>
        <v/>
      </c>
      <c r="H199" s="641" t="str">
        <f t="shared" si="97"/>
        <v/>
      </c>
      <c r="I199" s="48"/>
      <c r="J199" s="642" t="str">
        <f t="shared" si="89"/>
        <v/>
      </c>
      <c r="K199" s="642" t="str">
        <f t="shared" si="90"/>
        <v/>
      </c>
      <c r="L199" s="642" t="str">
        <f t="shared" si="91"/>
        <v/>
      </c>
      <c r="M199" s="116"/>
      <c r="N199" s="346" t="str">
        <f>F194</f>
        <v/>
      </c>
      <c r="O199" s="7"/>
      <c r="P199" s="1393" t="str">
        <f>IF(F210="","",F210)</f>
        <v/>
      </c>
      <c r="Q199" s="1394"/>
      <c r="R199" s="116"/>
      <c r="S199" s="645" t="str">
        <f>IF(P196="","",SUMIFS(C_FuelStreams!BK:BK,C_FuelStreams!BI:BI,P196))</f>
        <v/>
      </c>
      <c r="T199" s="142"/>
      <c r="U199" s="115"/>
      <c r="W199" s="561" t="str">
        <f t="shared" si="92"/>
        <v/>
      </c>
      <c r="X199" s="561" t="str">
        <f t="shared" si="92"/>
        <v/>
      </c>
      <c r="Y199" s="561" t="str">
        <f t="shared" si="92"/>
        <v/>
      </c>
      <c r="Z199" s="561" t="str">
        <f t="shared" si="92"/>
        <v/>
      </c>
      <c r="AA199" s="561" t="str">
        <f t="shared" si="92"/>
        <v/>
      </c>
      <c r="AB199" s="561" t="str">
        <f>IF(E199="","",OR(W199&lt;&gt;W191,X199&lt;&gt;X191,Z199&lt;&gt;Z191))</f>
        <v/>
      </c>
      <c r="AC199" s="567"/>
      <c r="AD199" s="561" t="str">
        <f t="shared" si="105"/>
        <v/>
      </c>
      <c r="AE199" s="561" t="str">
        <f t="shared" si="98"/>
        <v>n.a.</v>
      </c>
      <c r="AF199" s="561" t="str">
        <f t="shared" si="99"/>
        <v>n.a.</v>
      </c>
      <c r="AG199" s="561" t="str">
        <f t="shared" si="100"/>
        <v>n.a.</v>
      </c>
      <c r="AH199" s="561" t="b">
        <f t="shared" si="101"/>
        <v>0</v>
      </c>
      <c r="AI199" s="561" t="b">
        <f t="shared" si="102"/>
        <v>0</v>
      </c>
      <c r="AJ199" s="582" t="str">
        <f t="shared" si="103"/>
        <v/>
      </c>
      <c r="AK199" s="582" t="str">
        <f t="shared" si="104"/>
        <v/>
      </c>
      <c r="AL199" s="582" t="str">
        <f t="shared" si="95"/>
        <v/>
      </c>
    </row>
    <row r="200" spans="2:38" ht="12.75" customHeight="1" thickBot="1" x14ac:dyDescent="0.3">
      <c r="B200" s="132"/>
      <c r="C200" s="132"/>
      <c r="D200" s="1388"/>
      <c r="E200" s="43"/>
      <c r="F200" s="47"/>
      <c r="G200" s="641" t="str">
        <f t="shared" si="96"/>
        <v/>
      </c>
      <c r="H200" s="641" t="str">
        <f t="shared" si="97"/>
        <v/>
      </c>
      <c r="I200" s="48"/>
      <c r="J200" s="642" t="str">
        <f t="shared" si="89"/>
        <v/>
      </c>
      <c r="K200" s="642" t="str">
        <f t="shared" si="90"/>
        <v/>
      </c>
      <c r="L200" s="642" t="str">
        <f t="shared" si="91"/>
        <v/>
      </c>
      <c r="M200" s="116"/>
      <c r="N200" s="162"/>
      <c r="O200" s="162"/>
      <c r="P200" s="76"/>
      <c r="Q200" s="76"/>
      <c r="R200" s="116"/>
      <c r="S200" s="996"/>
      <c r="T200" s="142"/>
      <c r="U200" s="115"/>
      <c r="W200" s="561" t="str">
        <f t="shared" si="92"/>
        <v/>
      </c>
      <c r="X200" s="561" t="str">
        <f t="shared" si="92"/>
        <v/>
      </c>
      <c r="Y200" s="561" t="str">
        <f t="shared" si="92"/>
        <v/>
      </c>
      <c r="Z200" s="561" t="str">
        <f t="shared" si="92"/>
        <v/>
      </c>
      <c r="AA200" s="561" t="str">
        <f t="shared" si="92"/>
        <v/>
      </c>
      <c r="AB200" s="561" t="str">
        <f>IF(E200="","",OR(W200&lt;&gt;W191,X200&lt;&gt;X191,Z200&lt;&gt;Z191))</f>
        <v/>
      </c>
      <c r="AC200" s="567"/>
      <c r="AD200" s="561" t="str">
        <f t="shared" si="105"/>
        <v/>
      </c>
      <c r="AE200" s="561" t="str">
        <f t="shared" si="98"/>
        <v>n.a.</v>
      </c>
      <c r="AF200" s="561" t="str">
        <f t="shared" si="99"/>
        <v>n.a.</v>
      </c>
      <c r="AG200" s="561" t="str">
        <f t="shared" si="100"/>
        <v>n.a.</v>
      </c>
      <c r="AH200" s="561" t="b">
        <f t="shared" si="101"/>
        <v>0</v>
      </c>
      <c r="AI200" s="561" t="b">
        <f t="shared" si="102"/>
        <v>0</v>
      </c>
      <c r="AJ200" s="582" t="str">
        <f t="shared" si="103"/>
        <v/>
      </c>
      <c r="AK200" s="582" t="str">
        <f t="shared" si="104"/>
        <v/>
      </c>
      <c r="AL200" s="582" t="str">
        <f t="shared" si="95"/>
        <v/>
      </c>
    </row>
    <row r="201" spans="2:38" ht="12.75" customHeight="1" x14ac:dyDescent="0.25">
      <c r="B201" s="132"/>
      <c r="C201" s="132"/>
      <c r="D201" s="1388"/>
      <c r="E201" s="43"/>
      <c r="F201" s="47"/>
      <c r="G201" s="641" t="str">
        <f t="shared" si="96"/>
        <v/>
      </c>
      <c r="H201" s="641" t="str">
        <f t="shared" si="97"/>
        <v/>
      </c>
      <c r="I201" s="48"/>
      <c r="J201" s="642" t="str">
        <f t="shared" si="89"/>
        <v/>
      </c>
      <c r="K201" s="642" t="str">
        <f t="shared" si="90"/>
        <v/>
      </c>
      <c r="L201" s="642" t="str">
        <f t="shared" si="91"/>
        <v/>
      </c>
      <c r="M201" s="116"/>
      <c r="N201" s="365" t="str">
        <f>G194</f>
        <v/>
      </c>
      <c r="O201" s="11"/>
      <c r="P201" s="366"/>
      <c r="Q201" s="646" t="str">
        <f>IF(G210="","",G210)</f>
        <v/>
      </c>
      <c r="R201" s="116"/>
      <c r="S201" s="647" t="str">
        <f>IF(P196="","",SUMIFS(C_FuelStreams!BU:BU,C_FuelStreams!BI:BI,P196))</f>
        <v/>
      </c>
      <c r="T201" s="142"/>
      <c r="U201" s="115"/>
      <c r="W201" s="561" t="str">
        <f t="shared" si="92"/>
        <v/>
      </c>
      <c r="X201" s="561" t="str">
        <f t="shared" si="92"/>
        <v/>
      </c>
      <c r="Y201" s="561" t="str">
        <f t="shared" si="92"/>
        <v/>
      </c>
      <c r="Z201" s="561" t="str">
        <f t="shared" si="92"/>
        <v/>
      </c>
      <c r="AA201" s="561" t="str">
        <f t="shared" si="92"/>
        <v/>
      </c>
      <c r="AB201" s="561" t="str">
        <f>IF(E201="","",OR(W201&lt;&gt;W191,X201&lt;&gt;X191,Z201&lt;&gt;Z191))</f>
        <v/>
      </c>
      <c r="AC201" s="567"/>
      <c r="AD201" s="561" t="str">
        <f t="shared" si="105"/>
        <v/>
      </c>
      <c r="AE201" s="561" t="str">
        <f t="shared" si="98"/>
        <v>n.a.</v>
      </c>
      <c r="AF201" s="561" t="str">
        <f t="shared" si="99"/>
        <v>n.a.</v>
      </c>
      <c r="AG201" s="561" t="str">
        <f t="shared" si="100"/>
        <v>n.a.</v>
      </c>
      <c r="AH201" s="561" t="b">
        <f t="shared" si="101"/>
        <v>0</v>
      </c>
      <c r="AI201" s="561" t="b">
        <f t="shared" si="102"/>
        <v>0</v>
      </c>
      <c r="AJ201" s="582" t="str">
        <f t="shared" si="103"/>
        <v/>
      </c>
      <c r="AK201" s="582" t="str">
        <f t="shared" si="104"/>
        <v/>
      </c>
      <c r="AL201" s="582" t="str">
        <f t="shared" si="95"/>
        <v/>
      </c>
    </row>
    <row r="202" spans="2:38" ht="12.75" customHeight="1" thickBot="1" x14ac:dyDescent="0.3">
      <c r="B202" s="132"/>
      <c r="C202" s="132"/>
      <c r="D202" s="1388"/>
      <c r="E202" s="43"/>
      <c r="F202" s="47"/>
      <c r="G202" s="641" t="str">
        <f t="shared" si="96"/>
        <v/>
      </c>
      <c r="H202" s="641" t="str">
        <f t="shared" si="97"/>
        <v/>
      </c>
      <c r="I202" s="48"/>
      <c r="J202" s="642" t="str">
        <f t="shared" si="89"/>
        <v/>
      </c>
      <c r="K202" s="642" t="str">
        <f t="shared" si="90"/>
        <v/>
      </c>
      <c r="L202" s="642" t="str">
        <f t="shared" si="91"/>
        <v/>
      </c>
      <c r="M202" s="116"/>
      <c r="N202" s="648" t="str">
        <f>H194</f>
        <v/>
      </c>
      <c r="O202" s="22"/>
      <c r="P202" s="649"/>
      <c r="Q202" s="650" t="str">
        <f>IF(H210="","",H210)</f>
        <v/>
      </c>
      <c r="R202" s="116"/>
      <c r="S202" s="651" t="str">
        <f>IF(P196="","",SUMIFS(C_FuelStreams!BR:BR,C_FuelStreams!BI:BI,P196))</f>
        <v/>
      </c>
      <c r="T202" s="142"/>
      <c r="U202" s="115"/>
      <c r="W202" s="561" t="str">
        <f t="shared" si="92"/>
        <v/>
      </c>
      <c r="X202" s="561" t="str">
        <f t="shared" si="92"/>
        <v/>
      </c>
      <c r="Y202" s="561" t="str">
        <f t="shared" si="92"/>
        <v/>
      </c>
      <c r="Z202" s="561" t="str">
        <f t="shared" si="92"/>
        <v/>
      </c>
      <c r="AA202" s="561" t="str">
        <f t="shared" si="92"/>
        <v/>
      </c>
      <c r="AB202" s="561" t="str">
        <f>IF(E202="","",OR(W202&lt;&gt;W191,X202&lt;&gt;X191,Z202&lt;&gt;Z191))</f>
        <v/>
      </c>
      <c r="AC202" s="567"/>
      <c r="AD202" s="561" t="str">
        <f t="shared" si="105"/>
        <v/>
      </c>
      <c r="AE202" s="561" t="str">
        <f t="shared" si="98"/>
        <v>n.a.</v>
      </c>
      <c r="AF202" s="561" t="str">
        <f t="shared" si="99"/>
        <v>n.a.</v>
      </c>
      <c r="AG202" s="561" t="str">
        <f t="shared" si="100"/>
        <v>n.a.</v>
      </c>
      <c r="AH202" s="561" t="b">
        <f t="shared" si="101"/>
        <v>0</v>
      </c>
      <c r="AI202" s="561" t="b">
        <f t="shared" si="102"/>
        <v>0</v>
      </c>
      <c r="AJ202" s="582" t="str">
        <f t="shared" si="103"/>
        <v/>
      </c>
      <c r="AK202" s="582" t="str">
        <f t="shared" si="104"/>
        <v/>
      </c>
      <c r="AL202" s="582" t="str">
        <f t="shared" si="95"/>
        <v/>
      </c>
    </row>
    <row r="203" spans="2:38" ht="12.75" customHeight="1" x14ac:dyDescent="0.25">
      <c r="B203" s="132"/>
      <c r="C203" s="132"/>
      <c r="D203" s="1388"/>
      <c r="E203" s="43"/>
      <c r="F203" s="47"/>
      <c r="G203" s="641" t="str">
        <f t="shared" si="96"/>
        <v/>
      </c>
      <c r="H203" s="641" t="str">
        <f t="shared" si="97"/>
        <v/>
      </c>
      <c r="I203" s="48"/>
      <c r="J203" s="642" t="str">
        <f t="shared" si="89"/>
        <v/>
      </c>
      <c r="K203" s="642" t="str">
        <f t="shared" si="90"/>
        <v/>
      </c>
      <c r="L203" s="642" t="str">
        <f t="shared" si="91"/>
        <v/>
      </c>
      <c r="M203" s="116"/>
      <c r="N203" s="652" t="s">
        <v>46</v>
      </c>
      <c r="O203" s="411"/>
      <c r="P203" s="653"/>
      <c r="Q203" s="654" t="str">
        <f>IF(I210="","",I210)</f>
        <v/>
      </c>
      <c r="R203" s="116"/>
      <c r="S203" s="655" t="str">
        <f>IF(P196="","",SUMIFS(C_FuelStreams!BX:BX,C_FuelStreams!BI:BI,P196))</f>
        <v/>
      </c>
      <c r="T203" s="142"/>
      <c r="U203" s="115"/>
      <c r="W203" s="561" t="str">
        <f t="shared" si="92"/>
        <v/>
      </c>
      <c r="X203" s="561" t="str">
        <f t="shared" si="92"/>
        <v/>
      </c>
      <c r="Y203" s="561" t="str">
        <f t="shared" si="92"/>
        <v/>
      </c>
      <c r="Z203" s="561" t="str">
        <f t="shared" si="92"/>
        <v/>
      </c>
      <c r="AA203" s="561" t="str">
        <f t="shared" si="92"/>
        <v/>
      </c>
      <c r="AB203" s="561" t="str">
        <f>IF(E203="","",OR(W203&lt;&gt;W191,X203&lt;&gt;X191,Z203&lt;&gt;Z191))</f>
        <v/>
      </c>
      <c r="AC203" s="567"/>
      <c r="AD203" s="561" t="str">
        <f t="shared" si="105"/>
        <v/>
      </c>
      <c r="AE203" s="561" t="str">
        <f t="shared" si="98"/>
        <v>n.a.</v>
      </c>
      <c r="AF203" s="561" t="str">
        <f t="shared" si="99"/>
        <v>n.a.</v>
      </c>
      <c r="AG203" s="561" t="str">
        <f t="shared" si="100"/>
        <v>n.a.</v>
      </c>
      <c r="AH203" s="561" t="b">
        <f t="shared" si="101"/>
        <v>0</v>
      </c>
      <c r="AI203" s="561" t="b">
        <f t="shared" si="102"/>
        <v>0</v>
      </c>
      <c r="AJ203" s="582" t="str">
        <f t="shared" si="103"/>
        <v/>
      </c>
      <c r="AK203" s="582" t="str">
        <f t="shared" si="104"/>
        <v/>
      </c>
      <c r="AL203" s="582" t="str">
        <f t="shared" si="95"/>
        <v/>
      </c>
    </row>
    <row r="204" spans="2:38" ht="12.75" customHeight="1" x14ac:dyDescent="0.25">
      <c r="B204" s="132"/>
      <c r="C204" s="132"/>
      <c r="D204" s="1388"/>
      <c r="E204" s="43"/>
      <c r="F204" s="47"/>
      <c r="G204" s="641" t="str">
        <f t="shared" si="96"/>
        <v/>
      </c>
      <c r="H204" s="641" t="str">
        <f t="shared" si="97"/>
        <v/>
      </c>
      <c r="I204" s="48"/>
      <c r="J204" s="642" t="str">
        <f t="shared" si="89"/>
        <v/>
      </c>
      <c r="K204" s="642" t="str">
        <f t="shared" si="90"/>
        <v/>
      </c>
      <c r="L204" s="642" t="str">
        <f t="shared" si="91"/>
        <v/>
      </c>
      <c r="M204" s="1395"/>
      <c r="N204" s="116"/>
      <c r="O204" s="116"/>
      <c r="P204" s="116"/>
      <c r="Q204" s="116"/>
      <c r="R204" s="116"/>
      <c r="S204" s="132"/>
      <c r="T204" s="142"/>
      <c r="U204" s="115"/>
      <c r="W204" s="561" t="str">
        <f t="shared" si="92"/>
        <v/>
      </c>
      <c r="X204" s="561" t="str">
        <f t="shared" si="92"/>
        <v/>
      </c>
      <c r="Y204" s="561" t="str">
        <f t="shared" si="92"/>
        <v/>
      </c>
      <c r="Z204" s="561" t="str">
        <f t="shared" si="92"/>
        <v/>
      </c>
      <c r="AA204" s="561" t="str">
        <f t="shared" si="92"/>
        <v/>
      </c>
      <c r="AB204" s="561" t="str">
        <f>IF(E204="","",OR(W204&lt;&gt;W191,X204&lt;&gt;X191,Z204&lt;&gt;Z191))</f>
        <v/>
      </c>
      <c r="AC204" s="567"/>
      <c r="AD204" s="561" t="str">
        <f t="shared" si="105"/>
        <v/>
      </c>
      <c r="AE204" s="561" t="str">
        <f t="shared" si="98"/>
        <v>n.a.</v>
      </c>
      <c r="AF204" s="561" t="str">
        <f t="shared" si="99"/>
        <v>n.a.</v>
      </c>
      <c r="AG204" s="561" t="str">
        <f t="shared" si="100"/>
        <v>n.a.</v>
      </c>
      <c r="AH204" s="561" t="b">
        <f t="shared" si="101"/>
        <v>0</v>
      </c>
      <c r="AI204" s="561" t="b">
        <f t="shared" si="102"/>
        <v>0</v>
      </c>
      <c r="AJ204" s="582" t="str">
        <f t="shared" si="103"/>
        <v/>
      </c>
      <c r="AK204" s="582" t="str">
        <f t="shared" si="104"/>
        <v/>
      </c>
      <c r="AL204" s="582" t="str">
        <f t="shared" si="95"/>
        <v/>
      </c>
    </row>
    <row r="205" spans="2:38" ht="12.75" customHeight="1" x14ac:dyDescent="0.25">
      <c r="B205" s="132"/>
      <c r="C205" s="132"/>
      <c r="D205" s="1388" t="str">
        <f>Translations!$B$643</f>
        <v>Customised components</v>
      </c>
      <c r="E205" s="42"/>
      <c r="F205" s="45"/>
      <c r="G205" s="49"/>
      <c r="H205" s="49"/>
      <c r="I205" s="46"/>
      <c r="J205" s="640" t="str">
        <f t="shared" si="89"/>
        <v/>
      </c>
      <c r="K205" s="640" t="str">
        <f t="shared" si="90"/>
        <v/>
      </c>
      <c r="L205" s="640" t="str">
        <f t="shared" si="91"/>
        <v/>
      </c>
      <c r="M205" s="1395"/>
      <c r="N205" s="116"/>
      <c r="O205" s="116"/>
      <c r="P205" s="656" t="str">
        <f>Translations!$B$644</f>
        <v>CO2 fossil (before scope factor):</v>
      </c>
      <c r="Q205" s="997" t="str">
        <f>IF(K210="","",K210)</f>
        <v/>
      </c>
      <c r="R205" s="656"/>
      <c r="S205" s="997" t="str">
        <f>IF(P196="","",IF(W205=0,0,SUMIFS(C_FuelStreams!CE:CE,C_FuelStreams!BI:BI,P196)/W205))</f>
        <v/>
      </c>
      <c r="T205" s="142"/>
      <c r="U205" s="115"/>
      <c r="V205" s="110" t="str">
        <f>Translations!$B$398</f>
        <v>Scope factor:</v>
      </c>
      <c r="W205" s="617" t="str">
        <f>IF(P196="","",SUMIFS(C_FuelStreams!BP:BP,C_FuelStreams!BI:BI,P196))</f>
        <v/>
      </c>
      <c r="AD205" s="561" t="str">
        <f t="shared" si="105"/>
        <v/>
      </c>
      <c r="AE205" s="561" t="str">
        <f t="shared" si="98"/>
        <v>n.a.</v>
      </c>
      <c r="AF205" s="561" t="str">
        <f t="shared" si="99"/>
        <v>n.a.</v>
      </c>
      <c r="AG205" s="561" t="str">
        <f t="shared" si="100"/>
        <v>n.a.</v>
      </c>
      <c r="AH205" s="561" t="b">
        <f t="shared" si="101"/>
        <v>0</v>
      </c>
      <c r="AI205" s="561" t="b">
        <f t="shared" si="102"/>
        <v>0</v>
      </c>
      <c r="AJ205" s="582" t="str">
        <f t="shared" si="103"/>
        <v/>
      </c>
      <c r="AK205" s="582" t="str">
        <f t="shared" si="104"/>
        <v/>
      </c>
      <c r="AL205" s="582" t="str">
        <f t="shared" si="95"/>
        <v/>
      </c>
    </row>
    <row r="206" spans="2:38" ht="12.75" customHeight="1" x14ac:dyDescent="0.25">
      <c r="B206" s="132"/>
      <c r="C206" s="132"/>
      <c r="D206" s="1388"/>
      <c r="E206" s="43"/>
      <c r="F206" s="47"/>
      <c r="G206" s="50"/>
      <c r="H206" s="50"/>
      <c r="I206" s="48"/>
      <c r="J206" s="642" t="str">
        <f t="shared" si="89"/>
        <v/>
      </c>
      <c r="K206" s="642" t="str">
        <f t="shared" si="90"/>
        <v/>
      </c>
      <c r="L206" s="642" t="str">
        <f t="shared" si="91"/>
        <v/>
      </c>
      <c r="M206" s="1395"/>
      <c r="N206" s="116"/>
      <c r="O206" s="116"/>
      <c r="P206" s="116"/>
      <c r="Q206" s="116"/>
      <c r="R206" s="116"/>
      <c r="S206" s="132"/>
      <c r="T206" s="142"/>
      <c r="U206" s="115"/>
      <c r="AD206" s="561" t="str">
        <f t="shared" si="105"/>
        <v/>
      </c>
      <c r="AE206" s="561" t="str">
        <f t="shared" si="98"/>
        <v>n.a.</v>
      </c>
      <c r="AF206" s="561" t="str">
        <f t="shared" si="99"/>
        <v>n.a.</v>
      </c>
      <c r="AG206" s="561" t="str">
        <f t="shared" si="100"/>
        <v>n.a.</v>
      </c>
      <c r="AH206" s="561" t="b">
        <f t="shared" si="101"/>
        <v>0</v>
      </c>
      <c r="AI206" s="561" t="b">
        <f t="shared" si="102"/>
        <v>0</v>
      </c>
      <c r="AJ206" s="582" t="str">
        <f t="shared" si="103"/>
        <v/>
      </c>
      <c r="AK206" s="582" t="str">
        <f t="shared" si="104"/>
        <v/>
      </c>
      <c r="AL206" s="582" t="str">
        <f t="shared" si="95"/>
        <v/>
      </c>
    </row>
    <row r="207" spans="2:38" ht="12.75" customHeight="1" x14ac:dyDescent="0.25">
      <c r="B207" s="132"/>
      <c r="C207" s="132"/>
      <c r="D207" s="1388"/>
      <c r="E207" s="43"/>
      <c r="F207" s="47"/>
      <c r="G207" s="50"/>
      <c r="H207" s="50"/>
      <c r="I207" s="48"/>
      <c r="J207" s="642" t="str">
        <f t="shared" si="89"/>
        <v/>
      </c>
      <c r="K207" s="642" t="str">
        <f t="shared" si="90"/>
        <v/>
      </c>
      <c r="L207" s="642" t="str">
        <f t="shared" si="91"/>
        <v/>
      </c>
      <c r="M207" s="1395"/>
      <c r="N207" s="116"/>
      <c r="O207" s="116"/>
      <c r="P207" s="116"/>
      <c r="Q207" s="116"/>
      <c r="R207" s="116"/>
      <c r="S207" s="132"/>
      <c r="T207" s="142"/>
      <c r="U207" s="115"/>
      <c r="AD207" s="561" t="str">
        <f t="shared" si="105"/>
        <v/>
      </c>
      <c r="AE207" s="561" t="str">
        <f t="shared" si="98"/>
        <v>n.a.</v>
      </c>
      <c r="AF207" s="561" t="str">
        <f t="shared" si="99"/>
        <v>n.a.</v>
      </c>
      <c r="AG207" s="561" t="str">
        <f t="shared" si="100"/>
        <v>n.a.</v>
      </c>
      <c r="AH207" s="561" t="b">
        <f t="shared" si="101"/>
        <v>0</v>
      </c>
      <c r="AI207" s="561" t="b">
        <f t="shared" si="102"/>
        <v>0</v>
      </c>
      <c r="AJ207" s="582" t="str">
        <f t="shared" si="103"/>
        <v/>
      </c>
      <c r="AK207" s="582" t="str">
        <f t="shared" si="104"/>
        <v/>
      </c>
      <c r="AL207" s="582" t="str">
        <f t="shared" si="95"/>
        <v/>
      </c>
    </row>
    <row r="208" spans="2:38" ht="12.75" customHeight="1" x14ac:dyDescent="0.25">
      <c r="B208" s="132"/>
      <c r="C208" s="132"/>
      <c r="D208" s="1388"/>
      <c r="E208" s="43"/>
      <c r="F208" s="47"/>
      <c r="G208" s="50"/>
      <c r="H208" s="50"/>
      <c r="I208" s="48"/>
      <c r="J208" s="642" t="str">
        <f t="shared" si="89"/>
        <v/>
      </c>
      <c r="K208" s="642" t="str">
        <f t="shared" si="90"/>
        <v/>
      </c>
      <c r="L208" s="642" t="str">
        <f t="shared" si="91"/>
        <v/>
      </c>
      <c r="M208" s="1395"/>
      <c r="N208" s="116"/>
      <c r="O208" s="116"/>
      <c r="P208" s="116"/>
      <c r="Q208" s="116"/>
      <c r="R208" s="116"/>
      <c r="S208" s="132"/>
      <c r="T208" s="142"/>
      <c r="U208" s="115"/>
      <c r="AD208" s="561" t="str">
        <f t="shared" si="105"/>
        <v/>
      </c>
      <c r="AE208" s="561" t="str">
        <f t="shared" si="98"/>
        <v>n.a.</v>
      </c>
      <c r="AF208" s="561" t="str">
        <f t="shared" si="99"/>
        <v>n.a.</v>
      </c>
      <c r="AG208" s="561" t="str">
        <f t="shared" si="100"/>
        <v>n.a.</v>
      </c>
      <c r="AH208" s="561" t="b">
        <f t="shared" si="101"/>
        <v>0</v>
      </c>
      <c r="AI208" s="561" t="b">
        <f t="shared" si="102"/>
        <v>0</v>
      </c>
      <c r="AJ208" s="582" t="str">
        <f t="shared" si="103"/>
        <v/>
      </c>
      <c r="AK208" s="582" t="str">
        <f t="shared" si="104"/>
        <v/>
      </c>
      <c r="AL208" s="582" t="str">
        <f t="shared" si="95"/>
        <v/>
      </c>
    </row>
    <row r="209" spans="1:38" ht="12.75" customHeight="1" x14ac:dyDescent="0.25">
      <c r="B209" s="132"/>
      <c r="C209" s="132"/>
      <c r="D209" s="1388"/>
      <c r="E209" s="44"/>
      <c r="F209" s="51"/>
      <c r="G209" s="52"/>
      <c r="H209" s="52"/>
      <c r="I209" s="53"/>
      <c r="J209" s="657" t="str">
        <f t="shared" si="89"/>
        <v/>
      </c>
      <c r="K209" s="657" t="str">
        <f t="shared" si="90"/>
        <v/>
      </c>
      <c r="L209" s="657" t="str">
        <f t="shared" si="91"/>
        <v/>
      </c>
      <c r="M209" s="1395"/>
      <c r="N209" s="116"/>
      <c r="O209" s="116"/>
      <c r="P209" s="116"/>
      <c r="Q209" s="116"/>
      <c r="R209" s="116"/>
      <c r="S209" s="132"/>
      <c r="T209" s="142"/>
      <c r="U209" s="115"/>
      <c r="AD209" s="561" t="str">
        <f t="shared" si="105"/>
        <v/>
      </c>
      <c r="AE209" s="561" t="str">
        <f t="shared" si="98"/>
        <v>n.a.</v>
      </c>
      <c r="AF209" s="561" t="str">
        <f t="shared" si="99"/>
        <v>n.a.</v>
      </c>
      <c r="AG209" s="561" t="str">
        <f t="shared" si="100"/>
        <v>n.a.</v>
      </c>
      <c r="AH209" s="561" t="b">
        <f t="shared" si="101"/>
        <v>0</v>
      </c>
      <c r="AI209" s="561" t="b">
        <f t="shared" si="102"/>
        <v>0</v>
      </c>
      <c r="AJ209" s="582" t="str">
        <f t="shared" si="103"/>
        <v/>
      </c>
      <c r="AK209" s="582" t="str">
        <f t="shared" si="104"/>
        <v/>
      </c>
      <c r="AL209" s="582" t="str">
        <f t="shared" si="95"/>
        <v/>
      </c>
    </row>
    <row r="210" spans="1:38" ht="12.75" customHeight="1" x14ac:dyDescent="0.25">
      <c r="B210" s="132"/>
      <c r="C210" s="132"/>
      <c r="D210" s="132"/>
      <c r="E210" s="658" t="str">
        <f>Translations!$B$645</f>
        <v>TOTALS</v>
      </c>
      <c r="F210" s="659" t="str">
        <f>IF(SUM(F195:F209)=0,"",SUM(F195:F209))</f>
        <v/>
      </c>
      <c r="G210" s="660" t="str">
        <f>IF(SUM(F210)=0,"",J210/F210)</f>
        <v/>
      </c>
      <c r="H210" s="660" t="str">
        <f>IF(SUM(J210)=0,"",SUM(K210:L210)/IF(AF195&lt;&gt;EUconst_NA,F210,J210)/IF(AG195=EUconst_NA,1,AG195))</f>
        <v/>
      </c>
      <c r="I210" s="661" t="str">
        <f>IF(SUM(K210:L210)=0,"",L210/SUM(K210:L210))</f>
        <v/>
      </c>
      <c r="J210" s="659" t="str">
        <f>IF(COUNTA(E195:E209)=0,"",IFERROR(SUM(J195:J209),EUconst_ERR_Inconsistent))</f>
        <v/>
      </c>
      <c r="K210" s="659" t="str">
        <f>IF(COUNTA(E195:E209)=0,"",IFERROR(SUM(K195:K209),EUconst_ERR_Inconsistent))</f>
        <v/>
      </c>
      <c r="L210" s="659" t="str">
        <f>IF(COUNTA(E195:E209)=0,"",IFERROR(SUM(L195:L209),EUconst_ERR_Inconsistent))</f>
        <v/>
      </c>
      <c r="M210" s="1395"/>
      <c r="N210" s="116"/>
      <c r="O210" s="116"/>
      <c r="P210" s="116"/>
      <c r="Q210" s="116"/>
      <c r="R210" s="116"/>
      <c r="S210" s="132"/>
      <c r="T210" s="142"/>
      <c r="U210" s="115"/>
    </row>
    <row r="211" spans="1:38" ht="12.75" customHeight="1" x14ac:dyDescent="0.25">
      <c r="B211" s="132"/>
      <c r="C211" s="132"/>
      <c r="D211" s="132"/>
      <c r="E211" s="191"/>
      <c r="F211" s="116"/>
      <c r="G211" s="116"/>
      <c r="H211" s="116"/>
      <c r="I211" s="116"/>
      <c r="J211" s="116"/>
      <c r="K211" s="116"/>
      <c r="L211" s="116"/>
      <c r="M211" s="116"/>
      <c r="N211" s="116"/>
      <c r="O211" s="116"/>
      <c r="P211" s="116"/>
      <c r="Q211" s="116"/>
      <c r="R211" s="116"/>
      <c r="S211" s="132"/>
      <c r="T211" s="142"/>
      <c r="U211" s="115"/>
    </row>
    <row r="212" spans="1:38" s="69" customFormat="1" ht="18.75" customHeight="1" x14ac:dyDescent="0.25">
      <c r="A212" s="167">
        <f>C212</f>
        <v>9</v>
      </c>
      <c r="B212" s="76"/>
      <c r="C212" s="216">
        <f>C189+1</f>
        <v>9</v>
      </c>
      <c r="D212" s="1195" t="str">
        <f>"Tool " &amp;C212-2</f>
        <v>Tool 7</v>
      </c>
      <c r="E212" s="1195"/>
      <c r="F212" s="1195"/>
      <c r="G212" s="1195"/>
      <c r="H212" s="1195"/>
      <c r="I212" s="1195"/>
      <c r="J212" s="1195"/>
      <c r="K212" s="1195"/>
      <c r="L212" s="1195"/>
      <c r="M212" s="1195"/>
      <c r="N212" s="1195"/>
      <c r="O212" s="1195"/>
      <c r="P212" s="1195"/>
      <c r="Q212" s="1195"/>
      <c r="R212" s="1195"/>
      <c r="S212" s="1195"/>
      <c r="T212" s="142"/>
      <c r="U212" s="115"/>
      <c r="V212" s="464" t="str">
        <f>D212</f>
        <v>Tool 7</v>
      </c>
      <c r="W212" s="110"/>
      <c r="X212" s="110"/>
      <c r="Y212" s="110"/>
      <c r="Z212" s="110"/>
      <c r="AA212" s="109"/>
      <c r="AB212" s="109"/>
      <c r="AC212" s="109"/>
      <c r="AD212" s="109"/>
      <c r="AE212" s="109"/>
      <c r="AF212" s="109"/>
      <c r="AG212" s="109"/>
      <c r="AH212" s="109"/>
      <c r="AI212" s="109"/>
      <c r="AJ212" s="109"/>
      <c r="AK212" s="109"/>
      <c r="AL212" s="109"/>
    </row>
    <row r="213" spans="1:38" ht="12.75" customHeight="1" x14ac:dyDescent="0.25">
      <c r="B213" s="132"/>
      <c r="C213" s="132"/>
      <c r="D213" s="132"/>
      <c r="E213" s="191"/>
      <c r="F213" s="116"/>
      <c r="G213" s="116"/>
      <c r="H213" s="116"/>
      <c r="I213" s="116"/>
      <c r="J213" s="116"/>
      <c r="K213" s="116"/>
      <c r="L213" s="116"/>
      <c r="M213" s="116"/>
      <c r="N213" s="116"/>
      <c r="O213" s="116"/>
      <c r="P213" s="116"/>
      <c r="Q213" s="116"/>
      <c r="R213" s="116"/>
      <c r="S213" s="132"/>
      <c r="T213" s="142"/>
      <c r="U213" s="115"/>
    </row>
    <row r="214" spans="1:38" ht="12.75" customHeight="1" x14ac:dyDescent="0.25">
      <c r="B214" s="132"/>
      <c r="C214" s="132"/>
      <c r="D214" s="1377" t="str">
        <f>Translations!$B$631</f>
        <v>Component</v>
      </c>
      <c r="E214" s="1378"/>
      <c r="F214" s="633">
        <v>1</v>
      </c>
      <c r="G214" s="633">
        <v>2</v>
      </c>
      <c r="H214" s="633">
        <v>3</v>
      </c>
      <c r="I214" s="633">
        <v>4</v>
      </c>
      <c r="J214" s="633">
        <v>5</v>
      </c>
      <c r="K214" s="633">
        <v>6</v>
      </c>
      <c r="L214" s="633">
        <v>7</v>
      </c>
      <c r="M214" s="116"/>
      <c r="N214" s="116"/>
      <c r="O214" s="116"/>
      <c r="P214" s="116"/>
      <c r="Q214" s="116"/>
      <c r="R214" s="116"/>
      <c r="S214" s="132"/>
      <c r="T214" s="142"/>
      <c r="U214" s="115"/>
      <c r="V214" s="566" t="str">
        <f>Translations!$B$498</f>
        <v>Units:</v>
      </c>
      <c r="W214" s="561" t="str" cm="1">
        <f t="array" ref="W214">IFERROR(INDEX(_xlfn._xlws.FILTER(W218:W227,(W218:W227)&lt;&gt;"",""),1),W215)</f>
        <v/>
      </c>
      <c r="X214" s="561" t="str" cm="1">
        <f t="array" ref="X214">IFERROR(INDEX(_xlfn._xlws.FILTER(X218:X227,(X218:X227)&lt;&gt;"",""),1),X215)</f>
        <v/>
      </c>
      <c r="Y214" s="567"/>
      <c r="Z214" s="561" t="str" cm="1">
        <f t="array" ref="Z214">IFERROR(INDEX(_xlfn._xlws.FILTER(Z218:Z227,(Z218:Z227)&lt;&gt;"",""),1),Z215)</f>
        <v/>
      </c>
      <c r="AA214" s="567"/>
    </row>
    <row r="215" spans="1:38" ht="12.75" customHeight="1" x14ac:dyDescent="0.25">
      <c r="B215" s="132"/>
      <c r="C215" s="132"/>
      <c r="D215" s="1379"/>
      <c r="E215" s="1380"/>
      <c r="F215" s="1383" t="str">
        <f>Translations!$B$377</f>
        <v>RFA</v>
      </c>
      <c r="G215" s="1383" t="str">
        <f>Translations!$B$386</f>
        <v>UCF</v>
      </c>
      <c r="H215" s="1383" t="str">
        <f>Translations!$B$383</f>
        <v>EF</v>
      </c>
      <c r="I215" s="1383" t="str">
        <f>Translations!$B$632</f>
        <v>Zero-rated F</v>
      </c>
      <c r="J215" s="1385" t="str">
        <f>Translations!$B$652</f>
        <v>Energy or other</v>
      </c>
      <c r="K215" s="1385" t="str">
        <f>Translations!$B$522</f>
        <v>Emissions (fossil)</v>
      </c>
      <c r="L215" s="1385" t="str">
        <f>Translations!$B$634</f>
        <v>Emissions (bio)</v>
      </c>
      <c r="M215" s="116"/>
      <c r="N215" s="116"/>
      <c r="O215" s="116"/>
      <c r="P215" s="116"/>
      <c r="Q215" s="116"/>
      <c r="R215" s="116"/>
      <c r="S215" s="132"/>
      <c r="T215" s="142"/>
      <c r="U215" s="115"/>
      <c r="W215" s="561" t="str">
        <f t="array" ref="W215">IFERROR(INDEX(W218:W227,MATCH(TRUE,(W218:W227)&lt;&gt;"",0)),"")</f>
        <v/>
      </c>
      <c r="X215" s="561" t="str">
        <f t="array" ref="X215">IFERROR(INDEX(X218:X227,MATCH(TRUE,(X218:X227)&lt;&gt;"",0)),"")</f>
        <v/>
      </c>
      <c r="Y215" s="567"/>
      <c r="Z215" s="561" t="str">
        <f t="array" ref="Z215">IFERROR(INDEX(Z218:Z227,MATCH(TRUE,(Z218:Z227)&lt;&gt;"",0)),"")</f>
        <v/>
      </c>
      <c r="AA215" s="567"/>
    </row>
    <row r="216" spans="1:38" ht="12.75" customHeight="1" x14ac:dyDescent="0.3">
      <c r="B216" s="132"/>
      <c r="C216" s="132"/>
      <c r="D216" s="1379"/>
      <c r="E216" s="1380"/>
      <c r="F216" s="1384"/>
      <c r="G216" s="1384"/>
      <c r="H216" s="1384"/>
      <c r="I216" s="1384"/>
      <c r="J216" s="1386"/>
      <c r="K216" s="1386"/>
      <c r="L216" s="1386"/>
      <c r="M216" s="116"/>
      <c r="N216" s="634" t="str">
        <f>Translations!$B$635</f>
        <v>Result to be entered in sheet C</v>
      </c>
      <c r="O216" s="116"/>
      <c r="P216" s="116"/>
      <c r="Q216" s="116"/>
      <c r="R216" s="116"/>
      <c r="S216" s="132"/>
      <c r="T216" s="142"/>
      <c r="U216" s="115"/>
      <c r="W216" s="569" t="str">
        <f>Translations!$B$377</f>
        <v>RFA</v>
      </c>
      <c r="X216" s="569" t="str">
        <f>Translations!$B$386</f>
        <v>UCF</v>
      </c>
      <c r="Y216" s="569"/>
      <c r="Z216" s="569" t="str">
        <f>Translations!$B$383</f>
        <v>EF</v>
      </c>
      <c r="AA216" s="569"/>
      <c r="AB216" s="570"/>
      <c r="AC216" s="570"/>
      <c r="AH216" s="570"/>
      <c r="AI216" s="570"/>
      <c r="AJ216" s="570"/>
    </row>
    <row r="217" spans="1:38" ht="12.75" customHeight="1" x14ac:dyDescent="0.3">
      <c r="B217" s="132"/>
      <c r="C217" s="132"/>
      <c r="D217" s="1381"/>
      <c r="E217" s="1382"/>
      <c r="F217" s="635" t="str">
        <f>IF(COUNTA($E218:$E232)=0,"",$W214)</f>
        <v/>
      </c>
      <c r="G217" s="635" t="str">
        <f>IF(COUNTA($E218:$E232)=0,"",$X214)</f>
        <v/>
      </c>
      <c r="H217" s="635" t="str">
        <f>IF(COUNTA($E218:$E232)=0,"",$Z214)</f>
        <v/>
      </c>
      <c r="I217" s="636" t="s">
        <v>46</v>
      </c>
      <c r="J217" s="635" t="str">
        <f>IF(AE218=EUconst_NA,EUconst_GJ,AE218)</f>
        <v>GJ</v>
      </c>
      <c r="K217" s="637" t="s">
        <v>188</v>
      </c>
      <c r="L217" s="637" t="s">
        <v>188</v>
      </c>
      <c r="M217" s="116"/>
      <c r="N217" s="1387" t="str">
        <f>Translations!$B$636</f>
        <v>The results of this tool are the relevant (weighted average) values below. Each value has to be entered manually in sheet C for the respective fuel stream. Select fuel stream below for comparison.</v>
      </c>
      <c r="O217" s="1387"/>
      <c r="P217" s="1387"/>
      <c r="Q217" s="1387"/>
      <c r="R217" s="1387"/>
      <c r="S217" s="1387"/>
      <c r="T217" s="142"/>
      <c r="U217" s="115"/>
      <c r="W217" s="569" t="str">
        <f>EUconst_CNTR_ActivityData&amp;EUconst_Unit</f>
        <v>ActivityData_Unit</v>
      </c>
      <c r="X217" s="569" t="str">
        <f>EUconst_CNTR_UCF&amp;EUconst_Unit</f>
        <v>UCF_Unit</v>
      </c>
      <c r="Y217" s="569" t="str">
        <f>EUconst_CNTR_UCF&amp;EUconst_Value</f>
        <v>UCF_Value</v>
      </c>
      <c r="Z217" s="569" t="str">
        <f>EUconst_CNTR_EF&amp;EUconst_Unit</f>
        <v>EF_Unit</v>
      </c>
      <c r="AA217" s="569" t="str">
        <f>EUconst_CNTR_EF&amp;EUconst_Value</f>
        <v>EF_Value</v>
      </c>
      <c r="AB217" s="569" t="s">
        <v>189</v>
      </c>
      <c r="AC217" s="575"/>
      <c r="AD217" s="576" t="s">
        <v>147</v>
      </c>
      <c r="AE217" s="576" t="s">
        <v>151</v>
      </c>
      <c r="AF217" s="576" t="s">
        <v>153</v>
      </c>
      <c r="AG217" s="576" t="s">
        <v>155</v>
      </c>
      <c r="AH217" s="575"/>
      <c r="AI217" s="575"/>
      <c r="AJ217" s="575" t="s">
        <v>190</v>
      </c>
      <c r="AK217" s="575" t="s">
        <v>191</v>
      </c>
      <c r="AL217" s="575" t="s">
        <v>192</v>
      </c>
    </row>
    <row r="218" spans="1:38" ht="12.75" customHeight="1" x14ac:dyDescent="0.25">
      <c r="B218" s="132"/>
      <c r="C218" s="132"/>
      <c r="D218" s="1388" t="str">
        <f>Translations!$B$637</f>
        <v>Default compontents provided by the CA</v>
      </c>
      <c r="E218" s="42"/>
      <c r="F218" s="45"/>
      <c r="G218" s="639" t="str">
        <f>IF($E218="","",Y218)</f>
        <v/>
      </c>
      <c r="H218" s="639" t="str">
        <f>IF($E218="","",AA218)</f>
        <v/>
      </c>
      <c r="I218" s="46"/>
      <c r="J218" s="640" t="str">
        <f t="shared" ref="J218:J232" si="106">IFERROR(IF(E218="","",AL218),EUconst_ERR_Inconsistent)</f>
        <v/>
      </c>
      <c r="K218" s="640" t="str">
        <f t="shared" ref="K218:K232" si="107">IFERROR(IF(E218="","",AJ218),EUconst_ERR_Inconsistent)</f>
        <v/>
      </c>
      <c r="L218" s="640" t="str">
        <f t="shared" ref="L218:L232" si="108">IFERROR(IF(E218="","",AK218),EUconst_ERR_Inconsistent)</f>
        <v/>
      </c>
      <c r="M218" s="1389"/>
      <c r="N218" s="1387"/>
      <c r="O218" s="1387"/>
      <c r="P218" s="1387"/>
      <c r="Q218" s="1387"/>
      <c r="R218" s="1387"/>
      <c r="S218" s="1387"/>
      <c r="T218" s="142"/>
      <c r="U218" s="115"/>
      <c r="W218" s="561" t="str">
        <f t="shared" ref="W218:AA227" si="109">IF($E218="","",INDEX(MSPara_CalcFactorsMatrix,MATCH($E218,MSPara_SourceStreamCategory,0),MATCH(W$20&amp;"_"&amp;2,MSPara_CalcFactors,0)))</f>
        <v/>
      </c>
      <c r="X218" s="561" t="str">
        <f t="shared" si="109"/>
        <v/>
      </c>
      <c r="Y218" s="561" t="str">
        <f t="shared" si="109"/>
        <v/>
      </c>
      <c r="Z218" s="561" t="str">
        <f t="shared" si="109"/>
        <v/>
      </c>
      <c r="AA218" s="561" t="str">
        <f t="shared" si="109"/>
        <v/>
      </c>
      <c r="AB218" s="561" t="str">
        <f>IF(E218="","",OR(W218&lt;&gt;W214,X218&lt;&gt;X214,Z218&lt;&gt;Z214))</f>
        <v/>
      </c>
      <c r="AC218" s="567"/>
      <c r="AD218" s="561" t="str">
        <f>W218</f>
        <v/>
      </c>
      <c r="AE218" s="561" t="str">
        <f>IF(X218="",EUconst_NA,IF(AD218=EUconst_TJ,EUconst_TJ,INDEX(EUwideConstants!$C$135:$G$139,MATCH(AD218,RFAUnits,0),MATCH(X218,UCFUnits,0))))</f>
        <v>n.a.</v>
      </c>
      <c r="AF218" s="561" t="str">
        <f>IF(COUNTIF(RFAUnits,AD218)=0,EUconst_NA,INDEX(EUwideConstants!$C$150:$H$154,MATCH(Z218,EFUnits,0),MATCH(AD218,EUwideConstants!$C$149:$H$149,0)))</f>
        <v>n.a.</v>
      </c>
      <c r="AG218" s="561" t="str">
        <f>IF(AE218=EUconst_NA,EUconst_NA,INDEX(EUwideConstants!$C$150:$H$154,MATCH(Z218,EFUnits,0),MATCH(AE218,EUwideConstants!$C$149:$H$149,0)))</f>
        <v>n.a.</v>
      </c>
      <c r="AH218" s="561" t="b">
        <f t="shared" ref="AH218" si="110">AF218&lt;&gt;EUconst_NA</f>
        <v>0</v>
      </c>
      <c r="AI218" s="561" t="b">
        <f t="shared" ref="AI218" si="111">AG218&lt;&gt;EUconst_NA</f>
        <v>0</v>
      </c>
      <c r="AJ218" s="582" t="str">
        <f>IF(OR(E218="",COUNTIF(AH218:AI218,TRUE)=0),"",F218*IF(AH218,1,G218*AG218)*H218*(1-I218))</f>
        <v/>
      </c>
      <c r="AK218" s="582" t="str">
        <f>IF(OR(E218="",COUNTIF(AH218:AI218,TRUE)=0),"",F218*IF(AH218,1,G218*AG218)*H218*I218)</f>
        <v/>
      </c>
      <c r="AL218" s="582" t="str">
        <f t="shared" ref="AL218:AL232" si="112">IF(E218="","",IF(W218=EUconst_TJ,F218,F218*G218))</f>
        <v/>
      </c>
    </row>
    <row r="219" spans="1:38" ht="12.75" customHeight="1" x14ac:dyDescent="0.25">
      <c r="B219" s="132"/>
      <c r="C219" s="132"/>
      <c r="D219" s="1388"/>
      <c r="E219" s="43"/>
      <c r="F219" s="47"/>
      <c r="G219" s="641" t="str">
        <f t="shared" ref="G219:G227" si="113">IF($E219="","",Y219)</f>
        <v/>
      </c>
      <c r="H219" s="641" t="str">
        <f t="shared" ref="H219:H227" si="114">IF($E219="","",AA219)</f>
        <v/>
      </c>
      <c r="I219" s="48"/>
      <c r="J219" s="642" t="str">
        <f t="shared" si="106"/>
        <v/>
      </c>
      <c r="K219" s="642" t="str">
        <f t="shared" si="107"/>
        <v/>
      </c>
      <c r="L219" s="642" t="str">
        <f t="shared" si="108"/>
        <v/>
      </c>
      <c r="M219" s="1389"/>
      <c r="N219" s="638"/>
      <c r="O219" s="643" t="str">
        <f>Translations!$B$639</f>
        <v>Fuel stream:</v>
      </c>
      <c r="P219" s="1390"/>
      <c r="Q219" s="1391"/>
      <c r="R219" s="1391"/>
      <c r="S219" s="1392"/>
      <c r="T219" s="142"/>
      <c r="U219" s="115"/>
      <c r="W219" s="561" t="str">
        <f t="shared" si="109"/>
        <v/>
      </c>
      <c r="X219" s="561" t="str">
        <f t="shared" si="109"/>
        <v/>
      </c>
      <c r="Y219" s="561" t="str">
        <f t="shared" si="109"/>
        <v/>
      </c>
      <c r="Z219" s="561" t="str">
        <f t="shared" si="109"/>
        <v/>
      </c>
      <c r="AA219" s="561" t="str">
        <f t="shared" si="109"/>
        <v/>
      </c>
      <c r="AB219" s="561" t="str">
        <f>IF(E219="","",OR(W219&lt;&gt;W214,X219&lt;&gt;X214,Z219&lt;&gt;Z214))</f>
        <v/>
      </c>
      <c r="AC219" s="567"/>
      <c r="AD219" s="561" t="str">
        <f>AD218</f>
        <v/>
      </c>
      <c r="AE219" s="561" t="str">
        <f t="shared" ref="AE219:AE232" si="115">AE218</f>
        <v>n.a.</v>
      </c>
      <c r="AF219" s="561" t="str">
        <f t="shared" ref="AF219:AF232" si="116">AF218</f>
        <v>n.a.</v>
      </c>
      <c r="AG219" s="561" t="str">
        <f t="shared" ref="AG219:AG232" si="117">AG218</f>
        <v>n.a.</v>
      </c>
      <c r="AH219" s="561" t="b">
        <f t="shared" ref="AH219:AH232" si="118">AH218</f>
        <v>0</v>
      </c>
      <c r="AI219" s="561" t="b">
        <f t="shared" ref="AI219:AI232" si="119">AI218</f>
        <v>0</v>
      </c>
      <c r="AJ219" s="582" t="str">
        <f t="shared" ref="AJ219:AJ232" si="120">IF(OR(E219="",COUNTIF(AH219:AI219,TRUE)=0),"",F219*IF(AH219,1,G219*AG219)*H219*(1-I219))</f>
        <v/>
      </c>
      <c r="AK219" s="582" t="str">
        <f t="shared" ref="AK219:AK232" si="121">IF(OR(E219="",COUNTIF(AH219:AI219,TRUE)=0),"",F219*IF(AH219,1,G219*AG219)*H219*I219)</f>
        <v/>
      </c>
      <c r="AL219" s="582" t="str">
        <f t="shared" si="112"/>
        <v/>
      </c>
    </row>
    <row r="220" spans="1:38" ht="12.75" customHeight="1" x14ac:dyDescent="0.25">
      <c r="B220" s="132"/>
      <c r="C220" s="132"/>
      <c r="D220" s="1388"/>
      <c r="E220" s="43"/>
      <c r="F220" s="47"/>
      <c r="G220" s="641" t="str">
        <f t="shared" si="113"/>
        <v/>
      </c>
      <c r="H220" s="641" t="str">
        <f t="shared" si="114"/>
        <v/>
      </c>
      <c r="I220" s="48"/>
      <c r="J220" s="642" t="str">
        <f t="shared" si="106"/>
        <v/>
      </c>
      <c r="K220" s="642" t="str">
        <f t="shared" si="107"/>
        <v/>
      </c>
      <c r="L220" s="642" t="str">
        <f t="shared" si="108"/>
        <v/>
      </c>
      <c r="M220" s="1389"/>
      <c r="N220" s="116"/>
      <c r="O220" s="116"/>
      <c r="P220" s="116"/>
      <c r="Q220" s="116"/>
      <c r="R220" s="116"/>
      <c r="S220" s="132"/>
      <c r="T220" s="142"/>
      <c r="U220" s="115"/>
      <c r="W220" s="561" t="str">
        <f t="shared" si="109"/>
        <v/>
      </c>
      <c r="X220" s="561" t="str">
        <f t="shared" si="109"/>
        <v/>
      </c>
      <c r="Y220" s="561" t="str">
        <f t="shared" si="109"/>
        <v/>
      </c>
      <c r="Z220" s="561" t="str">
        <f t="shared" si="109"/>
        <v/>
      </c>
      <c r="AA220" s="561" t="str">
        <f t="shared" si="109"/>
        <v/>
      </c>
      <c r="AB220" s="561" t="str">
        <f>IF(E220="","",OR(W220&lt;&gt;W214,X220&lt;&gt;X214,Z220&lt;&gt;Z214))</f>
        <v/>
      </c>
      <c r="AC220" s="567"/>
      <c r="AD220" s="561" t="str">
        <f t="shared" ref="AD220:AD232" si="122">AD219</f>
        <v/>
      </c>
      <c r="AE220" s="561" t="str">
        <f t="shared" si="115"/>
        <v>n.a.</v>
      </c>
      <c r="AF220" s="561" t="str">
        <f t="shared" si="116"/>
        <v>n.a.</v>
      </c>
      <c r="AG220" s="561" t="str">
        <f t="shared" si="117"/>
        <v>n.a.</v>
      </c>
      <c r="AH220" s="561" t="b">
        <f t="shared" si="118"/>
        <v>0</v>
      </c>
      <c r="AI220" s="561" t="b">
        <f t="shared" si="119"/>
        <v>0</v>
      </c>
      <c r="AJ220" s="582" t="str">
        <f t="shared" si="120"/>
        <v/>
      </c>
      <c r="AK220" s="582" t="str">
        <f t="shared" si="121"/>
        <v/>
      </c>
      <c r="AL220" s="582" t="str">
        <f t="shared" si="112"/>
        <v/>
      </c>
    </row>
    <row r="221" spans="1:38" ht="12.75" customHeight="1" thickBot="1" x14ac:dyDescent="0.35">
      <c r="B221" s="132"/>
      <c r="C221" s="132"/>
      <c r="D221" s="1388"/>
      <c r="E221" s="43"/>
      <c r="F221" s="47"/>
      <c r="G221" s="641" t="str">
        <f t="shared" si="113"/>
        <v/>
      </c>
      <c r="H221" s="641" t="str">
        <f t="shared" si="114"/>
        <v/>
      </c>
      <c r="I221" s="48"/>
      <c r="J221" s="642" t="str">
        <f t="shared" si="106"/>
        <v/>
      </c>
      <c r="K221" s="642" t="str">
        <f t="shared" si="107"/>
        <v/>
      </c>
      <c r="L221" s="642" t="str">
        <f t="shared" si="108"/>
        <v/>
      </c>
      <c r="M221" s="1389"/>
      <c r="N221" s="1255" t="str">
        <f>Translations!$B$394</f>
        <v>Unit</v>
      </c>
      <c r="O221" s="1255"/>
      <c r="P221" s="1255" t="str">
        <f>Translations!$B$395</f>
        <v>Value</v>
      </c>
      <c r="Q221" s="1255"/>
      <c r="R221" s="116"/>
      <c r="S221" s="644" t="str">
        <f>Translations!$B$642</f>
        <v>Sheet C values</v>
      </c>
      <c r="T221" s="142"/>
      <c r="U221" s="115"/>
      <c r="W221" s="561" t="str">
        <f t="shared" si="109"/>
        <v/>
      </c>
      <c r="X221" s="561" t="str">
        <f t="shared" si="109"/>
        <v/>
      </c>
      <c r="Y221" s="561" t="str">
        <f t="shared" si="109"/>
        <v/>
      </c>
      <c r="Z221" s="561" t="str">
        <f t="shared" si="109"/>
        <v/>
      </c>
      <c r="AA221" s="561" t="str">
        <f t="shared" si="109"/>
        <v/>
      </c>
      <c r="AB221" s="561" t="str">
        <f>IF(E221="","",OR(W221&lt;&gt;W214,X221&lt;&gt;X214,Z221&lt;&gt;Z214))</f>
        <v/>
      </c>
      <c r="AC221" s="567"/>
      <c r="AD221" s="561" t="str">
        <f t="shared" si="122"/>
        <v/>
      </c>
      <c r="AE221" s="561" t="str">
        <f t="shared" si="115"/>
        <v>n.a.</v>
      </c>
      <c r="AF221" s="561" t="str">
        <f t="shared" si="116"/>
        <v>n.a.</v>
      </c>
      <c r="AG221" s="561" t="str">
        <f t="shared" si="117"/>
        <v>n.a.</v>
      </c>
      <c r="AH221" s="561" t="b">
        <f t="shared" si="118"/>
        <v>0</v>
      </c>
      <c r="AI221" s="561" t="b">
        <f t="shared" si="119"/>
        <v>0</v>
      </c>
      <c r="AJ221" s="582" t="str">
        <f t="shared" si="120"/>
        <v/>
      </c>
      <c r="AK221" s="582" t="str">
        <f t="shared" si="121"/>
        <v/>
      </c>
      <c r="AL221" s="582" t="str">
        <f t="shared" si="112"/>
        <v/>
      </c>
    </row>
    <row r="222" spans="1:38" ht="12.75" customHeight="1" thickBot="1" x14ac:dyDescent="0.3">
      <c r="B222" s="132"/>
      <c r="C222" s="132"/>
      <c r="D222" s="1388"/>
      <c r="E222" s="43"/>
      <c r="F222" s="47"/>
      <c r="G222" s="641" t="str">
        <f t="shared" si="113"/>
        <v/>
      </c>
      <c r="H222" s="641" t="str">
        <f t="shared" si="114"/>
        <v/>
      </c>
      <c r="I222" s="48"/>
      <c r="J222" s="642" t="str">
        <f t="shared" si="106"/>
        <v/>
      </c>
      <c r="K222" s="642" t="str">
        <f t="shared" si="107"/>
        <v/>
      </c>
      <c r="L222" s="642" t="str">
        <f t="shared" si="108"/>
        <v/>
      </c>
      <c r="M222" s="116"/>
      <c r="N222" s="346" t="str">
        <f>F217</f>
        <v/>
      </c>
      <c r="O222" s="7"/>
      <c r="P222" s="1393" t="str">
        <f>IF(F233="","",F233)</f>
        <v/>
      </c>
      <c r="Q222" s="1394"/>
      <c r="R222" s="116"/>
      <c r="S222" s="645" t="str">
        <f>IF(P219="","",SUMIFS(C_FuelStreams!BK:BK,C_FuelStreams!BI:BI,P219))</f>
        <v/>
      </c>
      <c r="T222" s="142"/>
      <c r="U222" s="115"/>
      <c r="W222" s="561" t="str">
        <f t="shared" si="109"/>
        <v/>
      </c>
      <c r="X222" s="561" t="str">
        <f t="shared" si="109"/>
        <v/>
      </c>
      <c r="Y222" s="561" t="str">
        <f t="shared" si="109"/>
        <v/>
      </c>
      <c r="Z222" s="561" t="str">
        <f t="shared" si="109"/>
        <v/>
      </c>
      <c r="AA222" s="561" t="str">
        <f t="shared" si="109"/>
        <v/>
      </c>
      <c r="AB222" s="561" t="str">
        <f>IF(E222="","",OR(W222&lt;&gt;W214,X222&lt;&gt;X214,Z222&lt;&gt;Z214))</f>
        <v/>
      </c>
      <c r="AC222" s="567"/>
      <c r="AD222" s="561" t="str">
        <f t="shared" si="122"/>
        <v/>
      </c>
      <c r="AE222" s="561" t="str">
        <f t="shared" si="115"/>
        <v>n.a.</v>
      </c>
      <c r="AF222" s="561" t="str">
        <f t="shared" si="116"/>
        <v>n.a.</v>
      </c>
      <c r="AG222" s="561" t="str">
        <f t="shared" si="117"/>
        <v>n.a.</v>
      </c>
      <c r="AH222" s="561" t="b">
        <f t="shared" si="118"/>
        <v>0</v>
      </c>
      <c r="AI222" s="561" t="b">
        <f t="shared" si="119"/>
        <v>0</v>
      </c>
      <c r="AJ222" s="582" t="str">
        <f t="shared" si="120"/>
        <v/>
      </c>
      <c r="AK222" s="582" t="str">
        <f t="shared" si="121"/>
        <v/>
      </c>
      <c r="AL222" s="582" t="str">
        <f t="shared" si="112"/>
        <v/>
      </c>
    </row>
    <row r="223" spans="1:38" ht="12.75" customHeight="1" thickBot="1" x14ac:dyDescent="0.3">
      <c r="B223" s="132"/>
      <c r="C223" s="132"/>
      <c r="D223" s="1388"/>
      <c r="E223" s="43"/>
      <c r="F223" s="47"/>
      <c r="G223" s="641" t="str">
        <f t="shared" si="113"/>
        <v/>
      </c>
      <c r="H223" s="641" t="str">
        <f t="shared" si="114"/>
        <v/>
      </c>
      <c r="I223" s="48"/>
      <c r="J223" s="642" t="str">
        <f t="shared" si="106"/>
        <v/>
      </c>
      <c r="K223" s="642" t="str">
        <f t="shared" si="107"/>
        <v/>
      </c>
      <c r="L223" s="642" t="str">
        <f t="shared" si="108"/>
        <v/>
      </c>
      <c r="M223" s="116"/>
      <c r="N223" s="162"/>
      <c r="O223" s="162"/>
      <c r="P223" s="76"/>
      <c r="Q223" s="76"/>
      <c r="R223" s="116"/>
      <c r="S223" s="996"/>
      <c r="T223" s="142"/>
      <c r="U223" s="115"/>
      <c r="W223" s="561" t="str">
        <f t="shared" si="109"/>
        <v/>
      </c>
      <c r="X223" s="561" t="str">
        <f t="shared" si="109"/>
        <v/>
      </c>
      <c r="Y223" s="561" t="str">
        <f t="shared" si="109"/>
        <v/>
      </c>
      <c r="Z223" s="561" t="str">
        <f t="shared" si="109"/>
        <v/>
      </c>
      <c r="AA223" s="561" t="str">
        <f t="shared" si="109"/>
        <v/>
      </c>
      <c r="AB223" s="561" t="str">
        <f>IF(E223="","",OR(W223&lt;&gt;W214,X223&lt;&gt;X214,Z223&lt;&gt;Z214))</f>
        <v/>
      </c>
      <c r="AC223" s="567"/>
      <c r="AD223" s="561" t="str">
        <f t="shared" si="122"/>
        <v/>
      </c>
      <c r="AE223" s="561" t="str">
        <f t="shared" si="115"/>
        <v>n.a.</v>
      </c>
      <c r="AF223" s="561" t="str">
        <f t="shared" si="116"/>
        <v>n.a.</v>
      </c>
      <c r="AG223" s="561" t="str">
        <f t="shared" si="117"/>
        <v>n.a.</v>
      </c>
      <c r="AH223" s="561" t="b">
        <f t="shared" si="118"/>
        <v>0</v>
      </c>
      <c r="AI223" s="561" t="b">
        <f t="shared" si="119"/>
        <v>0</v>
      </c>
      <c r="AJ223" s="582" t="str">
        <f t="shared" si="120"/>
        <v/>
      </c>
      <c r="AK223" s="582" t="str">
        <f t="shared" si="121"/>
        <v/>
      </c>
      <c r="AL223" s="582" t="str">
        <f t="shared" si="112"/>
        <v/>
      </c>
    </row>
    <row r="224" spans="1:38" ht="12.75" customHeight="1" x14ac:dyDescent="0.25">
      <c r="B224" s="132"/>
      <c r="C224" s="132"/>
      <c r="D224" s="1388"/>
      <c r="E224" s="43"/>
      <c r="F224" s="47"/>
      <c r="G224" s="641" t="str">
        <f t="shared" si="113"/>
        <v/>
      </c>
      <c r="H224" s="641" t="str">
        <f t="shared" si="114"/>
        <v/>
      </c>
      <c r="I224" s="48"/>
      <c r="J224" s="642" t="str">
        <f t="shared" si="106"/>
        <v/>
      </c>
      <c r="K224" s="642" t="str">
        <f t="shared" si="107"/>
        <v/>
      </c>
      <c r="L224" s="642" t="str">
        <f t="shared" si="108"/>
        <v/>
      </c>
      <c r="M224" s="116"/>
      <c r="N224" s="365" t="str">
        <f>G217</f>
        <v/>
      </c>
      <c r="O224" s="11"/>
      <c r="P224" s="366"/>
      <c r="Q224" s="646" t="str">
        <f>IF(G233="","",G233)</f>
        <v/>
      </c>
      <c r="R224" s="116"/>
      <c r="S224" s="647" t="str">
        <f>IF(P219="","",SUMIFS(C_FuelStreams!BU:BU,C_FuelStreams!BI:BI,P219))</f>
        <v/>
      </c>
      <c r="T224" s="142"/>
      <c r="U224" s="115"/>
      <c r="W224" s="561" t="str">
        <f t="shared" si="109"/>
        <v/>
      </c>
      <c r="X224" s="561" t="str">
        <f t="shared" si="109"/>
        <v/>
      </c>
      <c r="Y224" s="561" t="str">
        <f t="shared" si="109"/>
        <v/>
      </c>
      <c r="Z224" s="561" t="str">
        <f t="shared" si="109"/>
        <v/>
      </c>
      <c r="AA224" s="561" t="str">
        <f t="shared" si="109"/>
        <v/>
      </c>
      <c r="AB224" s="561" t="str">
        <f>IF(E224="","",OR(W224&lt;&gt;W214,X224&lt;&gt;X214,Z224&lt;&gt;Z214))</f>
        <v/>
      </c>
      <c r="AC224" s="567"/>
      <c r="AD224" s="561" t="str">
        <f t="shared" si="122"/>
        <v/>
      </c>
      <c r="AE224" s="561" t="str">
        <f t="shared" si="115"/>
        <v>n.a.</v>
      </c>
      <c r="AF224" s="561" t="str">
        <f t="shared" si="116"/>
        <v>n.a.</v>
      </c>
      <c r="AG224" s="561" t="str">
        <f t="shared" si="117"/>
        <v>n.a.</v>
      </c>
      <c r="AH224" s="561" t="b">
        <f t="shared" si="118"/>
        <v>0</v>
      </c>
      <c r="AI224" s="561" t="b">
        <f t="shared" si="119"/>
        <v>0</v>
      </c>
      <c r="AJ224" s="582" t="str">
        <f t="shared" si="120"/>
        <v/>
      </c>
      <c r="AK224" s="582" t="str">
        <f t="shared" si="121"/>
        <v/>
      </c>
      <c r="AL224" s="582" t="str">
        <f t="shared" si="112"/>
        <v/>
      </c>
    </row>
    <row r="225" spans="1:38" ht="12.75" customHeight="1" thickBot="1" x14ac:dyDescent="0.3">
      <c r="B225" s="132"/>
      <c r="C225" s="132"/>
      <c r="D225" s="1388"/>
      <c r="E225" s="43"/>
      <c r="F225" s="47"/>
      <c r="G225" s="641" t="str">
        <f t="shared" si="113"/>
        <v/>
      </c>
      <c r="H225" s="641" t="str">
        <f t="shared" si="114"/>
        <v/>
      </c>
      <c r="I225" s="48"/>
      <c r="J225" s="642" t="str">
        <f t="shared" si="106"/>
        <v/>
      </c>
      <c r="K225" s="642" t="str">
        <f t="shared" si="107"/>
        <v/>
      </c>
      <c r="L225" s="642" t="str">
        <f t="shared" si="108"/>
        <v/>
      </c>
      <c r="M225" s="116"/>
      <c r="N225" s="648" t="str">
        <f>H217</f>
        <v/>
      </c>
      <c r="O225" s="22"/>
      <c r="P225" s="649"/>
      <c r="Q225" s="650" t="str">
        <f>IF(H233="","",H233)</f>
        <v/>
      </c>
      <c r="R225" s="116"/>
      <c r="S225" s="651" t="str">
        <f>IF(P219="","",SUMIFS(C_FuelStreams!BR:BR,C_FuelStreams!BI:BI,P219))</f>
        <v/>
      </c>
      <c r="T225" s="142"/>
      <c r="U225" s="115"/>
      <c r="W225" s="561" t="str">
        <f t="shared" si="109"/>
        <v/>
      </c>
      <c r="X225" s="561" t="str">
        <f t="shared" si="109"/>
        <v/>
      </c>
      <c r="Y225" s="561" t="str">
        <f t="shared" si="109"/>
        <v/>
      </c>
      <c r="Z225" s="561" t="str">
        <f t="shared" si="109"/>
        <v/>
      </c>
      <c r="AA225" s="561" t="str">
        <f t="shared" si="109"/>
        <v/>
      </c>
      <c r="AB225" s="561" t="str">
        <f>IF(E225="","",OR(W225&lt;&gt;W214,X225&lt;&gt;X214,Z225&lt;&gt;Z214))</f>
        <v/>
      </c>
      <c r="AC225" s="567"/>
      <c r="AD225" s="561" t="str">
        <f t="shared" si="122"/>
        <v/>
      </c>
      <c r="AE225" s="561" t="str">
        <f t="shared" si="115"/>
        <v>n.a.</v>
      </c>
      <c r="AF225" s="561" t="str">
        <f t="shared" si="116"/>
        <v>n.a.</v>
      </c>
      <c r="AG225" s="561" t="str">
        <f t="shared" si="117"/>
        <v>n.a.</v>
      </c>
      <c r="AH225" s="561" t="b">
        <f t="shared" si="118"/>
        <v>0</v>
      </c>
      <c r="AI225" s="561" t="b">
        <f t="shared" si="119"/>
        <v>0</v>
      </c>
      <c r="AJ225" s="582" t="str">
        <f t="shared" si="120"/>
        <v/>
      </c>
      <c r="AK225" s="582" t="str">
        <f t="shared" si="121"/>
        <v/>
      </c>
      <c r="AL225" s="582" t="str">
        <f t="shared" si="112"/>
        <v/>
      </c>
    </row>
    <row r="226" spans="1:38" ht="12.75" customHeight="1" x14ac:dyDescent="0.25">
      <c r="B226" s="132"/>
      <c r="C226" s="132"/>
      <c r="D226" s="1388"/>
      <c r="E226" s="43"/>
      <c r="F226" s="47"/>
      <c r="G226" s="641" t="str">
        <f t="shared" si="113"/>
        <v/>
      </c>
      <c r="H226" s="641" t="str">
        <f t="shared" si="114"/>
        <v/>
      </c>
      <c r="I226" s="48"/>
      <c r="J226" s="642" t="str">
        <f t="shared" si="106"/>
        <v/>
      </c>
      <c r="K226" s="642" t="str">
        <f t="shared" si="107"/>
        <v/>
      </c>
      <c r="L226" s="642" t="str">
        <f t="shared" si="108"/>
        <v/>
      </c>
      <c r="M226" s="116"/>
      <c r="N226" s="652" t="s">
        <v>46</v>
      </c>
      <c r="O226" s="411"/>
      <c r="P226" s="653"/>
      <c r="Q226" s="654" t="str">
        <f>IF(I233="","",I233)</f>
        <v/>
      </c>
      <c r="R226" s="116"/>
      <c r="S226" s="655" t="str">
        <f>IF(P219="","",SUMIFS(C_FuelStreams!BX:BX,C_FuelStreams!BI:BI,P219))</f>
        <v/>
      </c>
      <c r="T226" s="142"/>
      <c r="U226" s="115"/>
      <c r="W226" s="561" t="str">
        <f t="shared" si="109"/>
        <v/>
      </c>
      <c r="X226" s="561" t="str">
        <f t="shared" si="109"/>
        <v/>
      </c>
      <c r="Y226" s="561" t="str">
        <f t="shared" si="109"/>
        <v/>
      </c>
      <c r="Z226" s="561" t="str">
        <f t="shared" si="109"/>
        <v/>
      </c>
      <c r="AA226" s="561" t="str">
        <f t="shared" si="109"/>
        <v/>
      </c>
      <c r="AB226" s="561" t="str">
        <f>IF(E226="","",OR(W226&lt;&gt;W214,X226&lt;&gt;X214,Z226&lt;&gt;Z214))</f>
        <v/>
      </c>
      <c r="AC226" s="567"/>
      <c r="AD226" s="561" t="str">
        <f t="shared" si="122"/>
        <v/>
      </c>
      <c r="AE226" s="561" t="str">
        <f t="shared" si="115"/>
        <v>n.a.</v>
      </c>
      <c r="AF226" s="561" t="str">
        <f t="shared" si="116"/>
        <v>n.a.</v>
      </c>
      <c r="AG226" s="561" t="str">
        <f t="shared" si="117"/>
        <v>n.a.</v>
      </c>
      <c r="AH226" s="561" t="b">
        <f t="shared" si="118"/>
        <v>0</v>
      </c>
      <c r="AI226" s="561" t="b">
        <f t="shared" si="119"/>
        <v>0</v>
      </c>
      <c r="AJ226" s="582" t="str">
        <f t="shared" si="120"/>
        <v/>
      </c>
      <c r="AK226" s="582" t="str">
        <f t="shared" si="121"/>
        <v/>
      </c>
      <c r="AL226" s="582" t="str">
        <f t="shared" si="112"/>
        <v/>
      </c>
    </row>
    <row r="227" spans="1:38" ht="12.75" customHeight="1" x14ac:dyDescent="0.25">
      <c r="B227" s="132"/>
      <c r="C227" s="132"/>
      <c r="D227" s="1388"/>
      <c r="E227" s="43"/>
      <c r="F227" s="47"/>
      <c r="G227" s="641" t="str">
        <f t="shared" si="113"/>
        <v/>
      </c>
      <c r="H227" s="641" t="str">
        <f t="shared" si="114"/>
        <v/>
      </c>
      <c r="I227" s="48"/>
      <c r="J227" s="642" t="str">
        <f t="shared" si="106"/>
        <v/>
      </c>
      <c r="K227" s="642" t="str">
        <f t="shared" si="107"/>
        <v/>
      </c>
      <c r="L227" s="642" t="str">
        <f t="shared" si="108"/>
        <v/>
      </c>
      <c r="M227" s="1395"/>
      <c r="N227" s="116"/>
      <c r="O227" s="116"/>
      <c r="P227" s="116"/>
      <c r="Q227" s="116"/>
      <c r="R227" s="116"/>
      <c r="S227" s="132"/>
      <c r="T227" s="142"/>
      <c r="U227" s="115"/>
      <c r="W227" s="561" t="str">
        <f t="shared" si="109"/>
        <v/>
      </c>
      <c r="X227" s="561" t="str">
        <f t="shared" si="109"/>
        <v/>
      </c>
      <c r="Y227" s="561" t="str">
        <f t="shared" si="109"/>
        <v/>
      </c>
      <c r="Z227" s="561" t="str">
        <f t="shared" si="109"/>
        <v/>
      </c>
      <c r="AA227" s="561" t="str">
        <f t="shared" si="109"/>
        <v/>
      </c>
      <c r="AB227" s="561" t="str">
        <f>IF(E227="","",OR(W227&lt;&gt;W214,X227&lt;&gt;X214,Z227&lt;&gt;Z214))</f>
        <v/>
      </c>
      <c r="AC227" s="567"/>
      <c r="AD227" s="561" t="str">
        <f t="shared" si="122"/>
        <v/>
      </c>
      <c r="AE227" s="561" t="str">
        <f t="shared" si="115"/>
        <v>n.a.</v>
      </c>
      <c r="AF227" s="561" t="str">
        <f t="shared" si="116"/>
        <v>n.a.</v>
      </c>
      <c r="AG227" s="561" t="str">
        <f t="shared" si="117"/>
        <v>n.a.</v>
      </c>
      <c r="AH227" s="561" t="b">
        <f t="shared" si="118"/>
        <v>0</v>
      </c>
      <c r="AI227" s="561" t="b">
        <f t="shared" si="119"/>
        <v>0</v>
      </c>
      <c r="AJ227" s="582" t="str">
        <f t="shared" si="120"/>
        <v/>
      </c>
      <c r="AK227" s="582" t="str">
        <f t="shared" si="121"/>
        <v/>
      </c>
      <c r="AL227" s="582" t="str">
        <f t="shared" si="112"/>
        <v/>
      </c>
    </row>
    <row r="228" spans="1:38" ht="12.75" customHeight="1" x14ac:dyDescent="0.25">
      <c r="B228" s="132"/>
      <c r="C228" s="132"/>
      <c r="D228" s="1388" t="str">
        <f>Translations!$B$643</f>
        <v>Customised components</v>
      </c>
      <c r="E228" s="42"/>
      <c r="F228" s="45"/>
      <c r="G228" s="49"/>
      <c r="H228" s="49"/>
      <c r="I228" s="46"/>
      <c r="J228" s="640" t="str">
        <f t="shared" si="106"/>
        <v/>
      </c>
      <c r="K228" s="640" t="str">
        <f t="shared" si="107"/>
        <v/>
      </c>
      <c r="L228" s="640" t="str">
        <f t="shared" si="108"/>
        <v/>
      </c>
      <c r="M228" s="1395"/>
      <c r="N228" s="116"/>
      <c r="O228" s="116"/>
      <c r="P228" s="656" t="str">
        <f>Translations!$B$644</f>
        <v>CO2 fossil (before scope factor):</v>
      </c>
      <c r="Q228" s="997" t="str">
        <f>IF(K233="","",K233)</f>
        <v/>
      </c>
      <c r="R228" s="656"/>
      <c r="S228" s="997" t="str">
        <f>IF(P219="","",IF(W228=0,0,SUMIFS(C_FuelStreams!CE:CE,C_FuelStreams!BI:BI,P219)/W228))</f>
        <v/>
      </c>
      <c r="T228" s="142"/>
      <c r="U228" s="115"/>
      <c r="V228" s="110" t="str">
        <f>Translations!$B$398</f>
        <v>Scope factor:</v>
      </c>
      <c r="W228" s="617" t="str">
        <f>IF(P219="","",SUMIFS(C_FuelStreams!BP:BP,C_FuelStreams!BI:BI,P219))</f>
        <v/>
      </c>
      <c r="AD228" s="561" t="str">
        <f t="shared" si="122"/>
        <v/>
      </c>
      <c r="AE228" s="561" t="str">
        <f t="shared" si="115"/>
        <v>n.a.</v>
      </c>
      <c r="AF228" s="561" t="str">
        <f t="shared" si="116"/>
        <v>n.a.</v>
      </c>
      <c r="AG228" s="561" t="str">
        <f t="shared" si="117"/>
        <v>n.a.</v>
      </c>
      <c r="AH228" s="561" t="b">
        <f t="shared" si="118"/>
        <v>0</v>
      </c>
      <c r="AI228" s="561" t="b">
        <f t="shared" si="119"/>
        <v>0</v>
      </c>
      <c r="AJ228" s="582" t="str">
        <f t="shared" si="120"/>
        <v/>
      </c>
      <c r="AK228" s="582" t="str">
        <f t="shared" si="121"/>
        <v/>
      </c>
      <c r="AL228" s="582" t="str">
        <f t="shared" si="112"/>
        <v/>
      </c>
    </row>
    <row r="229" spans="1:38" ht="12.75" customHeight="1" x14ac:dyDescent="0.25">
      <c r="B229" s="132"/>
      <c r="C229" s="132"/>
      <c r="D229" s="1388"/>
      <c r="E229" s="43"/>
      <c r="F229" s="47"/>
      <c r="G229" s="50"/>
      <c r="H229" s="50"/>
      <c r="I229" s="48"/>
      <c r="J229" s="642" t="str">
        <f t="shared" si="106"/>
        <v/>
      </c>
      <c r="K229" s="642" t="str">
        <f t="shared" si="107"/>
        <v/>
      </c>
      <c r="L229" s="642" t="str">
        <f t="shared" si="108"/>
        <v/>
      </c>
      <c r="M229" s="1395"/>
      <c r="N229" s="116"/>
      <c r="O229" s="116"/>
      <c r="P229" s="116"/>
      <c r="Q229" s="116"/>
      <c r="R229" s="116"/>
      <c r="S229" s="132"/>
      <c r="T229" s="142"/>
      <c r="U229" s="115"/>
      <c r="AD229" s="561" t="str">
        <f t="shared" si="122"/>
        <v/>
      </c>
      <c r="AE229" s="561" t="str">
        <f t="shared" si="115"/>
        <v>n.a.</v>
      </c>
      <c r="AF229" s="561" t="str">
        <f t="shared" si="116"/>
        <v>n.a.</v>
      </c>
      <c r="AG229" s="561" t="str">
        <f t="shared" si="117"/>
        <v>n.a.</v>
      </c>
      <c r="AH229" s="561" t="b">
        <f t="shared" si="118"/>
        <v>0</v>
      </c>
      <c r="AI229" s="561" t="b">
        <f t="shared" si="119"/>
        <v>0</v>
      </c>
      <c r="AJ229" s="582" t="str">
        <f t="shared" si="120"/>
        <v/>
      </c>
      <c r="AK229" s="582" t="str">
        <f t="shared" si="121"/>
        <v/>
      </c>
      <c r="AL229" s="582" t="str">
        <f t="shared" si="112"/>
        <v/>
      </c>
    </row>
    <row r="230" spans="1:38" ht="12.75" customHeight="1" x14ac:dyDescent="0.25">
      <c r="B230" s="132"/>
      <c r="C230" s="132"/>
      <c r="D230" s="1388"/>
      <c r="E230" s="43"/>
      <c r="F230" s="47"/>
      <c r="G230" s="50"/>
      <c r="H230" s="50"/>
      <c r="I230" s="48"/>
      <c r="J230" s="642" t="str">
        <f t="shared" si="106"/>
        <v/>
      </c>
      <c r="K230" s="642" t="str">
        <f t="shared" si="107"/>
        <v/>
      </c>
      <c r="L230" s="642" t="str">
        <f t="shared" si="108"/>
        <v/>
      </c>
      <c r="M230" s="1395"/>
      <c r="N230" s="116"/>
      <c r="O230" s="116"/>
      <c r="P230" s="116"/>
      <c r="Q230" s="116"/>
      <c r="R230" s="116"/>
      <c r="S230" s="132"/>
      <c r="T230" s="142"/>
      <c r="U230" s="115"/>
      <c r="AD230" s="561" t="str">
        <f t="shared" si="122"/>
        <v/>
      </c>
      <c r="AE230" s="561" t="str">
        <f t="shared" si="115"/>
        <v>n.a.</v>
      </c>
      <c r="AF230" s="561" t="str">
        <f t="shared" si="116"/>
        <v>n.a.</v>
      </c>
      <c r="AG230" s="561" t="str">
        <f t="shared" si="117"/>
        <v>n.a.</v>
      </c>
      <c r="AH230" s="561" t="b">
        <f t="shared" si="118"/>
        <v>0</v>
      </c>
      <c r="AI230" s="561" t="b">
        <f t="shared" si="119"/>
        <v>0</v>
      </c>
      <c r="AJ230" s="582" t="str">
        <f t="shared" si="120"/>
        <v/>
      </c>
      <c r="AK230" s="582" t="str">
        <f t="shared" si="121"/>
        <v/>
      </c>
      <c r="AL230" s="582" t="str">
        <f t="shared" si="112"/>
        <v/>
      </c>
    </row>
    <row r="231" spans="1:38" ht="12.75" customHeight="1" x14ac:dyDescent="0.25">
      <c r="B231" s="132"/>
      <c r="C231" s="132"/>
      <c r="D231" s="1388"/>
      <c r="E231" s="43"/>
      <c r="F231" s="47"/>
      <c r="G231" s="50"/>
      <c r="H231" s="50"/>
      <c r="I231" s="48"/>
      <c r="J231" s="642" t="str">
        <f t="shared" si="106"/>
        <v/>
      </c>
      <c r="K231" s="642" t="str">
        <f t="shared" si="107"/>
        <v/>
      </c>
      <c r="L231" s="642" t="str">
        <f t="shared" si="108"/>
        <v/>
      </c>
      <c r="M231" s="1395"/>
      <c r="N231" s="116"/>
      <c r="O231" s="116"/>
      <c r="P231" s="116"/>
      <c r="Q231" s="116"/>
      <c r="R231" s="116"/>
      <c r="S231" s="132"/>
      <c r="T231" s="142"/>
      <c r="U231" s="115"/>
      <c r="AD231" s="561" t="str">
        <f t="shared" si="122"/>
        <v/>
      </c>
      <c r="AE231" s="561" t="str">
        <f t="shared" si="115"/>
        <v>n.a.</v>
      </c>
      <c r="AF231" s="561" t="str">
        <f t="shared" si="116"/>
        <v>n.a.</v>
      </c>
      <c r="AG231" s="561" t="str">
        <f t="shared" si="117"/>
        <v>n.a.</v>
      </c>
      <c r="AH231" s="561" t="b">
        <f t="shared" si="118"/>
        <v>0</v>
      </c>
      <c r="AI231" s="561" t="b">
        <f t="shared" si="119"/>
        <v>0</v>
      </c>
      <c r="AJ231" s="582" t="str">
        <f t="shared" si="120"/>
        <v/>
      </c>
      <c r="AK231" s="582" t="str">
        <f t="shared" si="121"/>
        <v/>
      </c>
      <c r="AL231" s="582" t="str">
        <f t="shared" si="112"/>
        <v/>
      </c>
    </row>
    <row r="232" spans="1:38" ht="12.75" customHeight="1" x14ac:dyDescent="0.25">
      <c r="B232" s="132"/>
      <c r="C232" s="132"/>
      <c r="D232" s="1388"/>
      <c r="E232" s="44"/>
      <c r="F232" s="51"/>
      <c r="G232" s="52"/>
      <c r="H232" s="52"/>
      <c r="I232" s="53"/>
      <c r="J232" s="657" t="str">
        <f t="shared" si="106"/>
        <v/>
      </c>
      <c r="K232" s="657" t="str">
        <f t="shared" si="107"/>
        <v/>
      </c>
      <c r="L232" s="657" t="str">
        <f t="shared" si="108"/>
        <v/>
      </c>
      <c r="M232" s="1395"/>
      <c r="N232" s="116"/>
      <c r="O232" s="116"/>
      <c r="P232" s="116"/>
      <c r="Q232" s="116"/>
      <c r="R232" s="116"/>
      <c r="S232" s="132"/>
      <c r="T232" s="142"/>
      <c r="U232" s="115"/>
      <c r="AD232" s="561" t="str">
        <f t="shared" si="122"/>
        <v/>
      </c>
      <c r="AE232" s="561" t="str">
        <f t="shared" si="115"/>
        <v>n.a.</v>
      </c>
      <c r="AF232" s="561" t="str">
        <f t="shared" si="116"/>
        <v>n.a.</v>
      </c>
      <c r="AG232" s="561" t="str">
        <f t="shared" si="117"/>
        <v>n.a.</v>
      </c>
      <c r="AH232" s="561" t="b">
        <f t="shared" si="118"/>
        <v>0</v>
      </c>
      <c r="AI232" s="561" t="b">
        <f t="shared" si="119"/>
        <v>0</v>
      </c>
      <c r="AJ232" s="582" t="str">
        <f t="shared" si="120"/>
        <v/>
      </c>
      <c r="AK232" s="582" t="str">
        <f t="shared" si="121"/>
        <v/>
      </c>
      <c r="AL232" s="582" t="str">
        <f t="shared" si="112"/>
        <v/>
      </c>
    </row>
    <row r="233" spans="1:38" ht="12.75" customHeight="1" x14ac:dyDescent="0.25">
      <c r="B233" s="132"/>
      <c r="C233" s="132"/>
      <c r="D233" s="132"/>
      <c r="E233" s="658" t="str">
        <f>Translations!$B$645</f>
        <v>TOTALS</v>
      </c>
      <c r="F233" s="659" t="str">
        <f>IF(SUM(F218:F232)=0,"",SUM(F218:F232))</f>
        <v/>
      </c>
      <c r="G233" s="660" t="str">
        <f>IF(SUM(F233)=0,"",J233/F233)</f>
        <v/>
      </c>
      <c r="H233" s="660" t="str">
        <f>IF(SUM(J233)=0,"",SUM(K233:L233)/IF(AF218&lt;&gt;EUconst_NA,F233,J233)/IF(AG218=EUconst_NA,1,AG218))</f>
        <v/>
      </c>
      <c r="I233" s="661" t="str">
        <f>IF(SUM(K233:L233)=0,"",L233/SUM(K233:L233))</f>
        <v/>
      </c>
      <c r="J233" s="659" t="str">
        <f>IF(COUNTA(E218:E232)=0,"",IFERROR(SUM(J218:J232),EUconst_ERR_Inconsistent))</f>
        <v/>
      </c>
      <c r="K233" s="659" t="str">
        <f>IF(COUNTA(E218:E232)=0,"",IFERROR(SUM(K218:K232),EUconst_ERR_Inconsistent))</f>
        <v/>
      </c>
      <c r="L233" s="659" t="str">
        <f>IF(COUNTA(E218:E232)=0,"",IFERROR(SUM(L218:L232),EUconst_ERR_Inconsistent))</f>
        <v/>
      </c>
      <c r="M233" s="1395"/>
      <c r="N233" s="116"/>
      <c r="O233" s="116"/>
      <c r="P233" s="116"/>
      <c r="Q233" s="116"/>
      <c r="R233" s="116"/>
      <c r="S233" s="132"/>
      <c r="T233" s="142"/>
      <c r="U233" s="115"/>
    </row>
    <row r="234" spans="1:38" ht="12.75" customHeight="1" x14ac:dyDescent="0.25">
      <c r="B234" s="132"/>
      <c r="C234" s="132"/>
      <c r="D234" s="132"/>
      <c r="E234" s="191"/>
      <c r="F234" s="116"/>
      <c r="G234" s="116"/>
      <c r="H234" s="116"/>
      <c r="I234" s="116"/>
      <c r="J234" s="116"/>
      <c r="K234" s="116"/>
      <c r="L234" s="116"/>
      <c r="M234" s="116"/>
      <c r="N234" s="116"/>
      <c r="O234" s="116"/>
      <c r="P234" s="116"/>
      <c r="Q234" s="116"/>
      <c r="R234" s="116"/>
      <c r="S234" s="132"/>
      <c r="T234" s="142"/>
      <c r="U234" s="115"/>
    </row>
    <row r="235" spans="1:38" s="69" customFormat="1" ht="18.75" customHeight="1" x14ac:dyDescent="0.25">
      <c r="A235" s="167">
        <f>C235</f>
        <v>10</v>
      </c>
      <c r="B235" s="76"/>
      <c r="C235" s="216">
        <f>C212+1</f>
        <v>10</v>
      </c>
      <c r="D235" s="1195" t="str">
        <f>"Tool " &amp;C235-2</f>
        <v>Tool 8</v>
      </c>
      <c r="E235" s="1195"/>
      <c r="F235" s="1195"/>
      <c r="G235" s="1195"/>
      <c r="H235" s="1195"/>
      <c r="I235" s="1195"/>
      <c r="J235" s="1195"/>
      <c r="K235" s="1195"/>
      <c r="L235" s="1195"/>
      <c r="M235" s="1195"/>
      <c r="N235" s="1195"/>
      <c r="O235" s="1195"/>
      <c r="P235" s="1195"/>
      <c r="Q235" s="1195"/>
      <c r="R235" s="1195"/>
      <c r="S235" s="1195"/>
      <c r="T235" s="142"/>
      <c r="U235" s="115"/>
      <c r="V235" s="464" t="str">
        <f>D235</f>
        <v>Tool 8</v>
      </c>
      <c r="W235" s="110"/>
      <c r="X235" s="110"/>
      <c r="Y235" s="110"/>
      <c r="Z235" s="110"/>
      <c r="AA235" s="109"/>
      <c r="AB235" s="109"/>
      <c r="AC235" s="109"/>
      <c r="AD235" s="109"/>
      <c r="AE235" s="109"/>
      <c r="AF235" s="109"/>
      <c r="AG235" s="109"/>
      <c r="AH235" s="109"/>
      <c r="AI235" s="109"/>
      <c r="AJ235" s="109"/>
      <c r="AK235" s="109"/>
      <c r="AL235" s="109"/>
    </row>
    <row r="236" spans="1:38" ht="12.75" customHeight="1" x14ac:dyDescent="0.25">
      <c r="B236" s="132"/>
      <c r="C236" s="132"/>
      <c r="D236" s="132"/>
      <c r="E236" s="191"/>
      <c r="F236" s="116"/>
      <c r="G236" s="116"/>
      <c r="H236" s="116"/>
      <c r="I236" s="116"/>
      <c r="J236" s="116"/>
      <c r="K236" s="116"/>
      <c r="L236" s="116"/>
      <c r="M236" s="116"/>
      <c r="N236" s="116"/>
      <c r="O236" s="116"/>
      <c r="P236" s="116"/>
      <c r="Q236" s="116"/>
      <c r="R236" s="116"/>
      <c r="S236" s="132"/>
      <c r="T236" s="142"/>
      <c r="U236" s="115"/>
    </row>
    <row r="237" spans="1:38" ht="12.75" customHeight="1" x14ac:dyDescent="0.25">
      <c r="B237" s="132"/>
      <c r="C237" s="132"/>
      <c r="D237" s="1377" t="str">
        <f>Translations!$B$631</f>
        <v>Component</v>
      </c>
      <c r="E237" s="1378"/>
      <c r="F237" s="633">
        <v>1</v>
      </c>
      <c r="G237" s="633">
        <v>2</v>
      </c>
      <c r="H237" s="633">
        <v>3</v>
      </c>
      <c r="I237" s="633">
        <v>4</v>
      </c>
      <c r="J237" s="633">
        <v>5</v>
      </c>
      <c r="K237" s="633">
        <v>6</v>
      </c>
      <c r="L237" s="633">
        <v>7</v>
      </c>
      <c r="M237" s="116"/>
      <c r="N237" s="116"/>
      <c r="O237" s="116"/>
      <c r="P237" s="116"/>
      <c r="Q237" s="116"/>
      <c r="R237" s="116"/>
      <c r="S237" s="132"/>
      <c r="T237" s="142"/>
      <c r="U237" s="115"/>
      <c r="V237" s="566" t="str">
        <f>Translations!$B$498</f>
        <v>Units:</v>
      </c>
      <c r="W237" s="561" t="str" cm="1">
        <f t="array" ref="W237">IFERROR(INDEX(_xlfn._xlws.FILTER(W241:W250,(W241:W250)&lt;&gt;"",""),1),W238)</f>
        <v/>
      </c>
      <c r="X237" s="561" t="str" cm="1">
        <f t="array" ref="X237">IFERROR(INDEX(_xlfn._xlws.FILTER(X241:X250,(X241:X250)&lt;&gt;"",""),1),X238)</f>
        <v/>
      </c>
      <c r="Y237" s="567"/>
      <c r="Z237" s="561" t="str" cm="1">
        <f t="array" ref="Z237">IFERROR(INDEX(_xlfn._xlws.FILTER(Z241:Z250,(Z241:Z250)&lt;&gt;"",""),1),Z238)</f>
        <v/>
      </c>
      <c r="AA237" s="567"/>
    </row>
    <row r="238" spans="1:38" ht="12.75" customHeight="1" x14ac:dyDescent="0.25">
      <c r="B238" s="132"/>
      <c r="C238" s="132"/>
      <c r="D238" s="1379"/>
      <c r="E238" s="1380"/>
      <c r="F238" s="1383" t="str">
        <f>Translations!$B$377</f>
        <v>RFA</v>
      </c>
      <c r="G238" s="1383" t="str">
        <f>Translations!$B$386</f>
        <v>UCF</v>
      </c>
      <c r="H238" s="1383" t="str">
        <f>Translations!$B$383</f>
        <v>EF</v>
      </c>
      <c r="I238" s="1383" t="str">
        <f>Translations!$B$632</f>
        <v>Zero-rated F</v>
      </c>
      <c r="J238" s="1385" t="str">
        <f>Translations!$B$652</f>
        <v>Energy or other</v>
      </c>
      <c r="K238" s="1385" t="str">
        <f>Translations!$B$522</f>
        <v>Emissions (fossil)</v>
      </c>
      <c r="L238" s="1385" t="str">
        <f>Translations!$B$634</f>
        <v>Emissions (bio)</v>
      </c>
      <c r="M238" s="116"/>
      <c r="N238" s="116"/>
      <c r="O238" s="116"/>
      <c r="P238" s="116"/>
      <c r="Q238" s="116"/>
      <c r="R238" s="116"/>
      <c r="S238" s="132"/>
      <c r="T238" s="142"/>
      <c r="U238" s="115"/>
      <c r="W238" s="561" t="str">
        <f t="array" ref="W238">IFERROR(INDEX(W241:W250,MATCH(TRUE,(W241:W250)&lt;&gt;"",0)),"")</f>
        <v/>
      </c>
      <c r="X238" s="561" t="str">
        <f t="array" ref="X238">IFERROR(INDEX(X241:X250,MATCH(TRUE,(X241:X250)&lt;&gt;"",0)),"")</f>
        <v/>
      </c>
      <c r="Y238" s="567"/>
      <c r="Z238" s="561" t="str">
        <f t="array" ref="Z238">IFERROR(INDEX(Z241:Z250,MATCH(TRUE,(Z241:Z250)&lt;&gt;"",0)),"")</f>
        <v/>
      </c>
      <c r="AA238" s="567"/>
    </row>
    <row r="239" spans="1:38" ht="12.75" customHeight="1" x14ac:dyDescent="0.3">
      <c r="B239" s="132"/>
      <c r="C239" s="132"/>
      <c r="D239" s="1379"/>
      <c r="E239" s="1380"/>
      <c r="F239" s="1384"/>
      <c r="G239" s="1384"/>
      <c r="H239" s="1384"/>
      <c r="I239" s="1384"/>
      <c r="J239" s="1386"/>
      <c r="K239" s="1386"/>
      <c r="L239" s="1386"/>
      <c r="M239" s="116"/>
      <c r="N239" s="634" t="str">
        <f>Translations!$B$635</f>
        <v>Result to be entered in sheet C</v>
      </c>
      <c r="O239" s="116"/>
      <c r="P239" s="116"/>
      <c r="Q239" s="116"/>
      <c r="R239" s="116"/>
      <c r="S239" s="132"/>
      <c r="T239" s="142"/>
      <c r="U239" s="115"/>
      <c r="W239" s="569" t="str">
        <f>Translations!$B$377</f>
        <v>RFA</v>
      </c>
      <c r="X239" s="569" t="str">
        <f>Translations!$B$386</f>
        <v>UCF</v>
      </c>
      <c r="Y239" s="569"/>
      <c r="Z239" s="569" t="str">
        <f>Translations!$B$383</f>
        <v>EF</v>
      </c>
      <c r="AA239" s="569"/>
      <c r="AB239" s="570"/>
      <c r="AC239" s="570"/>
      <c r="AH239" s="570"/>
      <c r="AI239" s="570"/>
      <c r="AJ239" s="570"/>
    </row>
    <row r="240" spans="1:38" ht="12.75" customHeight="1" x14ac:dyDescent="0.3">
      <c r="B240" s="132"/>
      <c r="C240" s="132"/>
      <c r="D240" s="1381"/>
      <c r="E240" s="1382"/>
      <c r="F240" s="635" t="str">
        <f>IF(COUNTA($E241:$E255)=0,"",$W237)</f>
        <v/>
      </c>
      <c r="G240" s="635" t="str">
        <f>IF(COUNTA($E241:$E255)=0,"",$X237)</f>
        <v/>
      </c>
      <c r="H240" s="635" t="str">
        <f>IF(COUNTA($E241:$E255)=0,"",$Z237)</f>
        <v/>
      </c>
      <c r="I240" s="636" t="s">
        <v>46</v>
      </c>
      <c r="J240" s="635" t="str">
        <f>IF(AE241=EUconst_NA,EUconst_GJ,AE241)</f>
        <v>GJ</v>
      </c>
      <c r="K240" s="637" t="s">
        <v>188</v>
      </c>
      <c r="L240" s="637" t="s">
        <v>188</v>
      </c>
      <c r="M240" s="116"/>
      <c r="N240" s="1387" t="str">
        <f>Translations!$B$636</f>
        <v>The results of this tool are the relevant (weighted average) values below. Each value has to be entered manually in sheet C for the respective fuel stream. Select fuel stream below for comparison.</v>
      </c>
      <c r="O240" s="1387"/>
      <c r="P240" s="1387"/>
      <c r="Q240" s="1387"/>
      <c r="R240" s="1387"/>
      <c r="S240" s="1387"/>
      <c r="T240" s="142"/>
      <c r="U240" s="115"/>
      <c r="W240" s="569" t="str">
        <f>EUconst_CNTR_ActivityData&amp;EUconst_Unit</f>
        <v>ActivityData_Unit</v>
      </c>
      <c r="X240" s="569" t="str">
        <f>EUconst_CNTR_UCF&amp;EUconst_Unit</f>
        <v>UCF_Unit</v>
      </c>
      <c r="Y240" s="569" t="str">
        <f>EUconst_CNTR_UCF&amp;EUconst_Value</f>
        <v>UCF_Value</v>
      </c>
      <c r="Z240" s="569" t="str">
        <f>EUconst_CNTR_EF&amp;EUconst_Unit</f>
        <v>EF_Unit</v>
      </c>
      <c r="AA240" s="569" t="str">
        <f>EUconst_CNTR_EF&amp;EUconst_Value</f>
        <v>EF_Value</v>
      </c>
      <c r="AB240" s="569" t="s">
        <v>189</v>
      </c>
      <c r="AC240" s="575"/>
      <c r="AD240" s="576" t="s">
        <v>147</v>
      </c>
      <c r="AE240" s="576" t="s">
        <v>151</v>
      </c>
      <c r="AF240" s="576" t="s">
        <v>153</v>
      </c>
      <c r="AG240" s="576" t="s">
        <v>155</v>
      </c>
      <c r="AH240" s="575"/>
      <c r="AI240" s="575"/>
      <c r="AJ240" s="575" t="s">
        <v>190</v>
      </c>
      <c r="AK240" s="575" t="s">
        <v>191</v>
      </c>
      <c r="AL240" s="575" t="s">
        <v>192</v>
      </c>
    </row>
    <row r="241" spans="2:38" ht="12.75" customHeight="1" x14ac:dyDescent="0.25">
      <c r="B241" s="132"/>
      <c r="C241" s="132"/>
      <c r="D241" s="1388" t="str">
        <f>Translations!$B$637</f>
        <v>Default compontents provided by the CA</v>
      </c>
      <c r="E241" s="42"/>
      <c r="F241" s="45"/>
      <c r="G241" s="639" t="str">
        <f>IF($E241="","",Y241)</f>
        <v/>
      </c>
      <c r="H241" s="639" t="str">
        <f>IF($E241="","",AA241)</f>
        <v/>
      </c>
      <c r="I241" s="46"/>
      <c r="J241" s="640" t="str">
        <f t="shared" ref="J241:J255" si="123">IFERROR(IF(E241="","",AL241),EUconst_ERR_Inconsistent)</f>
        <v/>
      </c>
      <c r="K241" s="640" t="str">
        <f t="shared" ref="K241:K255" si="124">IFERROR(IF(E241="","",AJ241),EUconst_ERR_Inconsistent)</f>
        <v/>
      </c>
      <c r="L241" s="640" t="str">
        <f t="shared" ref="L241:L255" si="125">IFERROR(IF(E241="","",AK241),EUconst_ERR_Inconsistent)</f>
        <v/>
      </c>
      <c r="M241" s="1389"/>
      <c r="N241" s="1387"/>
      <c r="O241" s="1387"/>
      <c r="P241" s="1387"/>
      <c r="Q241" s="1387"/>
      <c r="R241" s="1387"/>
      <c r="S241" s="1387"/>
      <c r="T241" s="142"/>
      <c r="U241" s="115"/>
      <c r="W241" s="561" t="str">
        <f t="shared" ref="W241:AA250" si="126">IF($E241="","",INDEX(MSPara_CalcFactorsMatrix,MATCH($E241,MSPara_SourceStreamCategory,0),MATCH(W$20&amp;"_"&amp;2,MSPara_CalcFactors,0)))</f>
        <v/>
      </c>
      <c r="X241" s="561" t="str">
        <f t="shared" si="126"/>
        <v/>
      </c>
      <c r="Y241" s="561" t="str">
        <f t="shared" si="126"/>
        <v/>
      </c>
      <c r="Z241" s="561" t="str">
        <f t="shared" si="126"/>
        <v/>
      </c>
      <c r="AA241" s="561" t="str">
        <f t="shared" si="126"/>
        <v/>
      </c>
      <c r="AB241" s="561" t="str">
        <f>IF(E241="","",OR(W241&lt;&gt;W237,X241&lt;&gt;X237,Z241&lt;&gt;Z237))</f>
        <v/>
      </c>
      <c r="AC241" s="567"/>
      <c r="AD241" s="561" t="str">
        <f>W241</f>
        <v/>
      </c>
      <c r="AE241" s="561" t="str">
        <f>IF(X241="",EUconst_NA,IF(AD241=EUconst_TJ,EUconst_TJ,INDEX(EUwideConstants!$C$135:$G$139,MATCH(AD241,RFAUnits,0),MATCH(X241,UCFUnits,0))))</f>
        <v>n.a.</v>
      </c>
      <c r="AF241" s="561" t="str">
        <f>IF(COUNTIF(RFAUnits,AD241)=0,EUconst_NA,INDEX(EUwideConstants!$C$150:$H$154,MATCH(Z241,EFUnits,0),MATCH(AD241,EUwideConstants!$C$149:$H$149,0)))</f>
        <v>n.a.</v>
      </c>
      <c r="AG241" s="561" t="str">
        <f>IF(AE241=EUconst_NA,EUconst_NA,INDEX(EUwideConstants!$C$150:$H$154,MATCH(Z241,EFUnits,0),MATCH(AE241,EUwideConstants!$C$149:$H$149,0)))</f>
        <v>n.a.</v>
      </c>
      <c r="AH241" s="561" t="b">
        <f t="shared" ref="AH241" si="127">AF241&lt;&gt;EUconst_NA</f>
        <v>0</v>
      </c>
      <c r="AI241" s="561" t="b">
        <f t="shared" ref="AI241" si="128">AG241&lt;&gt;EUconst_NA</f>
        <v>0</v>
      </c>
      <c r="AJ241" s="582" t="str">
        <f>IF(OR(E241="",COUNTIF(AH241:AI241,TRUE)=0),"",F241*IF(AH241,1,G241*AG241)*H241*(1-I241))</f>
        <v/>
      </c>
      <c r="AK241" s="582" t="str">
        <f>IF(OR(E241="",COUNTIF(AH241:AI241,TRUE)=0),"",F241*IF(AH241,1,G241*AG241)*H241*I241)</f>
        <v/>
      </c>
      <c r="AL241" s="582" t="str">
        <f t="shared" ref="AL241:AL255" si="129">IF(E241="","",IF(W241=EUconst_TJ,F241,F241*G241))</f>
        <v/>
      </c>
    </row>
    <row r="242" spans="2:38" ht="12.75" customHeight="1" x14ac:dyDescent="0.25">
      <c r="B242" s="132"/>
      <c r="C242" s="132"/>
      <c r="D242" s="1388"/>
      <c r="E242" s="43"/>
      <c r="F242" s="47"/>
      <c r="G242" s="641" t="str">
        <f t="shared" ref="G242:G250" si="130">IF($E242="","",Y242)</f>
        <v/>
      </c>
      <c r="H242" s="641" t="str">
        <f t="shared" ref="H242:H250" si="131">IF($E242="","",AA242)</f>
        <v/>
      </c>
      <c r="I242" s="48"/>
      <c r="J242" s="642" t="str">
        <f t="shared" si="123"/>
        <v/>
      </c>
      <c r="K242" s="642" t="str">
        <f t="shared" si="124"/>
        <v/>
      </c>
      <c r="L242" s="642" t="str">
        <f t="shared" si="125"/>
        <v/>
      </c>
      <c r="M242" s="1389"/>
      <c r="N242" s="638"/>
      <c r="O242" s="643" t="str">
        <f>Translations!$B$639</f>
        <v>Fuel stream:</v>
      </c>
      <c r="P242" s="1390"/>
      <c r="Q242" s="1391"/>
      <c r="R242" s="1391"/>
      <c r="S242" s="1392"/>
      <c r="T242" s="142"/>
      <c r="U242" s="115"/>
      <c r="W242" s="561" t="str">
        <f t="shared" si="126"/>
        <v/>
      </c>
      <c r="X242" s="561" t="str">
        <f t="shared" si="126"/>
        <v/>
      </c>
      <c r="Y242" s="561" t="str">
        <f t="shared" si="126"/>
        <v/>
      </c>
      <c r="Z242" s="561" t="str">
        <f t="shared" si="126"/>
        <v/>
      </c>
      <c r="AA242" s="561" t="str">
        <f t="shared" si="126"/>
        <v/>
      </c>
      <c r="AB242" s="561" t="str">
        <f>IF(E242="","",OR(W242&lt;&gt;W237,X242&lt;&gt;X237,Z242&lt;&gt;Z237))</f>
        <v/>
      </c>
      <c r="AC242" s="567"/>
      <c r="AD242" s="561" t="str">
        <f>AD241</f>
        <v/>
      </c>
      <c r="AE242" s="561" t="str">
        <f t="shared" ref="AE242:AE255" si="132">AE241</f>
        <v>n.a.</v>
      </c>
      <c r="AF242" s="561" t="str">
        <f t="shared" ref="AF242:AF255" si="133">AF241</f>
        <v>n.a.</v>
      </c>
      <c r="AG242" s="561" t="str">
        <f t="shared" ref="AG242:AG255" si="134">AG241</f>
        <v>n.a.</v>
      </c>
      <c r="AH242" s="561" t="b">
        <f t="shared" ref="AH242:AH255" si="135">AH241</f>
        <v>0</v>
      </c>
      <c r="AI242" s="561" t="b">
        <f t="shared" ref="AI242:AI255" si="136">AI241</f>
        <v>0</v>
      </c>
      <c r="AJ242" s="582" t="str">
        <f t="shared" ref="AJ242:AJ255" si="137">IF(OR(E242="",COUNTIF(AH242:AI242,TRUE)=0),"",F242*IF(AH242,1,G242*AG242)*H242*(1-I242))</f>
        <v/>
      </c>
      <c r="AK242" s="582" t="str">
        <f t="shared" ref="AK242:AK255" si="138">IF(OR(E242="",COUNTIF(AH242:AI242,TRUE)=0),"",F242*IF(AH242,1,G242*AG242)*H242*I242)</f>
        <v/>
      </c>
      <c r="AL242" s="582" t="str">
        <f t="shared" si="129"/>
        <v/>
      </c>
    </row>
    <row r="243" spans="2:38" ht="12.75" customHeight="1" x14ac:dyDescent="0.25">
      <c r="B243" s="132"/>
      <c r="C243" s="132"/>
      <c r="D243" s="1388"/>
      <c r="E243" s="43"/>
      <c r="F243" s="47"/>
      <c r="G243" s="641" t="str">
        <f t="shared" si="130"/>
        <v/>
      </c>
      <c r="H243" s="641" t="str">
        <f t="shared" si="131"/>
        <v/>
      </c>
      <c r="I243" s="48"/>
      <c r="J243" s="642" t="str">
        <f t="shared" si="123"/>
        <v/>
      </c>
      <c r="K243" s="642" t="str">
        <f t="shared" si="124"/>
        <v/>
      </c>
      <c r="L243" s="642" t="str">
        <f t="shared" si="125"/>
        <v/>
      </c>
      <c r="M243" s="1389"/>
      <c r="N243" s="116"/>
      <c r="O243" s="116"/>
      <c r="P243" s="116"/>
      <c r="Q243" s="116"/>
      <c r="R243" s="116"/>
      <c r="S243" s="132"/>
      <c r="T243" s="142"/>
      <c r="U243" s="115"/>
      <c r="W243" s="561" t="str">
        <f t="shared" si="126"/>
        <v/>
      </c>
      <c r="X243" s="561" t="str">
        <f t="shared" si="126"/>
        <v/>
      </c>
      <c r="Y243" s="561" t="str">
        <f t="shared" si="126"/>
        <v/>
      </c>
      <c r="Z243" s="561" t="str">
        <f t="shared" si="126"/>
        <v/>
      </c>
      <c r="AA243" s="561" t="str">
        <f t="shared" si="126"/>
        <v/>
      </c>
      <c r="AB243" s="561" t="str">
        <f>IF(E243="","",OR(W243&lt;&gt;W237,X243&lt;&gt;X237,Z243&lt;&gt;Z237))</f>
        <v/>
      </c>
      <c r="AC243" s="567"/>
      <c r="AD243" s="561" t="str">
        <f t="shared" ref="AD243:AD255" si="139">AD242</f>
        <v/>
      </c>
      <c r="AE243" s="561" t="str">
        <f t="shared" si="132"/>
        <v>n.a.</v>
      </c>
      <c r="AF243" s="561" t="str">
        <f t="shared" si="133"/>
        <v>n.a.</v>
      </c>
      <c r="AG243" s="561" t="str">
        <f t="shared" si="134"/>
        <v>n.a.</v>
      </c>
      <c r="AH243" s="561" t="b">
        <f t="shared" si="135"/>
        <v>0</v>
      </c>
      <c r="AI243" s="561" t="b">
        <f t="shared" si="136"/>
        <v>0</v>
      </c>
      <c r="AJ243" s="582" t="str">
        <f t="shared" si="137"/>
        <v/>
      </c>
      <c r="AK243" s="582" t="str">
        <f t="shared" si="138"/>
        <v/>
      </c>
      <c r="AL243" s="582" t="str">
        <f t="shared" si="129"/>
        <v/>
      </c>
    </row>
    <row r="244" spans="2:38" ht="12.75" customHeight="1" thickBot="1" x14ac:dyDescent="0.35">
      <c r="B244" s="132"/>
      <c r="C244" s="132"/>
      <c r="D244" s="1388"/>
      <c r="E244" s="43"/>
      <c r="F244" s="47"/>
      <c r="G244" s="641" t="str">
        <f t="shared" si="130"/>
        <v/>
      </c>
      <c r="H244" s="641" t="str">
        <f t="shared" si="131"/>
        <v/>
      </c>
      <c r="I244" s="48"/>
      <c r="J244" s="642" t="str">
        <f t="shared" si="123"/>
        <v/>
      </c>
      <c r="K244" s="642" t="str">
        <f t="shared" si="124"/>
        <v/>
      </c>
      <c r="L244" s="642" t="str">
        <f t="shared" si="125"/>
        <v/>
      </c>
      <c r="M244" s="1389"/>
      <c r="N244" s="1255" t="str">
        <f>Translations!$B$394</f>
        <v>Unit</v>
      </c>
      <c r="O244" s="1255"/>
      <c r="P244" s="1255" t="str">
        <f>Translations!$B$395</f>
        <v>Value</v>
      </c>
      <c r="Q244" s="1255"/>
      <c r="R244" s="116"/>
      <c r="S244" s="644" t="str">
        <f>Translations!$B$642</f>
        <v>Sheet C values</v>
      </c>
      <c r="T244" s="142"/>
      <c r="U244" s="115"/>
      <c r="W244" s="561" t="str">
        <f t="shared" si="126"/>
        <v/>
      </c>
      <c r="X244" s="561" t="str">
        <f t="shared" si="126"/>
        <v/>
      </c>
      <c r="Y244" s="561" t="str">
        <f t="shared" si="126"/>
        <v/>
      </c>
      <c r="Z244" s="561" t="str">
        <f t="shared" si="126"/>
        <v/>
      </c>
      <c r="AA244" s="561" t="str">
        <f t="shared" si="126"/>
        <v/>
      </c>
      <c r="AB244" s="561" t="str">
        <f>IF(E244="","",OR(W244&lt;&gt;W237,X244&lt;&gt;X237,Z244&lt;&gt;Z237))</f>
        <v/>
      </c>
      <c r="AC244" s="567"/>
      <c r="AD244" s="561" t="str">
        <f t="shared" si="139"/>
        <v/>
      </c>
      <c r="AE244" s="561" t="str">
        <f t="shared" si="132"/>
        <v>n.a.</v>
      </c>
      <c r="AF244" s="561" t="str">
        <f t="shared" si="133"/>
        <v>n.a.</v>
      </c>
      <c r="AG244" s="561" t="str">
        <f t="shared" si="134"/>
        <v>n.a.</v>
      </c>
      <c r="AH244" s="561" t="b">
        <f t="shared" si="135"/>
        <v>0</v>
      </c>
      <c r="AI244" s="561" t="b">
        <f t="shared" si="136"/>
        <v>0</v>
      </c>
      <c r="AJ244" s="582" t="str">
        <f t="shared" si="137"/>
        <v/>
      </c>
      <c r="AK244" s="582" t="str">
        <f t="shared" si="138"/>
        <v/>
      </c>
      <c r="AL244" s="582" t="str">
        <f t="shared" si="129"/>
        <v/>
      </c>
    </row>
    <row r="245" spans="2:38" ht="12.75" customHeight="1" thickBot="1" x14ac:dyDescent="0.3">
      <c r="B245" s="132"/>
      <c r="C245" s="132"/>
      <c r="D245" s="1388"/>
      <c r="E245" s="43"/>
      <c r="F245" s="47"/>
      <c r="G245" s="641" t="str">
        <f t="shared" si="130"/>
        <v/>
      </c>
      <c r="H245" s="641" t="str">
        <f t="shared" si="131"/>
        <v/>
      </c>
      <c r="I245" s="48"/>
      <c r="J245" s="642" t="str">
        <f t="shared" si="123"/>
        <v/>
      </c>
      <c r="K245" s="642" t="str">
        <f t="shared" si="124"/>
        <v/>
      </c>
      <c r="L245" s="642" t="str">
        <f t="shared" si="125"/>
        <v/>
      </c>
      <c r="M245" s="116"/>
      <c r="N245" s="346" t="str">
        <f>F240</f>
        <v/>
      </c>
      <c r="O245" s="7"/>
      <c r="P245" s="1393" t="str">
        <f>IF(F256="","",F256)</f>
        <v/>
      </c>
      <c r="Q245" s="1394"/>
      <c r="R245" s="116"/>
      <c r="S245" s="645" t="str">
        <f>IF(P242="","",SUMIFS(C_FuelStreams!BK:BK,C_FuelStreams!BI:BI,P242))</f>
        <v/>
      </c>
      <c r="T245" s="142"/>
      <c r="U245" s="115"/>
      <c r="W245" s="561" t="str">
        <f t="shared" si="126"/>
        <v/>
      </c>
      <c r="X245" s="561" t="str">
        <f t="shared" si="126"/>
        <v/>
      </c>
      <c r="Y245" s="561" t="str">
        <f t="shared" si="126"/>
        <v/>
      </c>
      <c r="Z245" s="561" t="str">
        <f t="shared" si="126"/>
        <v/>
      </c>
      <c r="AA245" s="561" t="str">
        <f t="shared" si="126"/>
        <v/>
      </c>
      <c r="AB245" s="561" t="str">
        <f>IF(E245="","",OR(W245&lt;&gt;W237,X245&lt;&gt;X237,Z245&lt;&gt;Z237))</f>
        <v/>
      </c>
      <c r="AC245" s="567"/>
      <c r="AD245" s="561" t="str">
        <f t="shared" si="139"/>
        <v/>
      </c>
      <c r="AE245" s="561" t="str">
        <f t="shared" si="132"/>
        <v>n.a.</v>
      </c>
      <c r="AF245" s="561" t="str">
        <f t="shared" si="133"/>
        <v>n.a.</v>
      </c>
      <c r="AG245" s="561" t="str">
        <f t="shared" si="134"/>
        <v>n.a.</v>
      </c>
      <c r="AH245" s="561" t="b">
        <f t="shared" si="135"/>
        <v>0</v>
      </c>
      <c r="AI245" s="561" t="b">
        <f t="shared" si="136"/>
        <v>0</v>
      </c>
      <c r="AJ245" s="582" t="str">
        <f t="shared" si="137"/>
        <v/>
      </c>
      <c r="AK245" s="582" t="str">
        <f t="shared" si="138"/>
        <v/>
      </c>
      <c r="AL245" s="582" t="str">
        <f t="shared" si="129"/>
        <v/>
      </c>
    </row>
    <row r="246" spans="2:38" ht="12.75" customHeight="1" thickBot="1" x14ac:dyDescent="0.3">
      <c r="B246" s="132"/>
      <c r="C246" s="132"/>
      <c r="D246" s="1388"/>
      <c r="E246" s="43"/>
      <c r="F246" s="47"/>
      <c r="G246" s="641" t="str">
        <f t="shared" si="130"/>
        <v/>
      </c>
      <c r="H246" s="641" t="str">
        <f t="shared" si="131"/>
        <v/>
      </c>
      <c r="I246" s="48"/>
      <c r="J246" s="642" t="str">
        <f t="shared" si="123"/>
        <v/>
      </c>
      <c r="K246" s="642" t="str">
        <f t="shared" si="124"/>
        <v/>
      </c>
      <c r="L246" s="642" t="str">
        <f t="shared" si="125"/>
        <v/>
      </c>
      <c r="M246" s="116"/>
      <c r="N246" s="162"/>
      <c r="O246" s="162"/>
      <c r="P246" s="76"/>
      <c r="Q246" s="76"/>
      <c r="R246" s="116"/>
      <c r="S246" s="996"/>
      <c r="T246" s="142"/>
      <c r="U246" s="115"/>
      <c r="W246" s="561" t="str">
        <f t="shared" si="126"/>
        <v/>
      </c>
      <c r="X246" s="561" t="str">
        <f t="shared" si="126"/>
        <v/>
      </c>
      <c r="Y246" s="561" t="str">
        <f t="shared" si="126"/>
        <v/>
      </c>
      <c r="Z246" s="561" t="str">
        <f t="shared" si="126"/>
        <v/>
      </c>
      <c r="AA246" s="561" t="str">
        <f t="shared" si="126"/>
        <v/>
      </c>
      <c r="AB246" s="561" t="str">
        <f>IF(E246="","",OR(W246&lt;&gt;W237,X246&lt;&gt;X237,Z246&lt;&gt;Z237))</f>
        <v/>
      </c>
      <c r="AC246" s="567"/>
      <c r="AD246" s="561" t="str">
        <f t="shared" si="139"/>
        <v/>
      </c>
      <c r="AE246" s="561" t="str">
        <f t="shared" si="132"/>
        <v>n.a.</v>
      </c>
      <c r="AF246" s="561" t="str">
        <f t="shared" si="133"/>
        <v>n.a.</v>
      </c>
      <c r="AG246" s="561" t="str">
        <f t="shared" si="134"/>
        <v>n.a.</v>
      </c>
      <c r="AH246" s="561" t="b">
        <f t="shared" si="135"/>
        <v>0</v>
      </c>
      <c r="AI246" s="561" t="b">
        <f t="shared" si="136"/>
        <v>0</v>
      </c>
      <c r="AJ246" s="582" t="str">
        <f t="shared" si="137"/>
        <v/>
      </c>
      <c r="AK246" s="582" t="str">
        <f t="shared" si="138"/>
        <v/>
      </c>
      <c r="AL246" s="582" t="str">
        <f t="shared" si="129"/>
        <v/>
      </c>
    </row>
    <row r="247" spans="2:38" ht="12.75" customHeight="1" x14ac:dyDescent="0.25">
      <c r="B247" s="132"/>
      <c r="C247" s="132"/>
      <c r="D247" s="1388"/>
      <c r="E247" s="43"/>
      <c r="F247" s="47"/>
      <c r="G247" s="641" t="str">
        <f t="shared" si="130"/>
        <v/>
      </c>
      <c r="H247" s="641" t="str">
        <f t="shared" si="131"/>
        <v/>
      </c>
      <c r="I247" s="48"/>
      <c r="J247" s="642" t="str">
        <f t="shared" si="123"/>
        <v/>
      </c>
      <c r="K247" s="642" t="str">
        <f t="shared" si="124"/>
        <v/>
      </c>
      <c r="L247" s="642" t="str">
        <f t="shared" si="125"/>
        <v/>
      </c>
      <c r="M247" s="116"/>
      <c r="N247" s="365" t="str">
        <f>G240</f>
        <v/>
      </c>
      <c r="O247" s="11"/>
      <c r="P247" s="366"/>
      <c r="Q247" s="646" t="str">
        <f>IF(G256="","",G256)</f>
        <v/>
      </c>
      <c r="R247" s="116"/>
      <c r="S247" s="647" t="str">
        <f>IF(P242="","",SUMIFS(C_FuelStreams!BU:BU,C_FuelStreams!BI:BI,P242))</f>
        <v/>
      </c>
      <c r="T247" s="142"/>
      <c r="U247" s="115"/>
      <c r="W247" s="561" t="str">
        <f t="shared" si="126"/>
        <v/>
      </c>
      <c r="X247" s="561" t="str">
        <f t="shared" si="126"/>
        <v/>
      </c>
      <c r="Y247" s="561" t="str">
        <f t="shared" si="126"/>
        <v/>
      </c>
      <c r="Z247" s="561" t="str">
        <f t="shared" si="126"/>
        <v/>
      </c>
      <c r="AA247" s="561" t="str">
        <f t="shared" si="126"/>
        <v/>
      </c>
      <c r="AB247" s="561" t="str">
        <f>IF(E247="","",OR(W247&lt;&gt;W237,X247&lt;&gt;X237,Z247&lt;&gt;Z237))</f>
        <v/>
      </c>
      <c r="AC247" s="567"/>
      <c r="AD247" s="561" t="str">
        <f t="shared" si="139"/>
        <v/>
      </c>
      <c r="AE247" s="561" t="str">
        <f t="shared" si="132"/>
        <v>n.a.</v>
      </c>
      <c r="AF247" s="561" t="str">
        <f t="shared" si="133"/>
        <v>n.a.</v>
      </c>
      <c r="AG247" s="561" t="str">
        <f t="shared" si="134"/>
        <v>n.a.</v>
      </c>
      <c r="AH247" s="561" t="b">
        <f t="shared" si="135"/>
        <v>0</v>
      </c>
      <c r="AI247" s="561" t="b">
        <f t="shared" si="136"/>
        <v>0</v>
      </c>
      <c r="AJ247" s="582" t="str">
        <f t="shared" si="137"/>
        <v/>
      </c>
      <c r="AK247" s="582" t="str">
        <f t="shared" si="138"/>
        <v/>
      </c>
      <c r="AL247" s="582" t="str">
        <f t="shared" si="129"/>
        <v/>
      </c>
    </row>
    <row r="248" spans="2:38" ht="12.75" customHeight="1" thickBot="1" x14ac:dyDescent="0.3">
      <c r="B248" s="132"/>
      <c r="C248" s="132"/>
      <c r="D248" s="1388"/>
      <c r="E248" s="43"/>
      <c r="F248" s="47"/>
      <c r="G248" s="641" t="str">
        <f t="shared" si="130"/>
        <v/>
      </c>
      <c r="H248" s="641" t="str">
        <f t="shared" si="131"/>
        <v/>
      </c>
      <c r="I248" s="48"/>
      <c r="J248" s="642" t="str">
        <f t="shared" si="123"/>
        <v/>
      </c>
      <c r="K248" s="642" t="str">
        <f t="shared" si="124"/>
        <v/>
      </c>
      <c r="L248" s="642" t="str">
        <f t="shared" si="125"/>
        <v/>
      </c>
      <c r="M248" s="116"/>
      <c r="N248" s="648" t="str">
        <f>H240</f>
        <v/>
      </c>
      <c r="O248" s="22"/>
      <c r="P248" s="649"/>
      <c r="Q248" s="650" t="str">
        <f>IF(H256="","",H256)</f>
        <v/>
      </c>
      <c r="R248" s="116"/>
      <c r="S248" s="651" t="str">
        <f>IF(P242="","",SUMIFS(C_FuelStreams!BR:BR,C_FuelStreams!BI:BI,P242))</f>
        <v/>
      </c>
      <c r="T248" s="142"/>
      <c r="U248" s="115"/>
      <c r="W248" s="561" t="str">
        <f t="shared" si="126"/>
        <v/>
      </c>
      <c r="X248" s="561" t="str">
        <f t="shared" si="126"/>
        <v/>
      </c>
      <c r="Y248" s="561" t="str">
        <f t="shared" si="126"/>
        <v/>
      </c>
      <c r="Z248" s="561" t="str">
        <f t="shared" si="126"/>
        <v/>
      </c>
      <c r="AA248" s="561" t="str">
        <f t="shared" si="126"/>
        <v/>
      </c>
      <c r="AB248" s="561" t="str">
        <f>IF(E248="","",OR(W248&lt;&gt;W237,X248&lt;&gt;X237,Z248&lt;&gt;Z237))</f>
        <v/>
      </c>
      <c r="AC248" s="567"/>
      <c r="AD248" s="561" t="str">
        <f t="shared" si="139"/>
        <v/>
      </c>
      <c r="AE248" s="561" t="str">
        <f t="shared" si="132"/>
        <v>n.a.</v>
      </c>
      <c r="AF248" s="561" t="str">
        <f t="shared" si="133"/>
        <v>n.a.</v>
      </c>
      <c r="AG248" s="561" t="str">
        <f t="shared" si="134"/>
        <v>n.a.</v>
      </c>
      <c r="AH248" s="561" t="b">
        <f t="shared" si="135"/>
        <v>0</v>
      </c>
      <c r="AI248" s="561" t="b">
        <f t="shared" si="136"/>
        <v>0</v>
      </c>
      <c r="AJ248" s="582" t="str">
        <f t="shared" si="137"/>
        <v/>
      </c>
      <c r="AK248" s="582" t="str">
        <f t="shared" si="138"/>
        <v/>
      </c>
      <c r="AL248" s="582" t="str">
        <f t="shared" si="129"/>
        <v/>
      </c>
    </row>
    <row r="249" spans="2:38" ht="12.75" customHeight="1" x14ac:dyDescent="0.25">
      <c r="B249" s="132"/>
      <c r="C249" s="132"/>
      <c r="D249" s="1388"/>
      <c r="E249" s="43"/>
      <c r="F249" s="47"/>
      <c r="G249" s="641" t="str">
        <f t="shared" si="130"/>
        <v/>
      </c>
      <c r="H249" s="641" t="str">
        <f t="shared" si="131"/>
        <v/>
      </c>
      <c r="I249" s="48"/>
      <c r="J249" s="642" t="str">
        <f t="shared" si="123"/>
        <v/>
      </c>
      <c r="K249" s="642" t="str">
        <f t="shared" si="124"/>
        <v/>
      </c>
      <c r="L249" s="642" t="str">
        <f t="shared" si="125"/>
        <v/>
      </c>
      <c r="M249" s="116"/>
      <c r="N249" s="652" t="s">
        <v>46</v>
      </c>
      <c r="O249" s="411"/>
      <c r="P249" s="653"/>
      <c r="Q249" s="654" t="str">
        <f>IF(I256="","",I256)</f>
        <v/>
      </c>
      <c r="R249" s="116"/>
      <c r="S249" s="655" t="str">
        <f>IF(P242="","",SUMIFS(C_FuelStreams!BX:BX,C_FuelStreams!BI:BI,P242))</f>
        <v/>
      </c>
      <c r="T249" s="142"/>
      <c r="U249" s="115"/>
      <c r="W249" s="561" t="str">
        <f t="shared" si="126"/>
        <v/>
      </c>
      <c r="X249" s="561" t="str">
        <f t="shared" si="126"/>
        <v/>
      </c>
      <c r="Y249" s="561" t="str">
        <f t="shared" si="126"/>
        <v/>
      </c>
      <c r="Z249" s="561" t="str">
        <f t="shared" si="126"/>
        <v/>
      </c>
      <c r="AA249" s="561" t="str">
        <f t="shared" si="126"/>
        <v/>
      </c>
      <c r="AB249" s="561" t="str">
        <f>IF(E249="","",OR(W249&lt;&gt;W237,X249&lt;&gt;X237,Z249&lt;&gt;Z237))</f>
        <v/>
      </c>
      <c r="AC249" s="567"/>
      <c r="AD249" s="561" t="str">
        <f t="shared" si="139"/>
        <v/>
      </c>
      <c r="AE249" s="561" t="str">
        <f t="shared" si="132"/>
        <v>n.a.</v>
      </c>
      <c r="AF249" s="561" t="str">
        <f t="shared" si="133"/>
        <v>n.a.</v>
      </c>
      <c r="AG249" s="561" t="str">
        <f t="shared" si="134"/>
        <v>n.a.</v>
      </c>
      <c r="AH249" s="561" t="b">
        <f t="shared" si="135"/>
        <v>0</v>
      </c>
      <c r="AI249" s="561" t="b">
        <f t="shared" si="136"/>
        <v>0</v>
      </c>
      <c r="AJ249" s="582" t="str">
        <f t="shared" si="137"/>
        <v/>
      </c>
      <c r="AK249" s="582" t="str">
        <f t="shared" si="138"/>
        <v/>
      </c>
      <c r="AL249" s="582" t="str">
        <f t="shared" si="129"/>
        <v/>
      </c>
    </row>
    <row r="250" spans="2:38" ht="12.75" customHeight="1" x14ac:dyDescent="0.25">
      <c r="B250" s="132"/>
      <c r="C250" s="132"/>
      <c r="D250" s="1388"/>
      <c r="E250" s="43"/>
      <c r="F250" s="47"/>
      <c r="G250" s="641" t="str">
        <f t="shared" si="130"/>
        <v/>
      </c>
      <c r="H250" s="641" t="str">
        <f t="shared" si="131"/>
        <v/>
      </c>
      <c r="I250" s="48"/>
      <c r="J250" s="642" t="str">
        <f t="shared" si="123"/>
        <v/>
      </c>
      <c r="K250" s="642" t="str">
        <f t="shared" si="124"/>
        <v/>
      </c>
      <c r="L250" s="642" t="str">
        <f t="shared" si="125"/>
        <v/>
      </c>
      <c r="M250" s="1395"/>
      <c r="N250" s="116"/>
      <c r="O250" s="116"/>
      <c r="P250" s="116"/>
      <c r="Q250" s="116"/>
      <c r="R250" s="116"/>
      <c r="S250" s="132"/>
      <c r="T250" s="142"/>
      <c r="U250" s="115"/>
      <c r="W250" s="561" t="str">
        <f t="shared" si="126"/>
        <v/>
      </c>
      <c r="X250" s="561" t="str">
        <f t="shared" si="126"/>
        <v/>
      </c>
      <c r="Y250" s="561" t="str">
        <f t="shared" si="126"/>
        <v/>
      </c>
      <c r="Z250" s="561" t="str">
        <f t="shared" si="126"/>
        <v/>
      </c>
      <c r="AA250" s="561" t="str">
        <f t="shared" si="126"/>
        <v/>
      </c>
      <c r="AB250" s="561" t="str">
        <f>IF(E250="","",OR(W250&lt;&gt;W237,X250&lt;&gt;X237,Z250&lt;&gt;Z237))</f>
        <v/>
      </c>
      <c r="AC250" s="567"/>
      <c r="AD250" s="561" t="str">
        <f t="shared" si="139"/>
        <v/>
      </c>
      <c r="AE250" s="561" t="str">
        <f t="shared" si="132"/>
        <v>n.a.</v>
      </c>
      <c r="AF250" s="561" t="str">
        <f t="shared" si="133"/>
        <v>n.a.</v>
      </c>
      <c r="AG250" s="561" t="str">
        <f t="shared" si="134"/>
        <v>n.a.</v>
      </c>
      <c r="AH250" s="561" t="b">
        <f t="shared" si="135"/>
        <v>0</v>
      </c>
      <c r="AI250" s="561" t="b">
        <f t="shared" si="136"/>
        <v>0</v>
      </c>
      <c r="AJ250" s="582" t="str">
        <f t="shared" si="137"/>
        <v/>
      </c>
      <c r="AK250" s="582" t="str">
        <f t="shared" si="138"/>
        <v/>
      </c>
      <c r="AL250" s="582" t="str">
        <f t="shared" si="129"/>
        <v/>
      </c>
    </row>
    <row r="251" spans="2:38" ht="12.75" customHeight="1" x14ac:dyDescent="0.25">
      <c r="B251" s="132"/>
      <c r="C251" s="132"/>
      <c r="D251" s="1388" t="str">
        <f>Translations!$B$643</f>
        <v>Customised components</v>
      </c>
      <c r="E251" s="42"/>
      <c r="F251" s="45"/>
      <c r="G251" s="49"/>
      <c r="H251" s="49"/>
      <c r="I251" s="46"/>
      <c r="J251" s="640" t="str">
        <f t="shared" si="123"/>
        <v/>
      </c>
      <c r="K251" s="640" t="str">
        <f t="shared" si="124"/>
        <v/>
      </c>
      <c r="L251" s="640" t="str">
        <f t="shared" si="125"/>
        <v/>
      </c>
      <c r="M251" s="1395"/>
      <c r="N251" s="116"/>
      <c r="O251" s="116"/>
      <c r="P251" s="656" t="str">
        <f>Translations!$B$644</f>
        <v>CO2 fossil (before scope factor):</v>
      </c>
      <c r="Q251" s="997" t="str">
        <f>IF(K256="","",K256)</f>
        <v/>
      </c>
      <c r="R251" s="656"/>
      <c r="S251" s="997" t="str">
        <f>IF(P242="","",IF(W251=0,0,SUMIFS(C_FuelStreams!CE:CE,C_FuelStreams!BI:BI,P242)/W251))</f>
        <v/>
      </c>
      <c r="T251" s="142"/>
      <c r="U251" s="115"/>
      <c r="V251" s="110" t="str">
        <f>Translations!$B$398</f>
        <v>Scope factor:</v>
      </c>
      <c r="W251" s="617" t="str">
        <f>IF(P242="","",SUMIFS(C_FuelStreams!BP:BP,C_FuelStreams!BI:BI,P242))</f>
        <v/>
      </c>
      <c r="AD251" s="561" t="str">
        <f t="shared" si="139"/>
        <v/>
      </c>
      <c r="AE251" s="561" t="str">
        <f t="shared" si="132"/>
        <v>n.a.</v>
      </c>
      <c r="AF251" s="561" t="str">
        <f t="shared" si="133"/>
        <v>n.a.</v>
      </c>
      <c r="AG251" s="561" t="str">
        <f t="shared" si="134"/>
        <v>n.a.</v>
      </c>
      <c r="AH251" s="561" t="b">
        <f t="shared" si="135"/>
        <v>0</v>
      </c>
      <c r="AI251" s="561" t="b">
        <f t="shared" si="136"/>
        <v>0</v>
      </c>
      <c r="AJ251" s="582" t="str">
        <f t="shared" si="137"/>
        <v/>
      </c>
      <c r="AK251" s="582" t="str">
        <f t="shared" si="138"/>
        <v/>
      </c>
      <c r="AL251" s="582" t="str">
        <f t="shared" si="129"/>
        <v/>
      </c>
    </row>
    <row r="252" spans="2:38" ht="12.75" customHeight="1" x14ac:dyDescent="0.25">
      <c r="B252" s="132"/>
      <c r="C252" s="132"/>
      <c r="D252" s="1388"/>
      <c r="E252" s="43"/>
      <c r="F252" s="47"/>
      <c r="G252" s="50"/>
      <c r="H252" s="50"/>
      <c r="I252" s="48"/>
      <c r="J252" s="642" t="str">
        <f t="shared" si="123"/>
        <v/>
      </c>
      <c r="K252" s="642" t="str">
        <f t="shared" si="124"/>
        <v/>
      </c>
      <c r="L252" s="642" t="str">
        <f t="shared" si="125"/>
        <v/>
      </c>
      <c r="M252" s="1395"/>
      <c r="N252" s="116"/>
      <c r="O252" s="116"/>
      <c r="P252" s="116"/>
      <c r="Q252" s="116"/>
      <c r="R252" s="116"/>
      <c r="S252" s="132"/>
      <c r="T252" s="142"/>
      <c r="U252" s="115"/>
      <c r="AD252" s="561" t="str">
        <f t="shared" si="139"/>
        <v/>
      </c>
      <c r="AE252" s="561" t="str">
        <f t="shared" si="132"/>
        <v>n.a.</v>
      </c>
      <c r="AF252" s="561" t="str">
        <f t="shared" si="133"/>
        <v>n.a.</v>
      </c>
      <c r="AG252" s="561" t="str">
        <f t="shared" si="134"/>
        <v>n.a.</v>
      </c>
      <c r="AH252" s="561" t="b">
        <f t="shared" si="135"/>
        <v>0</v>
      </c>
      <c r="AI252" s="561" t="b">
        <f t="shared" si="136"/>
        <v>0</v>
      </c>
      <c r="AJ252" s="582" t="str">
        <f t="shared" si="137"/>
        <v/>
      </c>
      <c r="AK252" s="582" t="str">
        <f t="shared" si="138"/>
        <v/>
      </c>
      <c r="AL252" s="582" t="str">
        <f t="shared" si="129"/>
        <v/>
      </c>
    </row>
    <row r="253" spans="2:38" ht="12.75" customHeight="1" x14ac:dyDescent="0.25">
      <c r="B253" s="132"/>
      <c r="C253" s="132"/>
      <c r="D253" s="1388"/>
      <c r="E253" s="43"/>
      <c r="F253" s="47"/>
      <c r="G253" s="50"/>
      <c r="H253" s="50"/>
      <c r="I253" s="48"/>
      <c r="J253" s="642" t="str">
        <f t="shared" si="123"/>
        <v/>
      </c>
      <c r="K253" s="642" t="str">
        <f t="shared" si="124"/>
        <v/>
      </c>
      <c r="L253" s="642" t="str">
        <f t="shared" si="125"/>
        <v/>
      </c>
      <c r="M253" s="1395"/>
      <c r="N253" s="116"/>
      <c r="O253" s="116"/>
      <c r="P253" s="116"/>
      <c r="Q253" s="116"/>
      <c r="R253" s="116"/>
      <c r="S253" s="132"/>
      <c r="T253" s="142"/>
      <c r="U253" s="115"/>
      <c r="AD253" s="561" t="str">
        <f t="shared" si="139"/>
        <v/>
      </c>
      <c r="AE253" s="561" t="str">
        <f t="shared" si="132"/>
        <v>n.a.</v>
      </c>
      <c r="AF253" s="561" t="str">
        <f t="shared" si="133"/>
        <v>n.a.</v>
      </c>
      <c r="AG253" s="561" t="str">
        <f t="shared" si="134"/>
        <v>n.a.</v>
      </c>
      <c r="AH253" s="561" t="b">
        <f t="shared" si="135"/>
        <v>0</v>
      </c>
      <c r="AI253" s="561" t="b">
        <f t="shared" si="136"/>
        <v>0</v>
      </c>
      <c r="AJ253" s="582" t="str">
        <f t="shared" si="137"/>
        <v/>
      </c>
      <c r="AK253" s="582" t="str">
        <f t="shared" si="138"/>
        <v/>
      </c>
      <c r="AL253" s="582" t="str">
        <f t="shared" si="129"/>
        <v/>
      </c>
    </row>
    <row r="254" spans="2:38" ht="12.75" customHeight="1" x14ac:dyDescent="0.25">
      <c r="B254" s="132"/>
      <c r="C254" s="132"/>
      <c r="D254" s="1388"/>
      <c r="E254" s="43"/>
      <c r="F254" s="47"/>
      <c r="G254" s="50"/>
      <c r="H254" s="50"/>
      <c r="I254" s="48"/>
      <c r="J254" s="642" t="str">
        <f t="shared" si="123"/>
        <v/>
      </c>
      <c r="K254" s="642" t="str">
        <f t="shared" si="124"/>
        <v/>
      </c>
      <c r="L254" s="642" t="str">
        <f t="shared" si="125"/>
        <v/>
      </c>
      <c r="M254" s="1395"/>
      <c r="N254" s="116"/>
      <c r="O254" s="116"/>
      <c r="P254" s="116"/>
      <c r="Q254" s="116"/>
      <c r="R254" s="116"/>
      <c r="S254" s="132"/>
      <c r="T254" s="142"/>
      <c r="U254" s="115"/>
      <c r="AD254" s="561" t="str">
        <f t="shared" si="139"/>
        <v/>
      </c>
      <c r="AE254" s="561" t="str">
        <f t="shared" si="132"/>
        <v>n.a.</v>
      </c>
      <c r="AF254" s="561" t="str">
        <f t="shared" si="133"/>
        <v>n.a.</v>
      </c>
      <c r="AG254" s="561" t="str">
        <f t="shared" si="134"/>
        <v>n.a.</v>
      </c>
      <c r="AH254" s="561" t="b">
        <f t="shared" si="135"/>
        <v>0</v>
      </c>
      <c r="AI254" s="561" t="b">
        <f t="shared" si="136"/>
        <v>0</v>
      </c>
      <c r="AJ254" s="582" t="str">
        <f t="shared" si="137"/>
        <v/>
      </c>
      <c r="AK254" s="582" t="str">
        <f t="shared" si="138"/>
        <v/>
      </c>
      <c r="AL254" s="582" t="str">
        <f t="shared" si="129"/>
        <v/>
      </c>
    </row>
    <row r="255" spans="2:38" ht="12.75" customHeight="1" x14ac:dyDescent="0.25">
      <c r="B255" s="132"/>
      <c r="C255" s="132"/>
      <c r="D255" s="1388"/>
      <c r="E255" s="44"/>
      <c r="F255" s="51"/>
      <c r="G255" s="52"/>
      <c r="H255" s="52"/>
      <c r="I255" s="53"/>
      <c r="J255" s="657" t="str">
        <f t="shared" si="123"/>
        <v/>
      </c>
      <c r="K255" s="657" t="str">
        <f t="shared" si="124"/>
        <v/>
      </c>
      <c r="L255" s="657" t="str">
        <f t="shared" si="125"/>
        <v/>
      </c>
      <c r="M255" s="1395"/>
      <c r="N255" s="116"/>
      <c r="O255" s="116"/>
      <c r="P255" s="116"/>
      <c r="Q255" s="116"/>
      <c r="R255" s="116"/>
      <c r="S255" s="132"/>
      <c r="T255" s="142"/>
      <c r="U255" s="115"/>
      <c r="AD255" s="561" t="str">
        <f t="shared" si="139"/>
        <v/>
      </c>
      <c r="AE255" s="561" t="str">
        <f t="shared" si="132"/>
        <v>n.a.</v>
      </c>
      <c r="AF255" s="561" t="str">
        <f t="shared" si="133"/>
        <v>n.a.</v>
      </c>
      <c r="AG255" s="561" t="str">
        <f t="shared" si="134"/>
        <v>n.a.</v>
      </c>
      <c r="AH255" s="561" t="b">
        <f t="shared" si="135"/>
        <v>0</v>
      </c>
      <c r="AI255" s="561" t="b">
        <f t="shared" si="136"/>
        <v>0</v>
      </c>
      <c r="AJ255" s="582" t="str">
        <f t="shared" si="137"/>
        <v/>
      </c>
      <c r="AK255" s="582" t="str">
        <f t="shared" si="138"/>
        <v/>
      </c>
      <c r="AL255" s="582" t="str">
        <f t="shared" si="129"/>
        <v/>
      </c>
    </row>
    <row r="256" spans="2:38" ht="12.75" customHeight="1" x14ac:dyDescent="0.25">
      <c r="B256" s="132"/>
      <c r="C256" s="132"/>
      <c r="D256" s="132"/>
      <c r="E256" s="658" t="str">
        <f>Translations!$B$645</f>
        <v>TOTALS</v>
      </c>
      <c r="F256" s="659" t="str">
        <f>IF(SUM(F241:F255)=0,"",SUM(F241:F255))</f>
        <v/>
      </c>
      <c r="G256" s="660" t="str">
        <f>IF(SUM(F256)=0,"",J256/F256)</f>
        <v/>
      </c>
      <c r="H256" s="660" t="str">
        <f>IF(SUM(J256)=0,"",SUM(K256:L256)/IF(AF241&lt;&gt;EUconst_NA,F256,J256)/IF(AG241=EUconst_NA,1,AG241))</f>
        <v/>
      </c>
      <c r="I256" s="661" t="str">
        <f>IF(SUM(K256:L256)=0,"",L256/SUM(K256:L256))</f>
        <v/>
      </c>
      <c r="J256" s="659" t="str">
        <f>IF(COUNTA(E241:E255)=0,"",IFERROR(SUM(J241:J255),EUconst_ERR_Inconsistent))</f>
        <v/>
      </c>
      <c r="K256" s="659" t="str">
        <f>IF(COUNTA(E241:E255)=0,"",IFERROR(SUM(K241:K255),EUconst_ERR_Inconsistent))</f>
        <v/>
      </c>
      <c r="L256" s="659" t="str">
        <f>IF(COUNTA(E241:E255)=0,"",IFERROR(SUM(L241:L255),EUconst_ERR_Inconsistent))</f>
        <v/>
      </c>
      <c r="M256" s="1395"/>
      <c r="N256" s="116"/>
      <c r="O256" s="116"/>
      <c r="P256" s="116"/>
      <c r="Q256" s="116"/>
      <c r="R256" s="116"/>
      <c r="S256" s="132"/>
      <c r="T256" s="142"/>
      <c r="U256" s="115"/>
    </row>
    <row r="257" spans="1:38" ht="12.75" customHeight="1" x14ac:dyDescent="0.25">
      <c r="B257" s="132"/>
      <c r="C257" s="132"/>
      <c r="D257" s="132"/>
      <c r="E257" s="191"/>
      <c r="F257" s="116"/>
      <c r="G257" s="116"/>
      <c r="H257" s="116"/>
      <c r="I257" s="116"/>
      <c r="J257" s="116"/>
      <c r="K257" s="116"/>
      <c r="L257" s="116"/>
      <c r="M257" s="116"/>
      <c r="N257" s="116"/>
      <c r="O257" s="116"/>
      <c r="P257" s="116"/>
      <c r="Q257" s="116"/>
      <c r="R257" s="116"/>
      <c r="S257" s="132"/>
      <c r="T257" s="142"/>
      <c r="U257" s="115"/>
    </row>
    <row r="258" spans="1:38" s="69" customFormat="1" ht="18.75" customHeight="1" x14ac:dyDescent="0.25">
      <c r="A258" s="167">
        <f>C258</f>
        <v>11</v>
      </c>
      <c r="B258" s="76"/>
      <c r="C258" s="216">
        <f>C235+1</f>
        <v>11</v>
      </c>
      <c r="D258" s="1195" t="str">
        <f>"Tool " &amp;C258-2</f>
        <v>Tool 9</v>
      </c>
      <c r="E258" s="1195"/>
      <c r="F258" s="1195"/>
      <c r="G258" s="1195"/>
      <c r="H258" s="1195"/>
      <c r="I258" s="1195"/>
      <c r="J258" s="1195"/>
      <c r="K258" s="1195"/>
      <c r="L258" s="1195"/>
      <c r="M258" s="1195"/>
      <c r="N258" s="1195"/>
      <c r="O258" s="1195"/>
      <c r="P258" s="1195"/>
      <c r="Q258" s="1195"/>
      <c r="R258" s="1195"/>
      <c r="S258" s="1195"/>
      <c r="T258" s="142"/>
      <c r="U258" s="115"/>
      <c r="V258" s="464" t="str">
        <f>D258</f>
        <v>Tool 9</v>
      </c>
      <c r="W258" s="110"/>
      <c r="X258" s="110"/>
      <c r="Y258" s="110"/>
      <c r="Z258" s="110"/>
      <c r="AA258" s="109"/>
      <c r="AB258" s="109"/>
      <c r="AC258" s="109"/>
      <c r="AD258" s="109"/>
      <c r="AE258" s="109"/>
      <c r="AF258" s="109"/>
      <c r="AG258" s="109"/>
      <c r="AH258" s="109"/>
      <c r="AI258" s="109"/>
      <c r="AJ258" s="109"/>
      <c r="AK258" s="109"/>
      <c r="AL258" s="109"/>
    </row>
    <row r="259" spans="1:38" ht="12.75" customHeight="1" x14ac:dyDescent="0.25">
      <c r="B259" s="132"/>
      <c r="C259" s="132"/>
      <c r="D259" s="132"/>
      <c r="E259" s="191"/>
      <c r="F259" s="116"/>
      <c r="G259" s="116"/>
      <c r="H259" s="116"/>
      <c r="I259" s="116"/>
      <c r="J259" s="116"/>
      <c r="K259" s="116"/>
      <c r="L259" s="116"/>
      <c r="M259" s="116"/>
      <c r="N259" s="116"/>
      <c r="O259" s="116"/>
      <c r="P259" s="116"/>
      <c r="Q259" s="116"/>
      <c r="R259" s="116"/>
      <c r="S259" s="132"/>
      <c r="T259" s="142"/>
      <c r="U259" s="115"/>
    </row>
    <row r="260" spans="1:38" ht="12.75" customHeight="1" x14ac:dyDescent="0.25">
      <c r="B260" s="132"/>
      <c r="C260" s="132"/>
      <c r="D260" s="1377" t="str">
        <f>Translations!$B$631</f>
        <v>Component</v>
      </c>
      <c r="E260" s="1378"/>
      <c r="F260" s="633">
        <v>1</v>
      </c>
      <c r="G260" s="633">
        <v>2</v>
      </c>
      <c r="H260" s="633">
        <v>3</v>
      </c>
      <c r="I260" s="633">
        <v>4</v>
      </c>
      <c r="J260" s="633">
        <v>5</v>
      </c>
      <c r="K260" s="633">
        <v>6</v>
      </c>
      <c r="L260" s="633">
        <v>7</v>
      </c>
      <c r="M260" s="116"/>
      <c r="N260" s="116"/>
      <c r="O260" s="116"/>
      <c r="P260" s="116"/>
      <c r="Q260" s="116"/>
      <c r="R260" s="116"/>
      <c r="S260" s="132"/>
      <c r="T260" s="142"/>
      <c r="U260" s="115"/>
      <c r="V260" s="566" t="str">
        <f>Translations!$B$498</f>
        <v>Units:</v>
      </c>
      <c r="W260" s="561" t="str" cm="1">
        <f t="array" ref="W260">IFERROR(INDEX(_xlfn._xlws.FILTER(W264:W273,(W264:W273)&lt;&gt;"",""),1),W261)</f>
        <v/>
      </c>
      <c r="X260" s="561" t="str" cm="1">
        <f t="array" ref="X260">IFERROR(INDEX(_xlfn._xlws.FILTER(X264:X273,(X264:X273)&lt;&gt;"",""),1),X261)</f>
        <v/>
      </c>
      <c r="Y260" s="567"/>
      <c r="Z260" s="561" t="str" cm="1">
        <f t="array" ref="Z260">IFERROR(INDEX(_xlfn._xlws.FILTER(Z264:Z273,(Z264:Z273)&lt;&gt;"",""),1),Z261)</f>
        <v/>
      </c>
      <c r="AA260" s="567"/>
    </row>
    <row r="261" spans="1:38" ht="12.75" customHeight="1" x14ac:dyDescent="0.25">
      <c r="B261" s="132"/>
      <c r="C261" s="132"/>
      <c r="D261" s="1379"/>
      <c r="E261" s="1380"/>
      <c r="F261" s="1383" t="str">
        <f>Translations!$B$377</f>
        <v>RFA</v>
      </c>
      <c r="G261" s="1383" t="str">
        <f>Translations!$B$386</f>
        <v>UCF</v>
      </c>
      <c r="H261" s="1383" t="str">
        <f>Translations!$B$383</f>
        <v>EF</v>
      </c>
      <c r="I261" s="1383" t="str">
        <f>Translations!$B$632</f>
        <v>Zero-rated F</v>
      </c>
      <c r="J261" s="1385" t="str">
        <f>Translations!$B$652</f>
        <v>Energy or other</v>
      </c>
      <c r="K261" s="1385" t="str">
        <f>Translations!$B$522</f>
        <v>Emissions (fossil)</v>
      </c>
      <c r="L261" s="1385" t="str">
        <f>Translations!$B$634</f>
        <v>Emissions (bio)</v>
      </c>
      <c r="M261" s="116"/>
      <c r="N261" s="116"/>
      <c r="O261" s="116"/>
      <c r="P261" s="116"/>
      <c r="Q261" s="116"/>
      <c r="R261" s="116"/>
      <c r="S261" s="132"/>
      <c r="T261" s="142"/>
      <c r="U261" s="115"/>
      <c r="W261" s="561" t="str">
        <f t="array" ref="W261">IFERROR(INDEX(W264:W273,MATCH(TRUE,(W264:W273)&lt;&gt;"",0)),"")</f>
        <v/>
      </c>
      <c r="X261" s="561" t="str">
        <f t="array" ref="X261">IFERROR(INDEX(X264:X273,MATCH(TRUE,(X264:X273)&lt;&gt;"",0)),"")</f>
        <v/>
      </c>
      <c r="Y261" s="567"/>
      <c r="Z261" s="561" t="str">
        <f t="array" ref="Z261">IFERROR(INDEX(Z264:Z273,MATCH(TRUE,(Z264:Z273)&lt;&gt;"",0)),"")</f>
        <v/>
      </c>
      <c r="AA261" s="567"/>
    </row>
    <row r="262" spans="1:38" ht="12.75" customHeight="1" x14ac:dyDescent="0.3">
      <c r="B262" s="132"/>
      <c r="C262" s="132"/>
      <c r="D262" s="1379"/>
      <c r="E262" s="1380"/>
      <c r="F262" s="1384"/>
      <c r="G262" s="1384"/>
      <c r="H262" s="1384"/>
      <c r="I262" s="1384"/>
      <c r="J262" s="1386"/>
      <c r="K262" s="1386"/>
      <c r="L262" s="1386"/>
      <c r="M262" s="116"/>
      <c r="N262" s="634" t="str">
        <f>Translations!$B$635</f>
        <v>Result to be entered in sheet C</v>
      </c>
      <c r="O262" s="116"/>
      <c r="P262" s="116"/>
      <c r="Q262" s="116"/>
      <c r="R262" s="116"/>
      <c r="S262" s="132"/>
      <c r="T262" s="142"/>
      <c r="U262" s="115"/>
      <c r="W262" s="569" t="str">
        <f>Translations!$B$377</f>
        <v>RFA</v>
      </c>
      <c r="X262" s="569" t="str">
        <f>Translations!$B$386</f>
        <v>UCF</v>
      </c>
      <c r="Y262" s="569"/>
      <c r="Z262" s="569" t="str">
        <f>Translations!$B$383</f>
        <v>EF</v>
      </c>
      <c r="AA262" s="569"/>
      <c r="AB262" s="570"/>
      <c r="AC262" s="570"/>
      <c r="AH262" s="570"/>
      <c r="AI262" s="570"/>
      <c r="AJ262" s="570"/>
    </row>
    <row r="263" spans="1:38" ht="12.75" customHeight="1" x14ac:dyDescent="0.3">
      <c r="B263" s="132"/>
      <c r="C263" s="132"/>
      <c r="D263" s="1381"/>
      <c r="E263" s="1382"/>
      <c r="F263" s="635" t="str">
        <f>IF(COUNTA($E264:$E278)=0,"",$W260)</f>
        <v/>
      </c>
      <c r="G263" s="635" t="str">
        <f>IF(COUNTA($E264:$E278)=0,"",$X260)</f>
        <v/>
      </c>
      <c r="H263" s="635" t="str">
        <f>IF(COUNTA($E264:$E278)=0,"",$Z260)</f>
        <v/>
      </c>
      <c r="I263" s="636" t="s">
        <v>46</v>
      </c>
      <c r="J263" s="635" t="str">
        <f>IF(AE264=EUconst_NA,EUconst_GJ,AE264)</f>
        <v>GJ</v>
      </c>
      <c r="K263" s="637" t="s">
        <v>188</v>
      </c>
      <c r="L263" s="637" t="s">
        <v>188</v>
      </c>
      <c r="M263" s="116"/>
      <c r="N263" s="1387" t="str">
        <f>Translations!$B$636</f>
        <v>The results of this tool are the relevant (weighted average) values below. Each value has to be entered manually in sheet C for the respective fuel stream. Select fuel stream below for comparison.</v>
      </c>
      <c r="O263" s="1387"/>
      <c r="P263" s="1387"/>
      <c r="Q263" s="1387"/>
      <c r="R263" s="1387"/>
      <c r="S263" s="1387"/>
      <c r="T263" s="142"/>
      <c r="U263" s="115"/>
      <c r="W263" s="569" t="str">
        <f>EUconst_CNTR_ActivityData&amp;EUconst_Unit</f>
        <v>ActivityData_Unit</v>
      </c>
      <c r="X263" s="569" t="str">
        <f>EUconst_CNTR_UCF&amp;EUconst_Unit</f>
        <v>UCF_Unit</v>
      </c>
      <c r="Y263" s="569" t="str">
        <f>EUconst_CNTR_UCF&amp;EUconst_Value</f>
        <v>UCF_Value</v>
      </c>
      <c r="Z263" s="569" t="str">
        <f>EUconst_CNTR_EF&amp;EUconst_Unit</f>
        <v>EF_Unit</v>
      </c>
      <c r="AA263" s="569" t="str">
        <f>EUconst_CNTR_EF&amp;EUconst_Value</f>
        <v>EF_Value</v>
      </c>
      <c r="AB263" s="569" t="s">
        <v>189</v>
      </c>
      <c r="AC263" s="575"/>
      <c r="AD263" s="576" t="s">
        <v>147</v>
      </c>
      <c r="AE263" s="576" t="s">
        <v>151</v>
      </c>
      <c r="AF263" s="576" t="s">
        <v>153</v>
      </c>
      <c r="AG263" s="576" t="s">
        <v>155</v>
      </c>
      <c r="AH263" s="575"/>
      <c r="AI263" s="575"/>
      <c r="AJ263" s="575" t="s">
        <v>190</v>
      </c>
      <c r="AK263" s="575" t="s">
        <v>191</v>
      </c>
      <c r="AL263" s="575" t="s">
        <v>192</v>
      </c>
    </row>
    <row r="264" spans="1:38" ht="12.75" customHeight="1" x14ac:dyDescent="0.25">
      <c r="B264" s="132"/>
      <c r="C264" s="132"/>
      <c r="D264" s="1388" t="str">
        <f>Translations!$B$637</f>
        <v>Default compontents provided by the CA</v>
      </c>
      <c r="E264" s="42"/>
      <c r="F264" s="45"/>
      <c r="G264" s="639" t="str">
        <f>IF($E264="","",Y264)</f>
        <v/>
      </c>
      <c r="H264" s="639" t="str">
        <f>IF($E264="","",AA264)</f>
        <v/>
      </c>
      <c r="I264" s="46"/>
      <c r="J264" s="640" t="str">
        <f t="shared" ref="J264:J278" si="140">IFERROR(IF(E264="","",AL264),EUconst_ERR_Inconsistent)</f>
        <v/>
      </c>
      <c r="K264" s="640" t="str">
        <f t="shared" ref="K264:K278" si="141">IFERROR(IF(E264="","",AJ264),EUconst_ERR_Inconsistent)</f>
        <v/>
      </c>
      <c r="L264" s="640" t="str">
        <f t="shared" ref="L264:L278" si="142">IFERROR(IF(E264="","",AK264),EUconst_ERR_Inconsistent)</f>
        <v/>
      </c>
      <c r="M264" s="1389"/>
      <c r="N264" s="1387"/>
      <c r="O264" s="1387"/>
      <c r="P264" s="1387"/>
      <c r="Q264" s="1387"/>
      <c r="R264" s="1387"/>
      <c r="S264" s="1387"/>
      <c r="T264" s="142"/>
      <c r="U264" s="115"/>
      <c r="W264" s="561" t="str">
        <f t="shared" ref="W264:AA273" si="143">IF($E264="","",INDEX(MSPara_CalcFactorsMatrix,MATCH($E264,MSPara_SourceStreamCategory,0),MATCH(W$20&amp;"_"&amp;2,MSPara_CalcFactors,0)))</f>
        <v/>
      </c>
      <c r="X264" s="561" t="str">
        <f t="shared" si="143"/>
        <v/>
      </c>
      <c r="Y264" s="561" t="str">
        <f t="shared" si="143"/>
        <v/>
      </c>
      <c r="Z264" s="561" t="str">
        <f t="shared" si="143"/>
        <v/>
      </c>
      <c r="AA264" s="561" t="str">
        <f t="shared" si="143"/>
        <v/>
      </c>
      <c r="AB264" s="561" t="str">
        <f>IF(E264="","",OR(W264&lt;&gt;W260,X264&lt;&gt;X260,Z264&lt;&gt;Z260))</f>
        <v/>
      </c>
      <c r="AC264" s="567"/>
      <c r="AD264" s="561" t="str">
        <f>W264</f>
        <v/>
      </c>
      <c r="AE264" s="561" t="str">
        <f>IF(X264="",EUconst_NA,IF(AD264=EUconst_TJ,EUconst_TJ,INDEX(EUwideConstants!$C$135:$G$139,MATCH(AD264,RFAUnits,0),MATCH(X264,UCFUnits,0))))</f>
        <v>n.a.</v>
      </c>
      <c r="AF264" s="561" t="str">
        <f>IF(COUNTIF(RFAUnits,AD264)=0,EUconst_NA,INDEX(EUwideConstants!$C$150:$H$154,MATCH(Z264,EFUnits,0),MATCH(AD264,EUwideConstants!$C$149:$H$149,0)))</f>
        <v>n.a.</v>
      </c>
      <c r="AG264" s="561" t="str">
        <f>IF(AE264=EUconst_NA,EUconst_NA,INDEX(EUwideConstants!$C$150:$H$154,MATCH(Z264,EFUnits,0),MATCH(AE264,EUwideConstants!$C$149:$H$149,0)))</f>
        <v>n.a.</v>
      </c>
      <c r="AH264" s="561" t="b">
        <f t="shared" ref="AH264" si="144">AF264&lt;&gt;EUconst_NA</f>
        <v>0</v>
      </c>
      <c r="AI264" s="561" t="b">
        <f t="shared" ref="AI264" si="145">AG264&lt;&gt;EUconst_NA</f>
        <v>0</v>
      </c>
      <c r="AJ264" s="582" t="str">
        <f>IF(OR(E264="",COUNTIF(AH264:AI264,TRUE)=0),"",F264*IF(AH264,1,G264*AG264)*H264*(1-I264))</f>
        <v/>
      </c>
      <c r="AK264" s="582" t="str">
        <f>IF(OR(E264="",COUNTIF(AH264:AI264,TRUE)=0),"",F264*IF(AH264,1,G264*AG264)*H264*I264)</f>
        <v/>
      </c>
      <c r="AL264" s="582" t="str">
        <f t="shared" ref="AL264:AL278" si="146">IF(E264="","",IF(W264=EUconst_TJ,F264,F264*G264))</f>
        <v/>
      </c>
    </row>
    <row r="265" spans="1:38" ht="12.75" customHeight="1" x14ac:dyDescent="0.25">
      <c r="B265" s="132"/>
      <c r="C265" s="132"/>
      <c r="D265" s="1388"/>
      <c r="E265" s="43"/>
      <c r="F265" s="47"/>
      <c r="G265" s="641" t="str">
        <f t="shared" ref="G265:G273" si="147">IF($E265="","",Y265)</f>
        <v/>
      </c>
      <c r="H265" s="641" t="str">
        <f t="shared" ref="H265:H273" si="148">IF($E265="","",AA265)</f>
        <v/>
      </c>
      <c r="I265" s="48"/>
      <c r="J265" s="642" t="str">
        <f t="shared" si="140"/>
        <v/>
      </c>
      <c r="K265" s="642" t="str">
        <f t="shared" si="141"/>
        <v/>
      </c>
      <c r="L265" s="642" t="str">
        <f t="shared" si="142"/>
        <v/>
      </c>
      <c r="M265" s="1389"/>
      <c r="N265" s="638"/>
      <c r="O265" s="643" t="str">
        <f>Translations!$B$639</f>
        <v>Fuel stream:</v>
      </c>
      <c r="P265" s="1390"/>
      <c r="Q265" s="1391"/>
      <c r="R265" s="1391"/>
      <c r="S265" s="1392"/>
      <c r="T265" s="142"/>
      <c r="U265" s="115"/>
      <c r="W265" s="561" t="str">
        <f t="shared" si="143"/>
        <v/>
      </c>
      <c r="X265" s="561" t="str">
        <f t="shared" si="143"/>
        <v/>
      </c>
      <c r="Y265" s="561" t="str">
        <f t="shared" si="143"/>
        <v/>
      </c>
      <c r="Z265" s="561" t="str">
        <f t="shared" si="143"/>
        <v/>
      </c>
      <c r="AA265" s="561" t="str">
        <f t="shared" si="143"/>
        <v/>
      </c>
      <c r="AB265" s="561" t="str">
        <f>IF(E265="","",OR(W265&lt;&gt;W260,X265&lt;&gt;X260,Z265&lt;&gt;Z260))</f>
        <v/>
      </c>
      <c r="AC265" s="567"/>
      <c r="AD265" s="561" t="str">
        <f>AD264</f>
        <v/>
      </c>
      <c r="AE265" s="561" t="str">
        <f t="shared" ref="AE265:AE278" si="149">AE264</f>
        <v>n.a.</v>
      </c>
      <c r="AF265" s="561" t="str">
        <f t="shared" ref="AF265:AF278" si="150">AF264</f>
        <v>n.a.</v>
      </c>
      <c r="AG265" s="561" t="str">
        <f t="shared" ref="AG265:AG278" si="151">AG264</f>
        <v>n.a.</v>
      </c>
      <c r="AH265" s="561" t="b">
        <f t="shared" ref="AH265:AH278" si="152">AH264</f>
        <v>0</v>
      </c>
      <c r="AI265" s="561" t="b">
        <f t="shared" ref="AI265:AI278" si="153">AI264</f>
        <v>0</v>
      </c>
      <c r="AJ265" s="582" t="str">
        <f t="shared" ref="AJ265:AJ278" si="154">IF(OR(E265="",COUNTIF(AH265:AI265,TRUE)=0),"",F265*IF(AH265,1,G265*AG265)*H265*(1-I265))</f>
        <v/>
      </c>
      <c r="AK265" s="582" t="str">
        <f t="shared" ref="AK265:AK278" si="155">IF(OR(E265="",COUNTIF(AH265:AI265,TRUE)=0),"",F265*IF(AH265,1,G265*AG265)*H265*I265)</f>
        <v/>
      </c>
      <c r="AL265" s="582" t="str">
        <f t="shared" si="146"/>
        <v/>
      </c>
    </row>
    <row r="266" spans="1:38" ht="12.75" customHeight="1" x14ac:dyDescent="0.25">
      <c r="B266" s="132"/>
      <c r="C266" s="132"/>
      <c r="D266" s="1388"/>
      <c r="E266" s="43"/>
      <c r="F266" s="47"/>
      <c r="G266" s="641" t="str">
        <f t="shared" si="147"/>
        <v/>
      </c>
      <c r="H266" s="641" t="str">
        <f t="shared" si="148"/>
        <v/>
      </c>
      <c r="I266" s="48"/>
      <c r="J266" s="642" t="str">
        <f t="shared" si="140"/>
        <v/>
      </c>
      <c r="K266" s="642" t="str">
        <f t="shared" si="141"/>
        <v/>
      </c>
      <c r="L266" s="642" t="str">
        <f t="shared" si="142"/>
        <v/>
      </c>
      <c r="M266" s="1389"/>
      <c r="N266" s="116"/>
      <c r="O266" s="116"/>
      <c r="P266" s="116"/>
      <c r="Q266" s="116"/>
      <c r="R266" s="116"/>
      <c r="S266" s="132"/>
      <c r="T266" s="142"/>
      <c r="U266" s="115"/>
      <c r="W266" s="561" t="str">
        <f t="shared" si="143"/>
        <v/>
      </c>
      <c r="X266" s="561" t="str">
        <f t="shared" si="143"/>
        <v/>
      </c>
      <c r="Y266" s="561" t="str">
        <f t="shared" si="143"/>
        <v/>
      </c>
      <c r="Z266" s="561" t="str">
        <f t="shared" si="143"/>
        <v/>
      </c>
      <c r="AA266" s="561" t="str">
        <f t="shared" si="143"/>
        <v/>
      </c>
      <c r="AB266" s="561" t="str">
        <f>IF(E266="","",OR(W266&lt;&gt;W260,X266&lt;&gt;X260,Z266&lt;&gt;Z260))</f>
        <v/>
      </c>
      <c r="AC266" s="567"/>
      <c r="AD266" s="561" t="str">
        <f t="shared" ref="AD266:AD278" si="156">AD265</f>
        <v/>
      </c>
      <c r="AE266" s="561" t="str">
        <f t="shared" si="149"/>
        <v>n.a.</v>
      </c>
      <c r="AF266" s="561" t="str">
        <f t="shared" si="150"/>
        <v>n.a.</v>
      </c>
      <c r="AG266" s="561" t="str">
        <f t="shared" si="151"/>
        <v>n.a.</v>
      </c>
      <c r="AH266" s="561" t="b">
        <f t="shared" si="152"/>
        <v>0</v>
      </c>
      <c r="AI266" s="561" t="b">
        <f t="shared" si="153"/>
        <v>0</v>
      </c>
      <c r="AJ266" s="582" t="str">
        <f t="shared" si="154"/>
        <v/>
      </c>
      <c r="AK266" s="582" t="str">
        <f t="shared" si="155"/>
        <v/>
      </c>
      <c r="AL266" s="582" t="str">
        <f t="shared" si="146"/>
        <v/>
      </c>
    </row>
    <row r="267" spans="1:38" ht="12.75" customHeight="1" thickBot="1" x14ac:dyDescent="0.35">
      <c r="B267" s="132"/>
      <c r="C267" s="132"/>
      <c r="D267" s="1388"/>
      <c r="E267" s="43"/>
      <c r="F267" s="47"/>
      <c r="G267" s="641" t="str">
        <f t="shared" si="147"/>
        <v/>
      </c>
      <c r="H267" s="641" t="str">
        <f t="shared" si="148"/>
        <v/>
      </c>
      <c r="I267" s="48"/>
      <c r="J267" s="642" t="str">
        <f t="shared" si="140"/>
        <v/>
      </c>
      <c r="K267" s="642" t="str">
        <f t="shared" si="141"/>
        <v/>
      </c>
      <c r="L267" s="642" t="str">
        <f t="shared" si="142"/>
        <v/>
      </c>
      <c r="M267" s="1389"/>
      <c r="N267" s="1255" t="str">
        <f>Translations!$B$394</f>
        <v>Unit</v>
      </c>
      <c r="O267" s="1255"/>
      <c r="P267" s="1255" t="str">
        <f>Translations!$B$395</f>
        <v>Value</v>
      </c>
      <c r="Q267" s="1255"/>
      <c r="R267" s="116"/>
      <c r="S267" s="644" t="str">
        <f>Translations!$B$642</f>
        <v>Sheet C values</v>
      </c>
      <c r="T267" s="142"/>
      <c r="U267" s="115"/>
      <c r="W267" s="561" t="str">
        <f t="shared" si="143"/>
        <v/>
      </c>
      <c r="X267" s="561" t="str">
        <f t="shared" si="143"/>
        <v/>
      </c>
      <c r="Y267" s="561" t="str">
        <f t="shared" si="143"/>
        <v/>
      </c>
      <c r="Z267" s="561" t="str">
        <f t="shared" si="143"/>
        <v/>
      </c>
      <c r="AA267" s="561" t="str">
        <f t="shared" si="143"/>
        <v/>
      </c>
      <c r="AB267" s="561" t="str">
        <f>IF(E267="","",OR(W267&lt;&gt;W260,X267&lt;&gt;X260,Z267&lt;&gt;Z260))</f>
        <v/>
      </c>
      <c r="AC267" s="567"/>
      <c r="AD267" s="561" t="str">
        <f t="shared" si="156"/>
        <v/>
      </c>
      <c r="AE267" s="561" t="str">
        <f t="shared" si="149"/>
        <v>n.a.</v>
      </c>
      <c r="AF267" s="561" t="str">
        <f t="shared" si="150"/>
        <v>n.a.</v>
      </c>
      <c r="AG267" s="561" t="str">
        <f t="shared" si="151"/>
        <v>n.a.</v>
      </c>
      <c r="AH267" s="561" t="b">
        <f t="shared" si="152"/>
        <v>0</v>
      </c>
      <c r="AI267" s="561" t="b">
        <f t="shared" si="153"/>
        <v>0</v>
      </c>
      <c r="AJ267" s="582" t="str">
        <f t="shared" si="154"/>
        <v/>
      </c>
      <c r="AK267" s="582" t="str">
        <f t="shared" si="155"/>
        <v/>
      </c>
      <c r="AL267" s="582" t="str">
        <f t="shared" si="146"/>
        <v/>
      </c>
    </row>
    <row r="268" spans="1:38" ht="12.75" customHeight="1" thickBot="1" x14ac:dyDescent="0.3">
      <c r="B268" s="132"/>
      <c r="C268" s="132"/>
      <c r="D268" s="1388"/>
      <c r="E268" s="43"/>
      <c r="F268" s="47"/>
      <c r="G268" s="641" t="str">
        <f t="shared" si="147"/>
        <v/>
      </c>
      <c r="H268" s="641" t="str">
        <f t="shared" si="148"/>
        <v/>
      </c>
      <c r="I268" s="48"/>
      <c r="J268" s="642" t="str">
        <f t="shared" si="140"/>
        <v/>
      </c>
      <c r="K268" s="642" t="str">
        <f t="shared" si="141"/>
        <v/>
      </c>
      <c r="L268" s="642" t="str">
        <f t="shared" si="142"/>
        <v/>
      </c>
      <c r="M268" s="116"/>
      <c r="N268" s="346" t="str">
        <f>F263</f>
        <v/>
      </c>
      <c r="O268" s="7"/>
      <c r="P268" s="1393" t="str">
        <f>IF(F279="","",F279)</f>
        <v/>
      </c>
      <c r="Q268" s="1394"/>
      <c r="R268" s="116"/>
      <c r="S268" s="645" t="str">
        <f>IF(P265="","",SUMIFS(C_FuelStreams!BK:BK,C_FuelStreams!BI:BI,P265))</f>
        <v/>
      </c>
      <c r="T268" s="142"/>
      <c r="U268" s="115"/>
      <c r="W268" s="561" t="str">
        <f t="shared" si="143"/>
        <v/>
      </c>
      <c r="X268" s="561" t="str">
        <f t="shared" si="143"/>
        <v/>
      </c>
      <c r="Y268" s="561" t="str">
        <f t="shared" si="143"/>
        <v/>
      </c>
      <c r="Z268" s="561" t="str">
        <f t="shared" si="143"/>
        <v/>
      </c>
      <c r="AA268" s="561" t="str">
        <f t="shared" si="143"/>
        <v/>
      </c>
      <c r="AB268" s="561" t="str">
        <f>IF(E268="","",OR(W268&lt;&gt;W260,X268&lt;&gt;X260,Z268&lt;&gt;Z260))</f>
        <v/>
      </c>
      <c r="AC268" s="567"/>
      <c r="AD268" s="561" t="str">
        <f t="shared" si="156"/>
        <v/>
      </c>
      <c r="AE268" s="561" t="str">
        <f t="shared" si="149"/>
        <v>n.a.</v>
      </c>
      <c r="AF268" s="561" t="str">
        <f t="shared" si="150"/>
        <v>n.a.</v>
      </c>
      <c r="AG268" s="561" t="str">
        <f t="shared" si="151"/>
        <v>n.a.</v>
      </c>
      <c r="AH268" s="561" t="b">
        <f t="shared" si="152"/>
        <v>0</v>
      </c>
      <c r="AI268" s="561" t="b">
        <f t="shared" si="153"/>
        <v>0</v>
      </c>
      <c r="AJ268" s="582" t="str">
        <f t="shared" si="154"/>
        <v/>
      </c>
      <c r="AK268" s="582" t="str">
        <f t="shared" si="155"/>
        <v/>
      </c>
      <c r="AL268" s="582" t="str">
        <f t="shared" si="146"/>
        <v/>
      </c>
    </row>
    <row r="269" spans="1:38" ht="12.75" customHeight="1" thickBot="1" x14ac:dyDescent="0.3">
      <c r="B269" s="132"/>
      <c r="C269" s="132"/>
      <c r="D269" s="1388"/>
      <c r="E269" s="43"/>
      <c r="F269" s="47"/>
      <c r="G269" s="641" t="str">
        <f t="shared" si="147"/>
        <v/>
      </c>
      <c r="H269" s="641" t="str">
        <f t="shared" si="148"/>
        <v/>
      </c>
      <c r="I269" s="48"/>
      <c r="J269" s="642" t="str">
        <f t="shared" si="140"/>
        <v/>
      </c>
      <c r="K269" s="642" t="str">
        <f t="shared" si="141"/>
        <v/>
      </c>
      <c r="L269" s="642" t="str">
        <f t="shared" si="142"/>
        <v/>
      </c>
      <c r="M269" s="116"/>
      <c r="N269" s="162"/>
      <c r="O269" s="162"/>
      <c r="P269" s="76"/>
      <c r="Q269" s="76"/>
      <c r="R269" s="116"/>
      <c r="S269" s="996"/>
      <c r="T269" s="142"/>
      <c r="U269" s="115"/>
      <c r="W269" s="561" t="str">
        <f t="shared" si="143"/>
        <v/>
      </c>
      <c r="X269" s="561" t="str">
        <f t="shared" si="143"/>
        <v/>
      </c>
      <c r="Y269" s="561" t="str">
        <f t="shared" si="143"/>
        <v/>
      </c>
      <c r="Z269" s="561" t="str">
        <f t="shared" si="143"/>
        <v/>
      </c>
      <c r="AA269" s="561" t="str">
        <f t="shared" si="143"/>
        <v/>
      </c>
      <c r="AB269" s="561" t="str">
        <f>IF(E269="","",OR(W269&lt;&gt;W260,X269&lt;&gt;X260,Z269&lt;&gt;Z260))</f>
        <v/>
      </c>
      <c r="AC269" s="567"/>
      <c r="AD269" s="561" t="str">
        <f t="shared" si="156"/>
        <v/>
      </c>
      <c r="AE269" s="561" t="str">
        <f t="shared" si="149"/>
        <v>n.a.</v>
      </c>
      <c r="AF269" s="561" t="str">
        <f t="shared" si="150"/>
        <v>n.a.</v>
      </c>
      <c r="AG269" s="561" t="str">
        <f t="shared" si="151"/>
        <v>n.a.</v>
      </c>
      <c r="AH269" s="561" t="b">
        <f t="shared" si="152"/>
        <v>0</v>
      </c>
      <c r="AI269" s="561" t="b">
        <f t="shared" si="153"/>
        <v>0</v>
      </c>
      <c r="AJ269" s="582" t="str">
        <f t="shared" si="154"/>
        <v/>
      </c>
      <c r="AK269" s="582" t="str">
        <f t="shared" si="155"/>
        <v/>
      </c>
      <c r="AL269" s="582" t="str">
        <f t="shared" si="146"/>
        <v/>
      </c>
    </row>
    <row r="270" spans="1:38" ht="12.75" customHeight="1" x14ac:dyDescent="0.25">
      <c r="B270" s="132"/>
      <c r="C270" s="132"/>
      <c r="D270" s="1388"/>
      <c r="E270" s="43"/>
      <c r="F270" s="47"/>
      <c r="G270" s="641" t="str">
        <f t="shared" si="147"/>
        <v/>
      </c>
      <c r="H270" s="641" t="str">
        <f t="shared" si="148"/>
        <v/>
      </c>
      <c r="I270" s="48"/>
      <c r="J270" s="642" t="str">
        <f t="shared" si="140"/>
        <v/>
      </c>
      <c r="K270" s="642" t="str">
        <f t="shared" si="141"/>
        <v/>
      </c>
      <c r="L270" s="642" t="str">
        <f t="shared" si="142"/>
        <v/>
      </c>
      <c r="M270" s="116"/>
      <c r="N270" s="365" t="str">
        <f>G263</f>
        <v/>
      </c>
      <c r="O270" s="11"/>
      <c r="P270" s="366"/>
      <c r="Q270" s="646" t="str">
        <f>IF(G279="","",G279)</f>
        <v/>
      </c>
      <c r="R270" s="116"/>
      <c r="S270" s="647" t="str">
        <f>IF(P265="","",SUMIFS(C_FuelStreams!BU:BU,C_FuelStreams!BI:BI,P265))</f>
        <v/>
      </c>
      <c r="T270" s="142"/>
      <c r="U270" s="115"/>
      <c r="W270" s="561" t="str">
        <f t="shared" si="143"/>
        <v/>
      </c>
      <c r="X270" s="561" t="str">
        <f t="shared" si="143"/>
        <v/>
      </c>
      <c r="Y270" s="561" t="str">
        <f t="shared" si="143"/>
        <v/>
      </c>
      <c r="Z270" s="561" t="str">
        <f t="shared" si="143"/>
        <v/>
      </c>
      <c r="AA270" s="561" t="str">
        <f t="shared" si="143"/>
        <v/>
      </c>
      <c r="AB270" s="561" t="str">
        <f>IF(E270="","",OR(W270&lt;&gt;W260,X270&lt;&gt;X260,Z270&lt;&gt;Z260))</f>
        <v/>
      </c>
      <c r="AC270" s="567"/>
      <c r="AD270" s="561" t="str">
        <f t="shared" si="156"/>
        <v/>
      </c>
      <c r="AE270" s="561" t="str">
        <f t="shared" si="149"/>
        <v>n.a.</v>
      </c>
      <c r="AF270" s="561" t="str">
        <f t="shared" si="150"/>
        <v>n.a.</v>
      </c>
      <c r="AG270" s="561" t="str">
        <f t="shared" si="151"/>
        <v>n.a.</v>
      </c>
      <c r="AH270" s="561" t="b">
        <f t="shared" si="152"/>
        <v>0</v>
      </c>
      <c r="AI270" s="561" t="b">
        <f t="shared" si="153"/>
        <v>0</v>
      </c>
      <c r="AJ270" s="582" t="str">
        <f t="shared" si="154"/>
        <v/>
      </c>
      <c r="AK270" s="582" t="str">
        <f t="shared" si="155"/>
        <v/>
      </c>
      <c r="AL270" s="582" t="str">
        <f t="shared" si="146"/>
        <v/>
      </c>
    </row>
    <row r="271" spans="1:38" ht="12.75" customHeight="1" thickBot="1" x14ac:dyDescent="0.3">
      <c r="B271" s="132"/>
      <c r="C271" s="132"/>
      <c r="D271" s="1388"/>
      <c r="E271" s="43"/>
      <c r="F271" s="47"/>
      <c r="G271" s="641" t="str">
        <f t="shared" si="147"/>
        <v/>
      </c>
      <c r="H271" s="641" t="str">
        <f t="shared" si="148"/>
        <v/>
      </c>
      <c r="I271" s="48"/>
      <c r="J271" s="642" t="str">
        <f t="shared" si="140"/>
        <v/>
      </c>
      <c r="K271" s="642" t="str">
        <f t="shared" si="141"/>
        <v/>
      </c>
      <c r="L271" s="642" t="str">
        <f t="shared" si="142"/>
        <v/>
      </c>
      <c r="M271" s="116"/>
      <c r="N271" s="648" t="str">
        <f>H263</f>
        <v/>
      </c>
      <c r="O271" s="22"/>
      <c r="P271" s="649"/>
      <c r="Q271" s="650" t="str">
        <f>IF(H279="","",H279)</f>
        <v/>
      </c>
      <c r="R271" s="116"/>
      <c r="S271" s="651" t="str">
        <f>IF(P265="","",SUMIFS(C_FuelStreams!BR:BR,C_FuelStreams!BI:BI,P265))</f>
        <v/>
      </c>
      <c r="T271" s="142"/>
      <c r="U271" s="115"/>
      <c r="W271" s="561" t="str">
        <f t="shared" si="143"/>
        <v/>
      </c>
      <c r="X271" s="561" t="str">
        <f t="shared" si="143"/>
        <v/>
      </c>
      <c r="Y271" s="561" t="str">
        <f t="shared" si="143"/>
        <v/>
      </c>
      <c r="Z271" s="561" t="str">
        <f t="shared" si="143"/>
        <v/>
      </c>
      <c r="AA271" s="561" t="str">
        <f t="shared" si="143"/>
        <v/>
      </c>
      <c r="AB271" s="561" t="str">
        <f>IF(E271="","",OR(W271&lt;&gt;W260,X271&lt;&gt;X260,Z271&lt;&gt;Z260))</f>
        <v/>
      </c>
      <c r="AC271" s="567"/>
      <c r="AD271" s="561" t="str">
        <f t="shared" si="156"/>
        <v/>
      </c>
      <c r="AE271" s="561" t="str">
        <f t="shared" si="149"/>
        <v>n.a.</v>
      </c>
      <c r="AF271" s="561" t="str">
        <f t="shared" si="150"/>
        <v>n.a.</v>
      </c>
      <c r="AG271" s="561" t="str">
        <f t="shared" si="151"/>
        <v>n.a.</v>
      </c>
      <c r="AH271" s="561" t="b">
        <f t="shared" si="152"/>
        <v>0</v>
      </c>
      <c r="AI271" s="561" t="b">
        <f t="shared" si="153"/>
        <v>0</v>
      </c>
      <c r="AJ271" s="582" t="str">
        <f t="shared" si="154"/>
        <v/>
      </c>
      <c r="AK271" s="582" t="str">
        <f t="shared" si="155"/>
        <v/>
      </c>
      <c r="AL271" s="582" t="str">
        <f t="shared" si="146"/>
        <v/>
      </c>
    </row>
    <row r="272" spans="1:38" ht="12.75" customHeight="1" x14ac:dyDescent="0.25">
      <c r="B272" s="132"/>
      <c r="C272" s="132"/>
      <c r="D272" s="1388"/>
      <c r="E272" s="43"/>
      <c r="F272" s="47"/>
      <c r="G272" s="641" t="str">
        <f t="shared" si="147"/>
        <v/>
      </c>
      <c r="H272" s="641" t="str">
        <f t="shared" si="148"/>
        <v/>
      </c>
      <c r="I272" s="48"/>
      <c r="J272" s="642" t="str">
        <f t="shared" si="140"/>
        <v/>
      </c>
      <c r="K272" s="642" t="str">
        <f t="shared" si="141"/>
        <v/>
      </c>
      <c r="L272" s="642" t="str">
        <f t="shared" si="142"/>
        <v/>
      </c>
      <c r="M272" s="116"/>
      <c r="N272" s="652" t="s">
        <v>46</v>
      </c>
      <c r="O272" s="411"/>
      <c r="P272" s="653"/>
      <c r="Q272" s="654" t="str">
        <f>IF(I279="","",I279)</f>
        <v/>
      </c>
      <c r="R272" s="116"/>
      <c r="S272" s="655" t="str">
        <f>IF(P265="","",SUMIFS(C_FuelStreams!BX:BX,C_FuelStreams!BI:BI,P265))</f>
        <v/>
      </c>
      <c r="T272" s="142"/>
      <c r="U272" s="115"/>
      <c r="W272" s="561" t="str">
        <f t="shared" si="143"/>
        <v/>
      </c>
      <c r="X272" s="561" t="str">
        <f t="shared" si="143"/>
        <v/>
      </c>
      <c r="Y272" s="561" t="str">
        <f t="shared" si="143"/>
        <v/>
      </c>
      <c r="Z272" s="561" t="str">
        <f t="shared" si="143"/>
        <v/>
      </c>
      <c r="AA272" s="561" t="str">
        <f t="shared" si="143"/>
        <v/>
      </c>
      <c r="AB272" s="561" t="str">
        <f>IF(E272="","",OR(W272&lt;&gt;W260,X272&lt;&gt;X260,Z272&lt;&gt;Z260))</f>
        <v/>
      </c>
      <c r="AC272" s="567"/>
      <c r="AD272" s="561" t="str">
        <f t="shared" si="156"/>
        <v/>
      </c>
      <c r="AE272" s="561" t="str">
        <f t="shared" si="149"/>
        <v>n.a.</v>
      </c>
      <c r="AF272" s="561" t="str">
        <f t="shared" si="150"/>
        <v>n.a.</v>
      </c>
      <c r="AG272" s="561" t="str">
        <f t="shared" si="151"/>
        <v>n.a.</v>
      </c>
      <c r="AH272" s="561" t="b">
        <f t="shared" si="152"/>
        <v>0</v>
      </c>
      <c r="AI272" s="561" t="b">
        <f t="shared" si="153"/>
        <v>0</v>
      </c>
      <c r="AJ272" s="582" t="str">
        <f t="shared" si="154"/>
        <v/>
      </c>
      <c r="AK272" s="582" t="str">
        <f t="shared" si="155"/>
        <v/>
      </c>
      <c r="AL272" s="582" t="str">
        <f t="shared" si="146"/>
        <v/>
      </c>
    </row>
    <row r="273" spans="1:38" ht="12.75" customHeight="1" x14ac:dyDescent="0.25">
      <c r="B273" s="132"/>
      <c r="C273" s="132"/>
      <c r="D273" s="1388"/>
      <c r="E273" s="43"/>
      <c r="F273" s="47"/>
      <c r="G273" s="641" t="str">
        <f t="shared" si="147"/>
        <v/>
      </c>
      <c r="H273" s="641" t="str">
        <f t="shared" si="148"/>
        <v/>
      </c>
      <c r="I273" s="48"/>
      <c r="J273" s="642" t="str">
        <f t="shared" si="140"/>
        <v/>
      </c>
      <c r="K273" s="642" t="str">
        <f t="shared" si="141"/>
        <v/>
      </c>
      <c r="L273" s="642" t="str">
        <f t="shared" si="142"/>
        <v/>
      </c>
      <c r="M273" s="1395"/>
      <c r="N273" s="116"/>
      <c r="O273" s="116"/>
      <c r="P273" s="116"/>
      <c r="Q273" s="116"/>
      <c r="R273" s="116"/>
      <c r="S273" s="132"/>
      <c r="T273" s="142"/>
      <c r="U273" s="115"/>
      <c r="W273" s="561" t="str">
        <f t="shared" si="143"/>
        <v/>
      </c>
      <c r="X273" s="561" t="str">
        <f t="shared" si="143"/>
        <v/>
      </c>
      <c r="Y273" s="561" t="str">
        <f t="shared" si="143"/>
        <v/>
      </c>
      <c r="Z273" s="561" t="str">
        <f t="shared" si="143"/>
        <v/>
      </c>
      <c r="AA273" s="561" t="str">
        <f t="shared" si="143"/>
        <v/>
      </c>
      <c r="AB273" s="561" t="str">
        <f>IF(E273="","",OR(W273&lt;&gt;W260,X273&lt;&gt;X260,Z273&lt;&gt;Z260))</f>
        <v/>
      </c>
      <c r="AC273" s="567"/>
      <c r="AD273" s="561" t="str">
        <f t="shared" si="156"/>
        <v/>
      </c>
      <c r="AE273" s="561" t="str">
        <f t="shared" si="149"/>
        <v>n.a.</v>
      </c>
      <c r="AF273" s="561" t="str">
        <f t="shared" si="150"/>
        <v>n.a.</v>
      </c>
      <c r="AG273" s="561" t="str">
        <f t="shared" si="151"/>
        <v>n.a.</v>
      </c>
      <c r="AH273" s="561" t="b">
        <f t="shared" si="152"/>
        <v>0</v>
      </c>
      <c r="AI273" s="561" t="b">
        <f t="shared" si="153"/>
        <v>0</v>
      </c>
      <c r="AJ273" s="582" t="str">
        <f t="shared" si="154"/>
        <v/>
      </c>
      <c r="AK273" s="582" t="str">
        <f t="shared" si="155"/>
        <v/>
      </c>
      <c r="AL273" s="582" t="str">
        <f t="shared" si="146"/>
        <v/>
      </c>
    </row>
    <row r="274" spans="1:38" ht="12.75" customHeight="1" x14ac:dyDescent="0.25">
      <c r="B274" s="132"/>
      <c r="C274" s="132"/>
      <c r="D274" s="1388" t="str">
        <f>Translations!$B$643</f>
        <v>Customised components</v>
      </c>
      <c r="E274" s="42"/>
      <c r="F274" s="45"/>
      <c r="G274" s="49"/>
      <c r="H274" s="49"/>
      <c r="I274" s="46"/>
      <c r="J274" s="640" t="str">
        <f t="shared" si="140"/>
        <v/>
      </c>
      <c r="K274" s="640" t="str">
        <f t="shared" si="141"/>
        <v/>
      </c>
      <c r="L274" s="640" t="str">
        <f t="shared" si="142"/>
        <v/>
      </c>
      <c r="M274" s="1395"/>
      <c r="N274" s="116"/>
      <c r="O274" s="116"/>
      <c r="P274" s="656" t="str">
        <f>Translations!$B$644</f>
        <v>CO2 fossil (before scope factor):</v>
      </c>
      <c r="Q274" s="997" t="str">
        <f>IF(K279="","",K279)</f>
        <v/>
      </c>
      <c r="R274" s="656"/>
      <c r="S274" s="997" t="str">
        <f>IF(P265="","",IF(W274=0,0,SUMIFS(C_FuelStreams!CE:CE,C_FuelStreams!BI:BI,P265)/W274))</f>
        <v/>
      </c>
      <c r="T274" s="142"/>
      <c r="U274" s="115"/>
      <c r="V274" s="110" t="str">
        <f>Translations!$B$398</f>
        <v>Scope factor:</v>
      </c>
      <c r="W274" s="617" t="str">
        <f>IF(P265="","",SUMIFS(C_FuelStreams!BP:BP,C_FuelStreams!BI:BI,P265))</f>
        <v/>
      </c>
      <c r="AD274" s="561" t="str">
        <f t="shared" si="156"/>
        <v/>
      </c>
      <c r="AE274" s="561" t="str">
        <f t="shared" si="149"/>
        <v>n.a.</v>
      </c>
      <c r="AF274" s="561" t="str">
        <f t="shared" si="150"/>
        <v>n.a.</v>
      </c>
      <c r="AG274" s="561" t="str">
        <f t="shared" si="151"/>
        <v>n.a.</v>
      </c>
      <c r="AH274" s="561" t="b">
        <f t="shared" si="152"/>
        <v>0</v>
      </c>
      <c r="AI274" s="561" t="b">
        <f t="shared" si="153"/>
        <v>0</v>
      </c>
      <c r="AJ274" s="582" t="str">
        <f t="shared" si="154"/>
        <v/>
      </c>
      <c r="AK274" s="582" t="str">
        <f t="shared" si="155"/>
        <v/>
      </c>
      <c r="AL274" s="582" t="str">
        <f t="shared" si="146"/>
        <v/>
      </c>
    </row>
    <row r="275" spans="1:38" ht="12.75" customHeight="1" x14ac:dyDescent="0.25">
      <c r="B275" s="132"/>
      <c r="C275" s="132"/>
      <c r="D275" s="1388"/>
      <c r="E275" s="43"/>
      <c r="F275" s="47"/>
      <c r="G275" s="50"/>
      <c r="H275" s="50"/>
      <c r="I275" s="48"/>
      <c r="J275" s="642" t="str">
        <f t="shared" si="140"/>
        <v/>
      </c>
      <c r="K275" s="642" t="str">
        <f t="shared" si="141"/>
        <v/>
      </c>
      <c r="L275" s="642" t="str">
        <f t="shared" si="142"/>
        <v/>
      </c>
      <c r="M275" s="1395"/>
      <c r="N275" s="116"/>
      <c r="O275" s="116"/>
      <c r="P275" s="116"/>
      <c r="Q275" s="116"/>
      <c r="R275" s="116"/>
      <c r="S275" s="132"/>
      <c r="T275" s="142"/>
      <c r="U275" s="115"/>
      <c r="AD275" s="561" t="str">
        <f t="shared" si="156"/>
        <v/>
      </c>
      <c r="AE275" s="561" t="str">
        <f t="shared" si="149"/>
        <v>n.a.</v>
      </c>
      <c r="AF275" s="561" t="str">
        <f t="shared" si="150"/>
        <v>n.a.</v>
      </c>
      <c r="AG275" s="561" t="str">
        <f t="shared" si="151"/>
        <v>n.a.</v>
      </c>
      <c r="AH275" s="561" t="b">
        <f t="shared" si="152"/>
        <v>0</v>
      </c>
      <c r="AI275" s="561" t="b">
        <f t="shared" si="153"/>
        <v>0</v>
      </c>
      <c r="AJ275" s="582" t="str">
        <f t="shared" si="154"/>
        <v/>
      </c>
      <c r="AK275" s="582" t="str">
        <f t="shared" si="155"/>
        <v/>
      </c>
      <c r="AL275" s="582" t="str">
        <f t="shared" si="146"/>
        <v/>
      </c>
    </row>
    <row r="276" spans="1:38" ht="12.75" customHeight="1" x14ac:dyDescent="0.25">
      <c r="B276" s="132"/>
      <c r="C276" s="132"/>
      <c r="D276" s="1388"/>
      <c r="E276" s="43"/>
      <c r="F276" s="47"/>
      <c r="G276" s="50"/>
      <c r="H276" s="50"/>
      <c r="I276" s="48"/>
      <c r="J276" s="642" t="str">
        <f t="shared" si="140"/>
        <v/>
      </c>
      <c r="K276" s="642" t="str">
        <f t="shared" si="141"/>
        <v/>
      </c>
      <c r="L276" s="642" t="str">
        <f t="shared" si="142"/>
        <v/>
      </c>
      <c r="M276" s="1395"/>
      <c r="N276" s="116"/>
      <c r="O276" s="116"/>
      <c r="P276" s="116"/>
      <c r="Q276" s="116"/>
      <c r="R276" s="116"/>
      <c r="S276" s="132"/>
      <c r="T276" s="142"/>
      <c r="U276" s="115"/>
      <c r="AD276" s="561" t="str">
        <f t="shared" si="156"/>
        <v/>
      </c>
      <c r="AE276" s="561" t="str">
        <f t="shared" si="149"/>
        <v>n.a.</v>
      </c>
      <c r="AF276" s="561" t="str">
        <f t="shared" si="150"/>
        <v>n.a.</v>
      </c>
      <c r="AG276" s="561" t="str">
        <f t="shared" si="151"/>
        <v>n.a.</v>
      </c>
      <c r="AH276" s="561" t="b">
        <f t="shared" si="152"/>
        <v>0</v>
      </c>
      <c r="AI276" s="561" t="b">
        <f t="shared" si="153"/>
        <v>0</v>
      </c>
      <c r="AJ276" s="582" t="str">
        <f t="shared" si="154"/>
        <v/>
      </c>
      <c r="AK276" s="582" t="str">
        <f t="shared" si="155"/>
        <v/>
      </c>
      <c r="AL276" s="582" t="str">
        <f t="shared" si="146"/>
        <v/>
      </c>
    </row>
    <row r="277" spans="1:38" ht="12.75" customHeight="1" x14ac:dyDescent="0.25">
      <c r="B277" s="132"/>
      <c r="C277" s="132"/>
      <c r="D277" s="1388"/>
      <c r="E277" s="43"/>
      <c r="F277" s="47"/>
      <c r="G277" s="50"/>
      <c r="H277" s="50"/>
      <c r="I277" s="48"/>
      <c r="J277" s="642" t="str">
        <f t="shared" si="140"/>
        <v/>
      </c>
      <c r="K277" s="642" t="str">
        <f t="shared" si="141"/>
        <v/>
      </c>
      <c r="L277" s="642" t="str">
        <f t="shared" si="142"/>
        <v/>
      </c>
      <c r="M277" s="1395"/>
      <c r="N277" s="116"/>
      <c r="O277" s="116"/>
      <c r="P277" s="116"/>
      <c r="Q277" s="116"/>
      <c r="R277" s="116"/>
      <c r="S277" s="132"/>
      <c r="T277" s="142"/>
      <c r="U277" s="115"/>
      <c r="AD277" s="561" t="str">
        <f t="shared" si="156"/>
        <v/>
      </c>
      <c r="AE277" s="561" t="str">
        <f t="shared" si="149"/>
        <v>n.a.</v>
      </c>
      <c r="AF277" s="561" t="str">
        <f t="shared" si="150"/>
        <v>n.a.</v>
      </c>
      <c r="AG277" s="561" t="str">
        <f t="shared" si="151"/>
        <v>n.a.</v>
      </c>
      <c r="AH277" s="561" t="b">
        <f t="shared" si="152"/>
        <v>0</v>
      </c>
      <c r="AI277" s="561" t="b">
        <f t="shared" si="153"/>
        <v>0</v>
      </c>
      <c r="AJ277" s="582" t="str">
        <f t="shared" si="154"/>
        <v/>
      </c>
      <c r="AK277" s="582" t="str">
        <f t="shared" si="155"/>
        <v/>
      </c>
      <c r="AL277" s="582" t="str">
        <f t="shared" si="146"/>
        <v/>
      </c>
    </row>
    <row r="278" spans="1:38" ht="12.75" customHeight="1" x14ac:dyDescent="0.25">
      <c r="B278" s="132"/>
      <c r="C278" s="132"/>
      <c r="D278" s="1388"/>
      <c r="E278" s="44"/>
      <c r="F278" s="51"/>
      <c r="G278" s="52"/>
      <c r="H278" s="52"/>
      <c r="I278" s="53"/>
      <c r="J278" s="657" t="str">
        <f t="shared" si="140"/>
        <v/>
      </c>
      <c r="K278" s="657" t="str">
        <f t="shared" si="141"/>
        <v/>
      </c>
      <c r="L278" s="657" t="str">
        <f t="shared" si="142"/>
        <v/>
      </c>
      <c r="M278" s="1395"/>
      <c r="N278" s="116"/>
      <c r="O278" s="116"/>
      <c r="P278" s="116"/>
      <c r="Q278" s="116"/>
      <c r="R278" s="116"/>
      <c r="S278" s="132"/>
      <c r="T278" s="142"/>
      <c r="U278" s="115"/>
      <c r="AD278" s="561" t="str">
        <f t="shared" si="156"/>
        <v/>
      </c>
      <c r="AE278" s="561" t="str">
        <f t="shared" si="149"/>
        <v>n.a.</v>
      </c>
      <c r="AF278" s="561" t="str">
        <f t="shared" si="150"/>
        <v>n.a.</v>
      </c>
      <c r="AG278" s="561" t="str">
        <f t="shared" si="151"/>
        <v>n.a.</v>
      </c>
      <c r="AH278" s="561" t="b">
        <f t="shared" si="152"/>
        <v>0</v>
      </c>
      <c r="AI278" s="561" t="b">
        <f t="shared" si="153"/>
        <v>0</v>
      </c>
      <c r="AJ278" s="582" t="str">
        <f t="shared" si="154"/>
        <v/>
      </c>
      <c r="AK278" s="582" t="str">
        <f t="shared" si="155"/>
        <v/>
      </c>
      <c r="AL278" s="582" t="str">
        <f t="shared" si="146"/>
        <v/>
      </c>
    </row>
    <row r="279" spans="1:38" ht="12.75" customHeight="1" x14ac:dyDescent="0.25">
      <c r="B279" s="132"/>
      <c r="C279" s="132"/>
      <c r="D279" s="132"/>
      <c r="E279" s="658" t="str">
        <f>Translations!$B$645</f>
        <v>TOTALS</v>
      </c>
      <c r="F279" s="659" t="str">
        <f>IF(SUM(F264:F278)=0,"",SUM(F264:F278))</f>
        <v/>
      </c>
      <c r="G279" s="660" t="str">
        <f>IF(SUM(F279)=0,"",J279/F279)</f>
        <v/>
      </c>
      <c r="H279" s="660" t="str">
        <f>IF(SUM(J279)=0,"",SUM(K279:L279)/IF(AF264&lt;&gt;EUconst_NA,F279,J279)/IF(AG264=EUconst_NA,1,AG264))</f>
        <v/>
      </c>
      <c r="I279" s="661" t="str">
        <f>IF(SUM(K279:L279)=0,"",L279/SUM(K279:L279))</f>
        <v/>
      </c>
      <c r="J279" s="659" t="str">
        <f>IF(COUNTA(E264:E278)=0,"",IFERROR(SUM(J264:J278),EUconst_ERR_Inconsistent))</f>
        <v/>
      </c>
      <c r="K279" s="659" t="str">
        <f>IF(COUNTA(E264:E278)=0,"",IFERROR(SUM(K264:K278),EUconst_ERR_Inconsistent))</f>
        <v/>
      </c>
      <c r="L279" s="659" t="str">
        <f>IF(COUNTA(E264:E278)=0,"",IFERROR(SUM(L264:L278),EUconst_ERR_Inconsistent))</f>
        <v/>
      </c>
      <c r="M279" s="1395"/>
      <c r="N279" s="116"/>
      <c r="O279" s="116"/>
      <c r="P279" s="116"/>
      <c r="Q279" s="116"/>
      <c r="R279" s="116"/>
      <c r="S279" s="132"/>
      <c r="T279" s="142"/>
      <c r="U279" s="115"/>
    </row>
    <row r="280" spans="1:38" ht="12.75" customHeight="1" x14ac:dyDescent="0.25">
      <c r="B280" s="132"/>
      <c r="C280" s="132"/>
      <c r="D280" s="132"/>
      <c r="E280" s="191"/>
      <c r="F280" s="116"/>
      <c r="G280" s="116"/>
      <c r="H280" s="116"/>
      <c r="I280" s="116"/>
      <c r="J280" s="116"/>
      <c r="K280" s="116"/>
      <c r="L280" s="116"/>
      <c r="M280" s="116"/>
      <c r="N280" s="116"/>
      <c r="O280" s="116"/>
      <c r="P280" s="116"/>
      <c r="Q280" s="116"/>
      <c r="R280" s="116"/>
      <c r="S280" s="132"/>
      <c r="T280" s="142"/>
      <c r="U280" s="115"/>
    </row>
    <row r="281" spans="1:38" s="69" customFormat="1" ht="18.75" customHeight="1" x14ac:dyDescent="0.25">
      <c r="A281" s="167">
        <f>C281</f>
        <v>12</v>
      </c>
      <c r="B281" s="76"/>
      <c r="C281" s="216">
        <f>C258+1</f>
        <v>12</v>
      </c>
      <c r="D281" s="1195" t="str">
        <f>"Tool " &amp;C281-2</f>
        <v>Tool 10</v>
      </c>
      <c r="E281" s="1195"/>
      <c r="F281" s="1195"/>
      <c r="G281" s="1195"/>
      <c r="H281" s="1195"/>
      <c r="I281" s="1195"/>
      <c r="J281" s="1195"/>
      <c r="K281" s="1195"/>
      <c r="L281" s="1195"/>
      <c r="M281" s="1195"/>
      <c r="N281" s="1195"/>
      <c r="O281" s="1195"/>
      <c r="P281" s="1195"/>
      <c r="Q281" s="1195"/>
      <c r="R281" s="1195"/>
      <c r="S281" s="1195"/>
      <c r="T281" s="142"/>
      <c r="U281" s="115"/>
      <c r="V281" s="464" t="str">
        <f>D281</f>
        <v>Tool 10</v>
      </c>
      <c r="W281" s="110"/>
      <c r="X281" s="110"/>
      <c r="Y281" s="110"/>
      <c r="Z281" s="110"/>
      <c r="AA281" s="109"/>
      <c r="AB281" s="109"/>
      <c r="AC281" s="109"/>
      <c r="AD281" s="109"/>
      <c r="AE281" s="109"/>
      <c r="AF281" s="109"/>
      <c r="AG281" s="109"/>
      <c r="AH281" s="109"/>
      <c r="AI281" s="109"/>
      <c r="AJ281" s="109"/>
      <c r="AK281" s="109"/>
      <c r="AL281" s="109"/>
    </row>
    <row r="282" spans="1:38" ht="12.75" customHeight="1" x14ac:dyDescent="0.25">
      <c r="B282" s="132"/>
      <c r="C282" s="132"/>
      <c r="D282" s="132"/>
      <c r="E282" s="191"/>
      <c r="F282" s="116"/>
      <c r="G282" s="116"/>
      <c r="H282" s="116"/>
      <c r="I282" s="116"/>
      <c r="J282" s="116"/>
      <c r="K282" s="116"/>
      <c r="L282" s="116"/>
      <c r="M282" s="116"/>
      <c r="N282" s="116"/>
      <c r="O282" s="116"/>
      <c r="P282" s="116"/>
      <c r="Q282" s="116"/>
      <c r="R282" s="116"/>
      <c r="S282" s="132"/>
      <c r="T282" s="142"/>
      <c r="U282" s="115"/>
    </row>
    <row r="283" spans="1:38" ht="12.75" customHeight="1" x14ac:dyDescent="0.25">
      <c r="B283" s="132"/>
      <c r="C283" s="132"/>
      <c r="D283" s="1377" t="str">
        <f>Translations!$B$631</f>
        <v>Component</v>
      </c>
      <c r="E283" s="1378"/>
      <c r="F283" s="633">
        <v>1</v>
      </c>
      <c r="G283" s="633">
        <v>2</v>
      </c>
      <c r="H283" s="633">
        <v>3</v>
      </c>
      <c r="I283" s="633">
        <v>4</v>
      </c>
      <c r="J283" s="633">
        <v>5</v>
      </c>
      <c r="K283" s="633">
        <v>6</v>
      </c>
      <c r="L283" s="633">
        <v>7</v>
      </c>
      <c r="M283" s="116"/>
      <c r="N283" s="116"/>
      <c r="O283" s="116"/>
      <c r="P283" s="116"/>
      <c r="Q283" s="116"/>
      <c r="R283" s="116"/>
      <c r="S283" s="132"/>
      <c r="T283" s="142"/>
      <c r="U283" s="115"/>
      <c r="V283" s="566" t="str">
        <f>Translations!$B$498</f>
        <v>Units:</v>
      </c>
      <c r="W283" s="561" t="str" cm="1">
        <f t="array" ref="W283">IFERROR(INDEX(_xlfn._xlws.FILTER(W287:W296,(W287:W296)&lt;&gt;"",""),1),W284)</f>
        <v/>
      </c>
      <c r="X283" s="561" t="str" cm="1">
        <f t="array" ref="X283">IFERROR(INDEX(_xlfn._xlws.FILTER(X287:X296,(X287:X296)&lt;&gt;"",""),1),X284)</f>
        <v/>
      </c>
      <c r="Y283" s="567"/>
      <c r="Z283" s="561" t="str" cm="1">
        <f t="array" ref="Z283">IFERROR(INDEX(_xlfn._xlws.FILTER(Z287:Z296,(Z287:Z296)&lt;&gt;"",""),1),Z284)</f>
        <v/>
      </c>
      <c r="AA283" s="567"/>
    </row>
    <row r="284" spans="1:38" ht="12.75" customHeight="1" x14ac:dyDescent="0.25">
      <c r="B284" s="132"/>
      <c r="C284" s="132"/>
      <c r="D284" s="1379"/>
      <c r="E284" s="1380"/>
      <c r="F284" s="1383" t="str">
        <f>Translations!$B$377</f>
        <v>RFA</v>
      </c>
      <c r="G284" s="1383" t="str">
        <f>Translations!$B$386</f>
        <v>UCF</v>
      </c>
      <c r="H284" s="1383" t="str">
        <f>Translations!$B$383</f>
        <v>EF</v>
      </c>
      <c r="I284" s="1383" t="str">
        <f>Translations!$B$632</f>
        <v>Zero-rated F</v>
      </c>
      <c r="J284" s="1385" t="str">
        <f>Translations!$B$652</f>
        <v>Energy or other</v>
      </c>
      <c r="K284" s="1385" t="str">
        <f>Translations!$B$522</f>
        <v>Emissions (fossil)</v>
      </c>
      <c r="L284" s="1385" t="str">
        <f>Translations!$B$634</f>
        <v>Emissions (bio)</v>
      </c>
      <c r="M284" s="116"/>
      <c r="N284" s="116"/>
      <c r="O284" s="116"/>
      <c r="P284" s="116"/>
      <c r="Q284" s="116"/>
      <c r="R284" s="116"/>
      <c r="S284" s="132"/>
      <c r="T284" s="142"/>
      <c r="U284" s="115"/>
      <c r="W284" s="561" t="str">
        <f t="array" ref="W284">IFERROR(INDEX(W287:W296,MATCH(TRUE,(W287:W296)&lt;&gt;"",0)),"")</f>
        <v/>
      </c>
      <c r="X284" s="561" t="str">
        <f t="array" ref="X284">IFERROR(INDEX(X287:X296,MATCH(TRUE,(X287:X296)&lt;&gt;"",0)),"")</f>
        <v/>
      </c>
      <c r="Y284" s="567"/>
      <c r="Z284" s="561" t="str">
        <f t="array" ref="Z284">IFERROR(INDEX(Z287:Z296,MATCH(TRUE,(Z287:Z296)&lt;&gt;"",0)),"")</f>
        <v/>
      </c>
      <c r="AA284" s="567"/>
    </row>
    <row r="285" spans="1:38" ht="12.75" customHeight="1" x14ac:dyDescent="0.3">
      <c r="B285" s="132"/>
      <c r="C285" s="132"/>
      <c r="D285" s="1379"/>
      <c r="E285" s="1380"/>
      <c r="F285" s="1384"/>
      <c r="G285" s="1384"/>
      <c r="H285" s="1384"/>
      <c r="I285" s="1384"/>
      <c r="J285" s="1386"/>
      <c r="K285" s="1386"/>
      <c r="L285" s="1386"/>
      <c r="M285" s="116"/>
      <c r="N285" s="634" t="str">
        <f>Translations!$B$635</f>
        <v>Result to be entered in sheet C</v>
      </c>
      <c r="O285" s="116"/>
      <c r="P285" s="116"/>
      <c r="Q285" s="116"/>
      <c r="R285" s="116"/>
      <c r="S285" s="132"/>
      <c r="T285" s="142"/>
      <c r="U285" s="115"/>
      <c r="W285" s="569" t="str">
        <f>Translations!$B$377</f>
        <v>RFA</v>
      </c>
      <c r="X285" s="569" t="str">
        <f>Translations!$B$386</f>
        <v>UCF</v>
      </c>
      <c r="Y285" s="569"/>
      <c r="Z285" s="569" t="str">
        <f>Translations!$B$383</f>
        <v>EF</v>
      </c>
      <c r="AA285" s="569"/>
      <c r="AB285" s="570"/>
      <c r="AC285" s="570"/>
      <c r="AH285" s="570"/>
      <c r="AI285" s="570"/>
      <c r="AJ285" s="570"/>
    </row>
    <row r="286" spans="1:38" ht="12.75" customHeight="1" x14ac:dyDescent="0.3">
      <c r="B286" s="132"/>
      <c r="C286" s="132"/>
      <c r="D286" s="1381"/>
      <c r="E286" s="1382"/>
      <c r="F286" s="635" t="str">
        <f>IF(COUNTA($E287:$E301)=0,"",$W283)</f>
        <v/>
      </c>
      <c r="G286" s="635" t="str">
        <f>IF(COUNTA($E287:$E301)=0,"",$X283)</f>
        <v/>
      </c>
      <c r="H286" s="635" t="str">
        <f>IF(COUNTA($E287:$E301)=0,"",$Z283)</f>
        <v/>
      </c>
      <c r="I286" s="636" t="s">
        <v>46</v>
      </c>
      <c r="J286" s="635" t="str">
        <f>IF(AE287=EUconst_NA,EUconst_GJ,AE287)</f>
        <v>GJ</v>
      </c>
      <c r="K286" s="637" t="s">
        <v>188</v>
      </c>
      <c r="L286" s="637" t="s">
        <v>188</v>
      </c>
      <c r="M286" s="116"/>
      <c r="N286" s="1387" t="str">
        <f>Translations!$B$636</f>
        <v>The results of this tool are the relevant (weighted average) values below. Each value has to be entered manually in sheet C for the respective fuel stream. Select fuel stream below for comparison.</v>
      </c>
      <c r="O286" s="1387"/>
      <c r="P286" s="1387"/>
      <c r="Q286" s="1387"/>
      <c r="R286" s="1387"/>
      <c r="S286" s="1387"/>
      <c r="T286" s="142"/>
      <c r="U286" s="115"/>
      <c r="W286" s="569" t="str">
        <f>EUconst_CNTR_ActivityData&amp;EUconst_Unit</f>
        <v>ActivityData_Unit</v>
      </c>
      <c r="X286" s="569" t="str">
        <f>EUconst_CNTR_UCF&amp;EUconst_Unit</f>
        <v>UCF_Unit</v>
      </c>
      <c r="Y286" s="569" t="str">
        <f>EUconst_CNTR_UCF&amp;EUconst_Value</f>
        <v>UCF_Value</v>
      </c>
      <c r="Z286" s="569" t="str">
        <f>EUconst_CNTR_EF&amp;EUconst_Unit</f>
        <v>EF_Unit</v>
      </c>
      <c r="AA286" s="569" t="str">
        <f>EUconst_CNTR_EF&amp;EUconst_Value</f>
        <v>EF_Value</v>
      </c>
      <c r="AB286" s="569" t="s">
        <v>189</v>
      </c>
      <c r="AC286" s="575"/>
      <c r="AD286" s="576" t="s">
        <v>147</v>
      </c>
      <c r="AE286" s="576" t="s">
        <v>151</v>
      </c>
      <c r="AF286" s="576" t="s">
        <v>153</v>
      </c>
      <c r="AG286" s="576" t="s">
        <v>155</v>
      </c>
      <c r="AH286" s="575"/>
      <c r="AI286" s="575"/>
      <c r="AJ286" s="575" t="s">
        <v>190</v>
      </c>
      <c r="AK286" s="575" t="s">
        <v>191</v>
      </c>
      <c r="AL286" s="575" t="s">
        <v>192</v>
      </c>
    </row>
    <row r="287" spans="1:38" ht="12.75" customHeight="1" x14ac:dyDescent="0.25">
      <c r="B287" s="132"/>
      <c r="C287" s="132"/>
      <c r="D287" s="1388" t="str">
        <f>Translations!$B$637</f>
        <v>Default compontents provided by the CA</v>
      </c>
      <c r="E287" s="42"/>
      <c r="F287" s="45"/>
      <c r="G287" s="639" t="str">
        <f>IF($E287="","",Y287)</f>
        <v/>
      </c>
      <c r="H287" s="639" t="str">
        <f>IF($E287="","",AA287)</f>
        <v/>
      </c>
      <c r="I287" s="46"/>
      <c r="J287" s="640" t="str">
        <f t="shared" ref="J287:J301" si="157">IFERROR(IF(E287="","",AL287),EUconst_ERR_Inconsistent)</f>
        <v/>
      </c>
      <c r="K287" s="640" t="str">
        <f t="shared" ref="K287:K301" si="158">IFERROR(IF(E287="","",AJ287),EUconst_ERR_Inconsistent)</f>
        <v/>
      </c>
      <c r="L287" s="640" t="str">
        <f t="shared" ref="L287:L301" si="159">IFERROR(IF(E287="","",AK287),EUconst_ERR_Inconsistent)</f>
        <v/>
      </c>
      <c r="M287" s="1389"/>
      <c r="N287" s="1387"/>
      <c r="O287" s="1387"/>
      <c r="P287" s="1387"/>
      <c r="Q287" s="1387"/>
      <c r="R287" s="1387"/>
      <c r="S287" s="1387"/>
      <c r="T287" s="142"/>
      <c r="U287" s="115"/>
      <c r="W287" s="561" t="str">
        <f t="shared" ref="W287:AA296" si="160">IF($E287="","",INDEX(MSPara_CalcFactorsMatrix,MATCH($E287,MSPara_SourceStreamCategory,0),MATCH(W$20&amp;"_"&amp;2,MSPara_CalcFactors,0)))</f>
        <v/>
      </c>
      <c r="X287" s="561" t="str">
        <f t="shared" si="160"/>
        <v/>
      </c>
      <c r="Y287" s="561" t="str">
        <f t="shared" si="160"/>
        <v/>
      </c>
      <c r="Z287" s="561" t="str">
        <f t="shared" si="160"/>
        <v/>
      </c>
      <c r="AA287" s="561" t="str">
        <f t="shared" si="160"/>
        <v/>
      </c>
      <c r="AB287" s="561" t="str">
        <f>IF(E287="","",OR(W287&lt;&gt;W283,X287&lt;&gt;X283,Z287&lt;&gt;Z283))</f>
        <v/>
      </c>
      <c r="AC287" s="567"/>
      <c r="AD287" s="561" t="str">
        <f>W287</f>
        <v/>
      </c>
      <c r="AE287" s="561" t="str">
        <f>IF(X287="",EUconst_NA,IF(AD287=EUconst_TJ,EUconst_TJ,INDEX(EUwideConstants!$C$135:$G$139,MATCH(AD287,RFAUnits,0),MATCH(X287,UCFUnits,0))))</f>
        <v>n.a.</v>
      </c>
      <c r="AF287" s="561" t="str">
        <f>IF(COUNTIF(RFAUnits,AD287)=0,EUconst_NA,INDEX(EUwideConstants!$C$150:$H$154,MATCH(Z287,EFUnits,0),MATCH(AD287,EUwideConstants!$C$149:$H$149,0)))</f>
        <v>n.a.</v>
      </c>
      <c r="AG287" s="561" t="str">
        <f>IF(AE287=EUconst_NA,EUconst_NA,INDEX(EUwideConstants!$C$150:$H$154,MATCH(Z287,EFUnits,0),MATCH(AE287,EUwideConstants!$C$149:$H$149,0)))</f>
        <v>n.a.</v>
      </c>
      <c r="AH287" s="561" t="b">
        <f t="shared" ref="AH287" si="161">AF287&lt;&gt;EUconst_NA</f>
        <v>0</v>
      </c>
      <c r="AI287" s="561" t="b">
        <f t="shared" ref="AI287" si="162">AG287&lt;&gt;EUconst_NA</f>
        <v>0</v>
      </c>
      <c r="AJ287" s="582" t="str">
        <f>IF(OR(E287="",COUNTIF(AH287:AI287,TRUE)=0),"",F287*IF(AH287,1,G287*AG287)*H287*(1-I287))</f>
        <v/>
      </c>
      <c r="AK287" s="582" t="str">
        <f>IF(OR(E287="",COUNTIF(AH287:AI287,TRUE)=0),"",F287*IF(AH287,1,G287*AG287)*H287*I287)</f>
        <v/>
      </c>
      <c r="AL287" s="582" t="str">
        <f t="shared" ref="AL287:AL301" si="163">IF(E287="","",IF(W287=EUconst_TJ,F287,F287*G287))</f>
        <v/>
      </c>
    </row>
    <row r="288" spans="1:38" ht="12.75" customHeight="1" x14ac:dyDescent="0.25">
      <c r="B288" s="132"/>
      <c r="C288" s="132"/>
      <c r="D288" s="1388"/>
      <c r="E288" s="43"/>
      <c r="F288" s="47"/>
      <c r="G288" s="641" t="str">
        <f t="shared" ref="G288:G296" si="164">IF($E288="","",Y288)</f>
        <v/>
      </c>
      <c r="H288" s="641" t="str">
        <f t="shared" ref="H288:H296" si="165">IF($E288="","",AA288)</f>
        <v/>
      </c>
      <c r="I288" s="48"/>
      <c r="J288" s="642" t="str">
        <f t="shared" si="157"/>
        <v/>
      </c>
      <c r="K288" s="642" t="str">
        <f t="shared" si="158"/>
        <v/>
      </c>
      <c r="L288" s="642" t="str">
        <f t="shared" si="159"/>
        <v/>
      </c>
      <c r="M288" s="1389"/>
      <c r="N288" s="638"/>
      <c r="O288" s="643" t="str">
        <f>Translations!$B$639</f>
        <v>Fuel stream:</v>
      </c>
      <c r="P288" s="1390"/>
      <c r="Q288" s="1391"/>
      <c r="R288" s="1391"/>
      <c r="S288" s="1392"/>
      <c r="T288" s="142"/>
      <c r="U288" s="115"/>
      <c r="W288" s="561" t="str">
        <f t="shared" si="160"/>
        <v/>
      </c>
      <c r="X288" s="561" t="str">
        <f t="shared" si="160"/>
        <v/>
      </c>
      <c r="Y288" s="561" t="str">
        <f t="shared" si="160"/>
        <v/>
      </c>
      <c r="Z288" s="561" t="str">
        <f t="shared" si="160"/>
        <v/>
      </c>
      <c r="AA288" s="561" t="str">
        <f t="shared" si="160"/>
        <v/>
      </c>
      <c r="AB288" s="561" t="str">
        <f>IF(E288="","",OR(W288&lt;&gt;W283,X288&lt;&gt;X283,Z288&lt;&gt;Z283))</f>
        <v/>
      </c>
      <c r="AC288" s="567"/>
      <c r="AD288" s="561" t="str">
        <f>AD287</f>
        <v/>
      </c>
      <c r="AE288" s="561" t="str">
        <f t="shared" ref="AE288:AE301" si="166">AE287</f>
        <v>n.a.</v>
      </c>
      <c r="AF288" s="561" t="str">
        <f t="shared" ref="AF288:AF301" si="167">AF287</f>
        <v>n.a.</v>
      </c>
      <c r="AG288" s="561" t="str">
        <f t="shared" ref="AG288:AG301" si="168">AG287</f>
        <v>n.a.</v>
      </c>
      <c r="AH288" s="561" t="b">
        <f t="shared" ref="AH288:AH301" si="169">AH287</f>
        <v>0</v>
      </c>
      <c r="AI288" s="561" t="b">
        <f t="shared" ref="AI288:AI301" si="170">AI287</f>
        <v>0</v>
      </c>
      <c r="AJ288" s="582" t="str">
        <f t="shared" ref="AJ288:AJ301" si="171">IF(OR(E288="",COUNTIF(AH288:AI288,TRUE)=0),"",F288*IF(AH288,1,G288*AG288)*H288*(1-I288))</f>
        <v/>
      </c>
      <c r="AK288" s="582" t="str">
        <f t="shared" ref="AK288:AK301" si="172">IF(OR(E288="",COUNTIF(AH288:AI288,TRUE)=0),"",F288*IF(AH288,1,G288*AG288)*H288*I288)</f>
        <v/>
      </c>
      <c r="AL288" s="582" t="str">
        <f t="shared" si="163"/>
        <v/>
      </c>
    </row>
    <row r="289" spans="1:38" ht="12.75" customHeight="1" x14ac:dyDescent="0.25">
      <c r="B289" s="132"/>
      <c r="C289" s="132"/>
      <c r="D289" s="1388"/>
      <c r="E289" s="43"/>
      <c r="F289" s="47"/>
      <c r="G289" s="641" t="str">
        <f t="shared" si="164"/>
        <v/>
      </c>
      <c r="H289" s="641" t="str">
        <f t="shared" si="165"/>
        <v/>
      </c>
      <c r="I289" s="48"/>
      <c r="J289" s="642" t="str">
        <f t="shared" si="157"/>
        <v/>
      </c>
      <c r="K289" s="642" t="str">
        <f t="shared" si="158"/>
        <v/>
      </c>
      <c r="L289" s="642" t="str">
        <f t="shared" si="159"/>
        <v/>
      </c>
      <c r="M289" s="1389"/>
      <c r="N289" s="116"/>
      <c r="O289" s="116"/>
      <c r="P289" s="116"/>
      <c r="Q289" s="116"/>
      <c r="R289" s="116"/>
      <c r="S289" s="132"/>
      <c r="T289" s="142"/>
      <c r="U289" s="115"/>
      <c r="W289" s="561" t="str">
        <f t="shared" si="160"/>
        <v/>
      </c>
      <c r="X289" s="561" t="str">
        <f t="shared" si="160"/>
        <v/>
      </c>
      <c r="Y289" s="561" t="str">
        <f t="shared" si="160"/>
        <v/>
      </c>
      <c r="Z289" s="561" t="str">
        <f t="shared" si="160"/>
        <v/>
      </c>
      <c r="AA289" s="561" t="str">
        <f t="shared" si="160"/>
        <v/>
      </c>
      <c r="AB289" s="561" t="str">
        <f>IF(E289="","",OR(W289&lt;&gt;W283,X289&lt;&gt;X283,Z289&lt;&gt;Z283))</f>
        <v/>
      </c>
      <c r="AC289" s="567"/>
      <c r="AD289" s="561" t="str">
        <f t="shared" ref="AD289:AD301" si="173">AD288</f>
        <v/>
      </c>
      <c r="AE289" s="561" t="str">
        <f t="shared" si="166"/>
        <v>n.a.</v>
      </c>
      <c r="AF289" s="561" t="str">
        <f t="shared" si="167"/>
        <v>n.a.</v>
      </c>
      <c r="AG289" s="561" t="str">
        <f t="shared" si="168"/>
        <v>n.a.</v>
      </c>
      <c r="AH289" s="561" t="b">
        <f t="shared" si="169"/>
        <v>0</v>
      </c>
      <c r="AI289" s="561" t="b">
        <f t="shared" si="170"/>
        <v>0</v>
      </c>
      <c r="AJ289" s="582" t="str">
        <f t="shared" si="171"/>
        <v/>
      </c>
      <c r="AK289" s="582" t="str">
        <f t="shared" si="172"/>
        <v/>
      </c>
      <c r="AL289" s="582" t="str">
        <f t="shared" si="163"/>
        <v/>
      </c>
    </row>
    <row r="290" spans="1:38" ht="12.75" customHeight="1" thickBot="1" x14ac:dyDescent="0.35">
      <c r="B290" s="132"/>
      <c r="C290" s="132"/>
      <c r="D290" s="1388"/>
      <c r="E290" s="43"/>
      <c r="F290" s="47"/>
      <c r="G290" s="641" t="str">
        <f t="shared" si="164"/>
        <v/>
      </c>
      <c r="H290" s="641" t="str">
        <f t="shared" si="165"/>
        <v/>
      </c>
      <c r="I290" s="48"/>
      <c r="J290" s="642" t="str">
        <f t="shared" si="157"/>
        <v/>
      </c>
      <c r="K290" s="642" t="str">
        <f t="shared" si="158"/>
        <v/>
      </c>
      <c r="L290" s="642" t="str">
        <f t="shared" si="159"/>
        <v/>
      </c>
      <c r="M290" s="1389"/>
      <c r="N290" s="1255" t="str">
        <f>Translations!$B$394</f>
        <v>Unit</v>
      </c>
      <c r="O290" s="1255"/>
      <c r="P290" s="1255" t="str">
        <f>Translations!$B$395</f>
        <v>Value</v>
      </c>
      <c r="Q290" s="1255"/>
      <c r="R290" s="116"/>
      <c r="S290" s="644" t="str">
        <f>Translations!$B$642</f>
        <v>Sheet C values</v>
      </c>
      <c r="T290" s="142"/>
      <c r="U290" s="115"/>
      <c r="W290" s="561" t="str">
        <f t="shared" si="160"/>
        <v/>
      </c>
      <c r="X290" s="561" t="str">
        <f t="shared" si="160"/>
        <v/>
      </c>
      <c r="Y290" s="561" t="str">
        <f t="shared" si="160"/>
        <v/>
      </c>
      <c r="Z290" s="561" t="str">
        <f t="shared" si="160"/>
        <v/>
      </c>
      <c r="AA290" s="561" t="str">
        <f t="shared" si="160"/>
        <v/>
      </c>
      <c r="AB290" s="561" t="str">
        <f>IF(E290="","",OR(W290&lt;&gt;W283,X290&lt;&gt;X283,Z290&lt;&gt;Z283))</f>
        <v/>
      </c>
      <c r="AC290" s="567"/>
      <c r="AD290" s="561" t="str">
        <f t="shared" si="173"/>
        <v/>
      </c>
      <c r="AE290" s="561" t="str">
        <f t="shared" si="166"/>
        <v>n.a.</v>
      </c>
      <c r="AF290" s="561" t="str">
        <f t="shared" si="167"/>
        <v>n.a.</v>
      </c>
      <c r="AG290" s="561" t="str">
        <f t="shared" si="168"/>
        <v>n.a.</v>
      </c>
      <c r="AH290" s="561" t="b">
        <f t="shared" si="169"/>
        <v>0</v>
      </c>
      <c r="AI290" s="561" t="b">
        <f t="shared" si="170"/>
        <v>0</v>
      </c>
      <c r="AJ290" s="582" t="str">
        <f t="shared" si="171"/>
        <v/>
      </c>
      <c r="AK290" s="582" t="str">
        <f t="shared" si="172"/>
        <v/>
      </c>
      <c r="AL290" s="582" t="str">
        <f t="shared" si="163"/>
        <v/>
      </c>
    </row>
    <row r="291" spans="1:38" ht="12.75" customHeight="1" thickBot="1" x14ac:dyDescent="0.3">
      <c r="B291" s="132"/>
      <c r="C291" s="132"/>
      <c r="D291" s="1388"/>
      <c r="E291" s="43"/>
      <c r="F291" s="47"/>
      <c r="G291" s="641" t="str">
        <f t="shared" si="164"/>
        <v/>
      </c>
      <c r="H291" s="641" t="str">
        <f t="shared" si="165"/>
        <v/>
      </c>
      <c r="I291" s="48"/>
      <c r="J291" s="642" t="str">
        <f t="shared" si="157"/>
        <v/>
      </c>
      <c r="K291" s="642" t="str">
        <f t="shared" si="158"/>
        <v/>
      </c>
      <c r="L291" s="642" t="str">
        <f t="shared" si="159"/>
        <v/>
      </c>
      <c r="M291" s="116"/>
      <c r="N291" s="346" t="str">
        <f>F286</f>
        <v/>
      </c>
      <c r="O291" s="7"/>
      <c r="P291" s="1393" t="str">
        <f>IF(F302="","",F302)</f>
        <v/>
      </c>
      <c r="Q291" s="1394"/>
      <c r="R291" s="116"/>
      <c r="S291" s="645" t="str">
        <f>IF(P288="","",SUMIFS(C_FuelStreams!BK:BK,C_FuelStreams!BI:BI,P288))</f>
        <v/>
      </c>
      <c r="T291" s="142"/>
      <c r="U291" s="115"/>
      <c r="W291" s="561" t="str">
        <f t="shared" si="160"/>
        <v/>
      </c>
      <c r="X291" s="561" t="str">
        <f t="shared" si="160"/>
        <v/>
      </c>
      <c r="Y291" s="561" t="str">
        <f t="shared" si="160"/>
        <v/>
      </c>
      <c r="Z291" s="561" t="str">
        <f t="shared" si="160"/>
        <v/>
      </c>
      <c r="AA291" s="561" t="str">
        <f t="shared" si="160"/>
        <v/>
      </c>
      <c r="AB291" s="561" t="str">
        <f>IF(E291="","",OR(W291&lt;&gt;W283,X291&lt;&gt;X283,Z291&lt;&gt;Z283))</f>
        <v/>
      </c>
      <c r="AC291" s="567"/>
      <c r="AD291" s="561" t="str">
        <f t="shared" si="173"/>
        <v/>
      </c>
      <c r="AE291" s="561" t="str">
        <f t="shared" si="166"/>
        <v>n.a.</v>
      </c>
      <c r="AF291" s="561" t="str">
        <f t="shared" si="167"/>
        <v>n.a.</v>
      </c>
      <c r="AG291" s="561" t="str">
        <f t="shared" si="168"/>
        <v>n.a.</v>
      </c>
      <c r="AH291" s="561" t="b">
        <f t="shared" si="169"/>
        <v>0</v>
      </c>
      <c r="AI291" s="561" t="b">
        <f t="shared" si="170"/>
        <v>0</v>
      </c>
      <c r="AJ291" s="582" t="str">
        <f t="shared" si="171"/>
        <v/>
      </c>
      <c r="AK291" s="582" t="str">
        <f t="shared" si="172"/>
        <v/>
      </c>
      <c r="AL291" s="582" t="str">
        <f t="shared" si="163"/>
        <v/>
      </c>
    </row>
    <row r="292" spans="1:38" ht="12.75" customHeight="1" thickBot="1" x14ac:dyDescent="0.3">
      <c r="B292" s="132"/>
      <c r="C292" s="132"/>
      <c r="D292" s="1388"/>
      <c r="E292" s="43"/>
      <c r="F292" s="47"/>
      <c r="G292" s="641" t="str">
        <f t="shared" si="164"/>
        <v/>
      </c>
      <c r="H292" s="641" t="str">
        <f t="shared" si="165"/>
        <v/>
      </c>
      <c r="I292" s="48"/>
      <c r="J292" s="642" t="str">
        <f t="shared" si="157"/>
        <v/>
      </c>
      <c r="K292" s="642" t="str">
        <f t="shared" si="158"/>
        <v/>
      </c>
      <c r="L292" s="642" t="str">
        <f t="shared" si="159"/>
        <v/>
      </c>
      <c r="M292" s="116"/>
      <c r="N292" s="162"/>
      <c r="O292" s="162"/>
      <c r="P292" s="76"/>
      <c r="Q292" s="76"/>
      <c r="R292" s="116"/>
      <c r="S292" s="996"/>
      <c r="T292" s="142"/>
      <c r="U292" s="115"/>
      <c r="W292" s="561" t="str">
        <f t="shared" si="160"/>
        <v/>
      </c>
      <c r="X292" s="561" t="str">
        <f t="shared" si="160"/>
        <v/>
      </c>
      <c r="Y292" s="561" t="str">
        <f t="shared" si="160"/>
        <v/>
      </c>
      <c r="Z292" s="561" t="str">
        <f t="shared" si="160"/>
        <v/>
      </c>
      <c r="AA292" s="561" t="str">
        <f t="shared" si="160"/>
        <v/>
      </c>
      <c r="AB292" s="561" t="str">
        <f>IF(E292="","",OR(W292&lt;&gt;W283,X292&lt;&gt;X283,Z292&lt;&gt;Z283))</f>
        <v/>
      </c>
      <c r="AC292" s="567"/>
      <c r="AD292" s="561" t="str">
        <f t="shared" si="173"/>
        <v/>
      </c>
      <c r="AE292" s="561" t="str">
        <f t="shared" si="166"/>
        <v>n.a.</v>
      </c>
      <c r="AF292" s="561" t="str">
        <f t="shared" si="167"/>
        <v>n.a.</v>
      </c>
      <c r="AG292" s="561" t="str">
        <f t="shared" si="168"/>
        <v>n.a.</v>
      </c>
      <c r="AH292" s="561" t="b">
        <f t="shared" si="169"/>
        <v>0</v>
      </c>
      <c r="AI292" s="561" t="b">
        <f t="shared" si="170"/>
        <v>0</v>
      </c>
      <c r="AJ292" s="582" t="str">
        <f t="shared" si="171"/>
        <v/>
      </c>
      <c r="AK292" s="582" t="str">
        <f t="shared" si="172"/>
        <v/>
      </c>
      <c r="AL292" s="582" t="str">
        <f t="shared" si="163"/>
        <v/>
      </c>
    </row>
    <row r="293" spans="1:38" ht="12.75" customHeight="1" x14ac:dyDescent="0.25">
      <c r="B293" s="132"/>
      <c r="C293" s="132"/>
      <c r="D293" s="1388"/>
      <c r="E293" s="43"/>
      <c r="F293" s="47"/>
      <c r="G293" s="641" t="str">
        <f t="shared" si="164"/>
        <v/>
      </c>
      <c r="H293" s="641" t="str">
        <f t="shared" si="165"/>
        <v/>
      </c>
      <c r="I293" s="48"/>
      <c r="J293" s="642" t="str">
        <f t="shared" si="157"/>
        <v/>
      </c>
      <c r="K293" s="642" t="str">
        <f t="shared" si="158"/>
        <v/>
      </c>
      <c r="L293" s="642" t="str">
        <f t="shared" si="159"/>
        <v/>
      </c>
      <c r="M293" s="116"/>
      <c r="N293" s="365" t="str">
        <f>G286</f>
        <v/>
      </c>
      <c r="O293" s="11"/>
      <c r="P293" s="366"/>
      <c r="Q293" s="646" t="str">
        <f>IF(G302="","",G302)</f>
        <v/>
      </c>
      <c r="R293" s="116"/>
      <c r="S293" s="647" t="str">
        <f>IF(P288="","",SUMIFS(C_FuelStreams!BU:BU,C_FuelStreams!BI:BI,P288))</f>
        <v/>
      </c>
      <c r="T293" s="142"/>
      <c r="U293" s="115"/>
      <c r="W293" s="561" t="str">
        <f t="shared" si="160"/>
        <v/>
      </c>
      <c r="X293" s="561" t="str">
        <f t="shared" si="160"/>
        <v/>
      </c>
      <c r="Y293" s="561" t="str">
        <f t="shared" si="160"/>
        <v/>
      </c>
      <c r="Z293" s="561" t="str">
        <f t="shared" si="160"/>
        <v/>
      </c>
      <c r="AA293" s="561" t="str">
        <f t="shared" si="160"/>
        <v/>
      </c>
      <c r="AB293" s="561" t="str">
        <f>IF(E293="","",OR(W293&lt;&gt;W283,X293&lt;&gt;X283,Z293&lt;&gt;Z283))</f>
        <v/>
      </c>
      <c r="AC293" s="567"/>
      <c r="AD293" s="561" t="str">
        <f t="shared" si="173"/>
        <v/>
      </c>
      <c r="AE293" s="561" t="str">
        <f t="shared" si="166"/>
        <v>n.a.</v>
      </c>
      <c r="AF293" s="561" t="str">
        <f t="shared" si="167"/>
        <v>n.a.</v>
      </c>
      <c r="AG293" s="561" t="str">
        <f t="shared" si="168"/>
        <v>n.a.</v>
      </c>
      <c r="AH293" s="561" t="b">
        <f t="shared" si="169"/>
        <v>0</v>
      </c>
      <c r="AI293" s="561" t="b">
        <f t="shared" si="170"/>
        <v>0</v>
      </c>
      <c r="AJ293" s="582" t="str">
        <f t="shared" si="171"/>
        <v/>
      </c>
      <c r="AK293" s="582" t="str">
        <f t="shared" si="172"/>
        <v/>
      </c>
      <c r="AL293" s="582" t="str">
        <f t="shared" si="163"/>
        <v/>
      </c>
    </row>
    <row r="294" spans="1:38" ht="12.75" customHeight="1" thickBot="1" x14ac:dyDescent="0.3">
      <c r="B294" s="132"/>
      <c r="C294" s="132"/>
      <c r="D294" s="1388"/>
      <c r="E294" s="43"/>
      <c r="F294" s="47"/>
      <c r="G294" s="641" t="str">
        <f t="shared" si="164"/>
        <v/>
      </c>
      <c r="H294" s="641" t="str">
        <f t="shared" si="165"/>
        <v/>
      </c>
      <c r="I294" s="48"/>
      <c r="J294" s="642" t="str">
        <f t="shared" si="157"/>
        <v/>
      </c>
      <c r="K294" s="642" t="str">
        <f t="shared" si="158"/>
        <v/>
      </c>
      <c r="L294" s="642" t="str">
        <f t="shared" si="159"/>
        <v/>
      </c>
      <c r="M294" s="116"/>
      <c r="N294" s="648" t="str">
        <f>H286</f>
        <v/>
      </c>
      <c r="O294" s="22"/>
      <c r="P294" s="649"/>
      <c r="Q294" s="650" t="str">
        <f>IF(H302="","",H302)</f>
        <v/>
      </c>
      <c r="R294" s="116"/>
      <c r="S294" s="651" t="str">
        <f>IF(P288="","",SUMIFS(C_FuelStreams!BR:BR,C_FuelStreams!BI:BI,P288))</f>
        <v/>
      </c>
      <c r="T294" s="142"/>
      <c r="U294" s="115"/>
      <c r="W294" s="561" t="str">
        <f t="shared" si="160"/>
        <v/>
      </c>
      <c r="X294" s="561" t="str">
        <f t="shared" si="160"/>
        <v/>
      </c>
      <c r="Y294" s="561" t="str">
        <f t="shared" si="160"/>
        <v/>
      </c>
      <c r="Z294" s="561" t="str">
        <f t="shared" si="160"/>
        <v/>
      </c>
      <c r="AA294" s="561" t="str">
        <f t="shared" si="160"/>
        <v/>
      </c>
      <c r="AB294" s="561" t="str">
        <f>IF(E294="","",OR(W294&lt;&gt;W283,X294&lt;&gt;X283,Z294&lt;&gt;Z283))</f>
        <v/>
      </c>
      <c r="AC294" s="567"/>
      <c r="AD294" s="561" t="str">
        <f t="shared" si="173"/>
        <v/>
      </c>
      <c r="AE294" s="561" t="str">
        <f t="shared" si="166"/>
        <v>n.a.</v>
      </c>
      <c r="AF294" s="561" t="str">
        <f t="shared" si="167"/>
        <v>n.a.</v>
      </c>
      <c r="AG294" s="561" t="str">
        <f t="shared" si="168"/>
        <v>n.a.</v>
      </c>
      <c r="AH294" s="561" t="b">
        <f t="shared" si="169"/>
        <v>0</v>
      </c>
      <c r="AI294" s="561" t="b">
        <f t="shared" si="170"/>
        <v>0</v>
      </c>
      <c r="AJ294" s="582" t="str">
        <f t="shared" si="171"/>
        <v/>
      </c>
      <c r="AK294" s="582" t="str">
        <f t="shared" si="172"/>
        <v/>
      </c>
      <c r="AL294" s="582" t="str">
        <f t="shared" si="163"/>
        <v/>
      </c>
    </row>
    <row r="295" spans="1:38" ht="12.75" customHeight="1" x14ac:dyDescent="0.25">
      <c r="B295" s="132"/>
      <c r="C295" s="132"/>
      <c r="D295" s="1388"/>
      <c r="E295" s="43"/>
      <c r="F295" s="47"/>
      <c r="G295" s="641" t="str">
        <f t="shared" si="164"/>
        <v/>
      </c>
      <c r="H295" s="641" t="str">
        <f t="shared" si="165"/>
        <v/>
      </c>
      <c r="I295" s="48"/>
      <c r="J295" s="642" t="str">
        <f t="shared" si="157"/>
        <v/>
      </c>
      <c r="K295" s="642" t="str">
        <f t="shared" si="158"/>
        <v/>
      </c>
      <c r="L295" s="642" t="str">
        <f t="shared" si="159"/>
        <v/>
      </c>
      <c r="M295" s="116"/>
      <c r="N295" s="652" t="s">
        <v>46</v>
      </c>
      <c r="O295" s="411"/>
      <c r="P295" s="653"/>
      <c r="Q295" s="654" t="str">
        <f>IF(I302="","",I302)</f>
        <v/>
      </c>
      <c r="R295" s="116"/>
      <c r="S295" s="655" t="str">
        <f>IF(P288="","",SUMIFS(C_FuelStreams!BX:BX,C_FuelStreams!BI:BI,P288))</f>
        <v/>
      </c>
      <c r="T295" s="142"/>
      <c r="U295" s="115"/>
      <c r="W295" s="561" t="str">
        <f t="shared" si="160"/>
        <v/>
      </c>
      <c r="X295" s="561" t="str">
        <f t="shared" si="160"/>
        <v/>
      </c>
      <c r="Y295" s="561" t="str">
        <f t="shared" si="160"/>
        <v/>
      </c>
      <c r="Z295" s="561" t="str">
        <f t="shared" si="160"/>
        <v/>
      </c>
      <c r="AA295" s="561" t="str">
        <f t="shared" si="160"/>
        <v/>
      </c>
      <c r="AB295" s="561" t="str">
        <f>IF(E295="","",OR(W295&lt;&gt;W283,X295&lt;&gt;X283,Z295&lt;&gt;Z283))</f>
        <v/>
      </c>
      <c r="AC295" s="567"/>
      <c r="AD295" s="561" t="str">
        <f t="shared" si="173"/>
        <v/>
      </c>
      <c r="AE295" s="561" t="str">
        <f t="shared" si="166"/>
        <v>n.a.</v>
      </c>
      <c r="AF295" s="561" t="str">
        <f t="shared" si="167"/>
        <v>n.a.</v>
      </c>
      <c r="AG295" s="561" t="str">
        <f t="shared" si="168"/>
        <v>n.a.</v>
      </c>
      <c r="AH295" s="561" t="b">
        <f t="shared" si="169"/>
        <v>0</v>
      </c>
      <c r="AI295" s="561" t="b">
        <f t="shared" si="170"/>
        <v>0</v>
      </c>
      <c r="AJ295" s="582" t="str">
        <f t="shared" si="171"/>
        <v/>
      </c>
      <c r="AK295" s="582" t="str">
        <f t="shared" si="172"/>
        <v/>
      </c>
      <c r="AL295" s="582" t="str">
        <f t="shared" si="163"/>
        <v/>
      </c>
    </row>
    <row r="296" spans="1:38" ht="12.75" customHeight="1" x14ac:dyDescent="0.25">
      <c r="B296" s="132"/>
      <c r="C296" s="132"/>
      <c r="D296" s="1388"/>
      <c r="E296" s="43"/>
      <c r="F296" s="47"/>
      <c r="G296" s="641" t="str">
        <f t="shared" si="164"/>
        <v/>
      </c>
      <c r="H296" s="641" t="str">
        <f t="shared" si="165"/>
        <v/>
      </c>
      <c r="I296" s="48"/>
      <c r="J296" s="642" t="str">
        <f t="shared" si="157"/>
        <v/>
      </c>
      <c r="K296" s="642" t="str">
        <f t="shared" si="158"/>
        <v/>
      </c>
      <c r="L296" s="642" t="str">
        <f t="shared" si="159"/>
        <v/>
      </c>
      <c r="M296" s="1395"/>
      <c r="N296" s="116"/>
      <c r="O296" s="116"/>
      <c r="P296" s="116"/>
      <c r="Q296" s="116"/>
      <c r="R296" s="116"/>
      <c r="S296" s="132"/>
      <c r="T296" s="142"/>
      <c r="U296" s="115"/>
      <c r="W296" s="561" t="str">
        <f t="shared" si="160"/>
        <v/>
      </c>
      <c r="X296" s="561" t="str">
        <f t="shared" si="160"/>
        <v/>
      </c>
      <c r="Y296" s="561" t="str">
        <f t="shared" si="160"/>
        <v/>
      </c>
      <c r="Z296" s="561" t="str">
        <f t="shared" si="160"/>
        <v/>
      </c>
      <c r="AA296" s="561" t="str">
        <f t="shared" si="160"/>
        <v/>
      </c>
      <c r="AB296" s="561" t="str">
        <f>IF(E296="","",OR(W296&lt;&gt;W283,X296&lt;&gt;X283,Z296&lt;&gt;Z283))</f>
        <v/>
      </c>
      <c r="AC296" s="567"/>
      <c r="AD296" s="561" t="str">
        <f t="shared" si="173"/>
        <v/>
      </c>
      <c r="AE296" s="561" t="str">
        <f t="shared" si="166"/>
        <v>n.a.</v>
      </c>
      <c r="AF296" s="561" t="str">
        <f t="shared" si="167"/>
        <v>n.a.</v>
      </c>
      <c r="AG296" s="561" t="str">
        <f t="shared" si="168"/>
        <v>n.a.</v>
      </c>
      <c r="AH296" s="561" t="b">
        <f t="shared" si="169"/>
        <v>0</v>
      </c>
      <c r="AI296" s="561" t="b">
        <f t="shared" si="170"/>
        <v>0</v>
      </c>
      <c r="AJ296" s="582" t="str">
        <f t="shared" si="171"/>
        <v/>
      </c>
      <c r="AK296" s="582" t="str">
        <f t="shared" si="172"/>
        <v/>
      </c>
      <c r="AL296" s="582" t="str">
        <f t="shared" si="163"/>
        <v/>
      </c>
    </row>
    <row r="297" spans="1:38" ht="12.75" customHeight="1" x14ac:dyDescent="0.25">
      <c r="B297" s="132"/>
      <c r="C297" s="132"/>
      <c r="D297" s="1388" t="str">
        <f>Translations!$B$643</f>
        <v>Customised components</v>
      </c>
      <c r="E297" s="42"/>
      <c r="F297" s="45"/>
      <c r="G297" s="49"/>
      <c r="H297" s="49"/>
      <c r="I297" s="46"/>
      <c r="J297" s="640" t="str">
        <f t="shared" si="157"/>
        <v/>
      </c>
      <c r="K297" s="640" t="str">
        <f t="shared" si="158"/>
        <v/>
      </c>
      <c r="L297" s="640" t="str">
        <f t="shared" si="159"/>
        <v/>
      </c>
      <c r="M297" s="1395"/>
      <c r="N297" s="116"/>
      <c r="O297" s="116"/>
      <c r="P297" s="656" t="str">
        <f>Translations!$B$644</f>
        <v>CO2 fossil (before scope factor):</v>
      </c>
      <c r="Q297" s="997" t="str">
        <f>IF(K302="","",K302)</f>
        <v/>
      </c>
      <c r="R297" s="656"/>
      <c r="S297" s="997" t="str">
        <f>IF(P288="","",IF(W297=0,0,SUMIFS(C_FuelStreams!CE:CE,C_FuelStreams!BI:BI,P288)/W297))</f>
        <v/>
      </c>
      <c r="T297" s="142"/>
      <c r="U297" s="115"/>
      <c r="V297" s="110" t="str">
        <f>Translations!$B$398</f>
        <v>Scope factor:</v>
      </c>
      <c r="W297" s="617" t="str">
        <f>IF(P288="","",SUMIFS(C_FuelStreams!BP:BP,C_FuelStreams!BI:BI,P288))</f>
        <v/>
      </c>
      <c r="AD297" s="561" t="str">
        <f t="shared" si="173"/>
        <v/>
      </c>
      <c r="AE297" s="561" t="str">
        <f t="shared" si="166"/>
        <v>n.a.</v>
      </c>
      <c r="AF297" s="561" t="str">
        <f t="shared" si="167"/>
        <v>n.a.</v>
      </c>
      <c r="AG297" s="561" t="str">
        <f t="shared" si="168"/>
        <v>n.a.</v>
      </c>
      <c r="AH297" s="561" t="b">
        <f t="shared" si="169"/>
        <v>0</v>
      </c>
      <c r="AI297" s="561" t="b">
        <f t="shared" si="170"/>
        <v>0</v>
      </c>
      <c r="AJ297" s="582" t="str">
        <f t="shared" si="171"/>
        <v/>
      </c>
      <c r="AK297" s="582" t="str">
        <f t="shared" si="172"/>
        <v/>
      </c>
      <c r="AL297" s="582" t="str">
        <f t="shared" si="163"/>
        <v/>
      </c>
    </row>
    <row r="298" spans="1:38" ht="12.75" customHeight="1" x14ac:dyDescent="0.25">
      <c r="B298" s="132"/>
      <c r="C298" s="132"/>
      <c r="D298" s="1388"/>
      <c r="E298" s="43"/>
      <c r="F298" s="47"/>
      <c r="G298" s="50"/>
      <c r="H298" s="50"/>
      <c r="I298" s="48"/>
      <c r="J298" s="642" t="str">
        <f t="shared" si="157"/>
        <v/>
      </c>
      <c r="K298" s="642" t="str">
        <f t="shared" si="158"/>
        <v/>
      </c>
      <c r="L298" s="642" t="str">
        <f t="shared" si="159"/>
        <v/>
      </c>
      <c r="M298" s="1395"/>
      <c r="N298" s="116"/>
      <c r="O298" s="116"/>
      <c r="P298" s="116"/>
      <c r="Q298" s="116"/>
      <c r="R298" s="116"/>
      <c r="S298" s="132"/>
      <c r="T298" s="142"/>
      <c r="U298" s="115"/>
      <c r="AD298" s="561" t="str">
        <f t="shared" si="173"/>
        <v/>
      </c>
      <c r="AE298" s="561" t="str">
        <f t="shared" si="166"/>
        <v>n.a.</v>
      </c>
      <c r="AF298" s="561" t="str">
        <f t="shared" si="167"/>
        <v>n.a.</v>
      </c>
      <c r="AG298" s="561" t="str">
        <f t="shared" si="168"/>
        <v>n.a.</v>
      </c>
      <c r="AH298" s="561" t="b">
        <f t="shared" si="169"/>
        <v>0</v>
      </c>
      <c r="AI298" s="561" t="b">
        <f t="shared" si="170"/>
        <v>0</v>
      </c>
      <c r="AJ298" s="582" t="str">
        <f t="shared" si="171"/>
        <v/>
      </c>
      <c r="AK298" s="582" t="str">
        <f t="shared" si="172"/>
        <v/>
      </c>
      <c r="AL298" s="582" t="str">
        <f t="shared" si="163"/>
        <v/>
      </c>
    </row>
    <row r="299" spans="1:38" ht="12.75" customHeight="1" x14ac:dyDescent="0.25">
      <c r="B299" s="132"/>
      <c r="C299" s="132"/>
      <c r="D299" s="1388"/>
      <c r="E299" s="43"/>
      <c r="F299" s="47"/>
      <c r="G299" s="50"/>
      <c r="H299" s="50"/>
      <c r="I299" s="48"/>
      <c r="J299" s="642" t="str">
        <f t="shared" si="157"/>
        <v/>
      </c>
      <c r="K299" s="642" t="str">
        <f t="shared" si="158"/>
        <v/>
      </c>
      <c r="L299" s="642" t="str">
        <f t="shared" si="159"/>
        <v/>
      </c>
      <c r="M299" s="1395"/>
      <c r="N299" s="116"/>
      <c r="O299" s="116"/>
      <c r="P299" s="116"/>
      <c r="Q299" s="116"/>
      <c r="R299" s="116"/>
      <c r="S299" s="132"/>
      <c r="T299" s="142"/>
      <c r="U299" s="115"/>
      <c r="AD299" s="561" t="str">
        <f t="shared" si="173"/>
        <v/>
      </c>
      <c r="AE299" s="561" t="str">
        <f t="shared" si="166"/>
        <v>n.a.</v>
      </c>
      <c r="AF299" s="561" t="str">
        <f t="shared" si="167"/>
        <v>n.a.</v>
      </c>
      <c r="AG299" s="561" t="str">
        <f t="shared" si="168"/>
        <v>n.a.</v>
      </c>
      <c r="AH299" s="561" t="b">
        <f t="shared" si="169"/>
        <v>0</v>
      </c>
      <c r="AI299" s="561" t="b">
        <f t="shared" si="170"/>
        <v>0</v>
      </c>
      <c r="AJ299" s="582" t="str">
        <f t="shared" si="171"/>
        <v/>
      </c>
      <c r="AK299" s="582" t="str">
        <f t="shared" si="172"/>
        <v/>
      </c>
      <c r="AL299" s="582" t="str">
        <f t="shared" si="163"/>
        <v/>
      </c>
    </row>
    <row r="300" spans="1:38" ht="12.75" customHeight="1" x14ac:dyDescent="0.25">
      <c r="B300" s="132"/>
      <c r="C300" s="132"/>
      <c r="D300" s="1388"/>
      <c r="E300" s="43"/>
      <c r="F300" s="47"/>
      <c r="G300" s="50"/>
      <c r="H300" s="50"/>
      <c r="I300" s="48"/>
      <c r="J300" s="642" t="str">
        <f t="shared" si="157"/>
        <v/>
      </c>
      <c r="K300" s="642" t="str">
        <f t="shared" si="158"/>
        <v/>
      </c>
      <c r="L300" s="642" t="str">
        <f t="shared" si="159"/>
        <v/>
      </c>
      <c r="M300" s="1395"/>
      <c r="N300" s="116"/>
      <c r="O300" s="116"/>
      <c r="P300" s="116"/>
      <c r="Q300" s="116"/>
      <c r="R300" s="116"/>
      <c r="S300" s="132"/>
      <c r="T300" s="142"/>
      <c r="U300" s="115"/>
      <c r="AD300" s="561" t="str">
        <f t="shared" si="173"/>
        <v/>
      </c>
      <c r="AE300" s="561" t="str">
        <f t="shared" si="166"/>
        <v>n.a.</v>
      </c>
      <c r="AF300" s="561" t="str">
        <f t="shared" si="167"/>
        <v>n.a.</v>
      </c>
      <c r="AG300" s="561" t="str">
        <f t="shared" si="168"/>
        <v>n.a.</v>
      </c>
      <c r="AH300" s="561" t="b">
        <f t="shared" si="169"/>
        <v>0</v>
      </c>
      <c r="AI300" s="561" t="b">
        <f t="shared" si="170"/>
        <v>0</v>
      </c>
      <c r="AJ300" s="582" t="str">
        <f t="shared" si="171"/>
        <v/>
      </c>
      <c r="AK300" s="582" t="str">
        <f t="shared" si="172"/>
        <v/>
      </c>
      <c r="AL300" s="582" t="str">
        <f t="shared" si="163"/>
        <v/>
      </c>
    </row>
    <row r="301" spans="1:38" ht="12.75" customHeight="1" x14ac:dyDescent="0.25">
      <c r="B301" s="132"/>
      <c r="C301" s="132"/>
      <c r="D301" s="1388"/>
      <c r="E301" s="44"/>
      <c r="F301" s="51"/>
      <c r="G301" s="52"/>
      <c r="H301" s="52"/>
      <c r="I301" s="53"/>
      <c r="J301" s="657" t="str">
        <f t="shared" si="157"/>
        <v/>
      </c>
      <c r="K301" s="657" t="str">
        <f t="shared" si="158"/>
        <v/>
      </c>
      <c r="L301" s="657" t="str">
        <f t="shared" si="159"/>
        <v/>
      </c>
      <c r="M301" s="1395"/>
      <c r="N301" s="116"/>
      <c r="O301" s="116"/>
      <c r="P301" s="116"/>
      <c r="Q301" s="116"/>
      <c r="R301" s="116"/>
      <c r="S301" s="132"/>
      <c r="T301" s="142"/>
      <c r="U301" s="115"/>
      <c r="AD301" s="561" t="str">
        <f t="shared" si="173"/>
        <v/>
      </c>
      <c r="AE301" s="561" t="str">
        <f t="shared" si="166"/>
        <v>n.a.</v>
      </c>
      <c r="AF301" s="561" t="str">
        <f t="shared" si="167"/>
        <v>n.a.</v>
      </c>
      <c r="AG301" s="561" t="str">
        <f t="shared" si="168"/>
        <v>n.a.</v>
      </c>
      <c r="AH301" s="561" t="b">
        <f t="shared" si="169"/>
        <v>0</v>
      </c>
      <c r="AI301" s="561" t="b">
        <f t="shared" si="170"/>
        <v>0</v>
      </c>
      <c r="AJ301" s="582" t="str">
        <f t="shared" si="171"/>
        <v/>
      </c>
      <c r="AK301" s="582" t="str">
        <f t="shared" si="172"/>
        <v/>
      </c>
      <c r="AL301" s="582" t="str">
        <f t="shared" si="163"/>
        <v/>
      </c>
    </row>
    <row r="302" spans="1:38" ht="12.75" customHeight="1" x14ac:dyDescent="0.25">
      <c r="B302" s="132"/>
      <c r="C302" s="132"/>
      <c r="D302" s="132"/>
      <c r="E302" s="658" t="str">
        <f>Translations!$B$645</f>
        <v>TOTALS</v>
      </c>
      <c r="F302" s="659" t="str">
        <f>IF(SUM(F287:F301)=0,"",SUM(F287:F301))</f>
        <v/>
      </c>
      <c r="G302" s="660" t="str">
        <f>IF(SUM(F302)=0,"",J302/F302)</f>
        <v/>
      </c>
      <c r="H302" s="660" t="str">
        <f>IF(SUM(J302)=0,"",SUM(K302:L302)/IF(AF287&lt;&gt;EUconst_NA,F302,J302)/IF(AG287=EUconst_NA,1,AG287))</f>
        <v/>
      </c>
      <c r="I302" s="661" t="str">
        <f>IF(SUM(K302:L302)=0,"",L302/SUM(K302:L302))</f>
        <v/>
      </c>
      <c r="J302" s="659" t="str">
        <f>IF(COUNTA(E287:E301)=0,"",IFERROR(SUM(J287:J301),EUconst_ERR_Inconsistent))</f>
        <v/>
      </c>
      <c r="K302" s="659" t="str">
        <f>IF(COUNTA(E287:E301)=0,"",IFERROR(SUM(K287:K301),EUconst_ERR_Inconsistent))</f>
        <v/>
      </c>
      <c r="L302" s="659" t="str">
        <f>IF(COUNTA(E287:E301)=0,"",IFERROR(SUM(L287:L301),EUconst_ERR_Inconsistent))</f>
        <v/>
      </c>
      <c r="M302" s="1395"/>
      <c r="N302" s="116"/>
      <c r="O302" s="116"/>
      <c r="P302" s="116"/>
      <c r="Q302" s="116"/>
      <c r="R302" s="116"/>
      <c r="S302" s="132"/>
      <c r="T302" s="142"/>
      <c r="U302" s="115"/>
    </row>
    <row r="303" spans="1:38" ht="12.75" customHeight="1" x14ac:dyDescent="0.25">
      <c r="B303" s="132"/>
      <c r="C303" s="132"/>
      <c r="D303" s="132"/>
      <c r="E303" s="191"/>
      <c r="F303" s="116"/>
      <c r="G303" s="116"/>
      <c r="H303" s="116"/>
      <c r="I303" s="116"/>
      <c r="J303" s="116"/>
      <c r="K303" s="116"/>
      <c r="L303" s="116"/>
      <c r="M303" s="116"/>
      <c r="N303" s="116"/>
      <c r="O303" s="116"/>
      <c r="P303" s="116"/>
      <c r="Q303" s="116"/>
      <c r="R303" s="116"/>
      <c r="S303" s="132"/>
      <c r="T303" s="142"/>
      <c r="U303" s="115"/>
    </row>
    <row r="304" spans="1:38" s="69" customFormat="1" ht="18.75" customHeight="1" x14ac:dyDescent="0.25">
      <c r="A304" s="167">
        <f>C304</f>
        <v>13</v>
      </c>
      <c r="B304" s="76"/>
      <c r="C304" s="216">
        <f>C281+1</f>
        <v>13</v>
      </c>
      <c r="D304" s="1195" t="str">
        <f>"Tool " &amp;C304-2</f>
        <v>Tool 11</v>
      </c>
      <c r="E304" s="1195"/>
      <c r="F304" s="1195"/>
      <c r="G304" s="1195"/>
      <c r="H304" s="1195"/>
      <c r="I304" s="1195"/>
      <c r="J304" s="1195"/>
      <c r="K304" s="1195"/>
      <c r="L304" s="1195"/>
      <c r="M304" s="1195"/>
      <c r="N304" s="1195"/>
      <c r="O304" s="1195"/>
      <c r="P304" s="1195"/>
      <c r="Q304" s="1195"/>
      <c r="R304" s="1195"/>
      <c r="S304" s="1195"/>
      <c r="T304" s="142"/>
      <c r="U304" s="115"/>
      <c r="V304" s="464" t="str">
        <f>D304</f>
        <v>Tool 11</v>
      </c>
      <c r="W304" s="110"/>
      <c r="X304" s="110"/>
      <c r="Y304" s="110"/>
      <c r="Z304" s="110"/>
      <c r="AA304" s="109"/>
      <c r="AB304" s="109"/>
      <c r="AC304" s="109"/>
      <c r="AD304" s="109"/>
      <c r="AE304" s="109"/>
      <c r="AF304" s="109"/>
      <c r="AG304" s="109"/>
      <c r="AH304" s="109"/>
      <c r="AI304" s="109"/>
      <c r="AJ304" s="109"/>
      <c r="AK304" s="109"/>
      <c r="AL304" s="109"/>
    </row>
    <row r="305" spans="2:38" ht="12.75" customHeight="1" x14ac:dyDescent="0.25">
      <c r="B305" s="132"/>
      <c r="C305" s="132"/>
      <c r="D305" s="132"/>
      <c r="E305" s="191"/>
      <c r="F305" s="116"/>
      <c r="G305" s="116"/>
      <c r="H305" s="116"/>
      <c r="I305" s="116"/>
      <c r="J305" s="116"/>
      <c r="K305" s="116"/>
      <c r="L305" s="116"/>
      <c r="M305" s="116"/>
      <c r="N305" s="116"/>
      <c r="O305" s="116"/>
      <c r="P305" s="116"/>
      <c r="Q305" s="116"/>
      <c r="R305" s="116"/>
      <c r="S305" s="132"/>
      <c r="T305" s="142"/>
      <c r="U305" s="115"/>
    </row>
    <row r="306" spans="2:38" ht="12.75" customHeight="1" x14ac:dyDescent="0.25">
      <c r="B306" s="132"/>
      <c r="C306" s="132"/>
      <c r="D306" s="1377" t="str">
        <f>Translations!$B$631</f>
        <v>Component</v>
      </c>
      <c r="E306" s="1378"/>
      <c r="F306" s="633">
        <v>1</v>
      </c>
      <c r="G306" s="633">
        <v>2</v>
      </c>
      <c r="H306" s="633">
        <v>3</v>
      </c>
      <c r="I306" s="633">
        <v>4</v>
      </c>
      <c r="J306" s="633">
        <v>5</v>
      </c>
      <c r="K306" s="633">
        <v>6</v>
      </c>
      <c r="L306" s="633">
        <v>7</v>
      </c>
      <c r="M306" s="116"/>
      <c r="N306" s="116"/>
      <c r="O306" s="116"/>
      <c r="P306" s="116"/>
      <c r="Q306" s="116"/>
      <c r="R306" s="116"/>
      <c r="S306" s="132"/>
      <c r="T306" s="142"/>
      <c r="U306" s="115"/>
      <c r="V306" s="566" t="str">
        <f>Translations!$B$498</f>
        <v>Units:</v>
      </c>
      <c r="W306" s="561" t="str" cm="1">
        <f t="array" ref="W306">IFERROR(INDEX(_xlfn._xlws.FILTER(W310:W319,(W310:W319)&lt;&gt;"",""),1),W307)</f>
        <v/>
      </c>
      <c r="X306" s="561" t="str" cm="1">
        <f t="array" ref="X306">IFERROR(INDEX(_xlfn._xlws.FILTER(X310:X319,(X310:X319)&lt;&gt;"",""),1),X307)</f>
        <v/>
      </c>
      <c r="Y306" s="567"/>
      <c r="Z306" s="561" t="str" cm="1">
        <f t="array" ref="Z306">IFERROR(INDEX(_xlfn._xlws.FILTER(Z310:Z319,(Z310:Z319)&lt;&gt;"",""),1),Z307)</f>
        <v/>
      </c>
      <c r="AA306" s="567"/>
    </row>
    <row r="307" spans="2:38" ht="12.75" customHeight="1" x14ac:dyDescent="0.25">
      <c r="B307" s="132"/>
      <c r="C307" s="132"/>
      <c r="D307" s="1379"/>
      <c r="E307" s="1380"/>
      <c r="F307" s="1383" t="str">
        <f>Translations!$B$377</f>
        <v>RFA</v>
      </c>
      <c r="G307" s="1383" t="str">
        <f>Translations!$B$386</f>
        <v>UCF</v>
      </c>
      <c r="H307" s="1383" t="str">
        <f>Translations!$B$383</f>
        <v>EF</v>
      </c>
      <c r="I307" s="1383" t="str">
        <f>Translations!$B$632</f>
        <v>Zero-rated F</v>
      </c>
      <c r="J307" s="1385" t="str">
        <f>Translations!$B$652</f>
        <v>Energy or other</v>
      </c>
      <c r="K307" s="1385" t="str">
        <f>Translations!$B$522</f>
        <v>Emissions (fossil)</v>
      </c>
      <c r="L307" s="1385" t="str">
        <f>Translations!$B$634</f>
        <v>Emissions (bio)</v>
      </c>
      <c r="M307" s="116"/>
      <c r="N307" s="116"/>
      <c r="O307" s="116"/>
      <c r="P307" s="116"/>
      <c r="Q307" s="116"/>
      <c r="R307" s="116"/>
      <c r="S307" s="132"/>
      <c r="T307" s="142"/>
      <c r="U307" s="115"/>
      <c r="W307" s="561" t="str">
        <f t="array" ref="W307">IFERROR(INDEX(W310:W319,MATCH(TRUE,(W310:W319)&lt;&gt;"",0)),"")</f>
        <v/>
      </c>
      <c r="X307" s="561" t="str">
        <f t="array" ref="X307">IFERROR(INDEX(X310:X319,MATCH(TRUE,(X310:X319)&lt;&gt;"",0)),"")</f>
        <v/>
      </c>
      <c r="Y307" s="567"/>
      <c r="Z307" s="561" t="str">
        <f t="array" ref="Z307">IFERROR(INDEX(Z310:Z319,MATCH(TRUE,(Z310:Z319)&lt;&gt;"",0)),"")</f>
        <v/>
      </c>
      <c r="AA307" s="567"/>
    </row>
    <row r="308" spans="2:38" ht="12.75" customHeight="1" x14ac:dyDescent="0.3">
      <c r="B308" s="132"/>
      <c r="C308" s="132"/>
      <c r="D308" s="1379"/>
      <c r="E308" s="1380"/>
      <c r="F308" s="1384"/>
      <c r="G308" s="1384"/>
      <c r="H308" s="1384"/>
      <c r="I308" s="1384"/>
      <c r="J308" s="1386"/>
      <c r="K308" s="1386"/>
      <c r="L308" s="1386"/>
      <c r="M308" s="116"/>
      <c r="N308" s="634" t="str">
        <f>Translations!$B$635</f>
        <v>Result to be entered in sheet C</v>
      </c>
      <c r="O308" s="116"/>
      <c r="P308" s="116"/>
      <c r="Q308" s="116"/>
      <c r="R308" s="116"/>
      <c r="S308" s="132"/>
      <c r="T308" s="142"/>
      <c r="U308" s="115"/>
      <c r="W308" s="569" t="str">
        <f>Translations!$B$377</f>
        <v>RFA</v>
      </c>
      <c r="X308" s="569" t="str">
        <f>Translations!$B$386</f>
        <v>UCF</v>
      </c>
      <c r="Y308" s="569"/>
      <c r="Z308" s="569" t="str">
        <f>Translations!$B$383</f>
        <v>EF</v>
      </c>
      <c r="AA308" s="569"/>
      <c r="AB308" s="570"/>
      <c r="AC308" s="570"/>
      <c r="AH308" s="570"/>
      <c r="AI308" s="570"/>
      <c r="AJ308" s="570"/>
    </row>
    <row r="309" spans="2:38" ht="12.75" customHeight="1" x14ac:dyDescent="0.3">
      <c r="B309" s="132"/>
      <c r="C309" s="132"/>
      <c r="D309" s="1381"/>
      <c r="E309" s="1382"/>
      <c r="F309" s="635" t="str">
        <f>IF(COUNTA($E310:$E324)=0,"",$W306)</f>
        <v/>
      </c>
      <c r="G309" s="635" t="str">
        <f>IF(COUNTA($E310:$E324)=0,"",$X306)</f>
        <v/>
      </c>
      <c r="H309" s="635" t="str">
        <f>IF(COUNTA($E310:$E324)=0,"",$Z306)</f>
        <v/>
      </c>
      <c r="I309" s="636" t="s">
        <v>46</v>
      </c>
      <c r="J309" s="635" t="str">
        <f>IF(AE310=EUconst_NA,EUconst_GJ,AE310)</f>
        <v>GJ</v>
      </c>
      <c r="K309" s="637" t="s">
        <v>188</v>
      </c>
      <c r="L309" s="637" t="s">
        <v>188</v>
      </c>
      <c r="M309" s="116"/>
      <c r="N309" s="1387" t="str">
        <f>Translations!$B$636</f>
        <v>The results of this tool are the relevant (weighted average) values below. Each value has to be entered manually in sheet C for the respective fuel stream. Select fuel stream below for comparison.</v>
      </c>
      <c r="O309" s="1387"/>
      <c r="P309" s="1387"/>
      <c r="Q309" s="1387"/>
      <c r="R309" s="1387"/>
      <c r="S309" s="1387"/>
      <c r="T309" s="142"/>
      <c r="U309" s="115"/>
      <c r="W309" s="569" t="str">
        <f>EUconst_CNTR_ActivityData&amp;EUconst_Unit</f>
        <v>ActivityData_Unit</v>
      </c>
      <c r="X309" s="569" t="str">
        <f>EUconst_CNTR_UCF&amp;EUconst_Unit</f>
        <v>UCF_Unit</v>
      </c>
      <c r="Y309" s="569" t="str">
        <f>EUconst_CNTR_UCF&amp;EUconst_Value</f>
        <v>UCF_Value</v>
      </c>
      <c r="Z309" s="569" t="str">
        <f>EUconst_CNTR_EF&amp;EUconst_Unit</f>
        <v>EF_Unit</v>
      </c>
      <c r="AA309" s="569" t="str">
        <f>EUconst_CNTR_EF&amp;EUconst_Value</f>
        <v>EF_Value</v>
      </c>
      <c r="AB309" s="569" t="s">
        <v>189</v>
      </c>
      <c r="AC309" s="575"/>
      <c r="AD309" s="576" t="s">
        <v>147</v>
      </c>
      <c r="AE309" s="576" t="s">
        <v>151</v>
      </c>
      <c r="AF309" s="576" t="s">
        <v>153</v>
      </c>
      <c r="AG309" s="576" t="s">
        <v>155</v>
      </c>
      <c r="AH309" s="575"/>
      <c r="AI309" s="575"/>
      <c r="AJ309" s="575" t="s">
        <v>190</v>
      </c>
      <c r="AK309" s="575" t="s">
        <v>191</v>
      </c>
      <c r="AL309" s="575" t="s">
        <v>192</v>
      </c>
    </row>
    <row r="310" spans="2:38" ht="12.75" customHeight="1" x14ac:dyDescent="0.25">
      <c r="B310" s="132"/>
      <c r="C310" s="132"/>
      <c r="D310" s="1388" t="str">
        <f>Translations!$B$637</f>
        <v>Default compontents provided by the CA</v>
      </c>
      <c r="E310" s="42"/>
      <c r="F310" s="45"/>
      <c r="G310" s="639" t="str">
        <f>IF($E310="","",Y310)</f>
        <v/>
      </c>
      <c r="H310" s="639" t="str">
        <f>IF($E310="","",AA310)</f>
        <v/>
      </c>
      <c r="I310" s="46"/>
      <c r="J310" s="640" t="str">
        <f t="shared" ref="J310:J324" si="174">IFERROR(IF(E310="","",AL310),EUconst_ERR_Inconsistent)</f>
        <v/>
      </c>
      <c r="K310" s="640" t="str">
        <f t="shared" ref="K310:K324" si="175">IFERROR(IF(E310="","",AJ310),EUconst_ERR_Inconsistent)</f>
        <v/>
      </c>
      <c r="L310" s="640" t="str">
        <f t="shared" ref="L310:L324" si="176">IFERROR(IF(E310="","",AK310),EUconst_ERR_Inconsistent)</f>
        <v/>
      </c>
      <c r="M310" s="1389"/>
      <c r="N310" s="1387"/>
      <c r="O310" s="1387"/>
      <c r="P310" s="1387"/>
      <c r="Q310" s="1387"/>
      <c r="R310" s="1387"/>
      <c r="S310" s="1387"/>
      <c r="T310" s="142"/>
      <c r="U310" s="115"/>
      <c r="W310" s="561" t="str">
        <f t="shared" ref="W310:AA319" si="177">IF($E310="","",INDEX(MSPara_CalcFactorsMatrix,MATCH($E310,MSPara_SourceStreamCategory,0),MATCH(W$20&amp;"_"&amp;2,MSPara_CalcFactors,0)))</f>
        <v/>
      </c>
      <c r="X310" s="561" t="str">
        <f t="shared" si="177"/>
        <v/>
      </c>
      <c r="Y310" s="561" t="str">
        <f t="shared" si="177"/>
        <v/>
      </c>
      <c r="Z310" s="561" t="str">
        <f t="shared" si="177"/>
        <v/>
      </c>
      <c r="AA310" s="561" t="str">
        <f t="shared" si="177"/>
        <v/>
      </c>
      <c r="AB310" s="561" t="str">
        <f>IF(E310="","",OR(W310&lt;&gt;W306,X310&lt;&gt;X306,Z310&lt;&gt;Z306))</f>
        <v/>
      </c>
      <c r="AC310" s="567"/>
      <c r="AD310" s="561" t="str">
        <f>W310</f>
        <v/>
      </c>
      <c r="AE310" s="561" t="str">
        <f>IF(X310="",EUconst_NA,IF(AD310=EUconst_TJ,EUconst_TJ,INDEX(EUwideConstants!$C$135:$G$139,MATCH(AD310,RFAUnits,0),MATCH(X310,UCFUnits,0))))</f>
        <v>n.a.</v>
      </c>
      <c r="AF310" s="561" t="str">
        <f>IF(COUNTIF(RFAUnits,AD310)=0,EUconst_NA,INDEX(EUwideConstants!$C$150:$H$154,MATCH(Z310,EFUnits,0),MATCH(AD310,EUwideConstants!$C$149:$H$149,0)))</f>
        <v>n.a.</v>
      </c>
      <c r="AG310" s="561" t="str">
        <f>IF(AE310=EUconst_NA,EUconst_NA,INDEX(EUwideConstants!$C$150:$H$154,MATCH(Z310,EFUnits,0),MATCH(AE310,EUwideConstants!$C$149:$H$149,0)))</f>
        <v>n.a.</v>
      </c>
      <c r="AH310" s="561" t="b">
        <f t="shared" ref="AH310" si="178">AF310&lt;&gt;EUconst_NA</f>
        <v>0</v>
      </c>
      <c r="AI310" s="561" t="b">
        <f t="shared" ref="AI310" si="179">AG310&lt;&gt;EUconst_NA</f>
        <v>0</v>
      </c>
      <c r="AJ310" s="582" t="str">
        <f>IF(OR(E310="",COUNTIF(AH310:AI310,TRUE)=0),"",F310*IF(AH310,1,G310*AG310)*H310*(1-I310))</f>
        <v/>
      </c>
      <c r="AK310" s="582" t="str">
        <f>IF(OR(E310="",COUNTIF(AH310:AI310,TRUE)=0),"",F310*IF(AH310,1,G310*AG310)*H310*I310)</f>
        <v/>
      </c>
      <c r="AL310" s="582" t="str">
        <f t="shared" ref="AL310:AL324" si="180">IF(E310="","",IF(W310=EUconst_TJ,F310,F310*G310))</f>
        <v/>
      </c>
    </row>
    <row r="311" spans="2:38" ht="12.75" customHeight="1" x14ac:dyDescent="0.25">
      <c r="B311" s="132"/>
      <c r="C311" s="132"/>
      <c r="D311" s="1388"/>
      <c r="E311" s="43"/>
      <c r="F311" s="47"/>
      <c r="G311" s="641" t="str">
        <f t="shared" ref="G311:G319" si="181">IF($E311="","",Y311)</f>
        <v/>
      </c>
      <c r="H311" s="641" t="str">
        <f t="shared" ref="H311:H319" si="182">IF($E311="","",AA311)</f>
        <v/>
      </c>
      <c r="I311" s="48"/>
      <c r="J311" s="642" t="str">
        <f t="shared" si="174"/>
        <v/>
      </c>
      <c r="K311" s="642" t="str">
        <f t="shared" si="175"/>
        <v/>
      </c>
      <c r="L311" s="642" t="str">
        <f t="shared" si="176"/>
        <v/>
      </c>
      <c r="M311" s="1389"/>
      <c r="N311" s="638"/>
      <c r="O311" s="643" t="str">
        <f>Translations!$B$639</f>
        <v>Fuel stream:</v>
      </c>
      <c r="P311" s="1390"/>
      <c r="Q311" s="1391"/>
      <c r="R311" s="1391"/>
      <c r="S311" s="1392"/>
      <c r="T311" s="142"/>
      <c r="U311" s="115"/>
      <c r="W311" s="561" t="str">
        <f t="shared" si="177"/>
        <v/>
      </c>
      <c r="X311" s="561" t="str">
        <f t="shared" si="177"/>
        <v/>
      </c>
      <c r="Y311" s="561" t="str">
        <f t="shared" si="177"/>
        <v/>
      </c>
      <c r="Z311" s="561" t="str">
        <f t="shared" si="177"/>
        <v/>
      </c>
      <c r="AA311" s="561" t="str">
        <f t="shared" si="177"/>
        <v/>
      </c>
      <c r="AB311" s="561" t="str">
        <f>IF(E311="","",OR(W311&lt;&gt;W306,X311&lt;&gt;X306,Z311&lt;&gt;Z306))</f>
        <v/>
      </c>
      <c r="AC311" s="567"/>
      <c r="AD311" s="561" t="str">
        <f>AD310</f>
        <v/>
      </c>
      <c r="AE311" s="561" t="str">
        <f t="shared" ref="AE311:AI324" si="183">AE310</f>
        <v>n.a.</v>
      </c>
      <c r="AF311" s="561" t="str">
        <f t="shared" si="183"/>
        <v>n.a.</v>
      </c>
      <c r="AG311" s="561" t="str">
        <f t="shared" si="183"/>
        <v>n.a.</v>
      </c>
      <c r="AH311" s="561" t="b">
        <f t="shared" si="183"/>
        <v>0</v>
      </c>
      <c r="AI311" s="561" t="b">
        <f t="shared" si="183"/>
        <v>0</v>
      </c>
      <c r="AJ311" s="582" t="str">
        <f t="shared" ref="AJ311:AJ324" si="184">IF(OR(E311="",COUNTIF(AH311:AI311,TRUE)=0),"",F311*IF(AH311,1,G311*AG311)*H311*(1-I311))</f>
        <v/>
      </c>
      <c r="AK311" s="582" t="str">
        <f t="shared" ref="AK311:AK324" si="185">IF(OR(E311="",COUNTIF(AH311:AI311,TRUE)=0),"",F311*IF(AH311,1,G311*AG311)*H311*I311)</f>
        <v/>
      </c>
      <c r="AL311" s="582" t="str">
        <f t="shared" si="180"/>
        <v/>
      </c>
    </row>
    <row r="312" spans="2:38" ht="12.75" customHeight="1" x14ac:dyDescent="0.25">
      <c r="B312" s="132"/>
      <c r="C312" s="132"/>
      <c r="D312" s="1388"/>
      <c r="E312" s="43"/>
      <c r="F312" s="47"/>
      <c r="G312" s="641" t="str">
        <f t="shared" si="181"/>
        <v/>
      </c>
      <c r="H312" s="641" t="str">
        <f t="shared" si="182"/>
        <v/>
      </c>
      <c r="I312" s="48"/>
      <c r="J312" s="642" t="str">
        <f t="shared" si="174"/>
        <v/>
      </c>
      <c r="K312" s="642" t="str">
        <f t="shared" si="175"/>
        <v/>
      </c>
      <c r="L312" s="642" t="str">
        <f t="shared" si="176"/>
        <v/>
      </c>
      <c r="M312" s="1389"/>
      <c r="N312" s="116"/>
      <c r="O312" s="116"/>
      <c r="P312" s="116"/>
      <c r="Q312" s="116"/>
      <c r="R312" s="116"/>
      <c r="S312" s="132"/>
      <c r="T312" s="142"/>
      <c r="U312" s="115"/>
      <c r="W312" s="561" t="str">
        <f t="shared" si="177"/>
        <v/>
      </c>
      <c r="X312" s="561" t="str">
        <f t="shared" si="177"/>
        <v/>
      </c>
      <c r="Y312" s="561" t="str">
        <f t="shared" si="177"/>
        <v/>
      </c>
      <c r="Z312" s="561" t="str">
        <f t="shared" si="177"/>
        <v/>
      </c>
      <c r="AA312" s="561" t="str">
        <f t="shared" si="177"/>
        <v/>
      </c>
      <c r="AB312" s="561" t="str">
        <f>IF(E312="","",OR(W312&lt;&gt;W306,X312&lt;&gt;X306,Z312&lt;&gt;Z306))</f>
        <v/>
      </c>
      <c r="AC312" s="567"/>
      <c r="AD312" s="561" t="str">
        <f t="shared" ref="AD312:AD324" si="186">AD311</f>
        <v/>
      </c>
      <c r="AE312" s="561" t="str">
        <f t="shared" si="183"/>
        <v>n.a.</v>
      </c>
      <c r="AF312" s="561" t="str">
        <f t="shared" si="183"/>
        <v>n.a.</v>
      </c>
      <c r="AG312" s="561" t="str">
        <f t="shared" si="183"/>
        <v>n.a.</v>
      </c>
      <c r="AH312" s="561" t="b">
        <f t="shared" si="183"/>
        <v>0</v>
      </c>
      <c r="AI312" s="561" t="b">
        <f t="shared" si="183"/>
        <v>0</v>
      </c>
      <c r="AJ312" s="582" t="str">
        <f t="shared" si="184"/>
        <v/>
      </c>
      <c r="AK312" s="582" t="str">
        <f t="shared" si="185"/>
        <v/>
      </c>
      <c r="AL312" s="582" t="str">
        <f t="shared" si="180"/>
        <v/>
      </c>
    </row>
    <row r="313" spans="2:38" ht="12.75" customHeight="1" thickBot="1" x14ac:dyDescent="0.35">
      <c r="B313" s="132"/>
      <c r="C313" s="132"/>
      <c r="D313" s="1388"/>
      <c r="E313" s="43"/>
      <c r="F313" s="47"/>
      <c r="G313" s="641" t="str">
        <f t="shared" si="181"/>
        <v/>
      </c>
      <c r="H313" s="641" t="str">
        <f t="shared" si="182"/>
        <v/>
      </c>
      <c r="I313" s="48"/>
      <c r="J313" s="642" t="str">
        <f t="shared" si="174"/>
        <v/>
      </c>
      <c r="K313" s="642" t="str">
        <f t="shared" si="175"/>
        <v/>
      </c>
      <c r="L313" s="642" t="str">
        <f t="shared" si="176"/>
        <v/>
      </c>
      <c r="M313" s="1389"/>
      <c r="N313" s="1255" t="str">
        <f>Translations!$B$394</f>
        <v>Unit</v>
      </c>
      <c r="O313" s="1255"/>
      <c r="P313" s="1255" t="str">
        <f>Translations!$B$395</f>
        <v>Value</v>
      </c>
      <c r="Q313" s="1255"/>
      <c r="R313" s="116"/>
      <c r="S313" s="644" t="str">
        <f>Translations!$B$642</f>
        <v>Sheet C values</v>
      </c>
      <c r="T313" s="142"/>
      <c r="U313" s="115"/>
      <c r="W313" s="561" t="str">
        <f t="shared" si="177"/>
        <v/>
      </c>
      <c r="X313" s="561" t="str">
        <f t="shared" si="177"/>
        <v/>
      </c>
      <c r="Y313" s="561" t="str">
        <f t="shared" si="177"/>
        <v/>
      </c>
      <c r="Z313" s="561" t="str">
        <f t="shared" si="177"/>
        <v/>
      </c>
      <c r="AA313" s="561" t="str">
        <f t="shared" si="177"/>
        <v/>
      </c>
      <c r="AB313" s="561" t="str">
        <f>IF(E313="","",OR(W313&lt;&gt;W306,X313&lt;&gt;X306,Z313&lt;&gt;Z306))</f>
        <v/>
      </c>
      <c r="AC313" s="567"/>
      <c r="AD313" s="561" t="str">
        <f t="shared" si="186"/>
        <v/>
      </c>
      <c r="AE313" s="561" t="str">
        <f t="shared" si="183"/>
        <v>n.a.</v>
      </c>
      <c r="AF313" s="561" t="str">
        <f t="shared" si="183"/>
        <v>n.a.</v>
      </c>
      <c r="AG313" s="561" t="str">
        <f t="shared" si="183"/>
        <v>n.a.</v>
      </c>
      <c r="AH313" s="561" t="b">
        <f t="shared" si="183"/>
        <v>0</v>
      </c>
      <c r="AI313" s="561" t="b">
        <f t="shared" si="183"/>
        <v>0</v>
      </c>
      <c r="AJ313" s="582" t="str">
        <f t="shared" si="184"/>
        <v/>
      </c>
      <c r="AK313" s="582" t="str">
        <f t="shared" si="185"/>
        <v/>
      </c>
      <c r="AL313" s="582" t="str">
        <f t="shared" si="180"/>
        <v/>
      </c>
    </row>
    <row r="314" spans="2:38" ht="12.75" customHeight="1" thickBot="1" x14ac:dyDescent="0.3">
      <c r="B314" s="132"/>
      <c r="C314" s="132"/>
      <c r="D314" s="1388"/>
      <c r="E314" s="43"/>
      <c r="F314" s="47"/>
      <c r="G314" s="641" t="str">
        <f t="shared" si="181"/>
        <v/>
      </c>
      <c r="H314" s="641" t="str">
        <f t="shared" si="182"/>
        <v/>
      </c>
      <c r="I314" s="48"/>
      <c r="J314" s="642" t="str">
        <f t="shared" si="174"/>
        <v/>
      </c>
      <c r="K314" s="642" t="str">
        <f t="shared" si="175"/>
        <v/>
      </c>
      <c r="L314" s="642" t="str">
        <f t="shared" si="176"/>
        <v/>
      </c>
      <c r="M314" s="116"/>
      <c r="N314" s="346" t="str">
        <f>F309</f>
        <v/>
      </c>
      <c r="O314" s="7"/>
      <c r="P314" s="1393" t="str">
        <f>IF(F325="","",F325)</f>
        <v/>
      </c>
      <c r="Q314" s="1394"/>
      <c r="R314" s="116"/>
      <c r="S314" s="645" t="str">
        <f>IF(P311="","",SUMIFS(C_FuelStreams!BK:BK,C_FuelStreams!BI:BI,P311))</f>
        <v/>
      </c>
      <c r="T314" s="142"/>
      <c r="U314" s="115"/>
      <c r="W314" s="561" t="str">
        <f t="shared" si="177"/>
        <v/>
      </c>
      <c r="X314" s="561" t="str">
        <f t="shared" si="177"/>
        <v/>
      </c>
      <c r="Y314" s="561" t="str">
        <f t="shared" si="177"/>
        <v/>
      </c>
      <c r="Z314" s="561" t="str">
        <f t="shared" si="177"/>
        <v/>
      </c>
      <c r="AA314" s="561" t="str">
        <f t="shared" si="177"/>
        <v/>
      </c>
      <c r="AB314" s="561" t="str">
        <f>IF(E314="","",OR(W314&lt;&gt;W306,X314&lt;&gt;X306,Z314&lt;&gt;Z306))</f>
        <v/>
      </c>
      <c r="AC314" s="567"/>
      <c r="AD314" s="561" t="str">
        <f t="shared" si="186"/>
        <v/>
      </c>
      <c r="AE314" s="561" t="str">
        <f t="shared" si="183"/>
        <v>n.a.</v>
      </c>
      <c r="AF314" s="561" t="str">
        <f t="shared" si="183"/>
        <v>n.a.</v>
      </c>
      <c r="AG314" s="561" t="str">
        <f t="shared" si="183"/>
        <v>n.a.</v>
      </c>
      <c r="AH314" s="561" t="b">
        <f t="shared" si="183"/>
        <v>0</v>
      </c>
      <c r="AI314" s="561" t="b">
        <f t="shared" si="183"/>
        <v>0</v>
      </c>
      <c r="AJ314" s="582" t="str">
        <f t="shared" si="184"/>
        <v/>
      </c>
      <c r="AK314" s="582" t="str">
        <f t="shared" si="185"/>
        <v/>
      </c>
      <c r="AL314" s="582" t="str">
        <f t="shared" si="180"/>
        <v/>
      </c>
    </row>
    <row r="315" spans="2:38" ht="12.75" customHeight="1" thickBot="1" x14ac:dyDescent="0.3">
      <c r="B315" s="132"/>
      <c r="C315" s="132"/>
      <c r="D315" s="1388"/>
      <c r="E315" s="43"/>
      <c r="F315" s="47"/>
      <c r="G315" s="641" t="str">
        <f t="shared" si="181"/>
        <v/>
      </c>
      <c r="H315" s="641" t="str">
        <f t="shared" si="182"/>
        <v/>
      </c>
      <c r="I315" s="48"/>
      <c r="J315" s="642" t="str">
        <f t="shared" si="174"/>
        <v/>
      </c>
      <c r="K315" s="642" t="str">
        <f t="shared" si="175"/>
        <v/>
      </c>
      <c r="L315" s="642" t="str">
        <f t="shared" si="176"/>
        <v/>
      </c>
      <c r="M315" s="116"/>
      <c r="N315" s="162"/>
      <c r="O315" s="162"/>
      <c r="P315" s="76"/>
      <c r="Q315" s="76"/>
      <c r="R315" s="116"/>
      <c r="S315" s="996"/>
      <c r="T315" s="142"/>
      <c r="U315" s="115"/>
      <c r="W315" s="561" t="str">
        <f t="shared" si="177"/>
        <v/>
      </c>
      <c r="X315" s="561" t="str">
        <f t="shared" si="177"/>
        <v/>
      </c>
      <c r="Y315" s="561" t="str">
        <f t="shared" si="177"/>
        <v/>
      </c>
      <c r="Z315" s="561" t="str">
        <f t="shared" si="177"/>
        <v/>
      </c>
      <c r="AA315" s="561" t="str">
        <f t="shared" si="177"/>
        <v/>
      </c>
      <c r="AB315" s="561" t="str">
        <f>IF(E315="","",OR(W315&lt;&gt;W306,X315&lt;&gt;X306,Z315&lt;&gt;Z306))</f>
        <v/>
      </c>
      <c r="AC315" s="567"/>
      <c r="AD315" s="561" t="str">
        <f t="shared" si="186"/>
        <v/>
      </c>
      <c r="AE315" s="561" t="str">
        <f t="shared" si="183"/>
        <v>n.a.</v>
      </c>
      <c r="AF315" s="561" t="str">
        <f t="shared" si="183"/>
        <v>n.a.</v>
      </c>
      <c r="AG315" s="561" t="str">
        <f t="shared" si="183"/>
        <v>n.a.</v>
      </c>
      <c r="AH315" s="561" t="b">
        <f t="shared" si="183"/>
        <v>0</v>
      </c>
      <c r="AI315" s="561" t="b">
        <f t="shared" si="183"/>
        <v>0</v>
      </c>
      <c r="AJ315" s="582" t="str">
        <f t="shared" si="184"/>
        <v/>
      </c>
      <c r="AK315" s="582" t="str">
        <f t="shared" si="185"/>
        <v/>
      </c>
      <c r="AL315" s="582" t="str">
        <f t="shared" si="180"/>
        <v/>
      </c>
    </row>
    <row r="316" spans="2:38" ht="12.75" customHeight="1" x14ac:dyDescent="0.25">
      <c r="B316" s="132"/>
      <c r="C316" s="132"/>
      <c r="D316" s="1388"/>
      <c r="E316" s="43"/>
      <c r="F316" s="47"/>
      <c r="G316" s="641" t="str">
        <f t="shared" si="181"/>
        <v/>
      </c>
      <c r="H316" s="641" t="str">
        <f t="shared" si="182"/>
        <v/>
      </c>
      <c r="I316" s="48"/>
      <c r="J316" s="642" t="str">
        <f t="shared" si="174"/>
        <v/>
      </c>
      <c r="K316" s="642" t="str">
        <f t="shared" si="175"/>
        <v/>
      </c>
      <c r="L316" s="642" t="str">
        <f t="shared" si="176"/>
        <v/>
      </c>
      <c r="M316" s="116"/>
      <c r="N316" s="365" t="str">
        <f>G309</f>
        <v/>
      </c>
      <c r="O316" s="11"/>
      <c r="P316" s="366"/>
      <c r="Q316" s="646" t="str">
        <f>IF(G325="","",G325)</f>
        <v/>
      </c>
      <c r="R316" s="116"/>
      <c r="S316" s="647" t="str">
        <f>IF(P311="","",SUMIFS(C_FuelStreams!BU:BU,C_FuelStreams!BI:BI,P311))</f>
        <v/>
      </c>
      <c r="T316" s="142"/>
      <c r="U316" s="115"/>
      <c r="W316" s="561" t="str">
        <f t="shared" si="177"/>
        <v/>
      </c>
      <c r="X316" s="561" t="str">
        <f t="shared" si="177"/>
        <v/>
      </c>
      <c r="Y316" s="561" t="str">
        <f t="shared" si="177"/>
        <v/>
      </c>
      <c r="Z316" s="561" t="str">
        <f t="shared" si="177"/>
        <v/>
      </c>
      <c r="AA316" s="561" t="str">
        <f t="shared" si="177"/>
        <v/>
      </c>
      <c r="AB316" s="561" t="str">
        <f>IF(E316="","",OR(W316&lt;&gt;W306,X316&lt;&gt;X306,Z316&lt;&gt;Z306))</f>
        <v/>
      </c>
      <c r="AC316" s="567"/>
      <c r="AD316" s="561" t="str">
        <f t="shared" si="186"/>
        <v/>
      </c>
      <c r="AE316" s="561" t="str">
        <f t="shared" si="183"/>
        <v>n.a.</v>
      </c>
      <c r="AF316" s="561" t="str">
        <f t="shared" si="183"/>
        <v>n.a.</v>
      </c>
      <c r="AG316" s="561" t="str">
        <f t="shared" si="183"/>
        <v>n.a.</v>
      </c>
      <c r="AH316" s="561" t="b">
        <f t="shared" si="183"/>
        <v>0</v>
      </c>
      <c r="AI316" s="561" t="b">
        <f t="shared" si="183"/>
        <v>0</v>
      </c>
      <c r="AJ316" s="582" t="str">
        <f t="shared" si="184"/>
        <v/>
      </c>
      <c r="AK316" s="582" t="str">
        <f t="shared" si="185"/>
        <v/>
      </c>
      <c r="AL316" s="582" t="str">
        <f t="shared" si="180"/>
        <v/>
      </c>
    </row>
    <row r="317" spans="2:38" ht="12.75" customHeight="1" thickBot="1" x14ac:dyDescent="0.3">
      <c r="B317" s="132"/>
      <c r="C317" s="132"/>
      <c r="D317" s="1388"/>
      <c r="E317" s="43"/>
      <c r="F317" s="47"/>
      <c r="G317" s="641" t="str">
        <f t="shared" si="181"/>
        <v/>
      </c>
      <c r="H317" s="641" t="str">
        <f t="shared" si="182"/>
        <v/>
      </c>
      <c r="I317" s="48"/>
      <c r="J317" s="642" t="str">
        <f t="shared" si="174"/>
        <v/>
      </c>
      <c r="K317" s="642" t="str">
        <f t="shared" si="175"/>
        <v/>
      </c>
      <c r="L317" s="642" t="str">
        <f t="shared" si="176"/>
        <v/>
      </c>
      <c r="M317" s="116"/>
      <c r="N317" s="648" t="str">
        <f>H309</f>
        <v/>
      </c>
      <c r="O317" s="22"/>
      <c r="P317" s="649"/>
      <c r="Q317" s="650" t="str">
        <f>IF(H325="","",H325)</f>
        <v/>
      </c>
      <c r="R317" s="116"/>
      <c r="S317" s="651" t="str">
        <f>IF(P311="","",SUMIFS(C_FuelStreams!BR:BR,C_FuelStreams!BI:BI,P311))</f>
        <v/>
      </c>
      <c r="T317" s="142"/>
      <c r="U317" s="115"/>
      <c r="W317" s="561" t="str">
        <f t="shared" si="177"/>
        <v/>
      </c>
      <c r="X317" s="561" t="str">
        <f t="shared" si="177"/>
        <v/>
      </c>
      <c r="Y317" s="561" t="str">
        <f t="shared" si="177"/>
        <v/>
      </c>
      <c r="Z317" s="561" t="str">
        <f t="shared" si="177"/>
        <v/>
      </c>
      <c r="AA317" s="561" t="str">
        <f t="shared" si="177"/>
        <v/>
      </c>
      <c r="AB317" s="561" t="str">
        <f>IF(E317="","",OR(W317&lt;&gt;W306,X317&lt;&gt;X306,Z317&lt;&gt;Z306))</f>
        <v/>
      </c>
      <c r="AC317" s="567"/>
      <c r="AD317" s="561" t="str">
        <f t="shared" si="186"/>
        <v/>
      </c>
      <c r="AE317" s="561" t="str">
        <f t="shared" si="183"/>
        <v>n.a.</v>
      </c>
      <c r="AF317" s="561" t="str">
        <f t="shared" si="183"/>
        <v>n.a.</v>
      </c>
      <c r="AG317" s="561" t="str">
        <f t="shared" si="183"/>
        <v>n.a.</v>
      </c>
      <c r="AH317" s="561" t="b">
        <f t="shared" si="183"/>
        <v>0</v>
      </c>
      <c r="AI317" s="561" t="b">
        <f t="shared" si="183"/>
        <v>0</v>
      </c>
      <c r="AJ317" s="582" t="str">
        <f t="shared" si="184"/>
        <v/>
      </c>
      <c r="AK317" s="582" t="str">
        <f t="shared" si="185"/>
        <v/>
      </c>
      <c r="AL317" s="582" t="str">
        <f t="shared" si="180"/>
        <v/>
      </c>
    </row>
    <row r="318" spans="2:38" ht="12.75" customHeight="1" x14ac:dyDescent="0.25">
      <c r="B318" s="132"/>
      <c r="C318" s="132"/>
      <c r="D318" s="1388"/>
      <c r="E318" s="43"/>
      <c r="F318" s="47"/>
      <c r="G318" s="641" t="str">
        <f t="shared" si="181"/>
        <v/>
      </c>
      <c r="H318" s="641" t="str">
        <f t="shared" si="182"/>
        <v/>
      </c>
      <c r="I318" s="48"/>
      <c r="J318" s="642" t="str">
        <f t="shared" si="174"/>
        <v/>
      </c>
      <c r="K318" s="642" t="str">
        <f t="shared" si="175"/>
        <v/>
      </c>
      <c r="L318" s="642" t="str">
        <f t="shared" si="176"/>
        <v/>
      </c>
      <c r="M318" s="116"/>
      <c r="N318" s="652" t="s">
        <v>46</v>
      </c>
      <c r="O318" s="411"/>
      <c r="P318" s="653"/>
      <c r="Q318" s="654" t="str">
        <f>IF(I325="","",I325)</f>
        <v/>
      </c>
      <c r="R318" s="116"/>
      <c r="S318" s="655" t="str">
        <f>IF(P311="","",SUMIFS(C_FuelStreams!BX:BX,C_FuelStreams!BI:BI,P311))</f>
        <v/>
      </c>
      <c r="T318" s="142"/>
      <c r="U318" s="115"/>
      <c r="W318" s="561" t="str">
        <f t="shared" si="177"/>
        <v/>
      </c>
      <c r="X318" s="561" t="str">
        <f t="shared" si="177"/>
        <v/>
      </c>
      <c r="Y318" s="561" t="str">
        <f t="shared" si="177"/>
        <v/>
      </c>
      <c r="Z318" s="561" t="str">
        <f t="shared" si="177"/>
        <v/>
      </c>
      <c r="AA318" s="561" t="str">
        <f t="shared" si="177"/>
        <v/>
      </c>
      <c r="AB318" s="561" t="str">
        <f>IF(E318="","",OR(W318&lt;&gt;W306,X318&lt;&gt;X306,Z318&lt;&gt;Z306))</f>
        <v/>
      </c>
      <c r="AC318" s="567"/>
      <c r="AD318" s="561" t="str">
        <f t="shared" si="186"/>
        <v/>
      </c>
      <c r="AE318" s="561" t="str">
        <f t="shared" si="183"/>
        <v>n.a.</v>
      </c>
      <c r="AF318" s="561" t="str">
        <f t="shared" si="183"/>
        <v>n.a.</v>
      </c>
      <c r="AG318" s="561" t="str">
        <f t="shared" si="183"/>
        <v>n.a.</v>
      </c>
      <c r="AH318" s="561" t="b">
        <f t="shared" si="183"/>
        <v>0</v>
      </c>
      <c r="AI318" s="561" t="b">
        <f t="shared" si="183"/>
        <v>0</v>
      </c>
      <c r="AJ318" s="582" t="str">
        <f t="shared" si="184"/>
        <v/>
      </c>
      <c r="AK318" s="582" t="str">
        <f t="shared" si="185"/>
        <v/>
      </c>
      <c r="AL318" s="582" t="str">
        <f t="shared" si="180"/>
        <v/>
      </c>
    </row>
    <row r="319" spans="2:38" ht="12.75" customHeight="1" x14ac:dyDescent="0.25">
      <c r="B319" s="132"/>
      <c r="C319" s="132"/>
      <c r="D319" s="1388"/>
      <c r="E319" s="43"/>
      <c r="F319" s="47"/>
      <c r="G319" s="641" t="str">
        <f t="shared" si="181"/>
        <v/>
      </c>
      <c r="H319" s="641" t="str">
        <f t="shared" si="182"/>
        <v/>
      </c>
      <c r="I319" s="48"/>
      <c r="J319" s="642" t="str">
        <f t="shared" si="174"/>
        <v/>
      </c>
      <c r="K319" s="642" t="str">
        <f t="shared" si="175"/>
        <v/>
      </c>
      <c r="L319" s="642" t="str">
        <f t="shared" si="176"/>
        <v/>
      </c>
      <c r="M319" s="1395"/>
      <c r="N319" s="116"/>
      <c r="O319" s="116"/>
      <c r="P319" s="116"/>
      <c r="Q319" s="116"/>
      <c r="R319" s="116"/>
      <c r="S319" s="132"/>
      <c r="T319" s="142"/>
      <c r="U319" s="115"/>
      <c r="W319" s="561" t="str">
        <f t="shared" si="177"/>
        <v/>
      </c>
      <c r="X319" s="561" t="str">
        <f t="shared" si="177"/>
        <v/>
      </c>
      <c r="Y319" s="561" t="str">
        <f t="shared" si="177"/>
        <v/>
      </c>
      <c r="Z319" s="561" t="str">
        <f t="shared" si="177"/>
        <v/>
      </c>
      <c r="AA319" s="561" t="str">
        <f t="shared" si="177"/>
        <v/>
      </c>
      <c r="AB319" s="561" t="str">
        <f>IF(E319="","",OR(W319&lt;&gt;W306,X319&lt;&gt;X306,Z319&lt;&gt;Z306))</f>
        <v/>
      </c>
      <c r="AC319" s="567"/>
      <c r="AD319" s="561" t="str">
        <f t="shared" si="186"/>
        <v/>
      </c>
      <c r="AE319" s="561" t="str">
        <f t="shared" si="183"/>
        <v>n.a.</v>
      </c>
      <c r="AF319" s="561" t="str">
        <f t="shared" si="183"/>
        <v>n.a.</v>
      </c>
      <c r="AG319" s="561" t="str">
        <f t="shared" si="183"/>
        <v>n.a.</v>
      </c>
      <c r="AH319" s="561" t="b">
        <f t="shared" si="183"/>
        <v>0</v>
      </c>
      <c r="AI319" s="561" t="b">
        <f t="shared" si="183"/>
        <v>0</v>
      </c>
      <c r="AJ319" s="582" t="str">
        <f t="shared" si="184"/>
        <v/>
      </c>
      <c r="AK319" s="582" t="str">
        <f t="shared" si="185"/>
        <v/>
      </c>
      <c r="AL319" s="582" t="str">
        <f t="shared" si="180"/>
        <v/>
      </c>
    </row>
    <row r="320" spans="2:38" ht="12.75" customHeight="1" x14ac:dyDescent="0.25">
      <c r="B320" s="132"/>
      <c r="C320" s="132"/>
      <c r="D320" s="1388" t="str">
        <f>Translations!$B$643</f>
        <v>Customised components</v>
      </c>
      <c r="E320" s="42"/>
      <c r="F320" s="45"/>
      <c r="G320" s="49"/>
      <c r="H320" s="49"/>
      <c r="I320" s="46"/>
      <c r="J320" s="640" t="str">
        <f t="shared" si="174"/>
        <v/>
      </c>
      <c r="K320" s="640" t="str">
        <f t="shared" si="175"/>
        <v/>
      </c>
      <c r="L320" s="640" t="str">
        <f t="shared" si="176"/>
        <v/>
      </c>
      <c r="M320" s="1395"/>
      <c r="N320" s="116"/>
      <c r="O320" s="116"/>
      <c r="P320" s="656" t="str">
        <f>Translations!$B$644</f>
        <v>CO2 fossil (before scope factor):</v>
      </c>
      <c r="Q320" s="997" t="str">
        <f>IF(K325="","",K325)</f>
        <v/>
      </c>
      <c r="R320" s="656"/>
      <c r="S320" s="997" t="str">
        <f>IF(P311="","",IF(W320=0,0,SUMIFS(C_FuelStreams!CE:CE,C_FuelStreams!BI:BI,P311)/W320))</f>
        <v/>
      </c>
      <c r="T320" s="142"/>
      <c r="U320" s="115"/>
      <c r="V320" s="110" t="str">
        <f>Translations!$B$398</f>
        <v>Scope factor:</v>
      </c>
      <c r="W320" s="617" t="str">
        <f>IF(P311="","",SUMIFS(C_FuelStreams!BP:BP,C_FuelStreams!BI:BI,P311))</f>
        <v/>
      </c>
      <c r="AD320" s="561" t="str">
        <f t="shared" si="186"/>
        <v/>
      </c>
      <c r="AE320" s="561" t="str">
        <f t="shared" si="183"/>
        <v>n.a.</v>
      </c>
      <c r="AF320" s="561" t="str">
        <f t="shared" si="183"/>
        <v>n.a.</v>
      </c>
      <c r="AG320" s="561" t="str">
        <f t="shared" si="183"/>
        <v>n.a.</v>
      </c>
      <c r="AH320" s="561" t="b">
        <f t="shared" si="183"/>
        <v>0</v>
      </c>
      <c r="AI320" s="561" t="b">
        <f t="shared" si="183"/>
        <v>0</v>
      </c>
      <c r="AJ320" s="582" t="str">
        <f t="shared" si="184"/>
        <v/>
      </c>
      <c r="AK320" s="582" t="str">
        <f t="shared" si="185"/>
        <v/>
      </c>
      <c r="AL320" s="582" t="str">
        <f t="shared" si="180"/>
        <v/>
      </c>
    </row>
    <row r="321" spans="1:38" ht="12.75" customHeight="1" x14ac:dyDescent="0.25">
      <c r="B321" s="132"/>
      <c r="C321" s="132"/>
      <c r="D321" s="1388"/>
      <c r="E321" s="43"/>
      <c r="F321" s="47"/>
      <c r="G321" s="50"/>
      <c r="H321" s="50"/>
      <c r="I321" s="48"/>
      <c r="J321" s="642" t="str">
        <f t="shared" si="174"/>
        <v/>
      </c>
      <c r="K321" s="642" t="str">
        <f t="shared" si="175"/>
        <v/>
      </c>
      <c r="L321" s="642" t="str">
        <f t="shared" si="176"/>
        <v/>
      </c>
      <c r="M321" s="1395"/>
      <c r="N321" s="116"/>
      <c r="O321" s="116"/>
      <c r="P321" s="116"/>
      <c r="Q321" s="116"/>
      <c r="R321" s="116"/>
      <c r="S321" s="132"/>
      <c r="T321" s="142"/>
      <c r="U321" s="115"/>
      <c r="AD321" s="561" t="str">
        <f t="shared" si="186"/>
        <v/>
      </c>
      <c r="AE321" s="561" t="str">
        <f t="shared" si="183"/>
        <v>n.a.</v>
      </c>
      <c r="AF321" s="561" t="str">
        <f t="shared" si="183"/>
        <v>n.a.</v>
      </c>
      <c r="AG321" s="561" t="str">
        <f t="shared" si="183"/>
        <v>n.a.</v>
      </c>
      <c r="AH321" s="561" t="b">
        <f t="shared" si="183"/>
        <v>0</v>
      </c>
      <c r="AI321" s="561" t="b">
        <f t="shared" si="183"/>
        <v>0</v>
      </c>
      <c r="AJ321" s="582" t="str">
        <f t="shared" si="184"/>
        <v/>
      </c>
      <c r="AK321" s="582" t="str">
        <f t="shared" si="185"/>
        <v/>
      </c>
      <c r="AL321" s="582" t="str">
        <f t="shared" si="180"/>
        <v/>
      </c>
    </row>
    <row r="322" spans="1:38" ht="12.75" customHeight="1" x14ac:dyDescent="0.25">
      <c r="B322" s="132"/>
      <c r="C322" s="132"/>
      <c r="D322" s="1388"/>
      <c r="E322" s="43"/>
      <c r="F322" s="47"/>
      <c r="G322" s="50"/>
      <c r="H322" s="50"/>
      <c r="I322" s="48"/>
      <c r="J322" s="642" t="str">
        <f t="shared" si="174"/>
        <v/>
      </c>
      <c r="K322" s="642" t="str">
        <f t="shared" si="175"/>
        <v/>
      </c>
      <c r="L322" s="642" t="str">
        <f t="shared" si="176"/>
        <v/>
      </c>
      <c r="M322" s="1395"/>
      <c r="N322" s="116"/>
      <c r="O322" s="116"/>
      <c r="P322" s="116"/>
      <c r="Q322" s="116"/>
      <c r="R322" s="116"/>
      <c r="S322" s="132"/>
      <c r="T322" s="142"/>
      <c r="U322" s="115"/>
      <c r="AD322" s="561" t="str">
        <f t="shared" si="186"/>
        <v/>
      </c>
      <c r="AE322" s="561" t="str">
        <f t="shared" si="183"/>
        <v>n.a.</v>
      </c>
      <c r="AF322" s="561" t="str">
        <f t="shared" si="183"/>
        <v>n.a.</v>
      </c>
      <c r="AG322" s="561" t="str">
        <f t="shared" si="183"/>
        <v>n.a.</v>
      </c>
      <c r="AH322" s="561" t="b">
        <f t="shared" si="183"/>
        <v>0</v>
      </c>
      <c r="AI322" s="561" t="b">
        <f t="shared" si="183"/>
        <v>0</v>
      </c>
      <c r="AJ322" s="582" t="str">
        <f t="shared" si="184"/>
        <v/>
      </c>
      <c r="AK322" s="582" t="str">
        <f t="shared" si="185"/>
        <v/>
      </c>
      <c r="AL322" s="582" t="str">
        <f t="shared" si="180"/>
        <v/>
      </c>
    </row>
    <row r="323" spans="1:38" ht="12.75" customHeight="1" x14ac:dyDescent="0.25">
      <c r="B323" s="132"/>
      <c r="C323" s="132"/>
      <c r="D323" s="1388"/>
      <c r="E323" s="43"/>
      <c r="F323" s="47"/>
      <c r="G323" s="50"/>
      <c r="H323" s="50"/>
      <c r="I323" s="48"/>
      <c r="J323" s="642" t="str">
        <f t="shared" si="174"/>
        <v/>
      </c>
      <c r="K323" s="642" t="str">
        <f t="shared" si="175"/>
        <v/>
      </c>
      <c r="L323" s="642" t="str">
        <f t="shared" si="176"/>
        <v/>
      </c>
      <c r="M323" s="1395"/>
      <c r="N323" s="116"/>
      <c r="O323" s="116"/>
      <c r="P323" s="116"/>
      <c r="Q323" s="116"/>
      <c r="R323" s="116"/>
      <c r="S323" s="132"/>
      <c r="T323" s="142"/>
      <c r="U323" s="115"/>
      <c r="AD323" s="561" t="str">
        <f t="shared" si="186"/>
        <v/>
      </c>
      <c r="AE323" s="561" t="str">
        <f t="shared" si="183"/>
        <v>n.a.</v>
      </c>
      <c r="AF323" s="561" t="str">
        <f t="shared" si="183"/>
        <v>n.a.</v>
      </c>
      <c r="AG323" s="561" t="str">
        <f t="shared" si="183"/>
        <v>n.a.</v>
      </c>
      <c r="AH323" s="561" t="b">
        <f t="shared" si="183"/>
        <v>0</v>
      </c>
      <c r="AI323" s="561" t="b">
        <f t="shared" si="183"/>
        <v>0</v>
      </c>
      <c r="AJ323" s="582" t="str">
        <f t="shared" si="184"/>
        <v/>
      </c>
      <c r="AK323" s="582" t="str">
        <f t="shared" si="185"/>
        <v/>
      </c>
      <c r="AL323" s="582" t="str">
        <f t="shared" si="180"/>
        <v/>
      </c>
    </row>
    <row r="324" spans="1:38" ht="12.75" customHeight="1" x14ac:dyDescent="0.25">
      <c r="B324" s="132"/>
      <c r="C324" s="132"/>
      <c r="D324" s="1388"/>
      <c r="E324" s="44"/>
      <c r="F324" s="51"/>
      <c r="G324" s="52"/>
      <c r="H324" s="52"/>
      <c r="I324" s="53"/>
      <c r="J324" s="657" t="str">
        <f t="shared" si="174"/>
        <v/>
      </c>
      <c r="K324" s="657" t="str">
        <f t="shared" si="175"/>
        <v/>
      </c>
      <c r="L324" s="657" t="str">
        <f t="shared" si="176"/>
        <v/>
      </c>
      <c r="M324" s="1395"/>
      <c r="N324" s="116"/>
      <c r="O324" s="116"/>
      <c r="P324" s="116"/>
      <c r="Q324" s="116"/>
      <c r="R324" s="116"/>
      <c r="S324" s="132"/>
      <c r="T324" s="142"/>
      <c r="U324" s="115"/>
      <c r="AD324" s="561" t="str">
        <f t="shared" si="186"/>
        <v/>
      </c>
      <c r="AE324" s="561" t="str">
        <f t="shared" si="183"/>
        <v>n.a.</v>
      </c>
      <c r="AF324" s="561" t="str">
        <f t="shared" si="183"/>
        <v>n.a.</v>
      </c>
      <c r="AG324" s="561" t="str">
        <f t="shared" si="183"/>
        <v>n.a.</v>
      </c>
      <c r="AH324" s="561" t="b">
        <f t="shared" si="183"/>
        <v>0</v>
      </c>
      <c r="AI324" s="561" t="b">
        <f t="shared" si="183"/>
        <v>0</v>
      </c>
      <c r="AJ324" s="582" t="str">
        <f t="shared" si="184"/>
        <v/>
      </c>
      <c r="AK324" s="582" t="str">
        <f t="shared" si="185"/>
        <v/>
      </c>
      <c r="AL324" s="582" t="str">
        <f t="shared" si="180"/>
        <v/>
      </c>
    </row>
    <row r="325" spans="1:38" ht="12.75" customHeight="1" x14ac:dyDescent="0.25">
      <c r="B325" s="132"/>
      <c r="C325" s="132"/>
      <c r="D325" s="132"/>
      <c r="E325" s="658" t="str">
        <f>Translations!$B$645</f>
        <v>TOTALS</v>
      </c>
      <c r="F325" s="659" t="str">
        <f>IF(SUM(F310:F324)=0,"",SUM(F310:F324))</f>
        <v/>
      </c>
      <c r="G325" s="660" t="str">
        <f>IF(SUM(F325)=0,"",J325/F325)</f>
        <v/>
      </c>
      <c r="H325" s="660" t="str">
        <f>IF(SUM(J325)=0,"",SUM(K325:L325)/IF(AF310&lt;&gt;EUconst_NA,F325,J325)/IF(AG310=EUconst_NA,1,AG310))</f>
        <v/>
      </c>
      <c r="I325" s="661" t="str">
        <f>IF(SUM(K325:L325)=0,"",L325/SUM(K325:L325))</f>
        <v/>
      </c>
      <c r="J325" s="659" t="str">
        <f>IF(COUNTA(E310:E324)=0,"",IFERROR(SUM(J310:J324),EUconst_ERR_Inconsistent))</f>
        <v/>
      </c>
      <c r="K325" s="659" t="str">
        <f>IF(COUNTA(E310:E324)=0,"",IFERROR(SUM(K310:K324),EUconst_ERR_Inconsistent))</f>
        <v/>
      </c>
      <c r="L325" s="659" t="str">
        <f>IF(COUNTA(E310:E324)=0,"",IFERROR(SUM(L310:L324),EUconst_ERR_Inconsistent))</f>
        <v/>
      </c>
      <c r="M325" s="1395"/>
      <c r="N325" s="116"/>
      <c r="O325" s="116"/>
      <c r="P325" s="116"/>
      <c r="Q325" s="116"/>
      <c r="R325" s="116"/>
      <c r="S325" s="132"/>
      <c r="T325" s="142"/>
      <c r="U325" s="115"/>
    </row>
    <row r="326" spans="1:38" ht="12.75" customHeight="1" x14ac:dyDescent="0.25">
      <c r="B326" s="132"/>
      <c r="C326" s="132"/>
      <c r="D326" s="132"/>
      <c r="E326" s="191"/>
      <c r="F326" s="116"/>
      <c r="G326" s="116"/>
      <c r="H326" s="116"/>
      <c r="I326" s="116"/>
      <c r="J326" s="116"/>
      <c r="K326" s="116"/>
      <c r="L326" s="116"/>
      <c r="M326" s="116"/>
      <c r="N326" s="116"/>
      <c r="O326" s="116"/>
      <c r="P326" s="116"/>
      <c r="Q326" s="116"/>
      <c r="R326" s="116"/>
      <c r="S326" s="132"/>
      <c r="T326" s="142"/>
      <c r="U326" s="115"/>
    </row>
    <row r="327" spans="1:38" s="69" customFormat="1" ht="18.75" customHeight="1" x14ac:dyDescent="0.25">
      <c r="A327" s="167">
        <f>C327</f>
        <v>14</v>
      </c>
      <c r="B327" s="76"/>
      <c r="C327" s="216">
        <f>C304+1</f>
        <v>14</v>
      </c>
      <c r="D327" s="1195" t="str">
        <f>"Tool " &amp;C327-2</f>
        <v>Tool 12</v>
      </c>
      <c r="E327" s="1195"/>
      <c r="F327" s="1195"/>
      <c r="G327" s="1195"/>
      <c r="H327" s="1195"/>
      <c r="I327" s="1195"/>
      <c r="J327" s="1195"/>
      <c r="K327" s="1195"/>
      <c r="L327" s="1195"/>
      <c r="M327" s="1195"/>
      <c r="N327" s="1195"/>
      <c r="O327" s="1195"/>
      <c r="P327" s="1195"/>
      <c r="Q327" s="1195"/>
      <c r="R327" s="1195"/>
      <c r="S327" s="1195"/>
      <c r="T327" s="142"/>
      <c r="U327" s="115"/>
      <c r="V327" s="464" t="str">
        <f>D327</f>
        <v>Tool 12</v>
      </c>
      <c r="W327" s="110"/>
      <c r="X327" s="110"/>
      <c r="Y327" s="110"/>
      <c r="Z327" s="110"/>
      <c r="AA327" s="109"/>
      <c r="AB327" s="109"/>
      <c r="AC327" s="109"/>
      <c r="AD327" s="109"/>
      <c r="AE327" s="109"/>
      <c r="AF327" s="109"/>
      <c r="AG327" s="109"/>
      <c r="AH327" s="109"/>
      <c r="AI327" s="109"/>
      <c r="AJ327" s="109"/>
      <c r="AK327" s="109"/>
      <c r="AL327" s="109"/>
    </row>
    <row r="328" spans="1:38" ht="12.75" customHeight="1" x14ac:dyDescent="0.25">
      <c r="B328" s="132"/>
      <c r="C328" s="132"/>
      <c r="D328" s="132"/>
      <c r="E328" s="191"/>
      <c r="F328" s="116"/>
      <c r="G328" s="116"/>
      <c r="H328" s="116"/>
      <c r="I328" s="116"/>
      <c r="J328" s="116"/>
      <c r="K328" s="116"/>
      <c r="L328" s="116"/>
      <c r="M328" s="116"/>
      <c r="N328" s="116"/>
      <c r="O328" s="116"/>
      <c r="P328" s="116"/>
      <c r="Q328" s="116"/>
      <c r="R328" s="116"/>
      <c r="S328" s="132"/>
      <c r="T328" s="142"/>
      <c r="U328" s="115"/>
    </row>
    <row r="329" spans="1:38" ht="12.75" customHeight="1" x14ac:dyDescent="0.25">
      <c r="B329" s="132"/>
      <c r="C329" s="132"/>
      <c r="D329" s="1377" t="str">
        <f>Translations!$B$631</f>
        <v>Component</v>
      </c>
      <c r="E329" s="1378"/>
      <c r="F329" s="633">
        <v>1</v>
      </c>
      <c r="G329" s="633">
        <v>2</v>
      </c>
      <c r="H329" s="633">
        <v>3</v>
      </c>
      <c r="I329" s="633">
        <v>4</v>
      </c>
      <c r="J329" s="633">
        <v>5</v>
      </c>
      <c r="K329" s="633">
        <v>6</v>
      </c>
      <c r="L329" s="633">
        <v>7</v>
      </c>
      <c r="M329" s="116"/>
      <c r="N329" s="116"/>
      <c r="O329" s="116"/>
      <c r="P329" s="116"/>
      <c r="Q329" s="116"/>
      <c r="R329" s="116"/>
      <c r="S329" s="132"/>
      <c r="T329" s="142"/>
      <c r="U329" s="115"/>
      <c r="V329" s="566" t="str">
        <f>Translations!$B$498</f>
        <v>Units:</v>
      </c>
      <c r="W329" s="561" t="str" cm="1">
        <f t="array" ref="W329">IFERROR(INDEX(_xlfn._xlws.FILTER(W333:W342,(W333:W342)&lt;&gt;"",""),1),W330)</f>
        <v/>
      </c>
      <c r="X329" s="561" t="str" cm="1">
        <f t="array" ref="X329">IFERROR(INDEX(_xlfn._xlws.FILTER(X333:X342,(X333:X342)&lt;&gt;"",""),1),X330)</f>
        <v/>
      </c>
      <c r="Y329" s="567"/>
      <c r="Z329" s="561" t="str" cm="1">
        <f t="array" ref="Z329">IFERROR(INDEX(_xlfn._xlws.FILTER(Z333:Z342,(Z333:Z342)&lt;&gt;"",""),1),Z330)</f>
        <v/>
      </c>
      <c r="AA329" s="567"/>
    </row>
    <row r="330" spans="1:38" ht="12.75" customHeight="1" x14ac:dyDescent="0.25">
      <c r="B330" s="132"/>
      <c r="C330" s="132"/>
      <c r="D330" s="1379"/>
      <c r="E330" s="1380"/>
      <c r="F330" s="1383" t="str">
        <f>Translations!$B$377</f>
        <v>RFA</v>
      </c>
      <c r="G330" s="1383" t="str">
        <f>Translations!$B$386</f>
        <v>UCF</v>
      </c>
      <c r="H330" s="1383" t="str">
        <f>Translations!$B$383</f>
        <v>EF</v>
      </c>
      <c r="I330" s="1383" t="str">
        <f>Translations!$B$632</f>
        <v>Zero-rated F</v>
      </c>
      <c r="J330" s="1385" t="str">
        <f>Translations!$B$652</f>
        <v>Energy or other</v>
      </c>
      <c r="K330" s="1385" t="str">
        <f>Translations!$B$522</f>
        <v>Emissions (fossil)</v>
      </c>
      <c r="L330" s="1385" t="str">
        <f>Translations!$B$634</f>
        <v>Emissions (bio)</v>
      </c>
      <c r="M330" s="116"/>
      <c r="N330" s="116"/>
      <c r="O330" s="116"/>
      <c r="P330" s="116"/>
      <c r="Q330" s="116"/>
      <c r="R330" s="116"/>
      <c r="S330" s="132"/>
      <c r="T330" s="142"/>
      <c r="U330" s="115"/>
      <c r="W330" s="561" t="str">
        <f t="array" ref="W330">IFERROR(INDEX(W333:W342,MATCH(TRUE,(W333:W342)&lt;&gt;"",0)),"")</f>
        <v/>
      </c>
      <c r="X330" s="561" t="str">
        <f t="array" ref="X330">IFERROR(INDEX(X333:X342,MATCH(TRUE,(X333:X342)&lt;&gt;"",0)),"")</f>
        <v/>
      </c>
      <c r="Y330" s="567"/>
      <c r="Z330" s="561" t="str">
        <f t="array" ref="Z330">IFERROR(INDEX(Z333:Z342,MATCH(TRUE,(Z333:Z342)&lt;&gt;"",0)),"")</f>
        <v/>
      </c>
      <c r="AA330" s="567"/>
    </row>
    <row r="331" spans="1:38" ht="12.75" customHeight="1" x14ac:dyDescent="0.3">
      <c r="B331" s="132"/>
      <c r="C331" s="132"/>
      <c r="D331" s="1379"/>
      <c r="E331" s="1380"/>
      <c r="F331" s="1384"/>
      <c r="G331" s="1384"/>
      <c r="H331" s="1384"/>
      <c r="I331" s="1384"/>
      <c r="J331" s="1386"/>
      <c r="K331" s="1386"/>
      <c r="L331" s="1386"/>
      <c r="M331" s="116"/>
      <c r="N331" s="634" t="str">
        <f>Translations!$B$635</f>
        <v>Result to be entered in sheet C</v>
      </c>
      <c r="O331" s="116"/>
      <c r="P331" s="116"/>
      <c r="Q331" s="116"/>
      <c r="R331" s="116"/>
      <c r="S331" s="132"/>
      <c r="T331" s="142"/>
      <c r="U331" s="115"/>
      <c r="W331" s="569" t="str">
        <f>Translations!$B$377</f>
        <v>RFA</v>
      </c>
      <c r="X331" s="569" t="str">
        <f>Translations!$B$386</f>
        <v>UCF</v>
      </c>
      <c r="Y331" s="569"/>
      <c r="Z331" s="569" t="str">
        <f>Translations!$B$383</f>
        <v>EF</v>
      </c>
      <c r="AA331" s="569"/>
      <c r="AB331" s="570"/>
      <c r="AC331" s="570"/>
      <c r="AH331" s="570"/>
      <c r="AI331" s="570"/>
      <c r="AJ331" s="570"/>
    </row>
    <row r="332" spans="1:38" ht="12.75" customHeight="1" x14ac:dyDescent="0.3">
      <c r="B332" s="132"/>
      <c r="C332" s="132"/>
      <c r="D332" s="1381"/>
      <c r="E332" s="1382"/>
      <c r="F332" s="635" t="str">
        <f>IF(COUNTA($E333:$E347)=0,"",$W329)</f>
        <v/>
      </c>
      <c r="G332" s="635" t="str">
        <f>IF(COUNTA($E333:$E347)=0,"",$X329)</f>
        <v/>
      </c>
      <c r="H332" s="635" t="str">
        <f>IF(COUNTA($E333:$E347)=0,"",$Z329)</f>
        <v/>
      </c>
      <c r="I332" s="636" t="s">
        <v>46</v>
      </c>
      <c r="J332" s="635" t="str">
        <f>IF(AE333=EUconst_NA,EUconst_GJ,AE333)</f>
        <v>GJ</v>
      </c>
      <c r="K332" s="637" t="s">
        <v>188</v>
      </c>
      <c r="L332" s="637" t="s">
        <v>188</v>
      </c>
      <c r="M332" s="116"/>
      <c r="N332" s="1387" t="str">
        <f>Translations!$B$636</f>
        <v>The results of this tool are the relevant (weighted average) values below. Each value has to be entered manually in sheet C for the respective fuel stream. Select fuel stream below for comparison.</v>
      </c>
      <c r="O332" s="1387"/>
      <c r="P332" s="1387"/>
      <c r="Q332" s="1387"/>
      <c r="R332" s="1387"/>
      <c r="S332" s="1387"/>
      <c r="T332" s="142"/>
      <c r="U332" s="115"/>
      <c r="W332" s="569" t="str">
        <f>EUconst_CNTR_ActivityData&amp;EUconst_Unit</f>
        <v>ActivityData_Unit</v>
      </c>
      <c r="X332" s="569" t="str">
        <f>EUconst_CNTR_UCF&amp;EUconst_Unit</f>
        <v>UCF_Unit</v>
      </c>
      <c r="Y332" s="569" t="str">
        <f>EUconst_CNTR_UCF&amp;EUconst_Value</f>
        <v>UCF_Value</v>
      </c>
      <c r="Z332" s="569" t="str">
        <f>EUconst_CNTR_EF&amp;EUconst_Unit</f>
        <v>EF_Unit</v>
      </c>
      <c r="AA332" s="569" t="str">
        <f>EUconst_CNTR_EF&amp;EUconst_Value</f>
        <v>EF_Value</v>
      </c>
      <c r="AB332" s="569" t="s">
        <v>189</v>
      </c>
      <c r="AC332" s="575"/>
      <c r="AD332" s="576" t="s">
        <v>147</v>
      </c>
      <c r="AE332" s="576" t="s">
        <v>151</v>
      </c>
      <c r="AF332" s="576" t="s">
        <v>153</v>
      </c>
      <c r="AG332" s="576" t="s">
        <v>155</v>
      </c>
      <c r="AH332" s="575"/>
      <c r="AI332" s="575"/>
      <c r="AJ332" s="575" t="s">
        <v>190</v>
      </c>
      <c r="AK332" s="575" t="s">
        <v>191</v>
      </c>
      <c r="AL332" s="575" t="s">
        <v>192</v>
      </c>
    </row>
    <row r="333" spans="1:38" ht="12.75" customHeight="1" x14ac:dyDescent="0.25">
      <c r="B333" s="132"/>
      <c r="C333" s="132"/>
      <c r="D333" s="1388" t="str">
        <f>Translations!$B$637</f>
        <v>Default compontents provided by the CA</v>
      </c>
      <c r="E333" s="42"/>
      <c r="F333" s="45"/>
      <c r="G333" s="639" t="str">
        <f>IF($E333="","",Y333)</f>
        <v/>
      </c>
      <c r="H333" s="639" t="str">
        <f>IF($E333="","",AA333)</f>
        <v/>
      </c>
      <c r="I333" s="46"/>
      <c r="J333" s="640" t="str">
        <f t="shared" ref="J333:J347" si="187">IFERROR(IF(E333="","",AL333),EUconst_ERR_Inconsistent)</f>
        <v/>
      </c>
      <c r="K333" s="640" t="str">
        <f t="shared" ref="K333:K347" si="188">IFERROR(IF(E333="","",AJ333),EUconst_ERR_Inconsistent)</f>
        <v/>
      </c>
      <c r="L333" s="640" t="str">
        <f t="shared" ref="L333:L347" si="189">IFERROR(IF(E333="","",AK333),EUconst_ERR_Inconsistent)</f>
        <v/>
      </c>
      <c r="M333" s="1389"/>
      <c r="N333" s="1387"/>
      <c r="O333" s="1387"/>
      <c r="P333" s="1387"/>
      <c r="Q333" s="1387"/>
      <c r="R333" s="1387"/>
      <c r="S333" s="1387"/>
      <c r="T333" s="142"/>
      <c r="U333" s="115"/>
      <c r="W333" s="561" t="str">
        <f t="shared" ref="W333:AA342" si="190">IF($E333="","",INDEX(MSPara_CalcFactorsMatrix,MATCH($E333,MSPara_SourceStreamCategory,0),MATCH(W$20&amp;"_"&amp;2,MSPara_CalcFactors,0)))</f>
        <v/>
      </c>
      <c r="X333" s="561" t="str">
        <f t="shared" si="190"/>
        <v/>
      </c>
      <c r="Y333" s="561" t="str">
        <f t="shared" si="190"/>
        <v/>
      </c>
      <c r="Z333" s="561" t="str">
        <f t="shared" si="190"/>
        <v/>
      </c>
      <c r="AA333" s="561" t="str">
        <f t="shared" si="190"/>
        <v/>
      </c>
      <c r="AB333" s="561" t="str">
        <f>IF(E333="","",OR(W333&lt;&gt;W329,X333&lt;&gt;X329,Z333&lt;&gt;Z329))</f>
        <v/>
      </c>
      <c r="AC333" s="567"/>
      <c r="AD333" s="561" t="str">
        <f>W333</f>
        <v/>
      </c>
      <c r="AE333" s="561" t="str">
        <f>IF(X333="",EUconst_NA,IF(AD333=EUconst_TJ,EUconst_TJ,INDEX(EUwideConstants!$C$135:$G$139,MATCH(AD333,RFAUnits,0),MATCH(X333,UCFUnits,0))))</f>
        <v>n.a.</v>
      </c>
      <c r="AF333" s="561" t="str">
        <f>IF(COUNTIF(RFAUnits,AD333)=0,EUconst_NA,INDEX(EUwideConstants!$C$150:$H$154,MATCH(Z333,EFUnits,0),MATCH(AD333,EUwideConstants!$C$149:$H$149,0)))</f>
        <v>n.a.</v>
      </c>
      <c r="AG333" s="561" t="str">
        <f>IF(AE333=EUconst_NA,EUconst_NA,INDEX(EUwideConstants!$C$150:$H$154,MATCH(Z333,EFUnits,0),MATCH(AE333,EUwideConstants!$C$149:$H$149,0)))</f>
        <v>n.a.</v>
      </c>
      <c r="AH333" s="561" t="b">
        <f t="shared" ref="AH333" si="191">AF333&lt;&gt;EUconst_NA</f>
        <v>0</v>
      </c>
      <c r="AI333" s="561" t="b">
        <f t="shared" ref="AI333" si="192">AG333&lt;&gt;EUconst_NA</f>
        <v>0</v>
      </c>
      <c r="AJ333" s="582" t="str">
        <f>IF(OR(E333="",COUNTIF(AH333:AI333,TRUE)=0),"",F333*IF(AH333,1,G333*AG333)*H333*(1-I333))</f>
        <v/>
      </c>
      <c r="AK333" s="582" t="str">
        <f>IF(OR(E333="",COUNTIF(AH333:AI333,TRUE)=0),"",F333*IF(AH333,1,G333*AG333)*H333*I333)</f>
        <v/>
      </c>
      <c r="AL333" s="582" t="str">
        <f t="shared" ref="AL333:AL347" si="193">IF(E333="","",IF(W333=EUconst_TJ,F333,F333*G333))</f>
        <v/>
      </c>
    </row>
    <row r="334" spans="1:38" ht="12.75" customHeight="1" x14ac:dyDescent="0.25">
      <c r="B334" s="132"/>
      <c r="C334" s="132"/>
      <c r="D334" s="1388"/>
      <c r="E334" s="43"/>
      <c r="F334" s="47"/>
      <c r="G334" s="641" t="str">
        <f t="shared" ref="G334:G342" si="194">IF($E334="","",Y334)</f>
        <v/>
      </c>
      <c r="H334" s="641" t="str">
        <f t="shared" ref="H334:H342" si="195">IF($E334="","",AA334)</f>
        <v/>
      </c>
      <c r="I334" s="48"/>
      <c r="J334" s="642" t="str">
        <f t="shared" si="187"/>
        <v/>
      </c>
      <c r="K334" s="642" t="str">
        <f t="shared" si="188"/>
        <v/>
      </c>
      <c r="L334" s="642" t="str">
        <f t="shared" si="189"/>
        <v/>
      </c>
      <c r="M334" s="1389"/>
      <c r="N334" s="638"/>
      <c r="O334" s="643" t="str">
        <f>Translations!$B$639</f>
        <v>Fuel stream:</v>
      </c>
      <c r="P334" s="1390"/>
      <c r="Q334" s="1391"/>
      <c r="R334" s="1391"/>
      <c r="S334" s="1392"/>
      <c r="T334" s="142"/>
      <c r="U334" s="115"/>
      <c r="W334" s="561" t="str">
        <f t="shared" si="190"/>
        <v/>
      </c>
      <c r="X334" s="561" t="str">
        <f t="shared" si="190"/>
        <v/>
      </c>
      <c r="Y334" s="561" t="str">
        <f t="shared" si="190"/>
        <v/>
      </c>
      <c r="Z334" s="561" t="str">
        <f t="shared" si="190"/>
        <v/>
      </c>
      <c r="AA334" s="561" t="str">
        <f t="shared" si="190"/>
        <v/>
      </c>
      <c r="AB334" s="561" t="str">
        <f>IF(E334="","",OR(W334&lt;&gt;W329,X334&lt;&gt;X329,Z334&lt;&gt;Z329))</f>
        <v/>
      </c>
      <c r="AC334" s="567"/>
      <c r="AD334" s="561" t="str">
        <f>AD333</f>
        <v/>
      </c>
      <c r="AE334" s="561" t="str">
        <f t="shared" ref="AE334:AI347" si="196">AE333</f>
        <v>n.a.</v>
      </c>
      <c r="AF334" s="561" t="str">
        <f t="shared" si="196"/>
        <v>n.a.</v>
      </c>
      <c r="AG334" s="561" t="str">
        <f t="shared" si="196"/>
        <v>n.a.</v>
      </c>
      <c r="AH334" s="561" t="b">
        <f t="shared" si="196"/>
        <v>0</v>
      </c>
      <c r="AI334" s="561" t="b">
        <f t="shared" si="196"/>
        <v>0</v>
      </c>
      <c r="AJ334" s="582" t="str">
        <f t="shared" ref="AJ334:AJ347" si="197">IF(OR(E334="",COUNTIF(AH334:AI334,TRUE)=0),"",F334*IF(AH334,1,G334*AG334)*H334*(1-I334))</f>
        <v/>
      </c>
      <c r="AK334" s="582" t="str">
        <f t="shared" ref="AK334:AK347" si="198">IF(OR(E334="",COUNTIF(AH334:AI334,TRUE)=0),"",F334*IF(AH334,1,G334*AG334)*H334*I334)</f>
        <v/>
      </c>
      <c r="AL334" s="582" t="str">
        <f t="shared" si="193"/>
        <v/>
      </c>
    </row>
    <row r="335" spans="1:38" ht="12.75" customHeight="1" x14ac:dyDescent="0.25">
      <c r="B335" s="132"/>
      <c r="C335" s="132"/>
      <c r="D335" s="1388"/>
      <c r="E335" s="43"/>
      <c r="F335" s="47"/>
      <c r="G335" s="641" t="str">
        <f t="shared" si="194"/>
        <v/>
      </c>
      <c r="H335" s="641" t="str">
        <f t="shared" si="195"/>
        <v/>
      </c>
      <c r="I335" s="48"/>
      <c r="J335" s="642" t="str">
        <f t="shared" si="187"/>
        <v/>
      </c>
      <c r="K335" s="642" t="str">
        <f t="shared" si="188"/>
        <v/>
      </c>
      <c r="L335" s="642" t="str">
        <f t="shared" si="189"/>
        <v/>
      </c>
      <c r="M335" s="1389"/>
      <c r="N335" s="116"/>
      <c r="O335" s="116"/>
      <c r="P335" s="116"/>
      <c r="Q335" s="116"/>
      <c r="R335" s="116"/>
      <c r="S335" s="132"/>
      <c r="T335" s="142"/>
      <c r="U335" s="115"/>
      <c r="W335" s="561" t="str">
        <f t="shared" si="190"/>
        <v/>
      </c>
      <c r="X335" s="561" t="str">
        <f t="shared" si="190"/>
        <v/>
      </c>
      <c r="Y335" s="561" t="str">
        <f t="shared" si="190"/>
        <v/>
      </c>
      <c r="Z335" s="561" t="str">
        <f t="shared" si="190"/>
        <v/>
      </c>
      <c r="AA335" s="561" t="str">
        <f t="shared" si="190"/>
        <v/>
      </c>
      <c r="AB335" s="561" t="str">
        <f>IF(E335="","",OR(W335&lt;&gt;W329,X335&lt;&gt;X329,Z335&lt;&gt;Z329))</f>
        <v/>
      </c>
      <c r="AC335" s="567"/>
      <c r="AD335" s="561" t="str">
        <f t="shared" ref="AD335:AD347" si="199">AD334</f>
        <v/>
      </c>
      <c r="AE335" s="561" t="str">
        <f t="shared" si="196"/>
        <v>n.a.</v>
      </c>
      <c r="AF335" s="561" t="str">
        <f t="shared" si="196"/>
        <v>n.a.</v>
      </c>
      <c r="AG335" s="561" t="str">
        <f t="shared" si="196"/>
        <v>n.a.</v>
      </c>
      <c r="AH335" s="561" t="b">
        <f t="shared" si="196"/>
        <v>0</v>
      </c>
      <c r="AI335" s="561" t="b">
        <f t="shared" si="196"/>
        <v>0</v>
      </c>
      <c r="AJ335" s="582" t="str">
        <f t="shared" si="197"/>
        <v/>
      </c>
      <c r="AK335" s="582" t="str">
        <f t="shared" si="198"/>
        <v/>
      </c>
      <c r="AL335" s="582" t="str">
        <f t="shared" si="193"/>
        <v/>
      </c>
    </row>
    <row r="336" spans="1:38" ht="12.75" customHeight="1" thickBot="1" x14ac:dyDescent="0.35">
      <c r="B336" s="132"/>
      <c r="C336" s="132"/>
      <c r="D336" s="1388"/>
      <c r="E336" s="43"/>
      <c r="F336" s="47"/>
      <c r="G336" s="641" t="str">
        <f t="shared" si="194"/>
        <v/>
      </c>
      <c r="H336" s="641" t="str">
        <f t="shared" si="195"/>
        <v/>
      </c>
      <c r="I336" s="48"/>
      <c r="J336" s="642" t="str">
        <f t="shared" si="187"/>
        <v/>
      </c>
      <c r="K336" s="642" t="str">
        <f t="shared" si="188"/>
        <v/>
      </c>
      <c r="L336" s="642" t="str">
        <f t="shared" si="189"/>
        <v/>
      </c>
      <c r="M336" s="1389"/>
      <c r="N336" s="1255" t="str">
        <f>Translations!$B$394</f>
        <v>Unit</v>
      </c>
      <c r="O336" s="1255"/>
      <c r="P336" s="1255" t="str">
        <f>Translations!$B$395</f>
        <v>Value</v>
      </c>
      <c r="Q336" s="1255"/>
      <c r="R336" s="116"/>
      <c r="S336" s="644" t="str">
        <f>Translations!$B$642</f>
        <v>Sheet C values</v>
      </c>
      <c r="T336" s="142"/>
      <c r="U336" s="115"/>
      <c r="W336" s="561" t="str">
        <f t="shared" si="190"/>
        <v/>
      </c>
      <c r="X336" s="561" t="str">
        <f t="shared" si="190"/>
        <v/>
      </c>
      <c r="Y336" s="561" t="str">
        <f t="shared" si="190"/>
        <v/>
      </c>
      <c r="Z336" s="561" t="str">
        <f t="shared" si="190"/>
        <v/>
      </c>
      <c r="AA336" s="561" t="str">
        <f t="shared" si="190"/>
        <v/>
      </c>
      <c r="AB336" s="561" t="str">
        <f>IF(E336="","",OR(W336&lt;&gt;W329,X336&lt;&gt;X329,Z336&lt;&gt;Z329))</f>
        <v/>
      </c>
      <c r="AC336" s="567"/>
      <c r="AD336" s="561" t="str">
        <f t="shared" si="199"/>
        <v/>
      </c>
      <c r="AE336" s="561" t="str">
        <f t="shared" si="196"/>
        <v>n.a.</v>
      </c>
      <c r="AF336" s="561" t="str">
        <f t="shared" si="196"/>
        <v>n.a.</v>
      </c>
      <c r="AG336" s="561" t="str">
        <f t="shared" si="196"/>
        <v>n.a.</v>
      </c>
      <c r="AH336" s="561" t="b">
        <f t="shared" si="196"/>
        <v>0</v>
      </c>
      <c r="AI336" s="561" t="b">
        <f t="shared" si="196"/>
        <v>0</v>
      </c>
      <c r="AJ336" s="582" t="str">
        <f t="shared" si="197"/>
        <v/>
      </c>
      <c r="AK336" s="582" t="str">
        <f t="shared" si="198"/>
        <v/>
      </c>
      <c r="AL336" s="582" t="str">
        <f t="shared" si="193"/>
        <v/>
      </c>
    </row>
    <row r="337" spans="1:38" ht="12.75" customHeight="1" thickBot="1" x14ac:dyDescent="0.3">
      <c r="B337" s="132"/>
      <c r="C337" s="132"/>
      <c r="D337" s="1388"/>
      <c r="E337" s="43"/>
      <c r="F337" s="47"/>
      <c r="G337" s="641" t="str">
        <f t="shared" si="194"/>
        <v/>
      </c>
      <c r="H337" s="641" t="str">
        <f t="shared" si="195"/>
        <v/>
      </c>
      <c r="I337" s="48"/>
      <c r="J337" s="642" t="str">
        <f t="shared" si="187"/>
        <v/>
      </c>
      <c r="K337" s="642" t="str">
        <f t="shared" si="188"/>
        <v/>
      </c>
      <c r="L337" s="642" t="str">
        <f t="shared" si="189"/>
        <v/>
      </c>
      <c r="M337" s="116"/>
      <c r="N337" s="346" t="str">
        <f>F332</f>
        <v/>
      </c>
      <c r="O337" s="7"/>
      <c r="P337" s="1393" t="str">
        <f>IF(F348="","",F348)</f>
        <v/>
      </c>
      <c r="Q337" s="1394"/>
      <c r="R337" s="116"/>
      <c r="S337" s="645" t="str">
        <f>IF(P334="","",SUMIFS(C_FuelStreams!BK:BK,C_FuelStreams!BI:BI,P334))</f>
        <v/>
      </c>
      <c r="T337" s="142"/>
      <c r="U337" s="115"/>
      <c r="W337" s="561" t="str">
        <f t="shared" si="190"/>
        <v/>
      </c>
      <c r="X337" s="561" t="str">
        <f t="shared" si="190"/>
        <v/>
      </c>
      <c r="Y337" s="561" t="str">
        <f t="shared" si="190"/>
        <v/>
      </c>
      <c r="Z337" s="561" t="str">
        <f t="shared" si="190"/>
        <v/>
      </c>
      <c r="AA337" s="561" t="str">
        <f t="shared" si="190"/>
        <v/>
      </c>
      <c r="AB337" s="561" t="str">
        <f>IF(E337="","",OR(W337&lt;&gt;W329,X337&lt;&gt;X329,Z337&lt;&gt;Z329))</f>
        <v/>
      </c>
      <c r="AC337" s="567"/>
      <c r="AD337" s="561" t="str">
        <f t="shared" si="199"/>
        <v/>
      </c>
      <c r="AE337" s="561" t="str">
        <f t="shared" si="196"/>
        <v>n.a.</v>
      </c>
      <c r="AF337" s="561" t="str">
        <f t="shared" si="196"/>
        <v>n.a.</v>
      </c>
      <c r="AG337" s="561" t="str">
        <f t="shared" si="196"/>
        <v>n.a.</v>
      </c>
      <c r="AH337" s="561" t="b">
        <f t="shared" si="196"/>
        <v>0</v>
      </c>
      <c r="AI337" s="561" t="b">
        <f t="shared" si="196"/>
        <v>0</v>
      </c>
      <c r="AJ337" s="582" t="str">
        <f t="shared" si="197"/>
        <v/>
      </c>
      <c r="AK337" s="582" t="str">
        <f t="shared" si="198"/>
        <v/>
      </c>
      <c r="AL337" s="582" t="str">
        <f t="shared" si="193"/>
        <v/>
      </c>
    </row>
    <row r="338" spans="1:38" ht="12.75" customHeight="1" thickBot="1" x14ac:dyDescent="0.3">
      <c r="B338" s="132"/>
      <c r="C338" s="132"/>
      <c r="D338" s="1388"/>
      <c r="E338" s="43"/>
      <c r="F338" s="47"/>
      <c r="G338" s="641" t="str">
        <f t="shared" si="194"/>
        <v/>
      </c>
      <c r="H338" s="641" t="str">
        <f t="shared" si="195"/>
        <v/>
      </c>
      <c r="I338" s="48"/>
      <c r="J338" s="642" t="str">
        <f t="shared" si="187"/>
        <v/>
      </c>
      <c r="K338" s="642" t="str">
        <f t="shared" si="188"/>
        <v/>
      </c>
      <c r="L338" s="642" t="str">
        <f t="shared" si="189"/>
        <v/>
      </c>
      <c r="M338" s="116"/>
      <c r="N338" s="162"/>
      <c r="O338" s="162"/>
      <c r="P338" s="76"/>
      <c r="Q338" s="76"/>
      <c r="R338" s="116"/>
      <c r="S338" s="996"/>
      <c r="T338" s="142"/>
      <c r="U338" s="115"/>
      <c r="W338" s="561" t="str">
        <f t="shared" si="190"/>
        <v/>
      </c>
      <c r="X338" s="561" t="str">
        <f t="shared" si="190"/>
        <v/>
      </c>
      <c r="Y338" s="561" t="str">
        <f t="shared" si="190"/>
        <v/>
      </c>
      <c r="Z338" s="561" t="str">
        <f t="shared" si="190"/>
        <v/>
      </c>
      <c r="AA338" s="561" t="str">
        <f t="shared" si="190"/>
        <v/>
      </c>
      <c r="AB338" s="561" t="str">
        <f>IF(E338="","",OR(W338&lt;&gt;W329,X338&lt;&gt;X329,Z338&lt;&gt;Z329))</f>
        <v/>
      </c>
      <c r="AC338" s="567"/>
      <c r="AD338" s="561" t="str">
        <f t="shared" si="199"/>
        <v/>
      </c>
      <c r="AE338" s="561" t="str">
        <f t="shared" si="196"/>
        <v>n.a.</v>
      </c>
      <c r="AF338" s="561" t="str">
        <f t="shared" si="196"/>
        <v>n.a.</v>
      </c>
      <c r="AG338" s="561" t="str">
        <f t="shared" si="196"/>
        <v>n.a.</v>
      </c>
      <c r="AH338" s="561" t="b">
        <f t="shared" si="196"/>
        <v>0</v>
      </c>
      <c r="AI338" s="561" t="b">
        <f t="shared" si="196"/>
        <v>0</v>
      </c>
      <c r="AJ338" s="582" t="str">
        <f t="shared" si="197"/>
        <v/>
      </c>
      <c r="AK338" s="582" t="str">
        <f t="shared" si="198"/>
        <v/>
      </c>
      <c r="AL338" s="582" t="str">
        <f t="shared" si="193"/>
        <v/>
      </c>
    </row>
    <row r="339" spans="1:38" ht="12.75" customHeight="1" x14ac:dyDescent="0.25">
      <c r="B339" s="132"/>
      <c r="C339" s="132"/>
      <c r="D339" s="1388"/>
      <c r="E339" s="43"/>
      <c r="F339" s="47"/>
      <c r="G339" s="641" t="str">
        <f t="shared" si="194"/>
        <v/>
      </c>
      <c r="H339" s="641" t="str">
        <f t="shared" si="195"/>
        <v/>
      </c>
      <c r="I339" s="48"/>
      <c r="J339" s="642" t="str">
        <f t="shared" si="187"/>
        <v/>
      </c>
      <c r="K339" s="642" t="str">
        <f t="shared" si="188"/>
        <v/>
      </c>
      <c r="L339" s="642" t="str">
        <f t="shared" si="189"/>
        <v/>
      </c>
      <c r="M339" s="116"/>
      <c r="N339" s="365" t="str">
        <f>G332</f>
        <v/>
      </c>
      <c r="O339" s="11"/>
      <c r="P339" s="366"/>
      <c r="Q339" s="646" t="str">
        <f>IF(G348="","",G348)</f>
        <v/>
      </c>
      <c r="R339" s="116"/>
      <c r="S339" s="647" t="str">
        <f>IF(P334="","",SUMIFS(C_FuelStreams!BU:BU,C_FuelStreams!BI:BI,P334))</f>
        <v/>
      </c>
      <c r="T339" s="142"/>
      <c r="U339" s="115"/>
      <c r="W339" s="561" t="str">
        <f t="shared" si="190"/>
        <v/>
      </c>
      <c r="X339" s="561" t="str">
        <f t="shared" si="190"/>
        <v/>
      </c>
      <c r="Y339" s="561" t="str">
        <f t="shared" si="190"/>
        <v/>
      </c>
      <c r="Z339" s="561" t="str">
        <f t="shared" si="190"/>
        <v/>
      </c>
      <c r="AA339" s="561" t="str">
        <f t="shared" si="190"/>
        <v/>
      </c>
      <c r="AB339" s="561" t="str">
        <f>IF(E339="","",OR(W339&lt;&gt;W329,X339&lt;&gt;X329,Z339&lt;&gt;Z329))</f>
        <v/>
      </c>
      <c r="AC339" s="567"/>
      <c r="AD339" s="561" t="str">
        <f t="shared" si="199"/>
        <v/>
      </c>
      <c r="AE339" s="561" t="str">
        <f t="shared" si="196"/>
        <v>n.a.</v>
      </c>
      <c r="AF339" s="561" t="str">
        <f t="shared" si="196"/>
        <v>n.a.</v>
      </c>
      <c r="AG339" s="561" t="str">
        <f t="shared" si="196"/>
        <v>n.a.</v>
      </c>
      <c r="AH339" s="561" t="b">
        <f t="shared" si="196"/>
        <v>0</v>
      </c>
      <c r="AI339" s="561" t="b">
        <f t="shared" si="196"/>
        <v>0</v>
      </c>
      <c r="AJ339" s="582" t="str">
        <f t="shared" si="197"/>
        <v/>
      </c>
      <c r="AK339" s="582" t="str">
        <f t="shared" si="198"/>
        <v/>
      </c>
      <c r="AL339" s="582" t="str">
        <f t="shared" si="193"/>
        <v/>
      </c>
    </row>
    <row r="340" spans="1:38" ht="12.75" customHeight="1" thickBot="1" x14ac:dyDescent="0.3">
      <c r="B340" s="132"/>
      <c r="C340" s="132"/>
      <c r="D340" s="1388"/>
      <c r="E340" s="43"/>
      <c r="F340" s="47"/>
      <c r="G340" s="641" t="str">
        <f t="shared" si="194"/>
        <v/>
      </c>
      <c r="H340" s="641" t="str">
        <f t="shared" si="195"/>
        <v/>
      </c>
      <c r="I340" s="48"/>
      <c r="J340" s="642" t="str">
        <f t="shared" si="187"/>
        <v/>
      </c>
      <c r="K340" s="642" t="str">
        <f t="shared" si="188"/>
        <v/>
      </c>
      <c r="L340" s="642" t="str">
        <f t="shared" si="189"/>
        <v/>
      </c>
      <c r="M340" s="116"/>
      <c r="N340" s="648" t="str">
        <f>H332</f>
        <v/>
      </c>
      <c r="O340" s="22"/>
      <c r="P340" s="649"/>
      <c r="Q340" s="650" t="str">
        <f>IF(H348="","",H348)</f>
        <v/>
      </c>
      <c r="R340" s="116"/>
      <c r="S340" s="651" t="str">
        <f>IF(P334="","",SUMIFS(C_FuelStreams!BR:BR,C_FuelStreams!BI:BI,P334))</f>
        <v/>
      </c>
      <c r="T340" s="142"/>
      <c r="U340" s="115"/>
      <c r="W340" s="561" t="str">
        <f t="shared" si="190"/>
        <v/>
      </c>
      <c r="X340" s="561" t="str">
        <f t="shared" si="190"/>
        <v/>
      </c>
      <c r="Y340" s="561" t="str">
        <f t="shared" si="190"/>
        <v/>
      </c>
      <c r="Z340" s="561" t="str">
        <f t="shared" si="190"/>
        <v/>
      </c>
      <c r="AA340" s="561" t="str">
        <f t="shared" si="190"/>
        <v/>
      </c>
      <c r="AB340" s="561" t="str">
        <f>IF(E340="","",OR(W340&lt;&gt;W329,X340&lt;&gt;X329,Z340&lt;&gt;Z329))</f>
        <v/>
      </c>
      <c r="AC340" s="567"/>
      <c r="AD340" s="561" t="str">
        <f t="shared" si="199"/>
        <v/>
      </c>
      <c r="AE340" s="561" t="str">
        <f t="shared" si="196"/>
        <v>n.a.</v>
      </c>
      <c r="AF340" s="561" t="str">
        <f t="shared" si="196"/>
        <v>n.a.</v>
      </c>
      <c r="AG340" s="561" t="str">
        <f t="shared" si="196"/>
        <v>n.a.</v>
      </c>
      <c r="AH340" s="561" t="b">
        <f t="shared" si="196"/>
        <v>0</v>
      </c>
      <c r="AI340" s="561" t="b">
        <f t="shared" si="196"/>
        <v>0</v>
      </c>
      <c r="AJ340" s="582" t="str">
        <f t="shared" si="197"/>
        <v/>
      </c>
      <c r="AK340" s="582" t="str">
        <f t="shared" si="198"/>
        <v/>
      </c>
      <c r="AL340" s="582" t="str">
        <f t="shared" si="193"/>
        <v/>
      </c>
    </row>
    <row r="341" spans="1:38" ht="12.75" customHeight="1" x14ac:dyDescent="0.25">
      <c r="B341" s="132"/>
      <c r="C341" s="132"/>
      <c r="D341" s="1388"/>
      <c r="E341" s="43"/>
      <c r="F341" s="47"/>
      <c r="G341" s="641" t="str">
        <f t="shared" si="194"/>
        <v/>
      </c>
      <c r="H341" s="641" t="str">
        <f t="shared" si="195"/>
        <v/>
      </c>
      <c r="I341" s="48"/>
      <c r="J341" s="642" t="str">
        <f t="shared" si="187"/>
        <v/>
      </c>
      <c r="K341" s="642" t="str">
        <f t="shared" si="188"/>
        <v/>
      </c>
      <c r="L341" s="642" t="str">
        <f t="shared" si="189"/>
        <v/>
      </c>
      <c r="M341" s="116"/>
      <c r="N341" s="652" t="s">
        <v>46</v>
      </c>
      <c r="O341" s="411"/>
      <c r="P341" s="653"/>
      <c r="Q341" s="654" t="str">
        <f>IF(I348="","",I348)</f>
        <v/>
      </c>
      <c r="R341" s="116"/>
      <c r="S341" s="655" t="str">
        <f>IF(P334="","",SUMIFS(C_FuelStreams!BX:BX,C_FuelStreams!BI:BI,P334))</f>
        <v/>
      </c>
      <c r="T341" s="142"/>
      <c r="U341" s="115"/>
      <c r="W341" s="561" t="str">
        <f t="shared" si="190"/>
        <v/>
      </c>
      <c r="X341" s="561" t="str">
        <f t="shared" si="190"/>
        <v/>
      </c>
      <c r="Y341" s="561" t="str">
        <f t="shared" si="190"/>
        <v/>
      </c>
      <c r="Z341" s="561" t="str">
        <f t="shared" si="190"/>
        <v/>
      </c>
      <c r="AA341" s="561" t="str">
        <f t="shared" si="190"/>
        <v/>
      </c>
      <c r="AB341" s="561" t="str">
        <f>IF(E341="","",OR(W341&lt;&gt;W329,X341&lt;&gt;X329,Z341&lt;&gt;Z329))</f>
        <v/>
      </c>
      <c r="AC341" s="567"/>
      <c r="AD341" s="561" t="str">
        <f t="shared" si="199"/>
        <v/>
      </c>
      <c r="AE341" s="561" t="str">
        <f t="shared" si="196"/>
        <v>n.a.</v>
      </c>
      <c r="AF341" s="561" t="str">
        <f t="shared" si="196"/>
        <v>n.a.</v>
      </c>
      <c r="AG341" s="561" t="str">
        <f t="shared" si="196"/>
        <v>n.a.</v>
      </c>
      <c r="AH341" s="561" t="b">
        <f t="shared" si="196"/>
        <v>0</v>
      </c>
      <c r="AI341" s="561" t="b">
        <f t="shared" si="196"/>
        <v>0</v>
      </c>
      <c r="AJ341" s="582" t="str">
        <f t="shared" si="197"/>
        <v/>
      </c>
      <c r="AK341" s="582" t="str">
        <f t="shared" si="198"/>
        <v/>
      </c>
      <c r="AL341" s="582" t="str">
        <f t="shared" si="193"/>
        <v/>
      </c>
    </row>
    <row r="342" spans="1:38" ht="12.75" customHeight="1" x14ac:dyDescent="0.25">
      <c r="B342" s="132"/>
      <c r="C342" s="132"/>
      <c r="D342" s="1388"/>
      <c r="E342" s="43"/>
      <c r="F342" s="47"/>
      <c r="G342" s="641" t="str">
        <f t="shared" si="194"/>
        <v/>
      </c>
      <c r="H342" s="641" t="str">
        <f t="shared" si="195"/>
        <v/>
      </c>
      <c r="I342" s="48"/>
      <c r="J342" s="642" t="str">
        <f t="shared" si="187"/>
        <v/>
      </c>
      <c r="K342" s="642" t="str">
        <f t="shared" si="188"/>
        <v/>
      </c>
      <c r="L342" s="642" t="str">
        <f t="shared" si="189"/>
        <v/>
      </c>
      <c r="M342" s="1395"/>
      <c r="N342" s="116"/>
      <c r="O342" s="116"/>
      <c r="P342" s="116"/>
      <c r="Q342" s="116"/>
      <c r="R342" s="116"/>
      <c r="S342" s="132"/>
      <c r="T342" s="142"/>
      <c r="U342" s="115"/>
      <c r="W342" s="561" t="str">
        <f t="shared" si="190"/>
        <v/>
      </c>
      <c r="X342" s="561" t="str">
        <f t="shared" si="190"/>
        <v/>
      </c>
      <c r="Y342" s="561" t="str">
        <f t="shared" si="190"/>
        <v/>
      </c>
      <c r="Z342" s="561" t="str">
        <f t="shared" si="190"/>
        <v/>
      </c>
      <c r="AA342" s="561" t="str">
        <f t="shared" si="190"/>
        <v/>
      </c>
      <c r="AB342" s="561" t="str">
        <f>IF(E342="","",OR(W342&lt;&gt;W329,X342&lt;&gt;X329,Z342&lt;&gt;Z329))</f>
        <v/>
      </c>
      <c r="AC342" s="567"/>
      <c r="AD342" s="561" t="str">
        <f t="shared" si="199"/>
        <v/>
      </c>
      <c r="AE342" s="561" t="str">
        <f t="shared" si="196"/>
        <v>n.a.</v>
      </c>
      <c r="AF342" s="561" t="str">
        <f t="shared" si="196"/>
        <v>n.a.</v>
      </c>
      <c r="AG342" s="561" t="str">
        <f t="shared" si="196"/>
        <v>n.a.</v>
      </c>
      <c r="AH342" s="561" t="b">
        <f t="shared" si="196"/>
        <v>0</v>
      </c>
      <c r="AI342" s="561" t="b">
        <f t="shared" si="196"/>
        <v>0</v>
      </c>
      <c r="AJ342" s="582" t="str">
        <f t="shared" si="197"/>
        <v/>
      </c>
      <c r="AK342" s="582" t="str">
        <f t="shared" si="198"/>
        <v/>
      </c>
      <c r="AL342" s="582" t="str">
        <f t="shared" si="193"/>
        <v/>
      </c>
    </row>
    <row r="343" spans="1:38" ht="12.75" customHeight="1" x14ac:dyDescent="0.25">
      <c r="B343" s="132"/>
      <c r="C343" s="132"/>
      <c r="D343" s="1388" t="str">
        <f>Translations!$B$643</f>
        <v>Customised components</v>
      </c>
      <c r="E343" s="42"/>
      <c r="F343" s="45"/>
      <c r="G343" s="49"/>
      <c r="H343" s="49"/>
      <c r="I343" s="46"/>
      <c r="J343" s="640" t="str">
        <f t="shared" si="187"/>
        <v/>
      </c>
      <c r="K343" s="640" t="str">
        <f t="shared" si="188"/>
        <v/>
      </c>
      <c r="L343" s="640" t="str">
        <f t="shared" si="189"/>
        <v/>
      </c>
      <c r="M343" s="1395"/>
      <c r="N343" s="116"/>
      <c r="O343" s="116"/>
      <c r="P343" s="656" t="str">
        <f>Translations!$B$644</f>
        <v>CO2 fossil (before scope factor):</v>
      </c>
      <c r="Q343" s="997" t="str">
        <f>IF(K348="","",K348)</f>
        <v/>
      </c>
      <c r="R343" s="656"/>
      <c r="S343" s="997" t="str">
        <f>IF(P334="","",IF(W343=0,0,SUMIFS(C_FuelStreams!CE:CE,C_FuelStreams!BI:BI,P334)/W343))</f>
        <v/>
      </c>
      <c r="T343" s="142"/>
      <c r="U343" s="115"/>
      <c r="V343" s="110" t="str">
        <f>Translations!$B$398</f>
        <v>Scope factor:</v>
      </c>
      <c r="W343" s="617" t="str">
        <f>IF(P334="","",SUMIFS(C_FuelStreams!BP:BP,C_FuelStreams!BI:BI,P334))</f>
        <v/>
      </c>
      <c r="AD343" s="561" t="str">
        <f t="shared" si="199"/>
        <v/>
      </c>
      <c r="AE343" s="561" t="str">
        <f t="shared" si="196"/>
        <v>n.a.</v>
      </c>
      <c r="AF343" s="561" t="str">
        <f t="shared" si="196"/>
        <v>n.a.</v>
      </c>
      <c r="AG343" s="561" t="str">
        <f t="shared" si="196"/>
        <v>n.a.</v>
      </c>
      <c r="AH343" s="561" t="b">
        <f t="shared" si="196"/>
        <v>0</v>
      </c>
      <c r="AI343" s="561" t="b">
        <f t="shared" si="196"/>
        <v>0</v>
      </c>
      <c r="AJ343" s="582" t="str">
        <f t="shared" si="197"/>
        <v/>
      </c>
      <c r="AK343" s="582" t="str">
        <f t="shared" si="198"/>
        <v/>
      </c>
      <c r="AL343" s="582" t="str">
        <f t="shared" si="193"/>
        <v/>
      </c>
    </row>
    <row r="344" spans="1:38" ht="12.75" customHeight="1" x14ac:dyDescent="0.25">
      <c r="B344" s="132"/>
      <c r="C344" s="132"/>
      <c r="D344" s="1388"/>
      <c r="E344" s="43"/>
      <c r="F344" s="47"/>
      <c r="G344" s="50"/>
      <c r="H344" s="50"/>
      <c r="I344" s="48"/>
      <c r="J344" s="642" t="str">
        <f t="shared" si="187"/>
        <v/>
      </c>
      <c r="K344" s="642" t="str">
        <f t="shared" si="188"/>
        <v/>
      </c>
      <c r="L344" s="642" t="str">
        <f t="shared" si="189"/>
        <v/>
      </c>
      <c r="M344" s="1395"/>
      <c r="N344" s="116"/>
      <c r="O344" s="116"/>
      <c r="P344" s="116"/>
      <c r="Q344" s="116"/>
      <c r="R344" s="116"/>
      <c r="S344" s="132"/>
      <c r="T344" s="142"/>
      <c r="U344" s="115"/>
      <c r="AD344" s="561" t="str">
        <f t="shared" si="199"/>
        <v/>
      </c>
      <c r="AE344" s="561" t="str">
        <f t="shared" si="196"/>
        <v>n.a.</v>
      </c>
      <c r="AF344" s="561" t="str">
        <f t="shared" si="196"/>
        <v>n.a.</v>
      </c>
      <c r="AG344" s="561" t="str">
        <f t="shared" si="196"/>
        <v>n.a.</v>
      </c>
      <c r="AH344" s="561" t="b">
        <f t="shared" si="196"/>
        <v>0</v>
      </c>
      <c r="AI344" s="561" t="b">
        <f t="shared" si="196"/>
        <v>0</v>
      </c>
      <c r="AJ344" s="582" t="str">
        <f t="shared" si="197"/>
        <v/>
      </c>
      <c r="AK344" s="582" t="str">
        <f t="shared" si="198"/>
        <v/>
      </c>
      <c r="AL344" s="582" t="str">
        <f t="shared" si="193"/>
        <v/>
      </c>
    </row>
    <row r="345" spans="1:38" ht="12.75" customHeight="1" x14ac:dyDescent="0.25">
      <c r="B345" s="132"/>
      <c r="C345" s="132"/>
      <c r="D345" s="1388"/>
      <c r="E345" s="43"/>
      <c r="F345" s="47"/>
      <c r="G345" s="50"/>
      <c r="H345" s="50"/>
      <c r="I345" s="48"/>
      <c r="J345" s="642" t="str">
        <f t="shared" si="187"/>
        <v/>
      </c>
      <c r="K345" s="642" t="str">
        <f t="shared" si="188"/>
        <v/>
      </c>
      <c r="L345" s="642" t="str">
        <f t="shared" si="189"/>
        <v/>
      </c>
      <c r="M345" s="1395"/>
      <c r="N345" s="116"/>
      <c r="O345" s="116"/>
      <c r="P345" s="116"/>
      <c r="Q345" s="116"/>
      <c r="R345" s="116"/>
      <c r="S345" s="132"/>
      <c r="T345" s="142"/>
      <c r="U345" s="115"/>
      <c r="AD345" s="561" t="str">
        <f t="shared" si="199"/>
        <v/>
      </c>
      <c r="AE345" s="561" t="str">
        <f t="shared" si="196"/>
        <v>n.a.</v>
      </c>
      <c r="AF345" s="561" t="str">
        <f t="shared" si="196"/>
        <v>n.a.</v>
      </c>
      <c r="AG345" s="561" t="str">
        <f t="shared" si="196"/>
        <v>n.a.</v>
      </c>
      <c r="AH345" s="561" t="b">
        <f t="shared" si="196"/>
        <v>0</v>
      </c>
      <c r="AI345" s="561" t="b">
        <f t="shared" si="196"/>
        <v>0</v>
      </c>
      <c r="AJ345" s="582" t="str">
        <f t="shared" si="197"/>
        <v/>
      </c>
      <c r="AK345" s="582" t="str">
        <f t="shared" si="198"/>
        <v/>
      </c>
      <c r="AL345" s="582" t="str">
        <f t="shared" si="193"/>
        <v/>
      </c>
    </row>
    <row r="346" spans="1:38" ht="12.75" customHeight="1" x14ac:dyDescent="0.25">
      <c r="B346" s="132"/>
      <c r="C346" s="132"/>
      <c r="D346" s="1388"/>
      <c r="E346" s="43"/>
      <c r="F346" s="47"/>
      <c r="G346" s="50"/>
      <c r="H346" s="50"/>
      <c r="I346" s="48"/>
      <c r="J346" s="642" t="str">
        <f t="shared" si="187"/>
        <v/>
      </c>
      <c r="K346" s="642" t="str">
        <f t="shared" si="188"/>
        <v/>
      </c>
      <c r="L346" s="642" t="str">
        <f t="shared" si="189"/>
        <v/>
      </c>
      <c r="M346" s="1395"/>
      <c r="N346" s="116"/>
      <c r="O346" s="116"/>
      <c r="P346" s="116"/>
      <c r="Q346" s="116"/>
      <c r="R346" s="116"/>
      <c r="S346" s="132"/>
      <c r="T346" s="142"/>
      <c r="U346" s="115"/>
      <c r="AD346" s="561" t="str">
        <f t="shared" si="199"/>
        <v/>
      </c>
      <c r="AE346" s="561" t="str">
        <f t="shared" si="196"/>
        <v>n.a.</v>
      </c>
      <c r="AF346" s="561" t="str">
        <f t="shared" si="196"/>
        <v>n.a.</v>
      </c>
      <c r="AG346" s="561" t="str">
        <f t="shared" si="196"/>
        <v>n.a.</v>
      </c>
      <c r="AH346" s="561" t="b">
        <f t="shared" si="196"/>
        <v>0</v>
      </c>
      <c r="AI346" s="561" t="b">
        <f t="shared" si="196"/>
        <v>0</v>
      </c>
      <c r="AJ346" s="582" t="str">
        <f t="shared" si="197"/>
        <v/>
      </c>
      <c r="AK346" s="582" t="str">
        <f t="shared" si="198"/>
        <v/>
      </c>
      <c r="AL346" s="582" t="str">
        <f t="shared" si="193"/>
        <v/>
      </c>
    </row>
    <row r="347" spans="1:38" ht="12.75" customHeight="1" x14ac:dyDescent="0.25">
      <c r="B347" s="132"/>
      <c r="C347" s="132"/>
      <c r="D347" s="1388"/>
      <c r="E347" s="44"/>
      <c r="F347" s="51"/>
      <c r="G347" s="52"/>
      <c r="H347" s="52"/>
      <c r="I347" s="53"/>
      <c r="J347" s="657" t="str">
        <f t="shared" si="187"/>
        <v/>
      </c>
      <c r="K347" s="657" t="str">
        <f t="shared" si="188"/>
        <v/>
      </c>
      <c r="L347" s="657" t="str">
        <f t="shared" si="189"/>
        <v/>
      </c>
      <c r="M347" s="1395"/>
      <c r="N347" s="116"/>
      <c r="O347" s="116"/>
      <c r="P347" s="116"/>
      <c r="Q347" s="116"/>
      <c r="R347" s="116"/>
      <c r="S347" s="132"/>
      <c r="T347" s="142"/>
      <c r="U347" s="115"/>
      <c r="AD347" s="561" t="str">
        <f t="shared" si="199"/>
        <v/>
      </c>
      <c r="AE347" s="561" t="str">
        <f t="shared" si="196"/>
        <v>n.a.</v>
      </c>
      <c r="AF347" s="561" t="str">
        <f t="shared" si="196"/>
        <v>n.a.</v>
      </c>
      <c r="AG347" s="561" t="str">
        <f t="shared" si="196"/>
        <v>n.a.</v>
      </c>
      <c r="AH347" s="561" t="b">
        <f t="shared" si="196"/>
        <v>0</v>
      </c>
      <c r="AI347" s="561" t="b">
        <f t="shared" si="196"/>
        <v>0</v>
      </c>
      <c r="AJ347" s="582" t="str">
        <f t="shared" si="197"/>
        <v/>
      </c>
      <c r="AK347" s="582" t="str">
        <f t="shared" si="198"/>
        <v/>
      </c>
      <c r="AL347" s="582" t="str">
        <f t="shared" si="193"/>
        <v/>
      </c>
    </row>
    <row r="348" spans="1:38" ht="12.75" customHeight="1" x14ac:dyDescent="0.25">
      <c r="B348" s="132"/>
      <c r="C348" s="132"/>
      <c r="D348" s="132"/>
      <c r="E348" s="658" t="str">
        <f>Translations!$B$645</f>
        <v>TOTALS</v>
      </c>
      <c r="F348" s="659" t="str">
        <f>IF(SUM(F333:F347)=0,"",SUM(F333:F347))</f>
        <v/>
      </c>
      <c r="G348" s="660" t="str">
        <f>IF(SUM(F348)=0,"",J348/F348)</f>
        <v/>
      </c>
      <c r="H348" s="660" t="str">
        <f>IF(SUM(J348)=0,"",SUM(K348:L348)/IF(AF333&lt;&gt;EUconst_NA,F348,J348)/IF(AG333=EUconst_NA,1,AG333))</f>
        <v/>
      </c>
      <c r="I348" s="661" t="str">
        <f>IF(SUM(K348:L348)=0,"",L348/SUM(K348:L348))</f>
        <v/>
      </c>
      <c r="J348" s="659" t="str">
        <f>IF(COUNTA(E333:E347)=0,"",IFERROR(SUM(J333:J347),EUconst_ERR_Inconsistent))</f>
        <v/>
      </c>
      <c r="K348" s="659" t="str">
        <f>IF(COUNTA(E333:E347)=0,"",IFERROR(SUM(K333:K347),EUconst_ERR_Inconsistent))</f>
        <v/>
      </c>
      <c r="L348" s="659" t="str">
        <f>IF(COUNTA(E333:E347)=0,"",IFERROR(SUM(L333:L347),EUconst_ERR_Inconsistent))</f>
        <v/>
      </c>
      <c r="M348" s="1395"/>
      <c r="N348" s="116"/>
      <c r="O348" s="116"/>
      <c r="P348" s="116"/>
      <c r="Q348" s="116"/>
      <c r="R348" s="116"/>
      <c r="S348" s="132"/>
      <c r="T348" s="142"/>
      <c r="U348" s="115"/>
    </row>
    <row r="349" spans="1:38" ht="12.75" customHeight="1" x14ac:dyDescent="0.25">
      <c r="B349" s="132"/>
      <c r="C349" s="132"/>
      <c r="D349" s="132"/>
      <c r="E349" s="191"/>
      <c r="F349" s="116"/>
      <c r="G349" s="116"/>
      <c r="H349" s="116"/>
      <c r="I349" s="116"/>
      <c r="J349" s="116"/>
      <c r="K349" s="116"/>
      <c r="L349" s="116"/>
      <c r="M349" s="116"/>
      <c r="N349" s="116"/>
      <c r="O349" s="116"/>
      <c r="P349" s="116"/>
      <c r="Q349" s="116"/>
      <c r="R349" s="116"/>
      <c r="S349" s="132"/>
      <c r="T349" s="142"/>
      <c r="U349" s="115"/>
    </row>
    <row r="350" spans="1:38" s="69" customFormat="1" ht="18.75" customHeight="1" x14ac:dyDescent="0.25">
      <c r="A350" s="167">
        <f>C350</f>
        <v>15</v>
      </c>
      <c r="B350" s="76"/>
      <c r="C350" s="216">
        <f>C327+1</f>
        <v>15</v>
      </c>
      <c r="D350" s="1195" t="str">
        <f>"Tool " &amp;C350-2</f>
        <v>Tool 13</v>
      </c>
      <c r="E350" s="1195"/>
      <c r="F350" s="1195"/>
      <c r="G350" s="1195"/>
      <c r="H350" s="1195"/>
      <c r="I350" s="1195"/>
      <c r="J350" s="1195"/>
      <c r="K350" s="1195"/>
      <c r="L350" s="1195"/>
      <c r="M350" s="1195"/>
      <c r="N350" s="1195"/>
      <c r="O350" s="1195"/>
      <c r="P350" s="1195"/>
      <c r="Q350" s="1195"/>
      <c r="R350" s="1195"/>
      <c r="S350" s="1195"/>
      <c r="T350" s="142"/>
      <c r="U350" s="115"/>
      <c r="V350" s="464" t="str">
        <f>D350</f>
        <v>Tool 13</v>
      </c>
      <c r="W350" s="110"/>
      <c r="X350" s="110"/>
      <c r="Y350" s="110"/>
      <c r="Z350" s="110"/>
      <c r="AA350" s="109"/>
      <c r="AB350" s="109"/>
      <c r="AC350" s="109"/>
      <c r="AD350" s="109"/>
      <c r="AE350" s="109"/>
      <c r="AF350" s="109"/>
      <c r="AG350" s="109"/>
      <c r="AH350" s="109"/>
      <c r="AI350" s="109"/>
      <c r="AJ350" s="109"/>
      <c r="AK350" s="109"/>
      <c r="AL350" s="109"/>
    </row>
    <row r="351" spans="1:38" ht="12.75" customHeight="1" x14ac:dyDescent="0.25">
      <c r="B351" s="132"/>
      <c r="C351" s="132"/>
      <c r="D351" s="132"/>
      <c r="E351" s="191"/>
      <c r="F351" s="116"/>
      <c r="G351" s="116"/>
      <c r="H351" s="116"/>
      <c r="I351" s="116"/>
      <c r="J351" s="116"/>
      <c r="K351" s="116"/>
      <c r="L351" s="116"/>
      <c r="M351" s="116"/>
      <c r="N351" s="116"/>
      <c r="O351" s="116"/>
      <c r="P351" s="116"/>
      <c r="Q351" s="116"/>
      <c r="R351" s="116"/>
      <c r="S351" s="132"/>
      <c r="T351" s="142"/>
      <c r="U351" s="115"/>
    </row>
    <row r="352" spans="1:38" ht="12.75" customHeight="1" x14ac:dyDescent="0.25">
      <c r="B352" s="132"/>
      <c r="C352" s="132"/>
      <c r="D352" s="1377" t="str">
        <f>Translations!$B$631</f>
        <v>Component</v>
      </c>
      <c r="E352" s="1378"/>
      <c r="F352" s="633">
        <v>1</v>
      </c>
      <c r="G352" s="633">
        <v>2</v>
      </c>
      <c r="H352" s="633">
        <v>3</v>
      </c>
      <c r="I352" s="633">
        <v>4</v>
      </c>
      <c r="J352" s="633">
        <v>5</v>
      </c>
      <c r="K352" s="633">
        <v>6</v>
      </c>
      <c r="L352" s="633">
        <v>7</v>
      </c>
      <c r="M352" s="116"/>
      <c r="N352" s="116"/>
      <c r="O352" s="116"/>
      <c r="P352" s="116"/>
      <c r="Q352" s="116"/>
      <c r="R352" s="116"/>
      <c r="S352" s="132"/>
      <c r="T352" s="142"/>
      <c r="U352" s="115"/>
      <c r="V352" s="566" t="str">
        <f>Translations!$B$498</f>
        <v>Units:</v>
      </c>
      <c r="W352" s="561" t="str" cm="1">
        <f t="array" ref="W352">IFERROR(INDEX(_xlfn._xlws.FILTER(W356:W365,(W356:W365)&lt;&gt;"",""),1),W353)</f>
        <v/>
      </c>
      <c r="X352" s="561" t="str" cm="1">
        <f t="array" ref="X352">IFERROR(INDEX(_xlfn._xlws.FILTER(X356:X365,(X356:X365)&lt;&gt;"",""),1),X353)</f>
        <v/>
      </c>
      <c r="Y352" s="567"/>
      <c r="Z352" s="561" t="str" cm="1">
        <f t="array" ref="Z352">IFERROR(INDEX(_xlfn._xlws.FILTER(Z356:Z365,(Z356:Z365)&lt;&gt;"",""),1),Z353)</f>
        <v/>
      </c>
      <c r="AA352" s="567"/>
    </row>
    <row r="353" spans="2:38" ht="12.75" customHeight="1" x14ac:dyDescent="0.25">
      <c r="B353" s="132"/>
      <c r="C353" s="132"/>
      <c r="D353" s="1379"/>
      <c r="E353" s="1380"/>
      <c r="F353" s="1383" t="str">
        <f>Translations!$B$377</f>
        <v>RFA</v>
      </c>
      <c r="G353" s="1383" t="str">
        <f>Translations!$B$386</f>
        <v>UCF</v>
      </c>
      <c r="H353" s="1383" t="str">
        <f>Translations!$B$383</f>
        <v>EF</v>
      </c>
      <c r="I353" s="1383" t="str">
        <f>Translations!$B$632</f>
        <v>Zero-rated F</v>
      </c>
      <c r="J353" s="1385" t="str">
        <f>Translations!$B$652</f>
        <v>Energy or other</v>
      </c>
      <c r="K353" s="1385" t="str">
        <f>Translations!$B$522</f>
        <v>Emissions (fossil)</v>
      </c>
      <c r="L353" s="1385" t="str">
        <f>Translations!$B$634</f>
        <v>Emissions (bio)</v>
      </c>
      <c r="M353" s="116"/>
      <c r="N353" s="116"/>
      <c r="O353" s="116"/>
      <c r="P353" s="116"/>
      <c r="Q353" s="116"/>
      <c r="R353" s="116"/>
      <c r="S353" s="132"/>
      <c r="T353" s="142"/>
      <c r="U353" s="115"/>
      <c r="W353" s="561" t="str">
        <f t="array" ref="W353">IFERROR(INDEX(W356:W365,MATCH(TRUE,(W356:W365)&lt;&gt;"",0)),"")</f>
        <v/>
      </c>
      <c r="X353" s="561" t="str">
        <f t="array" ref="X353">IFERROR(INDEX(X356:X365,MATCH(TRUE,(X356:X365)&lt;&gt;"",0)),"")</f>
        <v/>
      </c>
      <c r="Y353" s="567"/>
      <c r="Z353" s="561" t="str">
        <f t="array" ref="Z353">IFERROR(INDEX(Z356:Z365,MATCH(TRUE,(Z356:Z365)&lt;&gt;"",0)),"")</f>
        <v/>
      </c>
      <c r="AA353" s="567"/>
    </row>
    <row r="354" spans="2:38" ht="12.75" customHeight="1" x14ac:dyDescent="0.3">
      <c r="B354" s="132"/>
      <c r="C354" s="132"/>
      <c r="D354" s="1379"/>
      <c r="E354" s="1380"/>
      <c r="F354" s="1384"/>
      <c r="G354" s="1384"/>
      <c r="H354" s="1384"/>
      <c r="I354" s="1384"/>
      <c r="J354" s="1386"/>
      <c r="K354" s="1386"/>
      <c r="L354" s="1386"/>
      <c r="M354" s="116"/>
      <c r="N354" s="634" t="str">
        <f>Translations!$B$635</f>
        <v>Result to be entered in sheet C</v>
      </c>
      <c r="O354" s="116"/>
      <c r="P354" s="116"/>
      <c r="Q354" s="116"/>
      <c r="R354" s="116"/>
      <c r="S354" s="132"/>
      <c r="T354" s="142"/>
      <c r="U354" s="115"/>
      <c r="W354" s="569" t="str">
        <f>Translations!$B$377</f>
        <v>RFA</v>
      </c>
      <c r="X354" s="569" t="str">
        <f>Translations!$B$386</f>
        <v>UCF</v>
      </c>
      <c r="Y354" s="569"/>
      <c r="Z354" s="569" t="str">
        <f>Translations!$B$383</f>
        <v>EF</v>
      </c>
      <c r="AA354" s="569"/>
      <c r="AB354" s="570"/>
      <c r="AC354" s="570"/>
      <c r="AH354" s="570"/>
      <c r="AI354" s="570"/>
      <c r="AJ354" s="570"/>
    </row>
    <row r="355" spans="2:38" ht="12.75" customHeight="1" x14ac:dyDescent="0.3">
      <c r="B355" s="132"/>
      <c r="C355" s="132"/>
      <c r="D355" s="1381"/>
      <c r="E355" s="1382"/>
      <c r="F355" s="635" t="str">
        <f>IF(COUNTA($E356:$E370)=0,"",$W352)</f>
        <v/>
      </c>
      <c r="G355" s="635" t="str">
        <f>IF(COUNTA($E356:$E370)=0,"",$X352)</f>
        <v/>
      </c>
      <c r="H355" s="635" t="str">
        <f>IF(COUNTA($E356:$E370)=0,"",$Z352)</f>
        <v/>
      </c>
      <c r="I355" s="636" t="s">
        <v>46</v>
      </c>
      <c r="J355" s="635" t="str">
        <f>IF(AE356=EUconst_NA,EUconst_GJ,AE356)</f>
        <v>GJ</v>
      </c>
      <c r="K355" s="637" t="s">
        <v>188</v>
      </c>
      <c r="L355" s="637" t="s">
        <v>188</v>
      </c>
      <c r="M355" s="116"/>
      <c r="N355" s="1387" t="str">
        <f>Translations!$B$636</f>
        <v>The results of this tool are the relevant (weighted average) values below. Each value has to be entered manually in sheet C for the respective fuel stream. Select fuel stream below for comparison.</v>
      </c>
      <c r="O355" s="1387"/>
      <c r="P355" s="1387"/>
      <c r="Q355" s="1387"/>
      <c r="R355" s="1387"/>
      <c r="S355" s="1387"/>
      <c r="T355" s="142"/>
      <c r="U355" s="115"/>
      <c r="W355" s="569" t="str">
        <f>EUconst_CNTR_ActivityData&amp;EUconst_Unit</f>
        <v>ActivityData_Unit</v>
      </c>
      <c r="X355" s="569" t="str">
        <f>EUconst_CNTR_UCF&amp;EUconst_Unit</f>
        <v>UCF_Unit</v>
      </c>
      <c r="Y355" s="569" t="str">
        <f>EUconst_CNTR_UCF&amp;EUconst_Value</f>
        <v>UCF_Value</v>
      </c>
      <c r="Z355" s="569" t="str">
        <f>EUconst_CNTR_EF&amp;EUconst_Unit</f>
        <v>EF_Unit</v>
      </c>
      <c r="AA355" s="569" t="str">
        <f>EUconst_CNTR_EF&amp;EUconst_Value</f>
        <v>EF_Value</v>
      </c>
      <c r="AB355" s="569" t="s">
        <v>189</v>
      </c>
      <c r="AC355" s="575"/>
      <c r="AD355" s="576" t="s">
        <v>147</v>
      </c>
      <c r="AE355" s="576" t="s">
        <v>151</v>
      </c>
      <c r="AF355" s="576" t="s">
        <v>153</v>
      </c>
      <c r="AG355" s="576" t="s">
        <v>155</v>
      </c>
      <c r="AH355" s="575"/>
      <c r="AI355" s="575"/>
      <c r="AJ355" s="575" t="s">
        <v>190</v>
      </c>
      <c r="AK355" s="575" t="s">
        <v>191</v>
      </c>
      <c r="AL355" s="575" t="s">
        <v>192</v>
      </c>
    </row>
    <row r="356" spans="2:38" ht="12.75" customHeight="1" x14ac:dyDescent="0.25">
      <c r="B356" s="132"/>
      <c r="C356" s="132"/>
      <c r="D356" s="1388" t="str">
        <f>Translations!$B$637</f>
        <v>Default compontents provided by the CA</v>
      </c>
      <c r="E356" s="42"/>
      <c r="F356" s="45"/>
      <c r="G356" s="639" t="str">
        <f>IF($E356="","",Y356)</f>
        <v/>
      </c>
      <c r="H356" s="639" t="str">
        <f>IF($E356="","",AA356)</f>
        <v/>
      </c>
      <c r="I356" s="46"/>
      <c r="J356" s="640" t="str">
        <f t="shared" ref="J356:J370" si="200">IFERROR(IF(E356="","",AL356),EUconst_ERR_Inconsistent)</f>
        <v/>
      </c>
      <c r="K356" s="640" t="str">
        <f t="shared" ref="K356:K370" si="201">IFERROR(IF(E356="","",AJ356),EUconst_ERR_Inconsistent)</f>
        <v/>
      </c>
      <c r="L356" s="640" t="str">
        <f t="shared" ref="L356:L370" si="202">IFERROR(IF(E356="","",AK356),EUconst_ERR_Inconsistent)</f>
        <v/>
      </c>
      <c r="M356" s="1389"/>
      <c r="N356" s="1387"/>
      <c r="O356" s="1387"/>
      <c r="P356" s="1387"/>
      <c r="Q356" s="1387"/>
      <c r="R356" s="1387"/>
      <c r="S356" s="1387"/>
      <c r="T356" s="142"/>
      <c r="U356" s="115"/>
      <c r="W356" s="561" t="str">
        <f t="shared" ref="W356:AA365" si="203">IF($E356="","",INDEX(MSPara_CalcFactorsMatrix,MATCH($E356,MSPara_SourceStreamCategory,0),MATCH(W$20&amp;"_"&amp;2,MSPara_CalcFactors,0)))</f>
        <v/>
      </c>
      <c r="X356" s="561" t="str">
        <f t="shared" si="203"/>
        <v/>
      </c>
      <c r="Y356" s="561" t="str">
        <f t="shared" si="203"/>
        <v/>
      </c>
      <c r="Z356" s="561" t="str">
        <f t="shared" si="203"/>
        <v/>
      </c>
      <c r="AA356" s="561" t="str">
        <f t="shared" si="203"/>
        <v/>
      </c>
      <c r="AB356" s="561" t="str">
        <f>IF(E356="","",OR(W356&lt;&gt;W352,X356&lt;&gt;X352,Z356&lt;&gt;Z352))</f>
        <v/>
      </c>
      <c r="AC356" s="567"/>
      <c r="AD356" s="561" t="str">
        <f>W356</f>
        <v/>
      </c>
      <c r="AE356" s="561" t="str">
        <f>IF(X356="",EUconst_NA,IF(AD356=EUconst_TJ,EUconst_TJ,INDEX(EUwideConstants!$C$135:$G$139,MATCH(AD356,RFAUnits,0),MATCH(X356,UCFUnits,0))))</f>
        <v>n.a.</v>
      </c>
      <c r="AF356" s="561" t="str">
        <f>IF(COUNTIF(RFAUnits,AD356)=0,EUconst_NA,INDEX(EUwideConstants!$C$150:$H$154,MATCH(Z356,EFUnits,0),MATCH(AD356,EUwideConstants!$C$149:$H$149,0)))</f>
        <v>n.a.</v>
      </c>
      <c r="AG356" s="561" t="str">
        <f>IF(AE356=EUconst_NA,EUconst_NA,INDEX(EUwideConstants!$C$150:$H$154,MATCH(Z356,EFUnits,0),MATCH(AE356,EUwideConstants!$C$149:$H$149,0)))</f>
        <v>n.a.</v>
      </c>
      <c r="AH356" s="561" t="b">
        <f t="shared" ref="AH356" si="204">AF356&lt;&gt;EUconst_NA</f>
        <v>0</v>
      </c>
      <c r="AI356" s="561" t="b">
        <f t="shared" ref="AI356" si="205">AG356&lt;&gt;EUconst_NA</f>
        <v>0</v>
      </c>
      <c r="AJ356" s="582" t="str">
        <f>IF(OR(E356="",COUNTIF(AH356:AI356,TRUE)=0),"",F356*IF(AH356,1,G356*AG356)*H356*(1-I356))</f>
        <v/>
      </c>
      <c r="AK356" s="582" t="str">
        <f>IF(OR(E356="",COUNTIF(AH356:AI356,TRUE)=0),"",F356*IF(AH356,1,G356*AG356)*H356*I356)</f>
        <v/>
      </c>
      <c r="AL356" s="582" t="str">
        <f t="shared" ref="AL356:AL370" si="206">IF(E356="","",IF(W356=EUconst_TJ,F356,F356*G356))</f>
        <v/>
      </c>
    </row>
    <row r="357" spans="2:38" ht="12.75" customHeight="1" x14ac:dyDescent="0.25">
      <c r="B357" s="132"/>
      <c r="C357" s="132"/>
      <c r="D357" s="1388"/>
      <c r="E357" s="43"/>
      <c r="F357" s="47"/>
      <c r="G357" s="641" t="str">
        <f t="shared" ref="G357:G365" si="207">IF($E357="","",Y357)</f>
        <v/>
      </c>
      <c r="H357" s="641" t="str">
        <f t="shared" ref="H357:H365" si="208">IF($E357="","",AA357)</f>
        <v/>
      </c>
      <c r="I357" s="48"/>
      <c r="J357" s="642" t="str">
        <f t="shared" si="200"/>
        <v/>
      </c>
      <c r="K357" s="642" t="str">
        <f t="shared" si="201"/>
        <v/>
      </c>
      <c r="L357" s="642" t="str">
        <f t="shared" si="202"/>
        <v/>
      </c>
      <c r="M357" s="1389"/>
      <c r="N357" s="638"/>
      <c r="O357" s="643" t="str">
        <f>Translations!$B$639</f>
        <v>Fuel stream:</v>
      </c>
      <c r="P357" s="1390"/>
      <c r="Q357" s="1391"/>
      <c r="R357" s="1391"/>
      <c r="S357" s="1392"/>
      <c r="T357" s="142"/>
      <c r="U357" s="115"/>
      <c r="W357" s="561" t="str">
        <f t="shared" si="203"/>
        <v/>
      </c>
      <c r="X357" s="561" t="str">
        <f t="shared" si="203"/>
        <v/>
      </c>
      <c r="Y357" s="561" t="str">
        <f t="shared" si="203"/>
        <v/>
      </c>
      <c r="Z357" s="561" t="str">
        <f t="shared" si="203"/>
        <v/>
      </c>
      <c r="AA357" s="561" t="str">
        <f t="shared" si="203"/>
        <v/>
      </c>
      <c r="AB357" s="561" t="str">
        <f>IF(E357="","",OR(W357&lt;&gt;W352,X357&lt;&gt;X352,Z357&lt;&gt;Z352))</f>
        <v/>
      </c>
      <c r="AC357" s="567"/>
      <c r="AD357" s="561" t="str">
        <f>AD356</f>
        <v/>
      </c>
      <c r="AE357" s="561" t="str">
        <f t="shared" ref="AE357:AI370" si="209">AE356</f>
        <v>n.a.</v>
      </c>
      <c r="AF357" s="561" t="str">
        <f t="shared" si="209"/>
        <v>n.a.</v>
      </c>
      <c r="AG357" s="561" t="str">
        <f t="shared" si="209"/>
        <v>n.a.</v>
      </c>
      <c r="AH357" s="561" t="b">
        <f t="shared" si="209"/>
        <v>0</v>
      </c>
      <c r="AI357" s="561" t="b">
        <f t="shared" si="209"/>
        <v>0</v>
      </c>
      <c r="AJ357" s="582" t="str">
        <f t="shared" ref="AJ357:AJ370" si="210">IF(OR(E357="",COUNTIF(AH357:AI357,TRUE)=0),"",F357*IF(AH357,1,G357*AG357)*H357*(1-I357))</f>
        <v/>
      </c>
      <c r="AK357" s="582" t="str">
        <f t="shared" ref="AK357:AK370" si="211">IF(OR(E357="",COUNTIF(AH357:AI357,TRUE)=0),"",F357*IF(AH357,1,G357*AG357)*H357*I357)</f>
        <v/>
      </c>
      <c r="AL357" s="582" t="str">
        <f t="shared" si="206"/>
        <v/>
      </c>
    </row>
    <row r="358" spans="2:38" ht="12.75" customHeight="1" x14ac:dyDescent="0.25">
      <c r="B358" s="132"/>
      <c r="C358" s="132"/>
      <c r="D358" s="1388"/>
      <c r="E358" s="43"/>
      <c r="F358" s="47"/>
      <c r="G358" s="641" t="str">
        <f t="shared" si="207"/>
        <v/>
      </c>
      <c r="H358" s="641" t="str">
        <f t="shared" si="208"/>
        <v/>
      </c>
      <c r="I358" s="48"/>
      <c r="J358" s="642" t="str">
        <f t="shared" si="200"/>
        <v/>
      </c>
      <c r="K358" s="642" t="str">
        <f t="shared" si="201"/>
        <v/>
      </c>
      <c r="L358" s="642" t="str">
        <f t="shared" si="202"/>
        <v/>
      </c>
      <c r="M358" s="1389"/>
      <c r="N358" s="116"/>
      <c r="O358" s="116"/>
      <c r="P358" s="116"/>
      <c r="Q358" s="116"/>
      <c r="R358" s="116"/>
      <c r="S358" s="132"/>
      <c r="T358" s="142"/>
      <c r="U358" s="115"/>
      <c r="W358" s="561" t="str">
        <f t="shared" si="203"/>
        <v/>
      </c>
      <c r="X358" s="561" t="str">
        <f t="shared" si="203"/>
        <v/>
      </c>
      <c r="Y358" s="561" t="str">
        <f t="shared" si="203"/>
        <v/>
      </c>
      <c r="Z358" s="561" t="str">
        <f t="shared" si="203"/>
        <v/>
      </c>
      <c r="AA358" s="561" t="str">
        <f t="shared" si="203"/>
        <v/>
      </c>
      <c r="AB358" s="561" t="str">
        <f>IF(E358="","",OR(W358&lt;&gt;W352,X358&lt;&gt;X352,Z358&lt;&gt;Z352))</f>
        <v/>
      </c>
      <c r="AC358" s="567"/>
      <c r="AD358" s="561" t="str">
        <f t="shared" ref="AD358:AD370" si="212">AD357</f>
        <v/>
      </c>
      <c r="AE358" s="561" t="str">
        <f t="shared" si="209"/>
        <v>n.a.</v>
      </c>
      <c r="AF358" s="561" t="str">
        <f t="shared" si="209"/>
        <v>n.a.</v>
      </c>
      <c r="AG358" s="561" t="str">
        <f t="shared" si="209"/>
        <v>n.a.</v>
      </c>
      <c r="AH358" s="561" t="b">
        <f t="shared" si="209"/>
        <v>0</v>
      </c>
      <c r="AI358" s="561" t="b">
        <f t="shared" si="209"/>
        <v>0</v>
      </c>
      <c r="AJ358" s="582" t="str">
        <f t="shared" si="210"/>
        <v/>
      </c>
      <c r="AK358" s="582" t="str">
        <f t="shared" si="211"/>
        <v/>
      </c>
      <c r="AL358" s="582" t="str">
        <f t="shared" si="206"/>
        <v/>
      </c>
    </row>
    <row r="359" spans="2:38" ht="12.75" customHeight="1" thickBot="1" x14ac:dyDescent="0.35">
      <c r="B359" s="132"/>
      <c r="C359" s="132"/>
      <c r="D359" s="1388"/>
      <c r="E359" s="43"/>
      <c r="F359" s="47"/>
      <c r="G359" s="641" t="str">
        <f t="shared" si="207"/>
        <v/>
      </c>
      <c r="H359" s="641" t="str">
        <f t="shared" si="208"/>
        <v/>
      </c>
      <c r="I359" s="48"/>
      <c r="J359" s="642" t="str">
        <f t="shared" si="200"/>
        <v/>
      </c>
      <c r="K359" s="642" t="str">
        <f t="shared" si="201"/>
        <v/>
      </c>
      <c r="L359" s="642" t="str">
        <f t="shared" si="202"/>
        <v/>
      </c>
      <c r="M359" s="1389"/>
      <c r="N359" s="1255" t="str">
        <f>Translations!$B$394</f>
        <v>Unit</v>
      </c>
      <c r="O359" s="1255"/>
      <c r="P359" s="1255" t="str">
        <f>Translations!$B$395</f>
        <v>Value</v>
      </c>
      <c r="Q359" s="1255"/>
      <c r="R359" s="116"/>
      <c r="S359" s="644" t="str">
        <f>Translations!$B$642</f>
        <v>Sheet C values</v>
      </c>
      <c r="T359" s="142"/>
      <c r="U359" s="115"/>
      <c r="W359" s="561" t="str">
        <f t="shared" si="203"/>
        <v/>
      </c>
      <c r="X359" s="561" t="str">
        <f t="shared" si="203"/>
        <v/>
      </c>
      <c r="Y359" s="561" t="str">
        <f t="shared" si="203"/>
        <v/>
      </c>
      <c r="Z359" s="561" t="str">
        <f t="shared" si="203"/>
        <v/>
      </c>
      <c r="AA359" s="561" t="str">
        <f t="shared" si="203"/>
        <v/>
      </c>
      <c r="AB359" s="561" t="str">
        <f>IF(E359="","",OR(W359&lt;&gt;W352,X359&lt;&gt;X352,Z359&lt;&gt;Z352))</f>
        <v/>
      </c>
      <c r="AC359" s="567"/>
      <c r="AD359" s="561" t="str">
        <f t="shared" si="212"/>
        <v/>
      </c>
      <c r="AE359" s="561" t="str">
        <f t="shared" si="209"/>
        <v>n.a.</v>
      </c>
      <c r="AF359" s="561" t="str">
        <f t="shared" si="209"/>
        <v>n.a.</v>
      </c>
      <c r="AG359" s="561" t="str">
        <f t="shared" si="209"/>
        <v>n.a.</v>
      </c>
      <c r="AH359" s="561" t="b">
        <f t="shared" si="209"/>
        <v>0</v>
      </c>
      <c r="AI359" s="561" t="b">
        <f t="shared" si="209"/>
        <v>0</v>
      </c>
      <c r="AJ359" s="582" t="str">
        <f t="shared" si="210"/>
        <v/>
      </c>
      <c r="AK359" s="582" t="str">
        <f t="shared" si="211"/>
        <v/>
      </c>
      <c r="AL359" s="582" t="str">
        <f t="shared" si="206"/>
        <v/>
      </c>
    </row>
    <row r="360" spans="2:38" ht="12.75" customHeight="1" thickBot="1" x14ac:dyDescent="0.3">
      <c r="B360" s="132"/>
      <c r="C360" s="132"/>
      <c r="D360" s="1388"/>
      <c r="E360" s="43"/>
      <c r="F360" s="47"/>
      <c r="G360" s="641" t="str">
        <f t="shared" si="207"/>
        <v/>
      </c>
      <c r="H360" s="641" t="str">
        <f t="shared" si="208"/>
        <v/>
      </c>
      <c r="I360" s="48"/>
      <c r="J360" s="642" t="str">
        <f t="shared" si="200"/>
        <v/>
      </c>
      <c r="K360" s="642" t="str">
        <f t="shared" si="201"/>
        <v/>
      </c>
      <c r="L360" s="642" t="str">
        <f t="shared" si="202"/>
        <v/>
      </c>
      <c r="M360" s="116"/>
      <c r="N360" s="346" t="str">
        <f>F355</f>
        <v/>
      </c>
      <c r="O360" s="7"/>
      <c r="P360" s="1393" t="str">
        <f>IF(F371="","",F371)</f>
        <v/>
      </c>
      <c r="Q360" s="1394"/>
      <c r="R360" s="116"/>
      <c r="S360" s="645" t="str">
        <f>IF(P357="","",SUMIFS(C_FuelStreams!BK:BK,C_FuelStreams!BI:BI,P357))</f>
        <v/>
      </c>
      <c r="T360" s="142"/>
      <c r="U360" s="115"/>
      <c r="W360" s="561" t="str">
        <f t="shared" si="203"/>
        <v/>
      </c>
      <c r="X360" s="561" t="str">
        <f t="shared" si="203"/>
        <v/>
      </c>
      <c r="Y360" s="561" t="str">
        <f t="shared" si="203"/>
        <v/>
      </c>
      <c r="Z360" s="561" t="str">
        <f t="shared" si="203"/>
        <v/>
      </c>
      <c r="AA360" s="561" t="str">
        <f t="shared" si="203"/>
        <v/>
      </c>
      <c r="AB360" s="561" t="str">
        <f>IF(E360="","",OR(W360&lt;&gt;W352,X360&lt;&gt;X352,Z360&lt;&gt;Z352))</f>
        <v/>
      </c>
      <c r="AC360" s="567"/>
      <c r="AD360" s="561" t="str">
        <f t="shared" si="212"/>
        <v/>
      </c>
      <c r="AE360" s="561" t="str">
        <f t="shared" si="209"/>
        <v>n.a.</v>
      </c>
      <c r="AF360" s="561" t="str">
        <f t="shared" si="209"/>
        <v>n.a.</v>
      </c>
      <c r="AG360" s="561" t="str">
        <f t="shared" si="209"/>
        <v>n.a.</v>
      </c>
      <c r="AH360" s="561" t="b">
        <f t="shared" si="209"/>
        <v>0</v>
      </c>
      <c r="AI360" s="561" t="b">
        <f t="shared" si="209"/>
        <v>0</v>
      </c>
      <c r="AJ360" s="582" t="str">
        <f t="shared" si="210"/>
        <v/>
      </c>
      <c r="AK360" s="582" t="str">
        <f t="shared" si="211"/>
        <v/>
      </c>
      <c r="AL360" s="582" t="str">
        <f t="shared" si="206"/>
        <v/>
      </c>
    </row>
    <row r="361" spans="2:38" ht="12.75" customHeight="1" thickBot="1" x14ac:dyDescent="0.3">
      <c r="B361" s="132"/>
      <c r="C361" s="132"/>
      <c r="D361" s="1388"/>
      <c r="E361" s="43"/>
      <c r="F361" s="47"/>
      <c r="G361" s="641" t="str">
        <f t="shared" si="207"/>
        <v/>
      </c>
      <c r="H361" s="641" t="str">
        <f t="shared" si="208"/>
        <v/>
      </c>
      <c r="I361" s="48"/>
      <c r="J361" s="642" t="str">
        <f t="shared" si="200"/>
        <v/>
      </c>
      <c r="K361" s="642" t="str">
        <f t="shared" si="201"/>
        <v/>
      </c>
      <c r="L361" s="642" t="str">
        <f t="shared" si="202"/>
        <v/>
      </c>
      <c r="M361" s="116"/>
      <c r="N361" s="162"/>
      <c r="O361" s="162"/>
      <c r="P361" s="76"/>
      <c r="Q361" s="76"/>
      <c r="R361" s="116"/>
      <c r="S361" s="996"/>
      <c r="T361" s="142"/>
      <c r="U361" s="115"/>
      <c r="W361" s="561" t="str">
        <f t="shared" si="203"/>
        <v/>
      </c>
      <c r="X361" s="561" t="str">
        <f t="shared" si="203"/>
        <v/>
      </c>
      <c r="Y361" s="561" t="str">
        <f t="shared" si="203"/>
        <v/>
      </c>
      <c r="Z361" s="561" t="str">
        <f t="shared" si="203"/>
        <v/>
      </c>
      <c r="AA361" s="561" t="str">
        <f t="shared" si="203"/>
        <v/>
      </c>
      <c r="AB361" s="561" t="str">
        <f>IF(E361="","",OR(W361&lt;&gt;W352,X361&lt;&gt;X352,Z361&lt;&gt;Z352))</f>
        <v/>
      </c>
      <c r="AC361" s="567"/>
      <c r="AD361" s="561" t="str">
        <f t="shared" si="212"/>
        <v/>
      </c>
      <c r="AE361" s="561" t="str">
        <f t="shared" si="209"/>
        <v>n.a.</v>
      </c>
      <c r="AF361" s="561" t="str">
        <f t="shared" si="209"/>
        <v>n.a.</v>
      </c>
      <c r="AG361" s="561" t="str">
        <f t="shared" si="209"/>
        <v>n.a.</v>
      </c>
      <c r="AH361" s="561" t="b">
        <f t="shared" si="209"/>
        <v>0</v>
      </c>
      <c r="AI361" s="561" t="b">
        <f t="shared" si="209"/>
        <v>0</v>
      </c>
      <c r="AJ361" s="582" t="str">
        <f t="shared" si="210"/>
        <v/>
      </c>
      <c r="AK361" s="582" t="str">
        <f t="shared" si="211"/>
        <v/>
      </c>
      <c r="AL361" s="582" t="str">
        <f t="shared" si="206"/>
        <v/>
      </c>
    </row>
    <row r="362" spans="2:38" ht="12.75" customHeight="1" x14ac:dyDescent="0.25">
      <c r="B362" s="132"/>
      <c r="C362" s="132"/>
      <c r="D362" s="1388"/>
      <c r="E362" s="43"/>
      <c r="F362" s="47"/>
      <c r="G362" s="641" t="str">
        <f t="shared" si="207"/>
        <v/>
      </c>
      <c r="H362" s="641" t="str">
        <f t="shared" si="208"/>
        <v/>
      </c>
      <c r="I362" s="48"/>
      <c r="J362" s="642" t="str">
        <f t="shared" si="200"/>
        <v/>
      </c>
      <c r="K362" s="642" t="str">
        <f t="shared" si="201"/>
        <v/>
      </c>
      <c r="L362" s="642" t="str">
        <f t="shared" si="202"/>
        <v/>
      </c>
      <c r="M362" s="116"/>
      <c r="N362" s="365" t="str">
        <f>G355</f>
        <v/>
      </c>
      <c r="O362" s="11"/>
      <c r="P362" s="366"/>
      <c r="Q362" s="646" t="str">
        <f>IF(G371="","",G371)</f>
        <v/>
      </c>
      <c r="R362" s="116"/>
      <c r="S362" s="647" t="str">
        <f>IF(P357="","",SUMIFS(C_FuelStreams!BU:BU,C_FuelStreams!BI:BI,P357))</f>
        <v/>
      </c>
      <c r="T362" s="142"/>
      <c r="U362" s="115"/>
      <c r="W362" s="561" t="str">
        <f t="shared" si="203"/>
        <v/>
      </c>
      <c r="X362" s="561" t="str">
        <f t="shared" si="203"/>
        <v/>
      </c>
      <c r="Y362" s="561" t="str">
        <f t="shared" si="203"/>
        <v/>
      </c>
      <c r="Z362" s="561" t="str">
        <f t="shared" si="203"/>
        <v/>
      </c>
      <c r="AA362" s="561" t="str">
        <f t="shared" si="203"/>
        <v/>
      </c>
      <c r="AB362" s="561" t="str">
        <f>IF(E362="","",OR(W362&lt;&gt;W352,X362&lt;&gt;X352,Z362&lt;&gt;Z352))</f>
        <v/>
      </c>
      <c r="AC362" s="567"/>
      <c r="AD362" s="561" t="str">
        <f t="shared" si="212"/>
        <v/>
      </c>
      <c r="AE362" s="561" t="str">
        <f t="shared" si="209"/>
        <v>n.a.</v>
      </c>
      <c r="AF362" s="561" t="str">
        <f t="shared" si="209"/>
        <v>n.a.</v>
      </c>
      <c r="AG362" s="561" t="str">
        <f t="shared" si="209"/>
        <v>n.a.</v>
      </c>
      <c r="AH362" s="561" t="b">
        <f t="shared" si="209"/>
        <v>0</v>
      </c>
      <c r="AI362" s="561" t="b">
        <f t="shared" si="209"/>
        <v>0</v>
      </c>
      <c r="AJ362" s="582" t="str">
        <f t="shared" si="210"/>
        <v/>
      </c>
      <c r="AK362" s="582" t="str">
        <f t="shared" si="211"/>
        <v/>
      </c>
      <c r="AL362" s="582" t="str">
        <f t="shared" si="206"/>
        <v/>
      </c>
    </row>
    <row r="363" spans="2:38" ht="12.75" customHeight="1" thickBot="1" x14ac:dyDescent="0.3">
      <c r="B363" s="132"/>
      <c r="C363" s="132"/>
      <c r="D363" s="1388"/>
      <c r="E363" s="43"/>
      <c r="F363" s="47"/>
      <c r="G363" s="641" t="str">
        <f t="shared" si="207"/>
        <v/>
      </c>
      <c r="H363" s="641" t="str">
        <f t="shared" si="208"/>
        <v/>
      </c>
      <c r="I363" s="48"/>
      <c r="J363" s="642" t="str">
        <f t="shared" si="200"/>
        <v/>
      </c>
      <c r="K363" s="642" t="str">
        <f t="shared" si="201"/>
        <v/>
      </c>
      <c r="L363" s="642" t="str">
        <f t="shared" si="202"/>
        <v/>
      </c>
      <c r="M363" s="116"/>
      <c r="N363" s="648" t="str">
        <f>H355</f>
        <v/>
      </c>
      <c r="O363" s="22"/>
      <c r="P363" s="649"/>
      <c r="Q363" s="650" t="str">
        <f>IF(H371="","",H371)</f>
        <v/>
      </c>
      <c r="R363" s="116"/>
      <c r="S363" s="651" t="str">
        <f>IF(P357="","",SUMIFS(C_FuelStreams!BR:BR,C_FuelStreams!BI:BI,P357))</f>
        <v/>
      </c>
      <c r="T363" s="142"/>
      <c r="U363" s="115"/>
      <c r="W363" s="561" t="str">
        <f t="shared" si="203"/>
        <v/>
      </c>
      <c r="X363" s="561" t="str">
        <f t="shared" si="203"/>
        <v/>
      </c>
      <c r="Y363" s="561" t="str">
        <f t="shared" si="203"/>
        <v/>
      </c>
      <c r="Z363" s="561" t="str">
        <f t="shared" si="203"/>
        <v/>
      </c>
      <c r="AA363" s="561" t="str">
        <f t="shared" si="203"/>
        <v/>
      </c>
      <c r="AB363" s="561" t="str">
        <f>IF(E363="","",OR(W363&lt;&gt;W352,X363&lt;&gt;X352,Z363&lt;&gt;Z352))</f>
        <v/>
      </c>
      <c r="AC363" s="567"/>
      <c r="AD363" s="561" t="str">
        <f t="shared" si="212"/>
        <v/>
      </c>
      <c r="AE363" s="561" t="str">
        <f t="shared" si="209"/>
        <v>n.a.</v>
      </c>
      <c r="AF363" s="561" t="str">
        <f t="shared" si="209"/>
        <v>n.a.</v>
      </c>
      <c r="AG363" s="561" t="str">
        <f t="shared" si="209"/>
        <v>n.a.</v>
      </c>
      <c r="AH363" s="561" t="b">
        <f t="shared" si="209"/>
        <v>0</v>
      </c>
      <c r="AI363" s="561" t="b">
        <f t="shared" si="209"/>
        <v>0</v>
      </c>
      <c r="AJ363" s="582" t="str">
        <f t="shared" si="210"/>
        <v/>
      </c>
      <c r="AK363" s="582" t="str">
        <f t="shared" si="211"/>
        <v/>
      </c>
      <c r="AL363" s="582" t="str">
        <f t="shared" si="206"/>
        <v/>
      </c>
    </row>
    <row r="364" spans="2:38" ht="12.75" customHeight="1" x14ac:dyDescent="0.25">
      <c r="B364" s="132"/>
      <c r="C364" s="132"/>
      <c r="D364" s="1388"/>
      <c r="E364" s="43"/>
      <c r="F364" s="47"/>
      <c r="G364" s="641" t="str">
        <f t="shared" si="207"/>
        <v/>
      </c>
      <c r="H364" s="641" t="str">
        <f t="shared" si="208"/>
        <v/>
      </c>
      <c r="I364" s="48"/>
      <c r="J364" s="642" t="str">
        <f t="shared" si="200"/>
        <v/>
      </c>
      <c r="K364" s="642" t="str">
        <f t="shared" si="201"/>
        <v/>
      </c>
      <c r="L364" s="642" t="str">
        <f t="shared" si="202"/>
        <v/>
      </c>
      <c r="M364" s="116"/>
      <c r="N364" s="652" t="s">
        <v>46</v>
      </c>
      <c r="O364" s="411"/>
      <c r="P364" s="653"/>
      <c r="Q364" s="654" t="str">
        <f>IF(I371="","",I371)</f>
        <v/>
      </c>
      <c r="R364" s="116"/>
      <c r="S364" s="655" t="str">
        <f>IF(P357="","",SUMIFS(C_FuelStreams!BX:BX,C_FuelStreams!BI:BI,P357))</f>
        <v/>
      </c>
      <c r="T364" s="142"/>
      <c r="U364" s="115"/>
      <c r="W364" s="561" t="str">
        <f t="shared" si="203"/>
        <v/>
      </c>
      <c r="X364" s="561" t="str">
        <f t="shared" si="203"/>
        <v/>
      </c>
      <c r="Y364" s="561" t="str">
        <f t="shared" si="203"/>
        <v/>
      </c>
      <c r="Z364" s="561" t="str">
        <f t="shared" si="203"/>
        <v/>
      </c>
      <c r="AA364" s="561" t="str">
        <f t="shared" si="203"/>
        <v/>
      </c>
      <c r="AB364" s="561" t="str">
        <f>IF(E364="","",OR(W364&lt;&gt;W352,X364&lt;&gt;X352,Z364&lt;&gt;Z352))</f>
        <v/>
      </c>
      <c r="AC364" s="567"/>
      <c r="AD364" s="561" t="str">
        <f t="shared" si="212"/>
        <v/>
      </c>
      <c r="AE364" s="561" t="str">
        <f t="shared" si="209"/>
        <v>n.a.</v>
      </c>
      <c r="AF364" s="561" t="str">
        <f t="shared" si="209"/>
        <v>n.a.</v>
      </c>
      <c r="AG364" s="561" t="str">
        <f t="shared" si="209"/>
        <v>n.a.</v>
      </c>
      <c r="AH364" s="561" t="b">
        <f t="shared" si="209"/>
        <v>0</v>
      </c>
      <c r="AI364" s="561" t="b">
        <f t="shared" si="209"/>
        <v>0</v>
      </c>
      <c r="AJ364" s="582" t="str">
        <f t="shared" si="210"/>
        <v/>
      </c>
      <c r="AK364" s="582" t="str">
        <f t="shared" si="211"/>
        <v/>
      </c>
      <c r="AL364" s="582" t="str">
        <f t="shared" si="206"/>
        <v/>
      </c>
    </row>
    <row r="365" spans="2:38" ht="12.75" customHeight="1" x14ac:dyDescent="0.25">
      <c r="B365" s="132"/>
      <c r="C365" s="132"/>
      <c r="D365" s="1388"/>
      <c r="E365" s="43"/>
      <c r="F365" s="47"/>
      <c r="G365" s="641" t="str">
        <f t="shared" si="207"/>
        <v/>
      </c>
      <c r="H365" s="641" t="str">
        <f t="shared" si="208"/>
        <v/>
      </c>
      <c r="I365" s="48"/>
      <c r="J365" s="642" t="str">
        <f t="shared" si="200"/>
        <v/>
      </c>
      <c r="K365" s="642" t="str">
        <f t="shared" si="201"/>
        <v/>
      </c>
      <c r="L365" s="642" t="str">
        <f t="shared" si="202"/>
        <v/>
      </c>
      <c r="M365" s="1395"/>
      <c r="N365" s="116"/>
      <c r="O365" s="116"/>
      <c r="P365" s="116"/>
      <c r="Q365" s="116"/>
      <c r="R365" s="116"/>
      <c r="S365" s="132"/>
      <c r="T365" s="142"/>
      <c r="U365" s="115"/>
      <c r="W365" s="561" t="str">
        <f t="shared" si="203"/>
        <v/>
      </c>
      <c r="X365" s="561" t="str">
        <f t="shared" si="203"/>
        <v/>
      </c>
      <c r="Y365" s="561" t="str">
        <f t="shared" si="203"/>
        <v/>
      </c>
      <c r="Z365" s="561" t="str">
        <f t="shared" si="203"/>
        <v/>
      </c>
      <c r="AA365" s="561" t="str">
        <f t="shared" si="203"/>
        <v/>
      </c>
      <c r="AB365" s="561" t="str">
        <f>IF(E365="","",OR(W365&lt;&gt;W352,X365&lt;&gt;X352,Z365&lt;&gt;Z352))</f>
        <v/>
      </c>
      <c r="AC365" s="567"/>
      <c r="AD365" s="561" t="str">
        <f t="shared" si="212"/>
        <v/>
      </c>
      <c r="AE365" s="561" t="str">
        <f t="shared" si="209"/>
        <v>n.a.</v>
      </c>
      <c r="AF365" s="561" t="str">
        <f t="shared" si="209"/>
        <v>n.a.</v>
      </c>
      <c r="AG365" s="561" t="str">
        <f t="shared" si="209"/>
        <v>n.a.</v>
      </c>
      <c r="AH365" s="561" t="b">
        <f t="shared" si="209"/>
        <v>0</v>
      </c>
      <c r="AI365" s="561" t="b">
        <f t="shared" si="209"/>
        <v>0</v>
      </c>
      <c r="AJ365" s="582" t="str">
        <f t="shared" si="210"/>
        <v/>
      </c>
      <c r="AK365" s="582" t="str">
        <f t="shared" si="211"/>
        <v/>
      </c>
      <c r="AL365" s="582" t="str">
        <f t="shared" si="206"/>
        <v/>
      </c>
    </row>
    <row r="366" spans="2:38" ht="12.75" customHeight="1" x14ac:dyDescent="0.25">
      <c r="B366" s="132"/>
      <c r="C366" s="132"/>
      <c r="D366" s="1388" t="str">
        <f>Translations!$B$643</f>
        <v>Customised components</v>
      </c>
      <c r="E366" s="42"/>
      <c r="F366" s="45"/>
      <c r="G366" s="49"/>
      <c r="H366" s="49"/>
      <c r="I366" s="46"/>
      <c r="J366" s="640" t="str">
        <f t="shared" si="200"/>
        <v/>
      </c>
      <c r="K366" s="640" t="str">
        <f t="shared" si="201"/>
        <v/>
      </c>
      <c r="L366" s="640" t="str">
        <f t="shared" si="202"/>
        <v/>
      </c>
      <c r="M366" s="1395"/>
      <c r="N366" s="116"/>
      <c r="O366" s="116"/>
      <c r="P366" s="656" t="str">
        <f>Translations!$B$644</f>
        <v>CO2 fossil (before scope factor):</v>
      </c>
      <c r="Q366" s="997" t="str">
        <f>IF(K371="","",K371)</f>
        <v/>
      </c>
      <c r="R366" s="656"/>
      <c r="S366" s="997" t="str">
        <f>IF(P357="","",IF(W366=0,0,SUMIFS(C_FuelStreams!CE:CE,C_FuelStreams!BI:BI,P357)/W366))</f>
        <v/>
      </c>
      <c r="T366" s="142"/>
      <c r="U366" s="115"/>
      <c r="V366" s="110" t="str">
        <f>Translations!$B$398</f>
        <v>Scope factor:</v>
      </c>
      <c r="W366" s="617" t="str">
        <f>IF(P357="","",SUMIFS(C_FuelStreams!BP:BP,C_FuelStreams!BI:BI,P357))</f>
        <v/>
      </c>
      <c r="AD366" s="561" t="str">
        <f t="shared" si="212"/>
        <v/>
      </c>
      <c r="AE366" s="561" t="str">
        <f t="shared" si="209"/>
        <v>n.a.</v>
      </c>
      <c r="AF366" s="561" t="str">
        <f t="shared" si="209"/>
        <v>n.a.</v>
      </c>
      <c r="AG366" s="561" t="str">
        <f t="shared" si="209"/>
        <v>n.a.</v>
      </c>
      <c r="AH366" s="561" t="b">
        <f t="shared" si="209"/>
        <v>0</v>
      </c>
      <c r="AI366" s="561" t="b">
        <f t="shared" si="209"/>
        <v>0</v>
      </c>
      <c r="AJ366" s="582" t="str">
        <f t="shared" si="210"/>
        <v/>
      </c>
      <c r="AK366" s="582" t="str">
        <f t="shared" si="211"/>
        <v/>
      </c>
      <c r="AL366" s="582" t="str">
        <f t="shared" si="206"/>
        <v/>
      </c>
    </row>
    <row r="367" spans="2:38" ht="12.75" customHeight="1" x14ac:dyDescent="0.25">
      <c r="B367" s="132"/>
      <c r="C367" s="132"/>
      <c r="D367" s="1388"/>
      <c r="E367" s="43"/>
      <c r="F367" s="47"/>
      <c r="G367" s="50"/>
      <c r="H367" s="50"/>
      <c r="I367" s="48"/>
      <c r="J367" s="642" t="str">
        <f t="shared" si="200"/>
        <v/>
      </c>
      <c r="K367" s="642" t="str">
        <f t="shared" si="201"/>
        <v/>
      </c>
      <c r="L367" s="642" t="str">
        <f t="shared" si="202"/>
        <v/>
      </c>
      <c r="M367" s="1395"/>
      <c r="N367" s="116"/>
      <c r="O367" s="116"/>
      <c r="P367" s="116"/>
      <c r="Q367" s="116"/>
      <c r="R367" s="116"/>
      <c r="S367" s="132"/>
      <c r="T367" s="142"/>
      <c r="U367" s="115"/>
      <c r="AD367" s="561" t="str">
        <f t="shared" si="212"/>
        <v/>
      </c>
      <c r="AE367" s="561" t="str">
        <f t="shared" si="209"/>
        <v>n.a.</v>
      </c>
      <c r="AF367" s="561" t="str">
        <f t="shared" si="209"/>
        <v>n.a.</v>
      </c>
      <c r="AG367" s="561" t="str">
        <f t="shared" si="209"/>
        <v>n.a.</v>
      </c>
      <c r="AH367" s="561" t="b">
        <f t="shared" si="209"/>
        <v>0</v>
      </c>
      <c r="AI367" s="561" t="b">
        <f t="shared" si="209"/>
        <v>0</v>
      </c>
      <c r="AJ367" s="582" t="str">
        <f t="shared" si="210"/>
        <v/>
      </c>
      <c r="AK367" s="582" t="str">
        <f t="shared" si="211"/>
        <v/>
      </c>
      <c r="AL367" s="582" t="str">
        <f t="shared" si="206"/>
        <v/>
      </c>
    </row>
    <row r="368" spans="2:38" ht="12.75" customHeight="1" x14ac:dyDescent="0.25">
      <c r="B368" s="132"/>
      <c r="C368" s="132"/>
      <c r="D368" s="1388"/>
      <c r="E368" s="43"/>
      <c r="F368" s="47"/>
      <c r="G368" s="50"/>
      <c r="H368" s="50"/>
      <c r="I368" s="48"/>
      <c r="J368" s="642" t="str">
        <f t="shared" si="200"/>
        <v/>
      </c>
      <c r="K368" s="642" t="str">
        <f t="shared" si="201"/>
        <v/>
      </c>
      <c r="L368" s="642" t="str">
        <f t="shared" si="202"/>
        <v/>
      </c>
      <c r="M368" s="1395"/>
      <c r="N368" s="116"/>
      <c r="O368" s="116"/>
      <c r="P368" s="116"/>
      <c r="Q368" s="116"/>
      <c r="R368" s="116"/>
      <c r="S368" s="132"/>
      <c r="T368" s="142"/>
      <c r="U368" s="115"/>
      <c r="AD368" s="561" t="str">
        <f t="shared" si="212"/>
        <v/>
      </c>
      <c r="AE368" s="561" t="str">
        <f t="shared" si="209"/>
        <v>n.a.</v>
      </c>
      <c r="AF368" s="561" t="str">
        <f t="shared" si="209"/>
        <v>n.a.</v>
      </c>
      <c r="AG368" s="561" t="str">
        <f t="shared" si="209"/>
        <v>n.a.</v>
      </c>
      <c r="AH368" s="561" t="b">
        <f t="shared" si="209"/>
        <v>0</v>
      </c>
      <c r="AI368" s="561" t="b">
        <f t="shared" si="209"/>
        <v>0</v>
      </c>
      <c r="AJ368" s="582" t="str">
        <f t="shared" si="210"/>
        <v/>
      </c>
      <c r="AK368" s="582" t="str">
        <f t="shared" si="211"/>
        <v/>
      </c>
      <c r="AL368" s="582" t="str">
        <f t="shared" si="206"/>
        <v/>
      </c>
    </row>
    <row r="369" spans="1:38" ht="12.75" customHeight="1" x14ac:dyDescent="0.25">
      <c r="B369" s="132"/>
      <c r="C369" s="132"/>
      <c r="D369" s="1388"/>
      <c r="E369" s="43"/>
      <c r="F369" s="47"/>
      <c r="G369" s="50"/>
      <c r="H369" s="50"/>
      <c r="I369" s="48"/>
      <c r="J369" s="642" t="str">
        <f t="shared" si="200"/>
        <v/>
      </c>
      <c r="K369" s="642" t="str">
        <f t="shared" si="201"/>
        <v/>
      </c>
      <c r="L369" s="642" t="str">
        <f t="shared" si="202"/>
        <v/>
      </c>
      <c r="M369" s="1395"/>
      <c r="N369" s="116"/>
      <c r="O369" s="116"/>
      <c r="P369" s="116"/>
      <c r="Q369" s="116"/>
      <c r="R369" s="116"/>
      <c r="S369" s="132"/>
      <c r="T369" s="142"/>
      <c r="U369" s="115"/>
      <c r="AD369" s="561" t="str">
        <f t="shared" si="212"/>
        <v/>
      </c>
      <c r="AE369" s="561" t="str">
        <f t="shared" si="209"/>
        <v>n.a.</v>
      </c>
      <c r="AF369" s="561" t="str">
        <f t="shared" si="209"/>
        <v>n.a.</v>
      </c>
      <c r="AG369" s="561" t="str">
        <f t="shared" si="209"/>
        <v>n.a.</v>
      </c>
      <c r="AH369" s="561" t="b">
        <f t="shared" si="209"/>
        <v>0</v>
      </c>
      <c r="AI369" s="561" t="b">
        <f t="shared" si="209"/>
        <v>0</v>
      </c>
      <c r="AJ369" s="582" t="str">
        <f t="shared" si="210"/>
        <v/>
      </c>
      <c r="AK369" s="582" t="str">
        <f t="shared" si="211"/>
        <v/>
      </c>
      <c r="AL369" s="582" t="str">
        <f t="shared" si="206"/>
        <v/>
      </c>
    </row>
    <row r="370" spans="1:38" ht="12.75" customHeight="1" x14ac:dyDescent="0.25">
      <c r="B370" s="132"/>
      <c r="C370" s="132"/>
      <c r="D370" s="1388"/>
      <c r="E370" s="44"/>
      <c r="F370" s="51"/>
      <c r="G370" s="52"/>
      <c r="H370" s="52"/>
      <c r="I370" s="53"/>
      <c r="J370" s="657" t="str">
        <f t="shared" si="200"/>
        <v/>
      </c>
      <c r="K370" s="657" t="str">
        <f t="shared" si="201"/>
        <v/>
      </c>
      <c r="L370" s="657" t="str">
        <f t="shared" si="202"/>
        <v/>
      </c>
      <c r="M370" s="1395"/>
      <c r="N370" s="116"/>
      <c r="O370" s="116"/>
      <c r="P370" s="116"/>
      <c r="Q370" s="116"/>
      <c r="R370" s="116"/>
      <c r="S370" s="132"/>
      <c r="T370" s="142"/>
      <c r="U370" s="115"/>
      <c r="AD370" s="561" t="str">
        <f t="shared" si="212"/>
        <v/>
      </c>
      <c r="AE370" s="561" t="str">
        <f t="shared" si="209"/>
        <v>n.a.</v>
      </c>
      <c r="AF370" s="561" t="str">
        <f t="shared" si="209"/>
        <v>n.a.</v>
      </c>
      <c r="AG370" s="561" t="str">
        <f t="shared" si="209"/>
        <v>n.a.</v>
      </c>
      <c r="AH370" s="561" t="b">
        <f t="shared" si="209"/>
        <v>0</v>
      </c>
      <c r="AI370" s="561" t="b">
        <f t="shared" si="209"/>
        <v>0</v>
      </c>
      <c r="AJ370" s="582" t="str">
        <f t="shared" si="210"/>
        <v/>
      </c>
      <c r="AK370" s="582" t="str">
        <f t="shared" si="211"/>
        <v/>
      </c>
      <c r="AL370" s="582" t="str">
        <f t="shared" si="206"/>
        <v/>
      </c>
    </row>
    <row r="371" spans="1:38" ht="12.75" customHeight="1" x14ac:dyDescent="0.25">
      <c r="B371" s="132"/>
      <c r="C371" s="132"/>
      <c r="D371" s="132"/>
      <c r="E371" s="658" t="str">
        <f>Translations!$B$645</f>
        <v>TOTALS</v>
      </c>
      <c r="F371" s="659" t="str">
        <f>IF(SUM(F356:F370)=0,"",SUM(F356:F370))</f>
        <v/>
      </c>
      <c r="G371" s="660" t="str">
        <f>IF(SUM(F371)=0,"",J371/F371)</f>
        <v/>
      </c>
      <c r="H371" s="660" t="str">
        <f>IF(SUM(J371)=0,"",SUM(K371:L371)/IF(AF356&lt;&gt;EUconst_NA,F371,J371)/IF(AG356=EUconst_NA,1,AG356))</f>
        <v/>
      </c>
      <c r="I371" s="661" t="str">
        <f>IF(SUM(K371:L371)=0,"",L371/SUM(K371:L371))</f>
        <v/>
      </c>
      <c r="J371" s="659" t="str">
        <f>IF(COUNTA(E356:E370)=0,"",IFERROR(SUM(J356:J370),EUconst_ERR_Inconsistent))</f>
        <v/>
      </c>
      <c r="K371" s="659" t="str">
        <f>IF(COUNTA(E356:E370)=0,"",IFERROR(SUM(K356:K370),EUconst_ERR_Inconsistent))</f>
        <v/>
      </c>
      <c r="L371" s="659" t="str">
        <f>IF(COUNTA(E356:E370)=0,"",IFERROR(SUM(L356:L370),EUconst_ERR_Inconsistent))</f>
        <v/>
      </c>
      <c r="M371" s="1395"/>
      <c r="N371" s="116"/>
      <c r="O371" s="116"/>
      <c r="P371" s="116"/>
      <c r="Q371" s="116"/>
      <c r="R371" s="116"/>
      <c r="S371" s="132"/>
      <c r="T371" s="142"/>
      <c r="U371" s="115"/>
    </row>
    <row r="372" spans="1:38" ht="12.75" customHeight="1" x14ac:dyDescent="0.25">
      <c r="B372" s="132"/>
      <c r="C372" s="132"/>
      <c r="D372" s="132"/>
      <c r="E372" s="191"/>
      <c r="F372" s="116"/>
      <c r="G372" s="116"/>
      <c r="H372" s="116"/>
      <c r="I372" s="116"/>
      <c r="J372" s="116"/>
      <c r="K372" s="116"/>
      <c r="L372" s="116"/>
      <c r="M372" s="116"/>
      <c r="N372" s="116"/>
      <c r="O372" s="116"/>
      <c r="P372" s="116"/>
      <c r="Q372" s="116"/>
      <c r="R372" s="116"/>
      <c r="S372" s="132"/>
      <c r="T372" s="142"/>
      <c r="U372" s="115"/>
    </row>
    <row r="373" spans="1:38" s="69" customFormat="1" ht="18.75" customHeight="1" x14ac:dyDescent="0.25">
      <c r="A373" s="167">
        <f>C373</f>
        <v>16</v>
      </c>
      <c r="B373" s="76"/>
      <c r="C373" s="216">
        <f>C350+1</f>
        <v>16</v>
      </c>
      <c r="D373" s="1195" t="str">
        <f>"Tool " &amp;C373-2</f>
        <v>Tool 14</v>
      </c>
      <c r="E373" s="1195"/>
      <c r="F373" s="1195"/>
      <c r="G373" s="1195"/>
      <c r="H373" s="1195"/>
      <c r="I373" s="1195"/>
      <c r="J373" s="1195"/>
      <c r="K373" s="1195"/>
      <c r="L373" s="1195"/>
      <c r="M373" s="1195"/>
      <c r="N373" s="1195"/>
      <c r="O373" s="1195"/>
      <c r="P373" s="1195"/>
      <c r="Q373" s="1195"/>
      <c r="R373" s="1195"/>
      <c r="S373" s="1195"/>
      <c r="T373" s="142"/>
      <c r="U373" s="115"/>
      <c r="V373" s="464" t="str">
        <f>D373</f>
        <v>Tool 14</v>
      </c>
      <c r="W373" s="110"/>
      <c r="X373" s="110"/>
      <c r="Y373" s="110"/>
      <c r="Z373" s="110"/>
      <c r="AA373" s="109"/>
      <c r="AB373" s="109"/>
      <c r="AC373" s="109"/>
      <c r="AD373" s="109"/>
      <c r="AE373" s="109"/>
      <c r="AF373" s="109"/>
      <c r="AG373" s="109"/>
      <c r="AH373" s="109"/>
      <c r="AI373" s="109"/>
      <c r="AJ373" s="109"/>
      <c r="AK373" s="109"/>
      <c r="AL373" s="109"/>
    </row>
    <row r="374" spans="1:38" ht="12.75" customHeight="1" x14ac:dyDescent="0.25">
      <c r="B374" s="132"/>
      <c r="C374" s="132"/>
      <c r="D374" s="132"/>
      <c r="E374" s="191"/>
      <c r="F374" s="116"/>
      <c r="G374" s="116"/>
      <c r="H374" s="116"/>
      <c r="I374" s="116"/>
      <c r="J374" s="116"/>
      <c r="K374" s="116"/>
      <c r="L374" s="116"/>
      <c r="M374" s="116"/>
      <c r="N374" s="116"/>
      <c r="O374" s="116"/>
      <c r="P374" s="116"/>
      <c r="Q374" s="116"/>
      <c r="R374" s="116"/>
      <c r="S374" s="132"/>
      <c r="T374" s="142"/>
      <c r="U374" s="115"/>
    </row>
    <row r="375" spans="1:38" ht="12.75" customHeight="1" x14ac:dyDescent="0.25">
      <c r="B375" s="132"/>
      <c r="C375" s="132"/>
      <c r="D375" s="1377" t="str">
        <f>Translations!$B$631</f>
        <v>Component</v>
      </c>
      <c r="E375" s="1378"/>
      <c r="F375" s="633">
        <v>1</v>
      </c>
      <c r="G375" s="633">
        <v>2</v>
      </c>
      <c r="H375" s="633">
        <v>3</v>
      </c>
      <c r="I375" s="633">
        <v>4</v>
      </c>
      <c r="J375" s="633">
        <v>5</v>
      </c>
      <c r="K375" s="633">
        <v>6</v>
      </c>
      <c r="L375" s="633">
        <v>7</v>
      </c>
      <c r="M375" s="116"/>
      <c r="N375" s="116"/>
      <c r="O375" s="116"/>
      <c r="P375" s="116"/>
      <c r="Q375" s="116"/>
      <c r="R375" s="116"/>
      <c r="S375" s="132"/>
      <c r="T375" s="142"/>
      <c r="U375" s="115"/>
      <c r="V375" s="566" t="str">
        <f>Translations!$B$498</f>
        <v>Units:</v>
      </c>
      <c r="W375" s="561" t="str" cm="1">
        <f t="array" ref="W375">IFERROR(INDEX(_xlfn._xlws.FILTER(W379:W388,(W379:W388)&lt;&gt;"",""),1),W376)</f>
        <v/>
      </c>
      <c r="X375" s="561" t="str" cm="1">
        <f t="array" ref="X375">IFERROR(INDEX(_xlfn._xlws.FILTER(X379:X388,(X379:X388)&lt;&gt;"",""),1),X376)</f>
        <v/>
      </c>
      <c r="Y375" s="567"/>
      <c r="Z375" s="561" t="str" cm="1">
        <f t="array" ref="Z375">IFERROR(INDEX(_xlfn._xlws.FILTER(Z379:Z388,(Z379:Z388)&lt;&gt;"",""),1),Z376)</f>
        <v/>
      </c>
      <c r="AA375" s="567"/>
    </row>
    <row r="376" spans="1:38" ht="12.75" customHeight="1" x14ac:dyDescent="0.25">
      <c r="B376" s="132"/>
      <c r="C376" s="132"/>
      <c r="D376" s="1379"/>
      <c r="E376" s="1380"/>
      <c r="F376" s="1383" t="str">
        <f>Translations!$B$377</f>
        <v>RFA</v>
      </c>
      <c r="G376" s="1383" t="str">
        <f>Translations!$B$386</f>
        <v>UCF</v>
      </c>
      <c r="H376" s="1383" t="str">
        <f>Translations!$B$383</f>
        <v>EF</v>
      </c>
      <c r="I376" s="1383" t="str">
        <f>Translations!$B$632</f>
        <v>Zero-rated F</v>
      </c>
      <c r="J376" s="1385" t="str">
        <f>Translations!$B$652</f>
        <v>Energy or other</v>
      </c>
      <c r="K376" s="1385" t="str">
        <f>Translations!$B$522</f>
        <v>Emissions (fossil)</v>
      </c>
      <c r="L376" s="1385" t="str">
        <f>Translations!$B$634</f>
        <v>Emissions (bio)</v>
      </c>
      <c r="M376" s="116"/>
      <c r="N376" s="116"/>
      <c r="O376" s="116"/>
      <c r="P376" s="116"/>
      <c r="Q376" s="116"/>
      <c r="R376" s="116"/>
      <c r="S376" s="132"/>
      <c r="T376" s="142"/>
      <c r="U376" s="115"/>
      <c r="W376" s="561" t="str">
        <f t="array" ref="W376">IFERROR(INDEX(W379:W388,MATCH(TRUE,(W379:W388)&lt;&gt;"",0)),"")</f>
        <v/>
      </c>
      <c r="X376" s="561" t="str">
        <f t="array" ref="X376">IFERROR(INDEX(X379:X388,MATCH(TRUE,(X379:X388)&lt;&gt;"",0)),"")</f>
        <v/>
      </c>
      <c r="Y376" s="567"/>
      <c r="Z376" s="561" t="str">
        <f t="array" ref="Z376">IFERROR(INDEX(Z379:Z388,MATCH(TRUE,(Z379:Z388)&lt;&gt;"",0)),"")</f>
        <v/>
      </c>
      <c r="AA376" s="567"/>
    </row>
    <row r="377" spans="1:38" ht="12.75" customHeight="1" x14ac:dyDescent="0.3">
      <c r="B377" s="132"/>
      <c r="C377" s="132"/>
      <c r="D377" s="1379"/>
      <c r="E377" s="1380"/>
      <c r="F377" s="1384"/>
      <c r="G377" s="1384"/>
      <c r="H377" s="1384"/>
      <c r="I377" s="1384"/>
      <c r="J377" s="1386"/>
      <c r="K377" s="1386"/>
      <c r="L377" s="1386"/>
      <c r="M377" s="116"/>
      <c r="N377" s="634" t="str">
        <f>Translations!$B$635</f>
        <v>Result to be entered in sheet C</v>
      </c>
      <c r="O377" s="116"/>
      <c r="P377" s="116"/>
      <c r="Q377" s="116"/>
      <c r="R377" s="116"/>
      <c r="S377" s="132"/>
      <c r="T377" s="142"/>
      <c r="U377" s="115"/>
      <c r="W377" s="569" t="str">
        <f>Translations!$B$377</f>
        <v>RFA</v>
      </c>
      <c r="X377" s="569" t="str">
        <f>Translations!$B$386</f>
        <v>UCF</v>
      </c>
      <c r="Y377" s="569"/>
      <c r="Z377" s="569" t="str">
        <f>Translations!$B$383</f>
        <v>EF</v>
      </c>
      <c r="AA377" s="569"/>
      <c r="AB377" s="570"/>
      <c r="AC377" s="570"/>
      <c r="AH377" s="570"/>
      <c r="AI377" s="570"/>
      <c r="AJ377" s="570"/>
    </row>
    <row r="378" spans="1:38" ht="12.75" customHeight="1" x14ac:dyDescent="0.3">
      <c r="B378" s="132"/>
      <c r="C378" s="132"/>
      <c r="D378" s="1381"/>
      <c r="E378" s="1382"/>
      <c r="F378" s="635" t="str">
        <f>IF(COUNTA($E379:$E393)=0,"",$W375)</f>
        <v/>
      </c>
      <c r="G378" s="635" t="str">
        <f>IF(COUNTA($E379:$E393)=0,"",$X375)</f>
        <v/>
      </c>
      <c r="H378" s="635" t="str">
        <f>IF(COUNTA($E379:$E393)=0,"",$Z375)</f>
        <v/>
      </c>
      <c r="I378" s="636" t="s">
        <v>46</v>
      </c>
      <c r="J378" s="635" t="str">
        <f>IF(AE379=EUconst_NA,EUconst_GJ,AE379)</f>
        <v>GJ</v>
      </c>
      <c r="K378" s="637" t="s">
        <v>188</v>
      </c>
      <c r="L378" s="637" t="s">
        <v>188</v>
      </c>
      <c r="M378" s="116"/>
      <c r="N378" s="1387" t="str">
        <f>Translations!$B$636</f>
        <v>The results of this tool are the relevant (weighted average) values below. Each value has to be entered manually in sheet C for the respective fuel stream. Select fuel stream below for comparison.</v>
      </c>
      <c r="O378" s="1387"/>
      <c r="P378" s="1387"/>
      <c r="Q378" s="1387"/>
      <c r="R378" s="1387"/>
      <c r="S378" s="1387"/>
      <c r="T378" s="142"/>
      <c r="U378" s="115"/>
      <c r="W378" s="569" t="str">
        <f>EUconst_CNTR_ActivityData&amp;EUconst_Unit</f>
        <v>ActivityData_Unit</v>
      </c>
      <c r="X378" s="569" t="str">
        <f>EUconst_CNTR_UCF&amp;EUconst_Unit</f>
        <v>UCF_Unit</v>
      </c>
      <c r="Y378" s="569" t="str">
        <f>EUconst_CNTR_UCF&amp;EUconst_Value</f>
        <v>UCF_Value</v>
      </c>
      <c r="Z378" s="569" t="str">
        <f>EUconst_CNTR_EF&amp;EUconst_Unit</f>
        <v>EF_Unit</v>
      </c>
      <c r="AA378" s="569" t="str">
        <f>EUconst_CNTR_EF&amp;EUconst_Value</f>
        <v>EF_Value</v>
      </c>
      <c r="AB378" s="569" t="s">
        <v>189</v>
      </c>
      <c r="AC378" s="575"/>
      <c r="AD378" s="576" t="s">
        <v>147</v>
      </c>
      <c r="AE378" s="576" t="s">
        <v>151</v>
      </c>
      <c r="AF378" s="576" t="s">
        <v>153</v>
      </c>
      <c r="AG378" s="576" t="s">
        <v>155</v>
      </c>
      <c r="AH378" s="575"/>
      <c r="AI378" s="575"/>
      <c r="AJ378" s="575" t="s">
        <v>190</v>
      </c>
      <c r="AK378" s="575" t="s">
        <v>191</v>
      </c>
      <c r="AL378" s="575" t="s">
        <v>192</v>
      </c>
    </row>
    <row r="379" spans="1:38" ht="12.75" customHeight="1" x14ac:dyDescent="0.25">
      <c r="B379" s="132"/>
      <c r="C379" s="132"/>
      <c r="D379" s="1388" t="str">
        <f>Translations!$B$637</f>
        <v>Default compontents provided by the CA</v>
      </c>
      <c r="E379" s="42"/>
      <c r="F379" s="45"/>
      <c r="G379" s="639" t="str">
        <f>IF($E379="","",Y379)</f>
        <v/>
      </c>
      <c r="H379" s="639" t="str">
        <f>IF($E379="","",AA379)</f>
        <v/>
      </c>
      <c r="I379" s="46"/>
      <c r="J379" s="640" t="str">
        <f t="shared" ref="J379:J393" si="213">IFERROR(IF(E379="","",AL379),EUconst_ERR_Inconsistent)</f>
        <v/>
      </c>
      <c r="K379" s="640" t="str">
        <f t="shared" ref="K379:K393" si="214">IFERROR(IF(E379="","",AJ379),EUconst_ERR_Inconsistent)</f>
        <v/>
      </c>
      <c r="L379" s="640" t="str">
        <f t="shared" ref="L379:L393" si="215">IFERROR(IF(E379="","",AK379),EUconst_ERR_Inconsistent)</f>
        <v/>
      </c>
      <c r="M379" s="1389"/>
      <c r="N379" s="1387"/>
      <c r="O379" s="1387"/>
      <c r="P379" s="1387"/>
      <c r="Q379" s="1387"/>
      <c r="R379" s="1387"/>
      <c r="S379" s="1387"/>
      <c r="T379" s="142"/>
      <c r="U379" s="115"/>
      <c r="W379" s="561" t="str">
        <f t="shared" ref="W379:AA388" si="216">IF($E379="","",INDEX(MSPara_CalcFactorsMatrix,MATCH($E379,MSPara_SourceStreamCategory,0),MATCH(W$20&amp;"_"&amp;2,MSPara_CalcFactors,0)))</f>
        <v/>
      </c>
      <c r="X379" s="561" t="str">
        <f t="shared" si="216"/>
        <v/>
      </c>
      <c r="Y379" s="561" t="str">
        <f t="shared" si="216"/>
        <v/>
      </c>
      <c r="Z379" s="561" t="str">
        <f t="shared" si="216"/>
        <v/>
      </c>
      <c r="AA379" s="561" t="str">
        <f t="shared" si="216"/>
        <v/>
      </c>
      <c r="AB379" s="561" t="str">
        <f>IF(E379="","",OR(W379&lt;&gt;W375,X379&lt;&gt;X375,Z379&lt;&gt;Z375))</f>
        <v/>
      </c>
      <c r="AC379" s="567"/>
      <c r="AD379" s="561" t="str">
        <f>W379</f>
        <v/>
      </c>
      <c r="AE379" s="561" t="str">
        <f>IF(X379="",EUconst_NA,IF(AD379=EUconst_TJ,EUconst_TJ,INDEX(EUwideConstants!$C$135:$G$139,MATCH(AD379,RFAUnits,0),MATCH(X379,UCFUnits,0))))</f>
        <v>n.a.</v>
      </c>
      <c r="AF379" s="561" t="str">
        <f>IF(COUNTIF(RFAUnits,AD379)=0,EUconst_NA,INDEX(EUwideConstants!$C$150:$H$154,MATCH(Z379,EFUnits,0),MATCH(AD379,EUwideConstants!$C$149:$H$149,0)))</f>
        <v>n.a.</v>
      </c>
      <c r="AG379" s="561" t="str">
        <f>IF(AE379=EUconst_NA,EUconst_NA,INDEX(EUwideConstants!$C$150:$H$154,MATCH(Z379,EFUnits,0),MATCH(AE379,EUwideConstants!$C$149:$H$149,0)))</f>
        <v>n.a.</v>
      </c>
      <c r="AH379" s="561" t="b">
        <f t="shared" ref="AH379" si="217">AF379&lt;&gt;EUconst_NA</f>
        <v>0</v>
      </c>
      <c r="AI379" s="561" t="b">
        <f t="shared" ref="AI379" si="218">AG379&lt;&gt;EUconst_NA</f>
        <v>0</v>
      </c>
      <c r="AJ379" s="582" t="str">
        <f>IF(OR(E379="",COUNTIF(AH379:AI379,TRUE)=0),"",F379*IF(AH379,1,G379*AG379)*H379*(1-I379))</f>
        <v/>
      </c>
      <c r="AK379" s="582" t="str">
        <f>IF(OR(E379="",COUNTIF(AH379:AI379,TRUE)=0),"",F379*IF(AH379,1,G379*AG379)*H379*I379)</f>
        <v/>
      </c>
      <c r="AL379" s="582" t="str">
        <f t="shared" ref="AL379:AL393" si="219">IF(E379="","",IF(W379=EUconst_TJ,F379,F379*G379))</f>
        <v/>
      </c>
    </row>
    <row r="380" spans="1:38" ht="12.75" customHeight="1" x14ac:dyDescent="0.25">
      <c r="B380" s="132"/>
      <c r="C380" s="132"/>
      <c r="D380" s="1388"/>
      <c r="E380" s="43"/>
      <c r="F380" s="47"/>
      <c r="G380" s="641" t="str">
        <f t="shared" ref="G380:G388" si="220">IF($E380="","",Y380)</f>
        <v/>
      </c>
      <c r="H380" s="641" t="str">
        <f t="shared" ref="H380:H388" si="221">IF($E380="","",AA380)</f>
        <v/>
      </c>
      <c r="I380" s="48"/>
      <c r="J380" s="642" t="str">
        <f t="shared" si="213"/>
        <v/>
      </c>
      <c r="K380" s="642" t="str">
        <f t="shared" si="214"/>
        <v/>
      </c>
      <c r="L380" s="642" t="str">
        <f t="shared" si="215"/>
        <v/>
      </c>
      <c r="M380" s="1389"/>
      <c r="N380" s="638"/>
      <c r="O380" s="643" t="str">
        <f>Translations!$B$639</f>
        <v>Fuel stream:</v>
      </c>
      <c r="P380" s="1390"/>
      <c r="Q380" s="1391"/>
      <c r="R380" s="1391"/>
      <c r="S380" s="1392"/>
      <c r="T380" s="142"/>
      <c r="U380" s="115"/>
      <c r="W380" s="561" t="str">
        <f t="shared" si="216"/>
        <v/>
      </c>
      <c r="X380" s="561" t="str">
        <f t="shared" si="216"/>
        <v/>
      </c>
      <c r="Y380" s="561" t="str">
        <f t="shared" si="216"/>
        <v/>
      </c>
      <c r="Z380" s="561" t="str">
        <f t="shared" si="216"/>
        <v/>
      </c>
      <c r="AA380" s="561" t="str">
        <f t="shared" si="216"/>
        <v/>
      </c>
      <c r="AB380" s="561" t="str">
        <f>IF(E380="","",OR(W380&lt;&gt;W375,X380&lt;&gt;X375,Z380&lt;&gt;Z375))</f>
        <v/>
      </c>
      <c r="AC380" s="567"/>
      <c r="AD380" s="561" t="str">
        <f>AD379</f>
        <v/>
      </c>
      <c r="AE380" s="561" t="str">
        <f t="shared" ref="AE380:AI393" si="222">AE379</f>
        <v>n.a.</v>
      </c>
      <c r="AF380" s="561" t="str">
        <f t="shared" si="222"/>
        <v>n.a.</v>
      </c>
      <c r="AG380" s="561" t="str">
        <f t="shared" si="222"/>
        <v>n.a.</v>
      </c>
      <c r="AH380" s="561" t="b">
        <f t="shared" si="222"/>
        <v>0</v>
      </c>
      <c r="AI380" s="561" t="b">
        <f t="shared" si="222"/>
        <v>0</v>
      </c>
      <c r="AJ380" s="582" t="str">
        <f t="shared" ref="AJ380:AJ393" si="223">IF(OR(E380="",COUNTIF(AH380:AI380,TRUE)=0),"",F380*IF(AH380,1,G380*AG380)*H380*(1-I380))</f>
        <v/>
      </c>
      <c r="AK380" s="582" t="str">
        <f t="shared" ref="AK380:AK393" si="224">IF(OR(E380="",COUNTIF(AH380:AI380,TRUE)=0),"",F380*IF(AH380,1,G380*AG380)*H380*I380)</f>
        <v/>
      </c>
      <c r="AL380" s="582" t="str">
        <f t="shared" si="219"/>
        <v/>
      </c>
    </row>
    <row r="381" spans="1:38" ht="12.75" customHeight="1" x14ac:dyDescent="0.25">
      <c r="B381" s="132"/>
      <c r="C381" s="132"/>
      <c r="D381" s="1388"/>
      <c r="E381" s="43"/>
      <c r="F381" s="47"/>
      <c r="G381" s="641" t="str">
        <f t="shared" si="220"/>
        <v/>
      </c>
      <c r="H381" s="641" t="str">
        <f t="shared" si="221"/>
        <v/>
      </c>
      <c r="I381" s="48"/>
      <c r="J381" s="642" t="str">
        <f t="shared" si="213"/>
        <v/>
      </c>
      <c r="K381" s="642" t="str">
        <f t="shared" si="214"/>
        <v/>
      </c>
      <c r="L381" s="642" t="str">
        <f t="shared" si="215"/>
        <v/>
      </c>
      <c r="M381" s="1389"/>
      <c r="N381" s="116"/>
      <c r="O381" s="116"/>
      <c r="P381" s="116"/>
      <c r="Q381" s="116"/>
      <c r="R381" s="116"/>
      <c r="S381" s="132"/>
      <c r="T381" s="142"/>
      <c r="U381" s="115"/>
      <c r="W381" s="561" t="str">
        <f t="shared" si="216"/>
        <v/>
      </c>
      <c r="X381" s="561" t="str">
        <f t="shared" si="216"/>
        <v/>
      </c>
      <c r="Y381" s="561" t="str">
        <f t="shared" si="216"/>
        <v/>
      </c>
      <c r="Z381" s="561" t="str">
        <f t="shared" si="216"/>
        <v/>
      </c>
      <c r="AA381" s="561" t="str">
        <f t="shared" si="216"/>
        <v/>
      </c>
      <c r="AB381" s="561" t="str">
        <f>IF(E381="","",OR(W381&lt;&gt;W375,X381&lt;&gt;X375,Z381&lt;&gt;Z375))</f>
        <v/>
      </c>
      <c r="AC381" s="567"/>
      <c r="AD381" s="561" t="str">
        <f t="shared" ref="AD381:AD393" si="225">AD380</f>
        <v/>
      </c>
      <c r="AE381" s="561" t="str">
        <f t="shared" si="222"/>
        <v>n.a.</v>
      </c>
      <c r="AF381" s="561" t="str">
        <f t="shared" si="222"/>
        <v>n.a.</v>
      </c>
      <c r="AG381" s="561" t="str">
        <f t="shared" si="222"/>
        <v>n.a.</v>
      </c>
      <c r="AH381" s="561" t="b">
        <f t="shared" si="222"/>
        <v>0</v>
      </c>
      <c r="AI381" s="561" t="b">
        <f t="shared" si="222"/>
        <v>0</v>
      </c>
      <c r="AJ381" s="582" t="str">
        <f t="shared" si="223"/>
        <v/>
      </c>
      <c r="AK381" s="582" t="str">
        <f t="shared" si="224"/>
        <v/>
      </c>
      <c r="AL381" s="582" t="str">
        <f t="shared" si="219"/>
        <v/>
      </c>
    </row>
    <row r="382" spans="1:38" ht="12.75" customHeight="1" thickBot="1" x14ac:dyDescent="0.35">
      <c r="B382" s="132"/>
      <c r="C382" s="132"/>
      <c r="D382" s="1388"/>
      <c r="E382" s="43"/>
      <c r="F382" s="47"/>
      <c r="G382" s="641" t="str">
        <f t="shared" si="220"/>
        <v/>
      </c>
      <c r="H382" s="641" t="str">
        <f t="shared" si="221"/>
        <v/>
      </c>
      <c r="I382" s="48"/>
      <c r="J382" s="642" t="str">
        <f t="shared" si="213"/>
        <v/>
      </c>
      <c r="K382" s="642" t="str">
        <f t="shared" si="214"/>
        <v/>
      </c>
      <c r="L382" s="642" t="str">
        <f t="shared" si="215"/>
        <v/>
      </c>
      <c r="M382" s="1389"/>
      <c r="N382" s="1255" t="str">
        <f>Translations!$B$394</f>
        <v>Unit</v>
      </c>
      <c r="O382" s="1255"/>
      <c r="P382" s="1255" t="str">
        <f>Translations!$B$395</f>
        <v>Value</v>
      </c>
      <c r="Q382" s="1255"/>
      <c r="R382" s="116"/>
      <c r="S382" s="644" t="str">
        <f>Translations!$B$642</f>
        <v>Sheet C values</v>
      </c>
      <c r="T382" s="142"/>
      <c r="U382" s="115"/>
      <c r="W382" s="561" t="str">
        <f t="shared" si="216"/>
        <v/>
      </c>
      <c r="X382" s="561" t="str">
        <f t="shared" si="216"/>
        <v/>
      </c>
      <c r="Y382" s="561" t="str">
        <f t="shared" si="216"/>
        <v/>
      </c>
      <c r="Z382" s="561" t="str">
        <f t="shared" si="216"/>
        <v/>
      </c>
      <c r="AA382" s="561" t="str">
        <f t="shared" si="216"/>
        <v/>
      </c>
      <c r="AB382" s="561" t="str">
        <f>IF(E382="","",OR(W382&lt;&gt;W375,X382&lt;&gt;X375,Z382&lt;&gt;Z375))</f>
        <v/>
      </c>
      <c r="AC382" s="567"/>
      <c r="AD382" s="561" t="str">
        <f t="shared" si="225"/>
        <v/>
      </c>
      <c r="AE382" s="561" t="str">
        <f t="shared" si="222"/>
        <v>n.a.</v>
      </c>
      <c r="AF382" s="561" t="str">
        <f t="shared" si="222"/>
        <v>n.a.</v>
      </c>
      <c r="AG382" s="561" t="str">
        <f t="shared" si="222"/>
        <v>n.a.</v>
      </c>
      <c r="AH382" s="561" t="b">
        <f t="shared" si="222"/>
        <v>0</v>
      </c>
      <c r="AI382" s="561" t="b">
        <f t="shared" si="222"/>
        <v>0</v>
      </c>
      <c r="AJ382" s="582" t="str">
        <f t="shared" si="223"/>
        <v/>
      </c>
      <c r="AK382" s="582" t="str">
        <f t="shared" si="224"/>
        <v/>
      </c>
      <c r="AL382" s="582" t="str">
        <f t="shared" si="219"/>
        <v/>
      </c>
    </row>
    <row r="383" spans="1:38" ht="12.75" customHeight="1" thickBot="1" x14ac:dyDescent="0.3">
      <c r="B383" s="132"/>
      <c r="C383" s="132"/>
      <c r="D383" s="1388"/>
      <c r="E383" s="43"/>
      <c r="F383" s="47"/>
      <c r="G383" s="641" t="str">
        <f t="shared" si="220"/>
        <v/>
      </c>
      <c r="H383" s="641" t="str">
        <f t="shared" si="221"/>
        <v/>
      </c>
      <c r="I383" s="48"/>
      <c r="J383" s="642" t="str">
        <f t="shared" si="213"/>
        <v/>
      </c>
      <c r="K383" s="642" t="str">
        <f t="shared" si="214"/>
        <v/>
      </c>
      <c r="L383" s="642" t="str">
        <f t="shared" si="215"/>
        <v/>
      </c>
      <c r="M383" s="116"/>
      <c r="N383" s="346" t="str">
        <f>F378</f>
        <v/>
      </c>
      <c r="O383" s="7"/>
      <c r="P383" s="1393" t="str">
        <f>IF(F394="","",F394)</f>
        <v/>
      </c>
      <c r="Q383" s="1394"/>
      <c r="R383" s="116"/>
      <c r="S383" s="645" t="str">
        <f>IF(P380="","",SUMIFS(C_FuelStreams!BK:BK,C_FuelStreams!BI:BI,P380))</f>
        <v/>
      </c>
      <c r="T383" s="142"/>
      <c r="U383" s="115"/>
      <c r="W383" s="561" t="str">
        <f t="shared" si="216"/>
        <v/>
      </c>
      <c r="X383" s="561" t="str">
        <f t="shared" si="216"/>
        <v/>
      </c>
      <c r="Y383" s="561" t="str">
        <f t="shared" si="216"/>
        <v/>
      </c>
      <c r="Z383" s="561" t="str">
        <f t="shared" si="216"/>
        <v/>
      </c>
      <c r="AA383" s="561" t="str">
        <f t="shared" si="216"/>
        <v/>
      </c>
      <c r="AB383" s="561" t="str">
        <f>IF(E383="","",OR(W383&lt;&gt;W375,X383&lt;&gt;X375,Z383&lt;&gt;Z375))</f>
        <v/>
      </c>
      <c r="AC383" s="567"/>
      <c r="AD383" s="561" t="str">
        <f t="shared" si="225"/>
        <v/>
      </c>
      <c r="AE383" s="561" t="str">
        <f t="shared" si="222"/>
        <v>n.a.</v>
      </c>
      <c r="AF383" s="561" t="str">
        <f t="shared" si="222"/>
        <v>n.a.</v>
      </c>
      <c r="AG383" s="561" t="str">
        <f t="shared" si="222"/>
        <v>n.a.</v>
      </c>
      <c r="AH383" s="561" t="b">
        <f t="shared" si="222"/>
        <v>0</v>
      </c>
      <c r="AI383" s="561" t="b">
        <f t="shared" si="222"/>
        <v>0</v>
      </c>
      <c r="AJ383" s="582" t="str">
        <f t="shared" si="223"/>
        <v/>
      </c>
      <c r="AK383" s="582" t="str">
        <f t="shared" si="224"/>
        <v/>
      </c>
      <c r="AL383" s="582" t="str">
        <f t="shared" si="219"/>
        <v/>
      </c>
    </row>
    <row r="384" spans="1:38" ht="12.75" customHeight="1" thickBot="1" x14ac:dyDescent="0.3">
      <c r="B384" s="132"/>
      <c r="C384" s="132"/>
      <c r="D384" s="1388"/>
      <c r="E384" s="43"/>
      <c r="F384" s="47"/>
      <c r="G384" s="641" t="str">
        <f t="shared" si="220"/>
        <v/>
      </c>
      <c r="H384" s="641" t="str">
        <f t="shared" si="221"/>
        <v/>
      </c>
      <c r="I384" s="48"/>
      <c r="J384" s="642" t="str">
        <f t="shared" si="213"/>
        <v/>
      </c>
      <c r="K384" s="642" t="str">
        <f t="shared" si="214"/>
        <v/>
      </c>
      <c r="L384" s="642" t="str">
        <f t="shared" si="215"/>
        <v/>
      </c>
      <c r="M384" s="116"/>
      <c r="N384" s="162"/>
      <c r="O384" s="162"/>
      <c r="P384" s="76"/>
      <c r="Q384" s="76"/>
      <c r="R384" s="116"/>
      <c r="S384" s="996"/>
      <c r="T384" s="142"/>
      <c r="U384" s="115"/>
      <c r="W384" s="561" t="str">
        <f t="shared" si="216"/>
        <v/>
      </c>
      <c r="X384" s="561" t="str">
        <f t="shared" si="216"/>
        <v/>
      </c>
      <c r="Y384" s="561" t="str">
        <f t="shared" si="216"/>
        <v/>
      </c>
      <c r="Z384" s="561" t="str">
        <f t="shared" si="216"/>
        <v/>
      </c>
      <c r="AA384" s="561" t="str">
        <f t="shared" si="216"/>
        <v/>
      </c>
      <c r="AB384" s="561" t="str">
        <f>IF(E384="","",OR(W384&lt;&gt;W375,X384&lt;&gt;X375,Z384&lt;&gt;Z375))</f>
        <v/>
      </c>
      <c r="AC384" s="567"/>
      <c r="AD384" s="561" t="str">
        <f t="shared" si="225"/>
        <v/>
      </c>
      <c r="AE384" s="561" t="str">
        <f t="shared" si="222"/>
        <v>n.a.</v>
      </c>
      <c r="AF384" s="561" t="str">
        <f t="shared" si="222"/>
        <v>n.a.</v>
      </c>
      <c r="AG384" s="561" t="str">
        <f t="shared" si="222"/>
        <v>n.a.</v>
      </c>
      <c r="AH384" s="561" t="b">
        <f t="shared" si="222"/>
        <v>0</v>
      </c>
      <c r="AI384" s="561" t="b">
        <f t="shared" si="222"/>
        <v>0</v>
      </c>
      <c r="AJ384" s="582" t="str">
        <f t="shared" si="223"/>
        <v/>
      </c>
      <c r="AK384" s="582" t="str">
        <f t="shared" si="224"/>
        <v/>
      </c>
      <c r="AL384" s="582" t="str">
        <f t="shared" si="219"/>
        <v/>
      </c>
    </row>
    <row r="385" spans="1:38" ht="12.75" customHeight="1" x14ac:dyDescent="0.25">
      <c r="B385" s="132"/>
      <c r="C385" s="132"/>
      <c r="D385" s="1388"/>
      <c r="E385" s="43"/>
      <c r="F385" s="47"/>
      <c r="G385" s="641" t="str">
        <f t="shared" si="220"/>
        <v/>
      </c>
      <c r="H385" s="641" t="str">
        <f t="shared" si="221"/>
        <v/>
      </c>
      <c r="I385" s="48"/>
      <c r="J385" s="642" t="str">
        <f t="shared" si="213"/>
        <v/>
      </c>
      <c r="K385" s="642" t="str">
        <f t="shared" si="214"/>
        <v/>
      </c>
      <c r="L385" s="642" t="str">
        <f t="shared" si="215"/>
        <v/>
      </c>
      <c r="M385" s="116"/>
      <c r="N385" s="365" t="str">
        <f>G378</f>
        <v/>
      </c>
      <c r="O385" s="11"/>
      <c r="P385" s="366"/>
      <c r="Q385" s="646" t="str">
        <f>IF(G394="","",G394)</f>
        <v/>
      </c>
      <c r="R385" s="116"/>
      <c r="S385" s="647" t="str">
        <f>IF(P380="","",SUMIFS(C_FuelStreams!BU:BU,C_FuelStreams!BI:BI,P380))</f>
        <v/>
      </c>
      <c r="T385" s="142"/>
      <c r="U385" s="115"/>
      <c r="W385" s="561" t="str">
        <f t="shared" si="216"/>
        <v/>
      </c>
      <c r="X385" s="561" t="str">
        <f t="shared" si="216"/>
        <v/>
      </c>
      <c r="Y385" s="561" t="str">
        <f t="shared" si="216"/>
        <v/>
      </c>
      <c r="Z385" s="561" t="str">
        <f t="shared" si="216"/>
        <v/>
      </c>
      <c r="AA385" s="561" t="str">
        <f t="shared" si="216"/>
        <v/>
      </c>
      <c r="AB385" s="561" t="str">
        <f>IF(E385="","",OR(W385&lt;&gt;W375,X385&lt;&gt;X375,Z385&lt;&gt;Z375))</f>
        <v/>
      </c>
      <c r="AC385" s="567"/>
      <c r="AD385" s="561" t="str">
        <f t="shared" si="225"/>
        <v/>
      </c>
      <c r="AE385" s="561" t="str">
        <f t="shared" si="222"/>
        <v>n.a.</v>
      </c>
      <c r="AF385" s="561" t="str">
        <f t="shared" si="222"/>
        <v>n.a.</v>
      </c>
      <c r="AG385" s="561" t="str">
        <f t="shared" si="222"/>
        <v>n.a.</v>
      </c>
      <c r="AH385" s="561" t="b">
        <f t="shared" si="222"/>
        <v>0</v>
      </c>
      <c r="AI385" s="561" t="b">
        <f t="shared" si="222"/>
        <v>0</v>
      </c>
      <c r="AJ385" s="582" t="str">
        <f t="shared" si="223"/>
        <v/>
      </c>
      <c r="AK385" s="582" t="str">
        <f t="shared" si="224"/>
        <v/>
      </c>
      <c r="AL385" s="582" t="str">
        <f t="shared" si="219"/>
        <v/>
      </c>
    </row>
    <row r="386" spans="1:38" ht="12.75" customHeight="1" thickBot="1" x14ac:dyDescent="0.3">
      <c r="B386" s="132"/>
      <c r="C386" s="132"/>
      <c r="D386" s="1388"/>
      <c r="E386" s="43"/>
      <c r="F386" s="47"/>
      <c r="G386" s="641" t="str">
        <f t="shared" si="220"/>
        <v/>
      </c>
      <c r="H386" s="641" t="str">
        <f t="shared" si="221"/>
        <v/>
      </c>
      <c r="I386" s="48"/>
      <c r="J386" s="642" t="str">
        <f t="shared" si="213"/>
        <v/>
      </c>
      <c r="K386" s="642" t="str">
        <f t="shared" si="214"/>
        <v/>
      </c>
      <c r="L386" s="642" t="str">
        <f t="shared" si="215"/>
        <v/>
      </c>
      <c r="M386" s="116"/>
      <c r="N386" s="648" t="str">
        <f>H378</f>
        <v/>
      </c>
      <c r="O386" s="22"/>
      <c r="P386" s="649"/>
      <c r="Q386" s="650" t="str">
        <f>IF(H394="","",H394)</f>
        <v/>
      </c>
      <c r="R386" s="116"/>
      <c r="S386" s="651" t="str">
        <f>IF(P380="","",SUMIFS(C_FuelStreams!BR:BR,C_FuelStreams!BI:BI,P380))</f>
        <v/>
      </c>
      <c r="T386" s="142"/>
      <c r="U386" s="115"/>
      <c r="W386" s="561" t="str">
        <f t="shared" si="216"/>
        <v/>
      </c>
      <c r="X386" s="561" t="str">
        <f t="shared" si="216"/>
        <v/>
      </c>
      <c r="Y386" s="561" t="str">
        <f t="shared" si="216"/>
        <v/>
      </c>
      <c r="Z386" s="561" t="str">
        <f t="shared" si="216"/>
        <v/>
      </c>
      <c r="AA386" s="561" t="str">
        <f t="shared" si="216"/>
        <v/>
      </c>
      <c r="AB386" s="561" t="str">
        <f>IF(E386="","",OR(W386&lt;&gt;W375,X386&lt;&gt;X375,Z386&lt;&gt;Z375))</f>
        <v/>
      </c>
      <c r="AC386" s="567"/>
      <c r="AD386" s="561" t="str">
        <f t="shared" si="225"/>
        <v/>
      </c>
      <c r="AE386" s="561" t="str">
        <f t="shared" si="222"/>
        <v>n.a.</v>
      </c>
      <c r="AF386" s="561" t="str">
        <f t="shared" si="222"/>
        <v>n.a.</v>
      </c>
      <c r="AG386" s="561" t="str">
        <f t="shared" si="222"/>
        <v>n.a.</v>
      </c>
      <c r="AH386" s="561" t="b">
        <f t="shared" si="222"/>
        <v>0</v>
      </c>
      <c r="AI386" s="561" t="b">
        <f t="shared" si="222"/>
        <v>0</v>
      </c>
      <c r="AJ386" s="582" t="str">
        <f t="shared" si="223"/>
        <v/>
      </c>
      <c r="AK386" s="582" t="str">
        <f t="shared" si="224"/>
        <v/>
      </c>
      <c r="AL386" s="582" t="str">
        <f t="shared" si="219"/>
        <v/>
      </c>
    </row>
    <row r="387" spans="1:38" ht="12.75" customHeight="1" x14ac:dyDescent="0.25">
      <c r="B387" s="132"/>
      <c r="C387" s="132"/>
      <c r="D387" s="1388"/>
      <c r="E387" s="43"/>
      <c r="F387" s="47"/>
      <c r="G387" s="641" t="str">
        <f t="shared" si="220"/>
        <v/>
      </c>
      <c r="H387" s="641" t="str">
        <f t="shared" si="221"/>
        <v/>
      </c>
      <c r="I387" s="48"/>
      <c r="J387" s="642" t="str">
        <f t="shared" si="213"/>
        <v/>
      </c>
      <c r="K387" s="642" t="str">
        <f t="shared" si="214"/>
        <v/>
      </c>
      <c r="L387" s="642" t="str">
        <f t="shared" si="215"/>
        <v/>
      </c>
      <c r="M387" s="116"/>
      <c r="N387" s="652" t="s">
        <v>46</v>
      </c>
      <c r="O387" s="411"/>
      <c r="P387" s="653"/>
      <c r="Q387" s="654" t="str">
        <f>IF(I394="","",I394)</f>
        <v/>
      </c>
      <c r="R387" s="116"/>
      <c r="S387" s="655" t="str">
        <f>IF(P380="","",SUMIFS(C_FuelStreams!BX:BX,C_FuelStreams!BI:BI,P380))</f>
        <v/>
      </c>
      <c r="T387" s="142"/>
      <c r="U387" s="115"/>
      <c r="W387" s="561" t="str">
        <f t="shared" si="216"/>
        <v/>
      </c>
      <c r="X387" s="561" t="str">
        <f t="shared" si="216"/>
        <v/>
      </c>
      <c r="Y387" s="561" t="str">
        <f t="shared" si="216"/>
        <v/>
      </c>
      <c r="Z387" s="561" t="str">
        <f t="shared" si="216"/>
        <v/>
      </c>
      <c r="AA387" s="561" t="str">
        <f t="shared" si="216"/>
        <v/>
      </c>
      <c r="AB387" s="561" t="str">
        <f>IF(E387="","",OR(W387&lt;&gt;W375,X387&lt;&gt;X375,Z387&lt;&gt;Z375))</f>
        <v/>
      </c>
      <c r="AC387" s="567"/>
      <c r="AD387" s="561" t="str">
        <f t="shared" si="225"/>
        <v/>
      </c>
      <c r="AE387" s="561" t="str">
        <f t="shared" si="222"/>
        <v>n.a.</v>
      </c>
      <c r="AF387" s="561" t="str">
        <f t="shared" si="222"/>
        <v>n.a.</v>
      </c>
      <c r="AG387" s="561" t="str">
        <f t="shared" si="222"/>
        <v>n.a.</v>
      </c>
      <c r="AH387" s="561" t="b">
        <f t="shared" si="222"/>
        <v>0</v>
      </c>
      <c r="AI387" s="561" t="b">
        <f t="shared" si="222"/>
        <v>0</v>
      </c>
      <c r="AJ387" s="582" t="str">
        <f t="shared" si="223"/>
        <v/>
      </c>
      <c r="AK387" s="582" t="str">
        <f t="shared" si="224"/>
        <v/>
      </c>
      <c r="AL387" s="582" t="str">
        <f t="shared" si="219"/>
        <v/>
      </c>
    </row>
    <row r="388" spans="1:38" ht="12.75" customHeight="1" x14ac:dyDescent="0.25">
      <c r="B388" s="132"/>
      <c r="C388" s="132"/>
      <c r="D388" s="1388"/>
      <c r="E388" s="43"/>
      <c r="F388" s="47"/>
      <c r="G388" s="641" t="str">
        <f t="shared" si="220"/>
        <v/>
      </c>
      <c r="H388" s="641" t="str">
        <f t="shared" si="221"/>
        <v/>
      </c>
      <c r="I388" s="48"/>
      <c r="J388" s="642" t="str">
        <f t="shared" si="213"/>
        <v/>
      </c>
      <c r="K388" s="642" t="str">
        <f t="shared" si="214"/>
        <v/>
      </c>
      <c r="L388" s="642" t="str">
        <f t="shared" si="215"/>
        <v/>
      </c>
      <c r="M388" s="1395"/>
      <c r="N388" s="116"/>
      <c r="O388" s="116"/>
      <c r="P388" s="116"/>
      <c r="Q388" s="116"/>
      <c r="R388" s="116"/>
      <c r="S388" s="132"/>
      <c r="T388" s="142"/>
      <c r="U388" s="115"/>
      <c r="W388" s="561" t="str">
        <f t="shared" si="216"/>
        <v/>
      </c>
      <c r="X388" s="561" t="str">
        <f t="shared" si="216"/>
        <v/>
      </c>
      <c r="Y388" s="561" t="str">
        <f t="shared" si="216"/>
        <v/>
      </c>
      <c r="Z388" s="561" t="str">
        <f t="shared" si="216"/>
        <v/>
      </c>
      <c r="AA388" s="561" t="str">
        <f t="shared" si="216"/>
        <v/>
      </c>
      <c r="AB388" s="561" t="str">
        <f>IF(E388="","",OR(W388&lt;&gt;W375,X388&lt;&gt;X375,Z388&lt;&gt;Z375))</f>
        <v/>
      </c>
      <c r="AC388" s="567"/>
      <c r="AD388" s="561" t="str">
        <f t="shared" si="225"/>
        <v/>
      </c>
      <c r="AE388" s="561" t="str">
        <f t="shared" si="222"/>
        <v>n.a.</v>
      </c>
      <c r="AF388" s="561" t="str">
        <f t="shared" si="222"/>
        <v>n.a.</v>
      </c>
      <c r="AG388" s="561" t="str">
        <f t="shared" si="222"/>
        <v>n.a.</v>
      </c>
      <c r="AH388" s="561" t="b">
        <f t="shared" si="222"/>
        <v>0</v>
      </c>
      <c r="AI388" s="561" t="b">
        <f t="shared" si="222"/>
        <v>0</v>
      </c>
      <c r="AJ388" s="582" t="str">
        <f t="shared" si="223"/>
        <v/>
      </c>
      <c r="AK388" s="582" t="str">
        <f t="shared" si="224"/>
        <v/>
      </c>
      <c r="AL388" s="582" t="str">
        <f t="shared" si="219"/>
        <v/>
      </c>
    </row>
    <row r="389" spans="1:38" ht="12.75" customHeight="1" x14ac:dyDescent="0.25">
      <c r="B389" s="132"/>
      <c r="C389" s="132"/>
      <c r="D389" s="1388" t="str">
        <f>Translations!$B$643</f>
        <v>Customised components</v>
      </c>
      <c r="E389" s="42"/>
      <c r="F389" s="45"/>
      <c r="G389" s="49"/>
      <c r="H389" s="49"/>
      <c r="I389" s="46"/>
      <c r="J389" s="640" t="str">
        <f t="shared" si="213"/>
        <v/>
      </c>
      <c r="K389" s="640" t="str">
        <f t="shared" si="214"/>
        <v/>
      </c>
      <c r="L389" s="640" t="str">
        <f t="shared" si="215"/>
        <v/>
      </c>
      <c r="M389" s="1395"/>
      <c r="N389" s="116"/>
      <c r="O389" s="116"/>
      <c r="P389" s="656" t="str">
        <f>Translations!$B$644</f>
        <v>CO2 fossil (before scope factor):</v>
      </c>
      <c r="Q389" s="997" t="str">
        <f>IF(K394="","",K394)</f>
        <v/>
      </c>
      <c r="R389" s="656"/>
      <c r="S389" s="997" t="str">
        <f>IF(P380="","",IF(W389=0,0,SUMIFS(C_FuelStreams!CE:CE,C_FuelStreams!BI:BI,P380)/W389))</f>
        <v/>
      </c>
      <c r="T389" s="142"/>
      <c r="U389" s="115"/>
      <c r="V389" s="110" t="str">
        <f>Translations!$B$398</f>
        <v>Scope factor:</v>
      </c>
      <c r="W389" s="617" t="str">
        <f>IF(P380="","",SUMIFS(C_FuelStreams!BP:BP,C_FuelStreams!BI:BI,P380))</f>
        <v/>
      </c>
      <c r="AD389" s="561" t="str">
        <f t="shared" si="225"/>
        <v/>
      </c>
      <c r="AE389" s="561" t="str">
        <f t="shared" si="222"/>
        <v>n.a.</v>
      </c>
      <c r="AF389" s="561" t="str">
        <f t="shared" si="222"/>
        <v>n.a.</v>
      </c>
      <c r="AG389" s="561" t="str">
        <f t="shared" si="222"/>
        <v>n.a.</v>
      </c>
      <c r="AH389" s="561" t="b">
        <f t="shared" si="222"/>
        <v>0</v>
      </c>
      <c r="AI389" s="561" t="b">
        <f t="shared" si="222"/>
        <v>0</v>
      </c>
      <c r="AJ389" s="582" t="str">
        <f t="shared" si="223"/>
        <v/>
      </c>
      <c r="AK389" s="582" t="str">
        <f t="shared" si="224"/>
        <v/>
      </c>
      <c r="AL389" s="582" t="str">
        <f t="shared" si="219"/>
        <v/>
      </c>
    </row>
    <row r="390" spans="1:38" ht="12.75" customHeight="1" x14ac:dyDescent="0.25">
      <c r="B390" s="132"/>
      <c r="C390" s="132"/>
      <c r="D390" s="1388"/>
      <c r="E390" s="43"/>
      <c r="F390" s="47"/>
      <c r="G390" s="50"/>
      <c r="H390" s="50"/>
      <c r="I390" s="48"/>
      <c r="J390" s="642" t="str">
        <f t="shared" si="213"/>
        <v/>
      </c>
      <c r="K390" s="642" t="str">
        <f t="shared" si="214"/>
        <v/>
      </c>
      <c r="L390" s="642" t="str">
        <f t="shared" si="215"/>
        <v/>
      </c>
      <c r="M390" s="1395"/>
      <c r="N390" s="116"/>
      <c r="O390" s="116"/>
      <c r="P390" s="116"/>
      <c r="Q390" s="116"/>
      <c r="R390" s="116"/>
      <c r="S390" s="132"/>
      <c r="T390" s="142"/>
      <c r="U390" s="115"/>
      <c r="AD390" s="561" t="str">
        <f t="shared" si="225"/>
        <v/>
      </c>
      <c r="AE390" s="561" t="str">
        <f t="shared" si="222"/>
        <v>n.a.</v>
      </c>
      <c r="AF390" s="561" t="str">
        <f t="shared" si="222"/>
        <v>n.a.</v>
      </c>
      <c r="AG390" s="561" t="str">
        <f t="shared" si="222"/>
        <v>n.a.</v>
      </c>
      <c r="AH390" s="561" t="b">
        <f t="shared" si="222"/>
        <v>0</v>
      </c>
      <c r="AI390" s="561" t="b">
        <f t="shared" si="222"/>
        <v>0</v>
      </c>
      <c r="AJ390" s="582" t="str">
        <f t="shared" si="223"/>
        <v/>
      </c>
      <c r="AK390" s="582" t="str">
        <f t="shared" si="224"/>
        <v/>
      </c>
      <c r="AL390" s="582" t="str">
        <f t="shared" si="219"/>
        <v/>
      </c>
    </row>
    <row r="391" spans="1:38" ht="12.75" customHeight="1" x14ac:dyDescent="0.25">
      <c r="B391" s="132"/>
      <c r="C391" s="132"/>
      <c r="D391" s="1388"/>
      <c r="E391" s="43"/>
      <c r="F391" s="47"/>
      <c r="G391" s="50"/>
      <c r="H391" s="50"/>
      <c r="I391" s="48"/>
      <c r="J391" s="642" t="str">
        <f t="shared" si="213"/>
        <v/>
      </c>
      <c r="K391" s="642" t="str">
        <f t="shared" si="214"/>
        <v/>
      </c>
      <c r="L391" s="642" t="str">
        <f t="shared" si="215"/>
        <v/>
      </c>
      <c r="M391" s="1395"/>
      <c r="N391" s="116"/>
      <c r="O391" s="116"/>
      <c r="P391" s="116"/>
      <c r="Q391" s="116"/>
      <c r="R391" s="116"/>
      <c r="S391" s="132"/>
      <c r="T391" s="142"/>
      <c r="U391" s="115"/>
      <c r="AD391" s="561" t="str">
        <f t="shared" si="225"/>
        <v/>
      </c>
      <c r="AE391" s="561" t="str">
        <f t="shared" si="222"/>
        <v>n.a.</v>
      </c>
      <c r="AF391" s="561" t="str">
        <f t="shared" si="222"/>
        <v>n.a.</v>
      </c>
      <c r="AG391" s="561" t="str">
        <f t="shared" si="222"/>
        <v>n.a.</v>
      </c>
      <c r="AH391" s="561" t="b">
        <f t="shared" si="222"/>
        <v>0</v>
      </c>
      <c r="AI391" s="561" t="b">
        <f t="shared" si="222"/>
        <v>0</v>
      </c>
      <c r="AJ391" s="582" t="str">
        <f t="shared" si="223"/>
        <v/>
      </c>
      <c r="AK391" s="582" t="str">
        <f t="shared" si="224"/>
        <v/>
      </c>
      <c r="AL391" s="582" t="str">
        <f t="shared" si="219"/>
        <v/>
      </c>
    </row>
    <row r="392" spans="1:38" ht="12.75" customHeight="1" x14ac:dyDescent="0.25">
      <c r="B392" s="132"/>
      <c r="C392" s="132"/>
      <c r="D392" s="1388"/>
      <c r="E392" s="43"/>
      <c r="F392" s="47"/>
      <c r="G392" s="50"/>
      <c r="H392" s="50"/>
      <c r="I392" s="48"/>
      <c r="J392" s="642" t="str">
        <f t="shared" si="213"/>
        <v/>
      </c>
      <c r="K392" s="642" t="str">
        <f t="shared" si="214"/>
        <v/>
      </c>
      <c r="L392" s="642" t="str">
        <f t="shared" si="215"/>
        <v/>
      </c>
      <c r="M392" s="1395"/>
      <c r="N392" s="116"/>
      <c r="O392" s="116"/>
      <c r="P392" s="116"/>
      <c r="Q392" s="116"/>
      <c r="R392" s="116"/>
      <c r="S392" s="132"/>
      <c r="T392" s="142"/>
      <c r="U392" s="115"/>
      <c r="AD392" s="561" t="str">
        <f t="shared" si="225"/>
        <v/>
      </c>
      <c r="AE392" s="561" t="str">
        <f t="shared" si="222"/>
        <v>n.a.</v>
      </c>
      <c r="AF392" s="561" t="str">
        <f t="shared" si="222"/>
        <v>n.a.</v>
      </c>
      <c r="AG392" s="561" t="str">
        <f t="shared" si="222"/>
        <v>n.a.</v>
      </c>
      <c r="AH392" s="561" t="b">
        <f t="shared" si="222"/>
        <v>0</v>
      </c>
      <c r="AI392" s="561" t="b">
        <f t="shared" si="222"/>
        <v>0</v>
      </c>
      <c r="AJ392" s="582" t="str">
        <f t="shared" si="223"/>
        <v/>
      </c>
      <c r="AK392" s="582" t="str">
        <f t="shared" si="224"/>
        <v/>
      </c>
      <c r="AL392" s="582" t="str">
        <f t="shared" si="219"/>
        <v/>
      </c>
    </row>
    <row r="393" spans="1:38" ht="12.75" customHeight="1" x14ac:dyDescent="0.25">
      <c r="B393" s="132"/>
      <c r="C393" s="132"/>
      <c r="D393" s="1388"/>
      <c r="E393" s="44"/>
      <c r="F393" s="51"/>
      <c r="G393" s="52"/>
      <c r="H393" s="52"/>
      <c r="I393" s="53"/>
      <c r="J393" s="657" t="str">
        <f t="shared" si="213"/>
        <v/>
      </c>
      <c r="K393" s="657" t="str">
        <f t="shared" si="214"/>
        <v/>
      </c>
      <c r="L393" s="657" t="str">
        <f t="shared" si="215"/>
        <v/>
      </c>
      <c r="M393" s="1395"/>
      <c r="N393" s="116"/>
      <c r="O393" s="116"/>
      <c r="P393" s="116"/>
      <c r="Q393" s="116"/>
      <c r="R393" s="116"/>
      <c r="S393" s="132"/>
      <c r="T393" s="142"/>
      <c r="U393" s="115"/>
      <c r="AD393" s="561" t="str">
        <f t="shared" si="225"/>
        <v/>
      </c>
      <c r="AE393" s="561" t="str">
        <f t="shared" si="222"/>
        <v>n.a.</v>
      </c>
      <c r="AF393" s="561" t="str">
        <f t="shared" si="222"/>
        <v>n.a.</v>
      </c>
      <c r="AG393" s="561" t="str">
        <f t="shared" si="222"/>
        <v>n.a.</v>
      </c>
      <c r="AH393" s="561" t="b">
        <f t="shared" si="222"/>
        <v>0</v>
      </c>
      <c r="AI393" s="561" t="b">
        <f t="shared" si="222"/>
        <v>0</v>
      </c>
      <c r="AJ393" s="582" t="str">
        <f t="shared" si="223"/>
        <v/>
      </c>
      <c r="AK393" s="582" t="str">
        <f t="shared" si="224"/>
        <v/>
      </c>
      <c r="AL393" s="582" t="str">
        <f t="shared" si="219"/>
        <v/>
      </c>
    </row>
    <row r="394" spans="1:38" ht="12.75" customHeight="1" x14ac:dyDescent="0.25">
      <c r="B394" s="132"/>
      <c r="C394" s="132"/>
      <c r="D394" s="132"/>
      <c r="E394" s="658" t="str">
        <f>Translations!$B$645</f>
        <v>TOTALS</v>
      </c>
      <c r="F394" s="659" t="str">
        <f>IF(SUM(F379:F393)=0,"",SUM(F379:F393))</f>
        <v/>
      </c>
      <c r="G394" s="660" t="str">
        <f>IF(SUM(F394)=0,"",J394/F394)</f>
        <v/>
      </c>
      <c r="H394" s="660" t="str">
        <f>IF(SUM(J394)=0,"",SUM(K394:L394)/IF(AF379&lt;&gt;EUconst_NA,F394,J394)/IF(AG379=EUconst_NA,1,AG379))</f>
        <v/>
      </c>
      <c r="I394" s="661" t="str">
        <f>IF(SUM(K394:L394)=0,"",L394/SUM(K394:L394))</f>
        <v/>
      </c>
      <c r="J394" s="659" t="str">
        <f>IF(COUNTA(E379:E393)=0,"",IFERROR(SUM(J379:J393),EUconst_ERR_Inconsistent))</f>
        <v/>
      </c>
      <c r="K394" s="659" t="str">
        <f>IF(COUNTA(E379:E393)=0,"",IFERROR(SUM(K379:K393),EUconst_ERR_Inconsistent))</f>
        <v/>
      </c>
      <c r="L394" s="659" t="str">
        <f>IF(COUNTA(E379:E393)=0,"",IFERROR(SUM(L379:L393),EUconst_ERR_Inconsistent))</f>
        <v/>
      </c>
      <c r="M394" s="1395"/>
      <c r="N394" s="116"/>
      <c r="O394" s="116"/>
      <c r="P394" s="116"/>
      <c r="Q394" s="116"/>
      <c r="R394" s="116"/>
      <c r="S394" s="132"/>
      <c r="T394" s="142"/>
      <c r="U394" s="115"/>
    </row>
    <row r="395" spans="1:38" ht="12.75" customHeight="1" x14ac:dyDescent="0.25">
      <c r="B395" s="132"/>
      <c r="C395" s="132"/>
      <c r="D395" s="132"/>
      <c r="E395" s="191"/>
      <c r="F395" s="116"/>
      <c r="G395" s="116"/>
      <c r="H395" s="116"/>
      <c r="I395" s="116"/>
      <c r="J395" s="116"/>
      <c r="K395" s="116"/>
      <c r="L395" s="116"/>
      <c r="M395" s="116"/>
      <c r="N395" s="116"/>
      <c r="O395" s="116"/>
      <c r="P395" s="116"/>
      <c r="Q395" s="116"/>
      <c r="R395" s="116"/>
      <c r="S395" s="132"/>
      <c r="T395" s="142"/>
      <c r="U395" s="115"/>
    </row>
    <row r="396" spans="1:38" s="69" customFormat="1" ht="18.75" customHeight="1" x14ac:dyDescent="0.25">
      <c r="A396" s="167">
        <f>C396</f>
        <v>17</v>
      </c>
      <c r="B396" s="76"/>
      <c r="C396" s="216">
        <f>C373+1</f>
        <v>17</v>
      </c>
      <c r="D396" s="1195" t="str">
        <f>"Tool " &amp;C396-2</f>
        <v>Tool 15</v>
      </c>
      <c r="E396" s="1195"/>
      <c r="F396" s="1195"/>
      <c r="G396" s="1195"/>
      <c r="H396" s="1195"/>
      <c r="I396" s="1195"/>
      <c r="J396" s="1195"/>
      <c r="K396" s="1195"/>
      <c r="L396" s="1195"/>
      <c r="M396" s="1195"/>
      <c r="N396" s="1195"/>
      <c r="O396" s="1195"/>
      <c r="P396" s="1195"/>
      <c r="Q396" s="1195"/>
      <c r="R396" s="1195"/>
      <c r="S396" s="1195"/>
      <c r="T396" s="142"/>
      <c r="U396" s="115"/>
      <c r="V396" s="464" t="str">
        <f>D396</f>
        <v>Tool 15</v>
      </c>
      <c r="W396" s="110"/>
      <c r="X396" s="110"/>
      <c r="Y396" s="110"/>
      <c r="Z396" s="110"/>
      <c r="AA396" s="109"/>
      <c r="AB396" s="109"/>
      <c r="AC396" s="109"/>
      <c r="AD396" s="109"/>
      <c r="AE396" s="109"/>
      <c r="AF396" s="109"/>
      <c r="AG396" s="109"/>
      <c r="AH396" s="109"/>
      <c r="AI396" s="109"/>
      <c r="AJ396" s="109"/>
      <c r="AK396" s="109"/>
      <c r="AL396" s="109"/>
    </row>
    <row r="397" spans="1:38" ht="12.75" customHeight="1" x14ac:dyDescent="0.25">
      <c r="B397" s="132"/>
      <c r="C397" s="132"/>
      <c r="D397" s="132"/>
      <c r="E397" s="191"/>
      <c r="F397" s="116"/>
      <c r="G397" s="116"/>
      <c r="H397" s="116"/>
      <c r="I397" s="116"/>
      <c r="J397" s="116"/>
      <c r="K397" s="116"/>
      <c r="L397" s="116"/>
      <c r="M397" s="116"/>
      <c r="N397" s="116"/>
      <c r="O397" s="116"/>
      <c r="P397" s="116"/>
      <c r="Q397" s="116"/>
      <c r="R397" s="116"/>
      <c r="S397" s="132"/>
      <c r="T397" s="142"/>
      <c r="U397" s="115"/>
    </row>
    <row r="398" spans="1:38" ht="12.75" customHeight="1" x14ac:dyDescent="0.25">
      <c r="B398" s="132"/>
      <c r="C398" s="132"/>
      <c r="D398" s="1377" t="str">
        <f>Translations!$B$631</f>
        <v>Component</v>
      </c>
      <c r="E398" s="1378"/>
      <c r="F398" s="633">
        <v>1</v>
      </c>
      <c r="G398" s="633">
        <v>2</v>
      </c>
      <c r="H398" s="633">
        <v>3</v>
      </c>
      <c r="I398" s="633">
        <v>4</v>
      </c>
      <c r="J398" s="633">
        <v>5</v>
      </c>
      <c r="K398" s="633">
        <v>6</v>
      </c>
      <c r="L398" s="633">
        <v>7</v>
      </c>
      <c r="M398" s="116"/>
      <c r="N398" s="116"/>
      <c r="O398" s="116"/>
      <c r="P398" s="116"/>
      <c r="Q398" s="116"/>
      <c r="R398" s="116"/>
      <c r="S398" s="132"/>
      <c r="T398" s="142"/>
      <c r="U398" s="115"/>
      <c r="V398" s="566" t="str">
        <f>Translations!$B$498</f>
        <v>Units:</v>
      </c>
      <c r="W398" s="561" t="str" cm="1">
        <f t="array" ref="W398">IFERROR(INDEX(_xlfn._xlws.FILTER(W402:W411,(W402:W411)&lt;&gt;"",""),1),W399)</f>
        <v/>
      </c>
      <c r="X398" s="561" t="str" cm="1">
        <f t="array" ref="X398">IFERROR(INDEX(_xlfn._xlws.FILTER(X402:X411,(X402:X411)&lt;&gt;"",""),1),X399)</f>
        <v/>
      </c>
      <c r="Y398" s="567"/>
      <c r="Z398" s="561" t="str" cm="1">
        <f t="array" ref="Z398">IFERROR(INDEX(_xlfn._xlws.FILTER(Z402:Z411,(Z402:Z411)&lt;&gt;"",""),1),Z399)</f>
        <v/>
      </c>
      <c r="AA398" s="567"/>
    </row>
    <row r="399" spans="1:38" ht="12.75" customHeight="1" x14ac:dyDescent="0.25">
      <c r="B399" s="132"/>
      <c r="C399" s="132"/>
      <c r="D399" s="1379"/>
      <c r="E399" s="1380"/>
      <c r="F399" s="1383" t="str">
        <f>Translations!$B$377</f>
        <v>RFA</v>
      </c>
      <c r="G399" s="1383" t="str">
        <f>Translations!$B$386</f>
        <v>UCF</v>
      </c>
      <c r="H399" s="1383" t="str">
        <f>Translations!$B$383</f>
        <v>EF</v>
      </c>
      <c r="I399" s="1383" t="str">
        <f>Translations!$B$632</f>
        <v>Zero-rated F</v>
      </c>
      <c r="J399" s="1385" t="str">
        <f>Translations!$B$652</f>
        <v>Energy or other</v>
      </c>
      <c r="K399" s="1385" t="str">
        <f>Translations!$B$522</f>
        <v>Emissions (fossil)</v>
      </c>
      <c r="L399" s="1385" t="str">
        <f>Translations!$B$634</f>
        <v>Emissions (bio)</v>
      </c>
      <c r="M399" s="116"/>
      <c r="N399" s="116"/>
      <c r="O399" s="116"/>
      <c r="P399" s="116"/>
      <c r="Q399" s="116"/>
      <c r="R399" s="116"/>
      <c r="S399" s="132"/>
      <c r="T399" s="142"/>
      <c r="U399" s="115"/>
      <c r="W399" s="561" t="str">
        <f t="array" ref="W399">IFERROR(INDEX(W402:W411,MATCH(TRUE,(W402:W411)&lt;&gt;"",0)),"")</f>
        <v/>
      </c>
      <c r="X399" s="561" t="str">
        <f t="array" ref="X399">IFERROR(INDEX(X402:X411,MATCH(TRUE,(X402:X411)&lt;&gt;"",0)),"")</f>
        <v/>
      </c>
      <c r="Y399" s="567"/>
      <c r="Z399" s="561" t="str">
        <f t="array" ref="Z399">IFERROR(INDEX(Z402:Z411,MATCH(TRUE,(Z402:Z411)&lt;&gt;"",0)),"")</f>
        <v/>
      </c>
      <c r="AA399" s="567"/>
    </row>
    <row r="400" spans="1:38" ht="12.75" customHeight="1" x14ac:dyDescent="0.3">
      <c r="B400" s="132"/>
      <c r="C400" s="132"/>
      <c r="D400" s="1379"/>
      <c r="E400" s="1380"/>
      <c r="F400" s="1384"/>
      <c r="G400" s="1384"/>
      <c r="H400" s="1384"/>
      <c r="I400" s="1384"/>
      <c r="J400" s="1386"/>
      <c r="K400" s="1386"/>
      <c r="L400" s="1386"/>
      <c r="M400" s="116"/>
      <c r="N400" s="634" t="str">
        <f>Translations!$B$635</f>
        <v>Result to be entered in sheet C</v>
      </c>
      <c r="O400" s="116"/>
      <c r="P400" s="116"/>
      <c r="Q400" s="116"/>
      <c r="R400" s="116"/>
      <c r="S400" s="132"/>
      <c r="T400" s="142"/>
      <c r="U400" s="115"/>
      <c r="W400" s="569" t="str">
        <f>Translations!$B$377</f>
        <v>RFA</v>
      </c>
      <c r="X400" s="569" t="str">
        <f>Translations!$B$386</f>
        <v>UCF</v>
      </c>
      <c r="Y400" s="569"/>
      <c r="Z400" s="569" t="str">
        <f>Translations!$B$383</f>
        <v>EF</v>
      </c>
      <c r="AA400" s="569"/>
      <c r="AB400" s="570"/>
      <c r="AC400" s="570"/>
      <c r="AH400" s="570"/>
      <c r="AI400" s="570"/>
      <c r="AJ400" s="570"/>
    </row>
    <row r="401" spans="2:38" ht="12.75" customHeight="1" x14ac:dyDescent="0.3">
      <c r="B401" s="132"/>
      <c r="C401" s="132"/>
      <c r="D401" s="1381"/>
      <c r="E401" s="1382"/>
      <c r="F401" s="635" t="str">
        <f>IF(COUNTA($E402:$E416)=0,"",$W398)</f>
        <v/>
      </c>
      <c r="G401" s="635" t="str">
        <f>IF(COUNTA($E402:$E416)=0,"",$X398)</f>
        <v/>
      </c>
      <c r="H401" s="635" t="str">
        <f>IF(COUNTA($E402:$E416)=0,"",$Z398)</f>
        <v/>
      </c>
      <c r="I401" s="636" t="s">
        <v>46</v>
      </c>
      <c r="J401" s="635" t="str">
        <f>IF(AE402=EUconst_NA,EUconst_GJ,AE402)</f>
        <v>GJ</v>
      </c>
      <c r="K401" s="637" t="s">
        <v>188</v>
      </c>
      <c r="L401" s="637" t="s">
        <v>188</v>
      </c>
      <c r="M401" s="116"/>
      <c r="N401" s="1387" t="str">
        <f>Translations!$B$636</f>
        <v>The results of this tool are the relevant (weighted average) values below. Each value has to be entered manually in sheet C for the respective fuel stream. Select fuel stream below for comparison.</v>
      </c>
      <c r="O401" s="1387"/>
      <c r="P401" s="1387"/>
      <c r="Q401" s="1387"/>
      <c r="R401" s="1387"/>
      <c r="S401" s="1387"/>
      <c r="T401" s="142"/>
      <c r="U401" s="115"/>
      <c r="W401" s="569" t="str">
        <f>EUconst_CNTR_ActivityData&amp;EUconst_Unit</f>
        <v>ActivityData_Unit</v>
      </c>
      <c r="X401" s="569" t="str">
        <f>EUconst_CNTR_UCF&amp;EUconst_Unit</f>
        <v>UCF_Unit</v>
      </c>
      <c r="Y401" s="569" t="str">
        <f>EUconst_CNTR_UCF&amp;EUconst_Value</f>
        <v>UCF_Value</v>
      </c>
      <c r="Z401" s="569" t="str">
        <f>EUconst_CNTR_EF&amp;EUconst_Unit</f>
        <v>EF_Unit</v>
      </c>
      <c r="AA401" s="569" t="str">
        <f>EUconst_CNTR_EF&amp;EUconst_Value</f>
        <v>EF_Value</v>
      </c>
      <c r="AB401" s="569" t="s">
        <v>189</v>
      </c>
      <c r="AC401" s="575"/>
      <c r="AD401" s="576" t="s">
        <v>147</v>
      </c>
      <c r="AE401" s="576" t="s">
        <v>151</v>
      </c>
      <c r="AF401" s="576" t="s">
        <v>153</v>
      </c>
      <c r="AG401" s="576" t="s">
        <v>155</v>
      </c>
      <c r="AH401" s="575"/>
      <c r="AI401" s="575"/>
      <c r="AJ401" s="575" t="s">
        <v>190</v>
      </c>
      <c r="AK401" s="575" t="s">
        <v>191</v>
      </c>
      <c r="AL401" s="575" t="s">
        <v>192</v>
      </c>
    </row>
    <row r="402" spans="2:38" ht="12.75" customHeight="1" x14ac:dyDescent="0.25">
      <c r="B402" s="132"/>
      <c r="C402" s="132"/>
      <c r="D402" s="1388" t="str">
        <f>Translations!$B$637</f>
        <v>Default compontents provided by the CA</v>
      </c>
      <c r="E402" s="42"/>
      <c r="F402" s="45"/>
      <c r="G402" s="639" t="str">
        <f>IF($E402="","",Y402)</f>
        <v/>
      </c>
      <c r="H402" s="639" t="str">
        <f>IF($E402="","",AA402)</f>
        <v/>
      </c>
      <c r="I402" s="46"/>
      <c r="J402" s="640" t="str">
        <f t="shared" ref="J402:J416" si="226">IFERROR(IF(E402="","",AL402),EUconst_ERR_Inconsistent)</f>
        <v/>
      </c>
      <c r="K402" s="640" t="str">
        <f t="shared" ref="K402:K416" si="227">IFERROR(IF(E402="","",AJ402),EUconst_ERR_Inconsistent)</f>
        <v/>
      </c>
      <c r="L402" s="640" t="str">
        <f t="shared" ref="L402:L416" si="228">IFERROR(IF(E402="","",AK402),EUconst_ERR_Inconsistent)</f>
        <v/>
      </c>
      <c r="M402" s="1389"/>
      <c r="N402" s="1387"/>
      <c r="O402" s="1387"/>
      <c r="P402" s="1387"/>
      <c r="Q402" s="1387"/>
      <c r="R402" s="1387"/>
      <c r="S402" s="1387"/>
      <c r="T402" s="142"/>
      <c r="U402" s="115"/>
      <c r="W402" s="561" t="str">
        <f t="shared" ref="W402:AA411" si="229">IF($E402="","",INDEX(MSPara_CalcFactorsMatrix,MATCH($E402,MSPara_SourceStreamCategory,0),MATCH(W$20&amp;"_"&amp;2,MSPara_CalcFactors,0)))</f>
        <v/>
      </c>
      <c r="X402" s="561" t="str">
        <f t="shared" si="229"/>
        <v/>
      </c>
      <c r="Y402" s="561" t="str">
        <f t="shared" si="229"/>
        <v/>
      </c>
      <c r="Z402" s="561" t="str">
        <f t="shared" si="229"/>
        <v/>
      </c>
      <c r="AA402" s="561" t="str">
        <f t="shared" si="229"/>
        <v/>
      </c>
      <c r="AB402" s="561" t="str">
        <f>IF(E402="","",OR(W402&lt;&gt;W398,X402&lt;&gt;X398,Z402&lt;&gt;Z398))</f>
        <v/>
      </c>
      <c r="AC402" s="567"/>
      <c r="AD402" s="561" t="str">
        <f>W402</f>
        <v/>
      </c>
      <c r="AE402" s="561" t="str">
        <f>IF(X402="",EUconst_NA,IF(AD402=EUconst_TJ,EUconst_TJ,INDEX(EUwideConstants!$C$135:$G$139,MATCH(AD402,RFAUnits,0),MATCH(X402,UCFUnits,0))))</f>
        <v>n.a.</v>
      </c>
      <c r="AF402" s="561" t="str">
        <f>IF(COUNTIF(RFAUnits,AD402)=0,EUconst_NA,INDEX(EUwideConstants!$C$150:$H$154,MATCH(Z402,EFUnits,0),MATCH(AD402,EUwideConstants!$C$149:$H$149,0)))</f>
        <v>n.a.</v>
      </c>
      <c r="AG402" s="561" t="str">
        <f>IF(AE402=EUconst_NA,EUconst_NA,INDEX(EUwideConstants!$C$150:$H$154,MATCH(Z402,EFUnits,0),MATCH(AE402,EUwideConstants!$C$149:$H$149,0)))</f>
        <v>n.a.</v>
      </c>
      <c r="AH402" s="561" t="b">
        <f t="shared" ref="AH402" si="230">AF402&lt;&gt;EUconst_NA</f>
        <v>0</v>
      </c>
      <c r="AI402" s="561" t="b">
        <f t="shared" ref="AI402" si="231">AG402&lt;&gt;EUconst_NA</f>
        <v>0</v>
      </c>
      <c r="AJ402" s="582" t="str">
        <f>IF(OR(E402="",COUNTIF(AH402:AI402,TRUE)=0),"",F402*IF(AH402,1,G402*AG402)*H402*(1-I402))</f>
        <v/>
      </c>
      <c r="AK402" s="582" t="str">
        <f>IF(OR(E402="",COUNTIF(AH402:AI402,TRUE)=0),"",F402*IF(AH402,1,G402*AG402)*H402*I402)</f>
        <v/>
      </c>
      <c r="AL402" s="582" t="str">
        <f t="shared" ref="AL402:AL416" si="232">IF(E402="","",IF(W402=EUconst_TJ,F402,F402*G402))</f>
        <v/>
      </c>
    </row>
    <row r="403" spans="2:38" ht="12.75" customHeight="1" x14ac:dyDescent="0.25">
      <c r="B403" s="132"/>
      <c r="C403" s="132"/>
      <c r="D403" s="1388"/>
      <c r="E403" s="43"/>
      <c r="F403" s="47"/>
      <c r="G403" s="641" t="str">
        <f t="shared" ref="G403:G411" si="233">IF($E403="","",Y403)</f>
        <v/>
      </c>
      <c r="H403" s="641" t="str">
        <f t="shared" ref="H403:H411" si="234">IF($E403="","",AA403)</f>
        <v/>
      </c>
      <c r="I403" s="48"/>
      <c r="J403" s="642" t="str">
        <f t="shared" si="226"/>
        <v/>
      </c>
      <c r="K403" s="642" t="str">
        <f t="shared" si="227"/>
        <v/>
      </c>
      <c r="L403" s="642" t="str">
        <f t="shared" si="228"/>
        <v/>
      </c>
      <c r="M403" s="1389"/>
      <c r="N403" s="638"/>
      <c r="O403" s="643" t="str">
        <f>Translations!$B$639</f>
        <v>Fuel stream:</v>
      </c>
      <c r="P403" s="1390"/>
      <c r="Q403" s="1391"/>
      <c r="R403" s="1391"/>
      <c r="S403" s="1392"/>
      <c r="T403" s="142"/>
      <c r="U403" s="115"/>
      <c r="W403" s="561" t="str">
        <f t="shared" si="229"/>
        <v/>
      </c>
      <c r="X403" s="561" t="str">
        <f t="shared" si="229"/>
        <v/>
      </c>
      <c r="Y403" s="561" t="str">
        <f t="shared" si="229"/>
        <v/>
      </c>
      <c r="Z403" s="561" t="str">
        <f t="shared" si="229"/>
        <v/>
      </c>
      <c r="AA403" s="561" t="str">
        <f t="shared" si="229"/>
        <v/>
      </c>
      <c r="AB403" s="561" t="str">
        <f>IF(E403="","",OR(W403&lt;&gt;W398,X403&lt;&gt;X398,Z403&lt;&gt;Z398))</f>
        <v/>
      </c>
      <c r="AC403" s="567"/>
      <c r="AD403" s="561" t="str">
        <f>AD402</f>
        <v/>
      </c>
      <c r="AE403" s="561" t="str">
        <f t="shared" ref="AE403:AI416" si="235">AE402</f>
        <v>n.a.</v>
      </c>
      <c r="AF403" s="561" t="str">
        <f t="shared" si="235"/>
        <v>n.a.</v>
      </c>
      <c r="AG403" s="561" t="str">
        <f t="shared" si="235"/>
        <v>n.a.</v>
      </c>
      <c r="AH403" s="561" t="b">
        <f t="shared" si="235"/>
        <v>0</v>
      </c>
      <c r="AI403" s="561" t="b">
        <f t="shared" si="235"/>
        <v>0</v>
      </c>
      <c r="AJ403" s="582" t="str">
        <f t="shared" ref="AJ403:AJ416" si="236">IF(OR(E403="",COUNTIF(AH403:AI403,TRUE)=0),"",F403*IF(AH403,1,G403*AG403)*H403*(1-I403))</f>
        <v/>
      </c>
      <c r="AK403" s="582" t="str">
        <f t="shared" ref="AK403:AK416" si="237">IF(OR(E403="",COUNTIF(AH403:AI403,TRUE)=0),"",F403*IF(AH403,1,G403*AG403)*H403*I403)</f>
        <v/>
      </c>
      <c r="AL403" s="582" t="str">
        <f t="shared" si="232"/>
        <v/>
      </c>
    </row>
    <row r="404" spans="2:38" ht="12.75" customHeight="1" x14ac:dyDescent="0.25">
      <c r="B404" s="132"/>
      <c r="C404" s="132"/>
      <c r="D404" s="1388"/>
      <c r="E404" s="43"/>
      <c r="F404" s="47"/>
      <c r="G404" s="641" t="str">
        <f t="shared" si="233"/>
        <v/>
      </c>
      <c r="H404" s="641" t="str">
        <f t="shared" si="234"/>
        <v/>
      </c>
      <c r="I404" s="48"/>
      <c r="J404" s="642" t="str">
        <f t="shared" si="226"/>
        <v/>
      </c>
      <c r="K404" s="642" t="str">
        <f t="shared" si="227"/>
        <v/>
      </c>
      <c r="L404" s="642" t="str">
        <f t="shared" si="228"/>
        <v/>
      </c>
      <c r="M404" s="1389"/>
      <c r="N404" s="116"/>
      <c r="O404" s="116"/>
      <c r="P404" s="116"/>
      <c r="Q404" s="116"/>
      <c r="R404" s="116"/>
      <c r="S404" s="132"/>
      <c r="T404" s="142"/>
      <c r="U404" s="115"/>
      <c r="W404" s="561" t="str">
        <f t="shared" si="229"/>
        <v/>
      </c>
      <c r="X404" s="561" t="str">
        <f t="shared" si="229"/>
        <v/>
      </c>
      <c r="Y404" s="561" t="str">
        <f t="shared" si="229"/>
        <v/>
      </c>
      <c r="Z404" s="561" t="str">
        <f t="shared" si="229"/>
        <v/>
      </c>
      <c r="AA404" s="561" t="str">
        <f t="shared" si="229"/>
        <v/>
      </c>
      <c r="AB404" s="561" t="str">
        <f>IF(E404="","",OR(W404&lt;&gt;W398,X404&lt;&gt;X398,Z404&lt;&gt;Z398))</f>
        <v/>
      </c>
      <c r="AC404" s="567"/>
      <c r="AD404" s="561" t="str">
        <f t="shared" ref="AD404:AD416" si="238">AD403</f>
        <v/>
      </c>
      <c r="AE404" s="561" t="str">
        <f t="shared" si="235"/>
        <v>n.a.</v>
      </c>
      <c r="AF404" s="561" t="str">
        <f t="shared" si="235"/>
        <v>n.a.</v>
      </c>
      <c r="AG404" s="561" t="str">
        <f t="shared" si="235"/>
        <v>n.a.</v>
      </c>
      <c r="AH404" s="561" t="b">
        <f t="shared" si="235"/>
        <v>0</v>
      </c>
      <c r="AI404" s="561" t="b">
        <f t="shared" si="235"/>
        <v>0</v>
      </c>
      <c r="AJ404" s="582" t="str">
        <f t="shared" si="236"/>
        <v/>
      </c>
      <c r="AK404" s="582" t="str">
        <f t="shared" si="237"/>
        <v/>
      </c>
      <c r="AL404" s="582" t="str">
        <f t="shared" si="232"/>
        <v/>
      </c>
    </row>
    <row r="405" spans="2:38" ht="12.75" customHeight="1" thickBot="1" x14ac:dyDescent="0.35">
      <c r="B405" s="132"/>
      <c r="C405" s="132"/>
      <c r="D405" s="1388"/>
      <c r="E405" s="43"/>
      <c r="F405" s="47"/>
      <c r="G405" s="641" t="str">
        <f t="shared" si="233"/>
        <v/>
      </c>
      <c r="H405" s="641" t="str">
        <f t="shared" si="234"/>
        <v/>
      </c>
      <c r="I405" s="48"/>
      <c r="J405" s="642" t="str">
        <f t="shared" si="226"/>
        <v/>
      </c>
      <c r="K405" s="642" t="str">
        <f t="shared" si="227"/>
        <v/>
      </c>
      <c r="L405" s="642" t="str">
        <f t="shared" si="228"/>
        <v/>
      </c>
      <c r="M405" s="1389"/>
      <c r="N405" s="1255" t="str">
        <f>Translations!$B$394</f>
        <v>Unit</v>
      </c>
      <c r="O405" s="1255"/>
      <c r="P405" s="1255" t="str">
        <f>Translations!$B$395</f>
        <v>Value</v>
      </c>
      <c r="Q405" s="1255"/>
      <c r="R405" s="116"/>
      <c r="S405" s="644" t="str">
        <f>Translations!$B$642</f>
        <v>Sheet C values</v>
      </c>
      <c r="T405" s="142"/>
      <c r="U405" s="115"/>
      <c r="W405" s="561" t="str">
        <f t="shared" si="229"/>
        <v/>
      </c>
      <c r="X405" s="561" t="str">
        <f t="shared" si="229"/>
        <v/>
      </c>
      <c r="Y405" s="561" t="str">
        <f t="shared" si="229"/>
        <v/>
      </c>
      <c r="Z405" s="561" t="str">
        <f t="shared" si="229"/>
        <v/>
      </c>
      <c r="AA405" s="561" t="str">
        <f t="shared" si="229"/>
        <v/>
      </c>
      <c r="AB405" s="561" t="str">
        <f>IF(E405="","",OR(W405&lt;&gt;W398,X405&lt;&gt;X398,Z405&lt;&gt;Z398))</f>
        <v/>
      </c>
      <c r="AC405" s="567"/>
      <c r="AD405" s="561" t="str">
        <f t="shared" si="238"/>
        <v/>
      </c>
      <c r="AE405" s="561" t="str">
        <f t="shared" si="235"/>
        <v>n.a.</v>
      </c>
      <c r="AF405" s="561" t="str">
        <f t="shared" si="235"/>
        <v>n.a.</v>
      </c>
      <c r="AG405" s="561" t="str">
        <f t="shared" si="235"/>
        <v>n.a.</v>
      </c>
      <c r="AH405" s="561" t="b">
        <f t="shared" si="235"/>
        <v>0</v>
      </c>
      <c r="AI405" s="561" t="b">
        <f t="shared" si="235"/>
        <v>0</v>
      </c>
      <c r="AJ405" s="582" t="str">
        <f t="shared" si="236"/>
        <v/>
      </c>
      <c r="AK405" s="582" t="str">
        <f t="shared" si="237"/>
        <v/>
      </c>
      <c r="AL405" s="582" t="str">
        <f t="shared" si="232"/>
        <v/>
      </c>
    </row>
    <row r="406" spans="2:38" ht="12.75" customHeight="1" thickBot="1" x14ac:dyDescent="0.3">
      <c r="B406" s="132"/>
      <c r="C406" s="132"/>
      <c r="D406" s="1388"/>
      <c r="E406" s="43"/>
      <c r="F406" s="47"/>
      <c r="G406" s="641" t="str">
        <f t="shared" si="233"/>
        <v/>
      </c>
      <c r="H406" s="641" t="str">
        <f t="shared" si="234"/>
        <v/>
      </c>
      <c r="I406" s="48"/>
      <c r="J406" s="642" t="str">
        <f t="shared" si="226"/>
        <v/>
      </c>
      <c r="K406" s="642" t="str">
        <f t="shared" si="227"/>
        <v/>
      </c>
      <c r="L406" s="642" t="str">
        <f t="shared" si="228"/>
        <v/>
      </c>
      <c r="M406" s="116"/>
      <c r="N406" s="346" t="str">
        <f>F401</f>
        <v/>
      </c>
      <c r="O406" s="7"/>
      <c r="P406" s="1393" t="str">
        <f>IF(F417="","",F417)</f>
        <v/>
      </c>
      <c r="Q406" s="1394"/>
      <c r="R406" s="116"/>
      <c r="S406" s="645" t="str">
        <f>IF(P403="","",SUMIFS(C_FuelStreams!BK:BK,C_FuelStreams!BI:BI,P403))</f>
        <v/>
      </c>
      <c r="T406" s="142"/>
      <c r="U406" s="115"/>
      <c r="W406" s="561" t="str">
        <f t="shared" si="229"/>
        <v/>
      </c>
      <c r="X406" s="561" t="str">
        <f t="shared" si="229"/>
        <v/>
      </c>
      <c r="Y406" s="561" t="str">
        <f t="shared" si="229"/>
        <v/>
      </c>
      <c r="Z406" s="561" t="str">
        <f t="shared" si="229"/>
        <v/>
      </c>
      <c r="AA406" s="561" t="str">
        <f t="shared" si="229"/>
        <v/>
      </c>
      <c r="AB406" s="561" t="str">
        <f>IF(E406="","",OR(W406&lt;&gt;W398,X406&lt;&gt;X398,Z406&lt;&gt;Z398))</f>
        <v/>
      </c>
      <c r="AC406" s="567"/>
      <c r="AD406" s="561" t="str">
        <f t="shared" si="238"/>
        <v/>
      </c>
      <c r="AE406" s="561" t="str">
        <f t="shared" si="235"/>
        <v>n.a.</v>
      </c>
      <c r="AF406" s="561" t="str">
        <f t="shared" si="235"/>
        <v>n.a.</v>
      </c>
      <c r="AG406" s="561" t="str">
        <f t="shared" si="235"/>
        <v>n.a.</v>
      </c>
      <c r="AH406" s="561" t="b">
        <f t="shared" si="235"/>
        <v>0</v>
      </c>
      <c r="AI406" s="561" t="b">
        <f t="shared" si="235"/>
        <v>0</v>
      </c>
      <c r="AJ406" s="582" t="str">
        <f t="shared" si="236"/>
        <v/>
      </c>
      <c r="AK406" s="582" t="str">
        <f t="shared" si="237"/>
        <v/>
      </c>
      <c r="AL406" s="582" t="str">
        <f t="shared" si="232"/>
        <v/>
      </c>
    </row>
    <row r="407" spans="2:38" ht="12.75" customHeight="1" thickBot="1" x14ac:dyDescent="0.3">
      <c r="B407" s="132"/>
      <c r="C407" s="132"/>
      <c r="D407" s="1388"/>
      <c r="E407" s="43"/>
      <c r="F407" s="47"/>
      <c r="G407" s="641" t="str">
        <f t="shared" si="233"/>
        <v/>
      </c>
      <c r="H407" s="641" t="str">
        <f t="shared" si="234"/>
        <v/>
      </c>
      <c r="I407" s="48"/>
      <c r="J407" s="642" t="str">
        <f t="shared" si="226"/>
        <v/>
      </c>
      <c r="K407" s="642" t="str">
        <f t="shared" si="227"/>
        <v/>
      </c>
      <c r="L407" s="642" t="str">
        <f t="shared" si="228"/>
        <v/>
      </c>
      <c r="M407" s="116"/>
      <c r="N407" s="162"/>
      <c r="O407" s="162"/>
      <c r="P407" s="76"/>
      <c r="Q407" s="76"/>
      <c r="R407" s="116"/>
      <c r="S407" s="996"/>
      <c r="T407" s="142"/>
      <c r="U407" s="115"/>
      <c r="W407" s="561" t="str">
        <f t="shared" si="229"/>
        <v/>
      </c>
      <c r="X407" s="561" t="str">
        <f t="shared" si="229"/>
        <v/>
      </c>
      <c r="Y407" s="561" t="str">
        <f t="shared" si="229"/>
        <v/>
      </c>
      <c r="Z407" s="561" t="str">
        <f t="shared" si="229"/>
        <v/>
      </c>
      <c r="AA407" s="561" t="str">
        <f t="shared" si="229"/>
        <v/>
      </c>
      <c r="AB407" s="561" t="str">
        <f>IF(E407="","",OR(W407&lt;&gt;W398,X407&lt;&gt;X398,Z407&lt;&gt;Z398))</f>
        <v/>
      </c>
      <c r="AC407" s="567"/>
      <c r="AD407" s="561" t="str">
        <f t="shared" si="238"/>
        <v/>
      </c>
      <c r="AE407" s="561" t="str">
        <f t="shared" si="235"/>
        <v>n.a.</v>
      </c>
      <c r="AF407" s="561" t="str">
        <f t="shared" si="235"/>
        <v>n.a.</v>
      </c>
      <c r="AG407" s="561" t="str">
        <f t="shared" si="235"/>
        <v>n.a.</v>
      </c>
      <c r="AH407" s="561" t="b">
        <f t="shared" si="235"/>
        <v>0</v>
      </c>
      <c r="AI407" s="561" t="b">
        <f t="shared" si="235"/>
        <v>0</v>
      </c>
      <c r="AJ407" s="582" t="str">
        <f t="shared" si="236"/>
        <v/>
      </c>
      <c r="AK407" s="582" t="str">
        <f t="shared" si="237"/>
        <v/>
      </c>
      <c r="AL407" s="582" t="str">
        <f t="shared" si="232"/>
        <v/>
      </c>
    </row>
    <row r="408" spans="2:38" ht="12.75" customHeight="1" x14ac:dyDescent="0.25">
      <c r="B408" s="132"/>
      <c r="C408" s="132"/>
      <c r="D408" s="1388"/>
      <c r="E408" s="43"/>
      <c r="F408" s="47"/>
      <c r="G408" s="641" t="str">
        <f t="shared" si="233"/>
        <v/>
      </c>
      <c r="H408" s="641" t="str">
        <f t="shared" si="234"/>
        <v/>
      </c>
      <c r="I408" s="48"/>
      <c r="J408" s="642" t="str">
        <f t="shared" si="226"/>
        <v/>
      </c>
      <c r="K408" s="642" t="str">
        <f t="shared" si="227"/>
        <v/>
      </c>
      <c r="L408" s="642" t="str">
        <f t="shared" si="228"/>
        <v/>
      </c>
      <c r="M408" s="116"/>
      <c r="N408" s="365" t="str">
        <f>G401</f>
        <v/>
      </c>
      <c r="O408" s="11"/>
      <c r="P408" s="366"/>
      <c r="Q408" s="646" t="str">
        <f>IF(G417="","",G417)</f>
        <v/>
      </c>
      <c r="R408" s="116"/>
      <c r="S408" s="647" t="str">
        <f>IF(P403="","",SUMIFS(C_FuelStreams!BU:BU,C_FuelStreams!BI:BI,P403))</f>
        <v/>
      </c>
      <c r="T408" s="142"/>
      <c r="U408" s="115"/>
      <c r="W408" s="561" t="str">
        <f t="shared" si="229"/>
        <v/>
      </c>
      <c r="X408" s="561" t="str">
        <f t="shared" si="229"/>
        <v/>
      </c>
      <c r="Y408" s="561" t="str">
        <f t="shared" si="229"/>
        <v/>
      </c>
      <c r="Z408" s="561" t="str">
        <f t="shared" si="229"/>
        <v/>
      </c>
      <c r="AA408" s="561" t="str">
        <f t="shared" si="229"/>
        <v/>
      </c>
      <c r="AB408" s="561" t="str">
        <f>IF(E408="","",OR(W408&lt;&gt;W398,X408&lt;&gt;X398,Z408&lt;&gt;Z398))</f>
        <v/>
      </c>
      <c r="AC408" s="567"/>
      <c r="AD408" s="561" t="str">
        <f t="shared" si="238"/>
        <v/>
      </c>
      <c r="AE408" s="561" t="str">
        <f t="shared" si="235"/>
        <v>n.a.</v>
      </c>
      <c r="AF408" s="561" t="str">
        <f t="shared" si="235"/>
        <v>n.a.</v>
      </c>
      <c r="AG408" s="561" t="str">
        <f t="shared" si="235"/>
        <v>n.a.</v>
      </c>
      <c r="AH408" s="561" t="b">
        <f t="shared" si="235"/>
        <v>0</v>
      </c>
      <c r="AI408" s="561" t="b">
        <f t="shared" si="235"/>
        <v>0</v>
      </c>
      <c r="AJ408" s="582" t="str">
        <f t="shared" si="236"/>
        <v/>
      </c>
      <c r="AK408" s="582" t="str">
        <f t="shared" si="237"/>
        <v/>
      </c>
      <c r="AL408" s="582" t="str">
        <f t="shared" si="232"/>
        <v/>
      </c>
    </row>
    <row r="409" spans="2:38" ht="12.75" customHeight="1" thickBot="1" x14ac:dyDescent="0.3">
      <c r="B409" s="132"/>
      <c r="C409" s="132"/>
      <c r="D409" s="1388"/>
      <c r="E409" s="43"/>
      <c r="F409" s="47"/>
      <c r="G409" s="641" t="str">
        <f t="shared" si="233"/>
        <v/>
      </c>
      <c r="H409" s="641" t="str">
        <f t="shared" si="234"/>
        <v/>
      </c>
      <c r="I409" s="48"/>
      <c r="J409" s="642" t="str">
        <f t="shared" si="226"/>
        <v/>
      </c>
      <c r="K409" s="642" t="str">
        <f t="shared" si="227"/>
        <v/>
      </c>
      <c r="L409" s="642" t="str">
        <f t="shared" si="228"/>
        <v/>
      </c>
      <c r="M409" s="116"/>
      <c r="N409" s="648" t="str">
        <f>H401</f>
        <v/>
      </c>
      <c r="O409" s="22"/>
      <c r="P409" s="649"/>
      <c r="Q409" s="650" t="str">
        <f>IF(H417="","",H417)</f>
        <v/>
      </c>
      <c r="R409" s="116"/>
      <c r="S409" s="651" t="str">
        <f>IF(P403="","",SUMIFS(C_FuelStreams!BR:BR,C_FuelStreams!BI:BI,P403))</f>
        <v/>
      </c>
      <c r="T409" s="142"/>
      <c r="U409" s="115"/>
      <c r="W409" s="561" t="str">
        <f t="shared" si="229"/>
        <v/>
      </c>
      <c r="X409" s="561" t="str">
        <f t="shared" si="229"/>
        <v/>
      </c>
      <c r="Y409" s="561" t="str">
        <f t="shared" si="229"/>
        <v/>
      </c>
      <c r="Z409" s="561" t="str">
        <f t="shared" si="229"/>
        <v/>
      </c>
      <c r="AA409" s="561" t="str">
        <f t="shared" si="229"/>
        <v/>
      </c>
      <c r="AB409" s="561" t="str">
        <f>IF(E409="","",OR(W409&lt;&gt;W398,X409&lt;&gt;X398,Z409&lt;&gt;Z398))</f>
        <v/>
      </c>
      <c r="AC409" s="567"/>
      <c r="AD409" s="561" t="str">
        <f t="shared" si="238"/>
        <v/>
      </c>
      <c r="AE409" s="561" t="str">
        <f t="shared" si="235"/>
        <v>n.a.</v>
      </c>
      <c r="AF409" s="561" t="str">
        <f t="shared" si="235"/>
        <v>n.a.</v>
      </c>
      <c r="AG409" s="561" t="str">
        <f t="shared" si="235"/>
        <v>n.a.</v>
      </c>
      <c r="AH409" s="561" t="b">
        <f t="shared" si="235"/>
        <v>0</v>
      </c>
      <c r="AI409" s="561" t="b">
        <f t="shared" si="235"/>
        <v>0</v>
      </c>
      <c r="AJ409" s="582" t="str">
        <f t="shared" si="236"/>
        <v/>
      </c>
      <c r="AK409" s="582" t="str">
        <f t="shared" si="237"/>
        <v/>
      </c>
      <c r="AL409" s="582" t="str">
        <f t="shared" si="232"/>
        <v/>
      </c>
    </row>
    <row r="410" spans="2:38" ht="12.75" customHeight="1" x14ac:dyDescent="0.25">
      <c r="B410" s="132"/>
      <c r="C410" s="132"/>
      <c r="D410" s="1388"/>
      <c r="E410" s="43"/>
      <c r="F410" s="47"/>
      <c r="G410" s="641" t="str">
        <f t="shared" si="233"/>
        <v/>
      </c>
      <c r="H410" s="641" t="str">
        <f t="shared" si="234"/>
        <v/>
      </c>
      <c r="I410" s="48"/>
      <c r="J410" s="642" t="str">
        <f t="shared" si="226"/>
        <v/>
      </c>
      <c r="K410" s="642" t="str">
        <f t="shared" si="227"/>
        <v/>
      </c>
      <c r="L410" s="642" t="str">
        <f t="shared" si="228"/>
        <v/>
      </c>
      <c r="M410" s="116"/>
      <c r="N410" s="652" t="s">
        <v>46</v>
      </c>
      <c r="O410" s="411"/>
      <c r="P410" s="653"/>
      <c r="Q410" s="654" t="str">
        <f>IF(I417="","",I417)</f>
        <v/>
      </c>
      <c r="R410" s="116"/>
      <c r="S410" s="655" t="str">
        <f>IF(P403="","",SUMIFS(C_FuelStreams!BX:BX,C_FuelStreams!BI:BI,P403))</f>
        <v/>
      </c>
      <c r="T410" s="142"/>
      <c r="U410" s="115"/>
      <c r="W410" s="561" t="str">
        <f t="shared" si="229"/>
        <v/>
      </c>
      <c r="X410" s="561" t="str">
        <f t="shared" si="229"/>
        <v/>
      </c>
      <c r="Y410" s="561" t="str">
        <f t="shared" si="229"/>
        <v/>
      </c>
      <c r="Z410" s="561" t="str">
        <f t="shared" si="229"/>
        <v/>
      </c>
      <c r="AA410" s="561" t="str">
        <f t="shared" si="229"/>
        <v/>
      </c>
      <c r="AB410" s="561" t="str">
        <f>IF(E410="","",OR(W410&lt;&gt;W398,X410&lt;&gt;X398,Z410&lt;&gt;Z398))</f>
        <v/>
      </c>
      <c r="AC410" s="567"/>
      <c r="AD410" s="561" t="str">
        <f t="shared" si="238"/>
        <v/>
      </c>
      <c r="AE410" s="561" t="str">
        <f t="shared" si="235"/>
        <v>n.a.</v>
      </c>
      <c r="AF410" s="561" t="str">
        <f t="shared" si="235"/>
        <v>n.a.</v>
      </c>
      <c r="AG410" s="561" t="str">
        <f t="shared" si="235"/>
        <v>n.a.</v>
      </c>
      <c r="AH410" s="561" t="b">
        <f t="shared" si="235"/>
        <v>0</v>
      </c>
      <c r="AI410" s="561" t="b">
        <f t="shared" si="235"/>
        <v>0</v>
      </c>
      <c r="AJ410" s="582" t="str">
        <f t="shared" si="236"/>
        <v/>
      </c>
      <c r="AK410" s="582" t="str">
        <f t="shared" si="237"/>
        <v/>
      </c>
      <c r="AL410" s="582" t="str">
        <f t="shared" si="232"/>
        <v/>
      </c>
    </row>
    <row r="411" spans="2:38" ht="12.75" customHeight="1" x14ac:dyDescent="0.25">
      <c r="B411" s="132"/>
      <c r="C411" s="132"/>
      <c r="D411" s="1388"/>
      <c r="E411" s="43"/>
      <c r="F411" s="47"/>
      <c r="G411" s="641" t="str">
        <f t="shared" si="233"/>
        <v/>
      </c>
      <c r="H411" s="641" t="str">
        <f t="shared" si="234"/>
        <v/>
      </c>
      <c r="I411" s="48"/>
      <c r="J411" s="642" t="str">
        <f t="shared" si="226"/>
        <v/>
      </c>
      <c r="K411" s="642" t="str">
        <f t="shared" si="227"/>
        <v/>
      </c>
      <c r="L411" s="642" t="str">
        <f t="shared" si="228"/>
        <v/>
      </c>
      <c r="M411" s="1395"/>
      <c r="N411" s="116"/>
      <c r="O411" s="116"/>
      <c r="P411" s="116"/>
      <c r="Q411" s="116"/>
      <c r="R411" s="116"/>
      <c r="S411" s="132"/>
      <c r="T411" s="142"/>
      <c r="U411" s="115"/>
      <c r="W411" s="561" t="str">
        <f t="shared" si="229"/>
        <v/>
      </c>
      <c r="X411" s="561" t="str">
        <f t="shared" si="229"/>
        <v/>
      </c>
      <c r="Y411" s="561" t="str">
        <f t="shared" si="229"/>
        <v/>
      </c>
      <c r="Z411" s="561" t="str">
        <f t="shared" si="229"/>
        <v/>
      </c>
      <c r="AA411" s="561" t="str">
        <f t="shared" si="229"/>
        <v/>
      </c>
      <c r="AB411" s="561" t="str">
        <f>IF(E411="","",OR(W411&lt;&gt;W398,X411&lt;&gt;X398,Z411&lt;&gt;Z398))</f>
        <v/>
      </c>
      <c r="AC411" s="567"/>
      <c r="AD411" s="561" t="str">
        <f t="shared" si="238"/>
        <v/>
      </c>
      <c r="AE411" s="561" t="str">
        <f t="shared" si="235"/>
        <v>n.a.</v>
      </c>
      <c r="AF411" s="561" t="str">
        <f t="shared" si="235"/>
        <v>n.a.</v>
      </c>
      <c r="AG411" s="561" t="str">
        <f t="shared" si="235"/>
        <v>n.a.</v>
      </c>
      <c r="AH411" s="561" t="b">
        <f t="shared" si="235"/>
        <v>0</v>
      </c>
      <c r="AI411" s="561" t="b">
        <f t="shared" si="235"/>
        <v>0</v>
      </c>
      <c r="AJ411" s="582" t="str">
        <f t="shared" si="236"/>
        <v/>
      </c>
      <c r="AK411" s="582" t="str">
        <f t="shared" si="237"/>
        <v/>
      </c>
      <c r="AL411" s="582" t="str">
        <f t="shared" si="232"/>
        <v/>
      </c>
    </row>
    <row r="412" spans="2:38" ht="12.75" customHeight="1" x14ac:dyDescent="0.25">
      <c r="B412" s="132"/>
      <c r="C412" s="132"/>
      <c r="D412" s="1388" t="str">
        <f>Translations!$B$643</f>
        <v>Customised components</v>
      </c>
      <c r="E412" s="42"/>
      <c r="F412" s="45"/>
      <c r="G412" s="49"/>
      <c r="H412" s="49"/>
      <c r="I412" s="46"/>
      <c r="J412" s="640" t="str">
        <f t="shared" si="226"/>
        <v/>
      </c>
      <c r="K412" s="640" t="str">
        <f t="shared" si="227"/>
        <v/>
      </c>
      <c r="L412" s="640" t="str">
        <f t="shared" si="228"/>
        <v/>
      </c>
      <c r="M412" s="1395"/>
      <c r="N412" s="116"/>
      <c r="O412" s="116"/>
      <c r="P412" s="656" t="str">
        <f>Translations!$B$644</f>
        <v>CO2 fossil (before scope factor):</v>
      </c>
      <c r="Q412" s="997" t="str">
        <f>IF(K417="","",K417)</f>
        <v/>
      </c>
      <c r="R412" s="656"/>
      <c r="S412" s="997" t="str">
        <f>IF(P403="","",IF(W412=0,0,SUMIFS(C_FuelStreams!CE:CE,C_FuelStreams!BI:BI,P403)/W412))</f>
        <v/>
      </c>
      <c r="T412" s="142"/>
      <c r="U412" s="115"/>
      <c r="V412" s="110" t="str">
        <f>Translations!$B$398</f>
        <v>Scope factor:</v>
      </c>
      <c r="W412" s="617" t="str">
        <f>IF(P403="","",SUMIFS(C_FuelStreams!BP:BP,C_FuelStreams!BI:BI,P403))</f>
        <v/>
      </c>
      <c r="AD412" s="561" t="str">
        <f t="shared" si="238"/>
        <v/>
      </c>
      <c r="AE412" s="561" t="str">
        <f t="shared" si="235"/>
        <v>n.a.</v>
      </c>
      <c r="AF412" s="561" t="str">
        <f t="shared" si="235"/>
        <v>n.a.</v>
      </c>
      <c r="AG412" s="561" t="str">
        <f t="shared" si="235"/>
        <v>n.a.</v>
      </c>
      <c r="AH412" s="561" t="b">
        <f t="shared" si="235"/>
        <v>0</v>
      </c>
      <c r="AI412" s="561" t="b">
        <f t="shared" si="235"/>
        <v>0</v>
      </c>
      <c r="AJ412" s="582" t="str">
        <f t="shared" si="236"/>
        <v/>
      </c>
      <c r="AK412" s="582" t="str">
        <f t="shared" si="237"/>
        <v/>
      </c>
      <c r="AL412" s="582" t="str">
        <f t="shared" si="232"/>
        <v/>
      </c>
    </row>
    <row r="413" spans="2:38" ht="12.75" customHeight="1" x14ac:dyDescent="0.25">
      <c r="B413" s="132"/>
      <c r="C413" s="132"/>
      <c r="D413" s="1388"/>
      <c r="E413" s="43"/>
      <c r="F413" s="47"/>
      <c r="G413" s="50"/>
      <c r="H413" s="50"/>
      <c r="I413" s="48"/>
      <c r="J413" s="642" t="str">
        <f t="shared" si="226"/>
        <v/>
      </c>
      <c r="K413" s="642" t="str">
        <f t="shared" si="227"/>
        <v/>
      </c>
      <c r="L413" s="642" t="str">
        <f t="shared" si="228"/>
        <v/>
      </c>
      <c r="M413" s="1395"/>
      <c r="N413" s="116"/>
      <c r="O413" s="116"/>
      <c r="P413" s="116"/>
      <c r="Q413" s="116"/>
      <c r="R413" s="116"/>
      <c r="S413" s="132"/>
      <c r="T413" s="142"/>
      <c r="U413" s="115"/>
      <c r="AD413" s="561" t="str">
        <f t="shared" si="238"/>
        <v/>
      </c>
      <c r="AE413" s="561" t="str">
        <f t="shared" si="235"/>
        <v>n.a.</v>
      </c>
      <c r="AF413" s="561" t="str">
        <f t="shared" si="235"/>
        <v>n.a.</v>
      </c>
      <c r="AG413" s="561" t="str">
        <f t="shared" si="235"/>
        <v>n.a.</v>
      </c>
      <c r="AH413" s="561" t="b">
        <f t="shared" si="235"/>
        <v>0</v>
      </c>
      <c r="AI413" s="561" t="b">
        <f t="shared" si="235"/>
        <v>0</v>
      </c>
      <c r="AJ413" s="582" t="str">
        <f t="shared" si="236"/>
        <v/>
      </c>
      <c r="AK413" s="582" t="str">
        <f t="shared" si="237"/>
        <v/>
      </c>
      <c r="AL413" s="582" t="str">
        <f t="shared" si="232"/>
        <v/>
      </c>
    </row>
    <row r="414" spans="2:38" ht="12.75" customHeight="1" x14ac:dyDescent="0.25">
      <c r="B414" s="132"/>
      <c r="C414" s="132"/>
      <c r="D414" s="1388"/>
      <c r="E414" s="43"/>
      <c r="F414" s="47"/>
      <c r="G414" s="50"/>
      <c r="H414" s="50"/>
      <c r="I414" s="48"/>
      <c r="J414" s="642" t="str">
        <f t="shared" si="226"/>
        <v/>
      </c>
      <c r="K414" s="642" t="str">
        <f t="shared" si="227"/>
        <v/>
      </c>
      <c r="L414" s="642" t="str">
        <f t="shared" si="228"/>
        <v/>
      </c>
      <c r="M414" s="1395"/>
      <c r="N414" s="116"/>
      <c r="O414" s="116"/>
      <c r="P414" s="116"/>
      <c r="Q414" s="116"/>
      <c r="R414" s="116"/>
      <c r="S414" s="132"/>
      <c r="T414" s="142"/>
      <c r="U414" s="115"/>
      <c r="AD414" s="561" t="str">
        <f t="shared" si="238"/>
        <v/>
      </c>
      <c r="AE414" s="561" t="str">
        <f t="shared" si="235"/>
        <v>n.a.</v>
      </c>
      <c r="AF414" s="561" t="str">
        <f t="shared" si="235"/>
        <v>n.a.</v>
      </c>
      <c r="AG414" s="561" t="str">
        <f t="shared" si="235"/>
        <v>n.a.</v>
      </c>
      <c r="AH414" s="561" t="b">
        <f t="shared" si="235"/>
        <v>0</v>
      </c>
      <c r="AI414" s="561" t="b">
        <f t="shared" si="235"/>
        <v>0</v>
      </c>
      <c r="AJ414" s="582" t="str">
        <f t="shared" si="236"/>
        <v/>
      </c>
      <c r="AK414" s="582" t="str">
        <f t="shared" si="237"/>
        <v/>
      </c>
      <c r="AL414" s="582" t="str">
        <f t="shared" si="232"/>
        <v/>
      </c>
    </row>
    <row r="415" spans="2:38" ht="12.75" customHeight="1" x14ac:dyDescent="0.25">
      <c r="B415" s="132"/>
      <c r="C415" s="132"/>
      <c r="D415" s="1388"/>
      <c r="E415" s="43"/>
      <c r="F415" s="47"/>
      <c r="G415" s="50"/>
      <c r="H415" s="50"/>
      <c r="I415" s="48"/>
      <c r="J415" s="642" t="str">
        <f t="shared" si="226"/>
        <v/>
      </c>
      <c r="K415" s="642" t="str">
        <f t="shared" si="227"/>
        <v/>
      </c>
      <c r="L415" s="642" t="str">
        <f t="shared" si="228"/>
        <v/>
      </c>
      <c r="M415" s="1395"/>
      <c r="N415" s="116"/>
      <c r="O415" s="116"/>
      <c r="P415" s="116"/>
      <c r="Q415" s="116"/>
      <c r="R415" s="116"/>
      <c r="S415" s="132"/>
      <c r="T415" s="142"/>
      <c r="U415" s="115"/>
      <c r="AD415" s="561" t="str">
        <f t="shared" si="238"/>
        <v/>
      </c>
      <c r="AE415" s="561" t="str">
        <f t="shared" si="235"/>
        <v>n.a.</v>
      </c>
      <c r="AF415" s="561" t="str">
        <f t="shared" si="235"/>
        <v>n.a.</v>
      </c>
      <c r="AG415" s="561" t="str">
        <f t="shared" si="235"/>
        <v>n.a.</v>
      </c>
      <c r="AH415" s="561" t="b">
        <f t="shared" si="235"/>
        <v>0</v>
      </c>
      <c r="AI415" s="561" t="b">
        <f t="shared" si="235"/>
        <v>0</v>
      </c>
      <c r="AJ415" s="582" t="str">
        <f t="shared" si="236"/>
        <v/>
      </c>
      <c r="AK415" s="582" t="str">
        <f t="shared" si="237"/>
        <v/>
      </c>
      <c r="AL415" s="582" t="str">
        <f t="shared" si="232"/>
        <v/>
      </c>
    </row>
    <row r="416" spans="2:38" ht="12.75" customHeight="1" x14ac:dyDescent="0.25">
      <c r="B416" s="132"/>
      <c r="C416" s="132"/>
      <c r="D416" s="1388"/>
      <c r="E416" s="44"/>
      <c r="F416" s="51"/>
      <c r="G416" s="52"/>
      <c r="H416" s="52"/>
      <c r="I416" s="53"/>
      <c r="J416" s="657" t="str">
        <f t="shared" si="226"/>
        <v/>
      </c>
      <c r="K416" s="657" t="str">
        <f t="shared" si="227"/>
        <v/>
      </c>
      <c r="L416" s="657" t="str">
        <f t="shared" si="228"/>
        <v/>
      </c>
      <c r="M416" s="1395"/>
      <c r="N416" s="116"/>
      <c r="O416" s="116"/>
      <c r="P416" s="116"/>
      <c r="Q416" s="116"/>
      <c r="R416" s="116"/>
      <c r="S416" s="132"/>
      <c r="T416" s="142"/>
      <c r="U416" s="115"/>
      <c r="AD416" s="561" t="str">
        <f t="shared" si="238"/>
        <v/>
      </c>
      <c r="AE416" s="561" t="str">
        <f t="shared" si="235"/>
        <v>n.a.</v>
      </c>
      <c r="AF416" s="561" t="str">
        <f t="shared" si="235"/>
        <v>n.a.</v>
      </c>
      <c r="AG416" s="561" t="str">
        <f t="shared" si="235"/>
        <v>n.a.</v>
      </c>
      <c r="AH416" s="561" t="b">
        <f t="shared" si="235"/>
        <v>0</v>
      </c>
      <c r="AI416" s="561" t="b">
        <f t="shared" si="235"/>
        <v>0</v>
      </c>
      <c r="AJ416" s="582" t="str">
        <f t="shared" si="236"/>
        <v/>
      </c>
      <c r="AK416" s="582" t="str">
        <f t="shared" si="237"/>
        <v/>
      </c>
      <c r="AL416" s="582" t="str">
        <f t="shared" si="232"/>
        <v/>
      </c>
    </row>
    <row r="417" spans="1:38" ht="12.75" customHeight="1" x14ac:dyDescent="0.25">
      <c r="B417" s="132"/>
      <c r="C417" s="132"/>
      <c r="D417" s="132"/>
      <c r="E417" s="658" t="str">
        <f>Translations!$B$645</f>
        <v>TOTALS</v>
      </c>
      <c r="F417" s="659" t="str">
        <f>IF(SUM(F402:F416)=0,"",SUM(F402:F416))</f>
        <v/>
      </c>
      <c r="G417" s="660" t="str">
        <f>IF(SUM(F417)=0,"",J417/F417)</f>
        <v/>
      </c>
      <c r="H417" s="660" t="str">
        <f>IF(SUM(J417)=0,"",SUM(K417:L417)/IF(AF402&lt;&gt;EUconst_NA,F417,J417)/IF(AG402=EUconst_NA,1,AG402))</f>
        <v/>
      </c>
      <c r="I417" s="661" t="str">
        <f>IF(SUM(K417:L417)=0,"",L417/SUM(K417:L417))</f>
        <v/>
      </c>
      <c r="J417" s="659" t="str">
        <f>IF(COUNTA(E402:E416)=0,"",IFERROR(SUM(J402:J416),EUconst_ERR_Inconsistent))</f>
        <v/>
      </c>
      <c r="K417" s="659" t="str">
        <f>IF(COUNTA(E402:E416)=0,"",IFERROR(SUM(K402:K416),EUconst_ERR_Inconsistent))</f>
        <v/>
      </c>
      <c r="L417" s="659" t="str">
        <f>IF(COUNTA(E402:E416)=0,"",IFERROR(SUM(L402:L416),EUconst_ERR_Inconsistent))</f>
        <v/>
      </c>
      <c r="M417" s="1395"/>
      <c r="N417" s="116"/>
      <c r="O417" s="116"/>
      <c r="P417" s="116"/>
      <c r="Q417" s="116"/>
      <c r="R417" s="116"/>
      <c r="S417" s="132"/>
      <c r="T417" s="142"/>
      <c r="U417" s="115"/>
    </row>
    <row r="418" spans="1:38" ht="12.75" customHeight="1" x14ac:dyDescent="0.25">
      <c r="B418" s="132"/>
      <c r="C418" s="132"/>
      <c r="D418" s="132"/>
      <c r="E418" s="191"/>
      <c r="F418" s="116"/>
      <c r="G418" s="116"/>
      <c r="H418" s="116"/>
      <c r="I418" s="116"/>
      <c r="J418" s="116"/>
      <c r="K418" s="116"/>
      <c r="L418" s="116"/>
      <c r="M418" s="116"/>
      <c r="N418" s="116"/>
      <c r="O418" s="116"/>
      <c r="P418" s="116"/>
      <c r="Q418" s="116"/>
      <c r="R418" s="116"/>
      <c r="S418" s="132"/>
      <c r="T418" s="142"/>
      <c r="U418" s="115"/>
    </row>
    <row r="419" spans="1:38" s="69" customFormat="1" ht="18.75" customHeight="1" x14ac:dyDescent="0.25">
      <c r="A419" s="167">
        <f>C419</f>
        <v>18</v>
      </c>
      <c r="B419" s="76"/>
      <c r="C419" s="216">
        <f>C396+1</f>
        <v>18</v>
      </c>
      <c r="D419" s="1195" t="str">
        <f>"Tool " &amp;C419-2</f>
        <v>Tool 16</v>
      </c>
      <c r="E419" s="1195"/>
      <c r="F419" s="1195"/>
      <c r="G419" s="1195"/>
      <c r="H419" s="1195"/>
      <c r="I419" s="1195"/>
      <c r="J419" s="1195"/>
      <c r="K419" s="1195"/>
      <c r="L419" s="1195"/>
      <c r="M419" s="1195"/>
      <c r="N419" s="1195"/>
      <c r="O419" s="1195"/>
      <c r="P419" s="1195"/>
      <c r="Q419" s="1195"/>
      <c r="R419" s="1195"/>
      <c r="S419" s="1195"/>
      <c r="T419" s="142"/>
      <c r="U419" s="115"/>
      <c r="V419" s="464" t="str">
        <f>D419</f>
        <v>Tool 16</v>
      </c>
      <c r="W419" s="110"/>
      <c r="X419" s="110"/>
      <c r="Y419" s="110"/>
      <c r="Z419" s="110"/>
      <c r="AA419" s="109"/>
      <c r="AB419" s="109"/>
      <c r="AC419" s="109"/>
      <c r="AD419" s="109"/>
      <c r="AE419" s="109"/>
      <c r="AF419" s="109"/>
      <c r="AG419" s="109"/>
      <c r="AH419" s="109"/>
      <c r="AI419" s="109"/>
      <c r="AJ419" s="109"/>
      <c r="AK419" s="109"/>
      <c r="AL419" s="109"/>
    </row>
    <row r="420" spans="1:38" ht="12.75" customHeight="1" x14ac:dyDescent="0.25">
      <c r="B420" s="132"/>
      <c r="C420" s="132"/>
      <c r="D420" s="132"/>
      <c r="E420" s="191"/>
      <c r="F420" s="116"/>
      <c r="G420" s="116"/>
      <c r="H420" s="116"/>
      <c r="I420" s="116"/>
      <c r="J420" s="116"/>
      <c r="K420" s="116"/>
      <c r="L420" s="116"/>
      <c r="M420" s="116"/>
      <c r="N420" s="116"/>
      <c r="O420" s="116"/>
      <c r="P420" s="116"/>
      <c r="Q420" s="116"/>
      <c r="R420" s="116"/>
      <c r="S420" s="132"/>
      <c r="T420" s="142"/>
      <c r="U420" s="115"/>
    </row>
    <row r="421" spans="1:38" ht="12.75" customHeight="1" x14ac:dyDescent="0.25">
      <c r="B421" s="132"/>
      <c r="C421" s="132"/>
      <c r="D421" s="1377" t="str">
        <f>Translations!$B$631</f>
        <v>Component</v>
      </c>
      <c r="E421" s="1378"/>
      <c r="F421" s="633">
        <v>1</v>
      </c>
      <c r="G421" s="633">
        <v>2</v>
      </c>
      <c r="H421" s="633">
        <v>3</v>
      </c>
      <c r="I421" s="633">
        <v>4</v>
      </c>
      <c r="J421" s="633">
        <v>5</v>
      </c>
      <c r="K421" s="633">
        <v>6</v>
      </c>
      <c r="L421" s="633">
        <v>7</v>
      </c>
      <c r="M421" s="116"/>
      <c r="N421" s="116"/>
      <c r="O421" s="116"/>
      <c r="P421" s="116"/>
      <c r="Q421" s="116"/>
      <c r="R421" s="116"/>
      <c r="S421" s="132"/>
      <c r="T421" s="142"/>
      <c r="U421" s="115"/>
      <c r="V421" s="566" t="str">
        <f>Translations!$B$498</f>
        <v>Units:</v>
      </c>
      <c r="W421" s="561" t="str" cm="1">
        <f t="array" ref="W421">IFERROR(INDEX(_xlfn._xlws.FILTER(W425:W434,(W425:W434)&lt;&gt;"",""),1),W422)</f>
        <v/>
      </c>
      <c r="X421" s="561" t="str" cm="1">
        <f t="array" ref="X421">IFERROR(INDEX(_xlfn._xlws.FILTER(X425:X434,(X425:X434)&lt;&gt;"",""),1),X422)</f>
        <v/>
      </c>
      <c r="Y421" s="567"/>
      <c r="Z421" s="561" t="str" cm="1">
        <f t="array" ref="Z421">IFERROR(INDEX(_xlfn._xlws.FILTER(Z425:Z434,(Z425:Z434)&lt;&gt;"",""),1),Z422)</f>
        <v/>
      </c>
      <c r="AA421" s="567"/>
    </row>
    <row r="422" spans="1:38" ht="12.75" customHeight="1" x14ac:dyDescent="0.25">
      <c r="B422" s="132"/>
      <c r="C422" s="132"/>
      <c r="D422" s="1379"/>
      <c r="E422" s="1380"/>
      <c r="F422" s="1383" t="str">
        <f>Translations!$B$377</f>
        <v>RFA</v>
      </c>
      <c r="G422" s="1383" t="str">
        <f>Translations!$B$386</f>
        <v>UCF</v>
      </c>
      <c r="H422" s="1383" t="str">
        <f>Translations!$B$383</f>
        <v>EF</v>
      </c>
      <c r="I422" s="1383" t="str">
        <f>Translations!$B$632</f>
        <v>Zero-rated F</v>
      </c>
      <c r="J422" s="1385" t="str">
        <f>Translations!$B$652</f>
        <v>Energy or other</v>
      </c>
      <c r="K422" s="1385" t="str">
        <f>Translations!$B$522</f>
        <v>Emissions (fossil)</v>
      </c>
      <c r="L422" s="1385" t="str">
        <f>Translations!$B$634</f>
        <v>Emissions (bio)</v>
      </c>
      <c r="M422" s="116"/>
      <c r="N422" s="116"/>
      <c r="O422" s="116"/>
      <c r="P422" s="116"/>
      <c r="Q422" s="116"/>
      <c r="R422" s="116"/>
      <c r="S422" s="132"/>
      <c r="T422" s="142"/>
      <c r="U422" s="115"/>
      <c r="W422" s="561" t="str">
        <f t="array" ref="W422">IFERROR(INDEX(W425:W434,MATCH(TRUE,(W425:W434)&lt;&gt;"",0)),"")</f>
        <v/>
      </c>
      <c r="X422" s="561" t="str">
        <f t="array" ref="X422">IFERROR(INDEX(X425:X434,MATCH(TRUE,(X425:X434)&lt;&gt;"",0)),"")</f>
        <v/>
      </c>
      <c r="Y422" s="567"/>
      <c r="Z422" s="561" t="str">
        <f t="array" ref="Z422">IFERROR(INDEX(Z425:Z434,MATCH(TRUE,(Z425:Z434)&lt;&gt;"",0)),"")</f>
        <v/>
      </c>
      <c r="AA422" s="567"/>
    </row>
    <row r="423" spans="1:38" ht="12.75" customHeight="1" x14ac:dyDescent="0.3">
      <c r="B423" s="132"/>
      <c r="C423" s="132"/>
      <c r="D423" s="1379"/>
      <c r="E423" s="1380"/>
      <c r="F423" s="1384"/>
      <c r="G423" s="1384"/>
      <c r="H423" s="1384"/>
      <c r="I423" s="1384"/>
      <c r="J423" s="1386"/>
      <c r="K423" s="1386"/>
      <c r="L423" s="1386"/>
      <c r="M423" s="116"/>
      <c r="N423" s="634" t="str">
        <f>Translations!$B$635</f>
        <v>Result to be entered in sheet C</v>
      </c>
      <c r="O423" s="116"/>
      <c r="P423" s="116"/>
      <c r="Q423" s="116"/>
      <c r="R423" s="116"/>
      <c r="S423" s="132"/>
      <c r="T423" s="142"/>
      <c r="U423" s="115"/>
      <c r="W423" s="569" t="str">
        <f>Translations!$B$377</f>
        <v>RFA</v>
      </c>
      <c r="X423" s="569" t="str">
        <f>Translations!$B$386</f>
        <v>UCF</v>
      </c>
      <c r="Y423" s="569"/>
      <c r="Z423" s="569" t="str">
        <f>Translations!$B$383</f>
        <v>EF</v>
      </c>
      <c r="AA423" s="569"/>
      <c r="AB423" s="570"/>
      <c r="AC423" s="570"/>
      <c r="AH423" s="570"/>
      <c r="AI423" s="570"/>
      <c r="AJ423" s="570"/>
    </row>
    <row r="424" spans="1:38" ht="12.75" customHeight="1" x14ac:dyDescent="0.3">
      <c r="B424" s="132"/>
      <c r="C424" s="132"/>
      <c r="D424" s="1381"/>
      <c r="E424" s="1382"/>
      <c r="F424" s="635" t="str">
        <f>IF(COUNTA($E425:$E439)=0,"",$W421)</f>
        <v/>
      </c>
      <c r="G424" s="635" t="str">
        <f>IF(COUNTA($E425:$E439)=0,"",$X421)</f>
        <v/>
      </c>
      <c r="H424" s="635" t="str">
        <f>IF(COUNTA($E425:$E439)=0,"",$Z421)</f>
        <v/>
      </c>
      <c r="I424" s="636" t="s">
        <v>46</v>
      </c>
      <c r="J424" s="635" t="str">
        <f>IF(AE425=EUconst_NA,EUconst_GJ,AE425)</f>
        <v>GJ</v>
      </c>
      <c r="K424" s="637" t="s">
        <v>188</v>
      </c>
      <c r="L424" s="637" t="s">
        <v>188</v>
      </c>
      <c r="M424" s="116"/>
      <c r="N424" s="1387" t="str">
        <f>Translations!$B$636</f>
        <v>The results of this tool are the relevant (weighted average) values below. Each value has to be entered manually in sheet C for the respective fuel stream. Select fuel stream below for comparison.</v>
      </c>
      <c r="O424" s="1387"/>
      <c r="P424" s="1387"/>
      <c r="Q424" s="1387"/>
      <c r="R424" s="1387"/>
      <c r="S424" s="1387"/>
      <c r="T424" s="142"/>
      <c r="U424" s="115"/>
      <c r="W424" s="569" t="str">
        <f>EUconst_CNTR_ActivityData&amp;EUconst_Unit</f>
        <v>ActivityData_Unit</v>
      </c>
      <c r="X424" s="569" t="str">
        <f>EUconst_CNTR_UCF&amp;EUconst_Unit</f>
        <v>UCF_Unit</v>
      </c>
      <c r="Y424" s="569" t="str">
        <f>EUconst_CNTR_UCF&amp;EUconst_Value</f>
        <v>UCF_Value</v>
      </c>
      <c r="Z424" s="569" t="str">
        <f>EUconst_CNTR_EF&amp;EUconst_Unit</f>
        <v>EF_Unit</v>
      </c>
      <c r="AA424" s="569" t="str">
        <f>EUconst_CNTR_EF&amp;EUconst_Value</f>
        <v>EF_Value</v>
      </c>
      <c r="AB424" s="569" t="s">
        <v>189</v>
      </c>
      <c r="AC424" s="575"/>
      <c r="AD424" s="576" t="s">
        <v>147</v>
      </c>
      <c r="AE424" s="576" t="s">
        <v>151</v>
      </c>
      <c r="AF424" s="576" t="s">
        <v>153</v>
      </c>
      <c r="AG424" s="576" t="s">
        <v>155</v>
      </c>
      <c r="AH424" s="575"/>
      <c r="AI424" s="575"/>
      <c r="AJ424" s="575" t="s">
        <v>190</v>
      </c>
      <c r="AK424" s="575" t="s">
        <v>191</v>
      </c>
      <c r="AL424" s="575" t="s">
        <v>192</v>
      </c>
    </row>
    <row r="425" spans="1:38" ht="12.75" customHeight="1" x14ac:dyDescent="0.25">
      <c r="B425" s="132"/>
      <c r="C425" s="132"/>
      <c r="D425" s="1388" t="str">
        <f>Translations!$B$637</f>
        <v>Default compontents provided by the CA</v>
      </c>
      <c r="E425" s="42"/>
      <c r="F425" s="45"/>
      <c r="G425" s="639" t="str">
        <f>IF($E425="","",Y425)</f>
        <v/>
      </c>
      <c r="H425" s="639" t="str">
        <f>IF($E425="","",AA425)</f>
        <v/>
      </c>
      <c r="I425" s="46"/>
      <c r="J425" s="640" t="str">
        <f t="shared" ref="J425:J439" si="239">IFERROR(IF(E425="","",AL425),EUconst_ERR_Inconsistent)</f>
        <v/>
      </c>
      <c r="K425" s="640" t="str">
        <f t="shared" ref="K425:K439" si="240">IFERROR(IF(E425="","",AJ425),EUconst_ERR_Inconsistent)</f>
        <v/>
      </c>
      <c r="L425" s="640" t="str">
        <f t="shared" ref="L425:L439" si="241">IFERROR(IF(E425="","",AK425),EUconst_ERR_Inconsistent)</f>
        <v/>
      </c>
      <c r="M425" s="1389"/>
      <c r="N425" s="1387"/>
      <c r="O425" s="1387"/>
      <c r="P425" s="1387"/>
      <c r="Q425" s="1387"/>
      <c r="R425" s="1387"/>
      <c r="S425" s="1387"/>
      <c r="T425" s="142"/>
      <c r="U425" s="115"/>
      <c r="W425" s="561" t="str">
        <f t="shared" ref="W425:AA434" si="242">IF($E425="","",INDEX(MSPara_CalcFactorsMatrix,MATCH($E425,MSPara_SourceStreamCategory,0),MATCH(W$20&amp;"_"&amp;2,MSPara_CalcFactors,0)))</f>
        <v/>
      </c>
      <c r="X425" s="561" t="str">
        <f t="shared" si="242"/>
        <v/>
      </c>
      <c r="Y425" s="561" t="str">
        <f t="shared" si="242"/>
        <v/>
      </c>
      <c r="Z425" s="561" t="str">
        <f t="shared" si="242"/>
        <v/>
      </c>
      <c r="AA425" s="561" t="str">
        <f t="shared" si="242"/>
        <v/>
      </c>
      <c r="AB425" s="561" t="str">
        <f>IF(E425="","",OR(W425&lt;&gt;W421,X425&lt;&gt;X421,Z425&lt;&gt;Z421))</f>
        <v/>
      </c>
      <c r="AC425" s="567"/>
      <c r="AD425" s="561" t="str">
        <f>W425</f>
        <v/>
      </c>
      <c r="AE425" s="561" t="str">
        <f>IF(X425="",EUconst_NA,IF(AD425=EUconst_TJ,EUconst_TJ,INDEX(EUwideConstants!$C$135:$G$139,MATCH(AD425,RFAUnits,0),MATCH(X425,UCFUnits,0))))</f>
        <v>n.a.</v>
      </c>
      <c r="AF425" s="561" t="str">
        <f>IF(COUNTIF(RFAUnits,AD425)=0,EUconst_NA,INDEX(EUwideConstants!$C$150:$H$154,MATCH(Z425,EFUnits,0),MATCH(AD425,EUwideConstants!$C$149:$H$149,0)))</f>
        <v>n.a.</v>
      </c>
      <c r="AG425" s="561" t="str">
        <f>IF(AE425=EUconst_NA,EUconst_NA,INDEX(EUwideConstants!$C$150:$H$154,MATCH(Z425,EFUnits,0),MATCH(AE425,EUwideConstants!$C$149:$H$149,0)))</f>
        <v>n.a.</v>
      </c>
      <c r="AH425" s="561" t="b">
        <f t="shared" ref="AH425" si="243">AF425&lt;&gt;EUconst_NA</f>
        <v>0</v>
      </c>
      <c r="AI425" s="561" t="b">
        <f t="shared" ref="AI425" si="244">AG425&lt;&gt;EUconst_NA</f>
        <v>0</v>
      </c>
      <c r="AJ425" s="582" t="str">
        <f>IF(OR(E425="",COUNTIF(AH425:AI425,TRUE)=0),"",F425*IF(AH425,1,G425*AG425)*H425*(1-I425))</f>
        <v/>
      </c>
      <c r="AK425" s="582" t="str">
        <f>IF(OR(E425="",COUNTIF(AH425:AI425,TRUE)=0),"",F425*IF(AH425,1,G425*AG425)*H425*I425)</f>
        <v/>
      </c>
      <c r="AL425" s="582" t="str">
        <f t="shared" ref="AL425:AL439" si="245">IF(E425="","",IF(W425=EUconst_TJ,F425,F425*G425))</f>
        <v/>
      </c>
    </row>
    <row r="426" spans="1:38" ht="12.75" customHeight="1" x14ac:dyDescent="0.25">
      <c r="B426" s="132"/>
      <c r="C426" s="132"/>
      <c r="D426" s="1388"/>
      <c r="E426" s="43"/>
      <c r="F426" s="47"/>
      <c r="G426" s="641" t="str">
        <f t="shared" ref="G426:G434" si="246">IF($E426="","",Y426)</f>
        <v/>
      </c>
      <c r="H426" s="641" t="str">
        <f t="shared" ref="H426:H434" si="247">IF($E426="","",AA426)</f>
        <v/>
      </c>
      <c r="I426" s="48"/>
      <c r="J426" s="642" t="str">
        <f t="shared" si="239"/>
        <v/>
      </c>
      <c r="K426" s="642" t="str">
        <f t="shared" si="240"/>
        <v/>
      </c>
      <c r="L426" s="642" t="str">
        <f t="shared" si="241"/>
        <v/>
      </c>
      <c r="M426" s="1389"/>
      <c r="N426" s="638"/>
      <c r="O426" s="643" t="str">
        <f>Translations!$B$639</f>
        <v>Fuel stream:</v>
      </c>
      <c r="P426" s="1390"/>
      <c r="Q426" s="1391"/>
      <c r="R426" s="1391"/>
      <c r="S426" s="1392"/>
      <c r="T426" s="142"/>
      <c r="U426" s="115"/>
      <c r="W426" s="561" t="str">
        <f t="shared" si="242"/>
        <v/>
      </c>
      <c r="X426" s="561" t="str">
        <f t="shared" si="242"/>
        <v/>
      </c>
      <c r="Y426" s="561" t="str">
        <f t="shared" si="242"/>
        <v/>
      </c>
      <c r="Z426" s="561" t="str">
        <f t="shared" si="242"/>
        <v/>
      </c>
      <c r="AA426" s="561" t="str">
        <f t="shared" si="242"/>
        <v/>
      </c>
      <c r="AB426" s="561" t="str">
        <f>IF(E426="","",OR(W426&lt;&gt;W421,X426&lt;&gt;X421,Z426&lt;&gt;Z421))</f>
        <v/>
      </c>
      <c r="AC426" s="567"/>
      <c r="AD426" s="561" t="str">
        <f>AD425</f>
        <v/>
      </c>
      <c r="AE426" s="561" t="str">
        <f t="shared" ref="AE426:AI439" si="248">AE425</f>
        <v>n.a.</v>
      </c>
      <c r="AF426" s="561" t="str">
        <f t="shared" si="248"/>
        <v>n.a.</v>
      </c>
      <c r="AG426" s="561" t="str">
        <f t="shared" si="248"/>
        <v>n.a.</v>
      </c>
      <c r="AH426" s="561" t="b">
        <f t="shared" si="248"/>
        <v>0</v>
      </c>
      <c r="AI426" s="561" t="b">
        <f t="shared" si="248"/>
        <v>0</v>
      </c>
      <c r="AJ426" s="582" t="str">
        <f t="shared" ref="AJ426:AJ439" si="249">IF(OR(E426="",COUNTIF(AH426:AI426,TRUE)=0),"",F426*IF(AH426,1,G426*AG426)*H426*(1-I426))</f>
        <v/>
      </c>
      <c r="AK426" s="582" t="str">
        <f t="shared" ref="AK426:AK439" si="250">IF(OR(E426="",COUNTIF(AH426:AI426,TRUE)=0),"",F426*IF(AH426,1,G426*AG426)*H426*I426)</f>
        <v/>
      </c>
      <c r="AL426" s="582" t="str">
        <f t="shared" si="245"/>
        <v/>
      </c>
    </row>
    <row r="427" spans="1:38" ht="12.75" customHeight="1" x14ac:dyDescent="0.25">
      <c r="B427" s="132"/>
      <c r="C427" s="132"/>
      <c r="D427" s="1388"/>
      <c r="E427" s="43"/>
      <c r="F427" s="47"/>
      <c r="G427" s="641" t="str">
        <f t="shared" si="246"/>
        <v/>
      </c>
      <c r="H427" s="641" t="str">
        <f t="shared" si="247"/>
        <v/>
      </c>
      <c r="I427" s="48"/>
      <c r="J427" s="642" t="str">
        <f t="shared" si="239"/>
        <v/>
      </c>
      <c r="K427" s="642" t="str">
        <f t="shared" si="240"/>
        <v/>
      </c>
      <c r="L427" s="642" t="str">
        <f t="shared" si="241"/>
        <v/>
      </c>
      <c r="M427" s="1389"/>
      <c r="N427" s="116"/>
      <c r="O427" s="116"/>
      <c r="P427" s="116"/>
      <c r="Q427" s="116"/>
      <c r="R427" s="116"/>
      <c r="S427" s="132"/>
      <c r="T427" s="142"/>
      <c r="U427" s="115"/>
      <c r="W427" s="561" t="str">
        <f t="shared" si="242"/>
        <v/>
      </c>
      <c r="X427" s="561" t="str">
        <f t="shared" si="242"/>
        <v/>
      </c>
      <c r="Y427" s="561" t="str">
        <f t="shared" si="242"/>
        <v/>
      </c>
      <c r="Z427" s="561" t="str">
        <f t="shared" si="242"/>
        <v/>
      </c>
      <c r="AA427" s="561" t="str">
        <f t="shared" si="242"/>
        <v/>
      </c>
      <c r="AB427" s="561" t="str">
        <f>IF(E427="","",OR(W427&lt;&gt;W421,X427&lt;&gt;X421,Z427&lt;&gt;Z421))</f>
        <v/>
      </c>
      <c r="AC427" s="567"/>
      <c r="AD427" s="561" t="str">
        <f t="shared" ref="AD427:AD439" si="251">AD426</f>
        <v/>
      </c>
      <c r="AE427" s="561" t="str">
        <f t="shared" si="248"/>
        <v>n.a.</v>
      </c>
      <c r="AF427" s="561" t="str">
        <f t="shared" si="248"/>
        <v>n.a.</v>
      </c>
      <c r="AG427" s="561" t="str">
        <f t="shared" si="248"/>
        <v>n.a.</v>
      </c>
      <c r="AH427" s="561" t="b">
        <f t="shared" si="248"/>
        <v>0</v>
      </c>
      <c r="AI427" s="561" t="b">
        <f t="shared" si="248"/>
        <v>0</v>
      </c>
      <c r="AJ427" s="582" t="str">
        <f t="shared" si="249"/>
        <v/>
      </c>
      <c r="AK427" s="582" t="str">
        <f t="shared" si="250"/>
        <v/>
      </c>
      <c r="AL427" s="582" t="str">
        <f t="shared" si="245"/>
        <v/>
      </c>
    </row>
    <row r="428" spans="1:38" ht="12.75" customHeight="1" thickBot="1" x14ac:dyDescent="0.35">
      <c r="B428" s="132"/>
      <c r="C428" s="132"/>
      <c r="D428" s="1388"/>
      <c r="E428" s="43"/>
      <c r="F428" s="47"/>
      <c r="G428" s="641" t="str">
        <f t="shared" si="246"/>
        <v/>
      </c>
      <c r="H428" s="641" t="str">
        <f t="shared" si="247"/>
        <v/>
      </c>
      <c r="I428" s="48"/>
      <c r="J428" s="642" t="str">
        <f t="shared" si="239"/>
        <v/>
      </c>
      <c r="K428" s="642" t="str">
        <f t="shared" si="240"/>
        <v/>
      </c>
      <c r="L428" s="642" t="str">
        <f t="shared" si="241"/>
        <v/>
      </c>
      <c r="M428" s="1389"/>
      <c r="N428" s="1255" t="str">
        <f>Translations!$B$394</f>
        <v>Unit</v>
      </c>
      <c r="O428" s="1255"/>
      <c r="P428" s="1255" t="str">
        <f>Translations!$B$395</f>
        <v>Value</v>
      </c>
      <c r="Q428" s="1255"/>
      <c r="R428" s="116"/>
      <c r="S428" s="644" t="str">
        <f>Translations!$B$642</f>
        <v>Sheet C values</v>
      </c>
      <c r="T428" s="142"/>
      <c r="U428" s="115"/>
      <c r="W428" s="561" t="str">
        <f t="shared" si="242"/>
        <v/>
      </c>
      <c r="X428" s="561" t="str">
        <f t="shared" si="242"/>
        <v/>
      </c>
      <c r="Y428" s="561" t="str">
        <f t="shared" si="242"/>
        <v/>
      </c>
      <c r="Z428" s="561" t="str">
        <f t="shared" si="242"/>
        <v/>
      </c>
      <c r="AA428" s="561" t="str">
        <f t="shared" si="242"/>
        <v/>
      </c>
      <c r="AB428" s="561" t="str">
        <f>IF(E428="","",OR(W428&lt;&gt;W421,X428&lt;&gt;X421,Z428&lt;&gt;Z421))</f>
        <v/>
      </c>
      <c r="AC428" s="567"/>
      <c r="AD428" s="561" t="str">
        <f t="shared" si="251"/>
        <v/>
      </c>
      <c r="AE428" s="561" t="str">
        <f t="shared" si="248"/>
        <v>n.a.</v>
      </c>
      <c r="AF428" s="561" t="str">
        <f t="shared" si="248"/>
        <v>n.a.</v>
      </c>
      <c r="AG428" s="561" t="str">
        <f t="shared" si="248"/>
        <v>n.a.</v>
      </c>
      <c r="AH428" s="561" t="b">
        <f t="shared" si="248"/>
        <v>0</v>
      </c>
      <c r="AI428" s="561" t="b">
        <f t="shared" si="248"/>
        <v>0</v>
      </c>
      <c r="AJ428" s="582" t="str">
        <f t="shared" si="249"/>
        <v/>
      </c>
      <c r="AK428" s="582" t="str">
        <f t="shared" si="250"/>
        <v/>
      </c>
      <c r="AL428" s="582" t="str">
        <f t="shared" si="245"/>
        <v/>
      </c>
    </row>
    <row r="429" spans="1:38" ht="12.75" customHeight="1" thickBot="1" x14ac:dyDescent="0.3">
      <c r="B429" s="132"/>
      <c r="C429" s="132"/>
      <c r="D429" s="1388"/>
      <c r="E429" s="43"/>
      <c r="F429" s="47"/>
      <c r="G429" s="641" t="str">
        <f t="shared" si="246"/>
        <v/>
      </c>
      <c r="H429" s="641" t="str">
        <f t="shared" si="247"/>
        <v/>
      </c>
      <c r="I429" s="48"/>
      <c r="J429" s="642" t="str">
        <f t="shared" si="239"/>
        <v/>
      </c>
      <c r="K429" s="642" t="str">
        <f t="shared" si="240"/>
        <v/>
      </c>
      <c r="L429" s="642" t="str">
        <f t="shared" si="241"/>
        <v/>
      </c>
      <c r="M429" s="116"/>
      <c r="N429" s="346" t="str">
        <f>F424</f>
        <v/>
      </c>
      <c r="O429" s="7"/>
      <c r="P429" s="1393" t="str">
        <f>IF(F440="","",F440)</f>
        <v/>
      </c>
      <c r="Q429" s="1394"/>
      <c r="R429" s="116"/>
      <c r="S429" s="645" t="str">
        <f>IF(P426="","",SUMIFS(C_FuelStreams!BK:BK,C_FuelStreams!BI:BI,P426))</f>
        <v/>
      </c>
      <c r="T429" s="142"/>
      <c r="U429" s="115"/>
      <c r="W429" s="561" t="str">
        <f t="shared" si="242"/>
        <v/>
      </c>
      <c r="X429" s="561" t="str">
        <f t="shared" si="242"/>
        <v/>
      </c>
      <c r="Y429" s="561" t="str">
        <f t="shared" si="242"/>
        <v/>
      </c>
      <c r="Z429" s="561" t="str">
        <f t="shared" si="242"/>
        <v/>
      </c>
      <c r="AA429" s="561" t="str">
        <f t="shared" si="242"/>
        <v/>
      </c>
      <c r="AB429" s="561" t="str">
        <f>IF(E429="","",OR(W429&lt;&gt;W421,X429&lt;&gt;X421,Z429&lt;&gt;Z421))</f>
        <v/>
      </c>
      <c r="AC429" s="567"/>
      <c r="AD429" s="561" t="str">
        <f t="shared" si="251"/>
        <v/>
      </c>
      <c r="AE429" s="561" t="str">
        <f t="shared" si="248"/>
        <v>n.a.</v>
      </c>
      <c r="AF429" s="561" t="str">
        <f t="shared" si="248"/>
        <v>n.a.</v>
      </c>
      <c r="AG429" s="561" t="str">
        <f t="shared" si="248"/>
        <v>n.a.</v>
      </c>
      <c r="AH429" s="561" t="b">
        <f t="shared" si="248"/>
        <v>0</v>
      </c>
      <c r="AI429" s="561" t="b">
        <f t="shared" si="248"/>
        <v>0</v>
      </c>
      <c r="AJ429" s="582" t="str">
        <f t="shared" si="249"/>
        <v/>
      </c>
      <c r="AK429" s="582" t="str">
        <f t="shared" si="250"/>
        <v/>
      </c>
      <c r="AL429" s="582" t="str">
        <f t="shared" si="245"/>
        <v/>
      </c>
    </row>
    <row r="430" spans="1:38" ht="12.75" customHeight="1" thickBot="1" x14ac:dyDescent="0.3">
      <c r="B430" s="132"/>
      <c r="C430" s="132"/>
      <c r="D430" s="1388"/>
      <c r="E430" s="43"/>
      <c r="F430" s="47"/>
      <c r="G430" s="641" t="str">
        <f t="shared" si="246"/>
        <v/>
      </c>
      <c r="H430" s="641" t="str">
        <f t="shared" si="247"/>
        <v/>
      </c>
      <c r="I430" s="48"/>
      <c r="J430" s="642" t="str">
        <f t="shared" si="239"/>
        <v/>
      </c>
      <c r="K430" s="642" t="str">
        <f t="shared" si="240"/>
        <v/>
      </c>
      <c r="L430" s="642" t="str">
        <f t="shared" si="241"/>
        <v/>
      </c>
      <c r="M430" s="116"/>
      <c r="N430" s="162"/>
      <c r="O430" s="162"/>
      <c r="P430" s="76"/>
      <c r="Q430" s="76"/>
      <c r="R430" s="116"/>
      <c r="S430" s="996"/>
      <c r="T430" s="142"/>
      <c r="U430" s="115"/>
      <c r="W430" s="561" t="str">
        <f t="shared" si="242"/>
        <v/>
      </c>
      <c r="X430" s="561" t="str">
        <f t="shared" si="242"/>
        <v/>
      </c>
      <c r="Y430" s="561" t="str">
        <f t="shared" si="242"/>
        <v/>
      </c>
      <c r="Z430" s="561" t="str">
        <f t="shared" si="242"/>
        <v/>
      </c>
      <c r="AA430" s="561" t="str">
        <f t="shared" si="242"/>
        <v/>
      </c>
      <c r="AB430" s="561" t="str">
        <f>IF(E430="","",OR(W430&lt;&gt;W421,X430&lt;&gt;X421,Z430&lt;&gt;Z421))</f>
        <v/>
      </c>
      <c r="AC430" s="567"/>
      <c r="AD430" s="561" t="str">
        <f t="shared" si="251"/>
        <v/>
      </c>
      <c r="AE430" s="561" t="str">
        <f t="shared" si="248"/>
        <v>n.a.</v>
      </c>
      <c r="AF430" s="561" t="str">
        <f t="shared" si="248"/>
        <v>n.a.</v>
      </c>
      <c r="AG430" s="561" t="str">
        <f t="shared" si="248"/>
        <v>n.a.</v>
      </c>
      <c r="AH430" s="561" t="b">
        <f t="shared" si="248"/>
        <v>0</v>
      </c>
      <c r="AI430" s="561" t="b">
        <f t="shared" si="248"/>
        <v>0</v>
      </c>
      <c r="AJ430" s="582" t="str">
        <f t="shared" si="249"/>
        <v/>
      </c>
      <c r="AK430" s="582" t="str">
        <f t="shared" si="250"/>
        <v/>
      </c>
      <c r="AL430" s="582" t="str">
        <f t="shared" si="245"/>
        <v/>
      </c>
    </row>
    <row r="431" spans="1:38" ht="12.75" customHeight="1" x14ac:dyDescent="0.25">
      <c r="B431" s="132"/>
      <c r="C431" s="132"/>
      <c r="D431" s="1388"/>
      <c r="E431" s="43"/>
      <c r="F431" s="47"/>
      <c r="G431" s="641" t="str">
        <f t="shared" si="246"/>
        <v/>
      </c>
      <c r="H431" s="641" t="str">
        <f t="shared" si="247"/>
        <v/>
      </c>
      <c r="I431" s="48"/>
      <c r="J431" s="642" t="str">
        <f t="shared" si="239"/>
        <v/>
      </c>
      <c r="K431" s="642" t="str">
        <f t="shared" si="240"/>
        <v/>
      </c>
      <c r="L431" s="642" t="str">
        <f t="shared" si="241"/>
        <v/>
      </c>
      <c r="M431" s="116"/>
      <c r="N431" s="365" t="str">
        <f>G424</f>
        <v/>
      </c>
      <c r="O431" s="11"/>
      <c r="P431" s="366"/>
      <c r="Q431" s="646" t="str">
        <f>IF(G440="","",G440)</f>
        <v/>
      </c>
      <c r="R431" s="116"/>
      <c r="S431" s="647" t="str">
        <f>IF(P426="","",SUMIFS(C_FuelStreams!BU:BU,C_FuelStreams!BI:BI,P426))</f>
        <v/>
      </c>
      <c r="T431" s="142"/>
      <c r="U431" s="115"/>
      <c r="W431" s="561" t="str">
        <f t="shared" si="242"/>
        <v/>
      </c>
      <c r="X431" s="561" t="str">
        <f t="shared" si="242"/>
        <v/>
      </c>
      <c r="Y431" s="561" t="str">
        <f t="shared" si="242"/>
        <v/>
      </c>
      <c r="Z431" s="561" t="str">
        <f t="shared" si="242"/>
        <v/>
      </c>
      <c r="AA431" s="561" t="str">
        <f t="shared" si="242"/>
        <v/>
      </c>
      <c r="AB431" s="561" t="str">
        <f>IF(E431="","",OR(W431&lt;&gt;W421,X431&lt;&gt;X421,Z431&lt;&gt;Z421))</f>
        <v/>
      </c>
      <c r="AC431" s="567"/>
      <c r="AD431" s="561" t="str">
        <f t="shared" si="251"/>
        <v/>
      </c>
      <c r="AE431" s="561" t="str">
        <f t="shared" si="248"/>
        <v>n.a.</v>
      </c>
      <c r="AF431" s="561" t="str">
        <f t="shared" si="248"/>
        <v>n.a.</v>
      </c>
      <c r="AG431" s="561" t="str">
        <f t="shared" si="248"/>
        <v>n.a.</v>
      </c>
      <c r="AH431" s="561" t="b">
        <f t="shared" si="248"/>
        <v>0</v>
      </c>
      <c r="AI431" s="561" t="b">
        <f t="shared" si="248"/>
        <v>0</v>
      </c>
      <c r="AJ431" s="582" t="str">
        <f t="shared" si="249"/>
        <v/>
      </c>
      <c r="AK431" s="582" t="str">
        <f t="shared" si="250"/>
        <v/>
      </c>
      <c r="AL431" s="582" t="str">
        <f t="shared" si="245"/>
        <v/>
      </c>
    </row>
    <row r="432" spans="1:38" ht="12.75" customHeight="1" thickBot="1" x14ac:dyDescent="0.3">
      <c r="B432" s="132"/>
      <c r="C432" s="132"/>
      <c r="D432" s="1388"/>
      <c r="E432" s="43"/>
      <c r="F432" s="47"/>
      <c r="G432" s="641" t="str">
        <f t="shared" si="246"/>
        <v/>
      </c>
      <c r="H432" s="641" t="str">
        <f t="shared" si="247"/>
        <v/>
      </c>
      <c r="I432" s="48"/>
      <c r="J432" s="642" t="str">
        <f t="shared" si="239"/>
        <v/>
      </c>
      <c r="K432" s="642" t="str">
        <f t="shared" si="240"/>
        <v/>
      </c>
      <c r="L432" s="642" t="str">
        <f t="shared" si="241"/>
        <v/>
      </c>
      <c r="M432" s="116"/>
      <c r="N432" s="648" t="str">
        <f>H424</f>
        <v/>
      </c>
      <c r="O432" s="22"/>
      <c r="P432" s="649"/>
      <c r="Q432" s="650" t="str">
        <f>IF(H440="","",H440)</f>
        <v/>
      </c>
      <c r="R432" s="116"/>
      <c r="S432" s="651" t="str">
        <f>IF(P426="","",SUMIFS(C_FuelStreams!BR:BR,C_FuelStreams!BI:BI,P426))</f>
        <v/>
      </c>
      <c r="T432" s="142"/>
      <c r="U432" s="115"/>
      <c r="W432" s="561" t="str">
        <f t="shared" si="242"/>
        <v/>
      </c>
      <c r="X432" s="561" t="str">
        <f t="shared" si="242"/>
        <v/>
      </c>
      <c r="Y432" s="561" t="str">
        <f t="shared" si="242"/>
        <v/>
      </c>
      <c r="Z432" s="561" t="str">
        <f t="shared" si="242"/>
        <v/>
      </c>
      <c r="AA432" s="561" t="str">
        <f t="shared" si="242"/>
        <v/>
      </c>
      <c r="AB432" s="561" t="str">
        <f>IF(E432="","",OR(W432&lt;&gt;W421,X432&lt;&gt;X421,Z432&lt;&gt;Z421))</f>
        <v/>
      </c>
      <c r="AC432" s="567"/>
      <c r="AD432" s="561" t="str">
        <f t="shared" si="251"/>
        <v/>
      </c>
      <c r="AE432" s="561" t="str">
        <f t="shared" si="248"/>
        <v>n.a.</v>
      </c>
      <c r="AF432" s="561" t="str">
        <f t="shared" si="248"/>
        <v>n.a.</v>
      </c>
      <c r="AG432" s="561" t="str">
        <f t="shared" si="248"/>
        <v>n.a.</v>
      </c>
      <c r="AH432" s="561" t="b">
        <f t="shared" si="248"/>
        <v>0</v>
      </c>
      <c r="AI432" s="561" t="b">
        <f t="shared" si="248"/>
        <v>0</v>
      </c>
      <c r="AJ432" s="582" t="str">
        <f t="shared" si="249"/>
        <v/>
      </c>
      <c r="AK432" s="582" t="str">
        <f t="shared" si="250"/>
        <v/>
      </c>
      <c r="AL432" s="582" t="str">
        <f t="shared" si="245"/>
        <v/>
      </c>
    </row>
    <row r="433" spans="1:38" ht="12.75" customHeight="1" x14ac:dyDescent="0.25">
      <c r="B433" s="132"/>
      <c r="C433" s="132"/>
      <c r="D433" s="1388"/>
      <c r="E433" s="43"/>
      <c r="F433" s="47"/>
      <c r="G433" s="641" t="str">
        <f t="shared" si="246"/>
        <v/>
      </c>
      <c r="H433" s="641" t="str">
        <f t="shared" si="247"/>
        <v/>
      </c>
      <c r="I433" s="48"/>
      <c r="J433" s="642" t="str">
        <f t="shared" si="239"/>
        <v/>
      </c>
      <c r="K433" s="642" t="str">
        <f t="shared" si="240"/>
        <v/>
      </c>
      <c r="L433" s="642" t="str">
        <f t="shared" si="241"/>
        <v/>
      </c>
      <c r="M433" s="116"/>
      <c r="N433" s="652" t="s">
        <v>46</v>
      </c>
      <c r="O433" s="411"/>
      <c r="P433" s="653"/>
      <c r="Q433" s="654" t="str">
        <f>IF(I440="","",I440)</f>
        <v/>
      </c>
      <c r="R433" s="116"/>
      <c r="S433" s="655" t="str">
        <f>IF(P426="","",SUMIFS(C_FuelStreams!BX:BX,C_FuelStreams!BI:BI,P426))</f>
        <v/>
      </c>
      <c r="T433" s="142"/>
      <c r="U433" s="115"/>
      <c r="W433" s="561" t="str">
        <f t="shared" si="242"/>
        <v/>
      </c>
      <c r="X433" s="561" t="str">
        <f t="shared" si="242"/>
        <v/>
      </c>
      <c r="Y433" s="561" t="str">
        <f t="shared" si="242"/>
        <v/>
      </c>
      <c r="Z433" s="561" t="str">
        <f t="shared" si="242"/>
        <v/>
      </c>
      <c r="AA433" s="561" t="str">
        <f t="shared" si="242"/>
        <v/>
      </c>
      <c r="AB433" s="561" t="str">
        <f>IF(E433="","",OR(W433&lt;&gt;W421,X433&lt;&gt;X421,Z433&lt;&gt;Z421))</f>
        <v/>
      </c>
      <c r="AC433" s="567"/>
      <c r="AD433" s="561" t="str">
        <f t="shared" si="251"/>
        <v/>
      </c>
      <c r="AE433" s="561" t="str">
        <f t="shared" si="248"/>
        <v>n.a.</v>
      </c>
      <c r="AF433" s="561" t="str">
        <f t="shared" si="248"/>
        <v>n.a.</v>
      </c>
      <c r="AG433" s="561" t="str">
        <f t="shared" si="248"/>
        <v>n.a.</v>
      </c>
      <c r="AH433" s="561" t="b">
        <f t="shared" si="248"/>
        <v>0</v>
      </c>
      <c r="AI433" s="561" t="b">
        <f t="shared" si="248"/>
        <v>0</v>
      </c>
      <c r="AJ433" s="582" t="str">
        <f t="shared" si="249"/>
        <v/>
      </c>
      <c r="AK433" s="582" t="str">
        <f t="shared" si="250"/>
        <v/>
      </c>
      <c r="AL433" s="582" t="str">
        <f t="shared" si="245"/>
        <v/>
      </c>
    </row>
    <row r="434" spans="1:38" ht="12.75" customHeight="1" x14ac:dyDescent="0.25">
      <c r="B434" s="132"/>
      <c r="C434" s="132"/>
      <c r="D434" s="1388"/>
      <c r="E434" s="43"/>
      <c r="F434" s="47"/>
      <c r="G434" s="641" t="str">
        <f t="shared" si="246"/>
        <v/>
      </c>
      <c r="H434" s="641" t="str">
        <f t="shared" si="247"/>
        <v/>
      </c>
      <c r="I434" s="48"/>
      <c r="J434" s="642" t="str">
        <f t="shared" si="239"/>
        <v/>
      </c>
      <c r="K434" s="642" t="str">
        <f t="shared" si="240"/>
        <v/>
      </c>
      <c r="L434" s="642" t="str">
        <f t="shared" si="241"/>
        <v/>
      </c>
      <c r="M434" s="1395"/>
      <c r="N434" s="116"/>
      <c r="O434" s="116"/>
      <c r="P434" s="116"/>
      <c r="Q434" s="116"/>
      <c r="R434" s="116"/>
      <c r="S434" s="132"/>
      <c r="T434" s="142"/>
      <c r="U434" s="115"/>
      <c r="W434" s="561" t="str">
        <f t="shared" si="242"/>
        <v/>
      </c>
      <c r="X434" s="561" t="str">
        <f t="shared" si="242"/>
        <v/>
      </c>
      <c r="Y434" s="561" t="str">
        <f t="shared" si="242"/>
        <v/>
      </c>
      <c r="Z434" s="561" t="str">
        <f t="shared" si="242"/>
        <v/>
      </c>
      <c r="AA434" s="561" t="str">
        <f t="shared" si="242"/>
        <v/>
      </c>
      <c r="AB434" s="561" t="str">
        <f>IF(E434="","",OR(W434&lt;&gt;W421,X434&lt;&gt;X421,Z434&lt;&gt;Z421))</f>
        <v/>
      </c>
      <c r="AC434" s="567"/>
      <c r="AD434" s="561" t="str">
        <f t="shared" si="251"/>
        <v/>
      </c>
      <c r="AE434" s="561" t="str">
        <f t="shared" si="248"/>
        <v>n.a.</v>
      </c>
      <c r="AF434" s="561" t="str">
        <f t="shared" si="248"/>
        <v>n.a.</v>
      </c>
      <c r="AG434" s="561" t="str">
        <f t="shared" si="248"/>
        <v>n.a.</v>
      </c>
      <c r="AH434" s="561" t="b">
        <f t="shared" si="248"/>
        <v>0</v>
      </c>
      <c r="AI434" s="561" t="b">
        <f t="shared" si="248"/>
        <v>0</v>
      </c>
      <c r="AJ434" s="582" t="str">
        <f t="shared" si="249"/>
        <v/>
      </c>
      <c r="AK434" s="582" t="str">
        <f t="shared" si="250"/>
        <v/>
      </c>
      <c r="AL434" s="582" t="str">
        <f t="shared" si="245"/>
        <v/>
      </c>
    </row>
    <row r="435" spans="1:38" ht="12.75" customHeight="1" x14ac:dyDescent="0.25">
      <c r="B435" s="132"/>
      <c r="C435" s="132"/>
      <c r="D435" s="1388" t="str">
        <f>Translations!$B$643</f>
        <v>Customised components</v>
      </c>
      <c r="E435" s="42"/>
      <c r="F435" s="45"/>
      <c r="G435" s="49"/>
      <c r="H435" s="49"/>
      <c r="I435" s="46"/>
      <c r="J435" s="640" t="str">
        <f t="shared" si="239"/>
        <v/>
      </c>
      <c r="K435" s="640" t="str">
        <f t="shared" si="240"/>
        <v/>
      </c>
      <c r="L435" s="640" t="str">
        <f t="shared" si="241"/>
        <v/>
      </c>
      <c r="M435" s="1395"/>
      <c r="N435" s="116"/>
      <c r="O435" s="116"/>
      <c r="P435" s="656" t="str">
        <f>Translations!$B$644</f>
        <v>CO2 fossil (before scope factor):</v>
      </c>
      <c r="Q435" s="997" t="str">
        <f>IF(K440="","",K440)</f>
        <v/>
      </c>
      <c r="R435" s="656"/>
      <c r="S435" s="997" t="str">
        <f>IF(P426="","",IF(W435=0,0,SUMIFS(C_FuelStreams!CE:CE,C_FuelStreams!BI:BI,P426)/W435))</f>
        <v/>
      </c>
      <c r="T435" s="142"/>
      <c r="U435" s="115"/>
      <c r="V435" s="110" t="str">
        <f>Translations!$B$398</f>
        <v>Scope factor:</v>
      </c>
      <c r="W435" s="617" t="str">
        <f>IF(P426="","",SUMIFS(C_FuelStreams!BP:BP,C_FuelStreams!BI:BI,P426))</f>
        <v/>
      </c>
      <c r="AD435" s="561" t="str">
        <f t="shared" si="251"/>
        <v/>
      </c>
      <c r="AE435" s="561" t="str">
        <f t="shared" si="248"/>
        <v>n.a.</v>
      </c>
      <c r="AF435" s="561" t="str">
        <f t="shared" si="248"/>
        <v>n.a.</v>
      </c>
      <c r="AG435" s="561" t="str">
        <f t="shared" si="248"/>
        <v>n.a.</v>
      </c>
      <c r="AH435" s="561" t="b">
        <f t="shared" si="248"/>
        <v>0</v>
      </c>
      <c r="AI435" s="561" t="b">
        <f t="shared" si="248"/>
        <v>0</v>
      </c>
      <c r="AJ435" s="582" t="str">
        <f t="shared" si="249"/>
        <v/>
      </c>
      <c r="AK435" s="582" t="str">
        <f t="shared" si="250"/>
        <v/>
      </c>
      <c r="AL435" s="582" t="str">
        <f t="shared" si="245"/>
        <v/>
      </c>
    </row>
    <row r="436" spans="1:38" ht="12.75" customHeight="1" x14ac:dyDescent="0.25">
      <c r="B436" s="132"/>
      <c r="C436" s="132"/>
      <c r="D436" s="1388"/>
      <c r="E436" s="43"/>
      <c r="F436" s="47"/>
      <c r="G436" s="50"/>
      <c r="H436" s="50"/>
      <c r="I436" s="48"/>
      <c r="J436" s="642" t="str">
        <f t="shared" si="239"/>
        <v/>
      </c>
      <c r="K436" s="642" t="str">
        <f t="shared" si="240"/>
        <v/>
      </c>
      <c r="L436" s="642" t="str">
        <f t="shared" si="241"/>
        <v/>
      </c>
      <c r="M436" s="1395"/>
      <c r="N436" s="116"/>
      <c r="O436" s="116"/>
      <c r="P436" s="116"/>
      <c r="Q436" s="116"/>
      <c r="R436" s="116"/>
      <c r="S436" s="132"/>
      <c r="T436" s="142"/>
      <c r="U436" s="115"/>
      <c r="AD436" s="561" t="str">
        <f t="shared" si="251"/>
        <v/>
      </c>
      <c r="AE436" s="561" t="str">
        <f t="shared" si="248"/>
        <v>n.a.</v>
      </c>
      <c r="AF436" s="561" t="str">
        <f t="shared" si="248"/>
        <v>n.a.</v>
      </c>
      <c r="AG436" s="561" t="str">
        <f t="shared" si="248"/>
        <v>n.a.</v>
      </c>
      <c r="AH436" s="561" t="b">
        <f t="shared" si="248"/>
        <v>0</v>
      </c>
      <c r="AI436" s="561" t="b">
        <f t="shared" si="248"/>
        <v>0</v>
      </c>
      <c r="AJ436" s="582" t="str">
        <f t="shared" si="249"/>
        <v/>
      </c>
      <c r="AK436" s="582" t="str">
        <f t="shared" si="250"/>
        <v/>
      </c>
      <c r="AL436" s="582" t="str">
        <f t="shared" si="245"/>
        <v/>
      </c>
    </row>
    <row r="437" spans="1:38" ht="12.75" customHeight="1" x14ac:dyDescent="0.25">
      <c r="B437" s="132"/>
      <c r="C437" s="132"/>
      <c r="D437" s="1388"/>
      <c r="E437" s="43"/>
      <c r="F437" s="47"/>
      <c r="G437" s="50"/>
      <c r="H437" s="50"/>
      <c r="I437" s="48"/>
      <c r="J437" s="642" t="str">
        <f t="shared" si="239"/>
        <v/>
      </c>
      <c r="K437" s="642" t="str">
        <f t="shared" si="240"/>
        <v/>
      </c>
      <c r="L437" s="642" t="str">
        <f t="shared" si="241"/>
        <v/>
      </c>
      <c r="M437" s="1395"/>
      <c r="N437" s="116"/>
      <c r="O437" s="116"/>
      <c r="P437" s="116"/>
      <c r="Q437" s="116"/>
      <c r="R437" s="116"/>
      <c r="S437" s="132"/>
      <c r="T437" s="142"/>
      <c r="U437" s="115"/>
      <c r="AD437" s="561" t="str">
        <f t="shared" si="251"/>
        <v/>
      </c>
      <c r="AE437" s="561" t="str">
        <f t="shared" si="248"/>
        <v>n.a.</v>
      </c>
      <c r="AF437" s="561" t="str">
        <f t="shared" si="248"/>
        <v>n.a.</v>
      </c>
      <c r="AG437" s="561" t="str">
        <f t="shared" si="248"/>
        <v>n.a.</v>
      </c>
      <c r="AH437" s="561" t="b">
        <f t="shared" si="248"/>
        <v>0</v>
      </c>
      <c r="AI437" s="561" t="b">
        <f t="shared" si="248"/>
        <v>0</v>
      </c>
      <c r="AJ437" s="582" t="str">
        <f t="shared" si="249"/>
        <v/>
      </c>
      <c r="AK437" s="582" t="str">
        <f t="shared" si="250"/>
        <v/>
      </c>
      <c r="AL437" s="582" t="str">
        <f t="shared" si="245"/>
        <v/>
      </c>
    </row>
    <row r="438" spans="1:38" ht="12.75" customHeight="1" x14ac:dyDescent="0.25">
      <c r="B438" s="132"/>
      <c r="C438" s="132"/>
      <c r="D438" s="1388"/>
      <c r="E438" s="43"/>
      <c r="F438" s="47"/>
      <c r="G438" s="50"/>
      <c r="H438" s="50"/>
      <c r="I438" s="48"/>
      <c r="J438" s="642" t="str">
        <f t="shared" si="239"/>
        <v/>
      </c>
      <c r="K438" s="642" t="str">
        <f t="shared" si="240"/>
        <v/>
      </c>
      <c r="L438" s="642" t="str">
        <f t="shared" si="241"/>
        <v/>
      </c>
      <c r="M438" s="1395"/>
      <c r="N438" s="116"/>
      <c r="O438" s="116"/>
      <c r="P438" s="116"/>
      <c r="Q438" s="116"/>
      <c r="R438" s="116"/>
      <c r="S438" s="132"/>
      <c r="T438" s="142"/>
      <c r="U438" s="115"/>
      <c r="AD438" s="561" t="str">
        <f t="shared" si="251"/>
        <v/>
      </c>
      <c r="AE438" s="561" t="str">
        <f t="shared" si="248"/>
        <v>n.a.</v>
      </c>
      <c r="AF438" s="561" t="str">
        <f t="shared" si="248"/>
        <v>n.a.</v>
      </c>
      <c r="AG438" s="561" t="str">
        <f t="shared" si="248"/>
        <v>n.a.</v>
      </c>
      <c r="AH438" s="561" t="b">
        <f t="shared" si="248"/>
        <v>0</v>
      </c>
      <c r="AI438" s="561" t="b">
        <f t="shared" si="248"/>
        <v>0</v>
      </c>
      <c r="AJ438" s="582" t="str">
        <f t="shared" si="249"/>
        <v/>
      </c>
      <c r="AK438" s="582" t="str">
        <f t="shared" si="250"/>
        <v/>
      </c>
      <c r="AL438" s="582" t="str">
        <f t="shared" si="245"/>
        <v/>
      </c>
    </row>
    <row r="439" spans="1:38" ht="12.75" customHeight="1" x14ac:dyDescent="0.25">
      <c r="B439" s="132"/>
      <c r="C439" s="132"/>
      <c r="D439" s="1388"/>
      <c r="E439" s="44"/>
      <c r="F439" s="51"/>
      <c r="G439" s="52"/>
      <c r="H439" s="52"/>
      <c r="I439" s="53"/>
      <c r="J439" s="657" t="str">
        <f t="shared" si="239"/>
        <v/>
      </c>
      <c r="K439" s="657" t="str">
        <f t="shared" si="240"/>
        <v/>
      </c>
      <c r="L439" s="657" t="str">
        <f t="shared" si="241"/>
        <v/>
      </c>
      <c r="M439" s="1395"/>
      <c r="N439" s="116"/>
      <c r="O439" s="116"/>
      <c r="P439" s="116"/>
      <c r="Q439" s="116"/>
      <c r="R439" s="116"/>
      <c r="S439" s="132"/>
      <c r="T439" s="142"/>
      <c r="U439" s="115"/>
      <c r="AD439" s="561" t="str">
        <f t="shared" si="251"/>
        <v/>
      </c>
      <c r="AE439" s="561" t="str">
        <f t="shared" si="248"/>
        <v>n.a.</v>
      </c>
      <c r="AF439" s="561" t="str">
        <f t="shared" si="248"/>
        <v>n.a.</v>
      </c>
      <c r="AG439" s="561" t="str">
        <f t="shared" si="248"/>
        <v>n.a.</v>
      </c>
      <c r="AH439" s="561" t="b">
        <f t="shared" si="248"/>
        <v>0</v>
      </c>
      <c r="AI439" s="561" t="b">
        <f t="shared" si="248"/>
        <v>0</v>
      </c>
      <c r="AJ439" s="582" t="str">
        <f t="shared" si="249"/>
        <v/>
      </c>
      <c r="AK439" s="582" t="str">
        <f t="shared" si="250"/>
        <v/>
      </c>
      <c r="AL439" s="582" t="str">
        <f t="shared" si="245"/>
        <v/>
      </c>
    </row>
    <row r="440" spans="1:38" ht="12.75" customHeight="1" x14ac:dyDescent="0.25">
      <c r="B440" s="132"/>
      <c r="C440" s="132"/>
      <c r="D440" s="132"/>
      <c r="E440" s="658" t="str">
        <f>Translations!$B$645</f>
        <v>TOTALS</v>
      </c>
      <c r="F440" s="659" t="str">
        <f>IF(SUM(F425:F439)=0,"",SUM(F425:F439))</f>
        <v/>
      </c>
      <c r="G440" s="660" t="str">
        <f>IF(SUM(F440)=0,"",J440/F440)</f>
        <v/>
      </c>
      <c r="H440" s="660" t="str">
        <f>IF(SUM(J440)=0,"",SUM(K440:L440)/IF(AF425&lt;&gt;EUconst_NA,F440,J440)/IF(AG425=EUconst_NA,1,AG425))</f>
        <v/>
      </c>
      <c r="I440" s="661" t="str">
        <f>IF(SUM(K440:L440)=0,"",L440/SUM(K440:L440))</f>
        <v/>
      </c>
      <c r="J440" s="659" t="str">
        <f>IF(COUNTA(E425:E439)=0,"",IFERROR(SUM(J425:J439),EUconst_ERR_Inconsistent))</f>
        <v/>
      </c>
      <c r="K440" s="659" t="str">
        <f>IF(COUNTA(E425:E439)=0,"",IFERROR(SUM(K425:K439),EUconst_ERR_Inconsistent))</f>
        <v/>
      </c>
      <c r="L440" s="659" t="str">
        <f>IF(COUNTA(E425:E439)=0,"",IFERROR(SUM(L425:L439),EUconst_ERR_Inconsistent))</f>
        <v/>
      </c>
      <c r="M440" s="1395"/>
      <c r="N440" s="116"/>
      <c r="O440" s="116"/>
      <c r="P440" s="116"/>
      <c r="Q440" s="116"/>
      <c r="R440" s="116"/>
      <c r="S440" s="132"/>
      <c r="T440" s="142"/>
      <c r="U440" s="115"/>
    </row>
    <row r="441" spans="1:38" ht="12.75" customHeight="1" x14ac:dyDescent="0.25">
      <c r="B441" s="132"/>
      <c r="C441" s="132"/>
      <c r="D441" s="132"/>
      <c r="E441" s="191"/>
      <c r="F441" s="116"/>
      <c r="G441" s="116"/>
      <c r="H441" s="116"/>
      <c r="I441" s="116"/>
      <c r="J441" s="116"/>
      <c r="K441" s="116"/>
      <c r="L441" s="116"/>
      <c r="M441" s="116"/>
      <c r="N441" s="116"/>
      <c r="O441" s="116"/>
      <c r="P441" s="116"/>
      <c r="Q441" s="116"/>
      <c r="R441" s="116"/>
      <c r="S441" s="132"/>
      <c r="T441" s="142"/>
      <c r="U441" s="115"/>
    </row>
    <row r="442" spans="1:38" s="69" customFormat="1" ht="18.75" customHeight="1" x14ac:dyDescent="0.25">
      <c r="A442" s="167">
        <f>C442</f>
        <v>19</v>
      </c>
      <c r="B442" s="76"/>
      <c r="C442" s="216">
        <f>C419+1</f>
        <v>19</v>
      </c>
      <c r="D442" s="1195" t="str">
        <f>"Tool " &amp;C442-2</f>
        <v>Tool 17</v>
      </c>
      <c r="E442" s="1195"/>
      <c r="F442" s="1195"/>
      <c r="G442" s="1195"/>
      <c r="H442" s="1195"/>
      <c r="I442" s="1195"/>
      <c r="J442" s="1195"/>
      <c r="K442" s="1195"/>
      <c r="L442" s="1195"/>
      <c r="M442" s="1195"/>
      <c r="N442" s="1195"/>
      <c r="O442" s="1195"/>
      <c r="P442" s="1195"/>
      <c r="Q442" s="1195"/>
      <c r="R442" s="1195"/>
      <c r="S442" s="1195"/>
      <c r="T442" s="142"/>
      <c r="U442" s="115"/>
      <c r="V442" s="464" t="str">
        <f>D442</f>
        <v>Tool 17</v>
      </c>
      <c r="W442" s="110"/>
      <c r="X442" s="110"/>
      <c r="Y442" s="110"/>
      <c r="Z442" s="110"/>
      <c r="AA442" s="109"/>
      <c r="AB442" s="109"/>
      <c r="AC442" s="109"/>
      <c r="AD442" s="109"/>
      <c r="AE442" s="109"/>
      <c r="AF442" s="109"/>
      <c r="AG442" s="109"/>
      <c r="AH442" s="109"/>
      <c r="AI442" s="109"/>
      <c r="AJ442" s="109"/>
      <c r="AK442" s="109"/>
      <c r="AL442" s="109"/>
    </row>
    <row r="443" spans="1:38" ht="12.75" customHeight="1" x14ac:dyDescent="0.25">
      <c r="B443" s="132"/>
      <c r="C443" s="132"/>
      <c r="D443" s="132"/>
      <c r="E443" s="191"/>
      <c r="F443" s="116"/>
      <c r="G443" s="116"/>
      <c r="H443" s="116"/>
      <c r="I443" s="116"/>
      <c r="J443" s="116"/>
      <c r="K443" s="116"/>
      <c r="L443" s="116"/>
      <c r="M443" s="116"/>
      <c r="N443" s="116"/>
      <c r="O443" s="116"/>
      <c r="P443" s="116"/>
      <c r="Q443" s="116"/>
      <c r="R443" s="116"/>
      <c r="S443" s="132"/>
      <c r="T443" s="142"/>
      <c r="U443" s="115"/>
    </row>
    <row r="444" spans="1:38" ht="12.75" customHeight="1" x14ac:dyDescent="0.25">
      <c r="B444" s="132"/>
      <c r="C444" s="132"/>
      <c r="D444" s="1377" t="str">
        <f>Translations!$B$631</f>
        <v>Component</v>
      </c>
      <c r="E444" s="1378"/>
      <c r="F444" s="633">
        <v>1</v>
      </c>
      <c r="G444" s="633">
        <v>2</v>
      </c>
      <c r="H444" s="633">
        <v>3</v>
      </c>
      <c r="I444" s="633">
        <v>4</v>
      </c>
      <c r="J444" s="633">
        <v>5</v>
      </c>
      <c r="K444" s="633">
        <v>6</v>
      </c>
      <c r="L444" s="633">
        <v>7</v>
      </c>
      <c r="M444" s="116"/>
      <c r="N444" s="116"/>
      <c r="O444" s="116"/>
      <c r="P444" s="116"/>
      <c r="Q444" s="116"/>
      <c r="R444" s="116"/>
      <c r="S444" s="132"/>
      <c r="T444" s="142"/>
      <c r="U444" s="115"/>
      <c r="V444" s="566" t="str">
        <f>Translations!$B$498</f>
        <v>Units:</v>
      </c>
      <c r="W444" s="561" t="str" cm="1">
        <f t="array" ref="W444">IFERROR(INDEX(_xlfn._xlws.FILTER(W448:W457,(W448:W457)&lt;&gt;"",""),1),W445)</f>
        <v/>
      </c>
      <c r="X444" s="561" t="str" cm="1">
        <f t="array" ref="X444">IFERROR(INDEX(_xlfn._xlws.FILTER(X448:X457,(X448:X457)&lt;&gt;"",""),1),X445)</f>
        <v/>
      </c>
      <c r="Y444" s="567"/>
      <c r="Z444" s="561" t="str" cm="1">
        <f t="array" ref="Z444">IFERROR(INDEX(_xlfn._xlws.FILTER(Z448:Z457,(Z448:Z457)&lt;&gt;"",""),1),Z445)</f>
        <v/>
      </c>
      <c r="AA444" s="567"/>
    </row>
    <row r="445" spans="1:38" ht="12.75" customHeight="1" x14ac:dyDescent="0.25">
      <c r="B445" s="132"/>
      <c r="C445" s="132"/>
      <c r="D445" s="1379"/>
      <c r="E445" s="1380"/>
      <c r="F445" s="1383" t="str">
        <f>Translations!$B$377</f>
        <v>RFA</v>
      </c>
      <c r="G445" s="1383" t="str">
        <f>Translations!$B$386</f>
        <v>UCF</v>
      </c>
      <c r="H445" s="1383" t="str">
        <f>Translations!$B$383</f>
        <v>EF</v>
      </c>
      <c r="I445" s="1383" t="str">
        <f>Translations!$B$632</f>
        <v>Zero-rated F</v>
      </c>
      <c r="J445" s="1385" t="str">
        <f>Translations!$B$652</f>
        <v>Energy or other</v>
      </c>
      <c r="K445" s="1385" t="str">
        <f>Translations!$B$522</f>
        <v>Emissions (fossil)</v>
      </c>
      <c r="L445" s="1385" t="str">
        <f>Translations!$B$634</f>
        <v>Emissions (bio)</v>
      </c>
      <c r="M445" s="116"/>
      <c r="N445" s="116"/>
      <c r="O445" s="116"/>
      <c r="P445" s="116"/>
      <c r="Q445" s="116"/>
      <c r="R445" s="116"/>
      <c r="S445" s="132"/>
      <c r="T445" s="142"/>
      <c r="U445" s="115"/>
      <c r="W445" s="561" t="str">
        <f t="array" ref="W445">IFERROR(INDEX(W448:W457,MATCH(TRUE,(W448:W457)&lt;&gt;"",0)),"")</f>
        <v/>
      </c>
      <c r="X445" s="561" t="str">
        <f t="array" ref="X445">IFERROR(INDEX(X448:X457,MATCH(TRUE,(X448:X457)&lt;&gt;"",0)),"")</f>
        <v/>
      </c>
      <c r="Y445" s="567"/>
      <c r="Z445" s="561" t="str">
        <f t="array" ref="Z445">IFERROR(INDEX(Z448:Z457,MATCH(TRUE,(Z448:Z457)&lt;&gt;"",0)),"")</f>
        <v/>
      </c>
      <c r="AA445" s="567"/>
    </row>
    <row r="446" spans="1:38" ht="12.75" customHeight="1" x14ac:dyDescent="0.3">
      <c r="B446" s="132"/>
      <c r="C446" s="132"/>
      <c r="D446" s="1379"/>
      <c r="E446" s="1380"/>
      <c r="F446" s="1384"/>
      <c r="G446" s="1384"/>
      <c r="H446" s="1384"/>
      <c r="I446" s="1384"/>
      <c r="J446" s="1386"/>
      <c r="K446" s="1386"/>
      <c r="L446" s="1386"/>
      <c r="M446" s="116"/>
      <c r="N446" s="634" t="str">
        <f>Translations!$B$635</f>
        <v>Result to be entered in sheet C</v>
      </c>
      <c r="O446" s="116"/>
      <c r="P446" s="116"/>
      <c r="Q446" s="116"/>
      <c r="R446" s="116"/>
      <c r="S446" s="132"/>
      <c r="T446" s="142"/>
      <c r="U446" s="115"/>
      <c r="W446" s="569" t="str">
        <f>Translations!$B$377</f>
        <v>RFA</v>
      </c>
      <c r="X446" s="569" t="str">
        <f>Translations!$B$386</f>
        <v>UCF</v>
      </c>
      <c r="Y446" s="569"/>
      <c r="Z446" s="569" t="str">
        <f>Translations!$B$383</f>
        <v>EF</v>
      </c>
      <c r="AA446" s="569"/>
      <c r="AB446" s="570"/>
      <c r="AC446" s="570"/>
      <c r="AH446" s="570"/>
      <c r="AI446" s="570"/>
      <c r="AJ446" s="570"/>
    </row>
    <row r="447" spans="1:38" ht="12.75" customHeight="1" x14ac:dyDescent="0.3">
      <c r="B447" s="132"/>
      <c r="C447" s="132"/>
      <c r="D447" s="1381"/>
      <c r="E447" s="1382"/>
      <c r="F447" s="635" t="str">
        <f>IF(COUNTA($E448:$E462)=0,"",$W444)</f>
        <v/>
      </c>
      <c r="G447" s="635" t="str">
        <f>IF(COUNTA($E448:$E462)=0,"",$X444)</f>
        <v/>
      </c>
      <c r="H447" s="635" t="str">
        <f>IF(COUNTA($E448:$E462)=0,"",$Z444)</f>
        <v/>
      </c>
      <c r="I447" s="636" t="s">
        <v>46</v>
      </c>
      <c r="J447" s="635" t="str">
        <f>IF(AE448=EUconst_NA,EUconst_GJ,AE448)</f>
        <v>GJ</v>
      </c>
      <c r="K447" s="637" t="s">
        <v>188</v>
      </c>
      <c r="L447" s="637" t="s">
        <v>188</v>
      </c>
      <c r="M447" s="116"/>
      <c r="N447" s="1387" t="str">
        <f>Translations!$B$636</f>
        <v>The results of this tool are the relevant (weighted average) values below. Each value has to be entered manually in sheet C for the respective fuel stream. Select fuel stream below for comparison.</v>
      </c>
      <c r="O447" s="1387"/>
      <c r="P447" s="1387"/>
      <c r="Q447" s="1387"/>
      <c r="R447" s="1387"/>
      <c r="S447" s="1387"/>
      <c r="T447" s="142"/>
      <c r="U447" s="115"/>
      <c r="W447" s="569" t="str">
        <f>EUconst_CNTR_ActivityData&amp;EUconst_Unit</f>
        <v>ActivityData_Unit</v>
      </c>
      <c r="X447" s="569" t="str">
        <f>EUconst_CNTR_UCF&amp;EUconst_Unit</f>
        <v>UCF_Unit</v>
      </c>
      <c r="Y447" s="569" t="str">
        <f>EUconst_CNTR_UCF&amp;EUconst_Value</f>
        <v>UCF_Value</v>
      </c>
      <c r="Z447" s="569" t="str">
        <f>EUconst_CNTR_EF&amp;EUconst_Unit</f>
        <v>EF_Unit</v>
      </c>
      <c r="AA447" s="569" t="str">
        <f>EUconst_CNTR_EF&amp;EUconst_Value</f>
        <v>EF_Value</v>
      </c>
      <c r="AB447" s="569" t="s">
        <v>189</v>
      </c>
      <c r="AC447" s="575"/>
      <c r="AD447" s="576" t="s">
        <v>147</v>
      </c>
      <c r="AE447" s="576" t="s">
        <v>151</v>
      </c>
      <c r="AF447" s="576" t="s">
        <v>153</v>
      </c>
      <c r="AG447" s="576" t="s">
        <v>155</v>
      </c>
      <c r="AH447" s="575"/>
      <c r="AI447" s="575"/>
      <c r="AJ447" s="575" t="s">
        <v>190</v>
      </c>
      <c r="AK447" s="575" t="s">
        <v>191</v>
      </c>
      <c r="AL447" s="575" t="s">
        <v>192</v>
      </c>
    </row>
    <row r="448" spans="1:38" ht="12.75" customHeight="1" x14ac:dyDescent="0.25">
      <c r="B448" s="132"/>
      <c r="C448" s="132"/>
      <c r="D448" s="1388" t="str">
        <f>Translations!$B$637</f>
        <v>Default compontents provided by the CA</v>
      </c>
      <c r="E448" s="42"/>
      <c r="F448" s="45"/>
      <c r="G448" s="639" t="str">
        <f>IF($E448="","",Y448)</f>
        <v/>
      </c>
      <c r="H448" s="639" t="str">
        <f>IF($E448="","",AA448)</f>
        <v/>
      </c>
      <c r="I448" s="46"/>
      <c r="J448" s="640" t="str">
        <f t="shared" ref="J448:J462" si="252">IFERROR(IF(E448="","",AL448),EUconst_ERR_Inconsistent)</f>
        <v/>
      </c>
      <c r="K448" s="640" t="str">
        <f t="shared" ref="K448:K462" si="253">IFERROR(IF(E448="","",AJ448),EUconst_ERR_Inconsistent)</f>
        <v/>
      </c>
      <c r="L448" s="640" t="str">
        <f t="shared" ref="L448:L462" si="254">IFERROR(IF(E448="","",AK448),EUconst_ERR_Inconsistent)</f>
        <v/>
      </c>
      <c r="M448" s="1389"/>
      <c r="N448" s="1387"/>
      <c r="O448" s="1387"/>
      <c r="P448" s="1387"/>
      <c r="Q448" s="1387"/>
      <c r="R448" s="1387"/>
      <c r="S448" s="1387"/>
      <c r="T448" s="142"/>
      <c r="U448" s="115"/>
      <c r="W448" s="561" t="str">
        <f t="shared" ref="W448:AA457" si="255">IF($E448="","",INDEX(MSPara_CalcFactorsMatrix,MATCH($E448,MSPara_SourceStreamCategory,0),MATCH(W$20&amp;"_"&amp;2,MSPara_CalcFactors,0)))</f>
        <v/>
      </c>
      <c r="X448" s="561" t="str">
        <f t="shared" si="255"/>
        <v/>
      </c>
      <c r="Y448" s="561" t="str">
        <f t="shared" si="255"/>
        <v/>
      </c>
      <c r="Z448" s="561" t="str">
        <f t="shared" si="255"/>
        <v/>
      </c>
      <c r="AA448" s="561" t="str">
        <f t="shared" si="255"/>
        <v/>
      </c>
      <c r="AB448" s="561" t="str">
        <f>IF(E448="","",OR(W448&lt;&gt;W444,X448&lt;&gt;X444,Z448&lt;&gt;Z444))</f>
        <v/>
      </c>
      <c r="AC448" s="567"/>
      <c r="AD448" s="561" t="str">
        <f>W448</f>
        <v/>
      </c>
      <c r="AE448" s="561" t="str">
        <f>IF(X448="",EUconst_NA,IF(AD448=EUconst_TJ,EUconst_TJ,INDEX(EUwideConstants!$C$135:$G$139,MATCH(AD448,RFAUnits,0),MATCH(X448,UCFUnits,0))))</f>
        <v>n.a.</v>
      </c>
      <c r="AF448" s="561" t="str">
        <f>IF(COUNTIF(RFAUnits,AD448)=0,EUconst_NA,INDEX(EUwideConstants!$C$150:$H$154,MATCH(Z448,EFUnits,0),MATCH(AD448,EUwideConstants!$C$149:$H$149,0)))</f>
        <v>n.a.</v>
      </c>
      <c r="AG448" s="561" t="str">
        <f>IF(AE448=EUconst_NA,EUconst_NA,INDEX(EUwideConstants!$C$150:$H$154,MATCH(Z448,EFUnits,0),MATCH(AE448,EUwideConstants!$C$149:$H$149,0)))</f>
        <v>n.a.</v>
      </c>
      <c r="AH448" s="561" t="b">
        <f t="shared" ref="AH448" si="256">AF448&lt;&gt;EUconst_NA</f>
        <v>0</v>
      </c>
      <c r="AI448" s="561" t="b">
        <f t="shared" ref="AI448" si="257">AG448&lt;&gt;EUconst_NA</f>
        <v>0</v>
      </c>
      <c r="AJ448" s="582" t="str">
        <f>IF(OR(E448="",COUNTIF(AH448:AI448,TRUE)=0),"",F448*IF(AH448,1,G448*AG448)*H448*(1-I448))</f>
        <v/>
      </c>
      <c r="AK448" s="582" t="str">
        <f>IF(OR(E448="",COUNTIF(AH448:AI448,TRUE)=0),"",F448*IF(AH448,1,G448*AG448)*H448*I448)</f>
        <v/>
      </c>
      <c r="AL448" s="582" t="str">
        <f t="shared" ref="AL448:AL462" si="258">IF(E448="","",IF(W448=EUconst_TJ,F448,F448*G448))</f>
        <v/>
      </c>
    </row>
    <row r="449" spans="2:38" ht="12.75" customHeight="1" x14ac:dyDescent="0.25">
      <c r="B449" s="132"/>
      <c r="C449" s="132"/>
      <c r="D449" s="1388"/>
      <c r="E449" s="43"/>
      <c r="F449" s="47"/>
      <c r="G449" s="641" t="str">
        <f t="shared" ref="G449:G457" si="259">IF($E449="","",Y449)</f>
        <v/>
      </c>
      <c r="H449" s="641" t="str">
        <f t="shared" ref="H449:H457" si="260">IF($E449="","",AA449)</f>
        <v/>
      </c>
      <c r="I449" s="48"/>
      <c r="J449" s="642" t="str">
        <f t="shared" si="252"/>
        <v/>
      </c>
      <c r="K449" s="642" t="str">
        <f t="shared" si="253"/>
        <v/>
      </c>
      <c r="L449" s="642" t="str">
        <f t="shared" si="254"/>
        <v/>
      </c>
      <c r="M449" s="1389"/>
      <c r="N449" s="638"/>
      <c r="O449" s="643" t="str">
        <f>Translations!$B$639</f>
        <v>Fuel stream:</v>
      </c>
      <c r="P449" s="1390"/>
      <c r="Q449" s="1391"/>
      <c r="R449" s="1391"/>
      <c r="S449" s="1392"/>
      <c r="T449" s="142"/>
      <c r="U449" s="115"/>
      <c r="W449" s="561" t="str">
        <f t="shared" si="255"/>
        <v/>
      </c>
      <c r="X449" s="561" t="str">
        <f t="shared" si="255"/>
        <v/>
      </c>
      <c r="Y449" s="561" t="str">
        <f t="shared" si="255"/>
        <v/>
      </c>
      <c r="Z449" s="561" t="str">
        <f t="shared" si="255"/>
        <v/>
      </c>
      <c r="AA449" s="561" t="str">
        <f t="shared" si="255"/>
        <v/>
      </c>
      <c r="AB449" s="561" t="str">
        <f>IF(E449="","",OR(W449&lt;&gt;W444,X449&lt;&gt;X444,Z449&lt;&gt;Z444))</f>
        <v/>
      </c>
      <c r="AC449" s="567"/>
      <c r="AD449" s="561" t="str">
        <f>AD448</f>
        <v/>
      </c>
      <c r="AE449" s="561" t="str">
        <f t="shared" ref="AE449:AI462" si="261">AE448</f>
        <v>n.a.</v>
      </c>
      <c r="AF449" s="561" t="str">
        <f t="shared" si="261"/>
        <v>n.a.</v>
      </c>
      <c r="AG449" s="561" t="str">
        <f t="shared" si="261"/>
        <v>n.a.</v>
      </c>
      <c r="AH449" s="561" t="b">
        <f t="shared" si="261"/>
        <v>0</v>
      </c>
      <c r="AI449" s="561" t="b">
        <f t="shared" si="261"/>
        <v>0</v>
      </c>
      <c r="AJ449" s="582" t="str">
        <f t="shared" ref="AJ449:AJ462" si="262">IF(OR(E449="",COUNTIF(AH449:AI449,TRUE)=0),"",F449*IF(AH449,1,G449*AG449)*H449*(1-I449))</f>
        <v/>
      </c>
      <c r="AK449" s="582" t="str">
        <f t="shared" ref="AK449:AK462" si="263">IF(OR(E449="",COUNTIF(AH449:AI449,TRUE)=0),"",F449*IF(AH449,1,G449*AG449)*H449*I449)</f>
        <v/>
      </c>
      <c r="AL449" s="582" t="str">
        <f t="shared" si="258"/>
        <v/>
      </c>
    </row>
    <row r="450" spans="2:38" ht="12.75" customHeight="1" x14ac:dyDescent="0.25">
      <c r="B450" s="132"/>
      <c r="C450" s="132"/>
      <c r="D450" s="1388"/>
      <c r="E450" s="43"/>
      <c r="F450" s="47"/>
      <c r="G450" s="641" t="str">
        <f t="shared" si="259"/>
        <v/>
      </c>
      <c r="H450" s="641" t="str">
        <f t="shared" si="260"/>
        <v/>
      </c>
      <c r="I450" s="48"/>
      <c r="J450" s="642" t="str">
        <f t="shared" si="252"/>
        <v/>
      </c>
      <c r="K450" s="642" t="str">
        <f t="shared" si="253"/>
        <v/>
      </c>
      <c r="L450" s="642" t="str">
        <f t="shared" si="254"/>
        <v/>
      </c>
      <c r="M450" s="1389"/>
      <c r="N450" s="116"/>
      <c r="O450" s="116"/>
      <c r="P450" s="116"/>
      <c r="Q450" s="116"/>
      <c r="R450" s="116"/>
      <c r="S450" s="132"/>
      <c r="T450" s="142"/>
      <c r="U450" s="115"/>
      <c r="W450" s="561" t="str">
        <f t="shared" si="255"/>
        <v/>
      </c>
      <c r="X450" s="561" t="str">
        <f t="shared" si="255"/>
        <v/>
      </c>
      <c r="Y450" s="561" t="str">
        <f t="shared" si="255"/>
        <v/>
      </c>
      <c r="Z450" s="561" t="str">
        <f t="shared" si="255"/>
        <v/>
      </c>
      <c r="AA450" s="561" t="str">
        <f t="shared" si="255"/>
        <v/>
      </c>
      <c r="AB450" s="561" t="str">
        <f>IF(E450="","",OR(W450&lt;&gt;W444,X450&lt;&gt;X444,Z450&lt;&gt;Z444))</f>
        <v/>
      </c>
      <c r="AC450" s="567"/>
      <c r="AD450" s="561" t="str">
        <f t="shared" ref="AD450:AD462" si="264">AD449</f>
        <v/>
      </c>
      <c r="AE450" s="561" t="str">
        <f t="shared" si="261"/>
        <v>n.a.</v>
      </c>
      <c r="AF450" s="561" t="str">
        <f t="shared" si="261"/>
        <v>n.a.</v>
      </c>
      <c r="AG450" s="561" t="str">
        <f t="shared" si="261"/>
        <v>n.a.</v>
      </c>
      <c r="AH450" s="561" t="b">
        <f t="shared" si="261"/>
        <v>0</v>
      </c>
      <c r="AI450" s="561" t="b">
        <f t="shared" si="261"/>
        <v>0</v>
      </c>
      <c r="AJ450" s="582" t="str">
        <f t="shared" si="262"/>
        <v/>
      </c>
      <c r="AK450" s="582" t="str">
        <f t="shared" si="263"/>
        <v/>
      </c>
      <c r="AL450" s="582" t="str">
        <f t="shared" si="258"/>
        <v/>
      </c>
    </row>
    <row r="451" spans="2:38" ht="12.75" customHeight="1" thickBot="1" x14ac:dyDescent="0.35">
      <c r="B451" s="132"/>
      <c r="C451" s="132"/>
      <c r="D451" s="1388"/>
      <c r="E451" s="43"/>
      <c r="F451" s="47"/>
      <c r="G451" s="641" t="str">
        <f t="shared" si="259"/>
        <v/>
      </c>
      <c r="H451" s="641" t="str">
        <f t="shared" si="260"/>
        <v/>
      </c>
      <c r="I451" s="48"/>
      <c r="J451" s="642" t="str">
        <f t="shared" si="252"/>
        <v/>
      </c>
      <c r="K451" s="642" t="str">
        <f t="shared" si="253"/>
        <v/>
      </c>
      <c r="L451" s="642" t="str">
        <f t="shared" si="254"/>
        <v/>
      </c>
      <c r="M451" s="1389"/>
      <c r="N451" s="1255" t="str">
        <f>Translations!$B$394</f>
        <v>Unit</v>
      </c>
      <c r="O451" s="1255"/>
      <c r="P451" s="1255" t="str">
        <f>Translations!$B$395</f>
        <v>Value</v>
      </c>
      <c r="Q451" s="1255"/>
      <c r="R451" s="116"/>
      <c r="S451" s="644" t="str">
        <f>Translations!$B$642</f>
        <v>Sheet C values</v>
      </c>
      <c r="T451" s="142"/>
      <c r="U451" s="115"/>
      <c r="W451" s="561" t="str">
        <f t="shared" si="255"/>
        <v/>
      </c>
      <c r="X451" s="561" t="str">
        <f t="shared" si="255"/>
        <v/>
      </c>
      <c r="Y451" s="561" t="str">
        <f t="shared" si="255"/>
        <v/>
      </c>
      <c r="Z451" s="561" t="str">
        <f t="shared" si="255"/>
        <v/>
      </c>
      <c r="AA451" s="561" t="str">
        <f t="shared" si="255"/>
        <v/>
      </c>
      <c r="AB451" s="561" t="str">
        <f>IF(E451="","",OR(W451&lt;&gt;W444,X451&lt;&gt;X444,Z451&lt;&gt;Z444))</f>
        <v/>
      </c>
      <c r="AC451" s="567"/>
      <c r="AD451" s="561" t="str">
        <f t="shared" si="264"/>
        <v/>
      </c>
      <c r="AE451" s="561" t="str">
        <f t="shared" si="261"/>
        <v>n.a.</v>
      </c>
      <c r="AF451" s="561" t="str">
        <f t="shared" si="261"/>
        <v>n.a.</v>
      </c>
      <c r="AG451" s="561" t="str">
        <f t="shared" si="261"/>
        <v>n.a.</v>
      </c>
      <c r="AH451" s="561" t="b">
        <f t="shared" si="261"/>
        <v>0</v>
      </c>
      <c r="AI451" s="561" t="b">
        <f t="shared" si="261"/>
        <v>0</v>
      </c>
      <c r="AJ451" s="582" t="str">
        <f t="shared" si="262"/>
        <v/>
      </c>
      <c r="AK451" s="582" t="str">
        <f t="shared" si="263"/>
        <v/>
      </c>
      <c r="AL451" s="582" t="str">
        <f t="shared" si="258"/>
        <v/>
      </c>
    </row>
    <row r="452" spans="2:38" ht="12.75" customHeight="1" thickBot="1" x14ac:dyDescent="0.3">
      <c r="B452" s="132"/>
      <c r="C452" s="132"/>
      <c r="D452" s="1388"/>
      <c r="E452" s="43"/>
      <c r="F452" s="47"/>
      <c r="G452" s="641" t="str">
        <f t="shared" si="259"/>
        <v/>
      </c>
      <c r="H452" s="641" t="str">
        <f t="shared" si="260"/>
        <v/>
      </c>
      <c r="I452" s="48"/>
      <c r="J452" s="642" t="str">
        <f t="shared" si="252"/>
        <v/>
      </c>
      <c r="K452" s="642" t="str">
        <f t="shared" si="253"/>
        <v/>
      </c>
      <c r="L452" s="642" t="str">
        <f t="shared" si="254"/>
        <v/>
      </c>
      <c r="M452" s="116"/>
      <c r="N452" s="346" t="str">
        <f>F447</f>
        <v/>
      </c>
      <c r="O452" s="7"/>
      <c r="P452" s="1393" t="str">
        <f>IF(F463="","",F463)</f>
        <v/>
      </c>
      <c r="Q452" s="1394"/>
      <c r="R452" s="116"/>
      <c r="S452" s="645" t="str">
        <f>IF(P449="","",SUMIFS(C_FuelStreams!BK:BK,C_FuelStreams!BI:BI,P449))</f>
        <v/>
      </c>
      <c r="T452" s="142"/>
      <c r="U452" s="115"/>
      <c r="W452" s="561" t="str">
        <f t="shared" si="255"/>
        <v/>
      </c>
      <c r="X452" s="561" t="str">
        <f t="shared" si="255"/>
        <v/>
      </c>
      <c r="Y452" s="561" t="str">
        <f t="shared" si="255"/>
        <v/>
      </c>
      <c r="Z452" s="561" t="str">
        <f t="shared" si="255"/>
        <v/>
      </c>
      <c r="AA452" s="561" t="str">
        <f t="shared" si="255"/>
        <v/>
      </c>
      <c r="AB452" s="561" t="str">
        <f>IF(E452="","",OR(W452&lt;&gt;W444,X452&lt;&gt;X444,Z452&lt;&gt;Z444))</f>
        <v/>
      </c>
      <c r="AC452" s="567"/>
      <c r="AD452" s="561" t="str">
        <f t="shared" si="264"/>
        <v/>
      </c>
      <c r="AE452" s="561" t="str">
        <f t="shared" si="261"/>
        <v>n.a.</v>
      </c>
      <c r="AF452" s="561" t="str">
        <f t="shared" si="261"/>
        <v>n.a.</v>
      </c>
      <c r="AG452" s="561" t="str">
        <f t="shared" si="261"/>
        <v>n.a.</v>
      </c>
      <c r="AH452" s="561" t="b">
        <f t="shared" si="261"/>
        <v>0</v>
      </c>
      <c r="AI452" s="561" t="b">
        <f t="shared" si="261"/>
        <v>0</v>
      </c>
      <c r="AJ452" s="582" t="str">
        <f t="shared" si="262"/>
        <v/>
      </c>
      <c r="AK452" s="582" t="str">
        <f t="shared" si="263"/>
        <v/>
      </c>
      <c r="AL452" s="582" t="str">
        <f t="shared" si="258"/>
        <v/>
      </c>
    </row>
    <row r="453" spans="2:38" ht="12.75" customHeight="1" thickBot="1" x14ac:dyDescent="0.3">
      <c r="B453" s="132"/>
      <c r="C453" s="132"/>
      <c r="D453" s="1388"/>
      <c r="E453" s="43"/>
      <c r="F453" s="47"/>
      <c r="G453" s="641" t="str">
        <f t="shared" si="259"/>
        <v/>
      </c>
      <c r="H453" s="641" t="str">
        <f t="shared" si="260"/>
        <v/>
      </c>
      <c r="I453" s="48"/>
      <c r="J453" s="642" t="str">
        <f t="shared" si="252"/>
        <v/>
      </c>
      <c r="K453" s="642" t="str">
        <f t="shared" si="253"/>
        <v/>
      </c>
      <c r="L453" s="642" t="str">
        <f t="shared" si="254"/>
        <v/>
      </c>
      <c r="M453" s="116"/>
      <c r="N453" s="162"/>
      <c r="O453" s="162"/>
      <c r="P453" s="76"/>
      <c r="Q453" s="76"/>
      <c r="R453" s="116"/>
      <c r="S453" s="996"/>
      <c r="T453" s="142"/>
      <c r="U453" s="115"/>
      <c r="W453" s="561" t="str">
        <f t="shared" si="255"/>
        <v/>
      </c>
      <c r="X453" s="561" t="str">
        <f t="shared" si="255"/>
        <v/>
      </c>
      <c r="Y453" s="561" t="str">
        <f t="shared" si="255"/>
        <v/>
      </c>
      <c r="Z453" s="561" t="str">
        <f t="shared" si="255"/>
        <v/>
      </c>
      <c r="AA453" s="561" t="str">
        <f t="shared" si="255"/>
        <v/>
      </c>
      <c r="AB453" s="561" t="str">
        <f>IF(E453="","",OR(W453&lt;&gt;W444,X453&lt;&gt;X444,Z453&lt;&gt;Z444))</f>
        <v/>
      </c>
      <c r="AC453" s="567"/>
      <c r="AD453" s="561" t="str">
        <f t="shared" si="264"/>
        <v/>
      </c>
      <c r="AE453" s="561" t="str">
        <f t="shared" si="261"/>
        <v>n.a.</v>
      </c>
      <c r="AF453" s="561" t="str">
        <f t="shared" si="261"/>
        <v>n.a.</v>
      </c>
      <c r="AG453" s="561" t="str">
        <f t="shared" si="261"/>
        <v>n.a.</v>
      </c>
      <c r="AH453" s="561" t="b">
        <f t="shared" si="261"/>
        <v>0</v>
      </c>
      <c r="AI453" s="561" t="b">
        <f t="shared" si="261"/>
        <v>0</v>
      </c>
      <c r="AJ453" s="582" t="str">
        <f t="shared" si="262"/>
        <v/>
      </c>
      <c r="AK453" s="582" t="str">
        <f t="shared" si="263"/>
        <v/>
      </c>
      <c r="AL453" s="582" t="str">
        <f t="shared" si="258"/>
        <v/>
      </c>
    </row>
    <row r="454" spans="2:38" ht="12.75" customHeight="1" x14ac:dyDescent="0.25">
      <c r="B454" s="132"/>
      <c r="C454" s="132"/>
      <c r="D454" s="1388"/>
      <c r="E454" s="43"/>
      <c r="F454" s="47"/>
      <c r="G454" s="641" t="str">
        <f t="shared" si="259"/>
        <v/>
      </c>
      <c r="H454" s="641" t="str">
        <f t="shared" si="260"/>
        <v/>
      </c>
      <c r="I454" s="48"/>
      <c r="J454" s="642" t="str">
        <f t="shared" si="252"/>
        <v/>
      </c>
      <c r="K454" s="642" t="str">
        <f t="shared" si="253"/>
        <v/>
      </c>
      <c r="L454" s="642" t="str">
        <f t="shared" si="254"/>
        <v/>
      </c>
      <c r="M454" s="116"/>
      <c r="N454" s="365" t="str">
        <f>G447</f>
        <v/>
      </c>
      <c r="O454" s="11"/>
      <c r="P454" s="366"/>
      <c r="Q454" s="646" t="str">
        <f>IF(G463="","",G463)</f>
        <v/>
      </c>
      <c r="R454" s="116"/>
      <c r="S454" s="647" t="str">
        <f>IF(P449="","",SUMIFS(C_FuelStreams!BU:BU,C_FuelStreams!BI:BI,P449))</f>
        <v/>
      </c>
      <c r="T454" s="142"/>
      <c r="U454" s="115"/>
      <c r="W454" s="561" t="str">
        <f t="shared" si="255"/>
        <v/>
      </c>
      <c r="X454" s="561" t="str">
        <f t="shared" si="255"/>
        <v/>
      </c>
      <c r="Y454" s="561" t="str">
        <f t="shared" si="255"/>
        <v/>
      </c>
      <c r="Z454" s="561" t="str">
        <f t="shared" si="255"/>
        <v/>
      </c>
      <c r="AA454" s="561" t="str">
        <f t="shared" si="255"/>
        <v/>
      </c>
      <c r="AB454" s="561" t="str">
        <f>IF(E454="","",OR(W454&lt;&gt;W444,X454&lt;&gt;X444,Z454&lt;&gt;Z444))</f>
        <v/>
      </c>
      <c r="AC454" s="567"/>
      <c r="AD454" s="561" t="str">
        <f t="shared" si="264"/>
        <v/>
      </c>
      <c r="AE454" s="561" t="str">
        <f t="shared" si="261"/>
        <v>n.a.</v>
      </c>
      <c r="AF454" s="561" t="str">
        <f t="shared" si="261"/>
        <v>n.a.</v>
      </c>
      <c r="AG454" s="561" t="str">
        <f t="shared" si="261"/>
        <v>n.a.</v>
      </c>
      <c r="AH454" s="561" t="b">
        <f t="shared" si="261"/>
        <v>0</v>
      </c>
      <c r="AI454" s="561" t="b">
        <f t="shared" si="261"/>
        <v>0</v>
      </c>
      <c r="AJ454" s="582" t="str">
        <f t="shared" si="262"/>
        <v/>
      </c>
      <c r="AK454" s="582" t="str">
        <f t="shared" si="263"/>
        <v/>
      </c>
      <c r="AL454" s="582" t="str">
        <f t="shared" si="258"/>
        <v/>
      </c>
    </row>
    <row r="455" spans="2:38" ht="12.75" customHeight="1" thickBot="1" x14ac:dyDescent="0.3">
      <c r="B455" s="132"/>
      <c r="C455" s="132"/>
      <c r="D455" s="1388"/>
      <c r="E455" s="43"/>
      <c r="F455" s="47"/>
      <c r="G455" s="641" t="str">
        <f t="shared" si="259"/>
        <v/>
      </c>
      <c r="H455" s="641" t="str">
        <f t="shared" si="260"/>
        <v/>
      </c>
      <c r="I455" s="48"/>
      <c r="J455" s="642" t="str">
        <f t="shared" si="252"/>
        <v/>
      </c>
      <c r="K455" s="642" t="str">
        <f t="shared" si="253"/>
        <v/>
      </c>
      <c r="L455" s="642" t="str">
        <f t="shared" si="254"/>
        <v/>
      </c>
      <c r="M455" s="116"/>
      <c r="N455" s="648" t="str">
        <f>H447</f>
        <v/>
      </c>
      <c r="O455" s="22"/>
      <c r="P455" s="649"/>
      <c r="Q455" s="650" t="str">
        <f>IF(H463="","",H463)</f>
        <v/>
      </c>
      <c r="R455" s="116"/>
      <c r="S455" s="651" t="str">
        <f>IF(P449="","",SUMIFS(C_FuelStreams!BR:BR,C_FuelStreams!BI:BI,P449))</f>
        <v/>
      </c>
      <c r="T455" s="142"/>
      <c r="U455" s="115"/>
      <c r="W455" s="561" t="str">
        <f t="shared" si="255"/>
        <v/>
      </c>
      <c r="X455" s="561" t="str">
        <f t="shared" si="255"/>
        <v/>
      </c>
      <c r="Y455" s="561" t="str">
        <f t="shared" si="255"/>
        <v/>
      </c>
      <c r="Z455" s="561" t="str">
        <f t="shared" si="255"/>
        <v/>
      </c>
      <c r="AA455" s="561" t="str">
        <f t="shared" si="255"/>
        <v/>
      </c>
      <c r="AB455" s="561" t="str">
        <f>IF(E455="","",OR(W455&lt;&gt;W444,X455&lt;&gt;X444,Z455&lt;&gt;Z444))</f>
        <v/>
      </c>
      <c r="AC455" s="567"/>
      <c r="AD455" s="561" t="str">
        <f t="shared" si="264"/>
        <v/>
      </c>
      <c r="AE455" s="561" t="str">
        <f t="shared" si="261"/>
        <v>n.a.</v>
      </c>
      <c r="AF455" s="561" t="str">
        <f t="shared" si="261"/>
        <v>n.a.</v>
      </c>
      <c r="AG455" s="561" t="str">
        <f t="shared" si="261"/>
        <v>n.a.</v>
      </c>
      <c r="AH455" s="561" t="b">
        <f t="shared" si="261"/>
        <v>0</v>
      </c>
      <c r="AI455" s="561" t="b">
        <f t="shared" si="261"/>
        <v>0</v>
      </c>
      <c r="AJ455" s="582" t="str">
        <f t="shared" si="262"/>
        <v/>
      </c>
      <c r="AK455" s="582" t="str">
        <f t="shared" si="263"/>
        <v/>
      </c>
      <c r="AL455" s="582" t="str">
        <f t="shared" si="258"/>
        <v/>
      </c>
    </row>
    <row r="456" spans="2:38" ht="12.75" customHeight="1" x14ac:dyDescent="0.25">
      <c r="B456" s="132"/>
      <c r="C456" s="132"/>
      <c r="D456" s="1388"/>
      <c r="E456" s="43"/>
      <c r="F456" s="47"/>
      <c r="G456" s="641" t="str">
        <f t="shared" si="259"/>
        <v/>
      </c>
      <c r="H456" s="641" t="str">
        <f t="shared" si="260"/>
        <v/>
      </c>
      <c r="I456" s="48"/>
      <c r="J456" s="642" t="str">
        <f t="shared" si="252"/>
        <v/>
      </c>
      <c r="K456" s="642" t="str">
        <f t="shared" si="253"/>
        <v/>
      </c>
      <c r="L456" s="642" t="str">
        <f t="shared" si="254"/>
        <v/>
      </c>
      <c r="M456" s="116"/>
      <c r="N456" s="652" t="s">
        <v>46</v>
      </c>
      <c r="O456" s="411"/>
      <c r="P456" s="653"/>
      <c r="Q456" s="654" t="str">
        <f>IF(I463="","",I463)</f>
        <v/>
      </c>
      <c r="R456" s="116"/>
      <c r="S456" s="655" t="str">
        <f>IF(P449="","",SUMIFS(C_FuelStreams!BX:BX,C_FuelStreams!BI:BI,P449))</f>
        <v/>
      </c>
      <c r="T456" s="142"/>
      <c r="U456" s="115"/>
      <c r="W456" s="561" t="str">
        <f t="shared" si="255"/>
        <v/>
      </c>
      <c r="X456" s="561" t="str">
        <f t="shared" si="255"/>
        <v/>
      </c>
      <c r="Y456" s="561" t="str">
        <f t="shared" si="255"/>
        <v/>
      </c>
      <c r="Z456" s="561" t="str">
        <f t="shared" si="255"/>
        <v/>
      </c>
      <c r="AA456" s="561" t="str">
        <f t="shared" si="255"/>
        <v/>
      </c>
      <c r="AB456" s="561" t="str">
        <f>IF(E456="","",OR(W456&lt;&gt;W444,X456&lt;&gt;X444,Z456&lt;&gt;Z444))</f>
        <v/>
      </c>
      <c r="AC456" s="567"/>
      <c r="AD456" s="561" t="str">
        <f t="shared" si="264"/>
        <v/>
      </c>
      <c r="AE456" s="561" t="str">
        <f t="shared" si="261"/>
        <v>n.a.</v>
      </c>
      <c r="AF456" s="561" t="str">
        <f t="shared" si="261"/>
        <v>n.a.</v>
      </c>
      <c r="AG456" s="561" t="str">
        <f t="shared" si="261"/>
        <v>n.a.</v>
      </c>
      <c r="AH456" s="561" t="b">
        <f t="shared" si="261"/>
        <v>0</v>
      </c>
      <c r="AI456" s="561" t="b">
        <f t="shared" si="261"/>
        <v>0</v>
      </c>
      <c r="AJ456" s="582" t="str">
        <f t="shared" si="262"/>
        <v/>
      </c>
      <c r="AK456" s="582" t="str">
        <f t="shared" si="263"/>
        <v/>
      </c>
      <c r="AL456" s="582" t="str">
        <f t="shared" si="258"/>
        <v/>
      </c>
    </row>
    <row r="457" spans="2:38" ht="12.75" customHeight="1" x14ac:dyDescent="0.25">
      <c r="B457" s="132"/>
      <c r="C457" s="132"/>
      <c r="D457" s="1388"/>
      <c r="E457" s="43"/>
      <c r="F457" s="47"/>
      <c r="G457" s="641" t="str">
        <f t="shared" si="259"/>
        <v/>
      </c>
      <c r="H457" s="641" t="str">
        <f t="shared" si="260"/>
        <v/>
      </c>
      <c r="I457" s="48"/>
      <c r="J457" s="642" t="str">
        <f t="shared" si="252"/>
        <v/>
      </c>
      <c r="K457" s="642" t="str">
        <f t="shared" si="253"/>
        <v/>
      </c>
      <c r="L457" s="642" t="str">
        <f t="shared" si="254"/>
        <v/>
      </c>
      <c r="M457" s="1395"/>
      <c r="N457" s="116"/>
      <c r="O457" s="116"/>
      <c r="P457" s="116"/>
      <c r="Q457" s="116"/>
      <c r="R457" s="116"/>
      <c r="S457" s="132"/>
      <c r="T457" s="142"/>
      <c r="U457" s="115"/>
      <c r="W457" s="561" t="str">
        <f t="shared" si="255"/>
        <v/>
      </c>
      <c r="X457" s="561" t="str">
        <f t="shared" si="255"/>
        <v/>
      </c>
      <c r="Y457" s="561" t="str">
        <f t="shared" si="255"/>
        <v/>
      </c>
      <c r="Z457" s="561" t="str">
        <f t="shared" si="255"/>
        <v/>
      </c>
      <c r="AA457" s="561" t="str">
        <f t="shared" si="255"/>
        <v/>
      </c>
      <c r="AB457" s="561" t="str">
        <f>IF(E457="","",OR(W457&lt;&gt;W444,X457&lt;&gt;X444,Z457&lt;&gt;Z444))</f>
        <v/>
      </c>
      <c r="AC457" s="567"/>
      <c r="AD457" s="561" t="str">
        <f t="shared" si="264"/>
        <v/>
      </c>
      <c r="AE457" s="561" t="str">
        <f t="shared" si="261"/>
        <v>n.a.</v>
      </c>
      <c r="AF457" s="561" t="str">
        <f t="shared" si="261"/>
        <v>n.a.</v>
      </c>
      <c r="AG457" s="561" t="str">
        <f t="shared" si="261"/>
        <v>n.a.</v>
      </c>
      <c r="AH457" s="561" t="b">
        <f t="shared" si="261"/>
        <v>0</v>
      </c>
      <c r="AI457" s="561" t="b">
        <f t="shared" si="261"/>
        <v>0</v>
      </c>
      <c r="AJ457" s="582" t="str">
        <f t="shared" si="262"/>
        <v/>
      </c>
      <c r="AK457" s="582" t="str">
        <f t="shared" si="263"/>
        <v/>
      </c>
      <c r="AL457" s="582" t="str">
        <f t="shared" si="258"/>
        <v/>
      </c>
    </row>
    <row r="458" spans="2:38" ht="12.75" customHeight="1" x14ac:dyDescent="0.25">
      <c r="B458" s="132"/>
      <c r="C458" s="132"/>
      <c r="D458" s="1388" t="str">
        <f>Translations!$B$643</f>
        <v>Customised components</v>
      </c>
      <c r="E458" s="42"/>
      <c r="F458" s="45"/>
      <c r="G458" s="49"/>
      <c r="H458" s="49"/>
      <c r="I458" s="46"/>
      <c r="J458" s="640" t="str">
        <f t="shared" si="252"/>
        <v/>
      </c>
      <c r="K458" s="640" t="str">
        <f t="shared" si="253"/>
        <v/>
      </c>
      <c r="L458" s="640" t="str">
        <f t="shared" si="254"/>
        <v/>
      </c>
      <c r="M458" s="1395"/>
      <c r="N458" s="116"/>
      <c r="O458" s="116"/>
      <c r="P458" s="656" t="str">
        <f>Translations!$B$644</f>
        <v>CO2 fossil (before scope factor):</v>
      </c>
      <c r="Q458" s="997" t="str">
        <f>IF(K463="","",K463)</f>
        <v/>
      </c>
      <c r="R458" s="656"/>
      <c r="S458" s="997" t="str">
        <f>IF(P449="","",IF(W458=0,0,SUMIFS(C_FuelStreams!CE:CE,C_FuelStreams!BI:BI,P449)/W458))</f>
        <v/>
      </c>
      <c r="T458" s="142"/>
      <c r="U458" s="115"/>
      <c r="V458" s="110" t="str">
        <f>Translations!$B$398</f>
        <v>Scope factor:</v>
      </c>
      <c r="W458" s="617" t="str">
        <f>IF(P449="","",SUMIFS(C_FuelStreams!BP:BP,C_FuelStreams!BI:BI,P449))</f>
        <v/>
      </c>
      <c r="AD458" s="561" t="str">
        <f t="shared" si="264"/>
        <v/>
      </c>
      <c r="AE458" s="561" t="str">
        <f t="shared" si="261"/>
        <v>n.a.</v>
      </c>
      <c r="AF458" s="561" t="str">
        <f t="shared" si="261"/>
        <v>n.a.</v>
      </c>
      <c r="AG458" s="561" t="str">
        <f t="shared" si="261"/>
        <v>n.a.</v>
      </c>
      <c r="AH458" s="561" t="b">
        <f t="shared" si="261"/>
        <v>0</v>
      </c>
      <c r="AI458" s="561" t="b">
        <f t="shared" si="261"/>
        <v>0</v>
      </c>
      <c r="AJ458" s="582" t="str">
        <f t="shared" si="262"/>
        <v/>
      </c>
      <c r="AK458" s="582" t="str">
        <f t="shared" si="263"/>
        <v/>
      </c>
      <c r="AL458" s="582" t="str">
        <f t="shared" si="258"/>
        <v/>
      </c>
    </row>
    <row r="459" spans="2:38" ht="12.75" customHeight="1" x14ac:dyDescent="0.25">
      <c r="B459" s="132"/>
      <c r="C459" s="132"/>
      <c r="D459" s="1388"/>
      <c r="E459" s="43"/>
      <c r="F459" s="47"/>
      <c r="G459" s="50"/>
      <c r="H459" s="50"/>
      <c r="I459" s="48"/>
      <c r="J459" s="642" t="str">
        <f t="shared" si="252"/>
        <v/>
      </c>
      <c r="K459" s="642" t="str">
        <f t="shared" si="253"/>
        <v/>
      </c>
      <c r="L459" s="642" t="str">
        <f t="shared" si="254"/>
        <v/>
      </c>
      <c r="M459" s="1395"/>
      <c r="N459" s="116"/>
      <c r="O459" s="116"/>
      <c r="P459" s="116"/>
      <c r="Q459" s="116"/>
      <c r="R459" s="116"/>
      <c r="S459" s="132"/>
      <c r="T459" s="142"/>
      <c r="U459" s="115"/>
      <c r="AD459" s="561" t="str">
        <f t="shared" si="264"/>
        <v/>
      </c>
      <c r="AE459" s="561" t="str">
        <f t="shared" si="261"/>
        <v>n.a.</v>
      </c>
      <c r="AF459" s="561" t="str">
        <f t="shared" si="261"/>
        <v>n.a.</v>
      </c>
      <c r="AG459" s="561" t="str">
        <f t="shared" si="261"/>
        <v>n.a.</v>
      </c>
      <c r="AH459" s="561" t="b">
        <f t="shared" si="261"/>
        <v>0</v>
      </c>
      <c r="AI459" s="561" t="b">
        <f t="shared" si="261"/>
        <v>0</v>
      </c>
      <c r="AJ459" s="582" t="str">
        <f t="shared" si="262"/>
        <v/>
      </c>
      <c r="AK459" s="582" t="str">
        <f t="shared" si="263"/>
        <v/>
      </c>
      <c r="AL459" s="582" t="str">
        <f t="shared" si="258"/>
        <v/>
      </c>
    </row>
    <row r="460" spans="2:38" ht="12.75" customHeight="1" x14ac:dyDescent="0.25">
      <c r="B460" s="132"/>
      <c r="C460" s="132"/>
      <c r="D460" s="1388"/>
      <c r="E460" s="43"/>
      <c r="F460" s="47"/>
      <c r="G460" s="50"/>
      <c r="H460" s="50"/>
      <c r="I460" s="48"/>
      <c r="J460" s="642" t="str">
        <f t="shared" si="252"/>
        <v/>
      </c>
      <c r="K460" s="642" t="str">
        <f t="shared" si="253"/>
        <v/>
      </c>
      <c r="L460" s="642" t="str">
        <f t="shared" si="254"/>
        <v/>
      </c>
      <c r="M460" s="1395"/>
      <c r="N460" s="116"/>
      <c r="O460" s="116"/>
      <c r="P460" s="116"/>
      <c r="Q460" s="116"/>
      <c r="R460" s="116"/>
      <c r="S460" s="132"/>
      <c r="T460" s="142"/>
      <c r="U460" s="115"/>
      <c r="AD460" s="561" t="str">
        <f t="shared" si="264"/>
        <v/>
      </c>
      <c r="AE460" s="561" t="str">
        <f t="shared" si="261"/>
        <v>n.a.</v>
      </c>
      <c r="AF460" s="561" t="str">
        <f t="shared" si="261"/>
        <v>n.a.</v>
      </c>
      <c r="AG460" s="561" t="str">
        <f t="shared" si="261"/>
        <v>n.a.</v>
      </c>
      <c r="AH460" s="561" t="b">
        <f t="shared" si="261"/>
        <v>0</v>
      </c>
      <c r="AI460" s="561" t="b">
        <f t="shared" si="261"/>
        <v>0</v>
      </c>
      <c r="AJ460" s="582" t="str">
        <f t="shared" si="262"/>
        <v/>
      </c>
      <c r="AK460" s="582" t="str">
        <f t="shared" si="263"/>
        <v/>
      </c>
      <c r="AL460" s="582" t="str">
        <f t="shared" si="258"/>
        <v/>
      </c>
    </row>
    <row r="461" spans="2:38" ht="12.75" customHeight="1" x14ac:dyDescent="0.25">
      <c r="B461" s="132"/>
      <c r="C461" s="132"/>
      <c r="D461" s="1388"/>
      <c r="E461" s="43"/>
      <c r="F461" s="47"/>
      <c r="G461" s="50"/>
      <c r="H461" s="50"/>
      <c r="I461" s="48"/>
      <c r="J461" s="642" t="str">
        <f t="shared" si="252"/>
        <v/>
      </c>
      <c r="K461" s="642" t="str">
        <f t="shared" si="253"/>
        <v/>
      </c>
      <c r="L461" s="642" t="str">
        <f t="shared" si="254"/>
        <v/>
      </c>
      <c r="M461" s="1395"/>
      <c r="N461" s="116"/>
      <c r="O461" s="116"/>
      <c r="P461" s="116"/>
      <c r="Q461" s="116"/>
      <c r="R461" s="116"/>
      <c r="S461" s="132"/>
      <c r="T461" s="142"/>
      <c r="U461" s="115"/>
      <c r="AD461" s="561" t="str">
        <f t="shared" si="264"/>
        <v/>
      </c>
      <c r="AE461" s="561" t="str">
        <f t="shared" si="261"/>
        <v>n.a.</v>
      </c>
      <c r="AF461" s="561" t="str">
        <f t="shared" si="261"/>
        <v>n.a.</v>
      </c>
      <c r="AG461" s="561" t="str">
        <f t="shared" si="261"/>
        <v>n.a.</v>
      </c>
      <c r="AH461" s="561" t="b">
        <f t="shared" si="261"/>
        <v>0</v>
      </c>
      <c r="AI461" s="561" t="b">
        <f t="shared" si="261"/>
        <v>0</v>
      </c>
      <c r="AJ461" s="582" t="str">
        <f t="shared" si="262"/>
        <v/>
      </c>
      <c r="AK461" s="582" t="str">
        <f t="shared" si="263"/>
        <v/>
      </c>
      <c r="AL461" s="582" t="str">
        <f t="shared" si="258"/>
        <v/>
      </c>
    </row>
    <row r="462" spans="2:38" ht="12.75" customHeight="1" x14ac:dyDescent="0.25">
      <c r="B462" s="132"/>
      <c r="C462" s="132"/>
      <c r="D462" s="1388"/>
      <c r="E462" s="44"/>
      <c r="F462" s="51"/>
      <c r="G462" s="52"/>
      <c r="H462" s="52"/>
      <c r="I462" s="53"/>
      <c r="J462" s="657" t="str">
        <f t="shared" si="252"/>
        <v/>
      </c>
      <c r="K462" s="657" t="str">
        <f t="shared" si="253"/>
        <v/>
      </c>
      <c r="L462" s="657" t="str">
        <f t="shared" si="254"/>
        <v/>
      </c>
      <c r="M462" s="1395"/>
      <c r="N462" s="116"/>
      <c r="O462" s="116"/>
      <c r="P462" s="116"/>
      <c r="Q462" s="116"/>
      <c r="R462" s="116"/>
      <c r="S462" s="132"/>
      <c r="T462" s="142"/>
      <c r="U462" s="115"/>
      <c r="AD462" s="561" t="str">
        <f t="shared" si="264"/>
        <v/>
      </c>
      <c r="AE462" s="561" t="str">
        <f t="shared" si="261"/>
        <v>n.a.</v>
      </c>
      <c r="AF462" s="561" t="str">
        <f t="shared" si="261"/>
        <v>n.a.</v>
      </c>
      <c r="AG462" s="561" t="str">
        <f t="shared" si="261"/>
        <v>n.a.</v>
      </c>
      <c r="AH462" s="561" t="b">
        <f t="shared" si="261"/>
        <v>0</v>
      </c>
      <c r="AI462" s="561" t="b">
        <f t="shared" si="261"/>
        <v>0</v>
      </c>
      <c r="AJ462" s="582" t="str">
        <f t="shared" si="262"/>
        <v/>
      </c>
      <c r="AK462" s="582" t="str">
        <f t="shared" si="263"/>
        <v/>
      </c>
      <c r="AL462" s="582" t="str">
        <f t="shared" si="258"/>
        <v/>
      </c>
    </row>
    <row r="463" spans="2:38" ht="12.75" customHeight="1" x14ac:dyDescent="0.25">
      <c r="B463" s="132"/>
      <c r="C463" s="132"/>
      <c r="D463" s="132"/>
      <c r="E463" s="658" t="str">
        <f>Translations!$B$645</f>
        <v>TOTALS</v>
      </c>
      <c r="F463" s="659" t="str">
        <f>IF(SUM(F448:F462)=0,"",SUM(F448:F462))</f>
        <v/>
      </c>
      <c r="G463" s="660" t="str">
        <f>IF(SUM(F463)=0,"",J463/F463)</f>
        <v/>
      </c>
      <c r="H463" s="660" t="str">
        <f>IF(SUM(J463)=0,"",SUM(K463:L463)/IF(AF448&lt;&gt;EUconst_NA,F463,J463)/IF(AG448=EUconst_NA,1,AG448))</f>
        <v/>
      </c>
      <c r="I463" s="661" t="str">
        <f>IF(SUM(K463:L463)=0,"",L463/SUM(K463:L463))</f>
        <v/>
      </c>
      <c r="J463" s="659" t="str">
        <f>IF(COUNTA(E448:E462)=0,"",IFERROR(SUM(J448:J462),EUconst_ERR_Inconsistent))</f>
        <v/>
      </c>
      <c r="K463" s="659" t="str">
        <f>IF(COUNTA(E448:E462)=0,"",IFERROR(SUM(K448:K462),EUconst_ERR_Inconsistent))</f>
        <v/>
      </c>
      <c r="L463" s="659" t="str">
        <f>IF(COUNTA(E448:E462)=0,"",IFERROR(SUM(L448:L462),EUconst_ERR_Inconsistent))</f>
        <v/>
      </c>
      <c r="M463" s="1395"/>
      <c r="N463" s="116"/>
      <c r="O463" s="116"/>
      <c r="P463" s="116"/>
      <c r="Q463" s="116"/>
      <c r="R463" s="116"/>
      <c r="S463" s="132"/>
      <c r="T463" s="142"/>
      <c r="U463" s="115"/>
    </row>
    <row r="464" spans="2:38" ht="12.75" customHeight="1" x14ac:dyDescent="0.25">
      <c r="B464" s="132"/>
      <c r="C464" s="132"/>
      <c r="D464" s="132"/>
      <c r="E464" s="191"/>
      <c r="F464" s="116"/>
      <c r="G464" s="116"/>
      <c r="H464" s="116"/>
      <c r="I464" s="116"/>
      <c r="J464" s="116"/>
      <c r="K464" s="116"/>
      <c r="L464" s="116"/>
      <c r="M464" s="116"/>
      <c r="N464" s="116"/>
      <c r="O464" s="116"/>
      <c r="P464" s="116"/>
      <c r="Q464" s="116"/>
      <c r="R464" s="116"/>
      <c r="S464" s="132"/>
      <c r="T464" s="142"/>
      <c r="U464" s="115"/>
    </row>
    <row r="465" spans="1:38" s="69" customFormat="1" ht="18.75" customHeight="1" x14ac:dyDescent="0.25">
      <c r="A465" s="167">
        <f>C465</f>
        <v>20</v>
      </c>
      <c r="B465" s="76"/>
      <c r="C465" s="216">
        <f>C442+1</f>
        <v>20</v>
      </c>
      <c r="D465" s="1195" t="str">
        <f>"Tool " &amp;C465-2</f>
        <v>Tool 18</v>
      </c>
      <c r="E465" s="1195"/>
      <c r="F465" s="1195"/>
      <c r="G465" s="1195"/>
      <c r="H465" s="1195"/>
      <c r="I465" s="1195"/>
      <c r="J465" s="1195"/>
      <c r="K465" s="1195"/>
      <c r="L465" s="1195"/>
      <c r="M465" s="1195"/>
      <c r="N465" s="1195"/>
      <c r="O465" s="1195"/>
      <c r="P465" s="1195"/>
      <c r="Q465" s="1195"/>
      <c r="R465" s="1195"/>
      <c r="S465" s="1195"/>
      <c r="T465" s="142"/>
      <c r="U465" s="115"/>
      <c r="V465" s="464" t="str">
        <f>D465</f>
        <v>Tool 18</v>
      </c>
      <c r="W465" s="110"/>
      <c r="X465" s="110"/>
      <c r="Y465" s="110"/>
      <c r="Z465" s="110"/>
      <c r="AA465" s="109"/>
      <c r="AB465" s="109"/>
      <c r="AC465" s="109"/>
      <c r="AD465" s="109"/>
      <c r="AE465" s="109"/>
      <c r="AF465" s="109"/>
      <c r="AG465" s="109"/>
      <c r="AH465" s="109"/>
      <c r="AI465" s="109"/>
      <c r="AJ465" s="109"/>
      <c r="AK465" s="109"/>
      <c r="AL465" s="109"/>
    </row>
    <row r="466" spans="1:38" ht="12.75" customHeight="1" x14ac:dyDescent="0.25">
      <c r="B466" s="132"/>
      <c r="C466" s="132"/>
      <c r="D466" s="132"/>
      <c r="E466" s="191"/>
      <c r="F466" s="116"/>
      <c r="G466" s="116"/>
      <c r="H466" s="116"/>
      <c r="I466" s="116"/>
      <c r="J466" s="116"/>
      <c r="K466" s="116"/>
      <c r="L466" s="116"/>
      <c r="M466" s="116"/>
      <c r="N466" s="116"/>
      <c r="O466" s="116"/>
      <c r="P466" s="116"/>
      <c r="Q466" s="116"/>
      <c r="R466" s="116"/>
      <c r="S466" s="132"/>
      <c r="T466" s="142"/>
      <c r="U466" s="115"/>
    </row>
    <row r="467" spans="1:38" ht="12.75" customHeight="1" x14ac:dyDescent="0.25">
      <c r="B467" s="132"/>
      <c r="C467" s="132"/>
      <c r="D467" s="1377" t="str">
        <f>Translations!$B$631</f>
        <v>Component</v>
      </c>
      <c r="E467" s="1378"/>
      <c r="F467" s="633">
        <v>1</v>
      </c>
      <c r="G467" s="633">
        <v>2</v>
      </c>
      <c r="H467" s="633">
        <v>3</v>
      </c>
      <c r="I467" s="633">
        <v>4</v>
      </c>
      <c r="J467" s="633">
        <v>5</v>
      </c>
      <c r="K467" s="633">
        <v>6</v>
      </c>
      <c r="L467" s="633">
        <v>7</v>
      </c>
      <c r="M467" s="116"/>
      <c r="N467" s="116"/>
      <c r="O467" s="116"/>
      <c r="P467" s="116"/>
      <c r="Q467" s="116"/>
      <c r="R467" s="116"/>
      <c r="S467" s="132"/>
      <c r="T467" s="142"/>
      <c r="U467" s="115"/>
      <c r="V467" s="566" t="str">
        <f>Translations!$B$498</f>
        <v>Units:</v>
      </c>
      <c r="W467" s="561" t="str" cm="1">
        <f t="array" ref="W467">IFERROR(INDEX(_xlfn._xlws.FILTER(W471:W480,(W471:W480)&lt;&gt;"",""),1),W468)</f>
        <v/>
      </c>
      <c r="X467" s="561" t="str" cm="1">
        <f t="array" ref="X467">IFERROR(INDEX(_xlfn._xlws.FILTER(X471:X480,(X471:X480)&lt;&gt;"",""),1),X468)</f>
        <v/>
      </c>
      <c r="Y467" s="567"/>
      <c r="Z467" s="561" t="str" cm="1">
        <f t="array" ref="Z467">IFERROR(INDEX(_xlfn._xlws.FILTER(Z471:Z480,(Z471:Z480)&lt;&gt;"",""),1),Z468)</f>
        <v/>
      </c>
      <c r="AA467" s="567"/>
    </row>
    <row r="468" spans="1:38" ht="12.75" customHeight="1" x14ac:dyDescent="0.25">
      <c r="B468" s="132"/>
      <c r="C468" s="132"/>
      <c r="D468" s="1379"/>
      <c r="E468" s="1380"/>
      <c r="F468" s="1383" t="str">
        <f>Translations!$B$377</f>
        <v>RFA</v>
      </c>
      <c r="G468" s="1383" t="str">
        <f>Translations!$B$386</f>
        <v>UCF</v>
      </c>
      <c r="H468" s="1383" t="str">
        <f>Translations!$B$383</f>
        <v>EF</v>
      </c>
      <c r="I468" s="1383" t="str">
        <f>Translations!$B$632</f>
        <v>Zero-rated F</v>
      </c>
      <c r="J468" s="1385" t="str">
        <f>Translations!$B$652</f>
        <v>Energy or other</v>
      </c>
      <c r="K468" s="1385" t="str">
        <f>Translations!$B$522</f>
        <v>Emissions (fossil)</v>
      </c>
      <c r="L468" s="1385" t="str">
        <f>Translations!$B$634</f>
        <v>Emissions (bio)</v>
      </c>
      <c r="M468" s="116"/>
      <c r="N468" s="116"/>
      <c r="O468" s="116"/>
      <c r="P468" s="116"/>
      <c r="Q468" s="116"/>
      <c r="R468" s="116"/>
      <c r="S468" s="132"/>
      <c r="T468" s="142"/>
      <c r="U468" s="115"/>
      <c r="W468" s="561" t="str">
        <f t="array" ref="W468">IFERROR(INDEX(W471:W480,MATCH(TRUE,(W471:W480)&lt;&gt;"",0)),"")</f>
        <v/>
      </c>
      <c r="X468" s="561" t="str">
        <f t="array" ref="X468">IFERROR(INDEX(X471:X480,MATCH(TRUE,(X471:X480)&lt;&gt;"",0)),"")</f>
        <v/>
      </c>
      <c r="Y468" s="567"/>
      <c r="Z468" s="561" t="str">
        <f t="array" ref="Z468">IFERROR(INDEX(Z471:Z480,MATCH(TRUE,(Z471:Z480)&lt;&gt;"",0)),"")</f>
        <v/>
      </c>
      <c r="AA468" s="567"/>
    </row>
    <row r="469" spans="1:38" ht="12.75" customHeight="1" x14ac:dyDescent="0.3">
      <c r="B469" s="132"/>
      <c r="C469" s="132"/>
      <c r="D469" s="1379"/>
      <c r="E469" s="1380"/>
      <c r="F469" s="1384"/>
      <c r="G469" s="1384"/>
      <c r="H469" s="1384"/>
      <c r="I469" s="1384"/>
      <c r="J469" s="1386"/>
      <c r="K469" s="1386"/>
      <c r="L469" s="1386"/>
      <c r="M469" s="116"/>
      <c r="N469" s="634" t="str">
        <f>Translations!$B$635</f>
        <v>Result to be entered in sheet C</v>
      </c>
      <c r="O469" s="116"/>
      <c r="P469" s="116"/>
      <c r="Q469" s="116"/>
      <c r="R469" s="116"/>
      <c r="S469" s="132"/>
      <c r="T469" s="142"/>
      <c r="U469" s="115"/>
      <c r="W469" s="569" t="str">
        <f>Translations!$B$377</f>
        <v>RFA</v>
      </c>
      <c r="X469" s="569" t="str">
        <f>Translations!$B$386</f>
        <v>UCF</v>
      </c>
      <c r="Y469" s="569"/>
      <c r="Z469" s="569" t="str">
        <f>Translations!$B$383</f>
        <v>EF</v>
      </c>
      <c r="AA469" s="569"/>
      <c r="AB469" s="570"/>
      <c r="AC469" s="570"/>
      <c r="AH469" s="570"/>
      <c r="AI469" s="570"/>
      <c r="AJ469" s="570"/>
    </row>
    <row r="470" spans="1:38" ht="12.75" customHeight="1" x14ac:dyDescent="0.3">
      <c r="B470" s="132"/>
      <c r="C470" s="132"/>
      <c r="D470" s="1381"/>
      <c r="E470" s="1382"/>
      <c r="F470" s="635" t="str">
        <f>IF(COUNTA($E471:$E485)=0,"",$W467)</f>
        <v/>
      </c>
      <c r="G470" s="635" t="str">
        <f>IF(COUNTA($E471:$E485)=0,"",$X467)</f>
        <v/>
      </c>
      <c r="H470" s="635" t="str">
        <f>IF(COUNTA($E471:$E485)=0,"",$Z467)</f>
        <v/>
      </c>
      <c r="I470" s="636" t="s">
        <v>46</v>
      </c>
      <c r="J470" s="635" t="str">
        <f>IF(AE471=EUconst_NA,EUconst_GJ,AE471)</f>
        <v>GJ</v>
      </c>
      <c r="K470" s="637" t="s">
        <v>188</v>
      </c>
      <c r="L470" s="637" t="s">
        <v>188</v>
      </c>
      <c r="M470" s="116"/>
      <c r="N470" s="1387" t="str">
        <f>Translations!$B$636</f>
        <v>The results of this tool are the relevant (weighted average) values below. Each value has to be entered manually in sheet C for the respective fuel stream. Select fuel stream below for comparison.</v>
      </c>
      <c r="O470" s="1387"/>
      <c r="P470" s="1387"/>
      <c r="Q470" s="1387"/>
      <c r="R470" s="1387"/>
      <c r="S470" s="1387"/>
      <c r="T470" s="142"/>
      <c r="U470" s="115"/>
      <c r="W470" s="569" t="str">
        <f>EUconst_CNTR_ActivityData&amp;EUconst_Unit</f>
        <v>ActivityData_Unit</v>
      </c>
      <c r="X470" s="569" t="str">
        <f>EUconst_CNTR_UCF&amp;EUconst_Unit</f>
        <v>UCF_Unit</v>
      </c>
      <c r="Y470" s="569" t="str">
        <f>EUconst_CNTR_UCF&amp;EUconst_Value</f>
        <v>UCF_Value</v>
      </c>
      <c r="Z470" s="569" t="str">
        <f>EUconst_CNTR_EF&amp;EUconst_Unit</f>
        <v>EF_Unit</v>
      </c>
      <c r="AA470" s="569" t="str">
        <f>EUconst_CNTR_EF&amp;EUconst_Value</f>
        <v>EF_Value</v>
      </c>
      <c r="AB470" s="569" t="s">
        <v>189</v>
      </c>
      <c r="AC470" s="575"/>
      <c r="AD470" s="576" t="s">
        <v>147</v>
      </c>
      <c r="AE470" s="576" t="s">
        <v>151</v>
      </c>
      <c r="AF470" s="576" t="s">
        <v>153</v>
      </c>
      <c r="AG470" s="576" t="s">
        <v>155</v>
      </c>
      <c r="AH470" s="575"/>
      <c r="AI470" s="575"/>
      <c r="AJ470" s="575" t="s">
        <v>190</v>
      </c>
      <c r="AK470" s="575" t="s">
        <v>191</v>
      </c>
      <c r="AL470" s="575" t="s">
        <v>192</v>
      </c>
    </row>
    <row r="471" spans="1:38" ht="12.75" customHeight="1" x14ac:dyDescent="0.25">
      <c r="B471" s="132"/>
      <c r="C471" s="132"/>
      <c r="D471" s="1388" t="str">
        <f>Translations!$B$637</f>
        <v>Default compontents provided by the CA</v>
      </c>
      <c r="E471" s="42"/>
      <c r="F471" s="45"/>
      <c r="G471" s="639" t="str">
        <f>IF($E471="","",Y471)</f>
        <v/>
      </c>
      <c r="H471" s="639" t="str">
        <f>IF($E471="","",AA471)</f>
        <v/>
      </c>
      <c r="I471" s="46"/>
      <c r="J471" s="640" t="str">
        <f t="shared" ref="J471:J485" si="265">IFERROR(IF(E471="","",AL471),EUconst_ERR_Inconsistent)</f>
        <v/>
      </c>
      <c r="K471" s="640" t="str">
        <f t="shared" ref="K471:K485" si="266">IFERROR(IF(E471="","",AJ471),EUconst_ERR_Inconsistent)</f>
        <v/>
      </c>
      <c r="L471" s="640" t="str">
        <f t="shared" ref="L471:L485" si="267">IFERROR(IF(E471="","",AK471),EUconst_ERR_Inconsistent)</f>
        <v/>
      </c>
      <c r="M471" s="1389"/>
      <c r="N471" s="1387"/>
      <c r="O471" s="1387"/>
      <c r="P471" s="1387"/>
      <c r="Q471" s="1387"/>
      <c r="R471" s="1387"/>
      <c r="S471" s="1387"/>
      <c r="T471" s="142"/>
      <c r="U471" s="115"/>
      <c r="W471" s="561" t="str">
        <f t="shared" ref="W471:AA480" si="268">IF($E471="","",INDEX(MSPara_CalcFactorsMatrix,MATCH($E471,MSPara_SourceStreamCategory,0),MATCH(W$20&amp;"_"&amp;2,MSPara_CalcFactors,0)))</f>
        <v/>
      </c>
      <c r="X471" s="561" t="str">
        <f t="shared" si="268"/>
        <v/>
      </c>
      <c r="Y471" s="561" t="str">
        <f t="shared" si="268"/>
        <v/>
      </c>
      <c r="Z471" s="561" t="str">
        <f t="shared" si="268"/>
        <v/>
      </c>
      <c r="AA471" s="561" t="str">
        <f t="shared" si="268"/>
        <v/>
      </c>
      <c r="AB471" s="561" t="str">
        <f>IF(E471="","",OR(W471&lt;&gt;W467,X471&lt;&gt;X467,Z471&lt;&gt;Z467))</f>
        <v/>
      </c>
      <c r="AC471" s="567"/>
      <c r="AD471" s="561" t="str">
        <f>W471</f>
        <v/>
      </c>
      <c r="AE471" s="561" t="str">
        <f>IF(X471="",EUconst_NA,IF(AD471=EUconst_TJ,EUconst_TJ,INDEX(EUwideConstants!$C$135:$G$139,MATCH(AD471,RFAUnits,0),MATCH(X471,UCFUnits,0))))</f>
        <v>n.a.</v>
      </c>
      <c r="AF471" s="561" t="str">
        <f>IF(COUNTIF(RFAUnits,AD471)=0,EUconst_NA,INDEX(EUwideConstants!$C$150:$H$154,MATCH(Z471,EFUnits,0),MATCH(AD471,EUwideConstants!$C$149:$H$149,0)))</f>
        <v>n.a.</v>
      </c>
      <c r="AG471" s="561" t="str">
        <f>IF(AE471=EUconst_NA,EUconst_NA,INDEX(EUwideConstants!$C$150:$H$154,MATCH(Z471,EFUnits,0),MATCH(AE471,EUwideConstants!$C$149:$H$149,0)))</f>
        <v>n.a.</v>
      </c>
      <c r="AH471" s="561" t="b">
        <f t="shared" ref="AH471" si="269">AF471&lt;&gt;EUconst_NA</f>
        <v>0</v>
      </c>
      <c r="AI471" s="561" t="b">
        <f t="shared" ref="AI471" si="270">AG471&lt;&gt;EUconst_NA</f>
        <v>0</v>
      </c>
      <c r="AJ471" s="582" t="str">
        <f>IF(OR(E471="",COUNTIF(AH471:AI471,TRUE)=0),"",F471*IF(AH471,1,G471*AG471)*H471*(1-I471))</f>
        <v/>
      </c>
      <c r="AK471" s="582" t="str">
        <f>IF(OR(E471="",COUNTIF(AH471:AI471,TRUE)=0),"",F471*IF(AH471,1,G471*AG471)*H471*I471)</f>
        <v/>
      </c>
      <c r="AL471" s="582" t="str">
        <f t="shared" ref="AL471:AL485" si="271">IF(E471="","",IF(W471=EUconst_TJ,F471,F471*G471))</f>
        <v/>
      </c>
    </row>
    <row r="472" spans="1:38" ht="12.75" customHeight="1" x14ac:dyDescent="0.25">
      <c r="B472" s="132"/>
      <c r="C472" s="132"/>
      <c r="D472" s="1388"/>
      <c r="E472" s="43"/>
      <c r="F472" s="47"/>
      <c r="G472" s="641" t="str">
        <f t="shared" ref="G472:G480" si="272">IF($E472="","",Y472)</f>
        <v/>
      </c>
      <c r="H472" s="641" t="str">
        <f t="shared" ref="H472:H480" si="273">IF($E472="","",AA472)</f>
        <v/>
      </c>
      <c r="I472" s="48"/>
      <c r="J472" s="642" t="str">
        <f t="shared" si="265"/>
        <v/>
      </c>
      <c r="K472" s="642" t="str">
        <f t="shared" si="266"/>
        <v/>
      </c>
      <c r="L472" s="642" t="str">
        <f t="shared" si="267"/>
        <v/>
      </c>
      <c r="M472" s="1389"/>
      <c r="N472" s="638"/>
      <c r="O472" s="643" t="str">
        <f>Translations!$B$639</f>
        <v>Fuel stream:</v>
      </c>
      <c r="P472" s="1390"/>
      <c r="Q472" s="1391"/>
      <c r="R472" s="1391"/>
      <c r="S472" s="1392"/>
      <c r="T472" s="142"/>
      <c r="U472" s="115"/>
      <c r="W472" s="561" t="str">
        <f t="shared" si="268"/>
        <v/>
      </c>
      <c r="X472" s="561" t="str">
        <f t="shared" si="268"/>
        <v/>
      </c>
      <c r="Y472" s="561" t="str">
        <f t="shared" si="268"/>
        <v/>
      </c>
      <c r="Z472" s="561" t="str">
        <f t="shared" si="268"/>
        <v/>
      </c>
      <c r="AA472" s="561" t="str">
        <f t="shared" si="268"/>
        <v/>
      </c>
      <c r="AB472" s="561" t="str">
        <f>IF(E472="","",OR(W472&lt;&gt;W467,X472&lt;&gt;X467,Z472&lt;&gt;Z467))</f>
        <v/>
      </c>
      <c r="AC472" s="567"/>
      <c r="AD472" s="561" t="str">
        <f>AD471</f>
        <v/>
      </c>
      <c r="AE472" s="561" t="str">
        <f t="shared" ref="AE472:AI485" si="274">AE471</f>
        <v>n.a.</v>
      </c>
      <c r="AF472" s="561" t="str">
        <f t="shared" si="274"/>
        <v>n.a.</v>
      </c>
      <c r="AG472" s="561" t="str">
        <f t="shared" si="274"/>
        <v>n.a.</v>
      </c>
      <c r="AH472" s="561" t="b">
        <f t="shared" si="274"/>
        <v>0</v>
      </c>
      <c r="AI472" s="561" t="b">
        <f t="shared" si="274"/>
        <v>0</v>
      </c>
      <c r="AJ472" s="582" t="str">
        <f t="shared" ref="AJ472:AJ485" si="275">IF(OR(E472="",COUNTIF(AH472:AI472,TRUE)=0),"",F472*IF(AH472,1,G472*AG472)*H472*(1-I472))</f>
        <v/>
      </c>
      <c r="AK472" s="582" t="str">
        <f t="shared" ref="AK472:AK485" si="276">IF(OR(E472="",COUNTIF(AH472:AI472,TRUE)=0),"",F472*IF(AH472,1,G472*AG472)*H472*I472)</f>
        <v/>
      </c>
      <c r="AL472" s="582" t="str">
        <f t="shared" si="271"/>
        <v/>
      </c>
    </row>
    <row r="473" spans="1:38" ht="12.75" customHeight="1" x14ac:dyDescent="0.25">
      <c r="B473" s="132"/>
      <c r="C473" s="132"/>
      <c r="D473" s="1388"/>
      <c r="E473" s="43"/>
      <c r="F473" s="47"/>
      <c r="G473" s="641" t="str">
        <f t="shared" si="272"/>
        <v/>
      </c>
      <c r="H473" s="641" t="str">
        <f t="shared" si="273"/>
        <v/>
      </c>
      <c r="I473" s="48"/>
      <c r="J473" s="642" t="str">
        <f t="shared" si="265"/>
        <v/>
      </c>
      <c r="K473" s="642" t="str">
        <f t="shared" si="266"/>
        <v/>
      </c>
      <c r="L473" s="642" t="str">
        <f t="shared" si="267"/>
        <v/>
      </c>
      <c r="M473" s="1389"/>
      <c r="N473" s="116"/>
      <c r="O473" s="116"/>
      <c r="P473" s="116"/>
      <c r="Q473" s="116"/>
      <c r="R473" s="116"/>
      <c r="S473" s="132"/>
      <c r="T473" s="142"/>
      <c r="U473" s="115"/>
      <c r="W473" s="561" t="str">
        <f t="shared" si="268"/>
        <v/>
      </c>
      <c r="X473" s="561" t="str">
        <f t="shared" si="268"/>
        <v/>
      </c>
      <c r="Y473" s="561" t="str">
        <f t="shared" si="268"/>
        <v/>
      </c>
      <c r="Z473" s="561" t="str">
        <f t="shared" si="268"/>
        <v/>
      </c>
      <c r="AA473" s="561" t="str">
        <f t="shared" si="268"/>
        <v/>
      </c>
      <c r="AB473" s="561" t="str">
        <f>IF(E473="","",OR(W473&lt;&gt;W467,X473&lt;&gt;X467,Z473&lt;&gt;Z467))</f>
        <v/>
      </c>
      <c r="AC473" s="567"/>
      <c r="AD473" s="561" t="str">
        <f t="shared" ref="AD473:AD485" si="277">AD472</f>
        <v/>
      </c>
      <c r="AE473" s="561" t="str">
        <f t="shared" si="274"/>
        <v>n.a.</v>
      </c>
      <c r="AF473" s="561" t="str">
        <f t="shared" si="274"/>
        <v>n.a.</v>
      </c>
      <c r="AG473" s="561" t="str">
        <f t="shared" si="274"/>
        <v>n.a.</v>
      </c>
      <c r="AH473" s="561" t="b">
        <f t="shared" si="274"/>
        <v>0</v>
      </c>
      <c r="AI473" s="561" t="b">
        <f t="shared" si="274"/>
        <v>0</v>
      </c>
      <c r="AJ473" s="582" t="str">
        <f t="shared" si="275"/>
        <v/>
      </c>
      <c r="AK473" s="582" t="str">
        <f t="shared" si="276"/>
        <v/>
      </c>
      <c r="AL473" s="582" t="str">
        <f t="shared" si="271"/>
        <v/>
      </c>
    </row>
    <row r="474" spans="1:38" ht="12.75" customHeight="1" thickBot="1" x14ac:dyDescent="0.35">
      <c r="B474" s="132"/>
      <c r="C474" s="132"/>
      <c r="D474" s="1388"/>
      <c r="E474" s="43"/>
      <c r="F474" s="47"/>
      <c r="G474" s="641" t="str">
        <f t="shared" si="272"/>
        <v/>
      </c>
      <c r="H474" s="641" t="str">
        <f t="shared" si="273"/>
        <v/>
      </c>
      <c r="I474" s="48"/>
      <c r="J474" s="642" t="str">
        <f t="shared" si="265"/>
        <v/>
      </c>
      <c r="K474" s="642" t="str">
        <f t="shared" si="266"/>
        <v/>
      </c>
      <c r="L474" s="642" t="str">
        <f t="shared" si="267"/>
        <v/>
      </c>
      <c r="M474" s="1389"/>
      <c r="N474" s="1255" t="str">
        <f>Translations!$B$394</f>
        <v>Unit</v>
      </c>
      <c r="O474" s="1255"/>
      <c r="P474" s="1255" t="str">
        <f>Translations!$B$395</f>
        <v>Value</v>
      </c>
      <c r="Q474" s="1255"/>
      <c r="R474" s="116"/>
      <c r="S474" s="644" t="str">
        <f>Translations!$B$642</f>
        <v>Sheet C values</v>
      </c>
      <c r="T474" s="142"/>
      <c r="U474" s="115"/>
      <c r="W474" s="561" t="str">
        <f t="shared" si="268"/>
        <v/>
      </c>
      <c r="X474" s="561" t="str">
        <f t="shared" si="268"/>
        <v/>
      </c>
      <c r="Y474" s="561" t="str">
        <f t="shared" si="268"/>
        <v/>
      </c>
      <c r="Z474" s="561" t="str">
        <f t="shared" si="268"/>
        <v/>
      </c>
      <c r="AA474" s="561" t="str">
        <f t="shared" si="268"/>
        <v/>
      </c>
      <c r="AB474" s="561" t="str">
        <f>IF(E474="","",OR(W474&lt;&gt;W467,X474&lt;&gt;X467,Z474&lt;&gt;Z467))</f>
        <v/>
      </c>
      <c r="AC474" s="567"/>
      <c r="AD474" s="561" t="str">
        <f t="shared" si="277"/>
        <v/>
      </c>
      <c r="AE474" s="561" t="str">
        <f t="shared" si="274"/>
        <v>n.a.</v>
      </c>
      <c r="AF474" s="561" t="str">
        <f t="shared" si="274"/>
        <v>n.a.</v>
      </c>
      <c r="AG474" s="561" t="str">
        <f t="shared" si="274"/>
        <v>n.a.</v>
      </c>
      <c r="AH474" s="561" t="b">
        <f t="shared" si="274"/>
        <v>0</v>
      </c>
      <c r="AI474" s="561" t="b">
        <f t="shared" si="274"/>
        <v>0</v>
      </c>
      <c r="AJ474" s="582" t="str">
        <f t="shared" si="275"/>
        <v/>
      </c>
      <c r="AK474" s="582" t="str">
        <f t="shared" si="276"/>
        <v/>
      </c>
      <c r="AL474" s="582" t="str">
        <f t="shared" si="271"/>
        <v/>
      </c>
    </row>
    <row r="475" spans="1:38" ht="12.75" customHeight="1" thickBot="1" x14ac:dyDescent="0.3">
      <c r="B475" s="132"/>
      <c r="C475" s="132"/>
      <c r="D475" s="1388"/>
      <c r="E475" s="43"/>
      <c r="F475" s="47"/>
      <c r="G475" s="641" t="str">
        <f t="shared" si="272"/>
        <v/>
      </c>
      <c r="H475" s="641" t="str">
        <f t="shared" si="273"/>
        <v/>
      </c>
      <c r="I475" s="48"/>
      <c r="J475" s="642" t="str">
        <f t="shared" si="265"/>
        <v/>
      </c>
      <c r="K475" s="642" t="str">
        <f t="shared" si="266"/>
        <v/>
      </c>
      <c r="L475" s="642" t="str">
        <f t="shared" si="267"/>
        <v/>
      </c>
      <c r="M475" s="116"/>
      <c r="N475" s="346" t="str">
        <f>F470</f>
        <v/>
      </c>
      <c r="O475" s="7"/>
      <c r="P475" s="1393" t="str">
        <f>IF(F486="","",F486)</f>
        <v/>
      </c>
      <c r="Q475" s="1394"/>
      <c r="R475" s="116"/>
      <c r="S475" s="645" t="str">
        <f>IF(P472="","",SUMIFS(C_FuelStreams!BK:BK,C_FuelStreams!BI:BI,P472))</f>
        <v/>
      </c>
      <c r="T475" s="142"/>
      <c r="U475" s="115"/>
      <c r="W475" s="561" t="str">
        <f t="shared" si="268"/>
        <v/>
      </c>
      <c r="X475" s="561" t="str">
        <f t="shared" si="268"/>
        <v/>
      </c>
      <c r="Y475" s="561" t="str">
        <f t="shared" si="268"/>
        <v/>
      </c>
      <c r="Z475" s="561" t="str">
        <f t="shared" si="268"/>
        <v/>
      </c>
      <c r="AA475" s="561" t="str">
        <f t="shared" si="268"/>
        <v/>
      </c>
      <c r="AB475" s="561" t="str">
        <f>IF(E475="","",OR(W475&lt;&gt;W467,X475&lt;&gt;X467,Z475&lt;&gt;Z467))</f>
        <v/>
      </c>
      <c r="AC475" s="567"/>
      <c r="AD475" s="561" t="str">
        <f t="shared" si="277"/>
        <v/>
      </c>
      <c r="AE475" s="561" t="str">
        <f t="shared" si="274"/>
        <v>n.a.</v>
      </c>
      <c r="AF475" s="561" t="str">
        <f t="shared" si="274"/>
        <v>n.a.</v>
      </c>
      <c r="AG475" s="561" t="str">
        <f t="shared" si="274"/>
        <v>n.a.</v>
      </c>
      <c r="AH475" s="561" t="b">
        <f t="shared" si="274"/>
        <v>0</v>
      </c>
      <c r="AI475" s="561" t="b">
        <f t="shared" si="274"/>
        <v>0</v>
      </c>
      <c r="AJ475" s="582" t="str">
        <f t="shared" si="275"/>
        <v/>
      </c>
      <c r="AK475" s="582" t="str">
        <f t="shared" si="276"/>
        <v/>
      </c>
      <c r="AL475" s="582" t="str">
        <f t="shared" si="271"/>
        <v/>
      </c>
    </row>
    <row r="476" spans="1:38" ht="12.75" customHeight="1" thickBot="1" x14ac:dyDescent="0.3">
      <c r="B476" s="132"/>
      <c r="C476" s="132"/>
      <c r="D476" s="1388"/>
      <c r="E476" s="43"/>
      <c r="F476" s="47"/>
      <c r="G476" s="641" t="str">
        <f t="shared" si="272"/>
        <v/>
      </c>
      <c r="H476" s="641" t="str">
        <f t="shared" si="273"/>
        <v/>
      </c>
      <c r="I476" s="48"/>
      <c r="J476" s="642" t="str">
        <f t="shared" si="265"/>
        <v/>
      </c>
      <c r="K476" s="642" t="str">
        <f t="shared" si="266"/>
        <v/>
      </c>
      <c r="L476" s="642" t="str">
        <f t="shared" si="267"/>
        <v/>
      </c>
      <c r="M476" s="116"/>
      <c r="N476" s="162"/>
      <c r="O476" s="162"/>
      <c r="P476" s="76"/>
      <c r="Q476" s="76"/>
      <c r="R476" s="116"/>
      <c r="S476" s="996"/>
      <c r="T476" s="142"/>
      <c r="U476" s="115"/>
      <c r="W476" s="561" t="str">
        <f t="shared" si="268"/>
        <v/>
      </c>
      <c r="X476" s="561" t="str">
        <f t="shared" si="268"/>
        <v/>
      </c>
      <c r="Y476" s="561" t="str">
        <f t="shared" si="268"/>
        <v/>
      </c>
      <c r="Z476" s="561" t="str">
        <f t="shared" si="268"/>
        <v/>
      </c>
      <c r="AA476" s="561" t="str">
        <f t="shared" si="268"/>
        <v/>
      </c>
      <c r="AB476" s="561" t="str">
        <f>IF(E476="","",OR(W476&lt;&gt;W467,X476&lt;&gt;X467,Z476&lt;&gt;Z467))</f>
        <v/>
      </c>
      <c r="AC476" s="567"/>
      <c r="AD476" s="561" t="str">
        <f t="shared" si="277"/>
        <v/>
      </c>
      <c r="AE476" s="561" t="str">
        <f t="shared" si="274"/>
        <v>n.a.</v>
      </c>
      <c r="AF476" s="561" t="str">
        <f t="shared" si="274"/>
        <v>n.a.</v>
      </c>
      <c r="AG476" s="561" t="str">
        <f t="shared" si="274"/>
        <v>n.a.</v>
      </c>
      <c r="AH476" s="561" t="b">
        <f t="shared" si="274"/>
        <v>0</v>
      </c>
      <c r="AI476" s="561" t="b">
        <f t="shared" si="274"/>
        <v>0</v>
      </c>
      <c r="AJ476" s="582" t="str">
        <f t="shared" si="275"/>
        <v/>
      </c>
      <c r="AK476" s="582" t="str">
        <f t="shared" si="276"/>
        <v/>
      </c>
      <c r="AL476" s="582" t="str">
        <f t="shared" si="271"/>
        <v/>
      </c>
    </row>
    <row r="477" spans="1:38" ht="12.75" customHeight="1" x14ac:dyDescent="0.25">
      <c r="B477" s="132"/>
      <c r="C477" s="132"/>
      <c r="D477" s="1388"/>
      <c r="E477" s="43"/>
      <c r="F477" s="47"/>
      <c r="G477" s="641" t="str">
        <f t="shared" si="272"/>
        <v/>
      </c>
      <c r="H477" s="641" t="str">
        <f t="shared" si="273"/>
        <v/>
      </c>
      <c r="I477" s="48"/>
      <c r="J477" s="642" t="str">
        <f t="shared" si="265"/>
        <v/>
      </c>
      <c r="K477" s="642" t="str">
        <f t="shared" si="266"/>
        <v/>
      </c>
      <c r="L477" s="642" t="str">
        <f t="shared" si="267"/>
        <v/>
      </c>
      <c r="M477" s="116"/>
      <c r="N477" s="365" t="str">
        <f>G470</f>
        <v/>
      </c>
      <c r="O477" s="11"/>
      <c r="P477" s="366"/>
      <c r="Q477" s="646" t="str">
        <f>IF(G486="","",G486)</f>
        <v/>
      </c>
      <c r="R477" s="116"/>
      <c r="S477" s="647" t="str">
        <f>IF(P472="","",SUMIFS(C_FuelStreams!BU:BU,C_FuelStreams!BI:BI,P472))</f>
        <v/>
      </c>
      <c r="T477" s="142"/>
      <c r="U477" s="115"/>
      <c r="W477" s="561" t="str">
        <f t="shared" si="268"/>
        <v/>
      </c>
      <c r="X477" s="561" t="str">
        <f t="shared" si="268"/>
        <v/>
      </c>
      <c r="Y477" s="561" t="str">
        <f t="shared" si="268"/>
        <v/>
      </c>
      <c r="Z477" s="561" t="str">
        <f t="shared" si="268"/>
        <v/>
      </c>
      <c r="AA477" s="561" t="str">
        <f t="shared" si="268"/>
        <v/>
      </c>
      <c r="AB477" s="561" t="str">
        <f>IF(E477="","",OR(W477&lt;&gt;W467,X477&lt;&gt;X467,Z477&lt;&gt;Z467))</f>
        <v/>
      </c>
      <c r="AC477" s="567"/>
      <c r="AD477" s="561" t="str">
        <f t="shared" si="277"/>
        <v/>
      </c>
      <c r="AE477" s="561" t="str">
        <f t="shared" si="274"/>
        <v>n.a.</v>
      </c>
      <c r="AF477" s="561" t="str">
        <f t="shared" si="274"/>
        <v>n.a.</v>
      </c>
      <c r="AG477" s="561" t="str">
        <f t="shared" si="274"/>
        <v>n.a.</v>
      </c>
      <c r="AH477" s="561" t="b">
        <f t="shared" si="274"/>
        <v>0</v>
      </c>
      <c r="AI477" s="561" t="b">
        <f t="shared" si="274"/>
        <v>0</v>
      </c>
      <c r="AJ477" s="582" t="str">
        <f t="shared" si="275"/>
        <v/>
      </c>
      <c r="AK477" s="582" t="str">
        <f t="shared" si="276"/>
        <v/>
      </c>
      <c r="AL477" s="582" t="str">
        <f t="shared" si="271"/>
        <v/>
      </c>
    </row>
    <row r="478" spans="1:38" ht="12.75" customHeight="1" thickBot="1" x14ac:dyDescent="0.3">
      <c r="B478" s="132"/>
      <c r="C478" s="132"/>
      <c r="D478" s="1388"/>
      <c r="E478" s="43"/>
      <c r="F478" s="47"/>
      <c r="G478" s="641" t="str">
        <f t="shared" si="272"/>
        <v/>
      </c>
      <c r="H478" s="641" t="str">
        <f t="shared" si="273"/>
        <v/>
      </c>
      <c r="I478" s="48"/>
      <c r="J478" s="642" t="str">
        <f t="shared" si="265"/>
        <v/>
      </c>
      <c r="K478" s="642" t="str">
        <f t="shared" si="266"/>
        <v/>
      </c>
      <c r="L478" s="642" t="str">
        <f t="shared" si="267"/>
        <v/>
      </c>
      <c r="M478" s="116"/>
      <c r="N478" s="648" t="str">
        <f>H470</f>
        <v/>
      </c>
      <c r="O478" s="22"/>
      <c r="P478" s="649"/>
      <c r="Q478" s="650" t="str">
        <f>IF(H486="","",H486)</f>
        <v/>
      </c>
      <c r="R478" s="116"/>
      <c r="S478" s="651" t="str">
        <f>IF(P472="","",SUMIFS(C_FuelStreams!BR:BR,C_FuelStreams!BI:BI,P472))</f>
        <v/>
      </c>
      <c r="T478" s="142"/>
      <c r="U478" s="115"/>
      <c r="W478" s="561" t="str">
        <f t="shared" si="268"/>
        <v/>
      </c>
      <c r="X478" s="561" t="str">
        <f t="shared" si="268"/>
        <v/>
      </c>
      <c r="Y478" s="561" t="str">
        <f t="shared" si="268"/>
        <v/>
      </c>
      <c r="Z478" s="561" t="str">
        <f t="shared" si="268"/>
        <v/>
      </c>
      <c r="AA478" s="561" t="str">
        <f t="shared" si="268"/>
        <v/>
      </c>
      <c r="AB478" s="561" t="str">
        <f>IF(E478="","",OR(W478&lt;&gt;W467,X478&lt;&gt;X467,Z478&lt;&gt;Z467))</f>
        <v/>
      </c>
      <c r="AC478" s="567"/>
      <c r="AD478" s="561" t="str">
        <f t="shared" si="277"/>
        <v/>
      </c>
      <c r="AE478" s="561" t="str">
        <f t="shared" si="274"/>
        <v>n.a.</v>
      </c>
      <c r="AF478" s="561" t="str">
        <f t="shared" si="274"/>
        <v>n.a.</v>
      </c>
      <c r="AG478" s="561" t="str">
        <f t="shared" si="274"/>
        <v>n.a.</v>
      </c>
      <c r="AH478" s="561" t="b">
        <f t="shared" si="274"/>
        <v>0</v>
      </c>
      <c r="AI478" s="561" t="b">
        <f t="shared" si="274"/>
        <v>0</v>
      </c>
      <c r="AJ478" s="582" t="str">
        <f t="shared" si="275"/>
        <v/>
      </c>
      <c r="AK478" s="582" t="str">
        <f t="shared" si="276"/>
        <v/>
      </c>
      <c r="AL478" s="582" t="str">
        <f t="shared" si="271"/>
        <v/>
      </c>
    </row>
    <row r="479" spans="1:38" ht="12.75" customHeight="1" x14ac:dyDescent="0.25">
      <c r="B479" s="132"/>
      <c r="C479" s="132"/>
      <c r="D479" s="1388"/>
      <c r="E479" s="43"/>
      <c r="F479" s="47"/>
      <c r="G479" s="641" t="str">
        <f t="shared" si="272"/>
        <v/>
      </c>
      <c r="H479" s="641" t="str">
        <f t="shared" si="273"/>
        <v/>
      </c>
      <c r="I479" s="48"/>
      <c r="J479" s="642" t="str">
        <f t="shared" si="265"/>
        <v/>
      </c>
      <c r="K479" s="642" t="str">
        <f t="shared" si="266"/>
        <v/>
      </c>
      <c r="L479" s="642" t="str">
        <f t="shared" si="267"/>
        <v/>
      </c>
      <c r="M479" s="116"/>
      <c r="N479" s="652" t="s">
        <v>46</v>
      </c>
      <c r="O479" s="411"/>
      <c r="P479" s="653"/>
      <c r="Q479" s="654" t="str">
        <f>IF(I486="","",I486)</f>
        <v/>
      </c>
      <c r="R479" s="116"/>
      <c r="S479" s="655" t="str">
        <f>IF(P472="","",SUMIFS(C_FuelStreams!BX:BX,C_FuelStreams!BI:BI,P472))</f>
        <v/>
      </c>
      <c r="T479" s="142"/>
      <c r="U479" s="115"/>
      <c r="W479" s="561" t="str">
        <f t="shared" si="268"/>
        <v/>
      </c>
      <c r="X479" s="561" t="str">
        <f t="shared" si="268"/>
        <v/>
      </c>
      <c r="Y479" s="561" t="str">
        <f t="shared" si="268"/>
        <v/>
      </c>
      <c r="Z479" s="561" t="str">
        <f t="shared" si="268"/>
        <v/>
      </c>
      <c r="AA479" s="561" t="str">
        <f t="shared" si="268"/>
        <v/>
      </c>
      <c r="AB479" s="561" t="str">
        <f>IF(E479="","",OR(W479&lt;&gt;W467,X479&lt;&gt;X467,Z479&lt;&gt;Z467))</f>
        <v/>
      </c>
      <c r="AC479" s="567"/>
      <c r="AD479" s="561" t="str">
        <f t="shared" si="277"/>
        <v/>
      </c>
      <c r="AE479" s="561" t="str">
        <f t="shared" si="274"/>
        <v>n.a.</v>
      </c>
      <c r="AF479" s="561" t="str">
        <f t="shared" si="274"/>
        <v>n.a.</v>
      </c>
      <c r="AG479" s="561" t="str">
        <f t="shared" si="274"/>
        <v>n.a.</v>
      </c>
      <c r="AH479" s="561" t="b">
        <f t="shared" si="274"/>
        <v>0</v>
      </c>
      <c r="AI479" s="561" t="b">
        <f t="shared" si="274"/>
        <v>0</v>
      </c>
      <c r="AJ479" s="582" t="str">
        <f t="shared" si="275"/>
        <v/>
      </c>
      <c r="AK479" s="582" t="str">
        <f t="shared" si="276"/>
        <v/>
      </c>
      <c r="AL479" s="582" t="str">
        <f t="shared" si="271"/>
        <v/>
      </c>
    </row>
    <row r="480" spans="1:38" ht="12.75" customHeight="1" x14ac:dyDescent="0.25">
      <c r="B480" s="132"/>
      <c r="C480" s="132"/>
      <c r="D480" s="1388"/>
      <c r="E480" s="43"/>
      <c r="F480" s="47"/>
      <c r="G480" s="641" t="str">
        <f t="shared" si="272"/>
        <v/>
      </c>
      <c r="H480" s="641" t="str">
        <f t="shared" si="273"/>
        <v/>
      </c>
      <c r="I480" s="48"/>
      <c r="J480" s="642" t="str">
        <f t="shared" si="265"/>
        <v/>
      </c>
      <c r="K480" s="642" t="str">
        <f t="shared" si="266"/>
        <v/>
      </c>
      <c r="L480" s="642" t="str">
        <f t="shared" si="267"/>
        <v/>
      </c>
      <c r="M480" s="1395"/>
      <c r="N480" s="116"/>
      <c r="O480" s="116"/>
      <c r="P480" s="116"/>
      <c r="Q480" s="116"/>
      <c r="R480" s="116"/>
      <c r="S480" s="132"/>
      <c r="T480" s="142"/>
      <c r="U480" s="115"/>
      <c r="W480" s="561" t="str">
        <f t="shared" si="268"/>
        <v/>
      </c>
      <c r="X480" s="561" t="str">
        <f t="shared" si="268"/>
        <v/>
      </c>
      <c r="Y480" s="561" t="str">
        <f t="shared" si="268"/>
        <v/>
      </c>
      <c r="Z480" s="561" t="str">
        <f t="shared" si="268"/>
        <v/>
      </c>
      <c r="AA480" s="561" t="str">
        <f t="shared" si="268"/>
        <v/>
      </c>
      <c r="AB480" s="561" t="str">
        <f>IF(E480="","",OR(W480&lt;&gt;W467,X480&lt;&gt;X467,Z480&lt;&gt;Z467))</f>
        <v/>
      </c>
      <c r="AC480" s="567"/>
      <c r="AD480" s="561" t="str">
        <f t="shared" si="277"/>
        <v/>
      </c>
      <c r="AE480" s="561" t="str">
        <f t="shared" si="274"/>
        <v>n.a.</v>
      </c>
      <c r="AF480" s="561" t="str">
        <f t="shared" si="274"/>
        <v>n.a.</v>
      </c>
      <c r="AG480" s="561" t="str">
        <f t="shared" si="274"/>
        <v>n.a.</v>
      </c>
      <c r="AH480" s="561" t="b">
        <f t="shared" si="274"/>
        <v>0</v>
      </c>
      <c r="AI480" s="561" t="b">
        <f t="shared" si="274"/>
        <v>0</v>
      </c>
      <c r="AJ480" s="582" t="str">
        <f t="shared" si="275"/>
        <v/>
      </c>
      <c r="AK480" s="582" t="str">
        <f t="shared" si="276"/>
        <v/>
      </c>
      <c r="AL480" s="582" t="str">
        <f t="shared" si="271"/>
        <v/>
      </c>
    </row>
    <row r="481" spans="1:38" ht="12.75" customHeight="1" x14ac:dyDescent="0.25">
      <c r="B481" s="132"/>
      <c r="C481" s="132"/>
      <c r="D481" s="1388" t="str">
        <f>Translations!$B$643</f>
        <v>Customised components</v>
      </c>
      <c r="E481" s="42"/>
      <c r="F481" s="45"/>
      <c r="G481" s="49"/>
      <c r="H481" s="49"/>
      <c r="I481" s="46"/>
      <c r="J481" s="640" t="str">
        <f t="shared" si="265"/>
        <v/>
      </c>
      <c r="K481" s="640" t="str">
        <f t="shared" si="266"/>
        <v/>
      </c>
      <c r="L481" s="640" t="str">
        <f t="shared" si="267"/>
        <v/>
      </c>
      <c r="M481" s="1395"/>
      <c r="N481" s="116"/>
      <c r="O481" s="116"/>
      <c r="P481" s="656" t="str">
        <f>Translations!$B$644</f>
        <v>CO2 fossil (before scope factor):</v>
      </c>
      <c r="Q481" s="997" t="str">
        <f>IF(K486="","",K486)</f>
        <v/>
      </c>
      <c r="R481" s="656"/>
      <c r="S481" s="997" t="str">
        <f>IF(P472="","",IF(W481=0,0,SUMIFS(C_FuelStreams!CE:CE,C_FuelStreams!BI:BI,P472)/W481))</f>
        <v/>
      </c>
      <c r="T481" s="142"/>
      <c r="U481" s="115"/>
      <c r="V481" s="110" t="str">
        <f>Translations!$B$398</f>
        <v>Scope factor:</v>
      </c>
      <c r="W481" s="617" t="str">
        <f>IF(P472="","",SUMIFS(C_FuelStreams!BP:BP,C_FuelStreams!BI:BI,P472))</f>
        <v/>
      </c>
      <c r="AD481" s="561" t="str">
        <f t="shared" si="277"/>
        <v/>
      </c>
      <c r="AE481" s="561" t="str">
        <f t="shared" si="274"/>
        <v>n.a.</v>
      </c>
      <c r="AF481" s="561" t="str">
        <f t="shared" si="274"/>
        <v>n.a.</v>
      </c>
      <c r="AG481" s="561" t="str">
        <f t="shared" si="274"/>
        <v>n.a.</v>
      </c>
      <c r="AH481" s="561" t="b">
        <f t="shared" si="274"/>
        <v>0</v>
      </c>
      <c r="AI481" s="561" t="b">
        <f t="shared" si="274"/>
        <v>0</v>
      </c>
      <c r="AJ481" s="582" t="str">
        <f t="shared" si="275"/>
        <v/>
      </c>
      <c r="AK481" s="582" t="str">
        <f t="shared" si="276"/>
        <v/>
      </c>
      <c r="AL481" s="582" t="str">
        <f t="shared" si="271"/>
        <v/>
      </c>
    </row>
    <row r="482" spans="1:38" ht="12.75" customHeight="1" x14ac:dyDescent="0.25">
      <c r="B482" s="132"/>
      <c r="C482" s="132"/>
      <c r="D482" s="1388"/>
      <c r="E482" s="43"/>
      <c r="F482" s="47"/>
      <c r="G482" s="50"/>
      <c r="H482" s="50"/>
      <c r="I482" s="48"/>
      <c r="J482" s="642" t="str">
        <f t="shared" si="265"/>
        <v/>
      </c>
      <c r="K482" s="642" t="str">
        <f t="shared" si="266"/>
        <v/>
      </c>
      <c r="L482" s="642" t="str">
        <f t="shared" si="267"/>
        <v/>
      </c>
      <c r="M482" s="1395"/>
      <c r="N482" s="116"/>
      <c r="O482" s="116"/>
      <c r="P482" s="116"/>
      <c r="Q482" s="116"/>
      <c r="R482" s="116"/>
      <c r="S482" s="132"/>
      <c r="T482" s="142"/>
      <c r="U482" s="115"/>
      <c r="AD482" s="561" t="str">
        <f t="shared" si="277"/>
        <v/>
      </c>
      <c r="AE482" s="561" t="str">
        <f t="shared" si="274"/>
        <v>n.a.</v>
      </c>
      <c r="AF482" s="561" t="str">
        <f t="shared" si="274"/>
        <v>n.a.</v>
      </c>
      <c r="AG482" s="561" t="str">
        <f t="shared" si="274"/>
        <v>n.a.</v>
      </c>
      <c r="AH482" s="561" t="b">
        <f t="shared" si="274"/>
        <v>0</v>
      </c>
      <c r="AI482" s="561" t="b">
        <f t="shared" si="274"/>
        <v>0</v>
      </c>
      <c r="AJ482" s="582" t="str">
        <f t="shared" si="275"/>
        <v/>
      </c>
      <c r="AK482" s="582" t="str">
        <f t="shared" si="276"/>
        <v/>
      </c>
      <c r="AL482" s="582" t="str">
        <f t="shared" si="271"/>
        <v/>
      </c>
    </row>
    <row r="483" spans="1:38" ht="12.75" customHeight="1" x14ac:dyDescent="0.25">
      <c r="B483" s="132"/>
      <c r="C483" s="132"/>
      <c r="D483" s="1388"/>
      <c r="E483" s="43"/>
      <c r="F483" s="47"/>
      <c r="G483" s="50"/>
      <c r="H483" s="50"/>
      <c r="I483" s="48"/>
      <c r="J483" s="642" t="str">
        <f t="shared" si="265"/>
        <v/>
      </c>
      <c r="K483" s="642" t="str">
        <f t="shared" si="266"/>
        <v/>
      </c>
      <c r="L483" s="642" t="str">
        <f t="shared" si="267"/>
        <v/>
      </c>
      <c r="M483" s="1395"/>
      <c r="N483" s="116"/>
      <c r="O483" s="116"/>
      <c r="P483" s="116"/>
      <c r="Q483" s="116"/>
      <c r="R483" s="116"/>
      <c r="S483" s="132"/>
      <c r="T483" s="142"/>
      <c r="U483" s="115"/>
      <c r="AD483" s="561" t="str">
        <f t="shared" si="277"/>
        <v/>
      </c>
      <c r="AE483" s="561" t="str">
        <f t="shared" si="274"/>
        <v>n.a.</v>
      </c>
      <c r="AF483" s="561" t="str">
        <f t="shared" si="274"/>
        <v>n.a.</v>
      </c>
      <c r="AG483" s="561" t="str">
        <f t="shared" si="274"/>
        <v>n.a.</v>
      </c>
      <c r="AH483" s="561" t="b">
        <f t="shared" si="274"/>
        <v>0</v>
      </c>
      <c r="AI483" s="561" t="b">
        <f t="shared" si="274"/>
        <v>0</v>
      </c>
      <c r="AJ483" s="582" t="str">
        <f t="shared" si="275"/>
        <v/>
      </c>
      <c r="AK483" s="582" t="str">
        <f t="shared" si="276"/>
        <v/>
      </c>
      <c r="AL483" s="582" t="str">
        <f t="shared" si="271"/>
        <v/>
      </c>
    </row>
    <row r="484" spans="1:38" ht="12.75" customHeight="1" x14ac:dyDescent="0.25">
      <c r="B484" s="132"/>
      <c r="C484" s="132"/>
      <c r="D484" s="1388"/>
      <c r="E484" s="43"/>
      <c r="F484" s="47"/>
      <c r="G484" s="50"/>
      <c r="H484" s="50"/>
      <c r="I484" s="48"/>
      <c r="J484" s="642" t="str">
        <f t="shared" si="265"/>
        <v/>
      </c>
      <c r="K484" s="642" t="str">
        <f t="shared" si="266"/>
        <v/>
      </c>
      <c r="L484" s="642" t="str">
        <f t="shared" si="267"/>
        <v/>
      </c>
      <c r="M484" s="1395"/>
      <c r="N484" s="116"/>
      <c r="O484" s="116"/>
      <c r="P484" s="116"/>
      <c r="Q484" s="116"/>
      <c r="R484" s="116"/>
      <c r="S484" s="132"/>
      <c r="T484" s="142"/>
      <c r="U484" s="115"/>
      <c r="AD484" s="561" t="str">
        <f t="shared" si="277"/>
        <v/>
      </c>
      <c r="AE484" s="561" t="str">
        <f t="shared" si="274"/>
        <v>n.a.</v>
      </c>
      <c r="AF484" s="561" t="str">
        <f t="shared" si="274"/>
        <v>n.a.</v>
      </c>
      <c r="AG484" s="561" t="str">
        <f t="shared" si="274"/>
        <v>n.a.</v>
      </c>
      <c r="AH484" s="561" t="b">
        <f t="shared" si="274"/>
        <v>0</v>
      </c>
      <c r="AI484" s="561" t="b">
        <f t="shared" si="274"/>
        <v>0</v>
      </c>
      <c r="AJ484" s="582" t="str">
        <f t="shared" si="275"/>
        <v/>
      </c>
      <c r="AK484" s="582" t="str">
        <f t="shared" si="276"/>
        <v/>
      </c>
      <c r="AL484" s="582" t="str">
        <f t="shared" si="271"/>
        <v/>
      </c>
    </row>
    <row r="485" spans="1:38" ht="12.75" customHeight="1" x14ac:dyDescent="0.25">
      <c r="B485" s="132"/>
      <c r="C485" s="132"/>
      <c r="D485" s="1388"/>
      <c r="E485" s="44"/>
      <c r="F485" s="51"/>
      <c r="G485" s="52"/>
      <c r="H485" s="52"/>
      <c r="I485" s="53"/>
      <c r="J485" s="657" t="str">
        <f t="shared" si="265"/>
        <v/>
      </c>
      <c r="K485" s="657" t="str">
        <f t="shared" si="266"/>
        <v/>
      </c>
      <c r="L485" s="657" t="str">
        <f t="shared" si="267"/>
        <v/>
      </c>
      <c r="M485" s="1395"/>
      <c r="N485" s="116"/>
      <c r="O485" s="116"/>
      <c r="P485" s="116"/>
      <c r="Q485" s="116"/>
      <c r="R485" s="116"/>
      <c r="S485" s="132"/>
      <c r="T485" s="142"/>
      <c r="U485" s="115"/>
      <c r="AD485" s="561" t="str">
        <f t="shared" si="277"/>
        <v/>
      </c>
      <c r="AE485" s="561" t="str">
        <f t="shared" si="274"/>
        <v>n.a.</v>
      </c>
      <c r="AF485" s="561" t="str">
        <f t="shared" si="274"/>
        <v>n.a.</v>
      </c>
      <c r="AG485" s="561" t="str">
        <f t="shared" si="274"/>
        <v>n.a.</v>
      </c>
      <c r="AH485" s="561" t="b">
        <f t="shared" si="274"/>
        <v>0</v>
      </c>
      <c r="AI485" s="561" t="b">
        <f t="shared" si="274"/>
        <v>0</v>
      </c>
      <c r="AJ485" s="582" t="str">
        <f t="shared" si="275"/>
        <v/>
      </c>
      <c r="AK485" s="582" t="str">
        <f t="shared" si="276"/>
        <v/>
      </c>
      <c r="AL485" s="582" t="str">
        <f t="shared" si="271"/>
        <v/>
      </c>
    </row>
    <row r="486" spans="1:38" ht="12.75" customHeight="1" x14ac:dyDescent="0.25">
      <c r="B486" s="132"/>
      <c r="C486" s="132"/>
      <c r="D486" s="132"/>
      <c r="E486" s="658" t="str">
        <f>Translations!$B$645</f>
        <v>TOTALS</v>
      </c>
      <c r="F486" s="659" t="str">
        <f>IF(SUM(F471:F485)=0,"",SUM(F471:F485))</f>
        <v/>
      </c>
      <c r="G486" s="660" t="str">
        <f>IF(SUM(F486)=0,"",J486/F486)</f>
        <v/>
      </c>
      <c r="H486" s="660" t="str">
        <f>IF(SUM(J486)=0,"",SUM(K486:L486)/IF(AF471&lt;&gt;EUconst_NA,F486,J486)/IF(AG471=EUconst_NA,1,AG471))</f>
        <v/>
      </c>
      <c r="I486" s="661" t="str">
        <f>IF(SUM(K486:L486)=0,"",L486/SUM(K486:L486))</f>
        <v/>
      </c>
      <c r="J486" s="659" t="str">
        <f>IF(COUNTA(E471:E485)=0,"",IFERROR(SUM(J471:J485),EUconst_ERR_Inconsistent))</f>
        <v/>
      </c>
      <c r="K486" s="659" t="str">
        <f>IF(COUNTA(E471:E485)=0,"",IFERROR(SUM(K471:K485),EUconst_ERR_Inconsistent))</f>
        <v/>
      </c>
      <c r="L486" s="659" t="str">
        <f>IF(COUNTA(E471:E485)=0,"",IFERROR(SUM(L471:L485),EUconst_ERR_Inconsistent))</f>
        <v/>
      </c>
      <c r="M486" s="1395"/>
      <c r="N486" s="116"/>
      <c r="O486" s="116"/>
      <c r="P486" s="116"/>
      <c r="Q486" s="116"/>
      <c r="R486" s="116"/>
      <c r="S486" s="132"/>
      <c r="T486" s="142"/>
      <c r="U486" s="115"/>
    </row>
    <row r="487" spans="1:38" ht="12.75" customHeight="1" x14ac:dyDescent="0.25">
      <c r="B487" s="132"/>
      <c r="C487" s="132"/>
      <c r="D487" s="132"/>
      <c r="E487" s="191"/>
      <c r="F487" s="116"/>
      <c r="G487" s="116"/>
      <c r="H487" s="116"/>
      <c r="I487" s="116"/>
      <c r="J487" s="116"/>
      <c r="K487" s="116"/>
      <c r="L487" s="116"/>
      <c r="M487" s="116"/>
      <c r="N487" s="116"/>
      <c r="O487" s="116"/>
      <c r="P487" s="116"/>
      <c r="Q487" s="116"/>
      <c r="R487" s="116"/>
      <c r="S487" s="132"/>
      <c r="T487" s="142"/>
      <c r="U487" s="115"/>
    </row>
    <row r="488" spans="1:38" s="69" customFormat="1" ht="18.75" customHeight="1" x14ac:dyDescent="0.25">
      <c r="A488" s="167">
        <f>C488</f>
        <v>21</v>
      </c>
      <c r="B488" s="76"/>
      <c r="C488" s="216">
        <f>C465+1</f>
        <v>21</v>
      </c>
      <c r="D488" s="1195" t="str">
        <f>"Tool " &amp;C488-2</f>
        <v>Tool 19</v>
      </c>
      <c r="E488" s="1195"/>
      <c r="F488" s="1195"/>
      <c r="G488" s="1195"/>
      <c r="H488" s="1195"/>
      <c r="I488" s="1195"/>
      <c r="J488" s="1195"/>
      <c r="K488" s="1195"/>
      <c r="L488" s="1195"/>
      <c r="M488" s="1195"/>
      <c r="N488" s="1195"/>
      <c r="O488" s="1195"/>
      <c r="P488" s="1195"/>
      <c r="Q488" s="1195"/>
      <c r="R488" s="1195"/>
      <c r="S488" s="1195"/>
      <c r="T488" s="142"/>
      <c r="U488" s="115"/>
      <c r="V488" s="464" t="str">
        <f>D488</f>
        <v>Tool 19</v>
      </c>
      <c r="W488" s="110"/>
      <c r="X488" s="110"/>
      <c r="Y488" s="110"/>
      <c r="Z488" s="110"/>
      <c r="AA488" s="109"/>
      <c r="AB488" s="109"/>
      <c r="AC488" s="109"/>
      <c r="AD488" s="109"/>
      <c r="AE488" s="109"/>
      <c r="AF488" s="109"/>
      <c r="AG488" s="109"/>
      <c r="AH488" s="109"/>
      <c r="AI488" s="109"/>
      <c r="AJ488" s="109"/>
      <c r="AK488" s="109"/>
      <c r="AL488" s="109"/>
    </row>
    <row r="489" spans="1:38" ht="12.75" customHeight="1" x14ac:dyDescent="0.25">
      <c r="B489" s="132"/>
      <c r="C489" s="132"/>
      <c r="D489" s="132"/>
      <c r="E489" s="191"/>
      <c r="F489" s="116"/>
      <c r="G489" s="116"/>
      <c r="H489" s="116"/>
      <c r="I489" s="116"/>
      <c r="J489" s="116"/>
      <c r="K489" s="116"/>
      <c r="L489" s="116"/>
      <c r="M489" s="116"/>
      <c r="N489" s="116"/>
      <c r="O489" s="116"/>
      <c r="P489" s="116"/>
      <c r="Q489" s="116"/>
      <c r="R489" s="116"/>
      <c r="S489" s="132"/>
      <c r="T489" s="142"/>
      <c r="U489" s="115"/>
    </row>
    <row r="490" spans="1:38" ht="12.75" customHeight="1" x14ac:dyDescent="0.25">
      <c r="B490" s="132"/>
      <c r="C490" s="132"/>
      <c r="D490" s="1377" t="str">
        <f>Translations!$B$631</f>
        <v>Component</v>
      </c>
      <c r="E490" s="1378"/>
      <c r="F490" s="633">
        <v>1</v>
      </c>
      <c r="G490" s="633">
        <v>2</v>
      </c>
      <c r="H490" s="633">
        <v>3</v>
      </c>
      <c r="I490" s="633">
        <v>4</v>
      </c>
      <c r="J490" s="633">
        <v>5</v>
      </c>
      <c r="K490" s="633">
        <v>6</v>
      </c>
      <c r="L490" s="633">
        <v>7</v>
      </c>
      <c r="M490" s="116"/>
      <c r="N490" s="116"/>
      <c r="O490" s="116"/>
      <c r="P490" s="116"/>
      <c r="Q490" s="116"/>
      <c r="R490" s="116"/>
      <c r="S490" s="132"/>
      <c r="T490" s="142"/>
      <c r="U490" s="115"/>
      <c r="V490" s="566" t="str">
        <f>Translations!$B$498</f>
        <v>Units:</v>
      </c>
      <c r="W490" s="561" t="str" cm="1">
        <f t="array" ref="W490">IFERROR(INDEX(_xlfn._xlws.FILTER(W494:W503,(W494:W503)&lt;&gt;"",""),1),W491)</f>
        <v/>
      </c>
      <c r="X490" s="561" t="str" cm="1">
        <f t="array" ref="X490">IFERROR(INDEX(_xlfn._xlws.FILTER(X494:X503,(X494:X503)&lt;&gt;"",""),1),X491)</f>
        <v/>
      </c>
      <c r="Y490" s="567"/>
      <c r="Z490" s="561" t="str" cm="1">
        <f t="array" ref="Z490">IFERROR(INDEX(_xlfn._xlws.FILTER(Z494:Z503,(Z494:Z503)&lt;&gt;"",""),1),Z491)</f>
        <v/>
      </c>
      <c r="AA490" s="567"/>
    </row>
    <row r="491" spans="1:38" ht="12.75" customHeight="1" x14ac:dyDescent="0.25">
      <c r="B491" s="132"/>
      <c r="C491" s="132"/>
      <c r="D491" s="1379"/>
      <c r="E491" s="1380"/>
      <c r="F491" s="1383" t="str">
        <f>Translations!$B$377</f>
        <v>RFA</v>
      </c>
      <c r="G491" s="1383" t="str">
        <f>Translations!$B$386</f>
        <v>UCF</v>
      </c>
      <c r="H491" s="1383" t="str">
        <f>Translations!$B$383</f>
        <v>EF</v>
      </c>
      <c r="I491" s="1383" t="str">
        <f>Translations!$B$632</f>
        <v>Zero-rated F</v>
      </c>
      <c r="J491" s="1385" t="str">
        <f>Translations!$B$652</f>
        <v>Energy or other</v>
      </c>
      <c r="K491" s="1385" t="str">
        <f>Translations!$B$522</f>
        <v>Emissions (fossil)</v>
      </c>
      <c r="L491" s="1385" t="str">
        <f>Translations!$B$634</f>
        <v>Emissions (bio)</v>
      </c>
      <c r="M491" s="116"/>
      <c r="N491" s="116"/>
      <c r="O491" s="116"/>
      <c r="P491" s="116"/>
      <c r="Q491" s="116"/>
      <c r="R491" s="116"/>
      <c r="S491" s="132"/>
      <c r="T491" s="142"/>
      <c r="U491" s="115"/>
      <c r="W491" s="561" t="str">
        <f t="array" ref="W491">IFERROR(INDEX(W494:W503,MATCH(TRUE,(W494:W503)&lt;&gt;"",0)),"")</f>
        <v/>
      </c>
      <c r="X491" s="561" t="str">
        <f t="array" ref="X491">IFERROR(INDEX(X494:X503,MATCH(TRUE,(X494:X503)&lt;&gt;"",0)),"")</f>
        <v/>
      </c>
      <c r="Y491" s="567"/>
      <c r="Z491" s="561" t="str">
        <f t="array" ref="Z491">IFERROR(INDEX(Z494:Z503,MATCH(TRUE,(Z494:Z503)&lt;&gt;"",0)),"")</f>
        <v/>
      </c>
      <c r="AA491" s="567"/>
    </row>
    <row r="492" spans="1:38" ht="12.75" customHeight="1" x14ac:dyDescent="0.3">
      <c r="B492" s="132"/>
      <c r="C492" s="132"/>
      <c r="D492" s="1379"/>
      <c r="E492" s="1380"/>
      <c r="F492" s="1384"/>
      <c r="G492" s="1384"/>
      <c r="H492" s="1384"/>
      <c r="I492" s="1384"/>
      <c r="J492" s="1386"/>
      <c r="K492" s="1386"/>
      <c r="L492" s="1386"/>
      <c r="M492" s="116"/>
      <c r="N492" s="634" t="str">
        <f>Translations!$B$635</f>
        <v>Result to be entered in sheet C</v>
      </c>
      <c r="O492" s="116"/>
      <c r="P492" s="116"/>
      <c r="Q492" s="116"/>
      <c r="R492" s="116"/>
      <c r="S492" s="132"/>
      <c r="T492" s="142"/>
      <c r="U492" s="115"/>
      <c r="W492" s="569" t="str">
        <f>Translations!$B$377</f>
        <v>RFA</v>
      </c>
      <c r="X492" s="569" t="str">
        <f>Translations!$B$386</f>
        <v>UCF</v>
      </c>
      <c r="Y492" s="569"/>
      <c r="Z492" s="569" t="str">
        <f>Translations!$B$383</f>
        <v>EF</v>
      </c>
      <c r="AA492" s="569"/>
      <c r="AB492" s="570"/>
      <c r="AC492" s="570"/>
      <c r="AH492" s="570"/>
      <c r="AI492" s="570"/>
      <c r="AJ492" s="570"/>
    </row>
    <row r="493" spans="1:38" ht="12.75" customHeight="1" x14ac:dyDescent="0.3">
      <c r="B493" s="132"/>
      <c r="C493" s="132"/>
      <c r="D493" s="1381"/>
      <c r="E493" s="1382"/>
      <c r="F493" s="635" t="str">
        <f>IF(COUNTA($E494:$E508)=0,"",$W490)</f>
        <v/>
      </c>
      <c r="G493" s="635" t="str">
        <f>IF(COUNTA($E494:$E508)=0,"",$X490)</f>
        <v/>
      </c>
      <c r="H493" s="635" t="str">
        <f>IF(COUNTA($E494:$E508)=0,"",$Z490)</f>
        <v/>
      </c>
      <c r="I493" s="636" t="s">
        <v>46</v>
      </c>
      <c r="J493" s="635" t="str">
        <f>IF(AE494=EUconst_NA,EUconst_GJ,AE494)</f>
        <v>GJ</v>
      </c>
      <c r="K493" s="637" t="s">
        <v>188</v>
      </c>
      <c r="L493" s="637" t="s">
        <v>188</v>
      </c>
      <c r="M493" s="116"/>
      <c r="N493" s="1387" t="str">
        <f>Translations!$B$636</f>
        <v>The results of this tool are the relevant (weighted average) values below. Each value has to be entered manually in sheet C for the respective fuel stream. Select fuel stream below for comparison.</v>
      </c>
      <c r="O493" s="1387"/>
      <c r="P493" s="1387"/>
      <c r="Q493" s="1387"/>
      <c r="R493" s="1387"/>
      <c r="S493" s="1387"/>
      <c r="T493" s="142"/>
      <c r="U493" s="115"/>
      <c r="W493" s="569" t="str">
        <f>EUconst_CNTR_ActivityData&amp;EUconst_Unit</f>
        <v>ActivityData_Unit</v>
      </c>
      <c r="X493" s="569" t="str">
        <f>EUconst_CNTR_UCF&amp;EUconst_Unit</f>
        <v>UCF_Unit</v>
      </c>
      <c r="Y493" s="569" t="str">
        <f>EUconst_CNTR_UCF&amp;EUconst_Value</f>
        <v>UCF_Value</v>
      </c>
      <c r="Z493" s="569" t="str">
        <f>EUconst_CNTR_EF&amp;EUconst_Unit</f>
        <v>EF_Unit</v>
      </c>
      <c r="AA493" s="569" t="str">
        <f>EUconst_CNTR_EF&amp;EUconst_Value</f>
        <v>EF_Value</v>
      </c>
      <c r="AB493" s="569" t="s">
        <v>189</v>
      </c>
      <c r="AC493" s="575"/>
      <c r="AD493" s="576" t="s">
        <v>147</v>
      </c>
      <c r="AE493" s="576" t="s">
        <v>151</v>
      </c>
      <c r="AF493" s="576" t="s">
        <v>153</v>
      </c>
      <c r="AG493" s="576" t="s">
        <v>155</v>
      </c>
      <c r="AH493" s="575"/>
      <c r="AI493" s="575"/>
      <c r="AJ493" s="575" t="s">
        <v>190</v>
      </c>
      <c r="AK493" s="575" t="s">
        <v>191</v>
      </c>
      <c r="AL493" s="575" t="s">
        <v>192</v>
      </c>
    </row>
    <row r="494" spans="1:38" ht="12.75" customHeight="1" x14ac:dyDescent="0.25">
      <c r="B494" s="132"/>
      <c r="C494" s="132"/>
      <c r="D494" s="1388" t="str">
        <f>Translations!$B$637</f>
        <v>Default compontents provided by the CA</v>
      </c>
      <c r="E494" s="42"/>
      <c r="F494" s="45"/>
      <c r="G494" s="639" t="str">
        <f>IF($E494="","",Y494)</f>
        <v/>
      </c>
      <c r="H494" s="639" t="str">
        <f>IF($E494="","",AA494)</f>
        <v/>
      </c>
      <c r="I494" s="46"/>
      <c r="J494" s="640" t="str">
        <f t="shared" ref="J494:J508" si="278">IFERROR(IF(E494="","",AL494),EUconst_ERR_Inconsistent)</f>
        <v/>
      </c>
      <c r="K494" s="640" t="str">
        <f t="shared" ref="K494:K508" si="279">IFERROR(IF(E494="","",AJ494),EUconst_ERR_Inconsistent)</f>
        <v/>
      </c>
      <c r="L494" s="640" t="str">
        <f t="shared" ref="L494:L508" si="280">IFERROR(IF(E494="","",AK494),EUconst_ERR_Inconsistent)</f>
        <v/>
      </c>
      <c r="M494" s="1389"/>
      <c r="N494" s="1387"/>
      <c r="O494" s="1387"/>
      <c r="P494" s="1387"/>
      <c r="Q494" s="1387"/>
      <c r="R494" s="1387"/>
      <c r="S494" s="1387"/>
      <c r="T494" s="142"/>
      <c r="U494" s="115"/>
      <c r="W494" s="561" t="str">
        <f t="shared" ref="W494:AA503" si="281">IF($E494="","",INDEX(MSPara_CalcFactorsMatrix,MATCH($E494,MSPara_SourceStreamCategory,0),MATCH(W$20&amp;"_"&amp;2,MSPara_CalcFactors,0)))</f>
        <v/>
      </c>
      <c r="X494" s="561" t="str">
        <f t="shared" si="281"/>
        <v/>
      </c>
      <c r="Y494" s="561" t="str">
        <f t="shared" si="281"/>
        <v/>
      </c>
      <c r="Z494" s="561" t="str">
        <f t="shared" si="281"/>
        <v/>
      </c>
      <c r="AA494" s="561" t="str">
        <f t="shared" si="281"/>
        <v/>
      </c>
      <c r="AB494" s="561" t="str">
        <f>IF(E494="","",OR(W494&lt;&gt;W490,X494&lt;&gt;X490,Z494&lt;&gt;Z490))</f>
        <v/>
      </c>
      <c r="AC494" s="567"/>
      <c r="AD494" s="561" t="str">
        <f>W494</f>
        <v/>
      </c>
      <c r="AE494" s="561" t="str">
        <f>IF(X494="",EUconst_NA,IF(AD494=EUconst_TJ,EUconst_TJ,INDEX(EUwideConstants!$C$135:$G$139,MATCH(AD494,RFAUnits,0),MATCH(X494,UCFUnits,0))))</f>
        <v>n.a.</v>
      </c>
      <c r="AF494" s="561" t="str">
        <f>IF(COUNTIF(RFAUnits,AD494)=0,EUconst_NA,INDEX(EUwideConstants!$C$150:$H$154,MATCH(Z494,EFUnits,0),MATCH(AD494,EUwideConstants!$C$149:$H$149,0)))</f>
        <v>n.a.</v>
      </c>
      <c r="AG494" s="561" t="str">
        <f>IF(AE494=EUconst_NA,EUconst_NA,INDEX(EUwideConstants!$C$150:$H$154,MATCH(Z494,EFUnits,0),MATCH(AE494,EUwideConstants!$C$149:$H$149,0)))</f>
        <v>n.a.</v>
      </c>
      <c r="AH494" s="561" t="b">
        <f t="shared" ref="AH494" si="282">AF494&lt;&gt;EUconst_NA</f>
        <v>0</v>
      </c>
      <c r="AI494" s="561" t="b">
        <f t="shared" ref="AI494" si="283">AG494&lt;&gt;EUconst_NA</f>
        <v>0</v>
      </c>
      <c r="AJ494" s="582" t="str">
        <f>IF(OR(E494="",COUNTIF(AH494:AI494,TRUE)=0),"",F494*IF(AH494,1,G494*AG494)*H494*(1-I494))</f>
        <v/>
      </c>
      <c r="AK494" s="582" t="str">
        <f>IF(OR(E494="",COUNTIF(AH494:AI494,TRUE)=0),"",F494*IF(AH494,1,G494*AG494)*H494*I494)</f>
        <v/>
      </c>
      <c r="AL494" s="582" t="str">
        <f t="shared" ref="AL494:AL508" si="284">IF(E494="","",IF(W494=EUconst_TJ,F494,F494*G494))</f>
        <v/>
      </c>
    </row>
    <row r="495" spans="1:38" ht="12.75" customHeight="1" x14ac:dyDescent="0.25">
      <c r="B495" s="132"/>
      <c r="C495" s="132"/>
      <c r="D495" s="1388"/>
      <c r="E495" s="43"/>
      <c r="F495" s="47"/>
      <c r="G495" s="641" t="str">
        <f t="shared" ref="G495:G503" si="285">IF($E495="","",Y495)</f>
        <v/>
      </c>
      <c r="H495" s="641" t="str">
        <f t="shared" ref="H495:H503" si="286">IF($E495="","",AA495)</f>
        <v/>
      </c>
      <c r="I495" s="48"/>
      <c r="J495" s="642" t="str">
        <f t="shared" si="278"/>
        <v/>
      </c>
      <c r="K495" s="642" t="str">
        <f t="shared" si="279"/>
        <v/>
      </c>
      <c r="L495" s="642" t="str">
        <f t="shared" si="280"/>
        <v/>
      </c>
      <c r="M495" s="1389"/>
      <c r="N495" s="638"/>
      <c r="O495" s="643" t="str">
        <f>Translations!$B$639</f>
        <v>Fuel stream:</v>
      </c>
      <c r="P495" s="1390"/>
      <c r="Q495" s="1391"/>
      <c r="R495" s="1391"/>
      <c r="S495" s="1392"/>
      <c r="T495" s="142"/>
      <c r="U495" s="115"/>
      <c r="W495" s="561" t="str">
        <f t="shared" si="281"/>
        <v/>
      </c>
      <c r="X495" s="561" t="str">
        <f t="shared" si="281"/>
        <v/>
      </c>
      <c r="Y495" s="561" t="str">
        <f t="shared" si="281"/>
        <v/>
      </c>
      <c r="Z495" s="561" t="str">
        <f t="shared" si="281"/>
        <v/>
      </c>
      <c r="AA495" s="561" t="str">
        <f t="shared" si="281"/>
        <v/>
      </c>
      <c r="AB495" s="561" t="str">
        <f>IF(E495="","",OR(W495&lt;&gt;W490,X495&lt;&gt;X490,Z495&lt;&gt;Z490))</f>
        <v/>
      </c>
      <c r="AC495" s="567"/>
      <c r="AD495" s="561" t="str">
        <f>AD494</f>
        <v/>
      </c>
      <c r="AE495" s="561" t="str">
        <f t="shared" ref="AE495:AI508" si="287">AE494</f>
        <v>n.a.</v>
      </c>
      <c r="AF495" s="561" t="str">
        <f t="shared" si="287"/>
        <v>n.a.</v>
      </c>
      <c r="AG495" s="561" t="str">
        <f t="shared" si="287"/>
        <v>n.a.</v>
      </c>
      <c r="AH495" s="561" t="b">
        <f t="shared" si="287"/>
        <v>0</v>
      </c>
      <c r="AI495" s="561" t="b">
        <f t="shared" si="287"/>
        <v>0</v>
      </c>
      <c r="AJ495" s="582" t="str">
        <f t="shared" ref="AJ495:AJ508" si="288">IF(OR(E495="",COUNTIF(AH495:AI495,TRUE)=0),"",F495*IF(AH495,1,G495*AG495)*H495*(1-I495))</f>
        <v/>
      </c>
      <c r="AK495" s="582" t="str">
        <f t="shared" ref="AK495:AK508" si="289">IF(OR(E495="",COUNTIF(AH495:AI495,TRUE)=0),"",F495*IF(AH495,1,G495*AG495)*H495*I495)</f>
        <v/>
      </c>
      <c r="AL495" s="582" t="str">
        <f t="shared" si="284"/>
        <v/>
      </c>
    </row>
    <row r="496" spans="1:38" ht="12.75" customHeight="1" x14ac:dyDescent="0.25">
      <c r="B496" s="132"/>
      <c r="C496" s="132"/>
      <c r="D496" s="1388"/>
      <c r="E496" s="43"/>
      <c r="F496" s="47"/>
      <c r="G496" s="641" t="str">
        <f t="shared" si="285"/>
        <v/>
      </c>
      <c r="H496" s="641" t="str">
        <f t="shared" si="286"/>
        <v/>
      </c>
      <c r="I496" s="48"/>
      <c r="J496" s="642" t="str">
        <f t="shared" si="278"/>
        <v/>
      </c>
      <c r="K496" s="642" t="str">
        <f t="shared" si="279"/>
        <v/>
      </c>
      <c r="L496" s="642" t="str">
        <f t="shared" si="280"/>
        <v/>
      </c>
      <c r="M496" s="1389"/>
      <c r="N496" s="116"/>
      <c r="O496" s="116"/>
      <c r="P496" s="116"/>
      <c r="Q496" s="116"/>
      <c r="R496" s="116"/>
      <c r="S496" s="132"/>
      <c r="T496" s="142"/>
      <c r="U496" s="115"/>
      <c r="W496" s="561" t="str">
        <f t="shared" si="281"/>
        <v/>
      </c>
      <c r="X496" s="561" t="str">
        <f t="shared" si="281"/>
        <v/>
      </c>
      <c r="Y496" s="561" t="str">
        <f t="shared" si="281"/>
        <v/>
      </c>
      <c r="Z496" s="561" t="str">
        <f t="shared" si="281"/>
        <v/>
      </c>
      <c r="AA496" s="561" t="str">
        <f t="shared" si="281"/>
        <v/>
      </c>
      <c r="AB496" s="561" t="str">
        <f>IF(E496="","",OR(W496&lt;&gt;W490,X496&lt;&gt;X490,Z496&lt;&gt;Z490))</f>
        <v/>
      </c>
      <c r="AC496" s="567"/>
      <c r="AD496" s="561" t="str">
        <f t="shared" ref="AD496:AD508" si="290">AD495</f>
        <v/>
      </c>
      <c r="AE496" s="561" t="str">
        <f t="shared" si="287"/>
        <v>n.a.</v>
      </c>
      <c r="AF496" s="561" t="str">
        <f t="shared" si="287"/>
        <v>n.a.</v>
      </c>
      <c r="AG496" s="561" t="str">
        <f t="shared" si="287"/>
        <v>n.a.</v>
      </c>
      <c r="AH496" s="561" t="b">
        <f t="shared" si="287"/>
        <v>0</v>
      </c>
      <c r="AI496" s="561" t="b">
        <f t="shared" si="287"/>
        <v>0</v>
      </c>
      <c r="AJ496" s="582" t="str">
        <f t="shared" si="288"/>
        <v/>
      </c>
      <c r="AK496" s="582" t="str">
        <f t="shared" si="289"/>
        <v/>
      </c>
      <c r="AL496" s="582" t="str">
        <f t="shared" si="284"/>
        <v/>
      </c>
    </row>
    <row r="497" spans="1:38" ht="12.75" customHeight="1" thickBot="1" x14ac:dyDescent="0.35">
      <c r="B497" s="132"/>
      <c r="C497" s="132"/>
      <c r="D497" s="1388"/>
      <c r="E497" s="43"/>
      <c r="F497" s="47"/>
      <c r="G497" s="641" t="str">
        <f t="shared" si="285"/>
        <v/>
      </c>
      <c r="H497" s="641" t="str">
        <f t="shared" si="286"/>
        <v/>
      </c>
      <c r="I497" s="48"/>
      <c r="J497" s="642" t="str">
        <f t="shared" si="278"/>
        <v/>
      </c>
      <c r="K497" s="642" t="str">
        <f t="shared" si="279"/>
        <v/>
      </c>
      <c r="L497" s="642" t="str">
        <f t="shared" si="280"/>
        <v/>
      </c>
      <c r="M497" s="1389"/>
      <c r="N497" s="1255" t="str">
        <f>Translations!$B$394</f>
        <v>Unit</v>
      </c>
      <c r="O497" s="1255"/>
      <c r="P497" s="1255" t="str">
        <f>Translations!$B$395</f>
        <v>Value</v>
      </c>
      <c r="Q497" s="1255"/>
      <c r="R497" s="116"/>
      <c r="S497" s="644" t="str">
        <f>Translations!$B$642</f>
        <v>Sheet C values</v>
      </c>
      <c r="T497" s="142"/>
      <c r="U497" s="115"/>
      <c r="W497" s="561" t="str">
        <f t="shared" si="281"/>
        <v/>
      </c>
      <c r="X497" s="561" t="str">
        <f t="shared" si="281"/>
        <v/>
      </c>
      <c r="Y497" s="561" t="str">
        <f t="shared" si="281"/>
        <v/>
      </c>
      <c r="Z497" s="561" t="str">
        <f t="shared" si="281"/>
        <v/>
      </c>
      <c r="AA497" s="561" t="str">
        <f t="shared" si="281"/>
        <v/>
      </c>
      <c r="AB497" s="561" t="str">
        <f>IF(E497="","",OR(W497&lt;&gt;W490,X497&lt;&gt;X490,Z497&lt;&gt;Z490))</f>
        <v/>
      </c>
      <c r="AC497" s="567"/>
      <c r="AD497" s="561" t="str">
        <f t="shared" si="290"/>
        <v/>
      </c>
      <c r="AE497" s="561" t="str">
        <f t="shared" si="287"/>
        <v>n.a.</v>
      </c>
      <c r="AF497" s="561" t="str">
        <f t="shared" si="287"/>
        <v>n.a.</v>
      </c>
      <c r="AG497" s="561" t="str">
        <f t="shared" si="287"/>
        <v>n.a.</v>
      </c>
      <c r="AH497" s="561" t="b">
        <f t="shared" si="287"/>
        <v>0</v>
      </c>
      <c r="AI497" s="561" t="b">
        <f t="shared" si="287"/>
        <v>0</v>
      </c>
      <c r="AJ497" s="582" t="str">
        <f t="shared" si="288"/>
        <v/>
      </c>
      <c r="AK497" s="582" t="str">
        <f t="shared" si="289"/>
        <v/>
      </c>
      <c r="AL497" s="582" t="str">
        <f t="shared" si="284"/>
        <v/>
      </c>
    </row>
    <row r="498" spans="1:38" ht="12.75" customHeight="1" thickBot="1" x14ac:dyDescent="0.3">
      <c r="B498" s="132"/>
      <c r="C498" s="132"/>
      <c r="D498" s="1388"/>
      <c r="E498" s="43"/>
      <c r="F498" s="47"/>
      <c r="G498" s="641" t="str">
        <f t="shared" si="285"/>
        <v/>
      </c>
      <c r="H498" s="641" t="str">
        <f t="shared" si="286"/>
        <v/>
      </c>
      <c r="I498" s="48"/>
      <c r="J498" s="642" t="str">
        <f t="shared" si="278"/>
        <v/>
      </c>
      <c r="K498" s="642" t="str">
        <f t="shared" si="279"/>
        <v/>
      </c>
      <c r="L498" s="642" t="str">
        <f t="shared" si="280"/>
        <v/>
      </c>
      <c r="M498" s="116"/>
      <c r="N498" s="346" t="str">
        <f>F493</f>
        <v/>
      </c>
      <c r="O498" s="7"/>
      <c r="P498" s="1393" t="str">
        <f>IF(F509="","",F509)</f>
        <v/>
      </c>
      <c r="Q498" s="1394"/>
      <c r="R498" s="116"/>
      <c r="S498" s="645" t="str">
        <f>IF(P495="","",SUMIFS(C_FuelStreams!BK:BK,C_FuelStreams!BI:BI,P495))</f>
        <v/>
      </c>
      <c r="T498" s="142"/>
      <c r="U498" s="115"/>
      <c r="W498" s="561" t="str">
        <f t="shared" si="281"/>
        <v/>
      </c>
      <c r="X498" s="561" t="str">
        <f t="shared" si="281"/>
        <v/>
      </c>
      <c r="Y498" s="561" t="str">
        <f t="shared" si="281"/>
        <v/>
      </c>
      <c r="Z498" s="561" t="str">
        <f t="shared" si="281"/>
        <v/>
      </c>
      <c r="AA498" s="561" t="str">
        <f t="shared" si="281"/>
        <v/>
      </c>
      <c r="AB498" s="561" t="str">
        <f>IF(E498="","",OR(W498&lt;&gt;W490,X498&lt;&gt;X490,Z498&lt;&gt;Z490))</f>
        <v/>
      </c>
      <c r="AC498" s="567"/>
      <c r="AD498" s="561" t="str">
        <f t="shared" si="290"/>
        <v/>
      </c>
      <c r="AE498" s="561" t="str">
        <f t="shared" si="287"/>
        <v>n.a.</v>
      </c>
      <c r="AF498" s="561" t="str">
        <f t="shared" si="287"/>
        <v>n.a.</v>
      </c>
      <c r="AG498" s="561" t="str">
        <f t="shared" si="287"/>
        <v>n.a.</v>
      </c>
      <c r="AH498" s="561" t="b">
        <f t="shared" si="287"/>
        <v>0</v>
      </c>
      <c r="AI498" s="561" t="b">
        <f t="shared" si="287"/>
        <v>0</v>
      </c>
      <c r="AJ498" s="582" t="str">
        <f t="shared" si="288"/>
        <v/>
      </c>
      <c r="AK498" s="582" t="str">
        <f t="shared" si="289"/>
        <v/>
      </c>
      <c r="AL498" s="582" t="str">
        <f t="shared" si="284"/>
        <v/>
      </c>
    </row>
    <row r="499" spans="1:38" ht="12.75" customHeight="1" thickBot="1" x14ac:dyDescent="0.3">
      <c r="B499" s="132"/>
      <c r="C499" s="132"/>
      <c r="D499" s="1388"/>
      <c r="E499" s="43"/>
      <c r="F499" s="47"/>
      <c r="G499" s="641" t="str">
        <f t="shared" si="285"/>
        <v/>
      </c>
      <c r="H499" s="641" t="str">
        <f t="shared" si="286"/>
        <v/>
      </c>
      <c r="I499" s="48"/>
      <c r="J499" s="642" t="str">
        <f t="shared" si="278"/>
        <v/>
      </c>
      <c r="K499" s="642" t="str">
        <f t="shared" si="279"/>
        <v/>
      </c>
      <c r="L499" s="642" t="str">
        <f t="shared" si="280"/>
        <v/>
      </c>
      <c r="M499" s="116"/>
      <c r="N499" s="162"/>
      <c r="O499" s="162"/>
      <c r="P499" s="76"/>
      <c r="Q499" s="76"/>
      <c r="R499" s="116"/>
      <c r="S499" s="996"/>
      <c r="T499" s="142"/>
      <c r="U499" s="115"/>
      <c r="W499" s="561" t="str">
        <f t="shared" si="281"/>
        <v/>
      </c>
      <c r="X499" s="561" t="str">
        <f t="shared" si="281"/>
        <v/>
      </c>
      <c r="Y499" s="561" t="str">
        <f t="shared" si="281"/>
        <v/>
      </c>
      <c r="Z499" s="561" t="str">
        <f t="shared" si="281"/>
        <v/>
      </c>
      <c r="AA499" s="561" t="str">
        <f t="shared" si="281"/>
        <v/>
      </c>
      <c r="AB499" s="561" t="str">
        <f>IF(E499="","",OR(W499&lt;&gt;W490,X499&lt;&gt;X490,Z499&lt;&gt;Z490))</f>
        <v/>
      </c>
      <c r="AC499" s="567"/>
      <c r="AD499" s="561" t="str">
        <f t="shared" si="290"/>
        <v/>
      </c>
      <c r="AE499" s="561" t="str">
        <f t="shared" si="287"/>
        <v>n.a.</v>
      </c>
      <c r="AF499" s="561" t="str">
        <f t="shared" si="287"/>
        <v>n.a.</v>
      </c>
      <c r="AG499" s="561" t="str">
        <f t="shared" si="287"/>
        <v>n.a.</v>
      </c>
      <c r="AH499" s="561" t="b">
        <f t="shared" si="287"/>
        <v>0</v>
      </c>
      <c r="AI499" s="561" t="b">
        <f t="shared" si="287"/>
        <v>0</v>
      </c>
      <c r="AJ499" s="582" t="str">
        <f t="shared" si="288"/>
        <v/>
      </c>
      <c r="AK499" s="582" t="str">
        <f t="shared" si="289"/>
        <v/>
      </c>
      <c r="AL499" s="582" t="str">
        <f t="shared" si="284"/>
        <v/>
      </c>
    </row>
    <row r="500" spans="1:38" ht="12.75" customHeight="1" x14ac:dyDescent="0.25">
      <c r="B500" s="132"/>
      <c r="C500" s="132"/>
      <c r="D500" s="1388"/>
      <c r="E500" s="43"/>
      <c r="F500" s="47"/>
      <c r="G500" s="641" t="str">
        <f t="shared" si="285"/>
        <v/>
      </c>
      <c r="H500" s="641" t="str">
        <f t="shared" si="286"/>
        <v/>
      </c>
      <c r="I500" s="48"/>
      <c r="J500" s="642" t="str">
        <f t="shared" si="278"/>
        <v/>
      </c>
      <c r="K500" s="642" t="str">
        <f t="shared" si="279"/>
        <v/>
      </c>
      <c r="L500" s="642" t="str">
        <f t="shared" si="280"/>
        <v/>
      </c>
      <c r="M500" s="116"/>
      <c r="N500" s="365" t="str">
        <f>G493</f>
        <v/>
      </c>
      <c r="O500" s="11"/>
      <c r="P500" s="366"/>
      <c r="Q500" s="646" t="str">
        <f>IF(G509="","",G509)</f>
        <v/>
      </c>
      <c r="R500" s="116"/>
      <c r="S500" s="647" t="str">
        <f>IF(P495="","",SUMIFS(C_FuelStreams!BU:BU,C_FuelStreams!BI:BI,P495))</f>
        <v/>
      </c>
      <c r="T500" s="142"/>
      <c r="U500" s="115"/>
      <c r="W500" s="561" t="str">
        <f t="shared" si="281"/>
        <v/>
      </c>
      <c r="X500" s="561" t="str">
        <f t="shared" si="281"/>
        <v/>
      </c>
      <c r="Y500" s="561" t="str">
        <f t="shared" si="281"/>
        <v/>
      </c>
      <c r="Z500" s="561" t="str">
        <f t="shared" si="281"/>
        <v/>
      </c>
      <c r="AA500" s="561" t="str">
        <f t="shared" si="281"/>
        <v/>
      </c>
      <c r="AB500" s="561" t="str">
        <f>IF(E500="","",OR(W500&lt;&gt;W490,X500&lt;&gt;X490,Z500&lt;&gt;Z490))</f>
        <v/>
      </c>
      <c r="AC500" s="567"/>
      <c r="AD500" s="561" t="str">
        <f t="shared" si="290"/>
        <v/>
      </c>
      <c r="AE500" s="561" t="str">
        <f t="shared" si="287"/>
        <v>n.a.</v>
      </c>
      <c r="AF500" s="561" t="str">
        <f t="shared" si="287"/>
        <v>n.a.</v>
      </c>
      <c r="AG500" s="561" t="str">
        <f t="shared" si="287"/>
        <v>n.a.</v>
      </c>
      <c r="AH500" s="561" t="b">
        <f t="shared" si="287"/>
        <v>0</v>
      </c>
      <c r="AI500" s="561" t="b">
        <f t="shared" si="287"/>
        <v>0</v>
      </c>
      <c r="AJ500" s="582" t="str">
        <f t="shared" si="288"/>
        <v/>
      </c>
      <c r="AK500" s="582" t="str">
        <f t="shared" si="289"/>
        <v/>
      </c>
      <c r="AL500" s="582" t="str">
        <f t="shared" si="284"/>
        <v/>
      </c>
    </row>
    <row r="501" spans="1:38" ht="12.75" customHeight="1" thickBot="1" x14ac:dyDescent="0.3">
      <c r="B501" s="132"/>
      <c r="C501" s="132"/>
      <c r="D501" s="1388"/>
      <c r="E501" s="43"/>
      <c r="F501" s="47"/>
      <c r="G501" s="641" t="str">
        <f t="shared" si="285"/>
        <v/>
      </c>
      <c r="H501" s="641" t="str">
        <f t="shared" si="286"/>
        <v/>
      </c>
      <c r="I501" s="48"/>
      <c r="J501" s="642" t="str">
        <f t="shared" si="278"/>
        <v/>
      </c>
      <c r="K501" s="642" t="str">
        <f t="shared" si="279"/>
        <v/>
      </c>
      <c r="L501" s="642" t="str">
        <f t="shared" si="280"/>
        <v/>
      </c>
      <c r="M501" s="116"/>
      <c r="N501" s="648" t="str">
        <f>H493</f>
        <v/>
      </c>
      <c r="O501" s="22"/>
      <c r="P501" s="649"/>
      <c r="Q501" s="650" t="str">
        <f>IF(H509="","",H509)</f>
        <v/>
      </c>
      <c r="R501" s="116"/>
      <c r="S501" s="651" t="str">
        <f>IF(P495="","",SUMIFS(C_FuelStreams!BR:BR,C_FuelStreams!BI:BI,P495))</f>
        <v/>
      </c>
      <c r="T501" s="142"/>
      <c r="U501" s="115"/>
      <c r="W501" s="561" t="str">
        <f t="shared" si="281"/>
        <v/>
      </c>
      <c r="X501" s="561" t="str">
        <f t="shared" si="281"/>
        <v/>
      </c>
      <c r="Y501" s="561" t="str">
        <f t="shared" si="281"/>
        <v/>
      </c>
      <c r="Z501" s="561" t="str">
        <f t="shared" si="281"/>
        <v/>
      </c>
      <c r="AA501" s="561" t="str">
        <f t="shared" si="281"/>
        <v/>
      </c>
      <c r="AB501" s="561" t="str">
        <f>IF(E501="","",OR(W501&lt;&gt;W490,X501&lt;&gt;X490,Z501&lt;&gt;Z490))</f>
        <v/>
      </c>
      <c r="AC501" s="567"/>
      <c r="AD501" s="561" t="str">
        <f t="shared" si="290"/>
        <v/>
      </c>
      <c r="AE501" s="561" t="str">
        <f t="shared" si="287"/>
        <v>n.a.</v>
      </c>
      <c r="AF501" s="561" t="str">
        <f t="shared" si="287"/>
        <v>n.a.</v>
      </c>
      <c r="AG501" s="561" t="str">
        <f t="shared" si="287"/>
        <v>n.a.</v>
      </c>
      <c r="AH501" s="561" t="b">
        <f t="shared" si="287"/>
        <v>0</v>
      </c>
      <c r="AI501" s="561" t="b">
        <f t="shared" si="287"/>
        <v>0</v>
      </c>
      <c r="AJ501" s="582" t="str">
        <f t="shared" si="288"/>
        <v/>
      </c>
      <c r="AK501" s="582" t="str">
        <f t="shared" si="289"/>
        <v/>
      </c>
      <c r="AL501" s="582" t="str">
        <f t="shared" si="284"/>
        <v/>
      </c>
    </row>
    <row r="502" spans="1:38" ht="12.75" customHeight="1" x14ac:dyDescent="0.25">
      <c r="B502" s="132"/>
      <c r="C502" s="132"/>
      <c r="D502" s="1388"/>
      <c r="E502" s="43"/>
      <c r="F502" s="47"/>
      <c r="G502" s="641" t="str">
        <f t="shared" si="285"/>
        <v/>
      </c>
      <c r="H502" s="641" t="str">
        <f t="shared" si="286"/>
        <v/>
      </c>
      <c r="I502" s="48"/>
      <c r="J502" s="642" t="str">
        <f t="shared" si="278"/>
        <v/>
      </c>
      <c r="K502" s="642" t="str">
        <f t="shared" si="279"/>
        <v/>
      </c>
      <c r="L502" s="642" t="str">
        <f t="shared" si="280"/>
        <v/>
      </c>
      <c r="M502" s="116"/>
      <c r="N502" s="652" t="s">
        <v>46</v>
      </c>
      <c r="O502" s="411"/>
      <c r="P502" s="653"/>
      <c r="Q502" s="654" t="str">
        <f>IF(I509="","",I509)</f>
        <v/>
      </c>
      <c r="R502" s="116"/>
      <c r="S502" s="655" t="str">
        <f>IF(P495="","",SUMIFS(C_FuelStreams!BX:BX,C_FuelStreams!BI:BI,P495))</f>
        <v/>
      </c>
      <c r="T502" s="142"/>
      <c r="U502" s="115"/>
      <c r="W502" s="561" t="str">
        <f t="shared" si="281"/>
        <v/>
      </c>
      <c r="X502" s="561" t="str">
        <f t="shared" si="281"/>
        <v/>
      </c>
      <c r="Y502" s="561" t="str">
        <f t="shared" si="281"/>
        <v/>
      </c>
      <c r="Z502" s="561" t="str">
        <f t="shared" si="281"/>
        <v/>
      </c>
      <c r="AA502" s="561" t="str">
        <f t="shared" si="281"/>
        <v/>
      </c>
      <c r="AB502" s="561" t="str">
        <f>IF(E502="","",OR(W502&lt;&gt;W490,X502&lt;&gt;X490,Z502&lt;&gt;Z490))</f>
        <v/>
      </c>
      <c r="AC502" s="567"/>
      <c r="AD502" s="561" t="str">
        <f t="shared" si="290"/>
        <v/>
      </c>
      <c r="AE502" s="561" t="str">
        <f t="shared" si="287"/>
        <v>n.a.</v>
      </c>
      <c r="AF502" s="561" t="str">
        <f t="shared" si="287"/>
        <v>n.a.</v>
      </c>
      <c r="AG502" s="561" t="str">
        <f t="shared" si="287"/>
        <v>n.a.</v>
      </c>
      <c r="AH502" s="561" t="b">
        <f t="shared" si="287"/>
        <v>0</v>
      </c>
      <c r="AI502" s="561" t="b">
        <f t="shared" si="287"/>
        <v>0</v>
      </c>
      <c r="AJ502" s="582" t="str">
        <f t="shared" si="288"/>
        <v/>
      </c>
      <c r="AK502" s="582" t="str">
        <f t="shared" si="289"/>
        <v/>
      </c>
      <c r="AL502" s="582" t="str">
        <f t="shared" si="284"/>
        <v/>
      </c>
    </row>
    <row r="503" spans="1:38" ht="12.75" customHeight="1" x14ac:dyDescent="0.25">
      <c r="B503" s="132"/>
      <c r="C503" s="132"/>
      <c r="D503" s="1388"/>
      <c r="E503" s="43"/>
      <c r="F503" s="47"/>
      <c r="G503" s="641" t="str">
        <f t="shared" si="285"/>
        <v/>
      </c>
      <c r="H503" s="641" t="str">
        <f t="shared" si="286"/>
        <v/>
      </c>
      <c r="I503" s="48"/>
      <c r="J503" s="642" t="str">
        <f t="shared" si="278"/>
        <v/>
      </c>
      <c r="K503" s="642" t="str">
        <f t="shared" si="279"/>
        <v/>
      </c>
      <c r="L503" s="642" t="str">
        <f t="shared" si="280"/>
        <v/>
      </c>
      <c r="M503" s="1395"/>
      <c r="N503" s="116"/>
      <c r="O503" s="116"/>
      <c r="P503" s="116"/>
      <c r="Q503" s="116"/>
      <c r="R503" s="116"/>
      <c r="S503" s="132"/>
      <c r="T503" s="142"/>
      <c r="U503" s="115"/>
      <c r="W503" s="561" t="str">
        <f t="shared" si="281"/>
        <v/>
      </c>
      <c r="X503" s="561" t="str">
        <f t="shared" si="281"/>
        <v/>
      </c>
      <c r="Y503" s="561" t="str">
        <f t="shared" si="281"/>
        <v/>
      </c>
      <c r="Z503" s="561" t="str">
        <f t="shared" si="281"/>
        <v/>
      </c>
      <c r="AA503" s="561" t="str">
        <f t="shared" si="281"/>
        <v/>
      </c>
      <c r="AB503" s="561" t="str">
        <f>IF(E503="","",OR(W503&lt;&gt;W490,X503&lt;&gt;X490,Z503&lt;&gt;Z490))</f>
        <v/>
      </c>
      <c r="AC503" s="567"/>
      <c r="AD503" s="561" t="str">
        <f t="shared" si="290"/>
        <v/>
      </c>
      <c r="AE503" s="561" t="str">
        <f t="shared" si="287"/>
        <v>n.a.</v>
      </c>
      <c r="AF503" s="561" t="str">
        <f t="shared" si="287"/>
        <v>n.a.</v>
      </c>
      <c r="AG503" s="561" t="str">
        <f t="shared" si="287"/>
        <v>n.a.</v>
      </c>
      <c r="AH503" s="561" t="b">
        <f t="shared" si="287"/>
        <v>0</v>
      </c>
      <c r="AI503" s="561" t="b">
        <f t="shared" si="287"/>
        <v>0</v>
      </c>
      <c r="AJ503" s="582" t="str">
        <f t="shared" si="288"/>
        <v/>
      </c>
      <c r="AK503" s="582" t="str">
        <f t="shared" si="289"/>
        <v/>
      </c>
      <c r="AL503" s="582" t="str">
        <f t="shared" si="284"/>
        <v/>
      </c>
    </row>
    <row r="504" spans="1:38" ht="12.75" customHeight="1" x14ac:dyDescent="0.25">
      <c r="B504" s="132"/>
      <c r="C504" s="132"/>
      <c r="D504" s="1388" t="str">
        <f>Translations!$B$643</f>
        <v>Customised components</v>
      </c>
      <c r="E504" s="42"/>
      <c r="F504" s="45"/>
      <c r="G504" s="49"/>
      <c r="H504" s="49"/>
      <c r="I504" s="46"/>
      <c r="J504" s="640" t="str">
        <f t="shared" si="278"/>
        <v/>
      </c>
      <c r="K504" s="640" t="str">
        <f t="shared" si="279"/>
        <v/>
      </c>
      <c r="L504" s="640" t="str">
        <f t="shared" si="280"/>
        <v/>
      </c>
      <c r="M504" s="1395"/>
      <c r="N504" s="116"/>
      <c r="O504" s="116"/>
      <c r="P504" s="656" t="str">
        <f>Translations!$B$644</f>
        <v>CO2 fossil (before scope factor):</v>
      </c>
      <c r="Q504" s="997" t="str">
        <f>IF(K509="","",K509)</f>
        <v/>
      </c>
      <c r="R504" s="656"/>
      <c r="S504" s="997" t="str">
        <f>IF(P495="","",IF(W504=0,0,SUMIFS(C_FuelStreams!CE:CE,C_FuelStreams!BI:BI,P495)/W504))</f>
        <v/>
      </c>
      <c r="T504" s="142"/>
      <c r="U504" s="115"/>
      <c r="V504" s="110" t="str">
        <f>Translations!$B$398</f>
        <v>Scope factor:</v>
      </c>
      <c r="W504" s="617" t="str">
        <f>IF(P495="","",SUMIFS(C_FuelStreams!BP:BP,C_FuelStreams!BI:BI,P495))</f>
        <v/>
      </c>
      <c r="AD504" s="561" t="str">
        <f t="shared" si="290"/>
        <v/>
      </c>
      <c r="AE504" s="561" t="str">
        <f t="shared" si="287"/>
        <v>n.a.</v>
      </c>
      <c r="AF504" s="561" t="str">
        <f t="shared" si="287"/>
        <v>n.a.</v>
      </c>
      <c r="AG504" s="561" t="str">
        <f t="shared" si="287"/>
        <v>n.a.</v>
      </c>
      <c r="AH504" s="561" t="b">
        <f t="shared" si="287"/>
        <v>0</v>
      </c>
      <c r="AI504" s="561" t="b">
        <f t="shared" si="287"/>
        <v>0</v>
      </c>
      <c r="AJ504" s="582" t="str">
        <f t="shared" si="288"/>
        <v/>
      </c>
      <c r="AK504" s="582" t="str">
        <f t="shared" si="289"/>
        <v/>
      </c>
      <c r="AL504" s="582" t="str">
        <f t="shared" si="284"/>
        <v/>
      </c>
    </row>
    <row r="505" spans="1:38" ht="12.75" customHeight="1" x14ac:dyDescent="0.25">
      <c r="B505" s="132"/>
      <c r="C505" s="132"/>
      <c r="D505" s="1388"/>
      <c r="E505" s="43"/>
      <c r="F505" s="47"/>
      <c r="G505" s="50"/>
      <c r="H505" s="50"/>
      <c r="I505" s="48"/>
      <c r="J505" s="642" t="str">
        <f t="shared" si="278"/>
        <v/>
      </c>
      <c r="K505" s="642" t="str">
        <f t="shared" si="279"/>
        <v/>
      </c>
      <c r="L505" s="642" t="str">
        <f t="shared" si="280"/>
        <v/>
      </c>
      <c r="M505" s="1395"/>
      <c r="N505" s="116"/>
      <c r="O505" s="116"/>
      <c r="P505" s="116"/>
      <c r="Q505" s="116"/>
      <c r="R505" s="116"/>
      <c r="S505" s="132"/>
      <c r="T505" s="142"/>
      <c r="U505" s="115"/>
      <c r="AD505" s="561" t="str">
        <f t="shared" si="290"/>
        <v/>
      </c>
      <c r="AE505" s="561" t="str">
        <f t="shared" si="287"/>
        <v>n.a.</v>
      </c>
      <c r="AF505" s="561" t="str">
        <f t="shared" si="287"/>
        <v>n.a.</v>
      </c>
      <c r="AG505" s="561" t="str">
        <f t="shared" si="287"/>
        <v>n.a.</v>
      </c>
      <c r="AH505" s="561" t="b">
        <f t="shared" si="287"/>
        <v>0</v>
      </c>
      <c r="AI505" s="561" t="b">
        <f t="shared" si="287"/>
        <v>0</v>
      </c>
      <c r="AJ505" s="582" t="str">
        <f t="shared" si="288"/>
        <v/>
      </c>
      <c r="AK505" s="582" t="str">
        <f t="shared" si="289"/>
        <v/>
      </c>
      <c r="AL505" s="582" t="str">
        <f t="shared" si="284"/>
        <v/>
      </c>
    </row>
    <row r="506" spans="1:38" ht="12.75" customHeight="1" x14ac:dyDescent="0.25">
      <c r="B506" s="132"/>
      <c r="C506" s="132"/>
      <c r="D506" s="1388"/>
      <c r="E506" s="43"/>
      <c r="F506" s="47"/>
      <c r="G506" s="50"/>
      <c r="H506" s="50"/>
      <c r="I506" s="48"/>
      <c r="J506" s="642" t="str">
        <f t="shared" si="278"/>
        <v/>
      </c>
      <c r="K506" s="642" t="str">
        <f t="shared" si="279"/>
        <v/>
      </c>
      <c r="L506" s="642" t="str">
        <f t="shared" si="280"/>
        <v/>
      </c>
      <c r="M506" s="1395"/>
      <c r="N506" s="116"/>
      <c r="O506" s="116"/>
      <c r="P506" s="116"/>
      <c r="Q506" s="116"/>
      <c r="R506" s="116"/>
      <c r="S506" s="132"/>
      <c r="T506" s="142"/>
      <c r="U506" s="115"/>
      <c r="AD506" s="561" t="str">
        <f t="shared" si="290"/>
        <v/>
      </c>
      <c r="AE506" s="561" t="str">
        <f t="shared" si="287"/>
        <v>n.a.</v>
      </c>
      <c r="AF506" s="561" t="str">
        <f t="shared" si="287"/>
        <v>n.a.</v>
      </c>
      <c r="AG506" s="561" t="str">
        <f t="shared" si="287"/>
        <v>n.a.</v>
      </c>
      <c r="AH506" s="561" t="b">
        <f t="shared" si="287"/>
        <v>0</v>
      </c>
      <c r="AI506" s="561" t="b">
        <f t="shared" si="287"/>
        <v>0</v>
      </c>
      <c r="AJ506" s="582" t="str">
        <f t="shared" si="288"/>
        <v/>
      </c>
      <c r="AK506" s="582" t="str">
        <f t="shared" si="289"/>
        <v/>
      </c>
      <c r="AL506" s="582" t="str">
        <f t="shared" si="284"/>
        <v/>
      </c>
    </row>
    <row r="507" spans="1:38" ht="12.75" customHeight="1" x14ac:dyDescent="0.25">
      <c r="B507" s="132"/>
      <c r="C507" s="132"/>
      <c r="D507" s="1388"/>
      <c r="E507" s="43"/>
      <c r="F507" s="47"/>
      <c r="G507" s="50"/>
      <c r="H507" s="50"/>
      <c r="I507" s="48"/>
      <c r="J507" s="642" t="str">
        <f t="shared" si="278"/>
        <v/>
      </c>
      <c r="K507" s="642" t="str">
        <f t="shared" si="279"/>
        <v/>
      </c>
      <c r="L507" s="642" t="str">
        <f t="shared" si="280"/>
        <v/>
      </c>
      <c r="M507" s="1395"/>
      <c r="N507" s="116"/>
      <c r="O507" s="116"/>
      <c r="P507" s="116"/>
      <c r="Q507" s="116"/>
      <c r="R507" s="116"/>
      <c r="S507" s="132"/>
      <c r="T507" s="142"/>
      <c r="U507" s="115"/>
      <c r="AD507" s="561" t="str">
        <f t="shared" si="290"/>
        <v/>
      </c>
      <c r="AE507" s="561" t="str">
        <f t="shared" si="287"/>
        <v>n.a.</v>
      </c>
      <c r="AF507" s="561" t="str">
        <f t="shared" si="287"/>
        <v>n.a.</v>
      </c>
      <c r="AG507" s="561" t="str">
        <f t="shared" si="287"/>
        <v>n.a.</v>
      </c>
      <c r="AH507" s="561" t="b">
        <f t="shared" si="287"/>
        <v>0</v>
      </c>
      <c r="AI507" s="561" t="b">
        <f t="shared" si="287"/>
        <v>0</v>
      </c>
      <c r="AJ507" s="582" t="str">
        <f t="shared" si="288"/>
        <v/>
      </c>
      <c r="AK507" s="582" t="str">
        <f t="shared" si="289"/>
        <v/>
      </c>
      <c r="AL507" s="582" t="str">
        <f t="shared" si="284"/>
        <v/>
      </c>
    </row>
    <row r="508" spans="1:38" ht="12.75" customHeight="1" x14ac:dyDescent="0.25">
      <c r="B508" s="132"/>
      <c r="C508" s="132"/>
      <c r="D508" s="1388"/>
      <c r="E508" s="44"/>
      <c r="F508" s="51"/>
      <c r="G508" s="52"/>
      <c r="H508" s="52"/>
      <c r="I508" s="53"/>
      <c r="J508" s="657" t="str">
        <f t="shared" si="278"/>
        <v/>
      </c>
      <c r="K508" s="657" t="str">
        <f t="shared" si="279"/>
        <v/>
      </c>
      <c r="L508" s="657" t="str">
        <f t="shared" si="280"/>
        <v/>
      </c>
      <c r="M508" s="1395"/>
      <c r="N508" s="116"/>
      <c r="O508" s="116"/>
      <c r="P508" s="116"/>
      <c r="Q508" s="116"/>
      <c r="R508" s="116"/>
      <c r="S508" s="132"/>
      <c r="T508" s="142"/>
      <c r="U508" s="115"/>
      <c r="AD508" s="561" t="str">
        <f t="shared" si="290"/>
        <v/>
      </c>
      <c r="AE508" s="561" t="str">
        <f t="shared" si="287"/>
        <v>n.a.</v>
      </c>
      <c r="AF508" s="561" t="str">
        <f t="shared" si="287"/>
        <v>n.a.</v>
      </c>
      <c r="AG508" s="561" t="str">
        <f t="shared" si="287"/>
        <v>n.a.</v>
      </c>
      <c r="AH508" s="561" t="b">
        <f t="shared" si="287"/>
        <v>0</v>
      </c>
      <c r="AI508" s="561" t="b">
        <f t="shared" si="287"/>
        <v>0</v>
      </c>
      <c r="AJ508" s="582" t="str">
        <f t="shared" si="288"/>
        <v/>
      </c>
      <c r="AK508" s="582" t="str">
        <f t="shared" si="289"/>
        <v/>
      </c>
      <c r="AL508" s="582" t="str">
        <f t="shared" si="284"/>
        <v/>
      </c>
    </row>
    <row r="509" spans="1:38" ht="12.75" customHeight="1" x14ac:dyDescent="0.25">
      <c r="B509" s="132"/>
      <c r="C509" s="132"/>
      <c r="D509" s="132"/>
      <c r="E509" s="658" t="str">
        <f>Translations!$B$645</f>
        <v>TOTALS</v>
      </c>
      <c r="F509" s="659" t="str">
        <f>IF(SUM(F494:F508)=0,"",SUM(F494:F508))</f>
        <v/>
      </c>
      <c r="G509" s="660" t="str">
        <f>IF(SUM(F509)=0,"",J509/F509)</f>
        <v/>
      </c>
      <c r="H509" s="660" t="str">
        <f>IF(SUM(J509)=0,"",SUM(K509:L509)/IF(AF494&lt;&gt;EUconst_NA,F509,J509)/IF(AG494=EUconst_NA,1,AG494))</f>
        <v/>
      </c>
      <c r="I509" s="661" t="str">
        <f>IF(SUM(K509:L509)=0,"",L509/SUM(K509:L509))</f>
        <v/>
      </c>
      <c r="J509" s="659" t="str">
        <f>IF(COUNTA(E494:E508)=0,"",IFERROR(SUM(J494:J508),EUconst_ERR_Inconsistent))</f>
        <v/>
      </c>
      <c r="K509" s="659" t="str">
        <f>IF(COUNTA(E494:E508)=0,"",IFERROR(SUM(K494:K508),EUconst_ERR_Inconsistent))</f>
        <v/>
      </c>
      <c r="L509" s="659" t="str">
        <f>IF(COUNTA(E494:E508)=0,"",IFERROR(SUM(L494:L508),EUconst_ERR_Inconsistent))</f>
        <v/>
      </c>
      <c r="M509" s="1395"/>
      <c r="N509" s="116"/>
      <c r="O509" s="116"/>
      <c r="P509" s="116"/>
      <c r="Q509" s="116"/>
      <c r="R509" s="116"/>
      <c r="S509" s="132"/>
      <c r="T509" s="142"/>
      <c r="U509" s="115"/>
    </row>
    <row r="510" spans="1:38" ht="12.75" customHeight="1" x14ac:dyDescent="0.25">
      <c r="B510" s="132"/>
      <c r="C510" s="132"/>
      <c r="D510" s="132"/>
      <c r="E510" s="191"/>
      <c r="F510" s="116"/>
      <c r="G510" s="116"/>
      <c r="H510" s="116"/>
      <c r="I510" s="116"/>
      <c r="J510" s="116"/>
      <c r="K510" s="116"/>
      <c r="L510" s="116"/>
      <c r="M510" s="116"/>
      <c r="N510" s="116"/>
      <c r="O510" s="116"/>
      <c r="P510" s="116"/>
      <c r="Q510" s="116"/>
      <c r="R510" s="116"/>
      <c r="S510" s="132"/>
      <c r="T510" s="142"/>
      <c r="U510" s="115"/>
    </row>
    <row r="511" spans="1:38" s="69" customFormat="1" ht="18.75" customHeight="1" x14ac:dyDescent="0.25">
      <c r="A511" s="167">
        <f>C511</f>
        <v>22</v>
      </c>
      <c r="B511" s="76"/>
      <c r="C511" s="216">
        <f>C488+1</f>
        <v>22</v>
      </c>
      <c r="D511" s="1195" t="str">
        <f>"Tool " &amp;C511-2</f>
        <v>Tool 20</v>
      </c>
      <c r="E511" s="1195"/>
      <c r="F511" s="1195"/>
      <c r="G511" s="1195"/>
      <c r="H511" s="1195"/>
      <c r="I511" s="1195"/>
      <c r="J511" s="1195"/>
      <c r="K511" s="1195"/>
      <c r="L511" s="1195"/>
      <c r="M511" s="1195"/>
      <c r="N511" s="1195"/>
      <c r="O511" s="1195"/>
      <c r="P511" s="1195"/>
      <c r="Q511" s="1195"/>
      <c r="R511" s="1195"/>
      <c r="S511" s="1195"/>
      <c r="T511" s="142"/>
      <c r="U511" s="115"/>
      <c r="V511" s="464" t="str">
        <f>D511</f>
        <v>Tool 20</v>
      </c>
      <c r="W511" s="110"/>
      <c r="X511" s="110"/>
      <c r="Y511" s="110"/>
      <c r="Z511" s="110"/>
      <c r="AA511" s="109"/>
      <c r="AB511" s="109"/>
      <c r="AC511" s="109"/>
      <c r="AD511" s="109"/>
      <c r="AE511" s="109"/>
      <c r="AF511" s="109"/>
      <c r="AG511" s="109"/>
      <c r="AH511" s="109"/>
      <c r="AI511" s="109"/>
      <c r="AJ511" s="109"/>
      <c r="AK511" s="109"/>
      <c r="AL511" s="109"/>
    </row>
    <row r="512" spans="1:38" ht="12.75" customHeight="1" x14ac:dyDescent="0.25">
      <c r="B512" s="132"/>
      <c r="C512" s="132"/>
      <c r="D512" s="132"/>
      <c r="E512" s="191"/>
      <c r="F512" s="116"/>
      <c r="G512" s="116"/>
      <c r="H512" s="116"/>
      <c r="I512" s="116"/>
      <c r="J512" s="116"/>
      <c r="K512" s="116"/>
      <c r="L512" s="116"/>
      <c r="M512" s="116"/>
      <c r="N512" s="116"/>
      <c r="O512" s="116"/>
      <c r="P512" s="116"/>
      <c r="Q512" s="116"/>
      <c r="R512" s="116"/>
      <c r="S512" s="132"/>
      <c r="T512" s="142"/>
      <c r="U512" s="115"/>
    </row>
    <row r="513" spans="2:38" ht="12.75" customHeight="1" x14ac:dyDescent="0.25">
      <c r="B513" s="132"/>
      <c r="C513" s="132"/>
      <c r="D513" s="1377" t="str">
        <f>Translations!$B$631</f>
        <v>Component</v>
      </c>
      <c r="E513" s="1378"/>
      <c r="F513" s="633">
        <v>1</v>
      </c>
      <c r="G513" s="633">
        <v>2</v>
      </c>
      <c r="H513" s="633">
        <v>3</v>
      </c>
      <c r="I513" s="633">
        <v>4</v>
      </c>
      <c r="J513" s="633">
        <v>5</v>
      </c>
      <c r="K513" s="633">
        <v>6</v>
      </c>
      <c r="L513" s="633">
        <v>7</v>
      </c>
      <c r="M513" s="116"/>
      <c r="N513" s="116"/>
      <c r="O513" s="116"/>
      <c r="P513" s="116"/>
      <c r="Q513" s="116"/>
      <c r="R513" s="116"/>
      <c r="S513" s="132"/>
      <c r="T513" s="142"/>
      <c r="U513" s="115"/>
      <c r="V513" s="566" t="str">
        <f>Translations!$B$498</f>
        <v>Units:</v>
      </c>
      <c r="W513" s="561" t="str" cm="1">
        <f t="array" ref="W513">IFERROR(INDEX(_xlfn._xlws.FILTER(W517:W526,(W517:W526)&lt;&gt;"",""),1),W514)</f>
        <v/>
      </c>
      <c r="X513" s="561" t="str" cm="1">
        <f t="array" ref="X513">IFERROR(INDEX(_xlfn._xlws.FILTER(X517:X526,(X517:X526)&lt;&gt;"",""),1),X514)</f>
        <v/>
      </c>
      <c r="Y513" s="567"/>
      <c r="Z513" s="561" t="str" cm="1">
        <f t="array" ref="Z513">IFERROR(INDEX(_xlfn._xlws.FILTER(Z517:Z526,(Z517:Z526)&lt;&gt;"",""),1),Z514)</f>
        <v/>
      </c>
      <c r="AA513" s="567"/>
    </row>
    <row r="514" spans="2:38" ht="12.75" customHeight="1" x14ac:dyDescent="0.25">
      <c r="B514" s="132"/>
      <c r="C514" s="132"/>
      <c r="D514" s="1379"/>
      <c r="E514" s="1380"/>
      <c r="F514" s="1383" t="str">
        <f>Translations!$B$377</f>
        <v>RFA</v>
      </c>
      <c r="G514" s="1383" t="str">
        <f>Translations!$B$386</f>
        <v>UCF</v>
      </c>
      <c r="H514" s="1383" t="str">
        <f>Translations!$B$383</f>
        <v>EF</v>
      </c>
      <c r="I514" s="1383" t="str">
        <f>Translations!$B$632</f>
        <v>Zero-rated F</v>
      </c>
      <c r="J514" s="1385" t="str">
        <f>Translations!$B$652</f>
        <v>Energy or other</v>
      </c>
      <c r="K514" s="1385" t="str">
        <f>Translations!$B$522</f>
        <v>Emissions (fossil)</v>
      </c>
      <c r="L514" s="1385" t="str">
        <f>Translations!$B$634</f>
        <v>Emissions (bio)</v>
      </c>
      <c r="M514" s="116"/>
      <c r="N514" s="116"/>
      <c r="O514" s="116"/>
      <c r="P514" s="116"/>
      <c r="Q514" s="116"/>
      <c r="R514" s="116"/>
      <c r="S514" s="132"/>
      <c r="T514" s="142"/>
      <c r="U514" s="115"/>
      <c r="W514" s="561" t="str">
        <f t="array" ref="W514">IFERROR(INDEX(W517:W526,MATCH(TRUE,(W517:W526)&lt;&gt;"",0)),"")</f>
        <v/>
      </c>
      <c r="X514" s="561" t="str">
        <f t="array" ref="X514">IFERROR(INDEX(X517:X526,MATCH(TRUE,(X517:X526)&lt;&gt;"",0)),"")</f>
        <v/>
      </c>
      <c r="Y514" s="567"/>
      <c r="Z514" s="561" t="str">
        <f t="array" ref="Z514">IFERROR(INDEX(Z517:Z526,MATCH(TRUE,(Z517:Z526)&lt;&gt;"",0)),"")</f>
        <v/>
      </c>
      <c r="AA514" s="567"/>
    </row>
    <row r="515" spans="2:38" ht="12.75" customHeight="1" x14ac:dyDescent="0.3">
      <c r="B515" s="132"/>
      <c r="C515" s="132"/>
      <c r="D515" s="1379"/>
      <c r="E515" s="1380"/>
      <c r="F515" s="1384"/>
      <c r="G515" s="1384"/>
      <c r="H515" s="1384"/>
      <c r="I515" s="1384"/>
      <c r="J515" s="1386"/>
      <c r="K515" s="1386"/>
      <c r="L515" s="1386"/>
      <c r="M515" s="116"/>
      <c r="N515" s="634" t="str">
        <f>Translations!$B$635</f>
        <v>Result to be entered in sheet C</v>
      </c>
      <c r="O515" s="116"/>
      <c r="P515" s="116"/>
      <c r="Q515" s="116"/>
      <c r="R515" s="116"/>
      <c r="S515" s="132"/>
      <c r="T515" s="142"/>
      <c r="U515" s="115"/>
      <c r="W515" s="569" t="str">
        <f>Translations!$B$377</f>
        <v>RFA</v>
      </c>
      <c r="X515" s="569" t="str">
        <f>Translations!$B$386</f>
        <v>UCF</v>
      </c>
      <c r="Y515" s="569"/>
      <c r="Z515" s="569" t="str">
        <f>Translations!$B$383</f>
        <v>EF</v>
      </c>
      <c r="AA515" s="569"/>
      <c r="AB515" s="570"/>
      <c r="AC515" s="570"/>
      <c r="AH515" s="570"/>
      <c r="AI515" s="570"/>
      <c r="AJ515" s="570"/>
    </row>
    <row r="516" spans="2:38" ht="12.75" customHeight="1" x14ac:dyDescent="0.3">
      <c r="B516" s="132"/>
      <c r="C516" s="132"/>
      <c r="D516" s="1381"/>
      <c r="E516" s="1382"/>
      <c r="F516" s="635" t="str">
        <f>IF(COUNTA($E517:$E531)=0,"",$W513)</f>
        <v/>
      </c>
      <c r="G516" s="635" t="str">
        <f>IF(COUNTA($E517:$E531)=0,"",$X513)</f>
        <v/>
      </c>
      <c r="H516" s="635" t="str">
        <f>IF(COUNTA($E517:$E531)=0,"",$Z513)</f>
        <v/>
      </c>
      <c r="I516" s="636" t="s">
        <v>46</v>
      </c>
      <c r="J516" s="635" t="str">
        <f>IF(AE517=EUconst_NA,EUconst_GJ,AE517)</f>
        <v>GJ</v>
      </c>
      <c r="K516" s="637" t="s">
        <v>188</v>
      </c>
      <c r="L516" s="637" t="s">
        <v>188</v>
      </c>
      <c r="M516" s="116"/>
      <c r="N516" s="1387" t="str">
        <f>Translations!$B$636</f>
        <v>The results of this tool are the relevant (weighted average) values below. Each value has to be entered manually in sheet C for the respective fuel stream. Select fuel stream below for comparison.</v>
      </c>
      <c r="O516" s="1387"/>
      <c r="P516" s="1387"/>
      <c r="Q516" s="1387"/>
      <c r="R516" s="1387"/>
      <c r="S516" s="1387"/>
      <c r="T516" s="142"/>
      <c r="U516" s="115"/>
      <c r="W516" s="569" t="str">
        <f>EUconst_CNTR_ActivityData&amp;EUconst_Unit</f>
        <v>ActivityData_Unit</v>
      </c>
      <c r="X516" s="569" t="str">
        <f>EUconst_CNTR_UCF&amp;EUconst_Unit</f>
        <v>UCF_Unit</v>
      </c>
      <c r="Y516" s="569" t="str">
        <f>EUconst_CNTR_UCF&amp;EUconst_Value</f>
        <v>UCF_Value</v>
      </c>
      <c r="Z516" s="569" t="str">
        <f>EUconst_CNTR_EF&amp;EUconst_Unit</f>
        <v>EF_Unit</v>
      </c>
      <c r="AA516" s="569" t="str">
        <f>EUconst_CNTR_EF&amp;EUconst_Value</f>
        <v>EF_Value</v>
      </c>
      <c r="AB516" s="569" t="s">
        <v>189</v>
      </c>
      <c r="AC516" s="575"/>
      <c r="AD516" s="576" t="s">
        <v>147</v>
      </c>
      <c r="AE516" s="576" t="s">
        <v>151</v>
      </c>
      <c r="AF516" s="576" t="s">
        <v>153</v>
      </c>
      <c r="AG516" s="576" t="s">
        <v>155</v>
      </c>
      <c r="AH516" s="575"/>
      <c r="AI516" s="575"/>
      <c r="AJ516" s="575" t="s">
        <v>190</v>
      </c>
      <c r="AK516" s="575" t="s">
        <v>191</v>
      </c>
      <c r="AL516" s="575" t="s">
        <v>192</v>
      </c>
    </row>
    <row r="517" spans="2:38" ht="12.75" customHeight="1" x14ac:dyDescent="0.25">
      <c r="B517" s="132"/>
      <c r="C517" s="132"/>
      <c r="D517" s="1388" t="str">
        <f>Translations!$B$637</f>
        <v>Default compontents provided by the CA</v>
      </c>
      <c r="E517" s="42"/>
      <c r="F517" s="45"/>
      <c r="G517" s="639" t="str">
        <f>IF($E517="","",Y517)</f>
        <v/>
      </c>
      <c r="H517" s="639" t="str">
        <f>IF($E517="","",AA517)</f>
        <v/>
      </c>
      <c r="I517" s="46"/>
      <c r="J517" s="640" t="str">
        <f t="shared" ref="J517:J531" si="291">IFERROR(IF(E517="","",AL517),EUconst_ERR_Inconsistent)</f>
        <v/>
      </c>
      <c r="K517" s="640" t="str">
        <f t="shared" ref="K517:K531" si="292">IFERROR(IF(E517="","",AJ517),EUconst_ERR_Inconsistent)</f>
        <v/>
      </c>
      <c r="L517" s="640" t="str">
        <f t="shared" ref="L517:L531" si="293">IFERROR(IF(E517="","",AK517),EUconst_ERR_Inconsistent)</f>
        <v/>
      </c>
      <c r="M517" s="1389"/>
      <c r="N517" s="1387"/>
      <c r="O517" s="1387"/>
      <c r="P517" s="1387"/>
      <c r="Q517" s="1387"/>
      <c r="R517" s="1387"/>
      <c r="S517" s="1387"/>
      <c r="T517" s="142"/>
      <c r="U517" s="115"/>
      <c r="W517" s="561" t="str">
        <f t="shared" ref="W517:AA526" si="294">IF($E517="","",INDEX(MSPara_CalcFactorsMatrix,MATCH($E517,MSPara_SourceStreamCategory,0),MATCH(W$20&amp;"_"&amp;2,MSPara_CalcFactors,0)))</f>
        <v/>
      </c>
      <c r="X517" s="561" t="str">
        <f t="shared" si="294"/>
        <v/>
      </c>
      <c r="Y517" s="561" t="str">
        <f t="shared" si="294"/>
        <v/>
      </c>
      <c r="Z517" s="561" t="str">
        <f t="shared" si="294"/>
        <v/>
      </c>
      <c r="AA517" s="561" t="str">
        <f t="shared" si="294"/>
        <v/>
      </c>
      <c r="AB517" s="561" t="str">
        <f>IF(E517="","",OR(W517&lt;&gt;W513,X517&lt;&gt;X513,Z517&lt;&gt;Z513))</f>
        <v/>
      </c>
      <c r="AC517" s="567"/>
      <c r="AD517" s="561" t="str">
        <f>W517</f>
        <v/>
      </c>
      <c r="AE517" s="561" t="str">
        <f>IF(X517="",EUconst_NA,IF(AD517=EUconst_TJ,EUconst_TJ,INDEX(EUwideConstants!$C$135:$G$139,MATCH(AD517,RFAUnits,0),MATCH(X517,UCFUnits,0))))</f>
        <v>n.a.</v>
      </c>
      <c r="AF517" s="561" t="str">
        <f>IF(COUNTIF(RFAUnits,AD517)=0,EUconst_NA,INDEX(EUwideConstants!$C$150:$H$154,MATCH(Z517,EFUnits,0),MATCH(AD517,EUwideConstants!$C$149:$H$149,0)))</f>
        <v>n.a.</v>
      </c>
      <c r="AG517" s="561" t="str">
        <f>IF(AE517=EUconst_NA,EUconst_NA,INDEX(EUwideConstants!$C$150:$H$154,MATCH(Z517,EFUnits,0),MATCH(AE517,EUwideConstants!$C$149:$H$149,0)))</f>
        <v>n.a.</v>
      </c>
      <c r="AH517" s="561" t="b">
        <f t="shared" ref="AH517" si="295">AF517&lt;&gt;EUconst_NA</f>
        <v>0</v>
      </c>
      <c r="AI517" s="561" t="b">
        <f t="shared" ref="AI517" si="296">AG517&lt;&gt;EUconst_NA</f>
        <v>0</v>
      </c>
      <c r="AJ517" s="582" t="str">
        <f>IF(OR(E517="",COUNTIF(AH517:AI517,TRUE)=0),"",F517*IF(AH517,1,G517*AG517)*H517*(1-I517))</f>
        <v/>
      </c>
      <c r="AK517" s="582" t="str">
        <f>IF(OR(E517="",COUNTIF(AH517:AI517,TRUE)=0),"",F517*IF(AH517,1,G517*AG517)*H517*I517)</f>
        <v/>
      </c>
      <c r="AL517" s="582" t="str">
        <f t="shared" ref="AL517:AL531" si="297">IF(E517="","",IF(W517=EUconst_TJ,F517,F517*G517))</f>
        <v/>
      </c>
    </row>
    <row r="518" spans="2:38" ht="12.75" customHeight="1" x14ac:dyDescent="0.25">
      <c r="B518" s="132"/>
      <c r="C518" s="132"/>
      <c r="D518" s="1388"/>
      <c r="E518" s="43"/>
      <c r="F518" s="47"/>
      <c r="G518" s="641" t="str">
        <f t="shared" ref="G518:G526" si="298">IF($E518="","",Y518)</f>
        <v/>
      </c>
      <c r="H518" s="641" t="str">
        <f t="shared" ref="H518:H526" si="299">IF($E518="","",AA518)</f>
        <v/>
      </c>
      <c r="I518" s="48"/>
      <c r="J518" s="642" t="str">
        <f t="shared" si="291"/>
        <v/>
      </c>
      <c r="K518" s="642" t="str">
        <f t="shared" si="292"/>
        <v/>
      </c>
      <c r="L518" s="642" t="str">
        <f t="shared" si="293"/>
        <v/>
      </c>
      <c r="M518" s="1389"/>
      <c r="N518" s="638"/>
      <c r="O518" s="643" t="str">
        <f>Translations!$B$639</f>
        <v>Fuel stream:</v>
      </c>
      <c r="P518" s="1390"/>
      <c r="Q518" s="1391"/>
      <c r="R518" s="1391"/>
      <c r="S518" s="1392"/>
      <c r="T518" s="142"/>
      <c r="U518" s="115"/>
      <c r="W518" s="561" t="str">
        <f t="shared" si="294"/>
        <v/>
      </c>
      <c r="X518" s="561" t="str">
        <f t="shared" si="294"/>
        <v/>
      </c>
      <c r="Y518" s="561" t="str">
        <f t="shared" si="294"/>
        <v/>
      </c>
      <c r="Z518" s="561" t="str">
        <f t="shared" si="294"/>
        <v/>
      </c>
      <c r="AA518" s="561" t="str">
        <f t="shared" si="294"/>
        <v/>
      </c>
      <c r="AB518" s="561" t="str">
        <f>IF(E518="","",OR(W518&lt;&gt;W513,X518&lt;&gt;X513,Z518&lt;&gt;Z513))</f>
        <v/>
      </c>
      <c r="AC518" s="567"/>
      <c r="AD518" s="561" t="str">
        <f>AD517</f>
        <v/>
      </c>
      <c r="AE518" s="561" t="str">
        <f t="shared" ref="AE518:AI518" si="300">AE517</f>
        <v>n.a.</v>
      </c>
      <c r="AF518" s="561" t="str">
        <f t="shared" si="300"/>
        <v>n.a.</v>
      </c>
      <c r="AG518" s="561" t="str">
        <f t="shared" si="300"/>
        <v>n.a.</v>
      </c>
      <c r="AH518" s="561" t="b">
        <f t="shared" si="300"/>
        <v>0</v>
      </c>
      <c r="AI518" s="561" t="b">
        <f t="shared" si="300"/>
        <v>0</v>
      </c>
      <c r="AJ518" s="582" t="str">
        <f t="shared" ref="AJ518:AJ531" si="301">IF(OR(E518="",COUNTIF(AH518:AI518,TRUE)=0),"",F518*IF(AH518,1,G518*AG518)*H518*(1-I518))</f>
        <v/>
      </c>
      <c r="AK518" s="582" t="str">
        <f t="shared" ref="AK518:AK531" si="302">IF(OR(E518="",COUNTIF(AH518:AI518,TRUE)=0),"",F518*IF(AH518,1,G518*AG518)*H518*I518)</f>
        <v/>
      </c>
      <c r="AL518" s="582" t="str">
        <f t="shared" si="297"/>
        <v/>
      </c>
    </row>
    <row r="519" spans="2:38" ht="12.75" customHeight="1" x14ac:dyDescent="0.25">
      <c r="B519" s="132"/>
      <c r="C519" s="132"/>
      <c r="D519" s="1388"/>
      <c r="E519" s="43"/>
      <c r="F519" s="47"/>
      <c r="G519" s="641" t="str">
        <f t="shared" si="298"/>
        <v/>
      </c>
      <c r="H519" s="641" t="str">
        <f t="shared" si="299"/>
        <v/>
      </c>
      <c r="I519" s="48"/>
      <c r="J519" s="642" t="str">
        <f t="shared" si="291"/>
        <v/>
      </c>
      <c r="K519" s="642" t="str">
        <f t="shared" si="292"/>
        <v/>
      </c>
      <c r="L519" s="642" t="str">
        <f t="shared" si="293"/>
        <v/>
      </c>
      <c r="M519" s="1389"/>
      <c r="N519" s="116"/>
      <c r="O519" s="116"/>
      <c r="P519" s="116"/>
      <c r="Q519" s="116"/>
      <c r="R519" s="116"/>
      <c r="S519" s="132"/>
      <c r="T519" s="142"/>
      <c r="U519" s="115"/>
      <c r="W519" s="561" t="str">
        <f t="shared" si="294"/>
        <v/>
      </c>
      <c r="X519" s="561" t="str">
        <f t="shared" si="294"/>
        <v/>
      </c>
      <c r="Y519" s="561" t="str">
        <f t="shared" si="294"/>
        <v/>
      </c>
      <c r="Z519" s="561" t="str">
        <f t="shared" si="294"/>
        <v/>
      </c>
      <c r="AA519" s="561" t="str">
        <f t="shared" si="294"/>
        <v/>
      </c>
      <c r="AB519" s="561" t="str">
        <f>IF(E519="","",OR(W519&lt;&gt;W513,X519&lt;&gt;X513,Z519&lt;&gt;Z513))</f>
        <v/>
      </c>
      <c r="AC519" s="567"/>
      <c r="AD519" s="561" t="str">
        <f t="shared" ref="AD519:AI531" si="303">AD518</f>
        <v/>
      </c>
      <c r="AE519" s="561" t="str">
        <f t="shared" si="303"/>
        <v>n.a.</v>
      </c>
      <c r="AF519" s="561" t="str">
        <f t="shared" si="303"/>
        <v>n.a.</v>
      </c>
      <c r="AG519" s="561" t="str">
        <f t="shared" si="303"/>
        <v>n.a.</v>
      </c>
      <c r="AH519" s="561" t="b">
        <f t="shared" si="303"/>
        <v>0</v>
      </c>
      <c r="AI519" s="561" t="b">
        <f t="shared" si="303"/>
        <v>0</v>
      </c>
      <c r="AJ519" s="582" t="str">
        <f t="shared" si="301"/>
        <v/>
      </c>
      <c r="AK519" s="582" t="str">
        <f t="shared" si="302"/>
        <v/>
      </c>
      <c r="AL519" s="582" t="str">
        <f t="shared" si="297"/>
        <v/>
      </c>
    </row>
    <row r="520" spans="2:38" ht="12.75" customHeight="1" thickBot="1" x14ac:dyDescent="0.35">
      <c r="B520" s="132"/>
      <c r="C520" s="132"/>
      <c r="D520" s="1388"/>
      <c r="E520" s="43"/>
      <c r="F520" s="47"/>
      <c r="G520" s="641" t="str">
        <f t="shared" si="298"/>
        <v/>
      </c>
      <c r="H520" s="641" t="str">
        <f t="shared" si="299"/>
        <v/>
      </c>
      <c r="I520" s="48"/>
      <c r="J520" s="642" t="str">
        <f t="shared" si="291"/>
        <v/>
      </c>
      <c r="K520" s="642" t="str">
        <f t="shared" si="292"/>
        <v/>
      </c>
      <c r="L520" s="642" t="str">
        <f t="shared" si="293"/>
        <v/>
      </c>
      <c r="M520" s="1389"/>
      <c r="N520" s="1255" t="str">
        <f>Translations!$B$394</f>
        <v>Unit</v>
      </c>
      <c r="O520" s="1255"/>
      <c r="P520" s="1255" t="str">
        <f>Translations!$B$395</f>
        <v>Value</v>
      </c>
      <c r="Q520" s="1255"/>
      <c r="R520" s="116"/>
      <c r="S520" s="644" t="str">
        <f>Translations!$B$642</f>
        <v>Sheet C values</v>
      </c>
      <c r="T520" s="142"/>
      <c r="U520" s="115"/>
      <c r="W520" s="561" t="str">
        <f t="shared" si="294"/>
        <v/>
      </c>
      <c r="X520" s="561" t="str">
        <f t="shared" si="294"/>
        <v/>
      </c>
      <c r="Y520" s="561" t="str">
        <f t="shared" si="294"/>
        <v/>
      </c>
      <c r="Z520" s="561" t="str">
        <f t="shared" si="294"/>
        <v/>
      </c>
      <c r="AA520" s="561" t="str">
        <f t="shared" si="294"/>
        <v/>
      </c>
      <c r="AB520" s="561" t="str">
        <f>IF(E520="","",OR(W520&lt;&gt;W513,X520&lt;&gt;X513,Z520&lt;&gt;Z513))</f>
        <v/>
      </c>
      <c r="AC520" s="567"/>
      <c r="AD520" s="561" t="str">
        <f t="shared" si="303"/>
        <v/>
      </c>
      <c r="AE520" s="561" t="str">
        <f t="shared" si="303"/>
        <v>n.a.</v>
      </c>
      <c r="AF520" s="561" t="str">
        <f t="shared" si="303"/>
        <v>n.a.</v>
      </c>
      <c r="AG520" s="561" t="str">
        <f t="shared" si="303"/>
        <v>n.a.</v>
      </c>
      <c r="AH520" s="561" t="b">
        <f t="shared" si="303"/>
        <v>0</v>
      </c>
      <c r="AI520" s="561" t="b">
        <f t="shared" si="303"/>
        <v>0</v>
      </c>
      <c r="AJ520" s="582" t="str">
        <f t="shared" si="301"/>
        <v/>
      </c>
      <c r="AK520" s="582" t="str">
        <f t="shared" si="302"/>
        <v/>
      </c>
      <c r="AL520" s="582" t="str">
        <f t="shared" si="297"/>
        <v/>
      </c>
    </row>
    <row r="521" spans="2:38" ht="12.75" customHeight="1" thickBot="1" x14ac:dyDescent="0.3">
      <c r="B521" s="132"/>
      <c r="C521" s="132"/>
      <c r="D521" s="1388"/>
      <c r="E521" s="43"/>
      <c r="F521" s="47"/>
      <c r="G521" s="641" t="str">
        <f t="shared" si="298"/>
        <v/>
      </c>
      <c r="H521" s="641" t="str">
        <f t="shared" si="299"/>
        <v/>
      </c>
      <c r="I521" s="48"/>
      <c r="J521" s="642" t="str">
        <f t="shared" si="291"/>
        <v/>
      </c>
      <c r="K521" s="642" t="str">
        <f t="shared" si="292"/>
        <v/>
      </c>
      <c r="L521" s="642" t="str">
        <f t="shared" si="293"/>
        <v/>
      </c>
      <c r="M521" s="116"/>
      <c r="N521" s="346" t="str">
        <f>F516</f>
        <v/>
      </c>
      <c r="O521" s="7"/>
      <c r="P521" s="1393" t="str">
        <f>IF(F532="","",F532)</f>
        <v/>
      </c>
      <c r="Q521" s="1394"/>
      <c r="R521" s="116"/>
      <c r="S521" s="645" t="str">
        <f>IF(P518="","",SUMIFS(C_FuelStreams!BK:BK,C_FuelStreams!BI:BI,P518))</f>
        <v/>
      </c>
      <c r="T521" s="142"/>
      <c r="U521" s="115"/>
      <c r="W521" s="561" t="str">
        <f t="shared" si="294"/>
        <v/>
      </c>
      <c r="X521" s="561" t="str">
        <f t="shared" si="294"/>
        <v/>
      </c>
      <c r="Y521" s="561" t="str">
        <f t="shared" si="294"/>
        <v/>
      </c>
      <c r="Z521" s="561" t="str">
        <f t="shared" si="294"/>
        <v/>
      </c>
      <c r="AA521" s="561" t="str">
        <f t="shared" si="294"/>
        <v/>
      </c>
      <c r="AB521" s="561" t="str">
        <f>IF(E521="","",OR(W521&lt;&gt;W513,X521&lt;&gt;X513,Z521&lt;&gt;Z513))</f>
        <v/>
      </c>
      <c r="AC521" s="567"/>
      <c r="AD521" s="561" t="str">
        <f t="shared" si="303"/>
        <v/>
      </c>
      <c r="AE521" s="561" t="str">
        <f t="shared" si="303"/>
        <v>n.a.</v>
      </c>
      <c r="AF521" s="561" t="str">
        <f t="shared" si="303"/>
        <v>n.a.</v>
      </c>
      <c r="AG521" s="561" t="str">
        <f t="shared" si="303"/>
        <v>n.a.</v>
      </c>
      <c r="AH521" s="561" t="b">
        <f t="shared" si="303"/>
        <v>0</v>
      </c>
      <c r="AI521" s="561" t="b">
        <f t="shared" si="303"/>
        <v>0</v>
      </c>
      <c r="AJ521" s="582" t="str">
        <f t="shared" si="301"/>
        <v/>
      </c>
      <c r="AK521" s="582" t="str">
        <f t="shared" si="302"/>
        <v/>
      </c>
      <c r="AL521" s="582" t="str">
        <f t="shared" si="297"/>
        <v/>
      </c>
    </row>
    <row r="522" spans="2:38" ht="12.75" customHeight="1" thickBot="1" x14ac:dyDescent="0.3">
      <c r="B522" s="132"/>
      <c r="C522" s="132"/>
      <c r="D522" s="1388"/>
      <c r="E522" s="43"/>
      <c r="F522" s="47"/>
      <c r="G522" s="641" t="str">
        <f t="shared" si="298"/>
        <v/>
      </c>
      <c r="H522" s="641" t="str">
        <f t="shared" si="299"/>
        <v/>
      </c>
      <c r="I522" s="48"/>
      <c r="J522" s="642" t="str">
        <f t="shared" si="291"/>
        <v/>
      </c>
      <c r="K522" s="642" t="str">
        <f t="shared" si="292"/>
        <v/>
      </c>
      <c r="L522" s="642" t="str">
        <f t="shared" si="293"/>
        <v/>
      </c>
      <c r="M522" s="116"/>
      <c r="N522" s="162"/>
      <c r="O522" s="162"/>
      <c r="P522" s="76"/>
      <c r="Q522" s="76"/>
      <c r="R522" s="116"/>
      <c r="S522" s="996"/>
      <c r="T522" s="142"/>
      <c r="U522" s="115"/>
      <c r="W522" s="561" t="str">
        <f t="shared" si="294"/>
        <v/>
      </c>
      <c r="X522" s="561" t="str">
        <f t="shared" si="294"/>
        <v/>
      </c>
      <c r="Y522" s="561" t="str">
        <f t="shared" si="294"/>
        <v/>
      </c>
      <c r="Z522" s="561" t="str">
        <f t="shared" si="294"/>
        <v/>
      </c>
      <c r="AA522" s="561" t="str">
        <f t="shared" si="294"/>
        <v/>
      </c>
      <c r="AB522" s="561" t="str">
        <f>IF(E522="","",OR(W522&lt;&gt;W513,X522&lt;&gt;X513,Z522&lt;&gt;Z513))</f>
        <v/>
      </c>
      <c r="AC522" s="567"/>
      <c r="AD522" s="561" t="str">
        <f t="shared" si="303"/>
        <v/>
      </c>
      <c r="AE522" s="561" t="str">
        <f t="shared" si="303"/>
        <v>n.a.</v>
      </c>
      <c r="AF522" s="561" t="str">
        <f t="shared" si="303"/>
        <v>n.a.</v>
      </c>
      <c r="AG522" s="561" t="str">
        <f t="shared" si="303"/>
        <v>n.a.</v>
      </c>
      <c r="AH522" s="561" t="b">
        <f t="shared" si="303"/>
        <v>0</v>
      </c>
      <c r="AI522" s="561" t="b">
        <f t="shared" si="303"/>
        <v>0</v>
      </c>
      <c r="AJ522" s="582" t="str">
        <f t="shared" si="301"/>
        <v/>
      </c>
      <c r="AK522" s="582" t="str">
        <f t="shared" si="302"/>
        <v/>
      </c>
      <c r="AL522" s="582" t="str">
        <f t="shared" si="297"/>
        <v/>
      </c>
    </row>
    <row r="523" spans="2:38" ht="12.75" customHeight="1" x14ac:dyDescent="0.25">
      <c r="B523" s="132"/>
      <c r="C523" s="132"/>
      <c r="D523" s="1388"/>
      <c r="E523" s="43"/>
      <c r="F523" s="47"/>
      <c r="G523" s="641" t="str">
        <f t="shared" si="298"/>
        <v/>
      </c>
      <c r="H523" s="641" t="str">
        <f t="shared" si="299"/>
        <v/>
      </c>
      <c r="I523" s="48"/>
      <c r="J523" s="642" t="str">
        <f t="shared" si="291"/>
        <v/>
      </c>
      <c r="K523" s="642" t="str">
        <f t="shared" si="292"/>
        <v/>
      </c>
      <c r="L523" s="642" t="str">
        <f t="shared" si="293"/>
        <v/>
      </c>
      <c r="M523" s="116"/>
      <c r="N523" s="365" t="str">
        <f>G516</f>
        <v/>
      </c>
      <c r="O523" s="11"/>
      <c r="P523" s="366"/>
      <c r="Q523" s="646" t="str">
        <f>IF(G532="","",G532)</f>
        <v/>
      </c>
      <c r="R523" s="116"/>
      <c r="S523" s="647" t="str">
        <f>IF(P518="","",SUMIFS(C_FuelStreams!BU:BU,C_FuelStreams!BI:BI,P518))</f>
        <v/>
      </c>
      <c r="T523" s="142"/>
      <c r="U523" s="115"/>
      <c r="W523" s="561" t="str">
        <f t="shared" si="294"/>
        <v/>
      </c>
      <c r="X523" s="561" t="str">
        <f t="shared" si="294"/>
        <v/>
      </c>
      <c r="Y523" s="561" t="str">
        <f t="shared" si="294"/>
        <v/>
      </c>
      <c r="Z523" s="561" t="str">
        <f t="shared" si="294"/>
        <v/>
      </c>
      <c r="AA523" s="561" t="str">
        <f t="shared" si="294"/>
        <v/>
      </c>
      <c r="AB523" s="561" t="str">
        <f>IF(E523="","",OR(W523&lt;&gt;W513,X523&lt;&gt;X513,Z523&lt;&gt;Z513))</f>
        <v/>
      </c>
      <c r="AC523" s="567"/>
      <c r="AD523" s="561" t="str">
        <f t="shared" si="303"/>
        <v/>
      </c>
      <c r="AE523" s="561" t="str">
        <f t="shared" si="303"/>
        <v>n.a.</v>
      </c>
      <c r="AF523" s="561" t="str">
        <f t="shared" si="303"/>
        <v>n.a.</v>
      </c>
      <c r="AG523" s="561" t="str">
        <f t="shared" si="303"/>
        <v>n.a.</v>
      </c>
      <c r="AH523" s="561" t="b">
        <f t="shared" si="303"/>
        <v>0</v>
      </c>
      <c r="AI523" s="561" t="b">
        <f t="shared" si="303"/>
        <v>0</v>
      </c>
      <c r="AJ523" s="582" t="str">
        <f t="shared" si="301"/>
        <v/>
      </c>
      <c r="AK523" s="582" t="str">
        <f t="shared" si="302"/>
        <v/>
      </c>
      <c r="AL523" s="582" t="str">
        <f t="shared" si="297"/>
        <v/>
      </c>
    </row>
    <row r="524" spans="2:38" ht="12.75" customHeight="1" thickBot="1" x14ac:dyDescent="0.3">
      <c r="B524" s="132"/>
      <c r="C524" s="132"/>
      <c r="D524" s="1388"/>
      <c r="E524" s="43"/>
      <c r="F524" s="47"/>
      <c r="G524" s="641" t="str">
        <f t="shared" si="298"/>
        <v/>
      </c>
      <c r="H524" s="641" t="str">
        <f t="shared" si="299"/>
        <v/>
      </c>
      <c r="I524" s="48"/>
      <c r="J524" s="642" t="str">
        <f t="shared" si="291"/>
        <v/>
      </c>
      <c r="K524" s="642" t="str">
        <f t="shared" si="292"/>
        <v/>
      </c>
      <c r="L524" s="642" t="str">
        <f t="shared" si="293"/>
        <v/>
      </c>
      <c r="M524" s="116"/>
      <c r="N524" s="648" t="str">
        <f>H516</f>
        <v/>
      </c>
      <c r="O524" s="22"/>
      <c r="P524" s="649"/>
      <c r="Q524" s="650" t="str">
        <f>IF(H532="","",H532)</f>
        <v/>
      </c>
      <c r="R524" s="116"/>
      <c r="S524" s="651" t="str">
        <f>IF(P518="","",SUMIFS(C_FuelStreams!BR:BR,C_FuelStreams!BI:BI,P518))</f>
        <v/>
      </c>
      <c r="T524" s="142"/>
      <c r="U524" s="115"/>
      <c r="W524" s="561" t="str">
        <f t="shared" si="294"/>
        <v/>
      </c>
      <c r="X524" s="561" t="str">
        <f t="shared" si="294"/>
        <v/>
      </c>
      <c r="Y524" s="561" t="str">
        <f t="shared" si="294"/>
        <v/>
      </c>
      <c r="Z524" s="561" t="str">
        <f t="shared" si="294"/>
        <v/>
      </c>
      <c r="AA524" s="561" t="str">
        <f t="shared" si="294"/>
        <v/>
      </c>
      <c r="AB524" s="561" t="str">
        <f>IF(E524="","",OR(W524&lt;&gt;W513,X524&lt;&gt;X513,Z524&lt;&gt;Z513))</f>
        <v/>
      </c>
      <c r="AC524" s="567"/>
      <c r="AD524" s="561" t="str">
        <f t="shared" si="303"/>
        <v/>
      </c>
      <c r="AE524" s="561" t="str">
        <f t="shared" si="303"/>
        <v>n.a.</v>
      </c>
      <c r="AF524" s="561" t="str">
        <f t="shared" si="303"/>
        <v>n.a.</v>
      </c>
      <c r="AG524" s="561" t="str">
        <f t="shared" si="303"/>
        <v>n.a.</v>
      </c>
      <c r="AH524" s="561" t="b">
        <f t="shared" si="303"/>
        <v>0</v>
      </c>
      <c r="AI524" s="561" t="b">
        <f t="shared" si="303"/>
        <v>0</v>
      </c>
      <c r="AJ524" s="582" t="str">
        <f t="shared" si="301"/>
        <v/>
      </c>
      <c r="AK524" s="582" t="str">
        <f t="shared" si="302"/>
        <v/>
      </c>
      <c r="AL524" s="582" t="str">
        <f t="shared" si="297"/>
        <v/>
      </c>
    </row>
    <row r="525" spans="2:38" ht="12.75" customHeight="1" x14ac:dyDescent="0.25">
      <c r="B525" s="132"/>
      <c r="C525" s="132"/>
      <c r="D525" s="1388"/>
      <c r="E525" s="43"/>
      <c r="F525" s="47"/>
      <c r="G525" s="641" t="str">
        <f t="shared" si="298"/>
        <v/>
      </c>
      <c r="H525" s="641" t="str">
        <f t="shared" si="299"/>
        <v/>
      </c>
      <c r="I525" s="48"/>
      <c r="J525" s="642" t="str">
        <f t="shared" si="291"/>
        <v/>
      </c>
      <c r="K525" s="642" t="str">
        <f t="shared" si="292"/>
        <v/>
      </c>
      <c r="L525" s="642" t="str">
        <f t="shared" si="293"/>
        <v/>
      </c>
      <c r="M525" s="116"/>
      <c r="N525" s="652" t="s">
        <v>46</v>
      </c>
      <c r="O525" s="411"/>
      <c r="P525" s="653"/>
      <c r="Q525" s="654" t="str">
        <f>IF(I532="","",I532)</f>
        <v/>
      </c>
      <c r="R525" s="116"/>
      <c r="S525" s="655" t="str">
        <f>IF(P518="","",SUMIFS(C_FuelStreams!BX:BX,C_FuelStreams!BI:BI,P518))</f>
        <v/>
      </c>
      <c r="T525" s="142"/>
      <c r="U525" s="115"/>
      <c r="W525" s="561" t="str">
        <f t="shared" si="294"/>
        <v/>
      </c>
      <c r="X525" s="561" t="str">
        <f t="shared" si="294"/>
        <v/>
      </c>
      <c r="Y525" s="561" t="str">
        <f t="shared" si="294"/>
        <v/>
      </c>
      <c r="Z525" s="561" t="str">
        <f t="shared" si="294"/>
        <v/>
      </c>
      <c r="AA525" s="561" t="str">
        <f t="shared" si="294"/>
        <v/>
      </c>
      <c r="AB525" s="561" t="str">
        <f>IF(E525="","",OR(W525&lt;&gt;W513,X525&lt;&gt;X513,Z525&lt;&gt;Z513))</f>
        <v/>
      </c>
      <c r="AC525" s="567"/>
      <c r="AD525" s="561" t="str">
        <f t="shared" si="303"/>
        <v/>
      </c>
      <c r="AE525" s="561" t="str">
        <f t="shared" si="303"/>
        <v>n.a.</v>
      </c>
      <c r="AF525" s="561" t="str">
        <f t="shared" si="303"/>
        <v>n.a.</v>
      </c>
      <c r="AG525" s="561" t="str">
        <f t="shared" si="303"/>
        <v>n.a.</v>
      </c>
      <c r="AH525" s="561" t="b">
        <f t="shared" si="303"/>
        <v>0</v>
      </c>
      <c r="AI525" s="561" t="b">
        <f t="shared" si="303"/>
        <v>0</v>
      </c>
      <c r="AJ525" s="582" t="str">
        <f t="shared" si="301"/>
        <v/>
      </c>
      <c r="AK525" s="582" t="str">
        <f t="shared" si="302"/>
        <v/>
      </c>
      <c r="AL525" s="582" t="str">
        <f t="shared" si="297"/>
        <v/>
      </c>
    </row>
    <row r="526" spans="2:38" ht="12.75" customHeight="1" x14ac:dyDescent="0.25">
      <c r="B526" s="132"/>
      <c r="C526" s="132"/>
      <c r="D526" s="1388"/>
      <c r="E526" s="43"/>
      <c r="F526" s="47"/>
      <c r="G526" s="641" t="str">
        <f t="shared" si="298"/>
        <v/>
      </c>
      <c r="H526" s="641" t="str">
        <f t="shared" si="299"/>
        <v/>
      </c>
      <c r="I526" s="48"/>
      <c r="J526" s="642" t="str">
        <f t="shared" si="291"/>
        <v/>
      </c>
      <c r="K526" s="642" t="str">
        <f t="shared" si="292"/>
        <v/>
      </c>
      <c r="L526" s="642" t="str">
        <f t="shared" si="293"/>
        <v/>
      </c>
      <c r="M526" s="1395"/>
      <c r="N526" s="116"/>
      <c r="O526" s="116"/>
      <c r="P526" s="116"/>
      <c r="Q526" s="116"/>
      <c r="R526" s="116"/>
      <c r="S526" s="132"/>
      <c r="T526" s="142"/>
      <c r="U526" s="115"/>
      <c r="W526" s="561" t="str">
        <f t="shared" si="294"/>
        <v/>
      </c>
      <c r="X526" s="561" t="str">
        <f t="shared" si="294"/>
        <v/>
      </c>
      <c r="Y526" s="561" t="str">
        <f t="shared" si="294"/>
        <v/>
      </c>
      <c r="Z526" s="561" t="str">
        <f t="shared" si="294"/>
        <v/>
      </c>
      <c r="AA526" s="561" t="str">
        <f t="shared" si="294"/>
        <v/>
      </c>
      <c r="AB526" s="561" t="str">
        <f>IF(E526="","",OR(W526&lt;&gt;W513,X526&lt;&gt;X513,Z526&lt;&gt;Z513))</f>
        <v/>
      </c>
      <c r="AC526" s="567"/>
      <c r="AD526" s="561" t="str">
        <f t="shared" si="303"/>
        <v/>
      </c>
      <c r="AE526" s="561" t="str">
        <f t="shared" si="303"/>
        <v>n.a.</v>
      </c>
      <c r="AF526" s="561" t="str">
        <f t="shared" si="303"/>
        <v>n.a.</v>
      </c>
      <c r="AG526" s="561" t="str">
        <f t="shared" si="303"/>
        <v>n.a.</v>
      </c>
      <c r="AH526" s="561" t="b">
        <f t="shared" si="303"/>
        <v>0</v>
      </c>
      <c r="AI526" s="561" t="b">
        <f t="shared" si="303"/>
        <v>0</v>
      </c>
      <c r="AJ526" s="582" t="str">
        <f t="shared" si="301"/>
        <v/>
      </c>
      <c r="AK526" s="582" t="str">
        <f t="shared" si="302"/>
        <v/>
      </c>
      <c r="AL526" s="582" t="str">
        <f t="shared" si="297"/>
        <v/>
      </c>
    </row>
    <row r="527" spans="2:38" ht="12.75" customHeight="1" x14ac:dyDescent="0.25">
      <c r="B527" s="132"/>
      <c r="C527" s="132"/>
      <c r="D527" s="1388" t="str">
        <f>Translations!$B$643</f>
        <v>Customised components</v>
      </c>
      <c r="E527" s="42"/>
      <c r="F527" s="45"/>
      <c r="G527" s="49"/>
      <c r="H527" s="49"/>
      <c r="I527" s="46"/>
      <c r="J527" s="640" t="str">
        <f t="shared" si="291"/>
        <v/>
      </c>
      <c r="K527" s="640" t="str">
        <f t="shared" si="292"/>
        <v/>
      </c>
      <c r="L527" s="640" t="str">
        <f t="shared" si="293"/>
        <v/>
      </c>
      <c r="M527" s="1395"/>
      <c r="N527" s="116"/>
      <c r="O527" s="116"/>
      <c r="P527" s="656" t="str">
        <f>Translations!$B$644</f>
        <v>CO2 fossil (before scope factor):</v>
      </c>
      <c r="Q527" s="997" t="str">
        <f>IF(K532="","",K532)</f>
        <v/>
      </c>
      <c r="R527" s="656"/>
      <c r="S527" s="997" t="str">
        <f>IF(P518="","",IF(W527=0,0,SUMIFS(C_FuelStreams!CE:CE,C_FuelStreams!BI:BI,P518)/W527))</f>
        <v/>
      </c>
      <c r="T527" s="142"/>
      <c r="U527" s="115"/>
      <c r="V527" s="110" t="str">
        <f>Translations!$B$398</f>
        <v>Scope factor:</v>
      </c>
      <c r="W527" s="617" t="str">
        <f>IF(P518="","",SUMIFS(C_FuelStreams!BP:BP,C_FuelStreams!BI:BI,P518))</f>
        <v/>
      </c>
      <c r="AD527" s="561" t="str">
        <f t="shared" si="303"/>
        <v/>
      </c>
      <c r="AE527" s="561" t="str">
        <f t="shared" si="303"/>
        <v>n.a.</v>
      </c>
      <c r="AF527" s="561" t="str">
        <f t="shared" si="303"/>
        <v>n.a.</v>
      </c>
      <c r="AG527" s="561" t="str">
        <f t="shared" si="303"/>
        <v>n.a.</v>
      </c>
      <c r="AH527" s="561" t="b">
        <f t="shared" si="303"/>
        <v>0</v>
      </c>
      <c r="AI527" s="561" t="b">
        <f t="shared" si="303"/>
        <v>0</v>
      </c>
      <c r="AJ527" s="582" t="str">
        <f t="shared" si="301"/>
        <v/>
      </c>
      <c r="AK527" s="582" t="str">
        <f t="shared" si="302"/>
        <v/>
      </c>
      <c r="AL527" s="582" t="str">
        <f t="shared" si="297"/>
        <v/>
      </c>
    </row>
    <row r="528" spans="2:38" ht="12.75" customHeight="1" x14ac:dyDescent="0.25">
      <c r="B528" s="132"/>
      <c r="C528" s="132"/>
      <c r="D528" s="1388"/>
      <c r="E528" s="43"/>
      <c r="F528" s="47"/>
      <c r="G528" s="50"/>
      <c r="H528" s="50"/>
      <c r="I528" s="48"/>
      <c r="J528" s="642" t="str">
        <f t="shared" si="291"/>
        <v/>
      </c>
      <c r="K528" s="642" t="str">
        <f t="shared" si="292"/>
        <v/>
      </c>
      <c r="L528" s="642" t="str">
        <f t="shared" si="293"/>
        <v/>
      </c>
      <c r="M528" s="1395"/>
      <c r="N528" s="116"/>
      <c r="O528" s="116"/>
      <c r="P528" s="116"/>
      <c r="Q528" s="116"/>
      <c r="R528" s="116"/>
      <c r="S528" s="132"/>
      <c r="T528" s="142"/>
      <c r="U528" s="115"/>
      <c r="AD528" s="561" t="str">
        <f t="shared" si="303"/>
        <v/>
      </c>
      <c r="AE528" s="561" t="str">
        <f t="shared" si="303"/>
        <v>n.a.</v>
      </c>
      <c r="AF528" s="561" t="str">
        <f t="shared" si="303"/>
        <v>n.a.</v>
      </c>
      <c r="AG528" s="561" t="str">
        <f t="shared" si="303"/>
        <v>n.a.</v>
      </c>
      <c r="AH528" s="561" t="b">
        <f t="shared" si="303"/>
        <v>0</v>
      </c>
      <c r="AI528" s="561" t="b">
        <f t="shared" si="303"/>
        <v>0</v>
      </c>
      <c r="AJ528" s="582" t="str">
        <f t="shared" si="301"/>
        <v/>
      </c>
      <c r="AK528" s="582" t="str">
        <f t="shared" si="302"/>
        <v/>
      </c>
      <c r="AL528" s="582" t="str">
        <f t="shared" si="297"/>
        <v/>
      </c>
    </row>
    <row r="529" spans="1:38" ht="12.75" customHeight="1" x14ac:dyDescent="0.25">
      <c r="B529" s="132"/>
      <c r="C529" s="132"/>
      <c r="D529" s="1388"/>
      <c r="E529" s="43"/>
      <c r="F529" s="47"/>
      <c r="G529" s="50"/>
      <c r="H529" s="50"/>
      <c r="I529" s="48"/>
      <c r="J529" s="642" t="str">
        <f t="shared" si="291"/>
        <v/>
      </c>
      <c r="K529" s="642" t="str">
        <f t="shared" si="292"/>
        <v/>
      </c>
      <c r="L529" s="642" t="str">
        <f t="shared" si="293"/>
        <v/>
      </c>
      <c r="M529" s="1395"/>
      <c r="N529" s="116"/>
      <c r="O529" s="116"/>
      <c r="P529" s="116"/>
      <c r="Q529" s="116"/>
      <c r="R529" s="116"/>
      <c r="S529" s="132"/>
      <c r="T529" s="142"/>
      <c r="U529" s="115"/>
      <c r="AD529" s="561" t="str">
        <f t="shared" si="303"/>
        <v/>
      </c>
      <c r="AE529" s="561" t="str">
        <f t="shared" si="303"/>
        <v>n.a.</v>
      </c>
      <c r="AF529" s="561" t="str">
        <f t="shared" si="303"/>
        <v>n.a.</v>
      </c>
      <c r="AG529" s="561" t="str">
        <f t="shared" si="303"/>
        <v>n.a.</v>
      </c>
      <c r="AH529" s="561" t="b">
        <f t="shared" si="303"/>
        <v>0</v>
      </c>
      <c r="AI529" s="561" t="b">
        <f t="shared" si="303"/>
        <v>0</v>
      </c>
      <c r="AJ529" s="582" t="str">
        <f t="shared" si="301"/>
        <v/>
      </c>
      <c r="AK529" s="582" t="str">
        <f t="shared" si="302"/>
        <v/>
      </c>
      <c r="AL529" s="582" t="str">
        <f t="shared" si="297"/>
        <v/>
      </c>
    </row>
    <row r="530" spans="1:38" ht="12.75" customHeight="1" x14ac:dyDescent="0.25">
      <c r="B530" s="132"/>
      <c r="C530" s="132"/>
      <c r="D530" s="1388"/>
      <c r="E530" s="43"/>
      <c r="F530" s="47"/>
      <c r="G530" s="50"/>
      <c r="H530" s="50"/>
      <c r="I530" s="48"/>
      <c r="J530" s="642" t="str">
        <f t="shared" si="291"/>
        <v/>
      </c>
      <c r="K530" s="642" t="str">
        <f t="shared" si="292"/>
        <v/>
      </c>
      <c r="L530" s="642" t="str">
        <f t="shared" si="293"/>
        <v/>
      </c>
      <c r="M530" s="1395"/>
      <c r="N530" s="116"/>
      <c r="O530" s="116"/>
      <c r="P530" s="116"/>
      <c r="Q530" s="116"/>
      <c r="R530" s="116"/>
      <c r="S530" s="132"/>
      <c r="T530" s="142"/>
      <c r="U530" s="115"/>
      <c r="AD530" s="561" t="str">
        <f t="shared" si="303"/>
        <v/>
      </c>
      <c r="AE530" s="561" t="str">
        <f t="shared" si="303"/>
        <v>n.a.</v>
      </c>
      <c r="AF530" s="561" t="str">
        <f t="shared" si="303"/>
        <v>n.a.</v>
      </c>
      <c r="AG530" s="561" t="str">
        <f t="shared" si="303"/>
        <v>n.a.</v>
      </c>
      <c r="AH530" s="561" t="b">
        <f t="shared" si="303"/>
        <v>0</v>
      </c>
      <c r="AI530" s="561" t="b">
        <f t="shared" si="303"/>
        <v>0</v>
      </c>
      <c r="AJ530" s="582" t="str">
        <f t="shared" si="301"/>
        <v/>
      </c>
      <c r="AK530" s="582" t="str">
        <f t="shared" si="302"/>
        <v/>
      </c>
      <c r="AL530" s="582" t="str">
        <f t="shared" si="297"/>
        <v/>
      </c>
    </row>
    <row r="531" spans="1:38" ht="12.75" customHeight="1" x14ac:dyDescent="0.25">
      <c r="B531" s="132"/>
      <c r="C531" s="132"/>
      <c r="D531" s="1388"/>
      <c r="E531" s="44"/>
      <c r="F531" s="51"/>
      <c r="G531" s="52"/>
      <c r="H531" s="52"/>
      <c r="I531" s="53"/>
      <c r="J531" s="657" t="str">
        <f t="shared" si="291"/>
        <v/>
      </c>
      <c r="K531" s="657" t="str">
        <f t="shared" si="292"/>
        <v/>
      </c>
      <c r="L531" s="657" t="str">
        <f t="shared" si="293"/>
        <v/>
      </c>
      <c r="M531" s="1395"/>
      <c r="N531" s="116"/>
      <c r="O531" s="116"/>
      <c r="P531" s="116"/>
      <c r="Q531" s="116"/>
      <c r="R531" s="116"/>
      <c r="S531" s="132"/>
      <c r="T531" s="142"/>
      <c r="U531" s="115"/>
      <c r="AD531" s="561" t="str">
        <f t="shared" si="303"/>
        <v/>
      </c>
      <c r="AE531" s="561" t="str">
        <f t="shared" si="303"/>
        <v>n.a.</v>
      </c>
      <c r="AF531" s="561" t="str">
        <f t="shared" si="303"/>
        <v>n.a.</v>
      </c>
      <c r="AG531" s="561" t="str">
        <f t="shared" si="303"/>
        <v>n.a.</v>
      </c>
      <c r="AH531" s="561" t="b">
        <f t="shared" si="303"/>
        <v>0</v>
      </c>
      <c r="AI531" s="561" t="b">
        <f t="shared" si="303"/>
        <v>0</v>
      </c>
      <c r="AJ531" s="582" t="str">
        <f t="shared" si="301"/>
        <v/>
      </c>
      <c r="AK531" s="582" t="str">
        <f t="shared" si="302"/>
        <v/>
      </c>
      <c r="AL531" s="582" t="str">
        <f t="shared" si="297"/>
        <v/>
      </c>
    </row>
    <row r="532" spans="1:38" ht="12.75" customHeight="1" x14ac:dyDescent="0.25">
      <c r="B532" s="132"/>
      <c r="C532" s="132"/>
      <c r="D532" s="132"/>
      <c r="E532" s="658" t="str">
        <f>Translations!$B$645</f>
        <v>TOTALS</v>
      </c>
      <c r="F532" s="659" t="str">
        <f>IF(SUM(F517:F531)=0,"",SUM(F517:F531))</f>
        <v/>
      </c>
      <c r="G532" s="660" t="str">
        <f>IF(SUM(F532)=0,"",J532/F532)</f>
        <v/>
      </c>
      <c r="H532" s="660" t="str">
        <f>IF(SUM(J532)=0,"",SUM(K532:L532)/IF(AF517&lt;&gt;EUconst_NA,F532,J532)/IF(AG517=EUconst_NA,1,AG517))</f>
        <v/>
      </c>
      <c r="I532" s="661" t="str">
        <f>IF(SUM(K532:L532)=0,"",L532/SUM(K532:L532))</f>
        <v/>
      </c>
      <c r="J532" s="659" t="str">
        <f>IF(COUNTA(E517:E531)=0,"",IFERROR(SUM(J517:J531),EUconst_ERR_Inconsistent))</f>
        <v/>
      </c>
      <c r="K532" s="659" t="str">
        <f>IF(COUNTA(E517:E531)=0,"",IFERROR(SUM(K517:K531),EUconst_ERR_Inconsistent))</f>
        <v/>
      </c>
      <c r="L532" s="659" t="str">
        <f>IF(COUNTA(E517:E531)=0,"",IFERROR(SUM(L517:L531),EUconst_ERR_Inconsistent))</f>
        <v/>
      </c>
      <c r="M532" s="1395"/>
      <c r="N532" s="116"/>
      <c r="O532" s="116"/>
      <c r="P532" s="116"/>
      <c r="Q532" s="116"/>
      <c r="R532" s="116"/>
      <c r="S532" s="132"/>
      <c r="T532" s="142"/>
      <c r="U532" s="115"/>
    </row>
    <row r="533" spans="1:38" ht="12.75" customHeight="1" x14ac:dyDescent="0.25">
      <c r="B533" s="132"/>
      <c r="C533" s="132"/>
      <c r="D533" s="132"/>
      <c r="E533" s="191"/>
      <c r="F533" s="116"/>
      <c r="G533" s="116"/>
      <c r="H533" s="116"/>
      <c r="I533" s="116"/>
      <c r="J533" s="116"/>
      <c r="K533" s="116"/>
      <c r="L533" s="116"/>
      <c r="M533" s="116"/>
      <c r="N533" s="116"/>
      <c r="O533" s="116"/>
      <c r="P533" s="116"/>
      <c r="Q533" s="116"/>
      <c r="R533" s="116"/>
      <c r="S533" s="132"/>
      <c r="T533" s="142"/>
      <c r="U533" s="115"/>
    </row>
    <row r="534" spans="1:38" s="69" customFormat="1" ht="18.75" customHeight="1" x14ac:dyDescent="0.25">
      <c r="A534" s="167">
        <f>C534</f>
        <v>23</v>
      </c>
      <c r="B534" s="76"/>
      <c r="C534" s="216">
        <f>C511+1</f>
        <v>23</v>
      </c>
      <c r="D534" s="1195" t="str">
        <f>"Tool " &amp;C534-2</f>
        <v>Tool 21</v>
      </c>
      <c r="E534" s="1195"/>
      <c r="F534" s="1195"/>
      <c r="G534" s="1195"/>
      <c r="H534" s="1195"/>
      <c r="I534" s="1195"/>
      <c r="J534" s="1195"/>
      <c r="K534" s="1195"/>
      <c r="L534" s="1195"/>
      <c r="M534" s="1195"/>
      <c r="N534" s="1195"/>
      <c r="O534" s="1195"/>
      <c r="P534" s="1195"/>
      <c r="Q534" s="1195"/>
      <c r="R534" s="1195"/>
      <c r="S534" s="1195"/>
      <c r="T534" s="142"/>
      <c r="U534" s="115"/>
      <c r="V534" s="464" t="str">
        <f>D534</f>
        <v>Tool 21</v>
      </c>
      <c r="W534" s="110"/>
      <c r="X534" s="110"/>
      <c r="Y534" s="110"/>
      <c r="Z534" s="110"/>
      <c r="AA534" s="109"/>
      <c r="AB534" s="109"/>
      <c r="AC534" s="109"/>
      <c r="AD534" s="109"/>
      <c r="AE534" s="109"/>
      <c r="AF534" s="109"/>
      <c r="AG534" s="109"/>
      <c r="AH534" s="109"/>
      <c r="AI534" s="109"/>
      <c r="AJ534" s="109"/>
      <c r="AK534" s="109"/>
      <c r="AL534" s="109"/>
    </row>
    <row r="535" spans="1:38" ht="12.75" customHeight="1" x14ac:dyDescent="0.25">
      <c r="B535" s="132"/>
      <c r="C535" s="132"/>
      <c r="D535" s="132"/>
      <c r="E535" s="191"/>
      <c r="F535" s="116"/>
      <c r="G535" s="116"/>
      <c r="H535" s="116"/>
      <c r="I535" s="116"/>
      <c r="J535" s="116"/>
      <c r="K535" s="116"/>
      <c r="L535" s="116"/>
      <c r="M535" s="116"/>
      <c r="N535" s="116"/>
      <c r="O535" s="116"/>
      <c r="P535" s="116"/>
      <c r="Q535" s="116"/>
      <c r="R535" s="116"/>
      <c r="S535" s="132"/>
      <c r="T535" s="142"/>
      <c r="U535" s="115"/>
    </row>
    <row r="536" spans="1:38" ht="12.75" customHeight="1" x14ac:dyDescent="0.25">
      <c r="B536" s="132"/>
      <c r="C536" s="132"/>
      <c r="D536" s="1377" t="str">
        <f>Translations!$B$631</f>
        <v>Component</v>
      </c>
      <c r="E536" s="1378"/>
      <c r="F536" s="633">
        <v>1</v>
      </c>
      <c r="G536" s="633">
        <v>2</v>
      </c>
      <c r="H536" s="633">
        <v>3</v>
      </c>
      <c r="I536" s="633">
        <v>4</v>
      </c>
      <c r="J536" s="633">
        <v>5</v>
      </c>
      <c r="K536" s="633">
        <v>6</v>
      </c>
      <c r="L536" s="633">
        <v>7</v>
      </c>
      <c r="M536" s="116"/>
      <c r="N536" s="116"/>
      <c r="O536" s="116"/>
      <c r="P536" s="116"/>
      <c r="Q536" s="116"/>
      <c r="R536" s="116"/>
      <c r="S536" s="132"/>
      <c r="T536" s="142"/>
      <c r="U536" s="115"/>
      <c r="V536" s="566" t="str">
        <f>Translations!$B$498</f>
        <v>Units:</v>
      </c>
      <c r="W536" s="561" t="str" cm="1">
        <f t="array" ref="W536">IFERROR(INDEX(_xlfn._xlws.FILTER(W540:W549,(W540:W549)&lt;&gt;"",""),1),W537)</f>
        <v/>
      </c>
      <c r="X536" s="561" t="str" cm="1">
        <f t="array" ref="X536">IFERROR(INDEX(_xlfn._xlws.FILTER(X540:X549,(X540:X549)&lt;&gt;"",""),1),X537)</f>
        <v/>
      </c>
      <c r="Y536" s="567"/>
      <c r="Z536" s="561" t="str" cm="1">
        <f t="array" ref="Z536">IFERROR(INDEX(_xlfn._xlws.FILTER(Z540:Z549,(Z540:Z549)&lt;&gt;"",""),1),Z537)</f>
        <v/>
      </c>
      <c r="AA536" s="567"/>
    </row>
    <row r="537" spans="1:38" ht="12.75" customHeight="1" x14ac:dyDescent="0.25">
      <c r="B537" s="132"/>
      <c r="C537" s="132"/>
      <c r="D537" s="1379"/>
      <c r="E537" s="1380"/>
      <c r="F537" s="1383" t="str">
        <f>Translations!$B$377</f>
        <v>RFA</v>
      </c>
      <c r="G537" s="1383" t="str">
        <f>Translations!$B$386</f>
        <v>UCF</v>
      </c>
      <c r="H537" s="1383" t="str">
        <f>Translations!$B$383</f>
        <v>EF</v>
      </c>
      <c r="I537" s="1383" t="str">
        <f>Translations!$B$632</f>
        <v>Zero-rated F</v>
      </c>
      <c r="J537" s="1385" t="str">
        <f>Translations!$B$652</f>
        <v>Energy or other</v>
      </c>
      <c r="K537" s="1385" t="str">
        <f>Translations!$B$522</f>
        <v>Emissions (fossil)</v>
      </c>
      <c r="L537" s="1385" t="str">
        <f>Translations!$B$634</f>
        <v>Emissions (bio)</v>
      </c>
      <c r="M537" s="116"/>
      <c r="N537" s="116"/>
      <c r="O537" s="116"/>
      <c r="P537" s="116"/>
      <c r="Q537" s="116"/>
      <c r="R537" s="116"/>
      <c r="S537" s="132"/>
      <c r="T537" s="142"/>
      <c r="U537" s="115"/>
      <c r="W537" s="561" t="str">
        <f t="array" ref="W537">IFERROR(INDEX(W540:W549,MATCH(TRUE,(W540:W549)&lt;&gt;"",0)),"")</f>
        <v/>
      </c>
      <c r="X537" s="561" t="str">
        <f t="array" ref="X537">IFERROR(INDEX(X540:X549,MATCH(TRUE,(X540:X549)&lt;&gt;"",0)),"")</f>
        <v/>
      </c>
      <c r="Y537" s="567"/>
      <c r="Z537" s="561" t="str">
        <f t="array" ref="Z537">IFERROR(INDEX(Z540:Z549,MATCH(TRUE,(Z540:Z549)&lt;&gt;"",0)),"")</f>
        <v/>
      </c>
      <c r="AA537" s="567"/>
    </row>
    <row r="538" spans="1:38" ht="12.75" customHeight="1" x14ac:dyDescent="0.3">
      <c r="B538" s="132"/>
      <c r="C538" s="132"/>
      <c r="D538" s="1379"/>
      <c r="E538" s="1380"/>
      <c r="F538" s="1384"/>
      <c r="G538" s="1384"/>
      <c r="H538" s="1384"/>
      <c r="I538" s="1384"/>
      <c r="J538" s="1386"/>
      <c r="K538" s="1386"/>
      <c r="L538" s="1386"/>
      <c r="M538" s="116"/>
      <c r="N538" s="634" t="str">
        <f>Translations!$B$635</f>
        <v>Result to be entered in sheet C</v>
      </c>
      <c r="O538" s="116"/>
      <c r="P538" s="116"/>
      <c r="Q538" s="116"/>
      <c r="R538" s="116"/>
      <c r="S538" s="132"/>
      <c r="T538" s="142"/>
      <c r="U538" s="115"/>
      <c r="W538" s="569" t="str">
        <f>Translations!$B$377</f>
        <v>RFA</v>
      </c>
      <c r="X538" s="569" t="str">
        <f>Translations!$B$386</f>
        <v>UCF</v>
      </c>
      <c r="Y538" s="569"/>
      <c r="Z538" s="569" t="str">
        <f>Translations!$B$383</f>
        <v>EF</v>
      </c>
      <c r="AA538" s="569"/>
      <c r="AB538" s="570"/>
      <c r="AC538" s="570"/>
      <c r="AH538" s="570"/>
      <c r="AI538" s="570"/>
      <c r="AJ538" s="570"/>
    </row>
    <row r="539" spans="1:38" ht="12.75" customHeight="1" x14ac:dyDescent="0.3">
      <c r="B539" s="132"/>
      <c r="C539" s="132"/>
      <c r="D539" s="1381"/>
      <c r="E539" s="1382"/>
      <c r="F539" s="635" t="str">
        <f>IF(COUNTA($E540:$E554)=0,"",$W536)</f>
        <v/>
      </c>
      <c r="G539" s="635" t="str">
        <f>IF(COUNTA($E540:$E554)=0,"",$X536)</f>
        <v/>
      </c>
      <c r="H539" s="635" t="str">
        <f>IF(COUNTA($E540:$E554)=0,"",$Z536)</f>
        <v/>
      </c>
      <c r="I539" s="636" t="s">
        <v>46</v>
      </c>
      <c r="J539" s="635" t="str">
        <f>IF(AE540=EUconst_NA,EUconst_GJ,AE540)</f>
        <v>GJ</v>
      </c>
      <c r="K539" s="637" t="s">
        <v>188</v>
      </c>
      <c r="L539" s="637" t="s">
        <v>188</v>
      </c>
      <c r="M539" s="116"/>
      <c r="N539" s="1387" t="str">
        <f>Translations!$B$636</f>
        <v>The results of this tool are the relevant (weighted average) values below. Each value has to be entered manually in sheet C for the respective fuel stream. Select fuel stream below for comparison.</v>
      </c>
      <c r="O539" s="1387"/>
      <c r="P539" s="1387"/>
      <c r="Q539" s="1387"/>
      <c r="R539" s="1387"/>
      <c r="S539" s="1387"/>
      <c r="T539" s="142"/>
      <c r="U539" s="115"/>
      <c r="W539" s="569" t="str">
        <f>EUconst_CNTR_ActivityData&amp;EUconst_Unit</f>
        <v>ActivityData_Unit</v>
      </c>
      <c r="X539" s="569" t="str">
        <f>EUconst_CNTR_UCF&amp;EUconst_Unit</f>
        <v>UCF_Unit</v>
      </c>
      <c r="Y539" s="569" t="str">
        <f>EUconst_CNTR_UCF&amp;EUconst_Value</f>
        <v>UCF_Value</v>
      </c>
      <c r="Z539" s="569" t="str">
        <f>EUconst_CNTR_EF&amp;EUconst_Unit</f>
        <v>EF_Unit</v>
      </c>
      <c r="AA539" s="569" t="str">
        <f>EUconst_CNTR_EF&amp;EUconst_Value</f>
        <v>EF_Value</v>
      </c>
      <c r="AB539" s="569" t="s">
        <v>189</v>
      </c>
      <c r="AC539" s="575"/>
      <c r="AD539" s="576" t="s">
        <v>147</v>
      </c>
      <c r="AE539" s="576" t="s">
        <v>151</v>
      </c>
      <c r="AF539" s="576" t="s">
        <v>153</v>
      </c>
      <c r="AG539" s="576" t="s">
        <v>155</v>
      </c>
      <c r="AH539" s="575"/>
      <c r="AI539" s="575"/>
      <c r="AJ539" s="575" t="s">
        <v>190</v>
      </c>
      <c r="AK539" s="575" t="s">
        <v>191</v>
      </c>
      <c r="AL539" s="575" t="s">
        <v>192</v>
      </c>
    </row>
    <row r="540" spans="1:38" ht="12.75" customHeight="1" x14ac:dyDescent="0.25">
      <c r="B540" s="132"/>
      <c r="C540" s="132"/>
      <c r="D540" s="1388" t="str">
        <f>Translations!$B$637</f>
        <v>Default compontents provided by the CA</v>
      </c>
      <c r="E540" s="42"/>
      <c r="F540" s="45"/>
      <c r="G540" s="639" t="str">
        <f>IF($E540="","",Y540)</f>
        <v/>
      </c>
      <c r="H540" s="639" t="str">
        <f>IF($E540="","",AA540)</f>
        <v/>
      </c>
      <c r="I540" s="46"/>
      <c r="J540" s="640" t="str">
        <f t="shared" ref="J540:J554" si="304">IFERROR(IF(E540="","",AL540),EUconst_ERR_Inconsistent)</f>
        <v/>
      </c>
      <c r="K540" s="640" t="str">
        <f t="shared" ref="K540:K554" si="305">IFERROR(IF(E540="","",AJ540),EUconst_ERR_Inconsistent)</f>
        <v/>
      </c>
      <c r="L540" s="640" t="str">
        <f t="shared" ref="L540:L554" si="306">IFERROR(IF(E540="","",AK540),EUconst_ERR_Inconsistent)</f>
        <v/>
      </c>
      <c r="M540" s="1389"/>
      <c r="N540" s="1387"/>
      <c r="O540" s="1387"/>
      <c r="P540" s="1387"/>
      <c r="Q540" s="1387"/>
      <c r="R540" s="1387"/>
      <c r="S540" s="1387"/>
      <c r="T540" s="142"/>
      <c r="U540" s="115"/>
      <c r="W540" s="561" t="str">
        <f t="shared" ref="W540:AA549" si="307">IF($E540="","",INDEX(MSPara_CalcFactorsMatrix,MATCH($E540,MSPara_SourceStreamCategory,0),MATCH(W$20&amp;"_"&amp;2,MSPara_CalcFactors,0)))</f>
        <v/>
      </c>
      <c r="X540" s="561" t="str">
        <f t="shared" si="307"/>
        <v/>
      </c>
      <c r="Y540" s="561" t="str">
        <f t="shared" si="307"/>
        <v/>
      </c>
      <c r="Z540" s="561" t="str">
        <f t="shared" si="307"/>
        <v/>
      </c>
      <c r="AA540" s="561" t="str">
        <f t="shared" si="307"/>
        <v/>
      </c>
      <c r="AB540" s="561" t="str">
        <f>IF(E540="","",OR(W540&lt;&gt;W536,X540&lt;&gt;X536,Z540&lt;&gt;Z536))</f>
        <v/>
      </c>
      <c r="AC540" s="567"/>
      <c r="AD540" s="561" t="str">
        <f>W540</f>
        <v/>
      </c>
      <c r="AE540" s="561" t="str">
        <f>IF(X540="",EUconst_NA,IF(AD540=EUconst_TJ,EUconst_TJ,INDEX(EUwideConstants!$C$135:$G$139,MATCH(AD540,RFAUnits,0),MATCH(X540,UCFUnits,0))))</f>
        <v>n.a.</v>
      </c>
      <c r="AF540" s="561" t="str">
        <f>IF(COUNTIF(RFAUnits,AD540)=0,EUconst_NA,INDEX(EUwideConstants!$C$150:$H$154,MATCH(Z540,EFUnits,0),MATCH(AD540,EUwideConstants!$C$149:$H$149,0)))</f>
        <v>n.a.</v>
      </c>
      <c r="AG540" s="561" t="str">
        <f>IF(AE540=EUconst_NA,EUconst_NA,INDEX(EUwideConstants!$C$150:$H$154,MATCH(Z540,EFUnits,0),MATCH(AE540,EUwideConstants!$C$149:$H$149,0)))</f>
        <v>n.a.</v>
      </c>
      <c r="AH540" s="561" t="b">
        <f t="shared" ref="AH540" si="308">AF540&lt;&gt;EUconst_NA</f>
        <v>0</v>
      </c>
      <c r="AI540" s="561" t="b">
        <f t="shared" ref="AI540" si="309">AG540&lt;&gt;EUconst_NA</f>
        <v>0</v>
      </c>
      <c r="AJ540" s="582" t="str">
        <f>IF(OR(E540="",COUNTIF(AH540:AI540,TRUE)=0),"",F540*IF(AH540,1,G540*AG540)*H540*(1-I540))</f>
        <v/>
      </c>
      <c r="AK540" s="582" t="str">
        <f>IF(OR(E540="",COUNTIF(AH540:AI540,TRUE)=0),"",F540*IF(AH540,1,G540*AG540)*H540*I540)</f>
        <v/>
      </c>
      <c r="AL540" s="582" t="str">
        <f t="shared" ref="AL540:AL554" si="310">IF(E540="","",IF(W540=EUconst_TJ,F540,F540*G540))</f>
        <v/>
      </c>
    </row>
    <row r="541" spans="1:38" ht="12.75" customHeight="1" x14ac:dyDescent="0.25">
      <c r="B541" s="132"/>
      <c r="C541" s="132"/>
      <c r="D541" s="1388"/>
      <c r="E541" s="43"/>
      <c r="F541" s="47"/>
      <c r="G541" s="641" t="str">
        <f t="shared" ref="G541:G549" si="311">IF($E541="","",Y541)</f>
        <v/>
      </c>
      <c r="H541" s="641" t="str">
        <f t="shared" ref="H541:H549" si="312">IF($E541="","",AA541)</f>
        <v/>
      </c>
      <c r="I541" s="48"/>
      <c r="J541" s="642" t="str">
        <f t="shared" si="304"/>
        <v/>
      </c>
      <c r="K541" s="642" t="str">
        <f t="shared" si="305"/>
        <v/>
      </c>
      <c r="L541" s="642" t="str">
        <f t="shared" si="306"/>
        <v/>
      </c>
      <c r="M541" s="1389"/>
      <c r="N541" s="638"/>
      <c r="O541" s="643" t="str">
        <f>Translations!$B$639</f>
        <v>Fuel stream:</v>
      </c>
      <c r="P541" s="1390"/>
      <c r="Q541" s="1391"/>
      <c r="R541" s="1391"/>
      <c r="S541" s="1392"/>
      <c r="T541" s="142"/>
      <c r="U541" s="115"/>
      <c r="W541" s="561" t="str">
        <f t="shared" si="307"/>
        <v/>
      </c>
      <c r="X541" s="561" t="str">
        <f t="shared" si="307"/>
        <v/>
      </c>
      <c r="Y541" s="561" t="str">
        <f t="shared" si="307"/>
        <v/>
      </c>
      <c r="Z541" s="561" t="str">
        <f t="shared" si="307"/>
        <v/>
      </c>
      <c r="AA541" s="561" t="str">
        <f t="shared" si="307"/>
        <v/>
      </c>
      <c r="AB541" s="561" t="str">
        <f>IF(E541="","",OR(W541&lt;&gt;W536,X541&lt;&gt;X536,Z541&lt;&gt;Z536))</f>
        <v/>
      </c>
      <c r="AC541" s="567"/>
      <c r="AD541" s="561" t="str">
        <f>AD540</f>
        <v/>
      </c>
      <c r="AE541" s="561" t="str">
        <f t="shared" ref="AE541:AI541" si="313">AE540</f>
        <v>n.a.</v>
      </c>
      <c r="AF541" s="561" t="str">
        <f t="shared" si="313"/>
        <v>n.a.</v>
      </c>
      <c r="AG541" s="561" t="str">
        <f t="shared" si="313"/>
        <v>n.a.</v>
      </c>
      <c r="AH541" s="561" t="b">
        <f t="shared" si="313"/>
        <v>0</v>
      </c>
      <c r="AI541" s="561" t="b">
        <f t="shared" si="313"/>
        <v>0</v>
      </c>
      <c r="AJ541" s="582" t="str">
        <f t="shared" ref="AJ541:AJ554" si="314">IF(OR(E541="",COUNTIF(AH541:AI541,TRUE)=0),"",F541*IF(AH541,1,G541*AG541)*H541*(1-I541))</f>
        <v/>
      </c>
      <c r="AK541" s="582" t="str">
        <f t="shared" ref="AK541:AK554" si="315">IF(OR(E541="",COUNTIF(AH541:AI541,TRUE)=0),"",F541*IF(AH541,1,G541*AG541)*H541*I541)</f>
        <v/>
      </c>
      <c r="AL541" s="582" t="str">
        <f t="shared" si="310"/>
        <v/>
      </c>
    </row>
    <row r="542" spans="1:38" ht="12.75" customHeight="1" x14ac:dyDescent="0.25">
      <c r="B542" s="132"/>
      <c r="C542" s="132"/>
      <c r="D542" s="1388"/>
      <c r="E542" s="43"/>
      <c r="F542" s="47"/>
      <c r="G542" s="641" t="str">
        <f t="shared" si="311"/>
        <v/>
      </c>
      <c r="H542" s="641" t="str">
        <f t="shared" si="312"/>
        <v/>
      </c>
      <c r="I542" s="48"/>
      <c r="J542" s="642" t="str">
        <f t="shared" si="304"/>
        <v/>
      </c>
      <c r="K542" s="642" t="str">
        <f t="shared" si="305"/>
        <v/>
      </c>
      <c r="L542" s="642" t="str">
        <f t="shared" si="306"/>
        <v/>
      </c>
      <c r="M542" s="1389"/>
      <c r="N542" s="116"/>
      <c r="O542" s="116"/>
      <c r="P542" s="116"/>
      <c r="Q542" s="116"/>
      <c r="R542" s="116"/>
      <c r="S542" s="132"/>
      <c r="T542" s="142"/>
      <c r="U542" s="115"/>
      <c r="W542" s="561" t="str">
        <f t="shared" si="307"/>
        <v/>
      </c>
      <c r="X542" s="561" t="str">
        <f t="shared" si="307"/>
        <v/>
      </c>
      <c r="Y542" s="561" t="str">
        <f t="shared" si="307"/>
        <v/>
      </c>
      <c r="Z542" s="561" t="str">
        <f t="shared" si="307"/>
        <v/>
      </c>
      <c r="AA542" s="561" t="str">
        <f t="shared" si="307"/>
        <v/>
      </c>
      <c r="AB542" s="561" t="str">
        <f>IF(E542="","",OR(W542&lt;&gt;W536,X542&lt;&gt;X536,Z542&lt;&gt;Z536))</f>
        <v/>
      </c>
      <c r="AC542" s="567"/>
      <c r="AD542" s="561" t="str">
        <f t="shared" ref="AD542:AI554" si="316">AD541</f>
        <v/>
      </c>
      <c r="AE542" s="561" t="str">
        <f t="shared" si="316"/>
        <v>n.a.</v>
      </c>
      <c r="AF542" s="561" t="str">
        <f t="shared" si="316"/>
        <v>n.a.</v>
      </c>
      <c r="AG542" s="561" t="str">
        <f t="shared" si="316"/>
        <v>n.a.</v>
      </c>
      <c r="AH542" s="561" t="b">
        <f t="shared" si="316"/>
        <v>0</v>
      </c>
      <c r="AI542" s="561" t="b">
        <f t="shared" si="316"/>
        <v>0</v>
      </c>
      <c r="AJ542" s="582" t="str">
        <f t="shared" si="314"/>
        <v/>
      </c>
      <c r="AK542" s="582" t="str">
        <f t="shared" si="315"/>
        <v/>
      </c>
      <c r="AL542" s="582" t="str">
        <f t="shared" si="310"/>
        <v/>
      </c>
    </row>
    <row r="543" spans="1:38" ht="12.75" customHeight="1" thickBot="1" x14ac:dyDescent="0.35">
      <c r="B543" s="132"/>
      <c r="C543" s="132"/>
      <c r="D543" s="1388"/>
      <c r="E543" s="43"/>
      <c r="F543" s="47"/>
      <c r="G543" s="641" t="str">
        <f t="shared" si="311"/>
        <v/>
      </c>
      <c r="H543" s="641" t="str">
        <f t="shared" si="312"/>
        <v/>
      </c>
      <c r="I543" s="48"/>
      <c r="J543" s="642" t="str">
        <f t="shared" si="304"/>
        <v/>
      </c>
      <c r="K543" s="642" t="str">
        <f t="shared" si="305"/>
        <v/>
      </c>
      <c r="L543" s="642" t="str">
        <f t="shared" si="306"/>
        <v/>
      </c>
      <c r="M543" s="1389"/>
      <c r="N543" s="1255" t="str">
        <f>Translations!$B$394</f>
        <v>Unit</v>
      </c>
      <c r="O543" s="1255"/>
      <c r="P543" s="1255" t="str">
        <f>Translations!$B$395</f>
        <v>Value</v>
      </c>
      <c r="Q543" s="1255"/>
      <c r="R543" s="116"/>
      <c r="S543" s="644" t="str">
        <f>Translations!$B$642</f>
        <v>Sheet C values</v>
      </c>
      <c r="T543" s="142"/>
      <c r="U543" s="115"/>
      <c r="W543" s="561" t="str">
        <f t="shared" si="307"/>
        <v/>
      </c>
      <c r="X543" s="561" t="str">
        <f t="shared" si="307"/>
        <v/>
      </c>
      <c r="Y543" s="561" t="str">
        <f t="shared" si="307"/>
        <v/>
      </c>
      <c r="Z543" s="561" t="str">
        <f t="shared" si="307"/>
        <v/>
      </c>
      <c r="AA543" s="561" t="str">
        <f t="shared" si="307"/>
        <v/>
      </c>
      <c r="AB543" s="561" t="str">
        <f>IF(E543="","",OR(W543&lt;&gt;W536,X543&lt;&gt;X536,Z543&lt;&gt;Z536))</f>
        <v/>
      </c>
      <c r="AC543" s="567"/>
      <c r="AD543" s="561" t="str">
        <f t="shared" si="316"/>
        <v/>
      </c>
      <c r="AE543" s="561" t="str">
        <f t="shared" si="316"/>
        <v>n.a.</v>
      </c>
      <c r="AF543" s="561" t="str">
        <f t="shared" si="316"/>
        <v>n.a.</v>
      </c>
      <c r="AG543" s="561" t="str">
        <f t="shared" si="316"/>
        <v>n.a.</v>
      </c>
      <c r="AH543" s="561" t="b">
        <f t="shared" si="316"/>
        <v>0</v>
      </c>
      <c r="AI543" s="561" t="b">
        <f t="shared" si="316"/>
        <v>0</v>
      </c>
      <c r="AJ543" s="582" t="str">
        <f t="shared" si="314"/>
        <v/>
      </c>
      <c r="AK543" s="582" t="str">
        <f t="shared" si="315"/>
        <v/>
      </c>
      <c r="AL543" s="582" t="str">
        <f t="shared" si="310"/>
        <v/>
      </c>
    </row>
    <row r="544" spans="1:38" ht="12.75" customHeight="1" thickBot="1" x14ac:dyDescent="0.3">
      <c r="B544" s="132"/>
      <c r="C544" s="132"/>
      <c r="D544" s="1388"/>
      <c r="E544" s="43"/>
      <c r="F544" s="47"/>
      <c r="G544" s="641" t="str">
        <f t="shared" si="311"/>
        <v/>
      </c>
      <c r="H544" s="641" t="str">
        <f t="shared" si="312"/>
        <v/>
      </c>
      <c r="I544" s="48"/>
      <c r="J544" s="642" t="str">
        <f t="shared" si="304"/>
        <v/>
      </c>
      <c r="K544" s="642" t="str">
        <f t="shared" si="305"/>
        <v/>
      </c>
      <c r="L544" s="642" t="str">
        <f t="shared" si="306"/>
        <v/>
      </c>
      <c r="M544" s="116"/>
      <c r="N544" s="346" t="str">
        <f>F539</f>
        <v/>
      </c>
      <c r="O544" s="7"/>
      <c r="P544" s="1393" t="str">
        <f>IF(F555="","",F555)</f>
        <v/>
      </c>
      <c r="Q544" s="1394"/>
      <c r="R544" s="116"/>
      <c r="S544" s="645" t="str">
        <f>IF(P541="","",SUMIFS(C_FuelStreams!BK:BK,C_FuelStreams!BI:BI,P541))</f>
        <v/>
      </c>
      <c r="T544" s="142"/>
      <c r="U544" s="115"/>
      <c r="W544" s="561" t="str">
        <f t="shared" si="307"/>
        <v/>
      </c>
      <c r="X544" s="561" t="str">
        <f t="shared" si="307"/>
        <v/>
      </c>
      <c r="Y544" s="561" t="str">
        <f t="shared" si="307"/>
        <v/>
      </c>
      <c r="Z544" s="561" t="str">
        <f t="shared" si="307"/>
        <v/>
      </c>
      <c r="AA544" s="561" t="str">
        <f t="shared" si="307"/>
        <v/>
      </c>
      <c r="AB544" s="561" t="str">
        <f>IF(E544="","",OR(W544&lt;&gt;W536,X544&lt;&gt;X536,Z544&lt;&gt;Z536))</f>
        <v/>
      </c>
      <c r="AC544" s="567"/>
      <c r="AD544" s="561" t="str">
        <f t="shared" si="316"/>
        <v/>
      </c>
      <c r="AE544" s="561" t="str">
        <f t="shared" si="316"/>
        <v>n.a.</v>
      </c>
      <c r="AF544" s="561" t="str">
        <f t="shared" si="316"/>
        <v>n.a.</v>
      </c>
      <c r="AG544" s="561" t="str">
        <f t="shared" si="316"/>
        <v>n.a.</v>
      </c>
      <c r="AH544" s="561" t="b">
        <f t="shared" si="316"/>
        <v>0</v>
      </c>
      <c r="AI544" s="561" t="b">
        <f t="shared" si="316"/>
        <v>0</v>
      </c>
      <c r="AJ544" s="582" t="str">
        <f t="shared" si="314"/>
        <v/>
      </c>
      <c r="AK544" s="582" t="str">
        <f t="shared" si="315"/>
        <v/>
      </c>
      <c r="AL544" s="582" t="str">
        <f t="shared" si="310"/>
        <v/>
      </c>
    </row>
    <row r="545" spans="1:38" ht="12.75" customHeight="1" thickBot="1" x14ac:dyDescent="0.3">
      <c r="B545" s="132"/>
      <c r="C545" s="132"/>
      <c r="D545" s="1388"/>
      <c r="E545" s="43"/>
      <c r="F545" s="47"/>
      <c r="G545" s="641" t="str">
        <f t="shared" si="311"/>
        <v/>
      </c>
      <c r="H545" s="641" t="str">
        <f t="shared" si="312"/>
        <v/>
      </c>
      <c r="I545" s="48"/>
      <c r="J545" s="642" t="str">
        <f t="shared" si="304"/>
        <v/>
      </c>
      <c r="K545" s="642" t="str">
        <f t="shared" si="305"/>
        <v/>
      </c>
      <c r="L545" s="642" t="str">
        <f t="shared" si="306"/>
        <v/>
      </c>
      <c r="M545" s="116"/>
      <c r="N545" s="162"/>
      <c r="O545" s="162"/>
      <c r="P545" s="76"/>
      <c r="Q545" s="76"/>
      <c r="R545" s="116"/>
      <c r="S545" s="996"/>
      <c r="T545" s="142"/>
      <c r="U545" s="115"/>
      <c r="W545" s="561" t="str">
        <f t="shared" si="307"/>
        <v/>
      </c>
      <c r="X545" s="561" t="str">
        <f t="shared" si="307"/>
        <v/>
      </c>
      <c r="Y545" s="561" t="str">
        <f t="shared" si="307"/>
        <v/>
      </c>
      <c r="Z545" s="561" t="str">
        <f t="shared" si="307"/>
        <v/>
      </c>
      <c r="AA545" s="561" t="str">
        <f t="shared" si="307"/>
        <v/>
      </c>
      <c r="AB545" s="561" t="str">
        <f>IF(E545="","",OR(W545&lt;&gt;W536,X545&lt;&gt;X536,Z545&lt;&gt;Z536))</f>
        <v/>
      </c>
      <c r="AC545" s="567"/>
      <c r="AD545" s="561" t="str">
        <f t="shared" si="316"/>
        <v/>
      </c>
      <c r="AE545" s="561" t="str">
        <f t="shared" si="316"/>
        <v>n.a.</v>
      </c>
      <c r="AF545" s="561" t="str">
        <f t="shared" si="316"/>
        <v>n.a.</v>
      </c>
      <c r="AG545" s="561" t="str">
        <f t="shared" si="316"/>
        <v>n.a.</v>
      </c>
      <c r="AH545" s="561" t="b">
        <f t="shared" si="316"/>
        <v>0</v>
      </c>
      <c r="AI545" s="561" t="b">
        <f t="shared" si="316"/>
        <v>0</v>
      </c>
      <c r="AJ545" s="582" t="str">
        <f t="shared" si="314"/>
        <v/>
      </c>
      <c r="AK545" s="582" t="str">
        <f t="shared" si="315"/>
        <v/>
      </c>
      <c r="AL545" s="582" t="str">
        <f t="shared" si="310"/>
        <v/>
      </c>
    </row>
    <row r="546" spans="1:38" ht="12.75" customHeight="1" x14ac:dyDescent="0.25">
      <c r="B546" s="132"/>
      <c r="C546" s="132"/>
      <c r="D546" s="1388"/>
      <c r="E546" s="43"/>
      <c r="F546" s="47"/>
      <c r="G546" s="641" t="str">
        <f t="shared" si="311"/>
        <v/>
      </c>
      <c r="H546" s="641" t="str">
        <f t="shared" si="312"/>
        <v/>
      </c>
      <c r="I546" s="48"/>
      <c r="J546" s="642" t="str">
        <f t="shared" si="304"/>
        <v/>
      </c>
      <c r="K546" s="642" t="str">
        <f t="shared" si="305"/>
        <v/>
      </c>
      <c r="L546" s="642" t="str">
        <f t="shared" si="306"/>
        <v/>
      </c>
      <c r="M546" s="116"/>
      <c r="N546" s="365" t="str">
        <f>G539</f>
        <v/>
      </c>
      <c r="O546" s="11"/>
      <c r="P546" s="366"/>
      <c r="Q546" s="646" t="str">
        <f>IF(G555="","",G555)</f>
        <v/>
      </c>
      <c r="R546" s="116"/>
      <c r="S546" s="647" t="str">
        <f>IF(P541="","",SUMIFS(C_FuelStreams!BU:BU,C_FuelStreams!BI:BI,P541))</f>
        <v/>
      </c>
      <c r="T546" s="142"/>
      <c r="U546" s="115"/>
      <c r="W546" s="561" t="str">
        <f t="shared" si="307"/>
        <v/>
      </c>
      <c r="X546" s="561" t="str">
        <f t="shared" si="307"/>
        <v/>
      </c>
      <c r="Y546" s="561" t="str">
        <f t="shared" si="307"/>
        <v/>
      </c>
      <c r="Z546" s="561" t="str">
        <f t="shared" si="307"/>
        <v/>
      </c>
      <c r="AA546" s="561" t="str">
        <f t="shared" si="307"/>
        <v/>
      </c>
      <c r="AB546" s="561" t="str">
        <f>IF(E546="","",OR(W546&lt;&gt;W536,X546&lt;&gt;X536,Z546&lt;&gt;Z536))</f>
        <v/>
      </c>
      <c r="AC546" s="567"/>
      <c r="AD546" s="561" t="str">
        <f t="shared" si="316"/>
        <v/>
      </c>
      <c r="AE546" s="561" t="str">
        <f t="shared" si="316"/>
        <v>n.a.</v>
      </c>
      <c r="AF546" s="561" t="str">
        <f t="shared" si="316"/>
        <v>n.a.</v>
      </c>
      <c r="AG546" s="561" t="str">
        <f t="shared" si="316"/>
        <v>n.a.</v>
      </c>
      <c r="AH546" s="561" t="b">
        <f t="shared" si="316"/>
        <v>0</v>
      </c>
      <c r="AI546" s="561" t="b">
        <f t="shared" si="316"/>
        <v>0</v>
      </c>
      <c r="AJ546" s="582" t="str">
        <f t="shared" si="314"/>
        <v/>
      </c>
      <c r="AK546" s="582" t="str">
        <f t="shared" si="315"/>
        <v/>
      </c>
      <c r="AL546" s="582" t="str">
        <f t="shared" si="310"/>
        <v/>
      </c>
    </row>
    <row r="547" spans="1:38" ht="12.75" customHeight="1" thickBot="1" x14ac:dyDescent="0.3">
      <c r="B547" s="132"/>
      <c r="C547" s="132"/>
      <c r="D547" s="1388"/>
      <c r="E547" s="43"/>
      <c r="F547" s="47"/>
      <c r="G547" s="641" t="str">
        <f t="shared" si="311"/>
        <v/>
      </c>
      <c r="H547" s="641" t="str">
        <f t="shared" si="312"/>
        <v/>
      </c>
      <c r="I547" s="48"/>
      <c r="J547" s="642" t="str">
        <f t="shared" si="304"/>
        <v/>
      </c>
      <c r="K547" s="642" t="str">
        <f t="shared" si="305"/>
        <v/>
      </c>
      <c r="L547" s="642" t="str">
        <f t="shared" si="306"/>
        <v/>
      </c>
      <c r="M547" s="116"/>
      <c r="N547" s="648" t="str">
        <f>H539</f>
        <v/>
      </c>
      <c r="O547" s="22"/>
      <c r="P547" s="649"/>
      <c r="Q547" s="650" t="str">
        <f>IF(H555="","",H555)</f>
        <v/>
      </c>
      <c r="R547" s="116"/>
      <c r="S547" s="651" t="str">
        <f>IF(P541="","",SUMIFS(C_FuelStreams!BR:BR,C_FuelStreams!BI:BI,P541))</f>
        <v/>
      </c>
      <c r="T547" s="142"/>
      <c r="U547" s="115"/>
      <c r="W547" s="561" t="str">
        <f t="shared" si="307"/>
        <v/>
      </c>
      <c r="X547" s="561" t="str">
        <f t="shared" si="307"/>
        <v/>
      </c>
      <c r="Y547" s="561" t="str">
        <f t="shared" si="307"/>
        <v/>
      </c>
      <c r="Z547" s="561" t="str">
        <f t="shared" si="307"/>
        <v/>
      </c>
      <c r="AA547" s="561" t="str">
        <f t="shared" si="307"/>
        <v/>
      </c>
      <c r="AB547" s="561" t="str">
        <f>IF(E547="","",OR(W547&lt;&gt;W536,X547&lt;&gt;X536,Z547&lt;&gt;Z536))</f>
        <v/>
      </c>
      <c r="AC547" s="567"/>
      <c r="AD547" s="561" t="str">
        <f t="shared" si="316"/>
        <v/>
      </c>
      <c r="AE547" s="561" t="str">
        <f t="shared" si="316"/>
        <v>n.a.</v>
      </c>
      <c r="AF547" s="561" t="str">
        <f t="shared" si="316"/>
        <v>n.a.</v>
      </c>
      <c r="AG547" s="561" t="str">
        <f t="shared" si="316"/>
        <v>n.a.</v>
      </c>
      <c r="AH547" s="561" t="b">
        <f t="shared" si="316"/>
        <v>0</v>
      </c>
      <c r="AI547" s="561" t="b">
        <f t="shared" si="316"/>
        <v>0</v>
      </c>
      <c r="AJ547" s="582" t="str">
        <f t="shared" si="314"/>
        <v/>
      </c>
      <c r="AK547" s="582" t="str">
        <f t="shared" si="315"/>
        <v/>
      </c>
      <c r="AL547" s="582" t="str">
        <f t="shared" si="310"/>
        <v/>
      </c>
    </row>
    <row r="548" spans="1:38" ht="12.75" customHeight="1" x14ac:dyDescent="0.25">
      <c r="B548" s="132"/>
      <c r="C548" s="132"/>
      <c r="D548" s="1388"/>
      <c r="E548" s="43"/>
      <c r="F548" s="47"/>
      <c r="G548" s="641" t="str">
        <f t="shared" si="311"/>
        <v/>
      </c>
      <c r="H548" s="641" t="str">
        <f t="shared" si="312"/>
        <v/>
      </c>
      <c r="I548" s="48"/>
      <c r="J548" s="642" t="str">
        <f t="shared" si="304"/>
        <v/>
      </c>
      <c r="K548" s="642" t="str">
        <f t="shared" si="305"/>
        <v/>
      </c>
      <c r="L548" s="642" t="str">
        <f t="shared" si="306"/>
        <v/>
      </c>
      <c r="M548" s="116"/>
      <c r="N548" s="652" t="s">
        <v>46</v>
      </c>
      <c r="O548" s="411"/>
      <c r="P548" s="653"/>
      <c r="Q548" s="654" t="str">
        <f>IF(I555="","",I555)</f>
        <v/>
      </c>
      <c r="R548" s="116"/>
      <c r="S548" s="655" t="str">
        <f>IF(P541="","",SUMIFS(C_FuelStreams!BX:BX,C_FuelStreams!BI:BI,P541))</f>
        <v/>
      </c>
      <c r="T548" s="142"/>
      <c r="U548" s="115"/>
      <c r="W548" s="561" t="str">
        <f t="shared" si="307"/>
        <v/>
      </c>
      <c r="X548" s="561" t="str">
        <f t="shared" si="307"/>
        <v/>
      </c>
      <c r="Y548" s="561" t="str">
        <f t="shared" si="307"/>
        <v/>
      </c>
      <c r="Z548" s="561" t="str">
        <f t="shared" si="307"/>
        <v/>
      </c>
      <c r="AA548" s="561" t="str">
        <f t="shared" si="307"/>
        <v/>
      </c>
      <c r="AB548" s="561" t="str">
        <f>IF(E548="","",OR(W548&lt;&gt;W536,X548&lt;&gt;X536,Z548&lt;&gt;Z536))</f>
        <v/>
      </c>
      <c r="AC548" s="567"/>
      <c r="AD548" s="561" t="str">
        <f t="shared" si="316"/>
        <v/>
      </c>
      <c r="AE548" s="561" t="str">
        <f t="shared" si="316"/>
        <v>n.a.</v>
      </c>
      <c r="AF548" s="561" t="str">
        <f t="shared" si="316"/>
        <v>n.a.</v>
      </c>
      <c r="AG548" s="561" t="str">
        <f t="shared" si="316"/>
        <v>n.a.</v>
      </c>
      <c r="AH548" s="561" t="b">
        <f t="shared" si="316"/>
        <v>0</v>
      </c>
      <c r="AI548" s="561" t="b">
        <f t="shared" si="316"/>
        <v>0</v>
      </c>
      <c r="AJ548" s="582" t="str">
        <f t="shared" si="314"/>
        <v/>
      </c>
      <c r="AK548" s="582" t="str">
        <f t="shared" si="315"/>
        <v/>
      </c>
      <c r="AL548" s="582" t="str">
        <f t="shared" si="310"/>
        <v/>
      </c>
    </row>
    <row r="549" spans="1:38" ht="12.75" customHeight="1" x14ac:dyDescent="0.25">
      <c r="B549" s="132"/>
      <c r="C549" s="132"/>
      <c r="D549" s="1388"/>
      <c r="E549" s="43"/>
      <c r="F549" s="47"/>
      <c r="G549" s="641" t="str">
        <f t="shared" si="311"/>
        <v/>
      </c>
      <c r="H549" s="641" t="str">
        <f t="shared" si="312"/>
        <v/>
      </c>
      <c r="I549" s="48"/>
      <c r="J549" s="642" t="str">
        <f t="shared" si="304"/>
        <v/>
      </c>
      <c r="K549" s="642" t="str">
        <f t="shared" si="305"/>
        <v/>
      </c>
      <c r="L549" s="642" t="str">
        <f t="shared" si="306"/>
        <v/>
      </c>
      <c r="M549" s="1395"/>
      <c r="N549" s="116"/>
      <c r="O549" s="116"/>
      <c r="P549" s="116"/>
      <c r="Q549" s="116"/>
      <c r="R549" s="116"/>
      <c r="S549" s="132"/>
      <c r="T549" s="142"/>
      <c r="U549" s="115"/>
      <c r="W549" s="561" t="str">
        <f t="shared" si="307"/>
        <v/>
      </c>
      <c r="X549" s="561" t="str">
        <f t="shared" si="307"/>
        <v/>
      </c>
      <c r="Y549" s="561" t="str">
        <f t="shared" si="307"/>
        <v/>
      </c>
      <c r="Z549" s="561" t="str">
        <f t="shared" si="307"/>
        <v/>
      </c>
      <c r="AA549" s="561" t="str">
        <f t="shared" si="307"/>
        <v/>
      </c>
      <c r="AB549" s="561" t="str">
        <f>IF(E549="","",OR(W549&lt;&gt;W536,X549&lt;&gt;X536,Z549&lt;&gt;Z536))</f>
        <v/>
      </c>
      <c r="AC549" s="567"/>
      <c r="AD549" s="561" t="str">
        <f t="shared" si="316"/>
        <v/>
      </c>
      <c r="AE549" s="561" t="str">
        <f t="shared" si="316"/>
        <v>n.a.</v>
      </c>
      <c r="AF549" s="561" t="str">
        <f t="shared" si="316"/>
        <v>n.a.</v>
      </c>
      <c r="AG549" s="561" t="str">
        <f t="shared" si="316"/>
        <v>n.a.</v>
      </c>
      <c r="AH549" s="561" t="b">
        <f t="shared" si="316"/>
        <v>0</v>
      </c>
      <c r="AI549" s="561" t="b">
        <f t="shared" si="316"/>
        <v>0</v>
      </c>
      <c r="AJ549" s="582" t="str">
        <f t="shared" si="314"/>
        <v/>
      </c>
      <c r="AK549" s="582" t="str">
        <f t="shared" si="315"/>
        <v/>
      </c>
      <c r="AL549" s="582" t="str">
        <f t="shared" si="310"/>
        <v/>
      </c>
    </row>
    <row r="550" spans="1:38" ht="12.75" customHeight="1" x14ac:dyDescent="0.25">
      <c r="B550" s="132"/>
      <c r="C550" s="132"/>
      <c r="D550" s="1388" t="str">
        <f>Translations!$B$643</f>
        <v>Customised components</v>
      </c>
      <c r="E550" s="42"/>
      <c r="F550" s="45"/>
      <c r="G550" s="49"/>
      <c r="H550" s="49"/>
      <c r="I550" s="46"/>
      <c r="J550" s="640" t="str">
        <f t="shared" si="304"/>
        <v/>
      </c>
      <c r="K550" s="640" t="str">
        <f t="shared" si="305"/>
        <v/>
      </c>
      <c r="L550" s="640" t="str">
        <f t="shared" si="306"/>
        <v/>
      </c>
      <c r="M550" s="1395"/>
      <c r="N550" s="116"/>
      <c r="O550" s="116"/>
      <c r="P550" s="656" t="str">
        <f>Translations!$B$644</f>
        <v>CO2 fossil (before scope factor):</v>
      </c>
      <c r="Q550" s="997" t="str">
        <f>IF(K555="","",K555)</f>
        <v/>
      </c>
      <c r="R550" s="656"/>
      <c r="S550" s="997" t="str">
        <f>IF(P541="","",IF(W550=0,0,SUMIFS(C_FuelStreams!CE:CE,C_FuelStreams!BI:BI,P541)/W550))</f>
        <v/>
      </c>
      <c r="T550" s="142"/>
      <c r="U550" s="115"/>
      <c r="V550" s="110" t="str">
        <f>Translations!$B$398</f>
        <v>Scope factor:</v>
      </c>
      <c r="W550" s="617" t="str">
        <f>IF(P541="","",SUMIFS(C_FuelStreams!BP:BP,C_FuelStreams!BI:BI,P541))</f>
        <v/>
      </c>
      <c r="AD550" s="561" t="str">
        <f t="shared" si="316"/>
        <v/>
      </c>
      <c r="AE550" s="561" t="str">
        <f t="shared" si="316"/>
        <v>n.a.</v>
      </c>
      <c r="AF550" s="561" t="str">
        <f t="shared" si="316"/>
        <v>n.a.</v>
      </c>
      <c r="AG550" s="561" t="str">
        <f t="shared" si="316"/>
        <v>n.a.</v>
      </c>
      <c r="AH550" s="561" t="b">
        <f t="shared" si="316"/>
        <v>0</v>
      </c>
      <c r="AI550" s="561" t="b">
        <f t="shared" si="316"/>
        <v>0</v>
      </c>
      <c r="AJ550" s="582" t="str">
        <f t="shared" si="314"/>
        <v/>
      </c>
      <c r="AK550" s="582" t="str">
        <f t="shared" si="315"/>
        <v/>
      </c>
      <c r="AL550" s="582" t="str">
        <f t="shared" si="310"/>
        <v/>
      </c>
    </row>
    <row r="551" spans="1:38" ht="12.75" customHeight="1" x14ac:dyDescent="0.25">
      <c r="B551" s="132"/>
      <c r="C551" s="132"/>
      <c r="D551" s="1388"/>
      <c r="E551" s="43"/>
      <c r="F551" s="47"/>
      <c r="G551" s="50"/>
      <c r="H551" s="50"/>
      <c r="I551" s="48"/>
      <c r="J551" s="642" t="str">
        <f t="shared" si="304"/>
        <v/>
      </c>
      <c r="K551" s="642" t="str">
        <f t="shared" si="305"/>
        <v/>
      </c>
      <c r="L551" s="642" t="str">
        <f t="shared" si="306"/>
        <v/>
      </c>
      <c r="M551" s="1395"/>
      <c r="N551" s="116"/>
      <c r="O551" s="116"/>
      <c r="P551" s="116"/>
      <c r="Q551" s="116"/>
      <c r="R551" s="116"/>
      <c r="S551" s="132"/>
      <c r="T551" s="142"/>
      <c r="U551" s="115"/>
      <c r="AD551" s="561" t="str">
        <f t="shared" si="316"/>
        <v/>
      </c>
      <c r="AE551" s="561" t="str">
        <f t="shared" si="316"/>
        <v>n.a.</v>
      </c>
      <c r="AF551" s="561" t="str">
        <f t="shared" si="316"/>
        <v>n.a.</v>
      </c>
      <c r="AG551" s="561" t="str">
        <f t="shared" si="316"/>
        <v>n.a.</v>
      </c>
      <c r="AH551" s="561" t="b">
        <f t="shared" si="316"/>
        <v>0</v>
      </c>
      <c r="AI551" s="561" t="b">
        <f t="shared" si="316"/>
        <v>0</v>
      </c>
      <c r="AJ551" s="582" t="str">
        <f t="shared" si="314"/>
        <v/>
      </c>
      <c r="AK551" s="582" t="str">
        <f t="shared" si="315"/>
        <v/>
      </c>
      <c r="AL551" s="582" t="str">
        <f t="shared" si="310"/>
        <v/>
      </c>
    </row>
    <row r="552" spans="1:38" ht="12.75" customHeight="1" x14ac:dyDescent="0.25">
      <c r="B552" s="132"/>
      <c r="C552" s="132"/>
      <c r="D552" s="1388"/>
      <c r="E552" s="43"/>
      <c r="F552" s="47"/>
      <c r="G552" s="50"/>
      <c r="H552" s="50"/>
      <c r="I552" s="48"/>
      <c r="J552" s="642" t="str">
        <f t="shared" si="304"/>
        <v/>
      </c>
      <c r="K552" s="642" t="str">
        <f t="shared" si="305"/>
        <v/>
      </c>
      <c r="L552" s="642" t="str">
        <f t="shared" si="306"/>
        <v/>
      </c>
      <c r="M552" s="1395"/>
      <c r="N552" s="116"/>
      <c r="O552" s="116"/>
      <c r="P552" s="116"/>
      <c r="Q552" s="116"/>
      <c r="R552" s="116"/>
      <c r="S552" s="132"/>
      <c r="T552" s="142"/>
      <c r="U552" s="115"/>
      <c r="AD552" s="561" t="str">
        <f t="shared" si="316"/>
        <v/>
      </c>
      <c r="AE552" s="561" t="str">
        <f t="shared" si="316"/>
        <v>n.a.</v>
      </c>
      <c r="AF552" s="561" t="str">
        <f t="shared" si="316"/>
        <v>n.a.</v>
      </c>
      <c r="AG552" s="561" t="str">
        <f t="shared" si="316"/>
        <v>n.a.</v>
      </c>
      <c r="AH552" s="561" t="b">
        <f t="shared" si="316"/>
        <v>0</v>
      </c>
      <c r="AI552" s="561" t="b">
        <f t="shared" si="316"/>
        <v>0</v>
      </c>
      <c r="AJ552" s="582" t="str">
        <f t="shared" si="314"/>
        <v/>
      </c>
      <c r="AK552" s="582" t="str">
        <f t="shared" si="315"/>
        <v/>
      </c>
      <c r="AL552" s="582" t="str">
        <f t="shared" si="310"/>
        <v/>
      </c>
    </row>
    <row r="553" spans="1:38" ht="12.75" customHeight="1" x14ac:dyDescent="0.25">
      <c r="B553" s="132"/>
      <c r="C553" s="132"/>
      <c r="D553" s="1388"/>
      <c r="E553" s="43"/>
      <c r="F553" s="47"/>
      <c r="G553" s="50"/>
      <c r="H553" s="50"/>
      <c r="I553" s="48"/>
      <c r="J553" s="642" t="str">
        <f t="shared" si="304"/>
        <v/>
      </c>
      <c r="K553" s="642" t="str">
        <f t="shared" si="305"/>
        <v/>
      </c>
      <c r="L553" s="642" t="str">
        <f t="shared" si="306"/>
        <v/>
      </c>
      <c r="M553" s="1395"/>
      <c r="N553" s="116"/>
      <c r="O553" s="116"/>
      <c r="P553" s="116"/>
      <c r="Q553" s="116"/>
      <c r="R553" s="116"/>
      <c r="S553" s="132"/>
      <c r="T553" s="142"/>
      <c r="U553" s="115"/>
      <c r="AD553" s="561" t="str">
        <f t="shared" si="316"/>
        <v/>
      </c>
      <c r="AE553" s="561" t="str">
        <f t="shared" si="316"/>
        <v>n.a.</v>
      </c>
      <c r="AF553" s="561" t="str">
        <f t="shared" si="316"/>
        <v>n.a.</v>
      </c>
      <c r="AG553" s="561" t="str">
        <f t="shared" si="316"/>
        <v>n.a.</v>
      </c>
      <c r="AH553" s="561" t="b">
        <f t="shared" si="316"/>
        <v>0</v>
      </c>
      <c r="AI553" s="561" t="b">
        <f t="shared" si="316"/>
        <v>0</v>
      </c>
      <c r="AJ553" s="582" t="str">
        <f t="shared" si="314"/>
        <v/>
      </c>
      <c r="AK553" s="582" t="str">
        <f t="shared" si="315"/>
        <v/>
      </c>
      <c r="AL553" s="582" t="str">
        <f t="shared" si="310"/>
        <v/>
      </c>
    </row>
    <row r="554" spans="1:38" ht="12.75" customHeight="1" x14ac:dyDescent="0.25">
      <c r="B554" s="132"/>
      <c r="C554" s="132"/>
      <c r="D554" s="1388"/>
      <c r="E554" s="44"/>
      <c r="F554" s="51"/>
      <c r="G554" s="52"/>
      <c r="H554" s="52"/>
      <c r="I554" s="53"/>
      <c r="J554" s="657" t="str">
        <f t="shared" si="304"/>
        <v/>
      </c>
      <c r="K554" s="657" t="str">
        <f t="shared" si="305"/>
        <v/>
      </c>
      <c r="L554" s="657" t="str">
        <f t="shared" si="306"/>
        <v/>
      </c>
      <c r="M554" s="1395"/>
      <c r="N554" s="116"/>
      <c r="O554" s="116"/>
      <c r="P554" s="116"/>
      <c r="Q554" s="116"/>
      <c r="R554" s="116"/>
      <c r="S554" s="132"/>
      <c r="T554" s="142"/>
      <c r="U554" s="115"/>
      <c r="AD554" s="561" t="str">
        <f t="shared" si="316"/>
        <v/>
      </c>
      <c r="AE554" s="561" t="str">
        <f t="shared" si="316"/>
        <v>n.a.</v>
      </c>
      <c r="AF554" s="561" t="str">
        <f t="shared" si="316"/>
        <v>n.a.</v>
      </c>
      <c r="AG554" s="561" t="str">
        <f t="shared" si="316"/>
        <v>n.a.</v>
      </c>
      <c r="AH554" s="561" t="b">
        <f t="shared" si="316"/>
        <v>0</v>
      </c>
      <c r="AI554" s="561" t="b">
        <f t="shared" si="316"/>
        <v>0</v>
      </c>
      <c r="AJ554" s="582" t="str">
        <f t="shared" si="314"/>
        <v/>
      </c>
      <c r="AK554" s="582" t="str">
        <f t="shared" si="315"/>
        <v/>
      </c>
      <c r="AL554" s="582" t="str">
        <f t="shared" si="310"/>
        <v/>
      </c>
    </row>
    <row r="555" spans="1:38" ht="12.75" customHeight="1" x14ac:dyDescent="0.25">
      <c r="B555" s="132"/>
      <c r="C555" s="132"/>
      <c r="D555" s="132"/>
      <c r="E555" s="658" t="str">
        <f>Translations!$B$645</f>
        <v>TOTALS</v>
      </c>
      <c r="F555" s="659" t="str">
        <f>IF(SUM(F540:F554)=0,"",SUM(F540:F554))</f>
        <v/>
      </c>
      <c r="G555" s="660" t="str">
        <f>IF(SUM(F555)=0,"",J555/F555)</f>
        <v/>
      </c>
      <c r="H555" s="660" t="str">
        <f>IF(SUM(J555)=0,"",SUM(K555:L555)/IF(AF540&lt;&gt;EUconst_NA,F555,J555)/IF(AG540=EUconst_NA,1,AG540))</f>
        <v/>
      </c>
      <c r="I555" s="661" t="str">
        <f>IF(SUM(K555:L555)=0,"",L555/SUM(K555:L555))</f>
        <v/>
      </c>
      <c r="J555" s="659" t="str">
        <f>IF(COUNTA(E540:E554)=0,"",IFERROR(SUM(J540:J554),EUconst_ERR_Inconsistent))</f>
        <v/>
      </c>
      <c r="K555" s="659" t="str">
        <f>IF(COUNTA(E540:E554)=0,"",IFERROR(SUM(K540:K554),EUconst_ERR_Inconsistent))</f>
        <v/>
      </c>
      <c r="L555" s="659" t="str">
        <f>IF(COUNTA(E540:E554)=0,"",IFERROR(SUM(L540:L554),EUconst_ERR_Inconsistent))</f>
        <v/>
      </c>
      <c r="M555" s="1395"/>
      <c r="N555" s="116"/>
      <c r="O555" s="116"/>
      <c r="P555" s="116"/>
      <c r="Q555" s="116"/>
      <c r="R555" s="116"/>
      <c r="S555" s="132"/>
      <c r="T555" s="142"/>
      <c r="U555" s="115"/>
    </row>
    <row r="556" spans="1:38" ht="12.75" customHeight="1" x14ac:dyDescent="0.25">
      <c r="B556" s="132"/>
      <c r="C556" s="132"/>
      <c r="D556" s="132"/>
      <c r="E556" s="191"/>
      <c r="F556" s="116"/>
      <c r="G556" s="116"/>
      <c r="H556" s="116"/>
      <c r="I556" s="116"/>
      <c r="J556" s="116"/>
      <c r="K556" s="116"/>
      <c r="L556" s="116"/>
      <c r="M556" s="116"/>
      <c r="N556" s="116"/>
      <c r="O556" s="116"/>
      <c r="P556" s="116"/>
      <c r="Q556" s="116"/>
      <c r="R556" s="116"/>
      <c r="S556" s="132"/>
      <c r="T556" s="142"/>
      <c r="U556" s="115"/>
    </row>
    <row r="557" spans="1:38" s="69" customFormat="1" ht="18.75" customHeight="1" x14ac:dyDescent="0.25">
      <c r="A557" s="167">
        <f>C557</f>
        <v>24</v>
      </c>
      <c r="B557" s="76"/>
      <c r="C557" s="216">
        <f>C534+1</f>
        <v>24</v>
      </c>
      <c r="D557" s="1195" t="str">
        <f>"Tool " &amp;C557-2</f>
        <v>Tool 22</v>
      </c>
      <c r="E557" s="1195"/>
      <c r="F557" s="1195"/>
      <c r="G557" s="1195"/>
      <c r="H557" s="1195"/>
      <c r="I557" s="1195"/>
      <c r="J557" s="1195"/>
      <c r="K557" s="1195"/>
      <c r="L557" s="1195"/>
      <c r="M557" s="1195"/>
      <c r="N557" s="1195"/>
      <c r="O557" s="1195"/>
      <c r="P557" s="1195"/>
      <c r="Q557" s="1195"/>
      <c r="R557" s="1195"/>
      <c r="S557" s="1195"/>
      <c r="T557" s="142"/>
      <c r="U557" s="115"/>
      <c r="V557" s="464" t="str">
        <f>D557</f>
        <v>Tool 22</v>
      </c>
      <c r="W557" s="110"/>
      <c r="X557" s="110"/>
      <c r="Y557" s="110"/>
      <c r="Z557" s="110"/>
      <c r="AA557" s="109"/>
      <c r="AB557" s="109"/>
      <c r="AC557" s="109"/>
      <c r="AD557" s="109"/>
      <c r="AE557" s="109"/>
      <c r="AF557" s="109"/>
      <c r="AG557" s="109"/>
      <c r="AH557" s="109"/>
      <c r="AI557" s="109"/>
      <c r="AJ557" s="109"/>
      <c r="AK557" s="109"/>
      <c r="AL557" s="109"/>
    </row>
    <row r="558" spans="1:38" ht="12.75" customHeight="1" x14ac:dyDescent="0.25">
      <c r="B558" s="132"/>
      <c r="C558" s="132"/>
      <c r="D558" s="132"/>
      <c r="E558" s="191"/>
      <c r="F558" s="116"/>
      <c r="G558" s="116"/>
      <c r="H558" s="116"/>
      <c r="I558" s="116"/>
      <c r="J558" s="116"/>
      <c r="K558" s="116"/>
      <c r="L558" s="116"/>
      <c r="M558" s="116"/>
      <c r="N558" s="116"/>
      <c r="O558" s="116"/>
      <c r="P558" s="116"/>
      <c r="Q558" s="116"/>
      <c r="R558" s="116"/>
      <c r="S558" s="132"/>
      <c r="T558" s="142"/>
      <c r="U558" s="115"/>
    </row>
    <row r="559" spans="1:38" ht="12.75" customHeight="1" x14ac:dyDescent="0.25">
      <c r="B559" s="132"/>
      <c r="C559" s="132"/>
      <c r="D559" s="1377" t="str">
        <f>Translations!$B$631</f>
        <v>Component</v>
      </c>
      <c r="E559" s="1378"/>
      <c r="F559" s="633">
        <v>1</v>
      </c>
      <c r="G559" s="633">
        <v>2</v>
      </c>
      <c r="H559" s="633">
        <v>3</v>
      </c>
      <c r="I559" s="633">
        <v>4</v>
      </c>
      <c r="J559" s="633">
        <v>5</v>
      </c>
      <c r="K559" s="633">
        <v>6</v>
      </c>
      <c r="L559" s="633">
        <v>7</v>
      </c>
      <c r="M559" s="116"/>
      <c r="N559" s="116"/>
      <c r="O559" s="116"/>
      <c r="P559" s="116"/>
      <c r="Q559" s="116"/>
      <c r="R559" s="116"/>
      <c r="S559" s="132"/>
      <c r="T559" s="142"/>
      <c r="U559" s="115"/>
      <c r="V559" s="566" t="str">
        <f>Translations!$B$498</f>
        <v>Units:</v>
      </c>
      <c r="W559" s="561" t="str" cm="1">
        <f t="array" ref="W559">IFERROR(INDEX(_xlfn._xlws.FILTER(W563:W572,(W563:W572)&lt;&gt;"",""),1),W560)</f>
        <v/>
      </c>
      <c r="X559" s="561" t="str" cm="1">
        <f t="array" ref="X559">IFERROR(INDEX(_xlfn._xlws.FILTER(X563:X572,(X563:X572)&lt;&gt;"",""),1),X560)</f>
        <v/>
      </c>
      <c r="Y559" s="567"/>
      <c r="Z559" s="561" t="str" cm="1">
        <f t="array" ref="Z559">IFERROR(INDEX(_xlfn._xlws.FILTER(Z563:Z572,(Z563:Z572)&lt;&gt;"",""),1),Z560)</f>
        <v/>
      </c>
      <c r="AA559" s="567"/>
    </row>
    <row r="560" spans="1:38" ht="12.75" customHeight="1" x14ac:dyDescent="0.25">
      <c r="B560" s="132"/>
      <c r="C560" s="132"/>
      <c r="D560" s="1379"/>
      <c r="E560" s="1380"/>
      <c r="F560" s="1383" t="str">
        <f>Translations!$B$377</f>
        <v>RFA</v>
      </c>
      <c r="G560" s="1383" t="str">
        <f>Translations!$B$386</f>
        <v>UCF</v>
      </c>
      <c r="H560" s="1383" t="str">
        <f>Translations!$B$383</f>
        <v>EF</v>
      </c>
      <c r="I560" s="1383" t="str">
        <f>Translations!$B$632</f>
        <v>Zero-rated F</v>
      </c>
      <c r="J560" s="1385" t="str">
        <f>Translations!$B$652</f>
        <v>Energy or other</v>
      </c>
      <c r="K560" s="1385" t="str">
        <f>Translations!$B$522</f>
        <v>Emissions (fossil)</v>
      </c>
      <c r="L560" s="1385" t="str">
        <f>Translations!$B$634</f>
        <v>Emissions (bio)</v>
      </c>
      <c r="M560" s="116"/>
      <c r="N560" s="116"/>
      <c r="O560" s="116"/>
      <c r="P560" s="116"/>
      <c r="Q560" s="116"/>
      <c r="R560" s="116"/>
      <c r="S560" s="132"/>
      <c r="T560" s="142"/>
      <c r="U560" s="115"/>
      <c r="W560" s="561" t="str">
        <f t="array" ref="W560">IFERROR(INDEX(W563:W572,MATCH(TRUE,(W563:W572)&lt;&gt;"",0)),"")</f>
        <v/>
      </c>
      <c r="X560" s="561" t="str">
        <f t="array" ref="X560">IFERROR(INDEX(X563:X572,MATCH(TRUE,(X563:X572)&lt;&gt;"",0)),"")</f>
        <v/>
      </c>
      <c r="Y560" s="567"/>
      <c r="Z560" s="561" t="str">
        <f t="array" ref="Z560">IFERROR(INDEX(Z563:Z572,MATCH(TRUE,(Z563:Z572)&lt;&gt;"",0)),"")</f>
        <v/>
      </c>
      <c r="AA560" s="567"/>
    </row>
    <row r="561" spans="2:38" ht="12.75" customHeight="1" x14ac:dyDescent="0.3">
      <c r="B561" s="132"/>
      <c r="C561" s="132"/>
      <c r="D561" s="1379"/>
      <c r="E561" s="1380"/>
      <c r="F561" s="1384"/>
      <c r="G561" s="1384"/>
      <c r="H561" s="1384"/>
      <c r="I561" s="1384"/>
      <c r="J561" s="1386"/>
      <c r="K561" s="1386"/>
      <c r="L561" s="1386"/>
      <c r="M561" s="116"/>
      <c r="N561" s="634" t="str">
        <f>Translations!$B$635</f>
        <v>Result to be entered in sheet C</v>
      </c>
      <c r="O561" s="116"/>
      <c r="P561" s="116"/>
      <c r="Q561" s="116"/>
      <c r="R561" s="116"/>
      <c r="S561" s="132"/>
      <c r="T561" s="142"/>
      <c r="U561" s="115"/>
      <c r="W561" s="569" t="str">
        <f>Translations!$B$377</f>
        <v>RFA</v>
      </c>
      <c r="X561" s="569" t="str">
        <f>Translations!$B$386</f>
        <v>UCF</v>
      </c>
      <c r="Y561" s="569"/>
      <c r="Z561" s="569" t="str">
        <f>Translations!$B$383</f>
        <v>EF</v>
      </c>
      <c r="AA561" s="569"/>
      <c r="AB561" s="570"/>
      <c r="AC561" s="570"/>
      <c r="AH561" s="570"/>
      <c r="AI561" s="570"/>
      <c r="AJ561" s="570"/>
    </row>
    <row r="562" spans="2:38" ht="12.75" customHeight="1" x14ac:dyDescent="0.3">
      <c r="B562" s="132"/>
      <c r="C562" s="132"/>
      <c r="D562" s="1381"/>
      <c r="E562" s="1382"/>
      <c r="F562" s="635" t="str">
        <f>IF(COUNTA($E563:$E577)=0,"",$W559)</f>
        <v/>
      </c>
      <c r="G562" s="635" t="str">
        <f>IF(COUNTA($E563:$E577)=0,"",$X559)</f>
        <v/>
      </c>
      <c r="H562" s="635" t="str">
        <f>IF(COUNTA($E563:$E577)=0,"",$Z559)</f>
        <v/>
      </c>
      <c r="I562" s="636" t="s">
        <v>46</v>
      </c>
      <c r="J562" s="635" t="str">
        <f>IF(AE563=EUconst_NA,EUconst_GJ,AE563)</f>
        <v>GJ</v>
      </c>
      <c r="K562" s="637" t="s">
        <v>188</v>
      </c>
      <c r="L562" s="637" t="s">
        <v>188</v>
      </c>
      <c r="M562" s="116"/>
      <c r="N562" s="1387" t="str">
        <f>Translations!$B$636</f>
        <v>The results of this tool are the relevant (weighted average) values below. Each value has to be entered manually in sheet C for the respective fuel stream. Select fuel stream below for comparison.</v>
      </c>
      <c r="O562" s="1387"/>
      <c r="P562" s="1387"/>
      <c r="Q562" s="1387"/>
      <c r="R562" s="1387"/>
      <c r="S562" s="1387"/>
      <c r="T562" s="142"/>
      <c r="U562" s="115"/>
      <c r="W562" s="569" t="str">
        <f>EUconst_CNTR_ActivityData&amp;EUconst_Unit</f>
        <v>ActivityData_Unit</v>
      </c>
      <c r="X562" s="569" t="str">
        <f>EUconst_CNTR_UCF&amp;EUconst_Unit</f>
        <v>UCF_Unit</v>
      </c>
      <c r="Y562" s="569" t="str">
        <f>EUconst_CNTR_UCF&amp;EUconst_Value</f>
        <v>UCF_Value</v>
      </c>
      <c r="Z562" s="569" t="str">
        <f>EUconst_CNTR_EF&amp;EUconst_Unit</f>
        <v>EF_Unit</v>
      </c>
      <c r="AA562" s="569" t="str">
        <f>EUconst_CNTR_EF&amp;EUconst_Value</f>
        <v>EF_Value</v>
      </c>
      <c r="AB562" s="569" t="s">
        <v>189</v>
      </c>
      <c r="AC562" s="575"/>
      <c r="AD562" s="576" t="s">
        <v>147</v>
      </c>
      <c r="AE562" s="576" t="s">
        <v>151</v>
      </c>
      <c r="AF562" s="576" t="s">
        <v>153</v>
      </c>
      <c r="AG562" s="576" t="s">
        <v>155</v>
      </c>
      <c r="AH562" s="575"/>
      <c r="AI562" s="575"/>
      <c r="AJ562" s="575" t="s">
        <v>190</v>
      </c>
      <c r="AK562" s="575" t="s">
        <v>191</v>
      </c>
      <c r="AL562" s="575" t="s">
        <v>192</v>
      </c>
    </row>
    <row r="563" spans="2:38" ht="12.75" customHeight="1" x14ac:dyDescent="0.25">
      <c r="B563" s="132"/>
      <c r="C563" s="132"/>
      <c r="D563" s="1388" t="str">
        <f>Translations!$B$637</f>
        <v>Default compontents provided by the CA</v>
      </c>
      <c r="E563" s="42"/>
      <c r="F563" s="45"/>
      <c r="G563" s="639" t="str">
        <f>IF($E563="","",Y563)</f>
        <v/>
      </c>
      <c r="H563" s="639" t="str">
        <f>IF($E563="","",AA563)</f>
        <v/>
      </c>
      <c r="I563" s="46"/>
      <c r="J563" s="640" t="str">
        <f t="shared" ref="J563:J577" si="317">IFERROR(IF(E563="","",AL563),EUconst_ERR_Inconsistent)</f>
        <v/>
      </c>
      <c r="K563" s="640" t="str">
        <f t="shared" ref="K563:K577" si="318">IFERROR(IF(E563="","",AJ563),EUconst_ERR_Inconsistent)</f>
        <v/>
      </c>
      <c r="L563" s="640" t="str">
        <f t="shared" ref="L563:L577" si="319">IFERROR(IF(E563="","",AK563),EUconst_ERR_Inconsistent)</f>
        <v/>
      </c>
      <c r="M563" s="1389"/>
      <c r="N563" s="1387"/>
      <c r="O563" s="1387"/>
      <c r="P563" s="1387"/>
      <c r="Q563" s="1387"/>
      <c r="R563" s="1387"/>
      <c r="S563" s="1387"/>
      <c r="T563" s="142"/>
      <c r="U563" s="115"/>
      <c r="W563" s="561" t="str">
        <f t="shared" ref="W563:AA572" si="320">IF($E563="","",INDEX(MSPara_CalcFactorsMatrix,MATCH($E563,MSPara_SourceStreamCategory,0),MATCH(W$20&amp;"_"&amp;2,MSPara_CalcFactors,0)))</f>
        <v/>
      </c>
      <c r="X563" s="561" t="str">
        <f t="shared" si="320"/>
        <v/>
      </c>
      <c r="Y563" s="561" t="str">
        <f t="shared" si="320"/>
        <v/>
      </c>
      <c r="Z563" s="561" t="str">
        <f t="shared" si="320"/>
        <v/>
      </c>
      <c r="AA563" s="561" t="str">
        <f t="shared" si="320"/>
        <v/>
      </c>
      <c r="AB563" s="561" t="str">
        <f>IF(E563="","",OR(W563&lt;&gt;W559,X563&lt;&gt;X559,Z563&lt;&gt;Z559))</f>
        <v/>
      </c>
      <c r="AC563" s="567"/>
      <c r="AD563" s="561" t="str">
        <f>W563</f>
        <v/>
      </c>
      <c r="AE563" s="561" t="str">
        <f>IF(X563="",EUconst_NA,IF(AD563=EUconst_TJ,EUconst_TJ,INDEX(EUwideConstants!$C$135:$G$139,MATCH(AD563,RFAUnits,0),MATCH(X563,UCFUnits,0))))</f>
        <v>n.a.</v>
      </c>
      <c r="AF563" s="561" t="str">
        <f>IF(COUNTIF(RFAUnits,AD563)=0,EUconst_NA,INDEX(EUwideConstants!$C$150:$H$154,MATCH(Z563,EFUnits,0),MATCH(AD563,EUwideConstants!$C$149:$H$149,0)))</f>
        <v>n.a.</v>
      </c>
      <c r="AG563" s="561" t="str">
        <f>IF(AE563=EUconst_NA,EUconst_NA,INDEX(EUwideConstants!$C$150:$H$154,MATCH(Z563,EFUnits,0),MATCH(AE563,EUwideConstants!$C$149:$H$149,0)))</f>
        <v>n.a.</v>
      </c>
      <c r="AH563" s="561" t="b">
        <f t="shared" ref="AH563" si="321">AF563&lt;&gt;EUconst_NA</f>
        <v>0</v>
      </c>
      <c r="AI563" s="561" t="b">
        <f t="shared" ref="AI563" si="322">AG563&lt;&gt;EUconst_NA</f>
        <v>0</v>
      </c>
      <c r="AJ563" s="582" t="str">
        <f>IF(OR(E563="",COUNTIF(AH563:AI563,TRUE)=0),"",F563*IF(AH563,1,G563*AG563)*H563*(1-I563))</f>
        <v/>
      </c>
      <c r="AK563" s="582" t="str">
        <f>IF(OR(E563="",COUNTIF(AH563:AI563,TRUE)=0),"",F563*IF(AH563,1,G563*AG563)*H563*I563)</f>
        <v/>
      </c>
      <c r="AL563" s="582" t="str">
        <f t="shared" ref="AL563:AL577" si="323">IF(E563="","",IF(W563=EUconst_TJ,F563,F563*G563))</f>
        <v/>
      </c>
    </row>
    <row r="564" spans="2:38" ht="12.75" customHeight="1" x14ac:dyDescent="0.25">
      <c r="B564" s="132"/>
      <c r="C564" s="132"/>
      <c r="D564" s="1388"/>
      <c r="E564" s="43"/>
      <c r="F564" s="47"/>
      <c r="G564" s="641" t="str">
        <f t="shared" ref="G564:G572" si="324">IF($E564="","",Y564)</f>
        <v/>
      </c>
      <c r="H564" s="641" t="str">
        <f t="shared" ref="H564:H572" si="325">IF($E564="","",AA564)</f>
        <v/>
      </c>
      <c r="I564" s="48"/>
      <c r="J564" s="642" t="str">
        <f t="shared" si="317"/>
        <v/>
      </c>
      <c r="K564" s="642" t="str">
        <f t="shared" si="318"/>
        <v/>
      </c>
      <c r="L564" s="642" t="str">
        <f t="shared" si="319"/>
        <v/>
      </c>
      <c r="M564" s="1389"/>
      <c r="N564" s="638"/>
      <c r="O564" s="643" t="str">
        <f>Translations!$B$639</f>
        <v>Fuel stream:</v>
      </c>
      <c r="P564" s="1390"/>
      <c r="Q564" s="1391"/>
      <c r="R564" s="1391"/>
      <c r="S564" s="1392"/>
      <c r="T564" s="142"/>
      <c r="U564" s="115"/>
      <c r="W564" s="561" t="str">
        <f t="shared" si="320"/>
        <v/>
      </c>
      <c r="X564" s="561" t="str">
        <f t="shared" si="320"/>
        <v/>
      </c>
      <c r="Y564" s="561" t="str">
        <f t="shared" si="320"/>
        <v/>
      </c>
      <c r="Z564" s="561" t="str">
        <f t="shared" si="320"/>
        <v/>
      </c>
      <c r="AA564" s="561" t="str">
        <f t="shared" si="320"/>
        <v/>
      </c>
      <c r="AB564" s="561" t="str">
        <f>IF(E564="","",OR(W564&lt;&gt;W559,X564&lt;&gt;X559,Z564&lt;&gt;Z559))</f>
        <v/>
      </c>
      <c r="AC564" s="567"/>
      <c r="AD564" s="561" t="str">
        <f>AD563</f>
        <v/>
      </c>
      <c r="AE564" s="561" t="str">
        <f t="shared" ref="AE564:AI564" si="326">AE563</f>
        <v>n.a.</v>
      </c>
      <c r="AF564" s="561" t="str">
        <f t="shared" si="326"/>
        <v>n.a.</v>
      </c>
      <c r="AG564" s="561" t="str">
        <f t="shared" si="326"/>
        <v>n.a.</v>
      </c>
      <c r="AH564" s="561" t="b">
        <f t="shared" si="326"/>
        <v>0</v>
      </c>
      <c r="AI564" s="561" t="b">
        <f t="shared" si="326"/>
        <v>0</v>
      </c>
      <c r="AJ564" s="582" t="str">
        <f t="shared" ref="AJ564:AJ577" si="327">IF(OR(E564="",COUNTIF(AH564:AI564,TRUE)=0),"",F564*IF(AH564,1,G564*AG564)*H564*(1-I564))</f>
        <v/>
      </c>
      <c r="AK564" s="582" t="str">
        <f t="shared" ref="AK564:AK577" si="328">IF(OR(E564="",COUNTIF(AH564:AI564,TRUE)=0),"",F564*IF(AH564,1,G564*AG564)*H564*I564)</f>
        <v/>
      </c>
      <c r="AL564" s="582" t="str">
        <f t="shared" si="323"/>
        <v/>
      </c>
    </row>
    <row r="565" spans="2:38" ht="12.75" customHeight="1" x14ac:dyDescent="0.25">
      <c r="B565" s="132"/>
      <c r="C565" s="132"/>
      <c r="D565" s="1388"/>
      <c r="E565" s="43"/>
      <c r="F565" s="47"/>
      <c r="G565" s="641" t="str">
        <f t="shared" si="324"/>
        <v/>
      </c>
      <c r="H565" s="641" t="str">
        <f t="shared" si="325"/>
        <v/>
      </c>
      <c r="I565" s="48"/>
      <c r="J565" s="642" t="str">
        <f t="shared" si="317"/>
        <v/>
      </c>
      <c r="K565" s="642" t="str">
        <f t="shared" si="318"/>
        <v/>
      </c>
      <c r="L565" s="642" t="str">
        <f t="shared" si="319"/>
        <v/>
      </c>
      <c r="M565" s="1389"/>
      <c r="N565" s="116"/>
      <c r="O565" s="116"/>
      <c r="P565" s="116"/>
      <c r="Q565" s="116"/>
      <c r="R565" s="116"/>
      <c r="S565" s="132"/>
      <c r="T565" s="142"/>
      <c r="U565" s="115"/>
      <c r="W565" s="561" t="str">
        <f t="shared" si="320"/>
        <v/>
      </c>
      <c r="X565" s="561" t="str">
        <f t="shared" si="320"/>
        <v/>
      </c>
      <c r="Y565" s="561" t="str">
        <f t="shared" si="320"/>
        <v/>
      </c>
      <c r="Z565" s="561" t="str">
        <f t="shared" si="320"/>
        <v/>
      </c>
      <c r="AA565" s="561" t="str">
        <f t="shared" si="320"/>
        <v/>
      </c>
      <c r="AB565" s="561" t="str">
        <f>IF(E565="","",OR(W565&lt;&gt;W559,X565&lt;&gt;X559,Z565&lt;&gt;Z559))</f>
        <v/>
      </c>
      <c r="AC565" s="567"/>
      <c r="AD565" s="561" t="str">
        <f t="shared" ref="AD565:AI577" si="329">AD564</f>
        <v/>
      </c>
      <c r="AE565" s="561" t="str">
        <f t="shared" si="329"/>
        <v>n.a.</v>
      </c>
      <c r="AF565" s="561" t="str">
        <f t="shared" si="329"/>
        <v>n.a.</v>
      </c>
      <c r="AG565" s="561" t="str">
        <f t="shared" si="329"/>
        <v>n.a.</v>
      </c>
      <c r="AH565" s="561" t="b">
        <f t="shared" si="329"/>
        <v>0</v>
      </c>
      <c r="AI565" s="561" t="b">
        <f t="shared" si="329"/>
        <v>0</v>
      </c>
      <c r="AJ565" s="582" t="str">
        <f t="shared" si="327"/>
        <v/>
      </c>
      <c r="AK565" s="582" t="str">
        <f t="shared" si="328"/>
        <v/>
      </c>
      <c r="AL565" s="582" t="str">
        <f t="shared" si="323"/>
        <v/>
      </c>
    </row>
    <row r="566" spans="2:38" ht="12.75" customHeight="1" thickBot="1" x14ac:dyDescent="0.35">
      <c r="B566" s="132"/>
      <c r="C566" s="132"/>
      <c r="D566" s="1388"/>
      <c r="E566" s="43"/>
      <c r="F566" s="47"/>
      <c r="G566" s="641" t="str">
        <f t="shared" si="324"/>
        <v/>
      </c>
      <c r="H566" s="641" t="str">
        <f t="shared" si="325"/>
        <v/>
      </c>
      <c r="I566" s="48"/>
      <c r="J566" s="642" t="str">
        <f t="shared" si="317"/>
        <v/>
      </c>
      <c r="K566" s="642" t="str">
        <f t="shared" si="318"/>
        <v/>
      </c>
      <c r="L566" s="642" t="str">
        <f t="shared" si="319"/>
        <v/>
      </c>
      <c r="M566" s="1389"/>
      <c r="N566" s="1255" t="str">
        <f>Translations!$B$394</f>
        <v>Unit</v>
      </c>
      <c r="O566" s="1255"/>
      <c r="P566" s="1255" t="str">
        <f>Translations!$B$395</f>
        <v>Value</v>
      </c>
      <c r="Q566" s="1255"/>
      <c r="R566" s="116"/>
      <c r="S566" s="644" t="str">
        <f>Translations!$B$642</f>
        <v>Sheet C values</v>
      </c>
      <c r="T566" s="142"/>
      <c r="U566" s="115"/>
      <c r="W566" s="561" t="str">
        <f t="shared" si="320"/>
        <v/>
      </c>
      <c r="X566" s="561" t="str">
        <f t="shared" si="320"/>
        <v/>
      </c>
      <c r="Y566" s="561" t="str">
        <f t="shared" si="320"/>
        <v/>
      </c>
      <c r="Z566" s="561" t="str">
        <f t="shared" si="320"/>
        <v/>
      </c>
      <c r="AA566" s="561" t="str">
        <f t="shared" si="320"/>
        <v/>
      </c>
      <c r="AB566" s="561" t="str">
        <f>IF(E566="","",OR(W566&lt;&gt;W559,X566&lt;&gt;X559,Z566&lt;&gt;Z559))</f>
        <v/>
      </c>
      <c r="AC566" s="567"/>
      <c r="AD566" s="561" t="str">
        <f t="shared" si="329"/>
        <v/>
      </c>
      <c r="AE566" s="561" t="str">
        <f t="shared" si="329"/>
        <v>n.a.</v>
      </c>
      <c r="AF566" s="561" t="str">
        <f t="shared" si="329"/>
        <v>n.a.</v>
      </c>
      <c r="AG566" s="561" t="str">
        <f t="shared" si="329"/>
        <v>n.a.</v>
      </c>
      <c r="AH566" s="561" t="b">
        <f t="shared" si="329"/>
        <v>0</v>
      </c>
      <c r="AI566" s="561" t="b">
        <f t="shared" si="329"/>
        <v>0</v>
      </c>
      <c r="AJ566" s="582" t="str">
        <f t="shared" si="327"/>
        <v/>
      </c>
      <c r="AK566" s="582" t="str">
        <f t="shared" si="328"/>
        <v/>
      </c>
      <c r="AL566" s="582" t="str">
        <f t="shared" si="323"/>
        <v/>
      </c>
    </row>
    <row r="567" spans="2:38" ht="12.75" customHeight="1" thickBot="1" x14ac:dyDescent="0.3">
      <c r="B567" s="132"/>
      <c r="C567" s="132"/>
      <c r="D567" s="1388"/>
      <c r="E567" s="43"/>
      <c r="F567" s="47"/>
      <c r="G567" s="641" t="str">
        <f t="shared" si="324"/>
        <v/>
      </c>
      <c r="H567" s="641" t="str">
        <f t="shared" si="325"/>
        <v/>
      </c>
      <c r="I567" s="48"/>
      <c r="J567" s="642" t="str">
        <f t="shared" si="317"/>
        <v/>
      </c>
      <c r="K567" s="642" t="str">
        <f t="shared" si="318"/>
        <v/>
      </c>
      <c r="L567" s="642" t="str">
        <f t="shared" si="319"/>
        <v/>
      </c>
      <c r="M567" s="116"/>
      <c r="N567" s="346" t="str">
        <f>F562</f>
        <v/>
      </c>
      <c r="O567" s="7"/>
      <c r="P567" s="1393" t="str">
        <f>IF(F578="","",F578)</f>
        <v/>
      </c>
      <c r="Q567" s="1394"/>
      <c r="R567" s="116"/>
      <c r="S567" s="645" t="str">
        <f>IF(P564="","",SUMIFS(C_FuelStreams!BK:BK,C_FuelStreams!BI:BI,P564))</f>
        <v/>
      </c>
      <c r="T567" s="142"/>
      <c r="U567" s="115"/>
      <c r="W567" s="561" t="str">
        <f t="shared" si="320"/>
        <v/>
      </c>
      <c r="X567" s="561" t="str">
        <f t="shared" si="320"/>
        <v/>
      </c>
      <c r="Y567" s="561" t="str">
        <f t="shared" si="320"/>
        <v/>
      </c>
      <c r="Z567" s="561" t="str">
        <f t="shared" si="320"/>
        <v/>
      </c>
      <c r="AA567" s="561" t="str">
        <f t="shared" si="320"/>
        <v/>
      </c>
      <c r="AB567" s="561" t="str">
        <f>IF(E567="","",OR(W567&lt;&gt;W559,X567&lt;&gt;X559,Z567&lt;&gt;Z559))</f>
        <v/>
      </c>
      <c r="AC567" s="567"/>
      <c r="AD567" s="561" t="str">
        <f t="shared" si="329"/>
        <v/>
      </c>
      <c r="AE567" s="561" t="str">
        <f t="shared" si="329"/>
        <v>n.a.</v>
      </c>
      <c r="AF567" s="561" t="str">
        <f t="shared" si="329"/>
        <v>n.a.</v>
      </c>
      <c r="AG567" s="561" t="str">
        <f t="shared" si="329"/>
        <v>n.a.</v>
      </c>
      <c r="AH567" s="561" t="b">
        <f t="shared" si="329"/>
        <v>0</v>
      </c>
      <c r="AI567" s="561" t="b">
        <f t="shared" si="329"/>
        <v>0</v>
      </c>
      <c r="AJ567" s="582" t="str">
        <f t="shared" si="327"/>
        <v/>
      </c>
      <c r="AK567" s="582" t="str">
        <f t="shared" si="328"/>
        <v/>
      </c>
      <c r="AL567" s="582" t="str">
        <f t="shared" si="323"/>
        <v/>
      </c>
    </row>
    <row r="568" spans="2:38" ht="12.75" customHeight="1" thickBot="1" x14ac:dyDescent="0.3">
      <c r="B568" s="132"/>
      <c r="C568" s="132"/>
      <c r="D568" s="1388"/>
      <c r="E568" s="43"/>
      <c r="F568" s="47"/>
      <c r="G568" s="641" t="str">
        <f t="shared" si="324"/>
        <v/>
      </c>
      <c r="H568" s="641" t="str">
        <f t="shared" si="325"/>
        <v/>
      </c>
      <c r="I568" s="48"/>
      <c r="J568" s="642" t="str">
        <f t="shared" si="317"/>
        <v/>
      </c>
      <c r="K568" s="642" t="str">
        <f t="shared" si="318"/>
        <v/>
      </c>
      <c r="L568" s="642" t="str">
        <f t="shared" si="319"/>
        <v/>
      </c>
      <c r="M568" s="116"/>
      <c r="N568" s="162"/>
      <c r="O568" s="162"/>
      <c r="P568" s="76"/>
      <c r="Q568" s="76"/>
      <c r="R568" s="116"/>
      <c r="S568" s="996"/>
      <c r="T568" s="142"/>
      <c r="U568" s="115"/>
      <c r="W568" s="561" t="str">
        <f t="shared" si="320"/>
        <v/>
      </c>
      <c r="X568" s="561" t="str">
        <f t="shared" si="320"/>
        <v/>
      </c>
      <c r="Y568" s="561" t="str">
        <f t="shared" si="320"/>
        <v/>
      </c>
      <c r="Z568" s="561" t="str">
        <f t="shared" si="320"/>
        <v/>
      </c>
      <c r="AA568" s="561" t="str">
        <f t="shared" si="320"/>
        <v/>
      </c>
      <c r="AB568" s="561" t="str">
        <f>IF(E568="","",OR(W568&lt;&gt;W559,X568&lt;&gt;X559,Z568&lt;&gt;Z559))</f>
        <v/>
      </c>
      <c r="AC568" s="567"/>
      <c r="AD568" s="561" t="str">
        <f t="shared" si="329"/>
        <v/>
      </c>
      <c r="AE568" s="561" t="str">
        <f t="shared" si="329"/>
        <v>n.a.</v>
      </c>
      <c r="AF568" s="561" t="str">
        <f t="shared" si="329"/>
        <v>n.a.</v>
      </c>
      <c r="AG568" s="561" t="str">
        <f t="shared" si="329"/>
        <v>n.a.</v>
      </c>
      <c r="AH568" s="561" t="b">
        <f t="shared" si="329"/>
        <v>0</v>
      </c>
      <c r="AI568" s="561" t="b">
        <f t="shared" si="329"/>
        <v>0</v>
      </c>
      <c r="AJ568" s="582" t="str">
        <f t="shared" si="327"/>
        <v/>
      </c>
      <c r="AK568" s="582" t="str">
        <f t="shared" si="328"/>
        <v/>
      </c>
      <c r="AL568" s="582" t="str">
        <f t="shared" si="323"/>
        <v/>
      </c>
    </row>
    <row r="569" spans="2:38" ht="12.75" customHeight="1" x14ac:dyDescent="0.25">
      <c r="B569" s="132"/>
      <c r="C569" s="132"/>
      <c r="D569" s="1388"/>
      <c r="E569" s="43"/>
      <c r="F569" s="47"/>
      <c r="G569" s="641" t="str">
        <f t="shared" si="324"/>
        <v/>
      </c>
      <c r="H569" s="641" t="str">
        <f t="shared" si="325"/>
        <v/>
      </c>
      <c r="I569" s="48"/>
      <c r="J569" s="642" t="str">
        <f t="shared" si="317"/>
        <v/>
      </c>
      <c r="K569" s="642" t="str">
        <f t="shared" si="318"/>
        <v/>
      </c>
      <c r="L569" s="642" t="str">
        <f t="shared" si="319"/>
        <v/>
      </c>
      <c r="M569" s="116"/>
      <c r="N569" s="365" t="str">
        <f>G562</f>
        <v/>
      </c>
      <c r="O569" s="11"/>
      <c r="P569" s="366"/>
      <c r="Q569" s="646" t="str">
        <f>IF(G578="","",G578)</f>
        <v/>
      </c>
      <c r="R569" s="116"/>
      <c r="S569" s="647" t="str">
        <f>IF(P564="","",SUMIFS(C_FuelStreams!BU:BU,C_FuelStreams!BI:BI,P564))</f>
        <v/>
      </c>
      <c r="T569" s="142"/>
      <c r="U569" s="115"/>
      <c r="W569" s="561" t="str">
        <f t="shared" si="320"/>
        <v/>
      </c>
      <c r="X569" s="561" t="str">
        <f t="shared" si="320"/>
        <v/>
      </c>
      <c r="Y569" s="561" t="str">
        <f t="shared" si="320"/>
        <v/>
      </c>
      <c r="Z569" s="561" t="str">
        <f t="shared" si="320"/>
        <v/>
      </c>
      <c r="AA569" s="561" t="str">
        <f t="shared" si="320"/>
        <v/>
      </c>
      <c r="AB569" s="561" t="str">
        <f>IF(E569="","",OR(W569&lt;&gt;W559,X569&lt;&gt;X559,Z569&lt;&gt;Z559))</f>
        <v/>
      </c>
      <c r="AC569" s="567"/>
      <c r="AD569" s="561" t="str">
        <f t="shared" si="329"/>
        <v/>
      </c>
      <c r="AE569" s="561" t="str">
        <f t="shared" si="329"/>
        <v>n.a.</v>
      </c>
      <c r="AF569" s="561" t="str">
        <f t="shared" si="329"/>
        <v>n.a.</v>
      </c>
      <c r="AG569" s="561" t="str">
        <f t="shared" si="329"/>
        <v>n.a.</v>
      </c>
      <c r="AH569" s="561" t="b">
        <f t="shared" si="329"/>
        <v>0</v>
      </c>
      <c r="AI569" s="561" t="b">
        <f t="shared" si="329"/>
        <v>0</v>
      </c>
      <c r="AJ569" s="582" t="str">
        <f t="shared" si="327"/>
        <v/>
      </c>
      <c r="AK569" s="582" t="str">
        <f t="shared" si="328"/>
        <v/>
      </c>
      <c r="AL569" s="582" t="str">
        <f t="shared" si="323"/>
        <v/>
      </c>
    </row>
    <row r="570" spans="2:38" ht="12.75" customHeight="1" thickBot="1" x14ac:dyDescent="0.3">
      <c r="B570" s="132"/>
      <c r="C570" s="132"/>
      <c r="D570" s="1388"/>
      <c r="E570" s="43"/>
      <c r="F570" s="47"/>
      <c r="G570" s="641" t="str">
        <f t="shared" si="324"/>
        <v/>
      </c>
      <c r="H570" s="641" t="str">
        <f t="shared" si="325"/>
        <v/>
      </c>
      <c r="I570" s="48"/>
      <c r="J570" s="642" t="str">
        <f t="shared" si="317"/>
        <v/>
      </c>
      <c r="K570" s="642" t="str">
        <f t="shared" si="318"/>
        <v/>
      </c>
      <c r="L570" s="642" t="str">
        <f t="shared" si="319"/>
        <v/>
      </c>
      <c r="M570" s="116"/>
      <c r="N570" s="648" t="str">
        <f>H562</f>
        <v/>
      </c>
      <c r="O570" s="22"/>
      <c r="P570" s="649"/>
      <c r="Q570" s="650" t="str">
        <f>IF(H578="","",H578)</f>
        <v/>
      </c>
      <c r="R570" s="116"/>
      <c r="S570" s="651" t="str">
        <f>IF(P564="","",SUMIFS(C_FuelStreams!BR:BR,C_FuelStreams!BI:BI,P564))</f>
        <v/>
      </c>
      <c r="T570" s="142"/>
      <c r="U570" s="115"/>
      <c r="W570" s="561" t="str">
        <f t="shared" si="320"/>
        <v/>
      </c>
      <c r="X570" s="561" t="str">
        <f t="shared" si="320"/>
        <v/>
      </c>
      <c r="Y570" s="561" t="str">
        <f t="shared" si="320"/>
        <v/>
      </c>
      <c r="Z570" s="561" t="str">
        <f t="shared" si="320"/>
        <v/>
      </c>
      <c r="AA570" s="561" t="str">
        <f t="shared" si="320"/>
        <v/>
      </c>
      <c r="AB570" s="561" t="str">
        <f>IF(E570="","",OR(W570&lt;&gt;W559,X570&lt;&gt;X559,Z570&lt;&gt;Z559))</f>
        <v/>
      </c>
      <c r="AC570" s="567"/>
      <c r="AD570" s="561" t="str">
        <f t="shared" si="329"/>
        <v/>
      </c>
      <c r="AE570" s="561" t="str">
        <f t="shared" si="329"/>
        <v>n.a.</v>
      </c>
      <c r="AF570" s="561" t="str">
        <f t="shared" si="329"/>
        <v>n.a.</v>
      </c>
      <c r="AG570" s="561" t="str">
        <f t="shared" si="329"/>
        <v>n.a.</v>
      </c>
      <c r="AH570" s="561" t="b">
        <f t="shared" si="329"/>
        <v>0</v>
      </c>
      <c r="AI570" s="561" t="b">
        <f t="shared" si="329"/>
        <v>0</v>
      </c>
      <c r="AJ570" s="582" t="str">
        <f t="shared" si="327"/>
        <v/>
      </c>
      <c r="AK570" s="582" t="str">
        <f t="shared" si="328"/>
        <v/>
      </c>
      <c r="AL570" s="582" t="str">
        <f t="shared" si="323"/>
        <v/>
      </c>
    </row>
    <row r="571" spans="2:38" ht="12.75" customHeight="1" x14ac:dyDescent="0.25">
      <c r="B571" s="132"/>
      <c r="C571" s="132"/>
      <c r="D571" s="1388"/>
      <c r="E571" s="43"/>
      <c r="F571" s="47"/>
      <c r="G571" s="641" t="str">
        <f t="shared" si="324"/>
        <v/>
      </c>
      <c r="H571" s="641" t="str">
        <f t="shared" si="325"/>
        <v/>
      </c>
      <c r="I571" s="48"/>
      <c r="J571" s="642" t="str">
        <f t="shared" si="317"/>
        <v/>
      </c>
      <c r="K571" s="642" t="str">
        <f t="shared" si="318"/>
        <v/>
      </c>
      <c r="L571" s="642" t="str">
        <f t="shared" si="319"/>
        <v/>
      </c>
      <c r="M571" s="116"/>
      <c r="N571" s="652" t="s">
        <v>46</v>
      </c>
      <c r="O571" s="411"/>
      <c r="P571" s="653"/>
      <c r="Q571" s="654" t="str">
        <f>IF(I578="","",I578)</f>
        <v/>
      </c>
      <c r="R571" s="116"/>
      <c r="S571" s="655" t="str">
        <f>IF(P564="","",SUMIFS(C_FuelStreams!BX:BX,C_FuelStreams!BI:BI,P564))</f>
        <v/>
      </c>
      <c r="T571" s="142"/>
      <c r="U571" s="115"/>
      <c r="W571" s="561" t="str">
        <f t="shared" si="320"/>
        <v/>
      </c>
      <c r="X571" s="561" t="str">
        <f t="shared" si="320"/>
        <v/>
      </c>
      <c r="Y571" s="561" t="str">
        <f t="shared" si="320"/>
        <v/>
      </c>
      <c r="Z571" s="561" t="str">
        <f t="shared" si="320"/>
        <v/>
      </c>
      <c r="AA571" s="561" t="str">
        <f t="shared" si="320"/>
        <v/>
      </c>
      <c r="AB571" s="561" t="str">
        <f>IF(E571="","",OR(W571&lt;&gt;W559,X571&lt;&gt;X559,Z571&lt;&gt;Z559))</f>
        <v/>
      </c>
      <c r="AC571" s="567"/>
      <c r="AD571" s="561" t="str">
        <f t="shared" si="329"/>
        <v/>
      </c>
      <c r="AE571" s="561" t="str">
        <f t="shared" si="329"/>
        <v>n.a.</v>
      </c>
      <c r="AF571" s="561" t="str">
        <f t="shared" si="329"/>
        <v>n.a.</v>
      </c>
      <c r="AG571" s="561" t="str">
        <f t="shared" si="329"/>
        <v>n.a.</v>
      </c>
      <c r="AH571" s="561" t="b">
        <f t="shared" si="329"/>
        <v>0</v>
      </c>
      <c r="AI571" s="561" t="b">
        <f t="shared" si="329"/>
        <v>0</v>
      </c>
      <c r="AJ571" s="582" t="str">
        <f t="shared" si="327"/>
        <v/>
      </c>
      <c r="AK571" s="582" t="str">
        <f t="shared" si="328"/>
        <v/>
      </c>
      <c r="AL571" s="582" t="str">
        <f t="shared" si="323"/>
        <v/>
      </c>
    </row>
    <row r="572" spans="2:38" ht="12.75" customHeight="1" x14ac:dyDescent="0.25">
      <c r="B572" s="132"/>
      <c r="C572" s="132"/>
      <c r="D572" s="1388"/>
      <c r="E572" s="43"/>
      <c r="F572" s="47"/>
      <c r="G572" s="641" t="str">
        <f t="shared" si="324"/>
        <v/>
      </c>
      <c r="H572" s="641" t="str">
        <f t="shared" si="325"/>
        <v/>
      </c>
      <c r="I572" s="48"/>
      <c r="J572" s="642" t="str">
        <f t="shared" si="317"/>
        <v/>
      </c>
      <c r="K572" s="642" t="str">
        <f t="shared" si="318"/>
        <v/>
      </c>
      <c r="L572" s="642" t="str">
        <f t="shared" si="319"/>
        <v/>
      </c>
      <c r="M572" s="1395"/>
      <c r="N572" s="116"/>
      <c r="O572" s="116"/>
      <c r="P572" s="116"/>
      <c r="Q572" s="116"/>
      <c r="R572" s="116"/>
      <c r="S572" s="132"/>
      <c r="T572" s="142"/>
      <c r="U572" s="115"/>
      <c r="W572" s="561" t="str">
        <f t="shared" si="320"/>
        <v/>
      </c>
      <c r="X572" s="561" t="str">
        <f t="shared" si="320"/>
        <v/>
      </c>
      <c r="Y572" s="561" t="str">
        <f t="shared" si="320"/>
        <v/>
      </c>
      <c r="Z572" s="561" t="str">
        <f t="shared" si="320"/>
        <v/>
      </c>
      <c r="AA572" s="561" t="str">
        <f t="shared" si="320"/>
        <v/>
      </c>
      <c r="AB572" s="561" t="str">
        <f>IF(E572="","",OR(W572&lt;&gt;W559,X572&lt;&gt;X559,Z572&lt;&gt;Z559))</f>
        <v/>
      </c>
      <c r="AC572" s="567"/>
      <c r="AD572" s="561" t="str">
        <f t="shared" si="329"/>
        <v/>
      </c>
      <c r="AE572" s="561" t="str">
        <f t="shared" si="329"/>
        <v>n.a.</v>
      </c>
      <c r="AF572" s="561" t="str">
        <f t="shared" si="329"/>
        <v>n.a.</v>
      </c>
      <c r="AG572" s="561" t="str">
        <f t="shared" si="329"/>
        <v>n.a.</v>
      </c>
      <c r="AH572" s="561" t="b">
        <f t="shared" si="329"/>
        <v>0</v>
      </c>
      <c r="AI572" s="561" t="b">
        <f t="shared" si="329"/>
        <v>0</v>
      </c>
      <c r="AJ572" s="582" t="str">
        <f t="shared" si="327"/>
        <v/>
      </c>
      <c r="AK572" s="582" t="str">
        <f t="shared" si="328"/>
        <v/>
      </c>
      <c r="AL572" s="582" t="str">
        <f t="shared" si="323"/>
        <v/>
      </c>
    </row>
    <row r="573" spans="2:38" ht="12.75" customHeight="1" x14ac:dyDescent="0.25">
      <c r="B573" s="132"/>
      <c r="C573" s="132"/>
      <c r="D573" s="1388" t="str">
        <f>Translations!$B$643</f>
        <v>Customised components</v>
      </c>
      <c r="E573" s="42"/>
      <c r="F573" s="45"/>
      <c r="G573" s="49"/>
      <c r="H573" s="49"/>
      <c r="I573" s="46"/>
      <c r="J573" s="640" t="str">
        <f t="shared" si="317"/>
        <v/>
      </c>
      <c r="K573" s="640" t="str">
        <f t="shared" si="318"/>
        <v/>
      </c>
      <c r="L573" s="640" t="str">
        <f t="shared" si="319"/>
        <v/>
      </c>
      <c r="M573" s="1395"/>
      <c r="N573" s="116"/>
      <c r="O573" s="116"/>
      <c r="P573" s="656" t="str">
        <f>Translations!$B$644</f>
        <v>CO2 fossil (before scope factor):</v>
      </c>
      <c r="Q573" s="997" t="str">
        <f>IF(K578="","",K578)</f>
        <v/>
      </c>
      <c r="R573" s="656"/>
      <c r="S573" s="997" t="str">
        <f>IF(P564="","",IF(W573=0,0,SUMIFS(C_FuelStreams!CE:CE,C_FuelStreams!BI:BI,P564)/W573))</f>
        <v/>
      </c>
      <c r="T573" s="142"/>
      <c r="U573" s="115"/>
      <c r="V573" s="110" t="str">
        <f>Translations!$B$398</f>
        <v>Scope factor:</v>
      </c>
      <c r="W573" s="617" t="str">
        <f>IF(P564="","",SUMIFS(C_FuelStreams!BP:BP,C_FuelStreams!BI:BI,P564))</f>
        <v/>
      </c>
      <c r="AD573" s="561" t="str">
        <f t="shared" si="329"/>
        <v/>
      </c>
      <c r="AE573" s="561" t="str">
        <f t="shared" si="329"/>
        <v>n.a.</v>
      </c>
      <c r="AF573" s="561" t="str">
        <f t="shared" si="329"/>
        <v>n.a.</v>
      </c>
      <c r="AG573" s="561" t="str">
        <f t="shared" si="329"/>
        <v>n.a.</v>
      </c>
      <c r="AH573" s="561" t="b">
        <f t="shared" si="329"/>
        <v>0</v>
      </c>
      <c r="AI573" s="561" t="b">
        <f t="shared" si="329"/>
        <v>0</v>
      </c>
      <c r="AJ573" s="582" t="str">
        <f t="shared" si="327"/>
        <v/>
      </c>
      <c r="AK573" s="582" t="str">
        <f t="shared" si="328"/>
        <v/>
      </c>
      <c r="AL573" s="582" t="str">
        <f t="shared" si="323"/>
        <v/>
      </c>
    </row>
    <row r="574" spans="2:38" ht="12.75" customHeight="1" x14ac:dyDescent="0.25">
      <c r="B574" s="132"/>
      <c r="C574" s="132"/>
      <c r="D574" s="1388"/>
      <c r="E574" s="43"/>
      <c r="F574" s="47"/>
      <c r="G574" s="50"/>
      <c r="H574" s="50"/>
      <c r="I574" s="48"/>
      <c r="J574" s="642" t="str">
        <f t="shared" si="317"/>
        <v/>
      </c>
      <c r="K574" s="642" t="str">
        <f t="shared" si="318"/>
        <v/>
      </c>
      <c r="L574" s="642" t="str">
        <f t="shared" si="319"/>
        <v/>
      </c>
      <c r="M574" s="1395"/>
      <c r="N574" s="116"/>
      <c r="O574" s="116"/>
      <c r="P574" s="116"/>
      <c r="Q574" s="116"/>
      <c r="R574" s="116"/>
      <c r="S574" s="132"/>
      <c r="T574" s="142"/>
      <c r="U574" s="115"/>
      <c r="AD574" s="561" t="str">
        <f t="shared" si="329"/>
        <v/>
      </c>
      <c r="AE574" s="561" t="str">
        <f t="shared" si="329"/>
        <v>n.a.</v>
      </c>
      <c r="AF574" s="561" t="str">
        <f t="shared" si="329"/>
        <v>n.a.</v>
      </c>
      <c r="AG574" s="561" t="str">
        <f t="shared" si="329"/>
        <v>n.a.</v>
      </c>
      <c r="AH574" s="561" t="b">
        <f t="shared" si="329"/>
        <v>0</v>
      </c>
      <c r="AI574" s="561" t="b">
        <f t="shared" si="329"/>
        <v>0</v>
      </c>
      <c r="AJ574" s="582" t="str">
        <f t="shared" si="327"/>
        <v/>
      </c>
      <c r="AK574" s="582" t="str">
        <f t="shared" si="328"/>
        <v/>
      </c>
      <c r="AL574" s="582" t="str">
        <f t="shared" si="323"/>
        <v/>
      </c>
    </row>
    <row r="575" spans="2:38" ht="12.75" customHeight="1" x14ac:dyDescent="0.25">
      <c r="B575" s="132"/>
      <c r="C575" s="132"/>
      <c r="D575" s="1388"/>
      <c r="E575" s="43"/>
      <c r="F575" s="47"/>
      <c r="G575" s="50"/>
      <c r="H575" s="50"/>
      <c r="I575" s="48"/>
      <c r="J575" s="642" t="str">
        <f t="shared" si="317"/>
        <v/>
      </c>
      <c r="K575" s="642" t="str">
        <f t="shared" si="318"/>
        <v/>
      </c>
      <c r="L575" s="642" t="str">
        <f t="shared" si="319"/>
        <v/>
      </c>
      <c r="M575" s="1395"/>
      <c r="N575" s="116"/>
      <c r="O575" s="116"/>
      <c r="P575" s="116"/>
      <c r="Q575" s="116"/>
      <c r="R575" s="116"/>
      <c r="S575" s="132"/>
      <c r="T575" s="142"/>
      <c r="U575" s="115"/>
      <c r="AD575" s="561" t="str">
        <f t="shared" si="329"/>
        <v/>
      </c>
      <c r="AE575" s="561" t="str">
        <f t="shared" si="329"/>
        <v>n.a.</v>
      </c>
      <c r="AF575" s="561" t="str">
        <f t="shared" si="329"/>
        <v>n.a.</v>
      </c>
      <c r="AG575" s="561" t="str">
        <f t="shared" si="329"/>
        <v>n.a.</v>
      </c>
      <c r="AH575" s="561" t="b">
        <f t="shared" si="329"/>
        <v>0</v>
      </c>
      <c r="AI575" s="561" t="b">
        <f t="shared" si="329"/>
        <v>0</v>
      </c>
      <c r="AJ575" s="582" t="str">
        <f t="shared" si="327"/>
        <v/>
      </c>
      <c r="AK575" s="582" t="str">
        <f t="shared" si="328"/>
        <v/>
      </c>
      <c r="AL575" s="582" t="str">
        <f t="shared" si="323"/>
        <v/>
      </c>
    </row>
    <row r="576" spans="2:38" ht="12.75" customHeight="1" x14ac:dyDescent="0.25">
      <c r="B576" s="132"/>
      <c r="C576" s="132"/>
      <c r="D576" s="1388"/>
      <c r="E576" s="43"/>
      <c r="F576" s="47"/>
      <c r="G576" s="50"/>
      <c r="H576" s="50"/>
      <c r="I576" s="48"/>
      <c r="J576" s="642" t="str">
        <f t="shared" si="317"/>
        <v/>
      </c>
      <c r="K576" s="642" t="str">
        <f t="shared" si="318"/>
        <v/>
      </c>
      <c r="L576" s="642" t="str">
        <f t="shared" si="319"/>
        <v/>
      </c>
      <c r="M576" s="1395"/>
      <c r="N576" s="116"/>
      <c r="O576" s="116"/>
      <c r="P576" s="116"/>
      <c r="Q576" s="116"/>
      <c r="R576" s="116"/>
      <c r="S576" s="132"/>
      <c r="T576" s="142"/>
      <c r="U576" s="115"/>
      <c r="AD576" s="561" t="str">
        <f t="shared" si="329"/>
        <v/>
      </c>
      <c r="AE576" s="561" t="str">
        <f t="shared" si="329"/>
        <v>n.a.</v>
      </c>
      <c r="AF576" s="561" t="str">
        <f t="shared" si="329"/>
        <v>n.a.</v>
      </c>
      <c r="AG576" s="561" t="str">
        <f t="shared" si="329"/>
        <v>n.a.</v>
      </c>
      <c r="AH576" s="561" t="b">
        <f t="shared" si="329"/>
        <v>0</v>
      </c>
      <c r="AI576" s="561" t="b">
        <f t="shared" si="329"/>
        <v>0</v>
      </c>
      <c r="AJ576" s="582" t="str">
        <f t="shared" si="327"/>
        <v/>
      </c>
      <c r="AK576" s="582" t="str">
        <f t="shared" si="328"/>
        <v/>
      </c>
      <c r="AL576" s="582" t="str">
        <f t="shared" si="323"/>
        <v/>
      </c>
    </row>
    <row r="577" spans="1:38" ht="12.75" customHeight="1" x14ac:dyDescent="0.25">
      <c r="B577" s="132"/>
      <c r="C577" s="132"/>
      <c r="D577" s="1388"/>
      <c r="E577" s="44"/>
      <c r="F577" s="51"/>
      <c r="G577" s="52"/>
      <c r="H577" s="52"/>
      <c r="I577" s="53"/>
      <c r="J577" s="657" t="str">
        <f t="shared" si="317"/>
        <v/>
      </c>
      <c r="K577" s="657" t="str">
        <f t="shared" si="318"/>
        <v/>
      </c>
      <c r="L577" s="657" t="str">
        <f t="shared" si="319"/>
        <v/>
      </c>
      <c r="M577" s="1395"/>
      <c r="N577" s="116"/>
      <c r="O577" s="116"/>
      <c r="P577" s="116"/>
      <c r="Q577" s="116"/>
      <c r="R577" s="116"/>
      <c r="S577" s="132"/>
      <c r="T577" s="142"/>
      <c r="U577" s="115"/>
      <c r="AD577" s="561" t="str">
        <f t="shared" si="329"/>
        <v/>
      </c>
      <c r="AE577" s="561" t="str">
        <f t="shared" si="329"/>
        <v>n.a.</v>
      </c>
      <c r="AF577" s="561" t="str">
        <f t="shared" si="329"/>
        <v>n.a.</v>
      </c>
      <c r="AG577" s="561" t="str">
        <f t="shared" si="329"/>
        <v>n.a.</v>
      </c>
      <c r="AH577" s="561" t="b">
        <f t="shared" si="329"/>
        <v>0</v>
      </c>
      <c r="AI577" s="561" t="b">
        <f t="shared" si="329"/>
        <v>0</v>
      </c>
      <c r="AJ577" s="582" t="str">
        <f t="shared" si="327"/>
        <v/>
      </c>
      <c r="AK577" s="582" t="str">
        <f t="shared" si="328"/>
        <v/>
      </c>
      <c r="AL577" s="582" t="str">
        <f t="shared" si="323"/>
        <v/>
      </c>
    </row>
    <row r="578" spans="1:38" ht="12.75" customHeight="1" x14ac:dyDescent="0.25">
      <c r="B578" s="132"/>
      <c r="C578" s="132"/>
      <c r="D578" s="132"/>
      <c r="E578" s="658" t="str">
        <f>Translations!$B$645</f>
        <v>TOTALS</v>
      </c>
      <c r="F578" s="659" t="str">
        <f>IF(SUM(F563:F577)=0,"",SUM(F563:F577))</f>
        <v/>
      </c>
      <c r="G578" s="660" t="str">
        <f>IF(SUM(F578)=0,"",J578/F578)</f>
        <v/>
      </c>
      <c r="H578" s="660" t="str">
        <f>IF(SUM(J578)=0,"",SUM(K578:L578)/IF(AF563&lt;&gt;EUconst_NA,F578,J578)/IF(AG563=EUconst_NA,1,AG563))</f>
        <v/>
      </c>
      <c r="I578" s="661" t="str">
        <f>IF(SUM(K578:L578)=0,"",L578/SUM(K578:L578))</f>
        <v/>
      </c>
      <c r="J578" s="659" t="str">
        <f>IF(COUNTA(E563:E577)=0,"",IFERROR(SUM(J563:J577),EUconst_ERR_Inconsistent))</f>
        <v/>
      </c>
      <c r="K578" s="659" t="str">
        <f>IF(COUNTA(E563:E577)=0,"",IFERROR(SUM(K563:K577),EUconst_ERR_Inconsistent))</f>
        <v/>
      </c>
      <c r="L578" s="659" t="str">
        <f>IF(COUNTA(E563:E577)=0,"",IFERROR(SUM(L563:L577),EUconst_ERR_Inconsistent))</f>
        <v/>
      </c>
      <c r="M578" s="1395"/>
      <c r="N578" s="116"/>
      <c r="O578" s="116"/>
      <c r="P578" s="116"/>
      <c r="Q578" s="116"/>
      <c r="R578" s="116"/>
      <c r="S578" s="132"/>
      <c r="T578" s="142"/>
      <c r="U578" s="115"/>
    </row>
    <row r="579" spans="1:38" ht="12.75" customHeight="1" x14ac:dyDescent="0.25">
      <c r="B579" s="132"/>
      <c r="C579" s="132"/>
      <c r="D579" s="132"/>
      <c r="E579" s="191"/>
      <c r="F579" s="116"/>
      <c r="G579" s="116"/>
      <c r="H579" s="116"/>
      <c r="I579" s="116"/>
      <c r="J579" s="116"/>
      <c r="K579" s="116"/>
      <c r="L579" s="116"/>
      <c r="M579" s="116"/>
      <c r="N579" s="116"/>
      <c r="O579" s="116"/>
      <c r="P579" s="116"/>
      <c r="Q579" s="116"/>
      <c r="R579" s="116"/>
      <c r="S579" s="132"/>
      <c r="T579" s="142"/>
      <c r="U579" s="115"/>
    </row>
    <row r="580" spans="1:38" s="69" customFormat="1" ht="18.75" customHeight="1" x14ac:dyDescent="0.25">
      <c r="A580" s="167">
        <f>C580</f>
        <v>25</v>
      </c>
      <c r="B580" s="76"/>
      <c r="C580" s="216">
        <f>C557+1</f>
        <v>25</v>
      </c>
      <c r="D580" s="1195" t="str">
        <f>"Tool " &amp;C580-2</f>
        <v>Tool 23</v>
      </c>
      <c r="E580" s="1195"/>
      <c r="F580" s="1195"/>
      <c r="G580" s="1195"/>
      <c r="H580" s="1195"/>
      <c r="I580" s="1195"/>
      <c r="J580" s="1195"/>
      <c r="K580" s="1195"/>
      <c r="L580" s="1195"/>
      <c r="M580" s="1195"/>
      <c r="N580" s="1195"/>
      <c r="O580" s="1195"/>
      <c r="P580" s="1195"/>
      <c r="Q580" s="1195"/>
      <c r="R580" s="1195"/>
      <c r="S580" s="1195"/>
      <c r="T580" s="142"/>
      <c r="U580" s="115"/>
      <c r="V580" s="464" t="str">
        <f>D580</f>
        <v>Tool 23</v>
      </c>
      <c r="W580" s="110"/>
      <c r="X580" s="110"/>
      <c r="Y580" s="110"/>
      <c r="Z580" s="110"/>
      <c r="AA580" s="109"/>
      <c r="AB580" s="109"/>
      <c r="AC580" s="109"/>
      <c r="AD580" s="109"/>
      <c r="AE580" s="109"/>
      <c r="AF580" s="109"/>
      <c r="AG580" s="109"/>
      <c r="AH580" s="109"/>
      <c r="AI580" s="109"/>
      <c r="AJ580" s="109"/>
      <c r="AK580" s="109"/>
      <c r="AL580" s="109"/>
    </row>
    <row r="581" spans="1:38" ht="12.75" customHeight="1" x14ac:dyDescent="0.25">
      <c r="B581" s="132"/>
      <c r="C581" s="132"/>
      <c r="D581" s="132"/>
      <c r="E581" s="191"/>
      <c r="F581" s="116"/>
      <c r="G581" s="116"/>
      <c r="H581" s="116"/>
      <c r="I581" s="116"/>
      <c r="J581" s="116"/>
      <c r="K581" s="116"/>
      <c r="L581" s="116"/>
      <c r="M581" s="116"/>
      <c r="N581" s="116"/>
      <c r="O581" s="116"/>
      <c r="P581" s="116"/>
      <c r="Q581" s="116"/>
      <c r="R581" s="116"/>
      <c r="S581" s="132"/>
      <c r="T581" s="142"/>
      <c r="U581" s="115"/>
    </row>
    <row r="582" spans="1:38" ht="12.75" customHeight="1" x14ac:dyDescent="0.25">
      <c r="B582" s="132"/>
      <c r="C582" s="132"/>
      <c r="D582" s="1377" t="str">
        <f>Translations!$B$631</f>
        <v>Component</v>
      </c>
      <c r="E582" s="1378"/>
      <c r="F582" s="633">
        <v>1</v>
      </c>
      <c r="G582" s="633">
        <v>2</v>
      </c>
      <c r="H582" s="633">
        <v>3</v>
      </c>
      <c r="I582" s="633">
        <v>4</v>
      </c>
      <c r="J582" s="633">
        <v>5</v>
      </c>
      <c r="K582" s="633">
        <v>6</v>
      </c>
      <c r="L582" s="633">
        <v>7</v>
      </c>
      <c r="M582" s="116"/>
      <c r="N582" s="116"/>
      <c r="O582" s="116"/>
      <c r="P582" s="116"/>
      <c r="Q582" s="116"/>
      <c r="R582" s="116"/>
      <c r="S582" s="132"/>
      <c r="T582" s="142"/>
      <c r="U582" s="115"/>
      <c r="V582" s="566" t="str">
        <f>Translations!$B$498</f>
        <v>Units:</v>
      </c>
      <c r="W582" s="561" t="str" cm="1">
        <f t="array" ref="W582">IFERROR(INDEX(_xlfn._xlws.FILTER(W586:W595,(W586:W595)&lt;&gt;"",""),1),W583)</f>
        <v/>
      </c>
      <c r="X582" s="561" t="str" cm="1">
        <f t="array" ref="X582">IFERROR(INDEX(_xlfn._xlws.FILTER(X586:X595,(X586:X595)&lt;&gt;"",""),1),X583)</f>
        <v/>
      </c>
      <c r="Y582" s="567"/>
      <c r="Z582" s="561" t="str" cm="1">
        <f t="array" ref="Z582">IFERROR(INDEX(_xlfn._xlws.FILTER(Z586:Z595,(Z586:Z595)&lt;&gt;"",""),1),Z583)</f>
        <v/>
      </c>
      <c r="AA582" s="567"/>
    </row>
    <row r="583" spans="1:38" ht="12.75" customHeight="1" x14ac:dyDescent="0.25">
      <c r="B583" s="132"/>
      <c r="C583" s="132"/>
      <c r="D583" s="1379"/>
      <c r="E583" s="1380"/>
      <c r="F583" s="1383" t="str">
        <f>Translations!$B$377</f>
        <v>RFA</v>
      </c>
      <c r="G583" s="1383" t="str">
        <f>Translations!$B$386</f>
        <v>UCF</v>
      </c>
      <c r="H583" s="1383" t="str">
        <f>Translations!$B$383</f>
        <v>EF</v>
      </c>
      <c r="I583" s="1383" t="str">
        <f>Translations!$B$632</f>
        <v>Zero-rated F</v>
      </c>
      <c r="J583" s="1385" t="str">
        <f>Translations!$B$652</f>
        <v>Energy or other</v>
      </c>
      <c r="K583" s="1385" t="str">
        <f>Translations!$B$522</f>
        <v>Emissions (fossil)</v>
      </c>
      <c r="L583" s="1385" t="str">
        <f>Translations!$B$634</f>
        <v>Emissions (bio)</v>
      </c>
      <c r="M583" s="116"/>
      <c r="N583" s="116"/>
      <c r="O583" s="116"/>
      <c r="P583" s="116"/>
      <c r="Q583" s="116"/>
      <c r="R583" s="116"/>
      <c r="S583" s="132"/>
      <c r="T583" s="142"/>
      <c r="U583" s="115"/>
      <c r="W583" s="561" t="str">
        <f t="array" ref="W583">IFERROR(INDEX(W586:W595,MATCH(TRUE,(W586:W595)&lt;&gt;"",0)),"")</f>
        <v/>
      </c>
      <c r="X583" s="561" t="str">
        <f t="array" ref="X583">IFERROR(INDEX(X586:X595,MATCH(TRUE,(X586:X595)&lt;&gt;"",0)),"")</f>
        <v/>
      </c>
      <c r="Y583" s="567"/>
      <c r="Z583" s="561" t="str">
        <f t="array" ref="Z583">IFERROR(INDEX(Z586:Z595,MATCH(TRUE,(Z586:Z595)&lt;&gt;"",0)),"")</f>
        <v/>
      </c>
      <c r="AA583" s="567"/>
    </row>
    <row r="584" spans="1:38" ht="12.75" customHeight="1" x14ac:dyDescent="0.3">
      <c r="B584" s="132"/>
      <c r="C584" s="132"/>
      <c r="D584" s="1379"/>
      <c r="E584" s="1380"/>
      <c r="F584" s="1384"/>
      <c r="G584" s="1384"/>
      <c r="H584" s="1384"/>
      <c r="I584" s="1384"/>
      <c r="J584" s="1386"/>
      <c r="K584" s="1386"/>
      <c r="L584" s="1386"/>
      <c r="M584" s="116"/>
      <c r="N584" s="634" t="str">
        <f>Translations!$B$635</f>
        <v>Result to be entered in sheet C</v>
      </c>
      <c r="O584" s="116"/>
      <c r="P584" s="116"/>
      <c r="Q584" s="116"/>
      <c r="R584" s="116"/>
      <c r="S584" s="132"/>
      <c r="T584" s="142"/>
      <c r="U584" s="115"/>
      <c r="W584" s="569" t="str">
        <f>Translations!$B$377</f>
        <v>RFA</v>
      </c>
      <c r="X584" s="569" t="str">
        <f>Translations!$B$386</f>
        <v>UCF</v>
      </c>
      <c r="Y584" s="569"/>
      <c r="Z584" s="569" t="str">
        <f>Translations!$B$383</f>
        <v>EF</v>
      </c>
      <c r="AA584" s="569"/>
      <c r="AB584" s="570"/>
      <c r="AC584" s="570"/>
      <c r="AH584" s="570"/>
      <c r="AI584" s="570"/>
      <c r="AJ584" s="570"/>
    </row>
    <row r="585" spans="1:38" ht="12.75" customHeight="1" x14ac:dyDescent="0.3">
      <c r="B585" s="132"/>
      <c r="C585" s="132"/>
      <c r="D585" s="1381"/>
      <c r="E585" s="1382"/>
      <c r="F585" s="635" t="str">
        <f>IF(COUNTA($E586:$E600)=0,"",$W582)</f>
        <v/>
      </c>
      <c r="G585" s="635" t="str">
        <f>IF(COUNTA($E586:$E600)=0,"",$X582)</f>
        <v/>
      </c>
      <c r="H585" s="635" t="str">
        <f>IF(COUNTA($E586:$E600)=0,"",$Z582)</f>
        <v/>
      </c>
      <c r="I585" s="636" t="s">
        <v>46</v>
      </c>
      <c r="J585" s="635" t="str">
        <f>IF(AE586=EUconst_NA,EUconst_GJ,AE586)</f>
        <v>GJ</v>
      </c>
      <c r="K585" s="637" t="s">
        <v>188</v>
      </c>
      <c r="L585" s="637" t="s">
        <v>188</v>
      </c>
      <c r="M585" s="116"/>
      <c r="N585" s="1387" t="str">
        <f>Translations!$B$636</f>
        <v>The results of this tool are the relevant (weighted average) values below. Each value has to be entered manually in sheet C for the respective fuel stream. Select fuel stream below for comparison.</v>
      </c>
      <c r="O585" s="1387"/>
      <c r="P585" s="1387"/>
      <c r="Q585" s="1387"/>
      <c r="R585" s="1387"/>
      <c r="S585" s="1387"/>
      <c r="T585" s="142"/>
      <c r="U585" s="115"/>
      <c r="W585" s="569" t="str">
        <f>EUconst_CNTR_ActivityData&amp;EUconst_Unit</f>
        <v>ActivityData_Unit</v>
      </c>
      <c r="X585" s="569" t="str">
        <f>EUconst_CNTR_UCF&amp;EUconst_Unit</f>
        <v>UCF_Unit</v>
      </c>
      <c r="Y585" s="569" t="str">
        <f>EUconst_CNTR_UCF&amp;EUconst_Value</f>
        <v>UCF_Value</v>
      </c>
      <c r="Z585" s="569" t="str">
        <f>EUconst_CNTR_EF&amp;EUconst_Unit</f>
        <v>EF_Unit</v>
      </c>
      <c r="AA585" s="569" t="str">
        <f>EUconst_CNTR_EF&amp;EUconst_Value</f>
        <v>EF_Value</v>
      </c>
      <c r="AB585" s="569" t="s">
        <v>189</v>
      </c>
      <c r="AC585" s="575"/>
      <c r="AD585" s="576" t="s">
        <v>147</v>
      </c>
      <c r="AE585" s="576" t="s">
        <v>151</v>
      </c>
      <c r="AF585" s="576" t="s">
        <v>153</v>
      </c>
      <c r="AG585" s="576" t="s">
        <v>155</v>
      </c>
      <c r="AH585" s="575"/>
      <c r="AI585" s="575"/>
      <c r="AJ585" s="575" t="s">
        <v>190</v>
      </c>
      <c r="AK585" s="575" t="s">
        <v>191</v>
      </c>
      <c r="AL585" s="575" t="s">
        <v>192</v>
      </c>
    </row>
    <row r="586" spans="1:38" ht="12.75" customHeight="1" x14ac:dyDescent="0.25">
      <c r="B586" s="132"/>
      <c r="C586" s="132"/>
      <c r="D586" s="1388" t="str">
        <f>Translations!$B$637</f>
        <v>Default compontents provided by the CA</v>
      </c>
      <c r="E586" s="42"/>
      <c r="F586" s="45"/>
      <c r="G586" s="639" t="str">
        <f>IF($E586="","",Y586)</f>
        <v/>
      </c>
      <c r="H586" s="639" t="str">
        <f>IF($E586="","",AA586)</f>
        <v/>
      </c>
      <c r="I586" s="46"/>
      <c r="J586" s="640" t="str">
        <f t="shared" ref="J586:J600" si="330">IFERROR(IF(E586="","",AL586),EUconst_ERR_Inconsistent)</f>
        <v/>
      </c>
      <c r="K586" s="640" t="str">
        <f t="shared" ref="K586:K600" si="331">IFERROR(IF(E586="","",AJ586),EUconst_ERR_Inconsistent)</f>
        <v/>
      </c>
      <c r="L586" s="640" t="str">
        <f t="shared" ref="L586:L600" si="332">IFERROR(IF(E586="","",AK586),EUconst_ERR_Inconsistent)</f>
        <v/>
      </c>
      <c r="M586" s="1389"/>
      <c r="N586" s="1387"/>
      <c r="O586" s="1387"/>
      <c r="P586" s="1387"/>
      <c r="Q586" s="1387"/>
      <c r="R586" s="1387"/>
      <c r="S586" s="1387"/>
      <c r="T586" s="142"/>
      <c r="U586" s="115"/>
      <c r="W586" s="561" t="str">
        <f t="shared" ref="W586:AA595" si="333">IF($E586="","",INDEX(MSPara_CalcFactorsMatrix,MATCH($E586,MSPara_SourceStreamCategory,0),MATCH(W$20&amp;"_"&amp;2,MSPara_CalcFactors,0)))</f>
        <v/>
      </c>
      <c r="X586" s="561" t="str">
        <f t="shared" si="333"/>
        <v/>
      </c>
      <c r="Y586" s="561" t="str">
        <f t="shared" si="333"/>
        <v/>
      </c>
      <c r="Z586" s="561" t="str">
        <f t="shared" si="333"/>
        <v/>
      </c>
      <c r="AA586" s="561" t="str">
        <f t="shared" si="333"/>
        <v/>
      </c>
      <c r="AB586" s="561" t="str">
        <f>IF(E586="","",OR(W586&lt;&gt;W582,X586&lt;&gt;X582,Z586&lt;&gt;Z582))</f>
        <v/>
      </c>
      <c r="AC586" s="567"/>
      <c r="AD586" s="561" t="str">
        <f>W586</f>
        <v/>
      </c>
      <c r="AE586" s="561" t="str">
        <f>IF(X586="",EUconst_NA,IF(AD586=EUconst_TJ,EUconst_TJ,INDEX(EUwideConstants!$C$135:$G$139,MATCH(AD586,RFAUnits,0),MATCH(X586,UCFUnits,0))))</f>
        <v>n.a.</v>
      </c>
      <c r="AF586" s="561" t="str">
        <f>IF(COUNTIF(RFAUnits,AD586)=0,EUconst_NA,INDEX(EUwideConstants!$C$150:$H$154,MATCH(Z586,EFUnits,0),MATCH(AD586,EUwideConstants!$C$149:$H$149,0)))</f>
        <v>n.a.</v>
      </c>
      <c r="AG586" s="561" t="str">
        <f>IF(AE586=EUconst_NA,EUconst_NA,INDEX(EUwideConstants!$C$150:$H$154,MATCH(Z586,EFUnits,0),MATCH(AE586,EUwideConstants!$C$149:$H$149,0)))</f>
        <v>n.a.</v>
      </c>
      <c r="AH586" s="561" t="b">
        <f t="shared" ref="AH586" si="334">AF586&lt;&gt;EUconst_NA</f>
        <v>0</v>
      </c>
      <c r="AI586" s="561" t="b">
        <f t="shared" ref="AI586" si="335">AG586&lt;&gt;EUconst_NA</f>
        <v>0</v>
      </c>
      <c r="AJ586" s="582" t="str">
        <f>IF(OR(E586="",COUNTIF(AH586:AI586,TRUE)=0),"",F586*IF(AH586,1,G586*AG586)*H586*(1-I586))</f>
        <v/>
      </c>
      <c r="AK586" s="582" t="str">
        <f>IF(OR(E586="",COUNTIF(AH586:AI586,TRUE)=0),"",F586*IF(AH586,1,G586*AG586)*H586*I586)</f>
        <v/>
      </c>
      <c r="AL586" s="582" t="str">
        <f t="shared" ref="AL586:AL600" si="336">IF(E586="","",IF(W586=EUconst_TJ,F586,F586*G586))</f>
        <v/>
      </c>
    </row>
    <row r="587" spans="1:38" ht="12.75" customHeight="1" x14ac:dyDescent="0.25">
      <c r="B587" s="132"/>
      <c r="C587" s="132"/>
      <c r="D587" s="1388"/>
      <c r="E587" s="43"/>
      <c r="F587" s="47"/>
      <c r="G587" s="641" t="str">
        <f t="shared" ref="G587:G595" si="337">IF($E587="","",Y587)</f>
        <v/>
      </c>
      <c r="H587" s="641" t="str">
        <f t="shared" ref="H587:H595" si="338">IF($E587="","",AA587)</f>
        <v/>
      </c>
      <c r="I587" s="48"/>
      <c r="J587" s="642" t="str">
        <f t="shared" si="330"/>
        <v/>
      </c>
      <c r="K587" s="642" t="str">
        <f t="shared" si="331"/>
        <v/>
      </c>
      <c r="L587" s="642" t="str">
        <f t="shared" si="332"/>
        <v/>
      </c>
      <c r="M587" s="1389"/>
      <c r="N587" s="638"/>
      <c r="O587" s="643" t="str">
        <f>Translations!$B$639</f>
        <v>Fuel stream:</v>
      </c>
      <c r="P587" s="1390"/>
      <c r="Q587" s="1391"/>
      <c r="R587" s="1391"/>
      <c r="S587" s="1392"/>
      <c r="T587" s="142"/>
      <c r="U587" s="115"/>
      <c r="W587" s="561" t="str">
        <f t="shared" si="333"/>
        <v/>
      </c>
      <c r="X587" s="561" t="str">
        <f t="shared" si="333"/>
        <v/>
      </c>
      <c r="Y587" s="561" t="str">
        <f t="shared" si="333"/>
        <v/>
      </c>
      <c r="Z587" s="561" t="str">
        <f t="shared" si="333"/>
        <v/>
      </c>
      <c r="AA587" s="561" t="str">
        <f t="shared" si="333"/>
        <v/>
      </c>
      <c r="AB587" s="561" t="str">
        <f>IF(E587="","",OR(W587&lt;&gt;W582,X587&lt;&gt;X582,Z587&lt;&gt;Z582))</f>
        <v/>
      </c>
      <c r="AC587" s="567"/>
      <c r="AD587" s="561" t="str">
        <f>AD586</f>
        <v/>
      </c>
      <c r="AE587" s="561" t="str">
        <f t="shared" ref="AE587:AI587" si="339">AE586</f>
        <v>n.a.</v>
      </c>
      <c r="AF587" s="561" t="str">
        <f t="shared" si="339"/>
        <v>n.a.</v>
      </c>
      <c r="AG587" s="561" t="str">
        <f t="shared" si="339"/>
        <v>n.a.</v>
      </c>
      <c r="AH587" s="561" t="b">
        <f t="shared" si="339"/>
        <v>0</v>
      </c>
      <c r="AI587" s="561" t="b">
        <f t="shared" si="339"/>
        <v>0</v>
      </c>
      <c r="AJ587" s="582" t="str">
        <f t="shared" ref="AJ587:AJ600" si="340">IF(OR(E587="",COUNTIF(AH587:AI587,TRUE)=0),"",F587*IF(AH587,1,G587*AG587)*H587*(1-I587))</f>
        <v/>
      </c>
      <c r="AK587" s="582" t="str">
        <f t="shared" ref="AK587:AK600" si="341">IF(OR(E587="",COUNTIF(AH587:AI587,TRUE)=0),"",F587*IF(AH587,1,G587*AG587)*H587*I587)</f>
        <v/>
      </c>
      <c r="AL587" s="582" t="str">
        <f t="shared" si="336"/>
        <v/>
      </c>
    </row>
    <row r="588" spans="1:38" ht="12.75" customHeight="1" x14ac:dyDescent="0.25">
      <c r="B588" s="132"/>
      <c r="C588" s="132"/>
      <c r="D588" s="1388"/>
      <c r="E588" s="43"/>
      <c r="F588" s="47"/>
      <c r="G588" s="641" t="str">
        <f t="shared" si="337"/>
        <v/>
      </c>
      <c r="H588" s="641" t="str">
        <f t="shared" si="338"/>
        <v/>
      </c>
      <c r="I588" s="48"/>
      <c r="J588" s="642" t="str">
        <f t="shared" si="330"/>
        <v/>
      </c>
      <c r="K588" s="642" t="str">
        <f t="shared" si="331"/>
        <v/>
      </c>
      <c r="L588" s="642" t="str">
        <f t="shared" si="332"/>
        <v/>
      </c>
      <c r="M588" s="1389"/>
      <c r="N588" s="116"/>
      <c r="O588" s="116"/>
      <c r="P588" s="116"/>
      <c r="Q588" s="116"/>
      <c r="R588" s="116"/>
      <c r="S588" s="132"/>
      <c r="T588" s="142"/>
      <c r="U588" s="115"/>
      <c r="W588" s="561" t="str">
        <f t="shared" si="333"/>
        <v/>
      </c>
      <c r="X588" s="561" t="str">
        <f t="shared" si="333"/>
        <v/>
      </c>
      <c r="Y588" s="561" t="str">
        <f t="shared" si="333"/>
        <v/>
      </c>
      <c r="Z588" s="561" t="str">
        <f t="shared" si="333"/>
        <v/>
      </c>
      <c r="AA588" s="561" t="str">
        <f t="shared" si="333"/>
        <v/>
      </c>
      <c r="AB588" s="561" t="str">
        <f>IF(E588="","",OR(W588&lt;&gt;W582,X588&lt;&gt;X582,Z588&lt;&gt;Z582))</f>
        <v/>
      </c>
      <c r="AC588" s="567"/>
      <c r="AD588" s="561" t="str">
        <f t="shared" ref="AD588:AI600" si="342">AD587</f>
        <v/>
      </c>
      <c r="AE588" s="561" t="str">
        <f t="shared" si="342"/>
        <v>n.a.</v>
      </c>
      <c r="AF588" s="561" t="str">
        <f t="shared" si="342"/>
        <v>n.a.</v>
      </c>
      <c r="AG588" s="561" t="str">
        <f t="shared" si="342"/>
        <v>n.a.</v>
      </c>
      <c r="AH588" s="561" t="b">
        <f t="shared" si="342"/>
        <v>0</v>
      </c>
      <c r="AI588" s="561" t="b">
        <f t="shared" si="342"/>
        <v>0</v>
      </c>
      <c r="AJ588" s="582" t="str">
        <f t="shared" si="340"/>
        <v/>
      </c>
      <c r="AK588" s="582" t="str">
        <f t="shared" si="341"/>
        <v/>
      </c>
      <c r="AL588" s="582" t="str">
        <f t="shared" si="336"/>
        <v/>
      </c>
    </row>
    <row r="589" spans="1:38" ht="12.75" customHeight="1" thickBot="1" x14ac:dyDescent="0.35">
      <c r="B589" s="132"/>
      <c r="C589" s="132"/>
      <c r="D589" s="1388"/>
      <c r="E589" s="43"/>
      <c r="F589" s="47"/>
      <c r="G589" s="641" t="str">
        <f t="shared" si="337"/>
        <v/>
      </c>
      <c r="H589" s="641" t="str">
        <f t="shared" si="338"/>
        <v/>
      </c>
      <c r="I589" s="48"/>
      <c r="J589" s="642" t="str">
        <f t="shared" si="330"/>
        <v/>
      </c>
      <c r="K589" s="642" t="str">
        <f t="shared" si="331"/>
        <v/>
      </c>
      <c r="L589" s="642" t="str">
        <f t="shared" si="332"/>
        <v/>
      </c>
      <c r="M589" s="1389"/>
      <c r="N589" s="1255" t="str">
        <f>Translations!$B$394</f>
        <v>Unit</v>
      </c>
      <c r="O589" s="1255"/>
      <c r="P589" s="1255" t="str">
        <f>Translations!$B$395</f>
        <v>Value</v>
      </c>
      <c r="Q589" s="1255"/>
      <c r="R589" s="116"/>
      <c r="S589" s="644" t="str">
        <f>Translations!$B$642</f>
        <v>Sheet C values</v>
      </c>
      <c r="T589" s="142"/>
      <c r="U589" s="115"/>
      <c r="W589" s="561" t="str">
        <f t="shared" si="333"/>
        <v/>
      </c>
      <c r="X589" s="561" t="str">
        <f t="shared" si="333"/>
        <v/>
      </c>
      <c r="Y589" s="561" t="str">
        <f t="shared" si="333"/>
        <v/>
      </c>
      <c r="Z589" s="561" t="str">
        <f t="shared" si="333"/>
        <v/>
      </c>
      <c r="AA589" s="561" t="str">
        <f t="shared" si="333"/>
        <v/>
      </c>
      <c r="AB589" s="561" t="str">
        <f>IF(E589="","",OR(W589&lt;&gt;W582,X589&lt;&gt;X582,Z589&lt;&gt;Z582))</f>
        <v/>
      </c>
      <c r="AC589" s="567"/>
      <c r="AD589" s="561" t="str">
        <f t="shared" si="342"/>
        <v/>
      </c>
      <c r="AE589" s="561" t="str">
        <f t="shared" si="342"/>
        <v>n.a.</v>
      </c>
      <c r="AF589" s="561" t="str">
        <f t="shared" si="342"/>
        <v>n.a.</v>
      </c>
      <c r="AG589" s="561" t="str">
        <f t="shared" si="342"/>
        <v>n.a.</v>
      </c>
      <c r="AH589" s="561" t="b">
        <f t="shared" si="342"/>
        <v>0</v>
      </c>
      <c r="AI589" s="561" t="b">
        <f t="shared" si="342"/>
        <v>0</v>
      </c>
      <c r="AJ589" s="582" t="str">
        <f t="shared" si="340"/>
        <v/>
      </c>
      <c r="AK589" s="582" t="str">
        <f t="shared" si="341"/>
        <v/>
      </c>
      <c r="AL589" s="582" t="str">
        <f t="shared" si="336"/>
        <v/>
      </c>
    </row>
    <row r="590" spans="1:38" ht="12.75" customHeight="1" thickBot="1" x14ac:dyDescent="0.3">
      <c r="B590" s="132"/>
      <c r="C590" s="132"/>
      <c r="D590" s="1388"/>
      <c r="E590" s="43"/>
      <c r="F590" s="47"/>
      <c r="G590" s="641" t="str">
        <f t="shared" si="337"/>
        <v/>
      </c>
      <c r="H590" s="641" t="str">
        <f t="shared" si="338"/>
        <v/>
      </c>
      <c r="I590" s="48"/>
      <c r="J590" s="642" t="str">
        <f t="shared" si="330"/>
        <v/>
      </c>
      <c r="K590" s="642" t="str">
        <f t="shared" si="331"/>
        <v/>
      </c>
      <c r="L590" s="642" t="str">
        <f t="shared" si="332"/>
        <v/>
      </c>
      <c r="M590" s="116"/>
      <c r="N590" s="346" t="str">
        <f>F585</f>
        <v/>
      </c>
      <c r="O590" s="7"/>
      <c r="P590" s="1393" t="str">
        <f>IF(F601="","",F601)</f>
        <v/>
      </c>
      <c r="Q590" s="1394"/>
      <c r="R590" s="116"/>
      <c r="S590" s="645" t="str">
        <f>IF(P587="","",SUMIFS(C_FuelStreams!BK:BK,C_FuelStreams!BI:BI,P587))</f>
        <v/>
      </c>
      <c r="T590" s="142"/>
      <c r="U590" s="115"/>
      <c r="W590" s="561" t="str">
        <f t="shared" si="333"/>
        <v/>
      </c>
      <c r="X590" s="561" t="str">
        <f t="shared" si="333"/>
        <v/>
      </c>
      <c r="Y590" s="561" t="str">
        <f t="shared" si="333"/>
        <v/>
      </c>
      <c r="Z590" s="561" t="str">
        <f t="shared" si="333"/>
        <v/>
      </c>
      <c r="AA590" s="561" t="str">
        <f t="shared" si="333"/>
        <v/>
      </c>
      <c r="AB590" s="561" t="str">
        <f>IF(E590="","",OR(W590&lt;&gt;W582,X590&lt;&gt;X582,Z590&lt;&gt;Z582))</f>
        <v/>
      </c>
      <c r="AC590" s="567"/>
      <c r="AD590" s="561" t="str">
        <f t="shared" si="342"/>
        <v/>
      </c>
      <c r="AE590" s="561" t="str">
        <f t="shared" si="342"/>
        <v>n.a.</v>
      </c>
      <c r="AF590" s="561" t="str">
        <f t="shared" si="342"/>
        <v>n.a.</v>
      </c>
      <c r="AG590" s="561" t="str">
        <f t="shared" si="342"/>
        <v>n.a.</v>
      </c>
      <c r="AH590" s="561" t="b">
        <f t="shared" si="342"/>
        <v>0</v>
      </c>
      <c r="AI590" s="561" t="b">
        <f t="shared" si="342"/>
        <v>0</v>
      </c>
      <c r="AJ590" s="582" t="str">
        <f t="shared" si="340"/>
        <v/>
      </c>
      <c r="AK590" s="582" t="str">
        <f t="shared" si="341"/>
        <v/>
      </c>
      <c r="AL590" s="582" t="str">
        <f t="shared" si="336"/>
        <v/>
      </c>
    </row>
    <row r="591" spans="1:38" ht="12.75" customHeight="1" thickBot="1" x14ac:dyDescent="0.3">
      <c r="B591" s="132"/>
      <c r="C591" s="132"/>
      <c r="D591" s="1388"/>
      <c r="E591" s="43"/>
      <c r="F591" s="47"/>
      <c r="G591" s="641" t="str">
        <f t="shared" si="337"/>
        <v/>
      </c>
      <c r="H591" s="641" t="str">
        <f t="shared" si="338"/>
        <v/>
      </c>
      <c r="I591" s="48"/>
      <c r="J591" s="642" t="str">
        <f t="shared" si="330"/>
        <v/>
      </c>
      <c r="K591" s="642" t="str">
        <f t="shared" si="331"/>
        <v/>
      </c>
      <c r="L591" s="642" t="str">
        <f t="shared" si="332"/>
        <v/>
      </c>
      <c r="M591" s="116"/>
      <c r="N591" s="162"/>
      <c r="O591" s="162"/>
      <c r="P591" s="76"/>
      <c r="Q591" s="76"/>
      <c r="R591" s="116"/>
      <c r="S591" s="996"/>
      <c r="T591" s="142"/>
      <c r="U591" s="115"/>
      <c r="W591" s="561" t="str">
        <f t="shared" si="333"/>
        <v/>
      </c>
      <c r="X591" s="561" t="str">
        <f t="shared" si="333"/>
        <v/>
      </c>
      <c r="Y591" s="561" t="str">
        <f t="shared" si="333"/>
        <v/>
      </c>
      <c r="Z591" s="561" t="str">
        <f t="shared" si="333"/>
        <v/>
      </c>
      <c r="AA591" s="561" t="str">
        <f t="shared" si="333"/>
        <v/>
      </c>
      <c r="AB591" s="561" t="str">
        <f>IF(E591="","",OR(W591&lt;&gt;W582,X591&lt;&gt;X582,Z591&lt;&gt;Z582))</f>
        <v/>
      </c>
      <c r="AC591" s="567"/>
      <c r="AD591" s="561" t="str">
        <f t="shared" si="342"/>
        <v/>
      </c>
      <c r="AE591" s="561" t="str">
        <f t="shared" si="342"/>
        <v>n.a.</v>
      </c>
      <c r="AF591" s="561" t="str">
        <f t="shared" si="342"/>
        <v>n.a.</v>
      </c>
      <c r="AG591" s="561" t="str">
        <f t="shared" si="342"/>
        <v>n.a.</v>
      </c>
      <c r="AH591" s="561" t="b">
        <f t="shared" si="342"/>
        <v>0</v>
      </c>
      <c r="AI591" s="561" t="b">
        <f t="shared" si="342"/>
        <v>0</v>
      </c>
      <c r="AJ591" s="582" t="str">
        <f t="shared" si="340"/>
        <v/>
      </c>
      <c r="AK591" s="582" t="str">
        <f t="shared" si="341"/>
        <v/>
      </c>
      <c r="AL591" s="582" t="str">
        <f t="shared" si="336"/>
        <v/>
      </c>
    </row>
    <row r="592" spans="1:38" ht="12.75" customHeight="1" x14ac:dyDescent="0.25">
      <c r="B592" s="132"/>
      <c r="C592" s="132"/>
      <c r="D592" s="1388"/>
      <c r="E592" s="43"/>
      <c r="F592" s="47"/>
      <c r="G592" s="641" t="str">
        <f t="shared" si="337"/>
        <v/>
      </c>
      <c r="H592" s="641" t="str">
        <f t="shared" si="338"/>
        <v/>
      </c>
      <c r="I592" s="48"/>
      <c r="J592" s="642" t="str">
        <f t="shared" si="330"/>
        <v/>
      </c>
      <c r="K592" s="642" t="str">
        <f t="shared" si="331"/>
        <v/>
      </c>
      <c r="L592" s="642" t="str">
        <f t="shared" si="332"/>
        <v/>
      </c>
      <c r="M592" s="116"/>
      <c r="N592" s="365" t="str">
        <f>G585</f>
        <v/>
      </c>
      <c r="O592" s="11"/>
      <c r="P592" s="366"/>
      <c r="Q592" s="646" t="str">
        <f>IF(G601="","",G601)</f>
        <v/>
      </c>
      <c r="R592" s="116"/>
      <c r="S592" s="647" t="str">
        <f>IF(P587="","",SUMIFS(C_FuelStreams!BU:BU,C_FuelStreams!BI:BI,P587))</f>
        <v/>
      </c>
      <c r="T592" s="142"/>
      <c r="U592" s="115"/>
      <c r="W592" s="561" t="str">
        <f t="shared" si="333"/>
        <v/>
      </c>
      <c r="X592" s="561" t="str">
        <f t="shared" si="333"/>
        <v/>
      </c>
      <c r="Y592" s="561" t="str">
        <f t="shared" si="333"/>
        <v/>
      </c>
      <c r="Z592" s="561" t="str">
        <f t="shared" si="333"/>
        <v/>
      </c>
      <c r="AA592" s="561" t="str">
        <f t="shared" si="333"/>
        <v/>
      </c>
      <c r="AB592" s="561" t="str">
        <f>IF(E592="","",OR(W592&lt;&gt;W582,X592&lt;&gt;X582,Z592&lt;&gt;Z582))</f>
        <v/>
      </c>
      <c r="AC592" s="567"/>
      <c r="AD592" s="561" t="str">
        <f t="shared" si="342"/>
        <v/>
      </c>
      <c r="AE592" s="561" t="str">
        <f t="shared" si="342"/>
        <v>n.a.</v>
      </c>
      <c r="AF592" s="561" t="str">
        <f t="shared" si="342"/>
        <v>n.a.</v>
      </c>
      <c r="AG592" s="561" t="str">
        <f t="shared" si="342"/>
        <v>n.a.</v>
      </c>
      <c r="AH592" s="561" t="b">
        <f t="shared" si="342"/>
        <v>0</v>
      </c>
      <c r="AI592" s="561" t="b">
        <f t="shared" si="342"/>
        <v>0</v>
      </c>
      <c r="AJ592" s="582" t="str">
        <f t="shared" si="340"/>
        <v/>
      </c>
      <c r="AK592" s="582" t="str">
        <f t="shared" si="341"/>
        <v/>
      </c>
      <c r="AL592" s="582" t="str">
        <f t="shared" si="336"/>
        <v/>
      </c>
    </row>
    <row r="593" spans="1:38" ht="12.75" customHeight="1" thickBot="1" x14ac:dyDescent="0.3">
      <c r="B593" s="132"/>
      <c r="C593" s="132"/>
      <c r="D593" s="1388"/>
      <c r="E593" s="43"/>
      <c r="F593" s="47"/>
      <c r="G593" s="641" t="str">
        <f t="shared" si="337"/>
        <v/>
      </c>
      <c r="H593" s="641" t="str">
        <f t="shared" si="338"/>
        <v/>
      </c>
      <c r="I593" s="48"/>
      <c r="J593" s="642" t="str">
        <f t="shared" si="330"/>
        <v/>
      </c>
      <c r="K593" s="642" t="str">
        <f t="shared" si="331"/>
        <v/>
      </c>
      <c r="L593" s="642" t="str">
        <f t="shared" si="332"/>
        <v/>
      </c>
      <c r="M593" s="116"/>
      <c r="N593" s="648" t="str">
        <f>H585</f>
        <v/>
      </c>
      <c r="O593" s="22"/>
      <c r="P593" s="649"/>
      <c r="Q593" s="650" t="str">
        <f>IF(H601="","",H601)</f>
        <v/>
      </c>
      <c r="R593" s="116"/>
      <c r="S593" s="651" t="str">
        <f>IF(P587="","",SUMIFS(C_FuelStreams!BR:BR,C_FuelStreams!BI:BI,P587))</f>
        <v/>
      </c>
      <c r="T593" s="142"/>
      <c r="U593" s="115"/>
      <c r="W593" s="561" t="str">
        <f t="shared" si="333"/>
        <v/>
      </c>
      <c r="X593" s="561" t="str">
        <f t="shared" si="333"/>
        <v/>
      </c>
      <c r="Y593" s="561" t="str">
        <f t="shared" si="333"/>
        <v/>
      </c>
      <c r="Z593" s="561" t="str">
        <f t="shared" si="333"/>
        <v/>
      </c>
      <c r="AA593" s="561" t="str">
        <f t="shared" si="333"/>
        <v/>
      </c>
      <c r="AB593" s="561" t="str">
        <f>IF(E593="","",OR(W593&lt;&gt;W582,X593&lt;&gt;X582,Z593&lt;&gt;Z582))</f>
        <v/>
      </c>
      <c r="AC593" s="567"/>
      <c r="AD593" s="561" t="str">
        <f t="shared" si="342"/>
        <v/>
      </c>
      <c r="AE593" s="561" t="str">
        <f t="shared" si="342"/>
        <v>n.a.</v>
      </c>
      <c r="AF593" s="561" t="str">
        <f t="shared" si="342"/>
        <v>n.a.</v>
      </c>
      <c r="AG593" s="561" t="str">
        <f t="shared" si="342"/>
        <v>n.a.</v>
      </c>
      <c r="AH593" s="561" t="b">
        <f t="shared" si="342"/>
        <v>0</v>
      </c>
      <c r="AI593" s="561" t="b">
        <f t="shared" si="342"/>
        <v>0</v>
      </c>
      <c r="AJ593" s="582" t="str">
        <f t="shared" si="340"/>
        <v/>
      </c>
      <c r="AK593" s="582" t="str">
        <f t="shared" si="341"/>
        <v/>
      </c>
      <c r="AL593" s="582" t="str">
        <f t="shared" si="336"/>
        <v/>
      </c>
    </row>
    <row r="594" spans="1:38" ht="12.75" customHeight="1" x14ac:dyDescent="0.25">
      <c r="B594" s="132"/>
      <c r="C594" s="132"/>
      <c r="D594" s="1388"/>
      <c r="E594" s="43"/>
      <c r="F594" s="47"/>
      <c r="G594" s="641" t="str">
        <f t="shared" si="337"/>
        <v/>
      </c>
      <c r="H594" s="641" t="str">
        <f t="shared" si="338"/>
        <v/>
      </c>
      <c r="I594" s="48"/>
      <c r="J594" s="642" t="str">
        <f t="shared" si="330"/>
        <v/>
      </c>
      <c r="K594" s="642" t="str">
        <f t="shared" si="331"/>
        <v/>
      </c>
      <c r="L594" s="642" t="str">
        <f t="shared" si="332"/>
        <v/>
      </c>
      <c r="M594" s="116"/>
      <c r="N594" s="652" t="s">
        <v>46</v>
      </c>
      <c r="O594" s="411"/>
      <c r="P594" s="653"/>
      <c r="Q594" s="654" t="str">
        <f>IF(I601="","",I601)</f>
        <v/>
      </c>
      <c r="R594" s="116"/>
      <c r="S594" s="655" t="str">
        <f>IF(P587="","",SUMIFS(C_FuelStreams!BX:BX,C_FuelStreams!BI:BI,P587))</f>
        <v/>
      </c>
      <c r="T594" s="142"/>
      <c r="U594" s="115"/>
      <c r="W594" s="561" t="str">
        <f t="shared" si="333"/>
        <v/>
      </c>
      <c r="X594" s="561" t="str">
        <f t="shared" si="333"/>
        <v/>
      </c>
      <c r="Y594" s="561" t="str">
        <f t="shared" si="333"/>
        <v/>
      </c>
      <c r="Z594" s="561" t="str">
        <f t="shared" si="333"/>
        <v/>
      </c>
      <c r="AA594" s="561" t="str">
        <f t="shared" si="333"/>
        <v/>
      </c>
      <c r="AB594" s="561" t="str">
        <f>IF(E594="","",OR(W594&lt;&gt;W582,X594&lt;&gt;X582,Z594&lt;&gt;Z582))</f>
        <v/>
      </c>
      <c r="AC594" s="567"/>
      <c r="AD594" s="561" t="str">
        <f t="shared" si="342"/>
        <v/>
      </c>
      <c r="AE594" s="561" t="str">
        <f t="shared" si="342"/>
        <v>n.a.</v>
      </c>
      <c r="AF594" s="561" t="str">
        <f t="shared" si="342"/>
        <v>n.a.</v>
      </c>
      <c r="AG594" s="561" t="str">
        <f t="shared" si="342"/>
        <v>n.a.</v>
      </c>
      <c r="AH594" s="561" t="b">
        <f t="shared" si="342"/>
        <v>0</v>
      </c>
      <c r="AI594" s="561" t="b">
        <f t="shared" si="342"/>
        <v>0</v>
      </c>
      <c r="AJ594" s="582" t="str">
        <f t="shared" si="340"/>
        <v/>
      </c>
      <c r="AK594" s="582" t="str">
        <f t="shared" si="341"/>
        <v/>
      </c>
      <c r="AL594" s="582" t="str">
        <f t="shared" si="336"/>
        <v/>
      </c>
    </row>
    <row r="595" spans="1:38" ht="12.75" customHeight="1" x14ac:dyDescent="0.25">
      <c r="B595" s="132"/>
      <c r="C595" s="132"/>
      <c r="D595" s="1388"/>
      <c r="E595" s="43"/>
      <c r="F595" s="47"/>
      <c r="G595" s="641" t="str">
        <f t="shared" si="337"/>
        <v/>
      </c>
      <c r="H595" s="641" t="str">
        <f t="shared" si="338"/>
        <v/>
      </c>
      <c r="I595" s="48"/>
      <c r="J595" s="642" t="str">
        <f t="shared" si="330"/>
        <v/>
      </c>
      <c r="K595" s="642" t="str">
        <f t="shared" si="331"/>
        <v/>
      </c>
      <c r="L595" s="642" t="str">
        <f t="shared" si="332"/>
        <v/>
      </c>
      <c r="M595" s="1395"/>
      <c r="N595" s="116"/>
      <c r="O595" s="116"/>
      <c r="P595" s="116"/>
      <c r="Q595" s="116"/>
      <c r="R595" s="116"/>
      <c r="S595" s="132"/>
      <c r="T595" s="142"/>
      <c r="U595" s="115"/>
      <c r="W595" s="561" t="str">
        <f t="shared" si="333"/>
        <v/>
      </c>
      <c r="X595" s="561" t="str">
        <f t="shared" si="333"/>
        <v/>
      </c>
      <c r="Y595" s="561" t="str">
        <f t="shared" si="333"/>
        <v/>
      </c>
      <c r="Z595" s="561" t="str">
        <f t="shared" si="333"/>
        <v/>
      </c>
      <c r="AA595" s="561" t="str">
        <f t="shared" si="333"/>
        <v/>
      </c>
      <c r="AB595" s="561" t="str">
        <f>IF(E595="","",OR(W595&lt;&gt;W582,X595&lt;&gt;X582,Z595&lt;&gt;Z582))</f>
        <v/>
      </c>
      <c r="AC595" s="567"/>
      <c r="AD595" s="561" t="str">
        <f t="shared" si="342"/>
        <v/>
      </c>
      <c r="AE595" s="561" t="str">
        <f t="shared" si="342"/>
        <v>n.a.</v>
      </c>
      <c r="AF595" s="561" t="str">
        <f t="shared" si="342"/>
        <v>n.a.</v>
      </c>
      <c r="AG595" s="561" t="str">
        <f t="shared" si="342"/>
        <v>n.a.</v>
      </c>
      <c r="AH595" s="561" t="b">
        <f t="shared" si="342"/>
        <v>0</v>
      </c>
      <c r="AI595" s="561" t="b">
        <f t="shared" si="342"/>
        <v>0</v>
      </c>
      <c r="AJ595" s="582" t="str">
        <f t="shared" si="340"/>
        <v/>
      </c>
      <c r="AK595" s="582" t="str">
        <f t="shared" si="341"/>
        <v/>
      </c>
      <c r="AL595" s="582" t="str">
        <f t="shared" si="336"/>
        <v/>
      </c>
    </row>
    <row r="596" spans="1:38" ht="12.75" customHeight="1" x14ac:dyDescent="0.25">
      <c r="B596" s="132"/>
      <c r="C596" s="132"/>
      <c r="D596" s="1388" t="str">
        <f>Translations!$B$643</f>
        <v>Customised components</v>
      </c>
      <c r="E596" s="42"/>
      <c r="F596" s="45"/>
      <c r="G596" s="49"/>
      <c r="H596" s="49"/>
      <c r="I596" s="46"/>
      <c r="J596" s="640" t="str">
        <f t="shared" si="330"/>
        <v/>
      </c>
      <c r="K596" s="640" t="str">
        <f t="shared" si="331"/>
        <v/>
      </c>
      <c r="L596" s="640" t="str">
        <f t="shared" si="332"/>
        <v/>
      </c>
      <c r="M596" s="1395"/>
      <c r="N596" s="116"/>
      <c r="O596" s="116"/>
      <c r="P596" s="656" t="str">
        <f>Translations!$B$644</f>
        <v>CO2 fossil (before scope factor):</v>
      </c>
      <c r="Q596" s="997" t="str">
        <f>IF(K601="","",K601)</f>
        <v/>
      </c>
      <c r="R596" s="656"/>
      <c r="S596" s="997" t="str">
        <f>IF(P587="","",IF(W596=0,0,SUMIFS(C_FuelStreams!CE:CE,C_FuelStreams!BI:BI,P587)/W596))</f>
        <v/>
      </c>
      <c r="T596" s="142"/>
      <c r="U596" s="115"/>
      <c r="V596" s="110" t="str">
        <f>Translations!$B$398</f>
        <v>Scope factor:</v>
      </c>
      <c r="W596" s="617" t="str">
        <f>IF(P587="","",SUMIFS(C_FuelStreams!BP:BP,C_FuelStreams!BI:BI,P587))</f>
        <v/>
      </c>
      <c r="AD596" s="561" t="str">
        <f t="shared" si="342"/>
        <v/>
      </c>
      <c r="AE596" s="561" t="str">
        <f t="shared" si="342"/>
        <v>n.a.</v>
      </c>
      <c r="AF596" s="561" t="str">
        <f t="shared" si="342"/>
        <v>n.a.</v>
      </c>
      <c r="AG596" s="561" t="str">
        <f t="shared" si="342"/>
        <v>n.a.</v>
      </c>
      <c r="AH596" s="561" t="b">
        <f t="shared" si="342"/>
        <v>0</v>
      </c>
      <c r="AI596" s="561" t="b">
        <f t="shared" si="342"/>
        <v>0</v>
      </c>
      <c r="AJ596" s="582" t="str">
        <f t="shared" si="340"/>
        <v/>
      </c>
      <c r="AK596" s="582" t="str">
        <f t="shared" si="341"/>
        <v/>
      </c>
      <c r="AL596" s="582" t="str">
        <f t="shared" si="336"/>
        <v/>
      </c>
    </row>
    <row r="597" spans="1:38" ht="12.75" customHeight="1" x14ac:dyDescent="0.25">
      <c r="B597" s="132"/>
      <c r="C597" s="132"/>
      <c r="D597" s="1388"/>
      <c r="E597" s="43"/>
      <c r="F597" s="47"/>
      <c r="G597" s="50"/>
      <c r="H597" s="50"/>
      <c r="I597" s="48"/>
      <c r="J597" s="642" t="str">
        <f t="shared" si="330"/>
        <v/>
      </c>
      <c r="K597" s="642" t="str">
        <f t="shared" si="331"/>
        <v/>
      </c>
      <c r="L597" s="642" t="str">
        <f t="shared" si="332"/>
        <v/>
      </c>
      <c r="M597" s="1395"/>
      <c r="N597" s="116"/>
      <c r="O597" s="116"/>
      <c r="P597" s="116"/>
      <c r="Q597" s="116"/>
      <c r="R597" s="116"/>
      <c r="S597" s="132"/>
      <c r="T597" s="142"/>
      <c r="U597" s="115"/>
      <c r="AD597" s="561" t="str">
        <f t="shared" si="342"/>
        <v/>
      </c>
      <c r="AE597" s="561" t="str">
        <f t="shared" si="342"/>
        <v>n.a.</v>
      </c>
      <c r="AF597" s="561" t="str">
        <f t="shared" si="342"/>
        <v>n.a.</v>
      </c>
      <c r="AG597" s="561" t="str">
        <f t="shared" si="342"/>
        <v>n.a.</v>
      </c>
      <c r="AH597" s="561" t="b">
        <f t="shared" si="342"/>
        <v>0</v>
      </c>
      <c r="AI597" s="561" t="b">
        <f t="shared" si="342"/>
        <v>0</v>
      </c>
      <c r="AJ597" s="582" t="str">
        <f t="shared" si="340"/>
        <v/>
      </c>
      <c r="AK597" s="582" t="str">
        <f t="shared" si="341"/>
        <v/>
      </c>
      <c r="AL597" s="582" t="str">
        <f t="shared" si="336"/>
        <v/>
      </c>
    </row>
    <row r="598" spans="1:38" ht="12.75" customHeight="1" x14ac:dyDescent="0.25">
      <c r="B598" s="132"/>
      <c r="C598" s="132"/>
      <c r="D598" s="1388"/>
      <c r="E598" s="43"/>
      <c r="F598" s="47"/>
      <c r="G598" s="50"/>
      <c r="H598" s="50"/>
      <c r="I598" s="48"/>
      <c r="J598" s="642" t="str">
        <f t="shared" si="330"/>
        <v/>
      </c>
      <c r="K598" s="642" t="str">
        <f t="shared" si="331"/>
        <v/>
      </c>
      <c r="L598" s="642" t="str">
        <f t="shared" si="332"/>
        <v/>
      </c>
      <c r="M598" s="1395"/>
      <c r="N598" s="116"/>
      <c r="O598" s="116"/>
      <c r="P598" s="116"/>
      <c r="Q598" s="116"/>
      <c r="R598" s="116"/>
      <c r="S598" s="132"/>
      <c r="T598" s="142"/>
      <c r="U598" s="115"/>
      <c r="AD598" s="561" t="str">
        <f t="shared" si="342"/>
        <v/>
      </c>
      <c r="AE598" s="561" t="str">
        <f t="shared" si="342"/>
        <v>n.a.</v>
      </c>
      <c r="AF598" s="561" t="str">
        <f t="shared" si="342"/>
        <v>n.a.</v>
      </c>
      <c r="AG598" s="561" t="str">
        <f t="shared" si="342"/>
        <v>n.a.</v>
      </c>
      <c r="AH598" s="561" t="b">
        <f t="shared" si="342"/>
        <v>0</v>
      </c>
      <c r="AI598" s="561" t="b">
        <f t="shared" si="342"/>
        <v>0</v>
      </c>
      <c r="AJ598" s="582" t="str">
        <f t="shared" si="340"/>
        <v/>
      </c>
      <c r="AK598" s="582" t="str">
        <f t="shared" si="341"/>
        <v/>
      </c>
      <c r="AL598" s="582" t="str">
        <f t="shared" si="336"/>
        <v/>
      </c>
    </row>
    <row r="599" spans="1:38" ht="12.75" customHeight="1" x14ac:dyDescent="0.25">
      <c r="B599" s="132"/>
      <c r="C599" s="132"/>
      <c r="D599" s="1388"/>
      <c r="E599" s="43"/>
      <c r="F599" s="47"/>
      <c r="G599" s="50"/>
      <c r="H599" s="50"/>
      <c r="I599" s="48"/>
      <c r="J599" s="642" t="str">
        <f t="shared" si="330"/>
        <v/>
      </c>
      <c r="K599" s="642" t="str">
        <f t="shared" si="331"/>
        <v/>
      </c>
      <c r="L599" s="642" t="str">
        <f t="shared" si="332"/>
        <v/>
      </c>
      <c r="M599" s="1395"/>
      <c r="N599" s="116"/>
      <c r="O599" s="116"/>
      <c r="P599" s="116"/>
      <c r="Q599" s="116"/>
      <c r="R599" s="116"/>
      <c r="S599" s="132"/>
      <c r="T599" s="142"/>
      <c r="U599" s="115"/>
      <c r="AD599" s="561" t="str">
        <f t="shared" si="342"/>
        <v/>
      </c>
      <c r="AE599" s="561" t="str">
        <f t="shared" si="342"/>
        <v>n.a.</v>
      </c>
      <c r="AF599" s="561" t="str">
        <f t="shared" si="342"/>
        <v>n.a.</v>
      </c>
      <c r="AG599" s="561" t="str">
        <f t="shared" si="342"/>
        <v>n.a.</v>
      </c>
      <c r="AH599" s="561" t="b">
        <f t="shared" si="342"/>
        <v>0</v>
      </c>
      <c r="AI599" s="561" t="b">
        <f t="shared" si="342"/>
        <v>0</v>
      </c>
      <c r="AJ599" s="582" t="str">
        <f t="shared" si="340"/>
        <v/>
      </c>
      <c r="AK599" s="582" t="str">
        <f t="shared" si="341"/>
        <v/>
      </c>
      <c r="AL599" s="582" t="str">
        <f t="shared" si="336"/>
        <v/>
      </c>
    </row>
    <row r="600" spans="1:38" ht="12.75" customHeight="1" x14ac:dyDescent="0.25">
      <c r="B600" s="132"/>
      <c r="C600" s="132"/>
      <c r="D600" s="1388"/>
      <c r="E600" s="44"/>
      <c r="F600" s="51"/>
      <c r="G600" s="52"/>
      <c r="H600" s="52"/>
      <c r="I600" s="53"/>
      <c r="J600" s="657" t="str">
        <f t="shared" si="330"/>
        <v/>
      </c>
      <c r="K600" s="657" t="str">
        <f t="shared" si="331"/>
        <v/>
      </c>
      <c r="L600" s="657" t="str">
        <f t="shared" si="332"/>
        <v/>
      </c>
      <c r="M600" s="1395"/>
      <c r="N600" s="116"/>
      <c r="O600" s="116"/>
      <c r="P600" s="116"/>
      <c r="Q600" s="116"/>
      <c r="R600" s="116"/>
      <c r="S600" s="132"/>
      <c r="T600" s="142"/>
      <c r="U600" s="115"/>
      <c r="AD600" s="561" t="str">
        <f t="shared" si="342"/>
        <v/>
      </c>
      <c r="AE600" s="561" t="str">
        <f t="shared" si="342"/>
        <v>n.a.</v>
      </c>
      <c r="AF600" s="561" t="str">
        <f t="shared" si="342"/>
        <v>n.a.</v>
      </c>
      <c r="AG600" s="561" t="str">
        <f t="shared" si="342"/>
        <v>n.a.</v>
      </c>
      <c r="AH600" s="561" t="b">
        <f t="shared" si="342"/>
        <v>0</v>
      </c>
      <c r="AI600" s="561" t="b">
        <f t="shared" si="342"/>
        <v>0</v>
      </c>
      <c r="AJ600" s="582" t="str">
        <f t="shared" si="340"/>
        <v/>
      </c>
      <c r="AK600" s="582" t="str">
        <f t="shared" si="341"/>
        <v/>
      </c>
      <c r="AL600" s="582" t="str">
        <f t="shared" si="336"/>
        <v/>
      </c>
    </row>
    <row r="601" spans="1:38" ht="12.75" customHeight="1" x14ac:dyDescent="0.25">
      <c r="B601" s="132"/>
      <c r="C601" s="132"/>
      <c r="D601" s="132"/>
      <c r="E601" s="658" t="str">
        <f>Translations!$B$645</f>
        <v>TOTALS</v>
      </c>
      <c r="F601" s="659" t="str">
        <f>IF(SUM(F586:F600)=0,"",SUM(F586:F600))</f>
        <v/>
      </c>
      <c r="G601" s="660" t="str">
        <f>IF(SUM(F601)=0,"",J601/F601)</f>
        <v/>
      </c>
      <c r="H601" s="660" t="str">
        <f>IF(SUM(J601)=0,"",SUM(K601:L601)/IF(AF586&lt;&gt;EUconst_NA,F601,J601)/IF(AG586=EUconst_NA,1,AG586))</f>
        <v/>
      </c>
      <c r="I601" s="661" t="str">
        <f>IF(SUM(K601:L601)=0,"",L601/SUM(K601:L601))</f>
        <v/>
      </c>
      <c r="J601" s="659" t="str">
        <f>IF(COUNTA(E586:E600)=0,"",IFERROR(SUM(J586:J600),EUconst_ERR_Inconsistent))</f>
        <v/>
      </c>
      <c r="K601" s="659" t="str">
        <f>IF(COUNTA(E586:E600)=0,"",IFERROR(SUM(K586:K600),EUconst_ERR_Inconsistent))</f>
        <v/>
      </c>
      <c r="L601" s="659" t="str">
        <f>IF(COUNTA(E586:E600)=0,"",IFERROR(SUM(L586:L600),EUconst_ERR_Inconsistent))</f>
        <v/>
      </c>
      <c r="M601" s="1395"/>
      <c r="N601" s="116"/>
      <c r="O601" s="116"/>
      <c r="P601" s="116"/>
      <c r="Q601" s="116"/>
      <c r="R601" s="116"/>
      <c r="S601" s="132"/>
      <c r="T601" s="142"/>
      <c r="U601" s="115"/>
    </row>
    <row r="602" spans="1:38" ht="12.75" customHeight="1" x14ac:dyDescent="0.25">
      <c r="B602" s="132"/>
      <c r="C602" s="132"/>
      <c r="D602" s="132"/>
      <c r="E602" s="191"/>
      <c r="F602" s="116"/>
      <c r="G602" s="116"/>
      <c r="H602" s="116"/>
      <c r="I602" s="116"/>
      <c r="J602" s="116"/>
      <c r="K602" s="116"/>
      <c r="L602" s="116"/>
      <c r="M602" s="116"/>
      <c r="N602" s="116"/>
      <c r="O602" s="116"/>
      <c r="P602" s="116"/>
      <c r="Q602" s="116"/>
      <c r="R602" s="116"/>
      <c r="S602" s="132"/>
      <c r="T602" s="142"/>
      <c r="U602" s="115"/>
    </row>
    <row r="603" spans="1:38" s="69" customFormat="1" ht="18.75" customHeight="1" x14ac:dyDescent="0.25">
      <c r="A603" s="167">
        <f>C603</f>
        <v>26</v>
      </c>
      <c r="B603" s="76"/>
      <c r="C603" s="216">
        <f>C580+1</f>
        <v>26</v>
      </c>
      <c r="D603" s="1195" t="str">
        <f>"Tool " &amp;C603-2</f>
        <v>Tool 24</v>
      </c>
      <c r="E603" s="1195"/>
      <c r="F603" s="1195"/>
      <c r="G603" s="1195"/>
      <c r="H603" s="1195"/>
      <c r="I603" s="1195"/>
      <c r="J603" s="1195"/>
      <c r="K603" s="1195"/>
      <c r="L603" s="1195"/>
      <c r="M603" s="1195"/>
      <c r="N603" s="1195"/>
      <c r="O603" s="1195"/>
      <c r="P603" s="1195"/>
      <c r="Q603" s="1195"/>
      <c r="R603" s="1195"/>
      <c r="S603" s="1195"/>
      <c r="T603" s="142"/>
      <c r="U603" s="115"/>
      <c r="V603" s="464" t="str">
        <f>D603</f>
        <v>Tool 24</v>
      </c>
      <c r="W603" s="110"/>
      <c r="X603" s="110"/>
      <c r="Y603" s="110"/>
      <c r="Z603" s="110"/>
      <c r="AA603" s="109"/>
      <c r="AB603" s="109"/>
      <c r="AC603" s="109"/>
      <c r="AD603" s="109"/>
      <c r="AE603" s="109"/>
      <c r="AF603" s="109"/>
      <c r="AG603" s="109"/>
      <c r="AH603" s="109"/>
      <c r="AI603" s="109"/>
      <c r="AJ603" s="109"/>
      <c r="AK603" s="109"/>
      <c r="AL603" s="109"/>
    </row>
    <row r="604" spans="1:38" ht="12.75" customHeight="1" x14ac:dyDescent="0.25">
      <c r="B604" s="132"/>
      <c r="C604" s="132"/>
      <c r="D604" s="132"/>
      <c r="E604" s="191"/>
      <c r="F604" s="116"/>
      <c r="G604" s="116"/>
      <c r="H604" s="116"/>
      <c r="I604" s="116"/>
      <c r="J604" s="116"/>
      <c r="K604" s="116"/>
      <c r="L604" s="116"/>
      <c r="M604" s="116"/>
      <c r="N604" s="116"/>
      <c r="O604" s="116"/>
      <c r="P604" s="116"/>
      <c r="Q604" s="116"/>
      <c r="R604" s="116"/>
      <c r="S604" s="132"/>
      <c r="T604" s="142"/>
      <c r="U604" s="115"/>
    </row>
    <row r="605" spans="1:38" ht="12.75" customHeight="1" x14ac:dyDescent="0.25">
      <c r="B605" s="132"/>
      <c r="C605" s="132"/>
      <c r="D605" s="1377" t="str">
        <f>Translations!$B$631</f>
        <v>Component</v>
      </c>
      <c r="E605" s="1378"/>
      <c r="F605" s="633">
        <v>1</v>
      </c>
      <c r="G605" s="633">
        <v>2</v>
      </c>
      <c r="H605" s="633">
        <v>3</v>
      </c>
      <c r="I605" s="633">
        <v>4</v>
      </c>
      <c r="J605" s="633">
        <v>5</v>
      </c>
      <c r="K605" s="633">
        <v>6</v>
      </c>
      <c r="L605" s="633">
        <v>7</v>
      </c>
      <c r="M605" s="116"/>
      <c r="N605" s="116"/>
      <c r="O605" s="116"/>
      <c r="P605" s="116"/>
      <c r="Q605" s="116"/>
      <c r="R605" s="116"/>
      <c r="S605" s="132"/>
      <c r="T605" s="142"/>
      <c r="U605" s="115"/>
      <c r="V605" s="566" t="str">
        <f>Translations!$B$498</f>
        <v>Units:</v>
      </c>
      <c r="W605" s="561" t="str" cm="1">
        <f t="array" ref="W605">IFERROR(INDEX(_xlfn._xlws.FILTER(W609:W618,(W609:W618)&lt;&gt;"",""),1),W606)</f>
        <v/>
      </c>
      <c r="X605" s="561" t="str" cm="1">
        <f t="array" ref="X605">IFERROR(INDEX(_xlfn._xlws.FILTER(X609:X618,(X609:X618)&lt;&gt;"",""),1),X606)</f>
        <v/>
      </c>
      <c r="Y605" s="567"/>
      <c r="Z605" s="561" t="str" cm="1">
        <f t="array" ref="Z605">IFERROR(INDEX(_xlfn._xlws.FILTER(Z609:Z618,(Z609:Z618)&lt;&gt;"",""),1),Z606)</f>
        <v/>
      </c>
      <c r="AA605" s="567"/>
    </row>
    <row r="606" spans="1:38" ht="12.75" customHeight="1" x14ac:dyDescent="0.25">
      <c r="B606" s="132"/>
      <c r="C606" s="132"/>
      <c r="D606" s="1379"/>
      <c r="E606" s="1380"/>
      <c r="F606" s="1383" t="str">
        <f>Translations!$B$377</f>
        <v>RFA</v>
      </c>
      <c r="G606" s="1383" t="str">
        <f>Translations!$B$386</f>
        <v>UCF</v>
      </c>
      <c r="H606" s="1383" t="str">
        <f>Translations!$B$383</f>
        <v>EF</v>
      </c>
      <c r="I606" s="1383" t="str">
        <f>Translations!$B$632</f>
        <v>Zero-rated F</v>
      </c>
      <c r="J606" s="1385" t="str">
        <f>Translations!$B$652</f>
        <v>Energy or other</v>
      </c>
      <c r="K606" s="1385" t="str">
        <f>Translations!$B$522</f>
        <v>Emissions (fossil)</v>
      </c>
      <c r="L606" s="1385" t="str">
        <f>Translations!$B$634</f>
        <v>Emissions (bio)</v>
      </c>
      <c r="M606" s="116"/>
      <c r="N606" s="116"/>
      <c r="O606" s="116"/>
      <c r="P606" s="116"/>
      <c r="Q606" s="116"/>
      <c r="R606" s="116"/>
      <c r="S606" s="132"/>
      <c r="T606" s="142"/>
      <c r="U606" s="115"/>
      <c r="W606" s="561" t="str">
        <f t="array" ref="W606">IFERROR(INDEX(W609:W618,MATCH(TRUE,(W609:W618)&lt;&gt;"",0)),"")</f>
        <v/>
      </c>
      <c r="X606" s="561" t="str">
        <f t="array" ref="X606">IFERROR(INDEX(X609:X618,MATCH(TRUE,(X609:X618)&lt;&gt;"",0)),"")</f>
        <v/>
      </c>
      <c r="Y606" s="567"/>
      <c r="Z606" s="561" t="str">
        <f t="array" ref="Z606">IFERROR(INDEX(Z609:Z618,MATCH(TRUE,(Z609:Z618)&lt;&gt;"",0)),"")</f>
        <v/>
      </c>
      <c r="AA606" s="567"/>
    </row>
    <row r="607" spans="1:38" ht="12.75" customHeight="1" x14ac:dyDescent="0.3">
      <c r="B607" s="132"/>
      <c r="C607" s="132"/>
      <c r="D607" s="1379"/>
      <c r="E607" s="1380"/>
      <c r="F607" s="1384"/>
      <c r="G607" s="1384"/>
      <c r="H607" s="1384"/>
      <c r="I607" s="1384"/>
      <c r="J607" s="1386"/>
      <c r="K607" s="1386"/>
      <c r="L607" s="1386"/>
      <c r="M607" s="116"/>
      <c r="N607" s="634" t="str">
        <f>Translations!$B$635</f>
        <v>Result to be entered in sheet C</v>
      </c>
      <c r="O607" s="116"/>
      <c r="P607" s="116"/>
      <c r="Q607" s="116"/>
      <c r="R607" s="116"/>
      <c r="S607" s="132"/>
      <c r="T607" s="142"/>
      <c r="U607" s="115"/>
      <c r="W607" s="569" t="str">
        <f>Translations!$B$377</f>
        <v>RFA</v>
      </c>
      <c r="X607" s="569" t="str">
        <f>Translations!$B$386</f>
        <v>UCF</v>
      </c>
      <c r="Y607" s="569"/>
      <c r="Z607" s="569" t="str">
        <f>Translations!$B$383</f>
        <v>EF</v>
      </c>
      <c r="AA607" s="569"/>
      <c r="AB607" s="570"/>
      <c r="AC607" s="570"/>
      <c r="AH607" s="570"/>
      <c r="AI607" s="570"/>
      <c r="AJ607" s="570"/>
    </row>
    <row r="608" spans="1:38" ht="12.75" customHeight="1" x14ac:dyDescent="0.3">
      <c r="B608" s="132"/>
      <c r="C608" s="132"/>
      <c r="D608" s="1381"/>
      <c r="E608" s="1382"/>
      <c r="F608" s="635" t="str">
        <f>IF(COUNTA($E609:$E623)=0,"",$W605)</f>
        <v/>
      </c>
      <c r="G608" s="635" t="str">
        <f>IF(COUNTA($E609:$E623)=0,"",$X605)</f>
        <v/>
      </c>
      <c r="H608" s="635" t="str">
        <f>IF(COUNTA($E609:$E623)=0,"",$Z605)</f>
        <v/>
      </c>
      <c r="I608" s="636" t="s">
        <v>46</v>
      </c>
      <c r="J608" s="635" t="str">
        <f>IF(AE609=EUconst_NA,EUconst_GJ,AE609)</f>
        <v>GJ</v>
      </c>
      <c r="K608" s="637" t="s">
        <v>188</v>
      </c>
      <c r="L608" s="637" t="s">
        <v>188</v>
      </c>
      <c r="M608" s="116"/>
      <c r="N608" s="1387" t="str">
        <f>Translations!$B$636</f>
        <v>The results of this tool are the relevant (weighted average) values below. Each value has to be entered manually in sheet C for the respective fuel stream. Select fuel stream below for comparison.</v>
      </c>
      <c r="O608" s="1387"/>
      <c r="P608" s="1387"/>
      <c r="Q608" s="1387"/>
      <c r="R608" s="1387"/>
      <c r="S608" s="1387"/>
      <c r="T608" s="142"/>
      <c r="U608" s="115"/>
      <c r="W608" s="569" t="str">
        <f>EUconst_CNTR_ActivityData&amp;EUconst_Unit</f>
        <v>ActivityData_Unit</v>
      </c>
      <c r="X608" s="569" t="str">
        <f>EUconst_CNTR_UCF&amp;EUconst_Unit</f>
        <v>UCF_Unit</v>
      </c>
      <c r="Y608" s="569" t="str">
        <f>EUconst_CNTR_UCF&amp;EUconst_Value</f>
        <v>UCF_Value</v>
      </c>
      <c r="Z608" s="569" t="str">
        <f>EUconst_CNTR_EF&amp;EUconst_Unit</f>
        <v>EF_Unit</v>
      </c>
      <c r="AA608" s="569" t="str">
        <f>EUconst_CNTR_EF&amp;EUconst_Value</f>
        <v>EF_Value</v>
      </c>
      <c r="AB608" s="569" t="s">
        <v>189</v>
      </c>
      <c r="AC608" s="575"/>
      <c r="AD608" s="576" t="s">
        <v>147</v>
      </c>
      <c r="AE608" s="576" t="s">
        <v>151</v>
      </c>
      <c r="AF608" s="576" t="s">
        <v>153</v>
      </c>
      <c r="AG608" s="576" t="s">
        <v>155</v>
      </c>
      <c r="AH608" s="575"/>
      <c r="AI608" s="575"/>
      <c r="AJ608" s="575" t="s">
        <v>190</v>
      </c>
      <c r="AK608" s="575" t="s">
        <v>191</v>
      </c>
      <c r="AL608" s="575" t="s">
        <v>192</v>
      </c>
    </row>
    <row r="609" spans="2:38" ht="12.75" customHeight="1" x14ac:dyDescent="0.25">
      <c r="B609" s="132"/>
      <c r="C609" s="132"/>
      <c r="D609" s="1388" t="str">
        <f>Translations!$B$637</f>
        <v>Default compontents provided by the CA</v>
      </c>
      <c r="E609" s="42"/>
      <c r="F609" s="45"/>
      <c r="G609" s="639" t="str">
        <f>IF($E609="","",Y609)</f>
        <v/>
      </c>
      <c r="H609" s="639" t="str">
        <f>IF($E609="","",AA609)</f>
        <v/>
      </c>
      <c r="I609" s="46"/>
      <c r="J609" s="640" t="str">
        <f t="shared" ref="J609:J623" si="343">IFERROR(IF(E609="","",AL609),EUconst_ERR_Inconsistent)</f>
        <v/>
      </c>
      <c r="K609" s="640" t="str">
        <f t="shared" ref="K609:K623" si="344">IFERROR(IF(E609="","",AJ609),EUconst_ERR_Inconsistent)</f>
        <v/>
      </c>
      <c r="L609" s="640" t="str">
        <f t="shared" ref="L609:L623" si="345">IFERROR(IF(E609="","",AK609),EUconst_ERR_Inconsistent)</f>
        <v/>
      </c>
      <c r="M609" s="1389"/>
      <c r="N609" s="1387"/>
      <c r="O609" s="1387"/>
      <c r="P609" s="1387"/>
      <c r="Q609" s="1387"/>
      <c r="R609" s="1387"/>
      <c r="S609" s="1387"/>
      <c r="T609" s="142"/>
      <c r="U609" s="115"/>
      <c r="W609" s="561" t="str">
        <f t="shared" ref="W609:AA618" si="346">IF($E609="","",INDEX(MSPara_CalcFactorsMatrix,MATCH($E609,MSPara_SourceStreamCategory,0),MATCH(W$20&amp;"_"&amp;2,MSPara_CalcFactors,0)))</f>
        <v/>
      </c>
      <c r="X609" s="561" t="str">
        <f t="shared" si="346"/>
        <v/>
      </c>
      <c r="Y609" s="561" t="str">
        <f t="shared" si="346"/>
        <v/>
      </c>
      <c r="Z609" s="561" t="str">
        <f t="shared" si="346"/>
        <v/>
      </c>
      <c r="AA609" s="561" t="str">
        <f t="shared" si="346"/>
        <v/>
      </c>
      <c r="AB609" s="561" t="str">
        <f>IF(E609="","",OR(W609&lt;&gt;W605,X609&lt;&gt;X605,Z609&lt;&gt;Z605))</f>
        <v/>
      </c>
      <c r="AC609" s="567"/>
      <c r="AD609" s="561" t="str">
        <f>W609</f>
        <v/>
      </c>
      <c r="AE609" s="561" t="str">
        <f>IF(X609="",EUconst_NA,IF(AD609=EUconst_TJ,EUconst_TJ,INDEX(EUwideConstants!$C$135:$G$139,MATCH(AD609,RFAUnits,0),MATCH(X609,UCFUnits,0))))</f>
        <v>n.a.</v>
      </c>
      <c r="AF609" s="561" t="str">
        <f>IF(COUNTIF(RFAUnits,AD609)=0,EUconst_NA,INDEX(EUwideConstants!$C$150:$H$154,MATCH(Z609,EFUnits,0),MATCH(AD609,EUwideConstants!$C$149:$H$149,0)))</f>
        <v>n.a.</v>
      </c>
      <c r="AG609" s="561" t="str">
        <f>IF(AE609=EUconst_NA,EUconst_NA,INDEX(EUwideConstants!$C$150:$H$154,MATCH(Z609,EFUnits,0),MATCH(AE609,EUwideConstants!$C$149:$H$149,0)))</f>
        <v>n.a.</v>
      </c>
      <c r="AH609" s="561" t="b">
        <f t="shared" ref="AH609" si="347">AF609&lt;&gt;EUconst_NA</f>
        <v>0</v>
      </c>
      <c r="AI609" s="561" t="b">
        <f t="shared" ref="AI609" si="348">AG609&lt;&gt;EUconst_NA</f>
        <v>0</v>
      </c>
      <c r="AJ609" s="582" t="str">
        <f>IF(OR(E609="",COUNTIF(AH609:AI609,TRUE)=0),"",F609*IF(AH609,1,G609*AG609)*H609*(1-I609))</f>
        <v/>
      </c>
      <c r="AK609" s="582" t="str">
        <f>IF(OR(E609="",COUNTIF(AH609:AI609,TRUE)=0),"",F609*IF(AH609,1,G609*AG609)*H609*I609)</f>
        <v/>
      </c>
      <c r="AL609" s="582" t="str">
        <f t="shared" ref="AL609:AL623" si="349">IF(E609="","",IF(W609=EUconst_TJ,F609,F609*G609))</f>
        <v/>
      </c>
    </row>
    <row r="610" spans="2:38" ht="12.75" customHeight="1" x14ac:dyDescent="0.25">
      <c r="B610" s="132"/>
      <c r="C610" s="132"/>
      <c r="D610" s="1388"/>
      <c r="E610" s="43"/>
      <c r="F610" s="47"/>
      <c r="G610" s="641" t="str">
        <f t="shared" ref="G610:G618" si="350">IF($E610="","",Y610)</f>
        <v/>
      </c>
      <c r="H610" s="641" t="str">
        <f t="shared" ref="H610:H618" si="351">IF($E610="","",AA610)</f>
        <v/>
      </c>
      <c r="I610" s="48"/>
      <c r="J610" s="642" t="str">
        <f t="shared" si="343"/>
        <v/>
      </c>
      <c r="K610" s="642" t="str">
        <f t="shared" si="344"/>
        <v/>
      </c>
      <c r="L610" s="642" t="str">
        <f t="shared" si="345"/>
        <v/>
      </c>
      <c r="M610" s="1389"/>
      <c r="N610" s="638"/>
      <c r="O610" s="643" t="str">
        <f>Translations!$B$639</f>
        <v>Fuel stream:</v>
      </c>
      <c r="P610" s="1390"/>
      <c r="Q610" s="1391"/>
      <c r="R610" s="1391"/>
      <c r="S610" s="1392"/>
      <c r="T610" s="142"/>
      <c r="U610" s="115"/>
      <c r="W610" s="561" t="str">
        <f t="shared" si="346"/>
        <v/>
      </c>
      <c r="X610" s="561" t="str">
        <f t="shared" si="346"/>
        <v/>
      </c>
      <c r="Y610" s="561" t="str">
        <f t="shared" si="346"/>
        <v/>
      </c>
      <c r="Z610" s="561" t="str">
        <f t="shared" si="346"/>
        <v/>
      </c>
      <c r="AA610" s="561" t="str">
        <f t="shared" si="346"/>
        <v/>
      </c>
      <c r="AB610" s="561" t="str">
        <f>IF(E610="","",OR(W610&lt;&gt;W605,X610&lt;&gt;X605,Z610&lt;&gt;Z605))</f>
        <v/>
      </c>
      <c r="AC610" s="567"/>
      <c r="AD610" s="561" t="str">
        <f>AD609</f>
        <v/>
      </c>
      <c r="AE610" s="561" t="str">
        <f t="shared" ref="AE610:AI610" si="352">AE609</f>
        <v>n.a.</v>
      </c>
      <c r="AF610" s="561" t="str">
        <f t="shared" si="352"/>
        <v>n.a.</v>
      </c>
      <c r="AG610" s="561" t="str">
        <f t="shared" si="352"/>
        <v>n.a.</v>
      </c>
      <c r="AH610" s="561" t="b">
        <f t="shared" si="352"/>
        <v>0</v>
      </c>
      <c r="AI610" s="561" t="b">
        <f t="shared" si="352"/>
        <v>0</v>
      </c>
      <c r="AJ610" s="582" t="str">
        <f t="shared" ref="AJ610:AJ623" si="353">IF(OR(E610="",COUNTIF(AH610:AI610,TRUE)=0),"",F610*IF(AH610,1,G610*AG610)*H610*(1-I610))</f>
        <v/>
      </c>
      <c r="AK610" s="582" t="str">
        <f t="shared" ref="AK610:AK623" si="354">IF(OR(E610="",COUNTIF(AH610:AI610,TRUE)=0),"",F610*IF(AH610,1,G610*AG610)*H610*I610)</f>
        <v/>
      </c>
      <c r="AL610" s="582" t="str">
        <f t="shared" si="349"/>
        <v/>
      </c>
    </row>
    <row r="611" spans="2:38" ht="12.75" customHeight="1" x14ac:dyDescent="0.25">
      <c r="B611" s="132"/>
      <c r="C611" s="132"/>
      <c r="D611" s="1388"/>
      <c r="E611" s="43"/>
      <c r="F611" s="47"/>
      <c r="G611" s="641" t="str">
        <f t="shared" si="350"/>
        <v/>
      </c>
      <c r="H611" s="641" t="str">
        <f t="shared" si="351"/>
        <v/>
      </c>
      <c r="I611" s="48"/>
      <c r="J611" s="642" t="str">
        <f t="shared" si="343"/>
        <v/>
      </c>
      <c r="K611" s="642" t="str">
        <f t="shared" si="344"/>
        <v/>
      </c>
      <c r="L611" s="642" t="str">
        <f t="shared" si="345"/>
        <v/>
      </c>
      <c r="M611" s="1389"/>
      <c r="N611" s="116"/>
      <c r="O611" s="116"/>
      <c r="P611" s="116"/>
      <c r="Q611" s="116"/>
      <c r="R611" s="116"/>
      <c r="S611" s="132"/>
      <c r="T611" s="142"/>
      <c r="U611" s="115"/>
      <c r="W611" s="561" t="str">
        <f t="shared" si="346"/>
        <v/>
      </c>
      <c r="X611" s="561" t="str">
        <f t="shared" si="346"/>
        <v/>
      </c>
      <c r="Y611" s="561" t="str">
        <f t="shared" si="346"/>
        <v/>
      </c>
      <c r="Z611" s="561" t="str">
        <f t="shared" si="346"/>
        <v/>
      </c>
      <c r="AA611" s="561" t="str">
        <f t="shared" si="346"/>
        <v/>
      </c>
      <c r="AB611" s="561" t="str">
        <f>IF(E611="","",OR(W611&lt;&gt;W605,X611&lt;&gt;X605,Z611&lt;&gt;Z605))</f>
        <v/>
      </c>
      <c r="AC611" s="567"/>
      <c r="AD611" s="561" t="str">
        <f t="shared" ref="AD611:AI623" si="355">AD610</f>
        <v/>
      </c>
      <c r="AE611" s="561" t="str">
        <f t="shared" si="355"/>
        <v>n.a.</v>
      </c>
      <c r="AF611" s="561" t="str">
        <f t="shared" si="355"/>
        <v>n.a.</v>
      </c>
      <c r="AG611" s="561" t="str">
        <f t="shared" si="355"/>
        <v>n.a.</v>
      </c>
      <c r="AH611" s="561" t="b">
        <f t="shared" si="355"/>
        <v>0</v>
      </c>
      <c r="AI611" s="561" t="b">
        <f t="shared" si="355"/>
        <v>0</v>
      </c>
      <c r="AJ611" s="582" t="str">
        <f t="shared" si="353"/>
        <v/>
      </c>
      <c r="AK611" s="582" t="str">
        <f t="shared" si="354"/>
        <v/>
      </c>
      <c r="AL611" s="582" t="str">
        <f t="shared" si="349"/>
        <v/>
      </c>
    </row>
    <row r="612" spans="2:38" ht="12.75" customHeight="1" thickBot="1" x14ac:dyDescent="0.35">
      <c r="B612" s="132"/>
      <c r="C612" s="132"/>
      <c r="D612" s="1388"/>
      <c r="E612" s="43"/>
      <c r="F612" s="47"/>
      <c r="G612" s="641" t="str">
        <f t="shared" si="350"/>
        <v/>
      </c>
      <c r="H612" s="641" t="str">
        <f t="shared" si="351"/>
        <v/>
      </c>
      <c r="I612" s="48"/>
      <c r="J612" s="642" t="str">
        <f t="shared" si="343"/>
        <v/>
      </c>
      <c r="K612" s="642" t="str">
        <f t="shared" si="344"/>
        <v/>
      </c>
      <c r="L612" s="642" t="str">
        <f t="shared" si="345"/>
        <v/>
      </c>
      <c r="M612" s="1389"/>
      <c r="N612" s="1255" t="str">
        <f>Translations!$B$394</f>
        <v>Unit</v>
      </c>
      <c r="O612" s="1255"/>
      <c r="P612" s="1255" t="str">
        <f>Translations!$B$395</f>
        <v>Value</v>
      </c>
      <c r="Q612" s="1255"/>
      <c r="R612" s="116"/>
      <c r="S612" s="644" t="str">
        <f>Translations!$B$642</f>
        <v>Sheet C values</v>
      </c>
      <c r="T612" s="142"/>
      <c r="U612" s="115"/>
      <c r="W612" s="561" t="str">
        <f t="shared" si="346"/>
        <v/>
      </c>
      <c r="X612" s="561" t="str">
        <f t="shared" si="346"/>
        <v/>
      </c>
      <c r="Y612" s="561" t="str">
        <f t="shared" si="346"/>
        <v/>
      </c>
      <c r="Z612" s="561" t="str">
        <f t="shared" si="346"/>
        <v/>
      </c>
      <c r="AA612" s="561" t="str">
        <f t="shared" si="346"/>
        <v/>
      </c>
      <c r="AB612" s="561" t="str">
        <f>IF(E612="","",OR(W612&lt;&gt;W605,X612&lt;&gt;X605,Z612&lt;&gt;Z605))</f>
        <v/>
      </c>
      <c r="AC612" s="567"/>
      <c r="AD612" s="561" t="str">
        <f t="shared" si="355"/>
        <v/>
      </c>
      <c r="AE612" s="561" t="str">
        <f t="shared" si="355"/>
        <v>n.a.</v>
      </c>
      <c r="AF612" s="561" t="str">
        <f t="shared" si="355"/>
        <v>n.a.</v>
      </c>
      <c r="AG612" s="561" t="str">
        <f t="shared" si="355"/>
        <v>n.a.</v>
      </c>
      <c r="AH612" s="561" t="b">
        <f t="shared" si="355"/>
        <v>0</v>
      </c>
      <c r="AI612" s="561" t="b">
        <f t="shared" si="355"/>
        <v>0</v>
      </c>
      <c r="AJ612" s="582" t="str">
        <f t="shared" si="353"/>
        <v/>
      </c>
      <c r="AK612" s="582" t="str">
        <f t="shared" si="354"/>
        <v/>
      </c>
      <c r="AL612" s="582" t="str">
        <f t="shared" si="349"/>
        <v/>
      </c>
    </row>
    <row r="613" spans="2:38" ht="12.75" customHeight="1" thickBot="1" x14ac:dyDescent="0.3">
      <c r="B613" s="132"/>
      <c r="C613" s="132"/>
      <c r="D613" s="1388"/>
      <c r="E613" s="43"/>
      <c r="F613" s="47"/>
      <c r="G613" s="641" t="str">
        <f t="shared" si="350"/>
        <v/>
      </c>
      <c r="H613" s="641" t="str">
        <f t="shared" si="351"/>
        <v/>
      </c>
      <c r="I613" s="48"/>
      <c r="J613" s="642" t="str">
        <f t="shared" si="343"/>
        <v/>
      </c>
      <c r="K613" s="642" t="str">
        <f t="shared" si="344"/>
        <v/>
      </c>
      <c r="L613" s="642" t="str">
        <f t="shared" si="345"/>
        <v/>
      </c>
      <c r="M613" s="116"/>
      <c r="N613" s="346" t="str">
        <f>F608</f>
        <v/>
      </c>
      <c r="O613" s="7"/>
      <c r="P613" s="1393" t="str">
        <f>IF(F624="","",F624)</f>
        <v/>
      </c>
      <c r="Q613" s="1394"/>
      <c r="R613" s="116"/>
      <c r="S613" s="645" t="str">
        <f>IF(P610="","",SUMIFS(C_FuelStreams!BK:BK,C_FuelStreams!BI:BI,P610))</f>
        <v/>
      </c>
      <c r="T613" s="142"/>
      <c r="U613" s="115"/>
      <c r="W613" s="561" t="str">
        <f t="shared" si="346"/>
        <v/>
      </c>
      <c r="X613" s="561" t="str">
        <f t="shared" si="346"/>
        <v/>
      </c>
      <c r="Y613" s="561" t="str">
        <f t="shared" si="346"/>
        <v/>
      </c>
      <c r="Z613" s="561" t="str">
        <f t="shared" si="346"/>
        <v/>
      </c>
      <c r="AA613" s="561" t="str">
        <f t="shared" si="346"/>
        <v/>
      </c>
      <c r="AB613" s="561" t="str">
        <f>IF(E613="","",OR(W613&lt;&gt;W605,X613&lt;&gt;X605,Z613&lt;&gt;Z605))</f>
        <v/>
      </c>
      <c r="AC613" s="567"/>
      <c r="AD613" s="561" t="str">
        <f t="shared" si="355"/>
        <v/>
      </c>
      <c r="AE613" s="561" t="str">
        <f t="shared" si="355"/>
        <v>n.a.</v>
      </c>
      <c r="AF613" s="561" t="str">
        <f t="shared" si="355"/>
        <v>n.a.</v>
      </c>
      <c r="AG613" s="561" t="str">
        <f t="shared" si="355"/>
        <v>n.a.</v>
      </c>
      <c r="AH613" s="561" t="b">
        <f t="shared" si="355"/>
        <v>0</v>
      </c>
      <c r="AI613" s="561" t="b">
        <f t="shared" si="355"/>
        <v>0</v>
      </c>
      <c r="AJ613" s="582" t="str">
        <f t="shared" si="353"/>
        <v/>
      </c>
      <c r="AK613" s="582" t="str">
        <f t="shared" si="354"/>
        <v/>
      </c>
      <c r="AL613" s="582" t="str">
        <f t="shared" si="349"/>
        <v/>
      </c>
    </row>
    <row r="614" spans="2:38" ht="12.75" customHeight="1" thickBot="1" x14ac:dyDescent="0.3">
      <c r="B614" s="132"/>
      <c r="C614" s="132"/>
      <c r="D614" s="1388"/>
      <c r="E614" s="43"/>
      <c r="F614" s="47"/>
      <c r="G614" s="641" t="str">
        <f t="shared" si="350"/>
        <v/>
      </c>
      <c r="H614" s="641" t="str">
        <f t="shared" si="351"/>
        <v/>
      </c>
      <c r="I614" s="48"/>
      <c r="J614" s="642" t="str">
        <f t="shared" si="343"/>
        <v/>
      </c>
      <c r="K614" s="642" t="str">
        <f t="shared" si="344"/>
        <v/>
      </c>
      <c r="L614" s="642" t="str">
        <f t="shared" si="345"/>
        <v/>
      </c>
      <c r="M614" s="116"/>
      <c r="N614" s="162"/>
      <c r="O614" s="162"/>
      <c r="P614" s="76"/>
      <c r="Q614" s="76"/>
      <c r="R614" s="116"/>
      <c r="S614" s="996"/>
      <c r="T614" s="142"/>
      <c r="U614" s="115"/>
      <c r="W614" s="561" t="str">
        <f t="shared" si="346"/>
        <v/>
      </c>
      <c r="X614" s="561" t="str">
        <f t="shared" si="346"/>
        <v/>
      </c>
      <c r="Y614" s="561" t="str">
        <f t="shared" si="346"/>
        <v/>
      </c>
      <c r="Z614" s="561" t="str">
        <f t="shared" si="346"/>
        <v/>
      </c>
      <c r="AA614" s="561" t="str">
        <f t="shared" si="346"/>
        <v/>
      </c>
      <c r="AB614" s="561" t="str">
        <f>IF(E614="","",OR(W614&lt;&gt;W605,X614&lt;&gt;X605,Z614&lt;&gt;Z605))</f>
        <v/>
      </c>
      <c r="AC614" s="567"/>
      <c r="AD614" s="561" t="str">
        <f t="shared" si="355"/>
        <v/>
      </c>
      <c r="AE614" s="561" t="str">
        <f t="shared" si="355"/>
        <v>n.a.</v>
      </c>
      <c r="AF614" s="561" t="str">
        <f t="shared" si="355"/>
        <v>n.a.</v>
      </c>
      <c r="AG614" s="561" t="str">
        <f t="shared" si="355"/>
        <v>n.a.</v>
      </c>
      <c r="AH614" s="561" t="b">
        <f t="shared" si="355"/>
        <v>0</v>
      </c>
      <c r="AI614" s="561" t="b">
        <f t="shared" si="355"/>
        <v>0</v>
      </c>
      <c r="AJ614" s="582" t="str">
        <f t="shared" si="353"/>
        <v/>
      </c>
      <c r="AK614" s="582" t="str">
        <f t="shared" si="354"/>
        <v/>
      </c>
      <c r="AL614" s="582" t="str">
        <f t="shared" si="349"/>
        <v/>
      </c>
    </row>
    <row r="615" spans="2:38" ht="12.75" customHeight="1" x14ac:dyDescent="0.25">
      <c r="B615" s="132"/>
      <c r="C615" s="132"/>
      <c r="D615" s="1388"/>
      <c r="E615" s="43"/>
      <c r="F615" s="47"/>
      <c r="G615" s="641" t="str">
        <f t="shared" si="350"/>
        <v/>
      </c>
      <c r="H615" s="641" t="str">
        <f t="shared" si="351"/>
        <v/>
      </c>
      <c r="I615" s="48"/>
      <c r="J615" s="642" t="str">
        <f t="shared" si="343"/>
        <v/>
      </c>
      <c r="K615" s="642" t="str">
        <f t="shared" si="344"/>
        <v/>
      </c>
      <c r="L615" s="642" t="str">
        <f t="shared" si="345"/>
        <v/>
      </c>
      <c r="M615" s="116"/>
      <c r="N615" s="365" t="str">
        <f>G608</f>
        <v/>
      </c>
      <c r="O615" s="11"/>
      <c r="P615" s="366"/>
      <c r="Q615" s="646" t="str">
        <f>IF(G624="","",G624)</f>
        <v/>
      </c>
      <c r="R615" s="116"/>
      <c r="S615" s="647" t="str">
        <f>IF(P610="","",SUMIFS(C_FuelStreams!BU:BU,C_FuelStreams!BI:BI,P610))</f>
        <v/>
      </c>
      <c r="T615" s="142"/>
      <c r="U615" s="115"/>
      <c r="W615" s="561" t="str">
        <f t="shared" si="346"/>
        <v/>
      </c>
      <c r="X615" s="561" t="str">
        <f t="shared" si="346"/>
        <v/>
      </c>
      <c r="Y615" s="561" t="str">
        <f t="shared" si="346"/>
        <v/>
      </c>
      <c r="Z615" s="561" t="str">
        <f t="shared" si="346"/>
        <v/>
      </c>
      <c r="AA615" s="561" t="str">
        <f t="shared" si="346"/>
        <v/>
      </c>
      <c r="AB615" s="561" t="str">
        <f>IF(E615="","",OR(W615&lt;&gt;W605,X615&lt;&gt;X605,Z615&lt;&gt;Z605))</f>
        <v/>
      </c>
      <c r="AC615" s="567"/>
      <c r="AD615" s="561" t="str">
        <f t="shared" si="355"/>
        <v/>
      </c>
      <c r="AE615" s="561" t="str">
        <f t="shared" si="355"/>
        <v>n.a.</v>
      </c>
      <c r="AF615" s="561" t="str">
        <f t="shared" si="355"/>
        <v>n.a.</v>
      </c>
      <c r="AG615" s="561" t="str">
        <f t="shared" si="355"/>
        <v>n.a.</v>
      </c>
      <c r="AH615" s="561" t="b">
        <f t="shared" si="355"/>
        <v>0</v>
      </c>
      <c r="AI615" s="561" t="b">
        <f t="shared" si="355"/>
        <v>0</v>
      </c>
      <c r="AJ615" s="582" t="str">
        <f t="shared" si="353"/>
        <v/>
      </c>
      <c r="AK615" s="582" t="str">
        <f t="shared" si="354"/>
        <v/>
      </c>
      <c r="AL615" s="582" t="str">
        <f t="shared" si="349"/>
        <v/>
      </c>
    </row>
    <row r="616" spans="2:38" ht="12.75" customHeight="1" thickBot="1" x14ac:dyDescent="0.3">
      <c r="B616" s="132"/>
      <c r="C616" s="132"/>
      <c r="D616" s="1388"/>
      <c r="E616" s="43"/>
      <c r="F616" s="47"/>
      <c r="G616" s="641" t="str">
        <f t="shared" si="350"/>
        <v/>
      </c>
      <c r="H616" s="641" t="str">
        <f t="shared" si="351"/>
        <v/>
      </c>
      <c r="I616" s="48"/>
      <c r="J616" s="642" t="str">
        <f t="shared" si="343"/>
        <v/>
      </c>
      <c r="K616" s="642" t="str">
        <f t="shared" si="344"/>
        <v/>
      </c>
      <c r="L616" s="642" t="str">
        <f t="shared" si="345"/>
        <v/>
      </c>
      <c r="M616" s="116"/>
      <c r="N616" s="648" t="str">
        <f>H608</f>
        <v/>
      </c>
      <c r="O616" s="22"/>
      <c r="P616" s="649"/>
      <c r="Q616" s="650" t="str">
        <f>IF(H624="","",H624)</f>
        <v/>
      </c>
      <c r="R616" s="116"/>
      <c r="S616" s="651" t="str">
        <f>IF(P610="","",SUMIFS(C_FuelStreams!BR:BR,C_FuelStreams!BI:BI,P610))</f>
        <v/>
      </c>
      <c r="T616" s="142"/>
      <c r="U616" s="115"/>
      <c r="W616" s="561" t="str">
        <f t="shared" si="346"/>
        <v/>
      </c>
      <c r="X616" s="561" t="str">
        <f t="shared" si="346"/>
        <v/>
      </c>
      <c r="Y616" s="561" t="str">
        <f t="shared" si="346"/>
        <v/>
      </c>
      <c r="Z616" s="561" t="str">
        <f t="shared" si="346"/>
        <v/>
      </c>
      <c r="AA616" s="561" t="str">
        <f t="shared" si="346"/>
        <v/>
      </c>
      <c r="AB616" s="561" t="str">
        <f>IF(E616="","",OR(W616&lt;&gt;W605,X616&lt;&gt;X605,Z616&lt;&gt;Z605))</f>
        <v/>
      </c>
      <c r="AC616" s="567"/>
      <c r="AD616" s="561" t="str">
        <f t="shared" si="355"/>
        <v/>
      </c>
      <c r="AE616" s="561" t="str">
        <f t="shared" si="355"/>
        <v>n.a.</v>
      </c>
      <c r="AF616" s="561" t="str">
        <f t="shared" si="355"/>
        <v>n.a.</v>
      </c>
      <c r="AG616" s="561" t="str">
        <f t="shared" si="355"/>
        <v>n.a.</v>
      </c>
      <c r="AH616" s="561" t="b">
        <f t="shared" si="355"/>
        <v>0</v>
      </c>
      <c r="AI616" s="561" t="b">
        <f t="shared" si="355"/>
        <v>0</v>
      </c>
      <c r="AJ616" s="582" t="str">
        <f t="shared" si="353"/>
        <v/>
      </c>
      <c r="AK616" s="582" t="str">
        <f t="shared" si="354"/>
        <v/>
      </c>
      <c r="AL616" s="582" t="str">
        <f t="shared" si="349"/>
        <v/>
      </c>
    </row>
    <row r="617" spans="2:38" ht="12.75" customHeight="1" x14ac:dyDescent="0.25">
      <c r="B617" s="132"/>
      <c r="C617" s="132"/>
      <c r="D617" s="1388"/>
      <c r="E617" s="43"/>
      <c r="F617" s="47"/>
      <c r="G617" s="641" t="str">
        <f t="shared" si="350"/>
        <v/>
      </c>
      <c r="H617" s="641" t="str">
        <f t="shared" si="351"/>
        <v/>
      </c>
      <c r="I617" s="48"/>
      <c r="J617" s="642" t="str">
        <f t="shared" si="343"/>
        <v/>
      </c>
      <c r="K617" s="642" t="str">
        <f t="shared" si="344"/>
        <v/>
      </c>
      <c r="L617" s="642" t="str">
        <f t="shared" si="345"/>
        <v/>
      </c>
      <c r="M617" s="116"/>
      <c r="N617" s="652" t="s">
        <v>46</v>
      </c>
      <c r="O617" s="411"/>
      <c r="P617" s="653"/>
      <c r="Q617" s="654" t="str">
        <f>IF(I624="","",I624)</f>
        <v/>
      </c>
      <c r="R617" s="116"/>
      <c r="S617" s="655" t="str">
        <f>IF(P610="","",SUMIFS(C_FuelStreams!BX:BX,C_FuelStreams!BI:BI,P610))</f>
        <v/>
      </c>
      <c r="T617" s="142"/>
      <c r="U617" s="115"/>
      <c r="W617" s="561" t="str">
        <f t="shared" si="346"/>
        <v/>
      </c>
      <c r="X617" s="561" t="str">
        <f t="shared" si="346"/>
        <v/>
      </c>
      <c r="Y617" s="561" t="str">
        <f t="shared" si="346"/>
        <v/>
      </c>
      <c r="Z617" s="561" t="str">
        <f t="shared" si="346"/>
        <v/>
      </c>
      <c r="AA617" s="561" t="str">
        <f t="shared" si="346"/>
        <v/>
      </c>
      <c r="AB617" s="561" t="str">
        <f>IF(E617="","",OR(W617&lt;&gt;W605,X617&lt;&gt;X605,Z617&lt;&gt;Z605))</f>
        <v/>
      </c>
      <c r="AC617" s="567"/>
      <c r="AD617" s="561" t="str">
        <f t="shared" si="355"/>
        <v/>
      </c>
      <c r="AE617" s="561" t="str">
        <f t="shared" si="355"/>
        <v>n.a.</v>
      </c>
      <c r="AF617" s="561" t="str">
        <f t="shared" si="355"/>
        <v>n.a.</v>
      </c>
      <c r="AG617" s="561" t="str">
        <f t="shared" si="355"/>
        <v>n.a.</v>
      </c>
      <c r="AH617" s="561" t="b">
        <f t="shared" si="355"/>
        <v>0</v>
      </c>
      <c r="AI617" s="561" t="b">
        <f t="shared" si="355"/>
        <v>0</v>
      </c>
      <c r="AJ617" s="582" t="str">
        <f t="shared" si="353"/>
        <v/>
      </c>
      <c r="AK617" s="582" t="str">
        <f t="shared" si="354"/>
        <v/>
      </c>
      <c r="AL617" s="582" t="str">
        <f t="shared" si="349"/>
        <v/>
      </c>
    </row>
    <row r="618" spans="2:38" ht="12.75" customHeight="1" x14ac:dyDescent="0.25">
      <c r="B618" s="132"/>
      <c r="C618" s="132"/>
      <c r="D618" s="1388"/>
      <c r="E618" s="43"/>
      <c r="F618" s="47"/>
      <c r="G618" s="641" t="str">
        <f t="shared" si="350"/>
        <v/>
      </c>
      <c r="H618" s="641" t="str">
        <f t="shared" si="351"/>
        <v/>
      </c>
      <c r="I618" s="48"/>
      <c r="J618" s="642" t="str">
        <f t="shared" si="343"/>
        <v/>
      </c>
      <c r="K618" s="642" t="str">
        <f t="shared" si="344"/>
        <v/>
      </c>
      <c r="L618" s="642" t="str">
        <f t="shared" si="345"/>
        <v/>
      </c>
      <c r="M618" s="1395"/>
      <c r="N618" s="116"/>
      <c r="O618" s="116"/>
      <c r="P618" s="116"/>
      <c r="Q618" s="116"/>
      <c r="R618" s="116"/>
      <c r="S618" s="132"/>
      <c r="T618" s="142"/>
      <c r="U618" s="115"/>
      <c r="W618" s="561" t="str">
        <f t="shared" si="346"/>
        <v/>
      </c>
      <c r="X618" s="561" t="str">
        <f t="shared" si="346"/>
        <v/>
      </c>
      <c r="Y618" s="561" t="str">
        <f t="shared" si="346"/>
        <v/>
      </c>
      <c r="Z618" s="561" t="str">
        <f t="shared" si="346"/>
        <v/>
      </c>
      <c r="AA618" s="561" t="str">
        <f t="shared" si="346"/>
        <v/>
      </c>
      <c r="AB618" s="561" t="str">
        <f>IF(E618="","",OR(W618&lt;&gt;W605,X618&lt;&gt;X605,Z618&lt;&gt;Z605))</f>
        <v/>
      </c>
      <c r="AC618" s="567"/>
      <c r="AD618" s="561" t="str">
        <f t="shared" si="355"/>
        <v/>
      </c>
      <c r="AE618" s="561" t="str">
        <f t="shared" si="355"/>
        <v>n.a.</v>
      </c>
      <c r="AF618" s="561" t="str">
        <f t="shared" si="355"/>
        <v>n.a.</v>
      </c>
      <c r="AG618" s="561" t="str">
        <f t="shared" si="355"/>
        <v>n.a.</v>
      </c>
      <c r="AH618" s="561" t="b">
        <f t="shared" si="355"/>
        <v>0</v>
      </c>
      <c r="AI618" s="561" t="b">
        <f t="shared" si="355"/>
        <v>0</v>
      </c>
      <c r="AJ618" s="582" t="str">
        <f t="shared" si="353"/>
        <v/>
      </c>
      <c r="AK618" s="582" t="str">
        <f t="shared" si="354"/>
        <v/>
      </c>
      <c r="AL618" s="582" t="str">
        <f t="shared" si="349"/>
        <v/>
      </c>
    </row>
    <row r="619" spans="2:38" ht="12.75" customHeight="1" x14ac:dyDescent="0.25">
      <c r="B619" s="132"/>
      <c r="C619" s="132"/>
      <c r="D619" s="1388" t="str">
        <f>Translations!$B$643</f>
        <v>Customised components</v>
      </c>
      <c r="E619" s="42"/>
      <c r="F619" s="45"/>
      <c r="G619" s="49"/>
      <c r="H619" s="49"/>
      <c r="I619" s="46"/>
      <c r="J619" s="640" t="str">
        <f t="shared" si="343"/>
        <v/>
      </c>
      <c r="K619" s="640" t="str">
        <f t="shared" si="344"/>
        <v/>
      </c>
      <c r="L619" s="640" t="str">
        <f t="shared" si="345"/>
        <v/>
      </c>
      <c r="M619" s="1395"/>
      <c r="N619" s="116"/>
      <c r="O619" s="116"/>
      <c r="P619" s="656" t="str">
        <f>Translations!$B$644</f>
        <v>CO2 fossil (before scope factor):</v>
      </c>
      <c r="Q619" s="997" t="str">
        <f>IF(K624="","",K624)</f>
        <v/>
      </c>
      <c r="R619" s="656"/>
      <c r="S619" s="997" t="str">
        <f>IF(P610="","",IF(W619=0,0,SUMIFS(C_FuelStreams!CE:CE,C_FuelStreams!BI:BI,P610)/W619))</f>
        <v/>
      </c>
      <c r="T619" s="142"/>
      <c r="U619" s="115"/>
      <c r="V619" s="110" t="str">
        <f>Translations!$B$398</f>
        <v>Scope factor:</v>
      </c>
      <c r="W619" s="617" t="str">
        <f>IF(P610="","",SUMIFS(C_FuelStreams!BP:BP,C_FuelStreams!BI:BI,P610))</f>
        <v/>
      </c>
      <c r="AD619" s="561" t="str">
        <f t="shared" si="355"/>
        <v/>
      </c>
      <c r="AE619" s="561" t="str">
        <f t="shared" si="355"/>
        <v>n.a.</v>
      </c>
      <c r="AF619" s="561" t="str">
        <f t="shared" si="355"/>
        <v>n.a.</v>
      </c>
      <c r="AG619" s="561" t="str">
        <f t="shared" si="355"/>
        <v>n.a.</v>
      </c>
      <c r="AH619" s="561" t="b">
        <f t="shared" si="355"/>
        <v>0</v>
      </c>
      <c r="AI619" s="561" t="b">
        <f t="shared" si="355"/>
        <v>0</v>
      </c>
      <c r="AJ619" s="582" t="str">
        <f t="shared" si="353"/>
        <v/>
      </c>
      <c r="AK619" s="582" t="str">
        <f t="shared" si="354"/>
        <v/>
      </c>
      <c r="AL619" s="582" t="str">
        <f t="shared" si="349"/>
        <v/>
      </c>
    </row>
    <row r="620" spans="2:38" ht="12.75" customHeight="1" x14ac:dyDescent="0.25">
      <c r="B620" s="132"/>
      <c r="C620" s="132"/>
      <c r="D620" s="1388"/>
      <c r="E620" s="43"/>
      <c r="F620" s="47"/>
      <c r="G620" s="50"/>
      <c r="H620" s="50"/>
      <c r="I620" s="48"/>
      <c r="J620" s="642" t="str">
        <f t="shared" si="343"/>
        <v/>
      </c>
      <c r="K620" s="642" t="str">
        <f t="shared" si="344"/>
        <v/>
      </c>
      <c r="L620" s="642" t="str">
        <f t="shared" si="345"/>
        <v/>
      </c>
      <c r="M620" s="1395"/>
      <c r="N620" s="116"/>
      <c r="O620" s="116"/>
      <c r="P620" s="116"/>
      <c r="Q620" s="116"/>
      <c r="R620" s="116"/>
      <c r="S620" s="132"/>
      <c r="T620" s="142"/>
      <c r="U620" s="115"/>
      <c r="AD620" s="561" t="str">
        <f t="shared" si="355"/>
        <v/>
      </c>
      <c r="AE620" s="561" t="str">
        <f t="shared" si="355"/>
        <v>n.a.</v>
      </c>
      <c r="AF620" s="561" t="str">
        <f t="shared" si="355"/>
        <v>n.a.</v>
      </c>
      <c r="AG620" s="561" t="str">
        <f t="shared" si="355"/>
        <v>n.a.</v>
      </c>
      <c r="AH620" s="561" t="b">
        <f t="shared" si="355"/>
        <v>0</v>
      </c>
      <c r="AI620" s="561" t="b">
        <f t="shared" si="355"/>
        <v>0</v>
      </c>
      <c r="AJ620" s="582" t="str">
        <f t="shared" si="353"/>
        <v/>
      </c>
      <c r="AK620" s="582" t="str">
        <f t="shared" si="354"/>
        <v/>
      </c>
      <c r="AL620" s="582" t="str">
        <f t="shared" si="349"/>
        <v/>
      </c>
    </row>
    <row r="621" spans="2:38" ht="12.75" customHeight="1" x14ac:dyDescent="0.25">
      <c r="B621" s="132"/>
      <c r="C621" s="132"/>
      <c r="D621" s="1388"/>
      <c r="E621" s="43"/>
      <c r="F621" s="47"/>
      <c r="G621" s="50"/>
      <c r="H621" s="50"/>
      <c r="I621" s="48"/>
      <c r="J621" s="642" t="str">
        <f t="shared" si="343"/>
        <v/>
      </c>
      <c r="K621" s="642" t="str">
        <f t="shared" si="344"/>
        <v/>
      </c>
      <c r="L621" s="642" t="str">
        <f t="shared" si="345"/>
        <v/>
      </c>
      <c r="M621" s="1395"/>
      <c r="N621" s="116"/>
      <c r="O621" s="116"/>
      <c r="P621" s="116"/>
      <c r="Q621" s="116"/>
      <c r="R621" s="116"/>
      <c r="S621" s="132"/>
      <c r="T621" s="142"/>
      <c r="U621" s="115"/>
      <c r="AD621" s="561" t="str">
        <f t="shared" si="355"/>
        <v/>
      </c>
      <c r="AE621" s="561" t="str">
        <f t="shared" si="355"/>
        <v>n.a.</v>
      </c>
      <c r="AF621" s="561" t="str">
        <f t="shared" si="355"/>
        <v>n.a.</v>
      </c>
      <c r="AG621" s="561" t="str">
        <f t="shared" si="355"/>
        <v>n.a.</v>
      </c>
      <c r="AH621" s="561" t="b">
        <f t="shared" si="355"/>
        <v>0</v>
      </c>
      <c r="AI621" s="561" t="b">
        <f t="shared" si="355"/>
        <v>0</v>
      </c>
      <c r="AJ621" s="582" t="str">
        <f t="shared" si="353"/>
        <v/>
      </c>
      <c r="AK621" s="582" t="str">
        <f t="shared" si="354"/>
        <v/>
      </c>
      <c r="AL621" s="582" t="str">
        <f t="shared" si="349"/>
        <v/>
      </c>
    </row>
    <row r="622" spans="2:38" ht="12.75" customHeight="1" x14ac:dyDescent="0.25">
      <c r="B622" s="132"/>
      <c r="C622" s="132"/>
      <c r="D622" s="1388"/>
      <c r="E622" s="43"/>
      <c r="F622" s="47"/>
      <c r="G622" s="50"/>
      <c r="H622" s="50"/>
      <c r="I622" s="48"/>
      <c r="J622" s="642" t="str">
        <f t="shared" si="343"/>
        <v/>
      </c>
      <c r="K622" s="642" t="str">
        <f t="shared" si="344"/>
        <v/>
      </c>
      <c r="L622" s="642" t="str">
        <f t="shared" si="345"/>
        <v/>
      </c>
      <c r="M622" s="1395"/>
      <c r="N622" s="116"/>
      <c r="O622" s="116"/>
      <c r="P622" s="116"/>
      <c r="Q622" s="116"/>
      <c r="R622" s="116"/>
      <c r="S622" s="132"/>
      <c r="T622" s="142"/>
      <c r="U622" s="115"/>
      <c r="AD622" s="561" t="str">
        <f t="shared" si="355"/>
        <v/>
      </c>
      <c r="AE622" s="561" t="str">
        <f t="shared" si="355"/>
        <v>n.a.</v>
      </c>
      <c r="AF622" s="561" t="str">
        <f t="shared" si="355"/>
        <v>n.a.</v>
      </c>
      <c r="AG622" s="561" t="str">
        <f t="shared" si="355"/>
        <v>n.a.</v>
      </c>
      <c r="AH622" s="561" t="b">
        <f t="shared" si="355"/>
        <v>0</v>
      </c>
      <c r="AI622" s="561" t="b">
        <f t="shared" si="355"/>
        <v>0</v>
      </c>
      <c r="AJ622" s="582" t="str">
        <f t="shared" si="353"/>
        <v/>
      </c>
      <c r="AK622" s="582" t="str">
        <f t="shared" si="354"/>
        <v/>
      </c>
      <c r="AL622" s="582" t="str">
        <f t="shared" si="349"/>
        <v/>
      </c>
    </row>
    <row r="623" spans="2:38" ht="12.75" customHeight="1" x14ac:dyDescent="0.25">
      <c r="B623" s="132"/>
      <c r="C623" s="132"/>
      <c r="D623" s="1388"/>
      <c r="E623" s="44"/>
      <c r="F623" s="51"/>
      <c r="G623" s="52"/>
      <c r="H623" s="52"/>
      <c r="I623" s="53"/>
      <c r="J623" s="657" t="str">
        <f t="shared" si="343"/>
        <v/>
      </c>
      <c r="K623" s="657" t="str">
        <f t="shared" si="344"/>
        <v/>
      </c>
      <c r="L623" s="657" t="str">
        <f t="shared" si="345"/>
        <v/>
      </c>
      <c r="M623" s="1395"/>
      <c r="N623" s="116"/>
      <c r="O623" s="116"/>
      <c r="P623" s="116"/>
      <c r="Q623" s="116"/>
      <c r="R623" s="116"/>
      <c r="S623" s="132"/>
      <c r="T623" s="142"/>
      <c r="U623" s="115"/>
      <c r="AD623" s="561" t="str">
        <f t="shared" si="355"/>
        <v/>
      </c>
      <c r="AE623" s="561" t="str">
        <f t="shared" si="355"/>
        <v>n.a.</v>
      </c>
      <c r="AF623" s="561" t="str">
        <f t="shared" si="355"/>
        <v>n.a.</v>
      </c>
      <c r="AG623" s="561" t="str">
        <f t="shared" si="355"/>
        <v>n.a.</v>
      </c>
      <c r="AH623" s="561" t="b">
        <f t="shared" si="355"/>
        <v>0</v>
      </c>
      <c r="AI623" s="561" t="b">
        <f t="shared" si="355"/>
        <v>0</v>
      </c>
      <c r="AJ623" s="582" t="str">
        <f t="shared" si="353"/>
        <v/>
      </c>
      <c r="AK623" s="582" t="str">
        <f t="shared" si="354"/>
        <v/>
      </c>
      <c r="AL623" s="582" t="str">
        <f t="shared" si="349"/>
        <v/>
      </c>
    </row>
    <row r="624" spans="2:38" ht="12.75" customHeight="1" x14ac:dyDescent="0.25">
      <c r="B624" s="132"/>
      <c r="C624" s="132"/>
      <c r="D624" s="132"/>
      <c r="E624" s="658" t="str">
        <f>Translations!$B$645</f>
        <v>TOTALS</v>
      </c>
      <c r="F624" s="659" t="str">
        <f>IF(SUM(F609:F623)=0,"",SUM(F609:F623))</f>
        <v/>
      </c>
      <c r="G624" s="660" t="str">
        <f>IF(SUM(F624)=0,"",J624/F624)</f>
        <v/>
      </c>
      <c r="H624" s="660" t="str">
        <f>IF(SUM(J624)=0,"",SUM(K624:L624)/IF(AF609&lt;&gt;EUconst_NA,F624,J624)/IF(AG609=EUconst_NA,1,AG609))</f>
        <v/>
      </c>
      <c r="I624" s="661" t="str">
        <f>IF(SUM(K624:L624)=0,"",L624/SUM(K624:L624))</f>
        <v/>
      </c>
      <c r="J624" s="659" t="str">
        <f>IF(COUNTA(E609:E623)=0,"",IFERROR(SUM(J609:J623),EUconst_ERR_Inconsistent))</f>
        <v/>
      </c>
      <c r="K624" s="659" t="str">
        <f>IF(COUNTA(E609:E623)=0,"",IFERROR(SUM(K609:K623),EUconst_ERR_Inconsistent))</f>
        <v/>
      </c>
      <c r="L624" s="659" t="str">
        <f>IF(COUNTA(E609:E623)=0,"",IFERROR(SUM(L609:L623),EUconst_ERR_Inconsistent))</f>
        <v/>
      </c>
      <c r="M624" s="1395"/>
      <c r="N624" s="116"/>
      <c r="O624" s="116"/>
      <c r="P624" s="116"/>
      <c r="Q624" s="116"/>
      <c r="R624" s="116"/>
      <c r="S624" s="132"/>
      <c r="T624" s="142"/>
      <c r="U624" s="115"/>
    </row>
    <row r="625" spans="1:38" ht="12.75" customHeight="1" x14ac:dyDescent="0.25">
      <c r="B625" s="132"/>
      <c r="C625" s="132"/>
      <c r="D625" s="132"/>
      <c r="E625" s="191"/>
      <c r="F625" s="116"/>
      <c r="G625" s="116"/>
      <c r="H625" s="116"/>
      <c r="I625" s="116"/>
      <c r="J625" s="116"/>
      <c r="K625" s="116"/>
      <c r="L625" s="116"/>
      <c r="M625" s="116"/>
      <c r="N625" s="116"/>
      <c r="O625" s="116"/>
      <c r="P625" s="116"/>
      <c r="Q625" s="116"/>
      <c r="R625" s="116"/>
      <c r="S625" s="132"/>
      <c r="T625" s="142"/>
      <c r="U625" s="115"/>
    </row>
    <row r="626" spans="1:38" s="69" customFormat="1" ht="18.75" customHeight="1" x14ac:dyDescent="0.25">
      <c r="A626" s="167">
        <f>C626</f>
        <v>27</v>
      </c>
      <c r="B626" s="76"/>
      <c r="C626" s="216">
        <f>C603+1</f>
        <v>27</v>
      </c>
      <c r="D626" s="1195" t="str">
        <f>"Tool " &amp;C626-2</f>
        <v>Tool 25</v>
      </c>
      <c r="E626" s="1195"/>
      <c r="F626" s="1195"/>
      <c r="G626" s="1195"/>
      <c r="H626" s="1195"/>
      <c r="I626" s="1195"/>
      <c r="J626" s="1195"/>
      <c r="K626" s="1195"/>
      <c r="L626" s="1195"/>
      <c r="M626" s="1195"/>
      <c r="N626" s="1195"/>
      <c r="O626" s="1195"/>
      <c r="P626" s="1195"/>
      <c r="Q626" s="1195"/>
      <c r="R626" s="1195"/>
      <c r="S626" s="1195"/>
      <c r="T626" s="142"/>
      <c r="U626" s="115"/>
      <c r="V626" s="464" t="str">
        <f>D626</f>
        <v>Tool 25</v>
      </c>
      <c r="W626" s="110"/>
      <c r="X626" s="110"/>
      <c r="Y626" s="110"/>
      <c r="Z626" s="110"/>
      <c r="AA626" s="109"/>
      <c r="AB626" s="109"/>
      <c r="AC626" s="109"/>
      <c r="AD626" s="109"/>
      <c r="AE626" s="109"/>
      <c r="AF626" s="109"/>
      <c r="AG626" s="109"/>
      <c r="AH626" s="109"/>
      <c r="AI626" s="109"/>
      <c r="AJ626" s="109"/>
      <c r="AK626" s="109"/>
      <c r="AL626" s="109"/>
    </row>
    <row r="627" spans="1:38" ht="12.75" customHeight="1" x14ac:dyDescent="0.25">
      <c r="B627" s="132"/>
      <c r="C627" s="132"/>
      <c r="D627" s="132"/>
      <c r="E627" s="191"/>
      <c r="F627" s="116"/>
      <c r="G627" s="116"/>
      <c r="H627" s="116"/>
      <c r="I627" s="116"/>
      <c r="J627" s="116"/>
      <c r="K627" s="116"/>
      <c r="L627" s="116"/>
      <c r="M627" s="116"/>
      <c r="N627" s="116"/>
      <c r="O627" s="116"/>
      <c r="P627" s="116"/>
      <c r="Q627" s="116"/>
      <c r="R627" s="116"/>
      <c r="S627" s="132"/>
      <c r="T627" s="142"/>
      <c r="U627" s="115"/>
    </row>
    <row r="628" spans="1:38" ht="12.75" customHeight="1" x14ac:dyDescent="0.25">
      <c r="B628" s="132"/>
      <c r="C628" s="132"/>
      <c r="D628" s="1377" t="str">
        <f>Translations!$B$631</f>
        <v>Component</v>
      </c>
      <c r="E628" s="1378"/>
      <c r="F628" s="633">
        <v>1</v>
      </c>
      <c r="G628" s="633">
        <v>2</v>
      </c>
      <c r="H628" s="633">
        <v>3</v>
      </c>
      <c r="I628" s="633">
        <v>4</v>
      </c>
      <c r="J628" s="633">
        <v>5</v>
      </c>
      <c r="K628" s="633">
        <v>6</v>
      </c>
      <c r="L628" s="633">
        <v>7</v>
      </c>
      <c r="M628" s="116"/>
      <c r="N628" s="116"/>
      <c r="O628" s="116"/>
      <c r="P628" s="116"/>
      <c r="Q628" s="116"/>
      <c r="R628" s="116"/>
      <c r="S628" s="132"/>
      <c r="T628" s="142"/>
      <c r="U628" s="115"/>
      <c r="V628" s="566" t="str">
        <f>Translations!$B$498</f>
        <v>Units:</v>
      </c>
      <c r="W628" s="561" t="str" cm="1">
        <f t="array" ref="W628">IFERROR(INDEX(_xlfn._xlws.FILTER(W632:W641,(W632:W641)&lt;&gt;"",""),1),W629)</f>
        <v/>
      </c>
      <c r="X628" s="561" t="str" cm="1">
        <f t="array" ref="X628">IFERROR(INDEX(_xlfn._xlws.FILTER(X632:X641,(X632:X641)&lt;&gt;"",""),1),X629)</f>
        <v/>
      </c>
      <c r="Y628" s="567"/>
      <c r="Z628" s="561" t="str" cm="1">
        <f t="array" ref="Z628">IFERROR(INDEX(_xlfn._xlws.FILTER(Z632:Z641,(Z632:Z641)&lt;&gt;"",""),1),Z629)</f>
        <v/>
      </c>
      <c r="AA628" s="567"/>
    </row>
    <row r="629" spans="1:38" ht="12.75" customHeight="1" x14ac:dyDescent="0.25">
      <c r="B629" s="132"/>
      <c r="C629" s="132"/>
      <c r="D629" s="1379"/>
      <c r="E629" s="1380"/>
      <c r="F629" s="1383" t="str">
        <f>Translations!$B$377</f>
        <v>RFA</v>
      </c>
      <c r="G629" s="1383" t="str">
        <f>Translations!$B$386</f>
        <v>UCF</v>
      </c>
      <c r="H629" s="1383" t="str">
        <f>Translations!$B$383</f>
        <v>EF</v>
      </c>
      <c r="I629" s="1383" t="str">
        <f>Translations!$B$632</f>
        <v>Zero-rated F</v>
      </c>
      <c r="J629" s="1385" t="str">
        <f>Translations!$B$652</f>
        <v>Energy or other</v>
      </c>
      <c r="K629" s="1385" t="str">
        <f>Translations!$B$522</f>
        <v>Emissions (fossil)</v>
      </c>
      <c r="L629" s="1385" t="str">
        <f>Translations!$B$634</f>
        <v>Emissions (bio)</v>
      </c>
      <c r="M629" s="116"/>
      <c r="N629" s="116"/>
      <c r="O629" s="116"/>
      <c r="P629" s="116"/>
      <c r="Q629" s="116"/>
      <c r="R629" s="116"/>
      <c r="S629" s="132"/>
      <c r="T629" s="142"/>
      <c r="U629" s="115"/>
      <c r="W629" s="561" t="str">
        <f t="array" ref="W629">IFERROR(INDEX(W632:W641,MATCH(TRUE,(W632:W641)&lt;&gt;"",0)),"")</f>
        <v/>
      </c>
      <c r="X629" s="561" t="str">
        <f t="array" ref="X629">IFERROR(INDEX(X632:X641,MATCH(TRUE,(X632:X641)&lt;&gt;"",0)),"")</f>
        <v/>
      </c>
      <c r="Y629" s="567"/>
      <c r="Z629" s="561" t="str">
        <f t="array" ref="Z629">IFERROR(INDEX(Z632:Z641,MATCH(TRUE,(Z632:Z641)&lt;&gt;"",0)),"")</f>
        <v/>
      </c>
      <c r="AA629" s="567"/>
    </row>
    <row r="630" spans="1:38" ht="12.75" customHeight="1" x14ac:dyDescent="0.3">
      <c r="B630" s="132"/>
      <c r="C630" s="132"/>
      <c r="D630" s="1379"/>
      <c r="E630" s="1380"/>
      <c r="F630" s="1384"/>
      <c r="G630" s="1384"/>
      <c r="H630" s="1384"/>
      <c r="I630" s="1384"/>
      <c r="J630" s="1386"/>
      <c r="K630" s="1386"/>
      <c r="L630" s="1386"/>
      <c r="M630" s="116"/>
      <c r="N630" s="634" t="str">
        <f>Translations!$B$635</f>
        <v>Result to be entered in sheet C</v>
      </c>
      <c r="O630" s="116"/>
      <c r="P630" s="116"/>
      <c r="Q630" s="116"/>
      <c r="R630" s="116"/>
      <c r="S630" s="132"/>
      <c r="T630" s="142"/>
      <c r="U630" s="115"/>
      <c r="W630" s="569" t="str">
        <f>Translations!$B$377</f>
        <v>RFA</v>
      </c>
      <c r="X630" s="569" t="str">
        <f>Translations!$B$386</f>
        <v>UCF</v>
      </c>
      <c r="Y630" s="569"/>
      <c r="Z630" s="569" t="str">
        <f>Translations!$B$383</f>
        <v>EF</v>
      </c>
      <c r="AA630" s="569"/>
      <c r="AB630" s="570"/>
      <c r="AC630" s="570"/>
      <c r="AH630" s="570"/>
      <c r="AI630" s="570"/>
      <c r="AJ630" s="570"/>
    </row>
    <row r="631" spans="1:38" ht="12.75" customHeight="1" x14ac:dyDescent="0.3">
      <c r="B631" s="132"/>
      <c r="C631" s="132"/>
      <c r="D631" s="1381"/>
      <c r="E631" s="1382"/>
      <c r="F631" s="635" t="str">
        <f>IF(COUNTA($E632:$E646)=0,"",$W628)</f>
        <v/>
      </c>
      <c r="G631" s="635" t="str">
        <f>IF(COUNTA($E632:$E646)=0,"",$X628)</f>
        <v/>
      </c>
      <c r="H631" s="635" t="str">
        <f>IF(COUNTA($E632:$E646)=0,"",$Z628)</f>
        <v/>
      </c>
      <c r="I631" s="636" t="s">
        <v>46</v>
      </c>
      <c r="J631" s="635" t="str">
        <f>IF(AE632=EUconst_NA,EUconst_GJ,AE632)</f>
        <v>GJ</v>
      </c>
      <c r="K631" s="637" t="s">
        <v>188</v>
      </c>
      <c r="L631" s="637" t="s">
        <v>188</v>
      </c>
      <c r="M631" s="116"/>
      <c r="N631" s="1387" t="str">
        <f>Translations!$B$636</f>
        <v>The results of this tool are the relevant (weighted average) values below. Each value has to be entered manually in sheet C for the respective fuel stream. Select fuel stream below for comparison.</v>
      </c>
      <c r="O631" s="1387"/>
      <c r="P631" s="1387"/>
      <c r="Q631" s="1387"/>
      <c r="R631" s="1387"/>
      <c r="S631" s="1387"/>
      <c r="T631" s="142"/>
      <c r="U631" s="115"/>
      <c r="W631" s="569" t="str">
        <f>EUconst_CNTR_ActivityData&amp;EUconst_Unit</f>
        <v>ActivityData_Unit</v>
      </c>
      <c r="X631" s="569" t="str">
        <f>EUconst_CNTR_UCF&amp;EUconst_Unit</f>
        <v>UCF_Unit</v>
      </c>
      <c r="Y631" s="569" t="str">
        <f>EUconst_CNTR_UCF&amp;EUconst_Value</f>
        <v>UCF_Value</v>
      </c>
      <c r="Z631" s="569" t="str">
        <f>EUconst_CNTR_EF&amp;EUconst_Unit</f>
        <v>EF_Unit</v>
      </c>
      <c r="AA631" s="569" t="str">
        <f>EUconst_CNTR_EF&amp;EUconst_Value</f>
        <v>EF_Value</v>
      </c>
      <c r="AB631" s="569" t="s">
        <v>189</v>
      </c>
      <c r="AC631" s="575"/>
      <c r="AD631" s="576" t="s">
        <v>147</v>
      </c>
      <c r="AE631" s="576" t="s">
        <v>151</v>
      </c>
      <c r="AF631" s="576" t="s">
        <v>153</v>
      </c>
      <c r="AG631" s="576" t="s">
        <v>155</v>
      </c>
      <c r="AH631" s="575"/>
      <c r="AI631" s="575"/>
      <c r="AJ631" s="575" t="s">
        <v>190</v>
      </c>
      <c r="AK631" s="575" t="s">
        <v>191</v>
      </c>
      <c r="AL631" s="575" t="s">
        <v>192</v>
      </c>
    </row>
    <row r="632" spans="1:38" ht="12.75" customHeight="1" x14ac:dyDescent="0.25">
      <c r="B632" s="132"/>
      <c r="C632" s="132"/>
      <c r="D632" s="1388" t="str">
        <f>Translations!$B$637</f>
        <v>Default compontents provided by the CA</v>
      </c>
      <c r="E632" s="42"/>
      <c r="F632" s="45"/>
      <c r="G632" s="639" t="str">
        <f>IF($E632="","",Y632)</f>
        <v/>
      </c>
      <c r="H632" s="639" t="str">
        <f>IF($E632="","",AA632)</f>
        <v/>
      </c>
      <c r="I632" s="46"/>
      <c r="J632" s="640" t="str">
        <f t="shared" ref="J632:J646" si="356">IFERROR(IF(E632="","",AL632),EUconst_ERR_Inconsistent)</f>
        <v/>
      </c>
      <c r="K632" s="640" t="str">
        <f t="shared" ref="K632:K646" si="357">IFERROR(IF(E632="","",AJ632),EUconst_ERR_Inconsistent)</f>
        <v/>
      </c>
      <c r="L632" s="640" t="str">
        <f t="shared" ref="L632:L646" si="358">IFERROR(IF(E632="","",AK632),EUconst_ERR_Inconsistent)</f>
        <v/>
      </c>
      <c r="M632" s="1389"/>
      <c r="N632" s="1387"/>
      <c r="O632" s="1387"/>
      <c r="P632" s="1387"/>
      <c r="Q632" s="1387"/>
      <c r="R632" s="1387"/>
      <c r="S632" s="1387"/>
      <c r="T632" s="142"/>
      <c r="U632" s="115"/>
      <c r="W632" s="561" t="str">
        <f t="shared" ref="W632:AA641" si="359">IF($E632="","",INDEX(MSPara_CalcFactorsMatrix,MATCH($E632,MSPara_SourceStreamCategory,0),MATCH(W$20&amp;"_"&amp;2,MSPara_CalcFactors,0)))</f>
        <v/>
      </c>
      <c r="X632" s="561" t="str">
        <f t="shared" si="359"/>
        <v/>
      </c>
      <c r="Y632" s="561" t="str">
        <f t="shared" si="359"/>
        <v/>
      </c>
      <c r="Z632" s="561" t="str">
        <f t="shared" si="359"/>
        <v/>
      </c>
      <c r="AA632" s="561" t="str">
        <f t="shared" si="359"/>
        <v/>
      </c>
      <c r="AB632" s="561" t="str">
        <f>IF(E632="","",OR(W632&lt;&gt;W628,X632&lt;&gt;X628,Z632&lt;&gt;Z628))</f>
        <v/>
      </c>
      <c r="AC632" s="567"/>
      <c r="AD632" s="561" t="str">
        <f>W632</f>
        <v/>
      </c>
      <c r="AE632" s="561" t="str">
        <f>IF(X632="",EUconst_NA,IF(AD632=EUconst_TJ,EUconst_TJ,INDEX(EUwideConstants!$C$135:$G$139,MATCH(AD632,RFAUnits,0),MATCH(X632,UCFUnits,0))))</f>
        <v>n.a.</v>
      </c>
      <c r="AF632" s="561" t="str">
        <f>IF(COUNTIF(RFAUnits,AD632)=0,EUconst_NA,INDEX(EUwideConstants!$C$150:$H$154,MATCH(Z632,EFUnits,0),MATCH(AD632,EUwideConstants!$C$149:$H$149,0)))</f>
        <v>n.a.</v>
      </c>
      <c r="AG632" s="561" t="str">
        <f>IF(AE632=EUconst_NA,EUconst_NA,INDEX(EUwideConstants!$C$150:$H$154,MATCH(Z632,EFUnits,0),MATCH(AE632,EUwideConstants!$C$149:$H$149,0)))</f>
        <v>n.a.</v>
      </c>
      <c r="AH632" s="561" t="b">
        <f t="shared" ref="AH632" si="360">AF632&lt;&gt;EUconst_NA</f>
        <v>0</v>
      </c>
      <c r="AI632" s="561" t="b">
        <f t="shared" ref="AI632" si="361">AG632&lt;&gt;EUconst_NA</f>
        <v>0</v>
      </c>
      <c r="AJ632" s="582" t="str">
        <f>IF(OR(E632="",COUNTIF(AH632:AI632,TRUE)=0),"",F632*IF(AH632,1,G632*AG632)*H632*(1-I632))</f>
        <v/>
      </c>
      <c r="AK632" s="582" t="str">
        <f>IF(OR(E632="",COUNTIF(AH632:AI632,TRUE)=0),"",F632*IF(AH632,1,G632*AG632)*H632*I632)</f>
        <v/>
      </c>
      <c r="AL632" s="582" t="str">
        <f t="shared" ref="AL632:AL646" si="362">IF(E632="","",IF(W632=EUconst_TJ,F632,F632*G632))</f>
        <v/>
      </c>
    </row>
    <row r="633" spans="1:38" ht="12.75" customHeight="1" x14ac:dyDescent="0.25">
      <c r="B633" s="132"/>
      <c r="C633" s="132"/>
      <c r="D633" s="1388"/>
      <c r="E633" s="43"/>
      <c r="F633" s="47"/>
      <c r="G633" s="641" t="str">
        <f t="shared" ref="G633:G641" si="363">IF($E633="","",Y633)</f>
        <v/>
      </c>
      <c r="H633" s="641" t="str">
        <f t="shared" ref="H633:H641" si="364">IF($E633="","",AA633)</f>
        <v/>
      </c>
      <c r="I633" s="48"/>
      <c r="J633" s="642" t="str">
        <f t="shared" si="356"/>
        <v/>
      </c>
      <c r="K633" s="642" t="str">
        <f t="shared" si="357"/>
        <v/>
      </c>
      <c r="L633" s="642" t="str">
        <f t="shared" si="358"/>
        <v/>
      </c>
      <c r="M633" s="1389"/>
      <c r="N633" s="638"/>
      <c r="O633" s="643" t="str">
        <f>Translations!$B$639</f>
        <v>Fuel stream:</v>
      </c>
      <c r="P633" s="1390"/>
      <c r="Q633" s="1391"/>
      <c r="R633" s="1391"/>
      <c r="S633" s="1392"/>
      <c r="T633" s="142"/>
      <c r="U633" s="115"/>
      <c r="W633" s="561" t="str">
        <f t="shared" si="359"/>
        <v/>
      </c>
      <c r="X633" s="561" t="str">
        <f t="shared" si="359"/>
        <v/>
      </c>
      <c r="Y633" s="561" t="str">
        <f t="shared" si="359"/>
        <v/>
      </c>
      <c r="Z633" s="561" t="str">
        <f t="shared" si="359"/>
        <v/>
      </c>
      <c r="AA633" s="561" t="str">
        <f t="shared" si="359"/>
        <v/>
      </c>
      <c r="AB633" s="561" t="str">
        <f>IF(E633="","",OR(W633&lt;&gt;W628,X633&lt;&gt;X628,Z633&lt;&gt;Z628))</f>
        <v/>
      </c>
      <c r="AC633" s="567"/>
      <c r="AD633" s="561" t="str">
        <f>AD632</f>
        <v/>
      </c>
      <c r="AE633" s="561" t="str">
        <f t="shared" ref="AE633:AI633" si="365">AE632</f>
        <v>n.a.</v>
      </c>
      <c r="AF633" s="561" t="str">
        <f t="shared" si="365"/>
        <v>n.a.</v>
      </c>
      <c r="AG633" s="561" t="str">
        <f t="shared" si="365"/>
        <v>n.a.</v>
      </c>
      <c r="AH633" s="561" t="b">
        <f t="shared" si="365"/>
        <v>0</v>
      </c>
      <c r="AI633" s="561" t="b">
        <f t="shared" si="365"/>
        <v>0</v>
      </c>
      <c r="AJ633" s="582" t="str">
        <f t="shared" ref="AJ633:AJ646" si="366">IF(OR(E633="",COUNTIF(AH633:AI633,TRUE)=0),"",F633*IF(AH633,1,G633*AG633)*H633*(1-I633))</f>
        <v/>
      </c>
      <c r="AK633" s="582" t="str">
        <f t="shared" ref="AK633:AK646" si="367">IF(OR(E633="",COUNTIF(AH633:AI633,TRUE)=0),"",F633*IF(AH633,1,G633*AG633)*H633*I633)</f>
        <v/>
      </c>
      <c r="AL633" s="582" t="str">
        <f t="shared" si="362"/>
        <v/>
      </c>
    </row>
    <row r="634" spans="1:38" ht="12.75" customHeight="1" x14ac:dyDescent="0.25">
      <c r="B634" s="132"/>
      <c r="C634" s="132"/>
      <c r="D634" s="1388"/>
      <c r="E634" s="43"/>
      <c r="F634" s="47"/>
      <c r="G634" s="641" t="str">
        <f t="shared" si="363"/>
        <v/>
      </c>
      <c r="H634" s="641" t="str">
        <f t="shared" si="364"/>
        <v/>
      </c>
      <c r="I634" s="48"/>
      <c r="J634" s="642" t="str">
        <f t="shared" si="356"/>
        <v/>
      </c>
      <c r="K634" s="642" t="str">
        <f t="shared" si="357"/>
        <v/>
      </c>
      <c r="L634" s="642" t="str">
        <f t="shared" si="358"/>
        <v/>
      </c>
      <c r="M634" s="1389"/>
      <c r="N634" s="116"/>
      <c r="O634" s="116"/>
      <c r="P634" s="116"/>
      <c r="Q634" s="116"/>
      <c r="R634" s="116"/>
      <c r="S634" s="132"/>
      <c r="T634" s="142"/>
      <c r="U634" s="115"/>
      <c r="W634" s="561" t="str">
        <f t="shared" si="359"/>
        <v/>
      </c>
      <c r="X634" s="561" t="str">
        <f t="shared" si="359"/>
        <v/>
      </c>
      <c r="Y634" s="561" t="str">
        <f t="shared" si="359"/>
        <v/>
      </c>
      <c r="Z634" s="561" t="str">
        <f t="shared" si="359"/>
        <v/>
      </c>
      <c r="AA634" s="561" t="str">
        <f t="shared" si="359"/>
        <v/>
      </c>
      <c r="AB634" s="561" t="str">
        <f>IF(E634="","",OR(W634&lt;&gt;W628,X634&lt;&gt;X628,Z634&lt;&gt;Z628))</f>
        <v/>
      </c>
      <c r="AC634" s="567"/>
      <c r="AD634" s="561" t="str">
        <f t="shared" ref="AD634:AI646" si="368">AD633</f>
        <v/>
      </c>
      <c r="AE634" s="561" t="str">
        <f t="shared" si="368"/>
        <v>n.a.</v>
      </c>
      <c r="AF634" s="561" t="str">
        <f t="shared" si="368"/>
        <v>n.a.</v>
      </c>
      <c r="AG634" s="561" t="str">
        <f t="shared" si="368"/>
        <v>n.a.</v>
      </c>
      <c r="AH634" s="561" t="b">
        <f t="shared" si="368"/>
        <v>0</v>
      </c>
      <c r="AI634" s="561" t="b">
        <f t="shared" si="368"/>
        <v>0</v>
      </c>
      <c r="AJ634" s="582" t="str">
        <f t="shared" si="366"/>
        <v/>
      </c>
      <c r="AK634" s="582" t="str">
        <f t="shared" si="367"/>
        <v/>
      </c>
      <c r="AL634" s="582" t="str">
        <f t="shared" si="362"/>
        <v/>
      </c>
    </row>
    <row r="635" spans="1:38" ht="12.75" customHeight="1" thickBot="1" x14ac:dyDescent="0.35">
      <c r="B635" s="132"/>
      <c r="C635" s="132"/>
      <c r="D635" s="1388"/>
      <c r="E635" s="43"/>
      <c r="F635" s="47"/>
      <c r="G635" s="641" t="str">
        <f t="shared" si="363"/>
        <v/>
      </c>
      <c r="H635" s="641" t="str">
        <f t="shared" si="364"/>
        <v/>
      </c>
      <c r="I635" s="48"/>
      <c r="J635" s="642" t="str">
        <f t="shared" si="356"/>
        <v/>
      </c>
      <c r="K635" s="642" t="str">
        <f t="shared" si="357"/>
        <v/>
      </c>
      <c r="L635" s="642" t="str">
        <f t="shared" si="358"/>
        <v/>
      </c>
      <c r="M635" s="1389"/>
      <c r="N635" s="1255" t="str">
        <f>Translations!$B$394</f>
        <v>Unit</v>
      </c>
      <c r="O635" s="1255"/>
      <c r="P635" s="1255" t="str">
        <f>Translations!$B$395</f>
        <v>Value</v>
      </c>
      <c r="Q635" s="1255"/>
      <c r="R635" s="116"/>
      <c r="S635" s="644" t="str">
        <f>Translations!$B$642</f>
        <v>Sheet C values</v>
      </c>
      <c r="T635" s="142"/>
      <c r="U635" s="115"/>
      <c r="W635" s="561" t="str">
        <f t="shared" si="359"/>
        <v/>
      </c>
      <c r="X635" s="561" t="str">
        <f t="shared" si="359"/>
        <v/>
      </c>
      <c r="Y635" s="561" t="str">
        <f t="shared" si="359"/>
        <v/>
      </c>
      <c r="Z635" s="561" t="str">
        <f t="shared" si="359"/>
        <v/>
      </c>
      <c r="AA635" s="561" t="str">
        <f t="shared" si="359"/>
        <v/>
      </c>
      <c r="AB635" s="561" t="str">
        <f>IF(E635="","",OR(W635&lt;&gt;W628,X635&lt;&gt;X628,Z635&lt;&gt;Z628))</f>
        <v/>
      </c>
      <c r="AC635" s="567"/>
      <c r="AD635" s="561" t="str">
        <f t="shared" si="368"/>
        <v/>
      </c>
      <c r="AE635" s="561" t="str">
        <f t="shared" si="368"/>
        <v>n.a.</v>
      </c>
      <c r="AF635" s="561" t="str">
        <f t="shared" si="368"/>
        <v>n.a.</v>
      </c>
      <c r="AG635" s="561" t="str">
        <f t="shared" si="368"/>
        <v>n.a.</v>
      </c>
      <c r="AH635" s="561" t="b">
        <f t="shared" si="368"/>
        <v>0</v>
      </c>
      <c r="AI635" s="561" t="b">
        <f t="shared" si="368"/>
        <v>0</v>
      </c>
      <c r="AJ635" s="582" t="str">
        <f t="shared" si="366"/>
        <v/>
      </c>
      <c r="AK635" s="582" t="str">
        <f t="shared" si="367"/>
        <v/>
      </c>
      <c r="AL635" s="582" t="str">
        <f t="shared" si="362"/>
        <v/>
      </c>
    </row>
    <row r="636" spans="1:38" ht="12.75" customHeight="1" thickBot="1" x14ac:dyDescent="0.3">
      <c r="B636" s="132"/>
      <c r="C636" s="132"/>
      <c r="D636" s="1388"/>
      <c r="E636" s="43"/>
      <c r="F636" s="47"/>
      <c r="G636" s="641" t="str">
        <f t="shared" si="363"/>
        <v/>
      </c>
      <c r="H636" s="641" t="str">
        <f t="shared" si="364"/>
        <v/>
      </c>
      <c r="I636" s="48"/>
      <c r="J636" s="642" t="str">
        <f t="shared" si="356"/>
        <v/>
      </c>
      <c r="K636" s="642" t="str">
        <f t="shared" si="357"/>
        <v/>
      </c>
      <c r="L636" s="642" t="str">
        <f t="shared" si="358"/>
        <v/>
      </c>
      <c r="M636" s="116"/>
      <c r="N636" s="346" t="str">
        <f>F631</f>
        <v/>
      </c>
      <c r="O636" s="7"/>
      <c r="P636" s="1393" t="str">
        <f>IF(F647="","",F647)</f>
        <v/>
      </c>
      <c r="Q636" s="1394"/>
      <c r="R636" s="116"/>
      <c r="S636" s="645" t="str">
        <f>IF(P633="","",SUMIFS(C_FuelStreams!BK:BK,C_FuelStreams!BI:BI,P633))</f>
        <v/>
      </c>
      <c r="T636" s="142"/>
      <c r="U636" s="115"/>
      <c r="W636" s="561" t="str">
        <f t="shared" si="359"/>
        <v/>
      </c>
      <c r="X636" s="561" t="str">
        <f t="shared" si="359"/>
        <v/>
      </c>
      <c r="Y636" s="561" t="str">
        <f t="shared" si="359"/>
        <v/>
      </c>
      <c r="Z636" s="561" t="str">
        <f t="shared" si="359"/>
        <v/>
      </c>
      <c r="AA636" s="561" t="str">
        <f t="shared" si="359"/>
        <v/>
      </c>
      <c r="AB636" s="561" t="str">
        <f>IF(E636="","",OR(W636&lt;&gt;W628,X636&lt;&gt;X628,Z636&lt;&gt;Z628))</f>
        <v/>
      </c>
      <c r="AC636" s="567"/>
      <c r="AD636" s="561" t="str">
        <f t="shared" si="368"/>
        <v/>
      </c>
      <c r="AE636" s="561" t="str">
        <f t="shared" si="368"/>
        <v>n.a.</v>
      </c>
      <c r="AF636" s="561" t="str">
        <f t="shared" si="368"/>
        <v>n.a.</v>
      </c>
      <c r="AG636" s="561" t="str">
        <f t="shared" si="368"/>
        <v>n.a.</v>
      </c>
      <c r="AH636" s="561" t="b">
        <f t="shared" si="368"/>
        <v>0</v>
      </c>
      <c r="AI636" s="561" t="b">
        <f t="shared" si="368"/>
        <v>0</v>
      </c>
      <c r="AJ636" s="582" t="str">
        <f t="shared" si="366"/>
        <v/>
      </c>
      <c r="AK636" s="582" t="str">
        <f t="shared" si="367"/>
        <v/>
      </c>
      <c r="AL636" s="582" t="str">
        <f t="shared" si="362"/>
        <v/>
      </c>
    </row>
    <row r="637" spans="1:38" ht="12.75" customHeight="1" thickBot="1" x14ac:dyDescent="0.3">
      <c r="B637" s="132"/>
      <c r="C637" s="132"/>
      <c r="D637" s="1388"/>
      <c r="E637" s="43"/>
      <c r="F637" s="47"/>
      <c r="G637" s="641" t="str">
        <f t="shared" si="363"/>
        <v/>
      </c>
      <c r="H637" s="641" t="str">
        <f t="shared" si="364"/>
        <v/>
      </c>
      <c r="I637" s="48"/>
      <c r="J637" s="642" t="str">
        <f t="shared" si="356"/>
        <v/>
      </c>
      <c r="K637" s="642" t="str">
        <f t="shared" si="357"/>
        <v/>
      </c>
      <c r="L637" s="642" t="str">
        <f t="shared" si="358"/>
        <v/>
      </c>
      <c r="M637" s="116"/>
      <c r="N637" s="162"/>
      <c r="O637" s="162"/>
      <c r="P637" s="76"/>
      <c r="Q637" s="76"/>
      <c r="R637" s="116"/>
      <c r="S637" s="996"/>
      <c r="T637" s="142"/>
      <c r="U637" s="115"/>
      <c r="W637" s="561" t="str">
        <f t="shared" si="359"/>
        <v/>
      </c>
      <c r="X637" s="561" t="str">
        <f t="shared" si="359"/>
        <v/>
      </c>
      <c r="Y637" s="561" t="str">
        <f t="shared" si="359"/>
        <v/>
      </c>
      <c r="Z637" s="561" t="str">
        <f t="shared" si="359"/>
        <v/>
      </c>
      <c r="AA637" s="561" t="str">
        <f t="shared" si="359"/>
        <v/>
      </c>
      <c r="AB637" s="561" t="str">
        <f>IF(E637="","",OR(W637&lt;&gt;W628,X637&lt;&gt;X628,Z637&lt;&gt;Z628))</f>
        <v/>
      </c>
      <c r="AC637" s="567"/>
      <c r="AD637" s="561" t="str">
        <f t="shared" si="368"/>
        <v/>
      </c>
      <c r="AE637" s="561" t="str">
        <f t="shared" si="368"/>
        <v>n.a.</v>
      </c>
      <c r="AF637" s="561" t="str">
        <f t="shared" si="368"/>
        <v>n.a.</v>
      </c>
      <c r="AG637" s="561" t="str">
        <f t="shared" si="368"/>
        <v>n.a.</v>
      </c>
      <c r="AH637" s="561" t="b">
        <f t="shared" si="368"/>
        <v>0</v>
      </c>
      <c r="AI637" s="561" t="b">
        <f t="shared" si="368"/>
        <v>0</v>
      </c>
      <c r="AJ637" s="582" t="str">
        <f t="shared" si="366"/>
        <v/>
      </c>
      <c r="AK637" s="582" t="str">
        <f t="shared" si="367"/>
        <v/>
      </c>
      <c r="AL637" s="582" t="str">
        <f t="shared" si="362"/>
        <v/>
      </c>
    </row>
    <row r="638" spans="1:38" ht="12.75" customHeight="1" x14ac:dyDescent="0.25">
      <c r="B638" s="132"/>
      <c r="C638" s="132"/>
      <c r="D638" s="1388"/>
      <c r="E638" s="43"/>
      <c r="F638" s="47"/>
      <c r="G638" s="641" t="str">
        <f t="shared" si="363"/>
        <v/>
      </c>
      <c r="H638" s="641" t="str">
        <f t="shared" si="364"/>
        <v/>
      </c>
      <c r="I638" s="48"/>
      <c r="J638" s="642" t="str">
        <f t="shared" si="356"/>
        <v/>
      </c>
      <c r="K638" s="642" t="str">
        <f t="shared" si="357"/>
        <v/>
      </c>
      <c r="L638" s="642" t="str">
        <f t="shared" si="358"/>
        <v/>
      </c>
      <c r="M638" s="116"/>
      <c r="N638" s="365" t="str">
        <f>G631</f>
        <v/>
      </c>
      <c r="O638" s="11"/>
      <c r="P638" s="366"/>
      <c r="Q638" s="646" t="str">
        <f>IF(G647="","",G647)</f>
        <v/>
      </c>
      <c r="R638" s="116"/>
      <c r="S638" s="647" t="str">
        <f>IF(P633="","",SUMIFS(C_FuelStreams!BU:BU,C_FuelStreams!BI:BI,P633))</f>
        <v/>
      </c>
      <c r="T638" s="142"/>
      <c r="U638" s="115"/>
      <c r="W638" s="561" t="str">
        <f t="shared" si="359"/>
        <v/>
      </c>
      <c r="X638" s="561" t="str">
        <f t="shared" si="359"/>
        <v/>
      </c>
      <c r="Y638" s="561" t="str">
        <f t="shared" si="359"/>
        <v/>
      </c>
      <c r="Z638" s="561" t="str">
        <f t="shared" si="359"/>
        <v/>
      </c>
      <c r="AA638" s="561" t="str">
        <f t="shared" si="359"/>
        <v/>
      </c>
      <c r="AB638" s="561" t="str">
        <f>IF(E638="","",OR(W638&lt;&gt;W628,X638&lt;&gt;X628,Z638&lt;&gt;Z628))</f>
        <v/>
      </c>
      <c r="AC638" s="567"/>
      <c r="AD638" s="561" t="str">
        <f t="shared" si="368"/>
        <v/>
      </c>
      <c r="AE638" s="561" t="str">
        <f t="shared" si="368"/>
        <v>n.a.</v>
      </c>
      <c r="AF638" s="561" t="str">
        <f t="shared" si="368"/>
        <v>n.a.</v>
      </c>
      <c r="AG638" s="561" t="str">
        <f t="shared" si="368"/>
        <v>n.a.</v>
      </c>
      <c r="AH638" s="561" t="b">
        <f t="shared" si="368"/>
        <v>0</v>
      </c>
      <c r="AI638" s="561" t="b">
        <f t="shared" si="368"/>
        <v>0</v>
      </c>
      <c r="AJ638" s="582" t="str">
        <f t="shared" si="366"/>
        <v/>
      </c>
      <c r="AK638" s="582" t="str">
        <f t="shared" si="367"/>
        <v/>
      </c>
      <c r="AL638" s="582" t="str">
        <f t="shared" si="362"/>
        <v/>
      </c>
    </row>
    <row r="639" spans="1:38" ht="12.75" customHeight="1" thickBot="1" x14ac:dyDescent="0.3">
      <c r="B639" s="132"/>
      <c r="C639" s="132"/>
      <c r="D639" s="1388"/>
      <c r="E639" s="43"/>
      <c r="F639" s="47"/>
      <c r="G639" s="641" t="str">
        <f t="shared" si="363"/>
        <v/>
      </c>
      <c r="H639" s="641" t="str">
        <f t="shared" si="364"/>
        <v/>
      </c>
      <c r="I639" s="48"/>
      <c r="J639" s="642" t="str">
        <f t="shared" si="356"/>
        <v/>
      </c>
      <c r="K639" s="642" t="str">
        <f t="shared" si="357"/>
        <v/>
      </c>
      <c r="L639" s="642" t="str">
        <f t="shared" si="358"/>
        <v/>
      </c>
      <c r="M639" s="116"/>
      <c r="N639" s="648" t="str">
        <f>H631</f>
        <v/>
      </c>
      <c r="O639" s="22"/>
      <c r="P639" s="649"/>
      <c r="Q639" s="650" t="str">
        <f>IF(H647="","",H647)</f>
        <v/>
      </c>
      <c r="R639" s="116"/>
      <c r="S639" s="651" t="str">
        <f>IF(P633="","",SUMIFS(C_FuelStreams!BR:BR,C_FuelStreams!BI:BI,P633))</f>
        <v/>
      </c>
      <c r="T639" s="142"/>
      <c r="U639" s="115"/>
      <c r="W639" s="561" t="str">
        <f t="shared" si="359"/>
        <v/>
      </c>
      <c r="X639" s="561" t="str">
        <f t="shared" si="359"/>
        <v/>
      </c>
      <c r="Y639" s="561" t="str">
        <f t="shared" si="359"/>
        <v/>
      </c>
      <c r="Z639" s="561" t="str">
        <f t="shared" si="359"/>
        <v/>
      </c>
      <c r="AA639" s="561" t="str">
        <f t="shared" si="359"/>
        <v/>
      </c>
      <c r="AB639" s="561" t="str">
        <f>IF(E639="","",OR(W639&lt;&gt;W628,X639&lt;&gt;X628,Z639&lt;&gt;Z628))</f>
        <v/>
      </c>
      <c r="AC639" s="567"/>
      <c r="AD639" s="561" t="str">
        <f t="shared" si="368"/>
        <v/>
      </c>
      <c r="AE639" s="561" t="str">
        <f t="shared" si="368"/>
        <v>n.a.</v>
      </c>
      <c r="AF639" s="561" t="str">
        <f t="shared" si="368"/>
        <v>n.a.</v>
      </c>
      <c r="AG639" s="561" t="str">
        <f t="shared" si="368"/>
        <v>n.a.</v>
      </c>
      <c r="AH639" s="561" t="b">
        <f t="shared" si="368"/>
        <v>0</v>
      </c>
      <c r="AI639" s="561" t="b">
        <f t="shared" si="368"/>
        <v>0</v>
      </c>
      <c r="AJ639" s="582" t="str">
        <f t="shared" si="366"/>
        <v/>
      </c>
      <c r="AK639" s="582" t="str">
        <f t="shared" si="367"/>
        <v/>
      </c>
      <c r="AL639" s="582" t="str">
        <f t="shared" si="362"/>
        <v/>
      </c>
    </row>
    <row r="640" spans="1:38" ht="12.75" customHeight="1" x14ac:dyDescent="0.25">
      <c r="B640" s="132"/>
      <c r="C640" s="132"/>
      <c r="D640" s="1388"/>
      <c r="E640" s="43"/>
      <c r="F640" s="47"/>
      <c r="G640" s="641" t="str">
        <f t="shared" si="363"/>
        <v/>
      </c>
      <c r="H640" s="641" t="str">
        <f t="shared" si="364"/>
        <v/>
      </c>
      <c r="I640" s="48"/>
      <c r="J640" s="642" t="str">
        <f t="shared" si="356"/>
        <v/>
      </c>
      <c r="K640" s="642" t="str">
        <f t="shared" si="357"/>
        <v/>
      </c>
      <c r="L640" s="642" t="str">
        <f t="shared" si="358"/>
        <v/>
      </c>
      <c r="M640" s="116"/>
      <c r="N640" s="652" t="s">
        <v>46</v>
      </c>
      <c r="O640" s="411"/>
      <c r="P640" s="653"/>
      <c r="Q640" s="654" t="str">
        <f>IF(I647="","",I647)</f>
        <v/>
      </c>
      <c r="R640" s="116"/>
      <c r="S640" s="655" t="str">
        <f>IF(P633="","",SUMIFS(C_FuelStreams!BX:BX,C_FuelStreams!BI:BI,P633))</f>
        <v/>
      </c>
      <c r="T640" s="142"/>
      <c r="U640" s="115"/>
      <c r="W640" s="561" t="str">
        <f t="shared" si="359"/>
        <v/>
      </c>
      <c r="X640" s="561" t="str">
        <f t="shared" si="359"/>
        <v/>
      </c>
      <c r="Y640" s="561" t="str">
        <f t="shared" si="359"/>
        <v/>
      </c>
      <c r="Z640" s="561" t="str">
        <f t="shared" si="359"/>
        <v/>
      </c>
      <c r="AA640" s="561" t="str">
        <f t="shared" si="359"/>
        <v/>
      </c>
      <c r="AB640" s="561" t="str">
        <f>IF(E640="","",OR(W640&lt;&gt;W628,X640&lt;&gt;X628,Z640&lt;&gt;Z628))</f>
        <v/>
      </c>
      <c r="AC640" s="567"/>
      <c r="AD640" s="561" t="str">
        <f t="shared" si="368"/>
        <v/>
      </c>
      <c r="AE640" s="561" t="str">
        <f t="shared" si="368"/>
        <v>n.a.</v>
      </c>
      <c r="AF640" s="561" t="str">
        <f t="shared" si="368"/>
        <v>n.a.</v>
      </c>
      <c r="AG640" s="561" t="str">
        <f t="shared" si="368"/>
        <v>n.a.</v>
      </c>
      <c r="AH640" s="561" t="b">
        <f t="shared" si="368"/>
        <v>0</v>
      </c>
      <c r="AI640" s="561" t="b">
        <f t="shared" si="368"/>
        <v>0</v>
      </c>
      <c r="AJ640" s="582" t="str">
        <f t="shared" si="366"/>
        <v/>
      </c>
      <c r="AK640" s="582" t="str">
        <f t="shared" si="367"/>
        <v/>
      </c>
      <c r="AL640" s="582" t="str">
        <f t="shared" si="362"/>
        <v/>
      </c>
    </row>
    <row r="641" spans="1:38" ht="12.75" customHeight="1" x14ac:dyDescent="0.25">
      <c r="B641" s="132"/>
      <c r="C641" s="132"/>
      <c r="D641" s="1388"/>
      <c r="E641" s="43"/>
      <c r="F641" s="47"/>
      <c r="G641" s="641" t="str">
        <f t="shared" si="363"/>
        <v/>
      </c>
      <c r="H641" s="641" t="str">
        <f t="shared" si="364"/>
        <v/>
      </c>
      <c r="I641" s="48"/>
      <c r="J641" s="642" t="str">
        <f t="shared" si="356"/>
        <v/>
      </c>
      <c r="K641" s="642" t="str">
        <f t="shared" si="357"/>
        <v/>
      </c>
      <c r="L641" s="642" t="str">
        <f t="shared" si="358"/>
        <v/>
      </c>
      <c r="M641" s="1395"/>
      <c r="N641" s="116"/>
      <c r="O641" s="116"/>
      <c r="P641" s="116"/>
      <c r="Q641" s="116"/>
      <c r="R641" s="116"/>
      <c r="S641" s="132"/>
      <c r="T641" s="142"/>
      <c r="U641" s="115"/>
      <c r="W641" s="561" t="str">
        <f t="shared" si="359"/>
        <v/>
      </c>
      <c r="X641" s="561" t="str">
        <f t="shared" si="359"/>
        <v/>
      </c>
      <c r="Y641" s="561" t="str">
        <f t="shared" si="359"/>
        <v/>
      </c>
      <c r="Z641" s="561" t="str">
        <f t="shared" si="359"/>
        <v/>
      </c>
      <c r="AA641" s="561" t="str">
        <f t="shared" si="359"/>
        <v/>
      </c>
      <c r="AB641" s="561" t="str">
        <f>IF(E641="","",OR(W641&lt;&gt;W628,X641&lt;&gt;X628,Z641&lt;&gt;Z628))</f>
        <v/>
      </c>
      <c r="AC641" s="567"/>
      <c r="AD641" s="561" t="str">
        <f t="shared" si="368"/>
        <v/>
      </c>
      <c r="AE641" s="561" t="str">
        <f t="shared" si="368"/>
        <v>n.a.</v>
      </c>
      <c r="AF641" s="561" t="str">
        <f t="shared" si="368"/>
        <v>n.a.</v>
      </c>
      <c r="AG641" s="561" t="str">
        <f t="shared" si="368"/>
        <v>n.a.</v>
      </c>
      <c r="AH641" s="561" t="b">
        <f t="shared" si="368"/>
        <v>0</v>
      </c>
      <c r="AI641" s="561" t="b">
        <f t="shared" si="368"/>
        <v>0</v>
      </c>
      <c r="AJ641" s="582" t="str">
        <f t="shared" si="366"/>
        <v/>
      </c>
      <c r="AK641" s="582" t="str">
        <f t="shared" si="367"/>
        <v/>
      </c>
      <c r="AL641" s="582" t="str">
        <f t="shared" si="362"/>
        <v/>
      </c>
    </row>
    <row r="642" spans="1:38" ht="12.75" customHeight="1" x14ac:dyDescent="0.25">
      <c r="B642" s="132"/>
      <c r="C642" s="132"/>
      <c r="D642" s="1388" t="str">
        <f>Translations!$B$643</f>
        <v>Customised components</v>
      </c>
      <c r="E642" s="42"/>
      <c r="F642" s="45"/>
      <c r="G642" s="49"/>
      <c r="H642" s="49"/>
      <c r="I642" s="46"/>
      <c r="J642" s="640" t="str">
        <f t="shared" si="356"/>
        <v/>
      </c>
      <c r="K642" s="640" t="str">
        <f t="shared" si="357"/>
        <v/>
      </c>
      <c r="L642" s="640" t="str">
        <f t="shared" si="358"/>
        <v/>
      </c>
      <c r="M642" s="1395"/>
      <c r="N642" s="116"/>
      <c r="O642" s="116"/>
      <c r="P642" s="656" t="str">
        <f>Translations!$B$644</f>
        <v>CO2 fossil (before scope factor):</v>
      </c>
      <c r="Q642" s="997" t="str">
        <f>IF(K647="","",K647)</f>
        <v/>
      </c>
      <c r="R642" s="656"/>
      <c r="S642" s="997" t="str">
        <f>IF(P633="","",IF(W642=0,0,SUMIFS(C_FuelStreams!CE:CE,C_FuelStreams!BI:BI,P633)/W642))</f>
        <v/>
      </c>
      <c r="T642" s="142"/>
      <c r="U642" s="115"/>
      <c r="V642" s="110" t="str">
        <f>Translations!$B$398</f>
        <v>Scope factor:</v>
      </c>
      <c r="W642" s="617" t="str">
        <f>IF(P633="","",SUMIFS(C_FuelStreams!BP:BP,C_FuelStreams!BI:BI,P633))</f>
        <v/>
      </c>
      <c r="AD642" s="561" t="str">
        <f t="shared" si="368"/>
        <v/>
      </c>
      <c r="AE642" s="561" t="str">
        <f t="shared" si="368"/>
        <v>n.a.</v>
      </c>
      <c r="AF642" s="561" t="str">
        <f t="shared" si="368"/>
        <v>n.a.</v>
      </c>
      <c r="AG642" s="561" t="str">
        <f t="shared" si="368"/>
        <v>n.a.</v>
      </c>
      <c r="AH642" s="561" t="b">
        <f t="shared" si="368"/>
        <v>0</v>
      </c>
      <c r="AI642" s="561" t="b">
        <f t="shared" si="368"/>
        <v>0</v>
      </c>
      <c r="AJ642" s="582" t="str">
        <f t="shared" si="366"/>
        <v/>
      </c>
      <c r="AK642" s="582" t="str">
        <f t="shared" si="367"/>
        <v/>
      </c>
      <c r="AL642" s="582" t="str">
        <f t="shared" si="362"/>
        <v/>
      </c>
    </row>
    <row r="643" spans="1:38" ht="12.75" customHeight="1" x14ac:dyDescent="0.25">
      <c r="B643" s="132"/>
      <c r="C643" s="132"/>
      <c r="D643" s="1388"/>
      <c r="E643" s="43"/>
      <c r="F643" s="47"/>
      <c r="G643" s="50"/>
      <c r="H643" s="50"/>
      <c r="I643" s="48"/>
      <c r="J643" s="642" t="str">
        <f t="shared" si="356"/>
        <v/>
      </c>
      <c r="K643" s="642" t="str">
        <f t="shared" si="357"/>
        <v/>
      </c>
      <c r="L643" s="642" t="str">
        <f t="shared" si="358"/>
        <v/>
      </c>
      <c r="M643" s="1395"/>
      <c r="N643" s="116"/>
      <c r="O643" s="116"/>
      <c r="P643" s="116"/>
      <c r="Q643" s="116"/>
      <c r="R643" s="116"/>
      <c r="S643" s="132"/>
      <c r="T643" s="142"/>
      <c r="U643" s="115"/>
      <c r="AD643" s="561" t="str">
        <f t="shared" si="368"/>
        <v/>
      </c>
      <c r="AE643" s="561" t="str">
        <f t="shared" si="368"/>
        <v>n.a.</v>
      </c>
      <c r="AF643" s="561" t="str">
        <f t="shared" si="368"/>
        <v>n.a.</v>
      </c>
      <c r="AG643" s="561" t="str">
        <f t="shared" si="368"/>
        <v>n.a.</v>
      </c>
      <c r="AH643" s="561" t="b">
        <f t="shared" si="368"/>
        <v>0</v>
      </c>
      <c r="AI643" s="561" t="b">
        <f t="shared" si="368"/>
        <v>0</v>
      </c>
      <c r="AJ643" s="582" t="str">
        <f t="shared" si="366"/>
        <v/>
      </c>
      <c r="AK643" s="582" t="str">
        <f t="shared" si="367"/>
        <v/>
      </c>
      <c r="AL643" s="582" t="str">
        <f t="shared" si="362"/>
        <v/>
      </c>
    </row>
    <row r="644" spans="1:38" ht="12.75" customHeight="1" x14ac:dyDescent="0.25">
      <c r="B644" s="132"/>
      <c r="C644" s="132"/>
      <c r="D644" s="1388"/>
      <c r="E644" s="43"/>
      <c r="F644" s="47"/>
      <c r="G644" s="50"/>
      <c r="H644" s="50"/>
      <c r="I644" s="48"/>
      <c r="J644" s="642" t="str">
        <f t="shared" si="356"/>
        <v/>
      </c>
      <c r="K644" s="642" t="str">
        <f t="shared" si="357"/>
        <v/>
      </c>
      <c r="L644" s="642" t="str">
        <f t="shared" si="358"/>
        <v/>
      </c>
      <c r="M644" s="1395"/>
      <c r="N644" s="116"/>
      <c r="O644" s="116"/>
      <c r="P644" s="116"/>
      <c r="Q644" s="116"/>
      <c r="R644" s="116"/>
      <c r="S644" s="132"/>
      <c r="T644" s="142"/>
      <c r="U644" s="115"/>
      <c r="AD644" s="561" t="str">
        <f t="shared" si="368"/>
        <v/>
      </c>
      <c r="AE644" s="561" t="str">
        <f t="shared" si="368"/>
        <v>n.a.</v>
      </c>
      <c r="AF644" s="561" t="str">
        <f t="shared" si="368"/>
        <v>n.a.</v>
      </c>
      <c r="AG644" s="561" t="str">
        <f t="shared" si="368"/>
        <v>n.a.</v>
      </c>
      <c r="AH644" s="561" t="b">
        <f t="shared" si="368"/>
        <v>0</v>
      </c>
      <c r="AI644" s="561" t="b">
        <f t="shared" si="368"/>
        <v>0</v>
      </c>
      <c r="AJ644" s="582" t="str">
        <f t="shared" si="366"/>
        <v/>
      </c>
      <c r="AK644" s="582" t="str">
        <f t="shared" si="367"/>
        <v/>
      </c>
      <c r="AL644" s="582" t="str">
        <f t="shared" si="362"/>
        <v/>
      </c>
    </row>
    <row r="645" spans="1:38" ht="12.75" customHeight="1" x14ac:dyDescent="0.25">
      <c r="B645" s="132"/>
      <c r="C645" s="132"/>
      <c r="D645" s="1388"/>
      <c r="E645" s="43"/>
      <c r="F645" s="47"/>
      <c r="G645" s="50"/>
      <c r="H645" s="50"/>
      <c r="I645" s="48"/>
      <c r="J645" s="642" t="str">
        <f t="shared" si="356"/>
        <v/>
      </c>
      <c r="K645" s="642" t="str">
        <f t="shared" si="357"/>
        <v/>
      </c>
      <c r="L645" s="642" t="str">
        <f t="shared" si="358"/>
        <v/>
      </c>
      <c r="M645" s="1395"/>
      <c r="N645" s="116"/>
      <c r="O645" s="116"/>
      <c r="P645" s="116"/>
      <c r="Q645" s="116"/>
      <c r="R645" s="116"/>
      <c r="S645" s="132"/>
      <c r="T645" s="142"/>
      <c r="U645" s="115"/>
      <c r="AD645" s="561" t="str">
        <f t="shared" si="368"/>
        <v/>
      </c>
      <c r="AE645" s="561" t="str">
        <f t="shared" si="368"/>
        <v>n.a.</v>
      </c>
      <c r="AF645" s="561" t="str">
        <f t="shared" si="368"/>
        <v>n.a.</v>
      </c>
      <c r="AG645" s="561" t="str">
        <f t="shared" si="368"/>
        <v>n.a.</v>
      </c>
      <c r="AH645" s="561" t="b">
        <f t="shared" si="368"/>
        <v>0</v>
      </c>
      <c r="AI645" s="561" t="b">
        <f t="shared" si="368"/>
        <v>0</v>
      </c>
      <c r="AJ645" s="582" t="str">
        <f t="shared" si="366"/>
        <v/>
      </c>
      <c r="AK645" s="582" t="str">
        <f t="shared" si="367"/>
        <v/>
      </c>
      <c r="AL645" s="582" t="str">
        <f t="shared" si="362"/>
        <v/>
      </c>
    </row>
    <row r="646" spans="1:38" ht="12.75" customHeight="1" x14ac:dyDescent="0.25">
      <c r="B646" s="132"/>
      <c r="C646" s="132"/>
      <c r="D646" s="1388"/>
      <c r="E646" s="44"/>
      <c r="F646" s="51"/>
      <c r="G646" s="52"/>
      <c r="H646" s="52"/>
      <c r="I646" s="53"/>
      <c r="J646" s="657" t="str">
        <f t="shared" si="356"/>
        <v/>
      </c>
      <c r="K646" s="657" t="str">
        <f t="shared" si="357"/>
        <v/>
      </c>
      <c r="L646" s="657" t="str">
        <f t="shared" si="358"/>
        <v/>
      </c>
      <c r="M646" s="1395"/>
      <c r="N646" s="116"/>
      <c r="O646" s="116"/>
      <c r="P646" s="116"/>
      <c r="Q646" s="116"/>
      <c r="R646" s="116"/>
      <c r="S646" s="132"/>
      <c r="T646" s="142"/>
      <c r="U646" s="115"/>
      <c r="AD646" s="561" t="str">
        <f t="shared" si="368"/>
        <v/>
      </c>
      <c r="AE646" s="561" t="str">
        <f t="shared" si="368"/>
        <v>n.a.</v>
      </c>
      <c r="AF646" s="561" t="str">
        <f t="shared" si="368"/>
        <v>n.a.</v>
      </c>
      <c r="AG646" s="561" t="str">
        <f t="shared" si="368"/>
        <v>n.a.</v>
      </c>
      <c r="AH646" s="561" t="b">
        <f t="shared" si="368"/>
        <v>0</v>
      </c>
      <c r="AI646" s="561" t="b">
        <f t="shared" si="368"/>
        <v>0</v>
      </c>
      <c r="AJ646" s="582" t="str">
        <f t="shared" si="366"/>
        <v/>
      </c>
      <c r="AK646" s="582" t="str">
        <f t="shared" si="367"/>
        <v/>
      </c>
      <c r="AL646" s="582" t="str">
        <f t="shared" si="362"/>
        <v/>
      </c>
    </row>
    <row r="647" spans="1:38" ht="12.75" customHeight="1" x14ac:dyDescent="0.25">
      <c r="B647" s="132"/>
      <c r="C647" s="132"/>
      <c r="D647" s="132"/>
      <c r="E647" s="658" t="str">
        <f>Translations!$B$645</f>
        <v>TOTALS</v>
      </c>
      <c r="F647" s="659" t="str">
        <f>IF(SUM(F632:F646)=0,"",SUM(F632:F646))</f>
        <v/>
      </c>
      <c r="G647" s="660" t="str">
        <f>IF(SUM(F647)=0,"",J647/F647)</f>
        <v/>
      </c>
      <c r="H647" s="660" t="str">
        <f>IF(SUM(J647)=0,"",SUM(K647:L647)/IF(AF632&lt;&gt;EUconst_NA,F647,J647)/IF(AG632=EUconst_NA,1,AG632))</f>
        <v/>
      </c>
      <c r="I647" s="661" t="str">
        <f>IF(SUM(K647:L647)=0,"",L647/SUM(K647:L647))</f>
        <v/>
      </c>
      <c r="J647" s="659" t="str">
        <f>IF(COUNTA(E632:E646)=0,"",IFERROR(SUM(J632:J646),EUconst_ERR_Inconsistent))</f>
        <v/>
      </c>
      <c r="K647" s="659" t="str">
        <f>IF(COUNTA(E632:E646)=0,"",IFERROR(SUM(K632:K646),EUconst_ERR_Inconsistent))</f>
        <v/>
      </c>
      <c r="L647" s="659" t="str">
        <f>IF(COUNTA(E632:E646)=0,"",IFERROR(SUM(L632:L646),EUconst_ERR_Inconsistent))</f>
        <v/>
      </c>
      <c r="M647" s="1395"/>
      <c r="N647" s="116"/>
      <c r="O647" s="116"/>
      <c r="P647" s="116"/>
      <c r="Q647" s="116"/>
      <c r="R647" s="116"/>
      <c r="S647" s="132"/>
      <c r="T647" s="142"/>
      <c r="U647" s="115"/>
    </row>
    <row r="648" spans="1:38" ht="12.75" customHeight="1" x14ac:dyDescent="0.25">
      <c r="B648" s="132"/>
      <c r="C648" s="132"/>
      <c r="D648" s="132"/>
      <c r="E648" s="191"/>
      <c r="F648" s="116"/>
      <c r="G648" s="116"/>
      <c r="H648" s="116"/>
      <c r="I648" s="116"/>
      <c r="J648" s="116"/>
      <c r="K648" s="116"/>
      <c r="L648" s="116"/>
      <c r="M648" s="116"/>
      <c r="N648" s="116"/>
      <c r="O648" s="116"/>
      <c r="P648" s="116"/>
      <c r="Q648" s="116"/>
      <c r="R648" s="116"/>
      <c r="S648" s="132"/>
      <c r="T648" s="142"/>
      <c r="U648" s="115"/>
    </row>
    <row r="649" spans="1:38" s="69" customFormat="1" ht="18.75" customHeight="1" x14ac:dyDescent="0.25">
      <c r="A649" s="167">
        <f>C649</f>
        <v>28</v>
      </c>
      <c r="B649" s="76"/>
      <c r="C649" s="216">
        <f>C626+1</f>
        <v>28</v>
      </c>
      <c r="D649" s="1195" t="str">
        <f>"Tool " &amp;C649-2</f>
        <v>Tool 26</v>
      </c>
      <c r="E649" s="1195"/>
      <c r="F649" s="1195"/>
      <c r="G649" s="1195"/>
      <c r="H649" s="1195"/>
      <c r="I649" s="1195"/>
      <c r="J649" s="1195"/>
      <c r="K649" s="1195"/>
      <c r="L649" s="1195"/>
      <c r="M649" s="1195"/>
      <c r="N649" s="1195"/>
      <c r="O649" s="1195"/>
      <c r="P649" s="1195"/>
      <c r="Q649" s="1195"/>
      <c r="R649" s="1195"/>
      <c r="S649" s="1195"/>
      <c r="T649" s="142"/>
      <c r="U649" s="115"/>
      <c r="V649" s="464" t="str">
        <f>D649</f>
        <v>Tool 26</v>
      </c>
      <c r="W649" s="110"/>
      <c r="X649" s="110"/>
      <c r="Y649" s="110"/>
      <c r="Z649" s="110"/>
      <c r="AA649" s="109"/>
      <c r="AB649" s="109"/>
      <c r="AC649" s="109"/>
      <c r="AD649" s="109"/>
      <c r="AE649" s="109"/>
      <c r="AF649" s="109"/>
      <c r="AG649" s="109"/>
      <c r="AH649" s="109"/>
      <c r="AI649" s="109"/>
      <c r="AJ649" s="109"/>
      <c r="AK649" s="109"/>
      <c r="AL649" s="109"/>
    </row>
    <row r="650" spans="1:38" ht="12.75" customHeight="1" x14ac:dyDescent="0.25">
      <c r="B650" s="132"/>
      <c r="C650" s="132"/>
      <c r="D650" s="132"/>
      <c r="E650" s="191"/>
      <c r="F650" s="116"/>
      <c r="G650" s="116"/>
      <c r="H650" s="116"/>
      <c r="I650" s="116"/>
      <c r="J650" s="116"/>
      <c r="K650" s="116"/>
      <c r="L650" s="116"/>
      <c r="M650" s="116"/>
      <c r="N650" s="116"/>
      <c r="O650" s="116"/>
      <c r="P650" s="116"/>
      <c r="Q650" s="116"/>
      <c r="R650" s="116"/>
      <c r="S650" s="132"/>
      <c r="T650" s="142"/>
      <c r="U650" s="115"/>
    </row>
    <row r="651" spans="1:38" ht="12.75" customHeight="1" x14ac:dyDescent="0.25">
      <c r="B651" s="132"/>
      <c r="C651" s="132"/>
      <c r="D651" s="1377" t="str">
        <f>Translations!$B$631</f>
        <v>Component</v>
      </c>
      <c r="E651" s="1378"/>
      <c r="F651" s="633">
        <v>1</v>
      </c>
      <c r="G651" s="633">
        <v>2</v>
      </c>
      <c r="H651" s="633">
        <v>3</v>
      </c>
      <c r="I651" s="633">
        <v>4</v>
      </c>
      <c r="J651" s="633">
        <v>5</v>
      </c>
      <c r="K651" s="633">
        <v>6</v>
      </c>
      <c r="L651" s="633">
        <v>7</v>
      </c>
      <c r="M651" s="116"/>
      <c r="N651" s="116"/>
      <c r="O651" s="116"/>
      <c r="P651" s="116"/>
      <c r="Q651" s="116"/>
      <c r="R651" s="116"/>
      <c r="S651" s="132"/>
      <c r="T651" s="142"/>
      <c r="U651" s="115"/>
      <c r="V651" s="566" t="str">
        <f>Translations!$B$498</f>
        <v>Units:</v>
      </c>
      <c r="W651" s="561" t="str" cm="1">
        <f t="array" ref="W651">IFERROR(INDEX(_xlfn._xlws.FILTER(W655:W664,(W655:W664)&lt;&gt;"",""),1),W652)</f>
        <v/>
      </c>
      <c r="X651" s="561" t="str" cm="1">
        <f t="array" ref="X651">IFERROR(INDEX(_xlfn._xlws.FILTER(X655:X664,(X655:X664)&lt;&gt;"",""),1),X652)</f>
        <v/>
      </c>
      <c r="Y651" s="567"/>
      <c r="Z651" s="561" t="str" cm="1">
        <f t="array" ref="Z651">IFERROR(INDEX(_xlfn._xlws.FILTER(Z655:Z664,(Z655:Z664)&lt;&gt;"",""),1),Z652)</f>
        <v/>
      </c>
      <c r="AA651" s="567"/>
    </row>
    <row r="652" spans="1:38" ht="12.75" customHeight="1" x14ac:dyDescent="0.25">
      <c r="B652" s="132"/>
      <c r="C652" s="132"/>
      <c r="D652" s="1379"/>
      <c r="E652" s="1380"/>
      <c r="F652" s="1383" t="str">
        <f>Translations!$B$377</f>
        <v>RFA</v>
      </c>
      <c r="G652" s="1383" t="str">
        <f>Translations!$B$386</f>
        <v>UCF</v>
      </c>
      <c r="H652" s="1383" t="str">
        <f>Translations!$B$383</f>
        <v>EF</v>
      </c>
      <c r="I652" s="1383" t="str">
        <f>Translations!$B$632</f>
        <v>Zero-rated F</v>
      </c>
      <c r="J652" s="1385" t="str">
        <f>Translations!$B$652</f>
        <v>Energy or other</v>
      </c>
      <c r="K652" s="1385" t="str">
        <f>Translations!$B$522</f>
        <v>Emissions (fossil)</v>
      </c>
      <c r="L652" s="1385" t="str">
        <f>Translations!$B$634</f>
        <v>Emissions (bio)</v>
      </c>
      <c r="M652" s="116"/>
      <c r="N652" s="116"/>
      <c r="O652" s="116"/>
      <c r="P652" s="116"/>
      <c r="Q652" s="116"/>
      <c r="R652" s="116"/>
      <c r="S652" s="132"/>
      <c r="T652" s="142"/>
      <c r="U652" s="115"/>
      <c r="W652" s="561" t="str">
        <f t="array" ref="W652">IFERROR(INDEX(W655:W664,MATCH(TRUE,(W655:W664)&lt;&gt;"",0)),"")</f>
        <v/>
      </c>
      <c r="X652" s="561" t="str">
        <f t="array" ref="X652">IFERROR(INDEX(X655:X664,MATCH(TRUE,(X655:X664)&lt;&gt;"",0)),"")</f>
        <v/>
      </c>
      <c r="Y652" s="567"/>
      <c r="Z652" s="561" t="str">
        <f t="array" ref="Z652">IFERROR(INDEX(Z655:Z664,MATCH(TRUE,(Z655:Z664)&lt;&gt;"",0)),"")</f>
        <v/>
      </c>
      <c r="AA652" s="567"/>
    </row>
    <row r="653" spans="1:38" ht="12.75" customHeight="1" x14ac:dyDescent="0.3">
      <c r="B653" s="132"/>
      <c r="C653" s="132"/>
      <c r="D653" s="1379"/>
      <c r="E653" s="1380"/>
      <c r="F653" s="1384"/>
      <c r="G653" s="1384"/>
      <c r="H653" s="1384"/>
      <c r="I653" s="1384"/>
      <c r="J653" s="1386"/>
      <c r="K653" s="1386"/>
      <c r="L653" s="1386"/>
      <c r="M653" s="116"/>
      <c r="N653" s="634" t="str">
        <f>Translations!$B$635</f>
        <v>Result to be entered in sheet C</v>
      </c>
      <c r="O653" s="116"/>
      <c r="P653" s="116"/>
      <c r="Q653" s="116"/>
      <c r="R653" s="116"/>
      <c r="S653" s="132"/>
      <c r="T653" s="142"/>
      <c r="U653" s="115"/>
      <c r="W653" s="569" t="str">
        <f>Translations!$B$377</f>
        <v>RFA</v>
      </c>
      <c r="X653" s="569" t="str">
        <f>Translations!$B$386</f>
        <v>UCF</v>
      </c>
      <c r="Y653" s="569"/>
      <c r="Z653" s="569" t="str">
        <f>Translations!$B$383</f>
        <v>EF</v>
      </c>
      <c r="AA653" s="569"/>
      <c r="AB653" s="570"/>
      <c r="AC653" s="570"/>
      <c r="AH653" s="570"/>
      <c r="AI653" s="570"/>
      <c r="AJ653" s="570"/>
    </row>
    <row r="654" spans="1:38" ht="12.75" customHeight="1" x14ac:dyDescent="0.3">
      <c r="B654" s="132"/>
      <c r="C654" s="132"/>
      <c r="D654" s="1381"/>
      <c r="E654" s="1382"/>
      <c r="F654" s="635" t="str">
        <f>IF(COUNTA($E655:$E669)=0,"",$W651)</f>
        <v/>
      </c>
      <c r="G654" s="635" t="str">
        <f>IF(COUNTA($E655:$E669)=0,"",$X651)</f>
        <v/>
      </c>
      <c r="H654" s="635" t="str">
        <f>IF(COUNTA($E655:$E669)=0,"",$Z651)</f>
        <v/>
      </c>
      <c r="I654" s="636" t="s">
        <v>46</v>
      </c>
      <c r="J654" s="635" t="str">
        <f>IF(AE655=EUconst_NA,EUconst_GJ,AE655)</f>
        <v>GJ</v>
      </c>
      <c r="K654" s="637" t="s">
        <v>188</v>
      </c>
      <c r="L654" s="637" t="s">
        <v>188</v>
      </c>
      <c r="M654" s="116"/>
      <c r="N654" s="1387" t="str">
        <f>Translations!$B$636</f>
        <v>The results of this tool are the relevant (weighted average) values below. Each value has to be entered manually in sheet C for the respective fuel stream. Select fuel stream below for comparison.</v>
      </c>
      <c r="O654" s="1387"/>
      <c r="P654" s="1387"/>
      <c r="Q654" s="1387"/>
      <c r="R654" s="1387"/>
      <c r="S654" s="1387"/>
      <c r="T654" s="142"/>
      <c r="U654" s="115"/>
      <c r="W654" s="569" t="str">
        <f>EUconst_CNTR_ActivityData&amp;EUconst_Unit</f>
        <v>ActivityData_Unit</v>
      </c>
      <c r="X654" s="569" t="str">
        <f>EUconst_CNTR_UCF&amp;EUconst_Unit</f>
        <v>UCF_Unit</v>
      </c>
      <c r="Y654" s="569" t="str">
        <f>EUconst_CNTR_UCF&amp;EUconst_Value</f>
        <v>UCF_Value</v>
      </c>
      <c r="Z654" s="569" t="str">
        <f>EUconst_CNTR_EF&amp;EUconst_Unit</f>
        <v>EF_Unit</v>
      </c>
      <c r="AA654" s="569" t="str">
        <f>EUconst_CNTR_EF&amp;EUconst_Value</f>
        <v>EF_Value</v>
      </c>
      <c r="AB654" s="569" t="s">
        <v>189</v>
      </c>
      <c r="AC654" s="575"/>
      <c r="AD654" s="576" t="s">
        <v>147</v>
      </c>
      <c r="AE654" s="576" t="s">
        <v>151</v>
      </c>
      <c r="AF654" s="576" t="s">
        <v>153</v>
      </c>
      <c r="AG654" s="576" t="s">
        <v>155</v>
      </c>
      <c r="AH654" s="575"/>
      <c r="AI654" s="575"/>
      <c r="AJ654" s="575" t="s">
        <v>190</v>
      </c>
      <c r="AK654" s="575" t="s">
        <v>191</v>
      </c>
      <c r="AL654" s="575" t="s">
        <v>192</v>
      </c>
    </row>
    <row r="655" spans="1:38" ht="12.75" customHeight="1" x14ac:dyDescent="0.25">
      <c r="B655" s="132"/>
      <c r="C655" s="132"/>
      <c r="D655" s="1388" t="str">
        <f>Translations!$B$637</f>
        <v>Default compontents provided by the CA</v>
      </c>
      <c r="E655" s="42"/>
      <c r="F655" s="45"/>
      <c r="G655" s="639" t="str">
        <f>IF($E655="","",Y655)</f>
        <v/>
      </c>
      <c r="H655" s="639" t="str">
        <f>IF($E655="","",AA655)</f>
        <v/>
      </c>
      <c r="I655" s="46"/>
      <c r="J655" s="640" t="str">
        <f t="shared" ref="J655:J669" si="369">IFERROR(IF(E655="","",AL655),EUconst_ERR_Inconsistent)</f>
        <v/>
      </c>
      <c r="K655" s="640" t="str">
        <f t="shared" ref="K655:K669" si="370">IFERROR(IF(E655="","",AJ655),EUconst_ERR_Inconsistent)</f>
        <v/>
      </c>
      <c r="L655" s="640" t="str">
        <f t="shared" ref="L655:L669" si="371">IFERROR(IF(E655="","",AK655),EUconst_ERR_Inconsistent)</f>
        <v/>
      </c>
      <c r="M655" s="1389"/>
      <c r="N655" s="1387"/>
      <c r="O655" s="1387"/>
      <c r="P655" s="1387"/>
      <c r="Q655" s="1387"/>
      <c r="R655" s="1387"/>
      <c r="S655" s="1387"/>
      <c r="T655" s="142"/>
      <c r="U655" s="115"/>
      <c r="W655" s="561" t="str">
        <f t="shared" ref="W655:AA664" si="372">IF($E655="","",INDEX(MSPara_CalcFactorsMatrix,MATCH($E655,MSPara_SourceStreamCategory,0),MATCH(W$20&amp;"_"&amp;2,MSPara_CalcFactors,0)))</f>
        <v/>
      </c>
      <c r="X655" s="561" t="str">
        <f t="shared" si="372"/>
        <v/>
      </c>
      <c r="Y655" s="561" t="str">
        <f t="shared" si="372"/>
        <v/>
      </c>
      <c r="Z655" s="561" t="str">
        <f t="shared" si="372"/>
        <v/>
      </c>
      <c r="AA655" s="561" t="str">
        <f t="shared" si="372"/>
        <v/>
      </c>
      <c r="AB655" s="561" t="str">
        <f>IF(E655="","",OR(W655&lt;&gt;W651,X655&lt;&gt;X651,Z655&lt;&gt;Z651))</f>
        <v/>
      </c>
      <c r="AC655" s="567"/>
      <c r="AD655" s="561" t="str">
        <f>W655</f>
        <v/>
      </c>
      <c r="AE655" s="561" t="str">
        <f>IF(X655="",EUconst_NA,IF(AD655=EUconst_TJ,EUconst_TJ,INDEX(EUwideConstants!$C$135:$G$139,MATCH(AD655,RFAUnits,0),MATCH(X655,UCFUnits,0))))</f>
        <v>n.a.</v>
      </c>
      <c r="AF655" s="561" t="str">
        <f>IF(COUNTIF(RFAUnits,AD655)=0,EUconst_NA,INDEX(EUwideConstants!$C$150:$H$154,MATCH(Z655,EFUnits,0),MATCH(AD655,EUwideConstants!$C$149:$H$149,0)))</f>
        <v>n.a.</v>
      </c>
      <c r="AG655" s="561" t="str">
        <f>IF(AE655=EUconst_NA,EUconst_NA,INDEX(EUwideConstants!$C$150:$H$154,MATCH(Z655,EFUnits,0),MATCH(AE655,EUwideConstants!$C$149:$H$149,0)))</f>
        <v>n.a.</v>
      </c>
      <c r="AH655" s="561" t="b">
        <f t="shared" ref="AH655" si="373">AF655&lt;&gt;EUconst_NA</f>
        <v>0</v>
      </c>
      <c r="AI655" s="561" t="b">
        <f t="shared" ref="AI655" si="374">AG655&lt;&gt;EUconst_NA</f>
        <v>0</v>
      </c>
      <c r="AJ655" s="582" t="str">
        <f>IF(OR(E655="",COUNTIF(AH655:AI655,TRUE)=0),"",F655*IF(AH655,1,G655*AG655)*H655*(1-I655))</f>
        <v/>
      </c>
      <c r="AK655" s="582" t="str">
        <f>IF(OR(E655="",COUNTIF(AH655:AI655,TRUE)=0),"",F655*IF(AH655,1,G655*AG655)*H655*I655)</f>
        <v/>
      </c>
      <c r="AL655" s="582" t="str">
        <f t="shared" ref="AL655:AL669" si="375">IF(E655="","",IF(W655=EUconst_TJ,F655,F655*G655))</f>
        <v/>
      </c>
    </row>
    <row r="656" spans="1:38" ht="12.75" customHeight="1" x14ac:dyDescent="0.25">
      <c r="B656" s="132"/>
      <c r="C656" s="132"/>
      <c r="D656" s="1388"/>
      <c r="E656" s="43"/>
      <c r="F656" s="47"/>
      <c r="G656" s="641" t="str">
        <f t="shared" ref="G656:G664" si="376">IF($E656="","",Y656)</f>
        <v/>
      </c>
      <c r="H656" s="641" t="str">
        <f t="shared" ref="H656:H664" si="377">IF($E656="","",AA656)</f>
        <v/>
      </c>
      <c r="I656" s="48"/>
      <c r="J656" s="642" t="str">
        <f t="shared" si="369"/>
        <v/>
      </c>
      <c r="K656" s="642" t="str">
        <f t="shared" si="370"/>
        <v/>
      </c>
      <c r="L656" s="642" t="str">
        <f t="shared" si="371"/>
        <v/>
      </c>
      <c r="M656" s="1389"/>
      <c r="N656" s="638"/>
      <c r="O656" s="643" t="str">
        <f>Translations!$B$639</f>
        <v>Fuel stream:</v>
      </c>
      <c r="P656" s="1390"/>
      <c r="Q656" s="1391"/>
      <c r="R656" s="1391"/>
      <c r="S656" s="1392"/>
      <c r="T656" s="142"/>
      <c r="U656" s="115"/>
      <c r="W656" s="561" t="str">
        <f t="shared" si="372"/>
        <v/>
      </c>
      <c r="X656" s="561" t="str">
        <f t="shared" si="372"/>
        <v/>
      </c>
      <c r="Y656" s="561" t="str">
        <f t="shared" si="372"/>
        <v/>
      </c>
      <c r="Z656" s="561" t="str">
        <f t="shared" si="372"/>
        <v/>
      </c>
      <c r="AA656" s="561" t="str">
        <f t="shared" si="372"/>
        <v/>
      </c>
      <c r="AB656" s="561" t="str">
        <f>IF(E656="","",OR(W656&lt;&gt;W651,X656&lt;&gt;X651,Z656&lt;&gt;Z651))</f>
        <v/>
      </c>
      <c r="AC656" s="567"/>
      <c r="AD656" s="561" t="str">
        <f>AD655</f>
        <v/>
      </c>
      <c r="AE656" s="561" t="str">
        <f t="shared" ref="AE656:AI656" si="378">AE655</f>
        <v>n.a.</v>
      </c>
      <c r="AF656" s="561" t="str">
        <f t="shared" si="378"/>
        <v>n.a.</v>
      </c>
      <c r="AG656" s="561" t="str">
        <f t="shared" si="378"/>
        <v>n.a.</v>
      </c>
      <c r="AH656" s="561" t="b">
        <f t="shared" si="378"/>
        <v>0</v>
      </c>
      <c r="AI656" s="561" t="b">
        <f t="shared" si="378"/>
        <v>0</v>
      </c>
      <c r="AJ656" s="582" t="str">
        <f t="shared" ref="AJ656:AJ669" si="379">IF(OR(E656="",COUNTIF(AH656:AI656,TRUE)=0),"",F656*IF(AH656,1,G656*AG656)*H656*(1-I656))</f>
        <v/>
      </c>
      <c r="AK656" s="582" t="str">
        <f t="shared" ref="AK656:AK669" si="380">IF(OR(E656="",COUNTIF(AH656:AI656,TRUE)=0),"",F656*IF(AH656,1,G656*AG656)*H656*I656)</f>
        <v/>
      </c>
      <c r="AL656" s="582" t="str">
        <f t="shared" si="375"/>
        <v/>
      </c>
    </row>
    <row r="657" spans="1:38" ht="12.75" customHeight="1" x14ac:dyDescent="0.25">
      <c r="B657" s="132"/>
      <c r="C657" s="132"/>
      <c r="D657" s="1388"/>
      <c r="E657" s="43"/>
      <c r="F657" s="47"/>
      <c r="G657" s="641" t="str">
        <f t="shared" si="376"/>
        <v/>
      </c>
      <c r="H657" s="641" t="str">
        <f t="shared" si="377"/>
        <v/>
      </c>
      <c r="I657" s="48"/>
      <c r="J657" s="642" t="str">
        <f t="shared" si="369"/>
        <v/>
      </c>
      <c r="K657" s="642" t="str">
        <f t="shared" si="370"/>
        <v/>
      </c>
      <c r="L657" s="642" t="str">
        <f t="shared" si="371"/>
        <v/>
      </c>
      <c r="M657" s="1389"/>
      <c r="N657" s="116"/>
      <c r="O657" s="116"/>
      <c r="P657" s="116"/>
      <c r="Q657" s="116"/>
      <c r="R657" s="116"/>
      <c r="S657" s="132"/>
      <c r="T657" s="142"/>
      <c r="U657" s="115"/>
      <c r="W657" s="561" t="str">
        <f t="shared" si="372"/>
        <v/>
      </c>
      <c r="X657" s="561" t="str">
        <f t="shared" si="372"/>
        <v/>
      </c>
      <c r="Y657" s="561" t="str">
        <f t="shared" si="372"/>
        <v/>
      </c>
      <c r="Z657" s="561" t="str">
        <f t="shared" si="372"/>
        <v/>
      </c>
      <c r="AA657" s="561" t="str">
        <f t="shared" si="372"/>
        <v/>
      </c>
      <c r="AB657" s="561" t="str">
        <f>IF(E657="","",OR(W657&lt;&gt;W651,X657&lt;&gt;X651,Z657&lt;&gt;Z651))</f>
        <v/>
      </c>
      <c r="AC657" s="567"/>
      <c r="AD657" s="561" t="str">
        <f t="shared" ref="AD657:AI669" si="381">AD656</f>
        <v/>
      </c>
      <c r="AE657" s="561" t="str">
        <f t="shared" si="381"/>
        <v>n.a.</v>
      </c>
      <c r="AF657" s="561" t="str">
        <f t="shared" si="381"/>
        <v>n.a.</v>
      </c>
      <c r="AG657" s="561" t="str">
        <f t="shared" si="381"/>
        <v>n.a.</v>
      </c>
      <c r="AH657" s="561" t="b">
        <f t="shared" si="381"/>
        <v>0</v>
      </c>
      <c r="AI657" s="561" t="b">
        <f t="shared" si="381"/>
        <v>0</v>
      </c>
      <c r="AJ657" s="582" t="str">
        <f t="shared" si="379"/>
        <v/>
      </c>
      <c r="AK657" s="582" t="str">
        <f t="shared" si="380"/>
        <v/>
      </c>
      <c r="AL657" s="582" t="str">
        <f t="shared" si="375"/>
        <v/>
      </c>
    </row>
    <row r="658" spans="1:38" ht="12.75" customHeight="1" thickBot="1" x14ac:dyDescent="0.35">
      <c r="B658" s="132"/>
      <c r="C658" s="132"/>
      <c r="D658" s="1388"/>
      <c r="E658" s="43"/>
      <c r="F658" s="47"/>
      <c r="G658" s="641" t="str">
        <f t="shared" si="376"/>
        <v/>
      </c>
      <c r="H658" s="641" t="str">
        <f t="shared" si="377"/>
        <v/>
      </c>
      <c r="I658" s="48"/>
      <c r="J658" s="642" t="str">
        <f t="shared" si="369"/>
        <v/>
      </c>
      <c r="K658" s="642" t="str">
        <f t="shared" si="370"/>
        <v/>
      </c>
      <c r="L658" s="642" t="str">
        <f t="shared" si="371"/>
        <v/>
      </c>
      <c r="M658" s="1389"/>
      <c r="N658" s="1255" t="str">
        <f>Translations!$B$394</f>
        <v>Unit</v>
      </c>
      <c r="O658" s="1255"/>
      <c r="P658" s="1255" t="str">
        <f>Translations!$B$395</f>
        <v>Value</v>
      </c>
      <c r="Q658" s="1255"/>
      <c r="R658" s="116"/>
      <c r="S658" s="644" t="str">
        <f>Translations!$B$642</f>
        <v>Sheet C values</v>
      </c>
      <c r="T658" s="142"/>
      <c r="U658" s="115"/>
      <c r="W658" s="561" t="str">
        <f t="shared" si="372"/>
        <v/>
      </c>
      <c r="X658" s="561" t="str">
        <f t="shared" si="372"/>
        <v/>
      </c>
      <c r="Y658" s="561" t="str">
        <f t="shared" si="372"/>
        <v/>
      </c>
      <c r="Z658" s="561" t="str">
        <f t="shared" si="372"/>
        <v/>
      </c>
      <c r="AA658" s="561" t="str">
        <f t="shared" si="372"/>
        <v/>
      </c>
      <c r="AB658" s="561" t="str">
        <f>IF(E658="","",OR(W658&lt;&gt;W651,X658&lt;&gt;X651,Z658&lt;&gt;Z651))</f>
        <v/>
      </c>
      <c r="AC658" s="567"/>
      <c r="AD658" s="561" t="str">
        <f t="shared" si="381"/>
        <v/>
      </c>
      <c r="AE658" s="561" t="str">
        <f t="shared" si="381"/>
        <v>n.a.</v>
      </c>
      <c r="AF658" s="561" t="str">
        <f t="shared" si="381"/>
        <v>n.a.</v>
      </c>
      <c r="AG658" s="561" t="str">
        <f t="shared" si="381"/>
        <v>n.a.</v>
      </c>
      <c r="AH658" s="561" t="b">
        <f t="shared" si="381"/>
        <v>0</v>
      </c>
      <c r="AI658" s="561" t="b">
        <f t="shared" si="381"/>
        <v>0</v>
      </c>
      <c r="AJ658" s="582" t="str">
        <f t="shared" si="379"/>
        <v/>
      </c>
      <c r="AK658" s="582" t="str">
        <f t="shared" si="380"/>
        <v/>
      </c>
      <c r="AL658" s="582" t="str">
        <f t="shared" si="375"/>
        <v/>
      </c>
    </row>
    <row r="659" spans="1:38" ht="12.75" customHeight="1" thickBot="1" x14ac:dyDescent="0.3">
      <c r="B659" s="132"/>
      <c r="C659" s="132"/>
      <c r="D659" s="1388"/>
      <c r="E659" s="43"/>
      <c r="F659" s="47"/>
      <c r="G659" s="641" t="str">
        <f t="shared" si="376"/>
        <v/>
      </c>
      <c r="H659" s="641" t="str">
        <f t="shared" si="377"/>
        <v/>
      </c>
      <c r="I659" s="48"/>
      <c r="J659" s="642" t="str">
        <f t="shared" si="369"/>
        <v/>
      </c>
      <c r="K659" s="642" t="str">
        <f t="shared" si="370"/>
        <v/>
      </c>
      <c r="L659" s="642" t="str">
        <f t="shared" si="371"/>
        <v/>
      </c>
      <c r="M659" s="116"/>
      <c r="N659" s="346" t="str">
        <f>F654</f>
        <v/>
      </c>
      <c r="O659" s="7"/>
      <c r="P659" s="1393" t="str">
        <f>IF(F670="","",F670)</f>
        <v/>
      </c>
      <c r="Q659" s="1394"/>
      <c r="R659" s="116"/>
      <c r="S659" s="645" t="str">
        <f>IF(P656="","",SUMIFS(C_FuelStreams!BK:BK,C_FuelStreams!BI:BI,P656))</f>
        <v/>
      </c>
      <c r="T659" s="142"/>
      <c r="U659" s="115"/>
      <c r="W659" s="561" t="str">
        <f t="shared" si="372"/>
        <v/>
      </c>
      <c r="X659" s="561" t="str">
        <f t="shared" si="372"/>
        <v/>
      </c>
      <c r="Y659" s="561" t="str">
        <f t="shared" si="372"/>
        <v/>
      </c>
      <c r="Z659" s="561" t="str">
        <f t="shared" si="372"/>
        <v/>
      </c>
      <c r="AA659" s="561" t="str">
        <f t="shared" si="372"/>
        <v/>
      </c>
      <c r="AB659" s="561" t="str">
        <f>IF(E659="","",OR(W659&lt;&gt;W651,X659&lt;&gt;X651,Z659&lt;&gt;Z651))</f>
        <v/>
      </c>
      <c r="AC659" s="567"/>
      <c r="AD659" s="561" t="str">
        <f t="shared" si="381"/>
        <v/>
      </c>
      <c r="AE659" s="561" t="str">
        <f t="shared" si="381"/>
        <v>n.a.</v>
      </c>
      <c r="AF659" s="561" t="str">
        <f t="shared" si="381"/>
        <v>n.a.</v>
      </c>
      <c r="AG659" s="561" t="str">
        <f t="shared" si="381"/>
        <v>n.a.</v>
      </c>
      <c r="AH659" s="561" t="b">
        <f t="shared" si="381"/>
        <v>0</v>
      </c>
      <c r="AI659" s="561" t="b">
        <f t="shared" si="381"/>
        <v>0</v>
      </c>
      <c r="AJ659" s="582" t="str">
        <f t="shared" si="379"/>
        <v/>
      </c>
      <c r="AK659" s="582" t="str">
        <f t="shared" si="380"/>
        <v/>
      </c>
      <c r="AL659" s="582" t="str">
        <f t="shared" si="375"/>
        <v/>
      </c>
    </row>
    <row r="660" spans="1:38" ht="12.75" customHeight="1" thickBot="1" x14ac:dyDescent="0.3">
      <c r="B660" s="132"/>
      <c r="C660" s="132"/>
      <c r="D660" s="1388"/>
      <c r="E660" s="43"/>
      <c r="F660" s="47"/>
      <c r="G660" s="641" t="str">
        <f t="shared" si="376"/>
        <v/>
      </c>
      <c r="H660" s="641" t="str">
        <f t="shared" si="377"/>
        <v/>
      </c>
      <c r="I660" s="48"/>
      <c r="J660" s="642" t="str">
        <f t="shared" si="369"/>
        <v/>
      </c>
      <c r="K660" s="642" t="str">
        <f t="shared" si="370"/>
        <v/>
      </c>
      <c r="L660" s="642" t="str">
        <f t="shared" si="371"/>
        <v/>
      </c>
      <c r="M660" s="116"/>
      <c r="N660" s="162"/>
      <c r="O660" s="162"/>
      <c r="P660" s="76"/>
      <c r="Q660" s="76"/>
      <c r="R660" s="116"/>
      <c r="S660" s="996"/>
      <c r="T660" s="142"/>
      <c r="U660" s="115"/>
      <c r="W660" s="561" t="str">
        <f t="shared" si="372"/>
        <v/>
      </c>
      <c r="X660" s="561" t="str">
        <f t="shared" si="372"/>
        <v/>
      </c>
      <c r="Y660" s="561" t="str">
        <f t="shared" si="372"/>
        <v/>
      </c>
      <c r="Z660" s="561" t="str">
        <f t="shared" si="372"/>
        <v/>
      </c>
      <c r="AA660" s="561" t="str">
        <f t="shared" si="372"/>
        <v/>
      </c>
      <c r="AB660" s="561" t="str">
        <f>IF(E660="","",OR(W660&lt;&gt;W651,X660&lt;&gt;X651,Z660&lt;&gt;Z651))</f>
        <v/>
      </c>
      <c r="AC660" s="567"/>
      <c r="AD660" s="561" t="str">
        <f t="shared" si="381"/>
        <v/>
      </c>
      <c r="AE660" s="561" t="str">
        <f t="shared" si="381"/>
        <v>n.a.</v>
      </c>
      <c r="AF660" s="561" t="str">
        <f t="shared" si="381"/>
        <v>n.a.</v>
      </c>
      <c r="AG660" s="561" t="str">
        <f t="shared" si="381"/>
        <v>n.a.</v>
      </c>
      <c r="AH660" s="561" t="b">
        <f t="shared" si="381"/>
        <v>0</v>
      </c>
      <c r="AI660" s="561" t="b">
        <f t="shared" si="381"/>
        <v>0</v>
      </c>
      <c r="AJ660" s="582" t="str">
        <f t="shared" si="379"/>
        <v/>
      </c>
      <c r="AK660" s="582" t="str">
        <f t="shared" si="380"/>
        <v/>
      </c>
      <c r="AL660" s="582" t="str">
        <f t="shared" si="375"/>
        <v/>
      </c>
    </row>
    <row r="661" spans="1:38" ht="12.75" customHeight="1" x14ac:dyDescent="0.25">
      <c r="B661" s="132"/>
      <c r="C661" s="132"/>
      <c r="D661" s="1388"/>
      <c r="E661" s="43"/>
      <c r="F661" s="47"/>
      <c r="G661" s="641" t="str">
        <f t="shared" si="376"/>
        <v/>
      </c>
      <c r="H661" s="641" t="str">
        <f t="shared" si="377"/>
        <v/>
      </c>
      <c r="I661" s="48"/>
      <c r="J661" s="642" t="str">
        <f t="shared" si="369"/>
        <v/>
      </c>
      <c r="K661" s="642" t="str">
        <f t="shared" si="370"/>
        <v/>
      </c>
      <c r="L661" s="642" t="str">
        <f t="shared" si="371"/>
        <v/>
      </c>
      <c r="M661" s="116"/>
      <c r="N661" s="365" t="str">
        <f>G654</f>
        <v/>
      </c>
      <c r="O661" s="11"/>
      <c r="P661" s="366"/>
      <c r="Q661" s="646" t="str">
        <f>IF(G670="","",G670)</f>
        <v/>
      </c>
      <c r="R661" s="116"/>
      <c r="S661" s="647" t="str">
        <f>IF(P656="","",SUMIFS(C_FuelStreams!BU:BU,C_FuelStreams!BI:BI,P656))</f>
        <v/>
      </c>
      <c r="T661" s="142"/>
      <c r="U661" s="115"/>
      <c r="W661" s="561" t="str">
        <f t="shared" si="372"/>
        <v/>
      </c>
      <c r="X661" s="561" t="str">
        <f t="shared" si="372"/>
        <v/>
      </c>
      <c r="Y661" s="561" t="str">
        <f t="shared" si="372"/>
        <v/>
      </c>
      <c r="Z661" s="561" t="str">
        <f t="shared" si="372"/>
        <v/>
      </c>
      <c r="AA661" s="561" t="str">
        <f t="shared" si="372"/>
        <v/>
      </c>
      <c r="AB661" s="561" t="str">
        <f>IF(E661="","",OR(W661&lt;&gt;W651,X661&lt;&gt;X651,Z661&lt;&gt;Z651))</f>
        <v/>
      </c>
      <c r="AC661" s="567"/>
      <c r="AD661" s="561" t="str">
        <f t="shared" si="381"/>
        <v/>
      </c>
      <c r="AE661" s="561" t="str">
        <f t="shared" si="381"/>
        <v>n.a.</v>
      </c>
      <c r="AF661" s="561" t="str">
        <f t="shared" si="381"/>
        <v>n.a.</v>
      </c>
      <c r="AG661" s="561" t="str">
        <f t="shared" si="381"/>
        <v>n.a.</v>
      </c>
      <c r="AH661" s="561" t="b">
        <f t="shared" si="381"/>
        <v>0</v>
      </c>
      <c r="AI661" s="561" t="b">
        <f t="shared" si="381"/>
        <v>0</v>
      </c>
      <c r="AJ661" s="582" t="str">
        <f t="shared" si="379"/>
        <v/>
      </c>
      <c r="AK661" s="582" t="str">
        <f t="shared" si="380"/>
        <v/>
      </c>
      <c r="AL661" s="582" t="str">
        <f t="shared" si="375"/>
        <v/>
      </c>
    </row>
    <row r="662" spans="1:38" ht="12.75" customHeight="1" thickBot="1" x14ac:dyDescent="0.3">
      <c r="B662" s="132"/>
      <c r="C662" s="132"/>
      <c r="D662" s="1388"/>
      <c r="E662" s="43"/>
      <c r="F662" s="47"/>
      <c r="G662" s="641" t="str">
        <f t="shared" si="376"/>
        <v/>
      </c>
      <c r="H662" s="641" t="str">
        <f t="shared" si="377"/>
        <v/>
      </c>
      <c r="I662" s="48"/>
      <c r="J662" s="642" t="str">
        <f t="shared" si="369"/>
        <v/>
      </c>
      <c r="K662" s="642" t="str">
        <f t="shared" si="370"/>
        <v/>
      </c>
      <c r="L662" s="642" t="str">
        <f t="shared" si="371"/>
        <v/>
      </c>
      <c r="M662" s="116"/>
      <c r="N662" s="648" t="str">
        <f>H654</f>
        <v/>
      </c>
      <c r="O662" s="22"/>
      <c r="P662" s="649"/>
      <c r="Q662" s="650" t="str">
        <f>IF(H670="","",H670)</f>
        <v/>
      </c>
      <c r="R662" s="116"/>
      <c r="S662" s="651" t="str">
        <f>IF(P656="","",SUMIFS(C_FuelStreams!BR:BR,C_FuelStreams!BI:BI,P656))</f>
        <v/>
      </c>
      <c r="T662" s="142"/>
      <c r="U662" s="115"/>
      <c r="W662" s="561" t="str">
        <f t="shared" si="372"/>
        <v/>
      </c>
      <c r="X662" s="561" t="str">
        <f t="shared" si="372"/>
        <v/>
      </c>
      <c r="Y662" s="561" t="str">
        <f t="shared" si="372"/>
        <v/>
      </c>
      <c r="Z662" s="561" t="str">
        <f t="shared" si="372"/>
        <v/>
      </c>
      <c r="AA662" s="561" t="str">
        <f t="shared" si="372"/>
        <v/>
      </c>
      <c r="AB662" s="561" t="str">
        <f>IF(E662="","",OR(W662&lt;&gt;W651,X662&lt;&gt;X651,Z662&lt;&gt;Z651))</f>
        <v/>
      </c>
      <c r="AC662" s="567"/>
      <c r="AD662" s="561" t="str">
        <f t="shared" si="381"/>
        <v/>
      </c>
      <c r="AE662" s="561" t="str">
        <f t="shared" si="381"/>
        <v>n.a.</v>
      </c>
      <c r="AF662" s="561" t="str">
        <f t="shared" si="381"/>
        <v>n.a.</v>
      </c>
      <c r="AG662" s="561" t="str">
        <f t="shared" si="381"/>
        <v>n.a.</v>
      </c>
      <c r="AH662" s="561" t="b">
        <f t="shared" si="381"/>
        <v>0</v>
      </c>
      <c r="AI662" s="561" t="b">
        <f t="shared" si="381"/>
        <v>0</v>
      </c>
      <c r="AJ662" s="582" t="str">
        <f t="shared" si="379"/>
        <v/>
      </c>
      <c r="AK662" s="582" t="str">
        <f t="shared" si="380"/>
        <v/>
      </c>
      <c r="AL662" s="582" t="str">
        <f t="shared" si="375"/>
        <v/>
      </c>
    </row>
    <row r="663" spans="1:38" ht="12.75" customHeight="1" x14ac:dyDescent="0.25">
      <c r="B663" s="132"/>
      <c r="C663" s="132"/>
      <c r="D663" s="1388"/>
      <c r="E663" s="43"/>
      <c r="F663" s="47"/>
      <c r="G663" s="641" t="str">
        <f t="shared" si="376"/>
        <v/>
      </c>
      <c r="H663" s="641" t="str">
        <f t="shared" si="377"/>
        <v/>
      </c>
      <c r="I663" s="48"/>
      <c r="J663" s="642" t="str">
        <f t="shared" si="369"/>
        <v/>
      </c>
      <c r="K663" s="642" t="str">
        <f t="shared" si="370"/>
        <v/>
      </c>
      <c r="L663" s="642" t="str">
        <f t="shared" si="371"/>
        <v/>
      </c>
      <c r="M663" s="116"/>
      <c r="N663" s="652" t="s">
        <v>46</v>
      </c>
      <c r="O663" s="411"/>
      <c r="P663" s="653"/>
      <c r="Q663" s="654" t="str">
        <f>IF(I670="","",I670)</f>
        <v/>
      </c>
      <c r="R663" s="116"/>
      <c r="S663" s="655" t="str">
        <f>IF(P656="","",SUMIFS(C_FuelStreams!BX:BX,C_FuelStreams!BI:BI,P656))</f>
        <v/>
      </c>
      <c r="T663" s="142"/>
      <c r="U663" s="115"/>
      <c r="W663" s="561" t="str">
        <f t="shared" si="372"/>
        <v/>
      </c>
      <c r="X663" s="561" t="str">
        <f t="shared" si="372"/>
        <v/>
      </c>
      <c r="Y663" s="561" t="str">
        <f t="shared" si="372"/>
        <v/>
      </c>
      <c r="Z663" s="561" t="str">
        <f t="shared" si="372"/>
        <v/>
      </c>
      <c r="AA663" s="561" t="str">
        <f t="shared" si="372"/>
        <v/>
      </c>
      <c r="AB663" s="561" t="str">
        <f>IF(E663="","",OR(W663&lt;&gt;W651,X663&lt;&gt;X651,Z663&lt;&gt;Z651))</f>
        <v/>
      </c>
      <c r="AC663" s="567"/>
      <c r="AD663" s="561" t="str">
        <f t="shared" si="381"/>
        <v/>
      </c>
      <c r="AE663" s="561" t="str">
        <f t="shared" si="381"/>
        <v>n.a.</v>
      </c>
      <c r="AF663" s="561" t="str">
        <f t="shared" si="381"/>
        <v>n.a.</v>
      </c>
      <c r="AG663" s="561" t="str">
        <f t="shared" si="381"/>
        <v>n.a.</v>
      </c>
      <c r="AH663" s="561" t="b">
        <f t="shared" si="381"/>
        <v>0</v>
      </c>
      <c r="AI663" s="561" t="b">
        <f t="shared" si="381"/>
        <v>0</v>
      </c>
      <c r="AJ663" s="582" t="str">
        <f t="shared" si="379"/>
        <v/>
      </c>
      <c r="AK663" s="582" t="str">
        <f t="shared" si="380"/>
        <v/>
      </c>
      <c r="AL663" s="582" t="str">
        <f t="shared" si="375"/>
        <v/>
      </c>
    </row>
    <row r="664" spans="1:38" ht="12.75" customHeight="1" x14ac:dyDescent="0.25">
      <c r="B664" s="132"/>
      <c r="C664" s="132"/>
      <c r="D664" s="1388"/>
      <c r="E664" s="43"/>
      <c r="F664" s="47"/>
      <c r="G664" s="641" t="str">
        <f t="shared" si="376"/>
        <v/>
      </c>
      <c r="H664" s="641" t="str">
        <f t="shared" si="377"/>
        <v/>
      </c>
      <c r="I664" s="48"/>
      <c r="J664" s="642" t="str">
        <f t="shared" si="369"/>
        <v/>
      </c>
      <c r="K664" s="642" t="str">
        <f t="shared" si="370"/>
        <v/>
      </c>
      <c r="L664" s="642" t="str">
        <f t="shared" si="371"/>
        <v/>
      </c>
      <c r="M664" s="1395"/>
      <c r="N664" s="116"/>
      <c r="O664" s="116"/>
      <c r="P664" s="116"/>
      <c r="Q664" s="116"/>
      <c r="R664" s="116"/>
      <c r="S664" s="132"/>
      <c r="T664" s="142"/>
      <c r="U664" s="115"/>
      <c r="W664" s="561" t="str">
        <f t="shared" si="372"/>
        <v/>
      </c>
      <c r="X664" s="561" t="str">
        <f t="shared" si="372"/>
        <v/>
      </c>
      <c r="Y664" s="561" t="str">
        <f t="shared" si="372"/>
        <v/>
      </c>
      <c r="Z664" s="561" t="str">
        <f t="shared" si="372"/>
        <v/>
      </c>
      <c r="AA664" s="561" t="str">
        <f t="shared" si="372"/>
        <v/>
      </c>
      <c r="AB664" s="561" t="str">
        <f>IF(E664="","",OR(W664&lt;&gt;W651,X664&lt;&gt;X651,Z664&lt;&gt;Z651))</f>
        <v/>
      </c>
      <c r="AC664" s="567"/>
      <c r="AD664" s="561" t="str">
        <f t="shared" si="381"/>
        <v/>
      </c>
      <c r="AE664" s="561" t="str">
        <f t="shared" si="381"/>
        <v>n.a.</v>
      </c>
      <c r="AF664" s="561" t="str">
        <f t="shared" si="381"/>
        <v>n.a.</v>
      </c>
      <c r="AG664" s="561" t="str">
        <f t="shared" si="381"/>
        <v>n.a.</v>
      </c>
      <c r="AH664" s="561" t="b">
        <f t="shared" si="381"/>
        <v>0</v>
      </c>
      <c r="AI664" s="561" t="b">
        <f t="shared" si="381"/>
        <v>0</v>
      </c>
      <c r="AJ664" s="582" t="str">
        <f t="shared" si="379"/>
        <v/>
      </c>
      <c r="AK664" s="582" t="str">
        <f t="shared" si="380"/>
        <v/>
      </c>
      <c r="AL664" s="582" t="str">
        <f t="shared" si="375"/>
        <v/>
      </c>
    </row>
    <row r="665" spans="1:38" ht="12.75" customHeight="1" x14ac:dyDescent="0.25">
      <c r="B665" s="132"/>
      <c r="C665" s="132"/>
      <c r="D665" s="1388" t="str">
        <f>Translations!$B$643</f>
        <v>Customised components</v>
      </c>
      <c r="E665" s="42"/>
      <c r="F665" s="45"/>
      <c r="G665" s="49"/>
      <c r="H665" s="49"/>
      <c r="I665" s="46"/>
      <c r="J665" s="640" t="str">
        <f t="shared" si="369"/>
        <v/>
      </c>
      <c r="K665" s="640" t="str">
        <f t="shared" si="370"/>
        <v/>
      </c>
      <c r="L665" s="640" t="str">
        <f t="shared" si="371"/>
        <v/>
      </c>
      <c r="M665" s="1395"/>
      <c r="N665" s="116"/>
      <c r="O665" s="116"/>
      <c r="P665" s="656" t="str">
        <f>Translations!$B$644</f>
        <v>CO2 fossil (before scope factor):</v>
      </c>
      <c r="Q665" s="997" t="str">
        <f>IF(K670="","",K670)</f>
        <v/>
      </c>
      <c r="R665" s="656"/>
      <c r="S665" s="997" t="str">
        <f>IF(P656="","",IF(W665=0,0,SUMIFS(C_FuelStreams!CE:CE,C_FuelStreams!BI:BI,P656)/W665))</f>
        <v/>
      </c>
      <c r="T665" s="142"/>
      <c r="U665" s="115"/>
      <c r="V665" s="110" t="str">
        <f>Translations!$B$398</f>
        <v>Scope factor:</v>
      </c>
      <c r="W665" s="617" t="str">
        <f>IF(P656="","",SUMIFS(C_FuelStreams!BP:BP,C_FuelStreams!BI:BI,P656))</f>
        <v/>
      </c>
      <c r="AD665" s="561" t="str">
        <f t="shared" si="381"/>
        <v/>
      </c>
      <c r="AE665" s="561" t="str">
        <f t="shared" si="381"/>
        <v>n.a.</v>
      </c>
      <c r="AF665" s="561" t="str">
        <f t="shared" si="381"/>
        <v>n.a.</v>
      </c>
      <c r="AG665" s="561" t="str">
        <f t="shared" si="381"/>
        <v>n.a.</v>
      </c>
      <c r="AH665" s="561" t="b">
        <f t="shared" si="381"/>
        <v>0</v>
      </c>
      <c r="AI665" s="561" t="b">
        <f t="shared" si="381"/>
        <v>0</v>
      </c>
      <c r="AJ665" s="582" t="str">
        <f t="shared" si="379"/>
        <v/>
      </c>
      <c r="AK665" s="582" t="str">
        <f t="shared" si="380"/>
        <v/>
      </c>
      <c r="AL665" s="582" t="str">
        <f t="shared" si="375"/>
        <v/>
      </c>
    </row>
    <row r="666" spans="1:38" ht="12.75" customHeight="1" x14ac:dyDescent="0.25">
      <c r="B666" s="132"/>
      <c r="C666" s="132"/>
      <c r="D666" s="1388"/>
      <c r="E666" s="43"/>
      <c r="F666" s="47"/>
      <c r="G666" s="50"/>
      <c r="H666" s="50"/>
      <c r="I666" s="48"/>
      <c r="J666" s="642" t="str">
        <f t="shared" si="369"/>
        <v/>
      </c>
      <c r="K666" s="642" t="str">
        <f t="shared" si="370"/>
        <v/>
      </c>
      <c r="L666" s="642" t="str">
        <f t="shared" si="371"/>
        <v/>
      </c>
      <c r="M666" s="1395"/>
      <c r="N666" s="116"/>
      <c r="O666" s="116"/>
      <c r="P666" s="116"/>
      <c r="Q666" s="116"/>
      <c r="R666" s="116"/>
      <c r="S666" s="132"/>
      <c r="T666" s="142"/>
      <c r="U666" s="115"/>
      <c r="AD666" s="561" t="str">
        <f t="shared" si="381"/>
        <v/>
      </c>
      <c r="AE666" s="561" t="str">
        <f t="shared" si="381"/>
        <v>n.a.</v>
      </c>
      <c r="AF666" s="561" t="str">
        <f t="shared" si="381"/>
        <v>n.a.</v>
      </c>
      <c r="AG666" s="561" t="str">
        <f t="shared" si="381"/>
        <v>n.a.</v>
      </c>
      <c r="AH666" s="561" t="b">
        <f t="shared" si="381"/>
        <v>0</v>
      </c>
      <c r="AI666" s="561" t="b">
        <f t="shared" si="381"/>
        <v>0</v>
      </c>
      <c r="AJ666" s="582" t="str">
        <f t="shared" si="379"/>
        <v/>
      </c>
      <c r="AK666" s="582" t="str">
        <f t="shared" si="380"/>
        <v/>
      </c>
      <c r="AL666" s="582" t="str">
        <f t="shared" si="375"/>
        <v/>
      </c>
    </row>
    <row r="667" spans="1:38" ht="12.75" customHeight="1" x14ac:dyDescent="0.25">
      <c r="B667" s="132"/>
      <c r="C667" s="132"/>
      <c r="D667" s="1388"/>
      <c r="E667" s="43"/>
      <c r="F667" s="47"/>
      <c r="G667" s="50"/>
      <c r="H667" s="50"/>
      <c r="I667" s="48"/>
      <c r="J667" s="642" t="str">
        <f t="shared" si="369"/>
        <v/>
      </c>
      <c r="K667" s="642" t="str">
        <f t="shared" si="370"/>
        <v/>
      </c>
      <c r="L667" s="642" t="str">
        <f t="shared" si="371"/>
        <v/>
      </c>
      <c r="M667" s="1395"/>
      <c r="N667" s="116"/>
      <c r="O667" s="116"/>
      <c r="P667" s="116"/>
      <c r="Q667" s="116"/>
      <c r="R667" s="116"/>
      <c r="S667" s="132"/>
      <c r="T667" s="142"/>
      <c r="U667" s="115"/>
      <c r="AD667" s="561" t="str">
        <f t="shared" si="381"/>
        <v/>
      </c>
      <c r="AE667" s="561" t="str">
        <f t="shared" si="381"/>
        <v>n.a.</v>
      </c>
      <c r="AF667" s="561" t="str">
        <f t="shared" si="381"/>
        <v>n.a.</v>
      </c>
      <c r="AG667" s="561" t="str">
        <f t="shared" si="381"/>
        <v>n.a.</v>
      </c>
      <c r="AH667" s="561" t="b">
        <f t="shared" si="381"/>
        <v>0</v>
      </c>
      <c r="AI667" s="561" t="b">
        <f t="shared" si="381"/>
        <v>0</v>
      </c>
      <c r="AJ667" s="582" t="str">
        <f t="shared" si="379"/>
        <v/>
      </c>
      <c r="AK667" s="582" t="str">
        <f t="shared" si="380"/>
        <v/>
      </c>
      <c r="AL667" s="582" t="str">
        <f t="shared" si="375"/>
        <v/>
      </c>
    </row>
    <row r="668" spans="1:38" ht="12.75" customHeight="1" x14ac:dyDescent="0.25">
      <c r="B668" s="132"/>
      <c r="C668" s="132"/>
      <c r="D668" s="1388"/>
      <c r="E668" s="43"/>
      <c r="F668" s="47"/>
      <c r="G668" s="50"/>
      <c r="H668" s="50"/>
      <c r="I668" s="48"/>
      <c r="J668" s="642" t="str">
        <f t="shared" si="369"/>
        <v/>
      </c>
      <c r="K668" s="642" t="str">
        <f t="shared" si="370"/>
        <v/>
      </c>
      <c r="L668" s="642" t="str">
        <f t="shared" si="371"/>
        <v/>
      </c>
      <c r="M668" s="1395"/>
      <c r="N668" s="116"/>
      <c r="O668" s="116"/>
      <c r="P668" s="116"/>
      <c r="Q668" s="116"/>
      <c r="R668" s="116"/>
      <c r="S668" s="132"/>
      <c r="T668" s="142"/>
      <c r="U668" s="115"/>
      <c r="AD668" s="561" t="str">
        <f t="shared" si="381"/>
        <v/>
      </c>
      <c r="AE668" s="561" t="str">
        <f t="shared" si="381"/>
        <v>n.a.</v>
      </c>
      <c r="AF668" s="561" t="str">
        <f t="shared" si="381"/>
        <v>n.a.</v>
      </c>
      <c r="AG668" s="561" t="str">
        <f t="shared" si="381"/>
        <v>n.a.</v>
      </c>
      <c r="AH668" s="561" t="b">
        <f t="shared" si="381"/>
        <v>0</v>
      </c>
      <c r="AI668" s="561" t="b">
        <f t="shared" si="381"/>
        <v>0</v>
      </c>
      <c r="AJ668" s="582" t="str">
        <f t="shared" si="379"/>
        <v/>
      </c>
      <c r="AK668" s="582" t="str">
        <f t="shared" si="380"/>
        <v/>
      </c>
      <c r="AL668" s="582" t="str">
        <f t="shared" si="375"/>
        <v/>
      </c>
    </row>
    <row r="669" spans="1:38" ht="12.75" customHeight="1" x14ac:dyDescent="0.25">
      <c r="B669" s="132"/>
      <c r="C669" s="132"/>
      <c r="D669" s="1388"/>
      <c r="E669" s="44"/>
      <c r="F669" s="51"/>
      <c r="G669" s="52"/>
      <c r="H669" s="52"/>
      <c r="I669" s="53"/>
      <c r="J669" s="657" t="str">
        <f t="shared" si="369"/>
        <v/>
      </c>
      <c r="K669" s="657" t="str">
        <f t="shared" si="370"/>
        <v/>
      </c>
      <c r="L669" s="657" t="str">
        <f t="shared" si="371"/>
        <v/>
      </c>
      <c r="M669" s="1395"/>
      <c r="N669" s="116"/>
      <c r="O669" s="116"/>
      <c r="P669" s="116"/>
      <c r="Q669" s="116"/>
      <c r="R669" s="116"/>
      <c r="S669" s="132"/>
      <c r="T669" s="142"/>
      <c r="U669" s="115"/>
      <c r="AD669" s="561" t="str">
        <f t="shared" si="381"/>
        <v/>
      </c>
      <c r="AE669" s="561" t="str">
        <f t="shared" si="381"/>
        <v>n.a.</v>
      </c>
      <c r="AF669" s="561" t="str">
        <f t="shared" si="381"/>
        <v>n.a.</v>
      </c>
      <c r="AG669" s="561" t="str">
        <f t="shared" si="381"/>
        <v>n.a.</v>
      </c>
      <c r="AH669" s="561" t="b">
        <f t="shared" si="381"/>
        <v>0</v>
      </c>
      <c r="AI669" s="561" t="b">
        <f t="shared" si="381"/>
        <v>0</v>
      </c>
      <c r="AJ669" s="582" t="str">
        <f t="shared" si="379"/>
        <v/>
      </c>
      <c r="AK669" s="582" t="str">
        <f t="shared" si="380"/>
        <v/>
      </c>
      <c r="AL669" s="582" t="str">
        <f t="shared" si="375"/>
        <v/>
      </c>
    </row>
    <row r="670" spans="1:38" ht="12.75" customHeight="1" x14ac:dyDescent="0.25">
      <c r="B670" s="132"/>
      <c r="C670" s="132"/>
      <c r="D670" s="132"/>
      <c r="E670" s="658" t="str">
        <f>Translations!$B$645</f>
        <v>TOTALS</v>
      </c>
      <c r="F670" s="659" t="str">
        <f>IF(SUM(F655:F669)=0,"",SUM(F655:F669))</f>
        <v/>
      </c>
      <c r="G670" s="660" t="str">
        <f>IF(SUM(F670)=0,"",J670/F670)</f>
        <v/>
      </c>
      <c r="H670" s="660" t="str">
        <f>IF(SUM(J670)=0,"",SUM(K670:L670)/IF(AF655&lt;&gt;EUconst_NA,F670,J670)/IF(AG655=EUconst_NA,1,AG655))</f>
        <v/>
      </c>
      <c r="I670" s="661" t="str">
        <f>IF(SUM(K670:L670)=0,"",L670/SUM(K670:L670))</f>
        <v/>
      </c>
      <c r="J670" s="659" t="str">
        <f>IF(COUNTA(E655:E669)=0,"",IFERROR(SUM(J655:J669),EUconst_ERR_Inconsistent))</f>
        <v/>
      </c>
      <c r="K670" s="659" t="str">
        <f>IF(COUNTA(E655:E669)=0,"",IFERROR(SUM(K655:K669),EUconst_ERR_Inconsistent))</f>
        <v/>
      </c>
      <c r="L670" s="659" t="str">
        <f>IF(COUNTA(E655:E669)=0,"",IFERROR(SUM(L655:L669),EUconst_ERR_Inconsistent))</f>
        <v/>
      </c>
      <c r="M670" s="1395"/>
      <c r="N670" s="116"/>
      <c r="O670" s="116"/>
      <c r="P670" s="116"/>
      <c r="Q670" s="116"/>
      <c r="R670" s="116"/>
      <c r="S670" s="132"/>
      <c r="T670" s="142"/>
      <c r="U670" s="115"/>
    </row>
    <row r="671" spans="1:38" ht="12.75" customHeight="1" x14ac:dyDescent="0.25">
      <c r="B671" s="132"/>
      <c r="C671" s="132"/>
      <c r="D671" s="132"/>
      <c r="E671" s="191"/>
      <c r="F671" s="116"/>
      <c r="G671" s="116"/>
      <c r="H671" s="116"/>
      <c r="I671" s="116"/>
      <c r="J671" s="116"/>
      <c r="K671" s="116"/>
      <c r="L671" s="116"/>
      <c r="M671" s="116"/>
      <c r="N671" s="116"/>
      <c r="O671" s="116"/>
      <c r="P671" s="116"/>
      <c r="Q671" s="116"/>
      <c r="R671" s="116"/>
      <c r="S671" s="132"/>
      <c r="T671" s="142"/>
      <c r="U671" s="115"/>
    </row>
    <row r="672" spans="1:38" s="69" customFormat="1" ht="18.75" customHeight="1" x14ac:dyDescent="0.25">
      <c r="A672" s="167">
        <f>C672</f>
        <v>29</v>
      </c>
      <c r="B672" s="76"/>
      <c r="C672" s="216">
        <f>C649+1</f>
        <v>29</v>
      </c>
      <c r="D672" s="1195" t="str">
        <f>"Tool " &amp;C672-2</f>
        <v>Tool 27</v>
      </c>
      <c r="E672" s="1195"/>
      <c r="F672" s="1195"/>
      <c r="G672" s="1195"/>
      <c r="H672" s="1195"/>
      <c r="I672" s="1195"/>
      <c r="J672" s="1195"/>
      <c r="K672" s="1195"/>
      <c r="L672" s="1195"/>
      <c r="M672" s="1195"/>
      <c r="N672" s="1195"/>
      <c r="O672" s="1195"/>
      <c r="P672" s="1195"/>
      <c r="Q672" s="1195"/>
      <c r="R672" s="1195"/>
      <c r="S672" s="1195"/>
      <c r="T672" s="142"/>
      <c r="U672" s="115"/>
      <c r="V672" s="464" t="str">
        <f>D672</f>
        <v>Tool 27</v>
      </c>
      <c r="W672" s="110"/>
      <c r="X672" s="110"/>
      <c r="Y672" s="110"/>
      <c r="Z672" s="110"/>
      <c r="AA672" s="109"/>
      <c r="AB672" s="109"/>
      <c r="AC672" s="109"/>
      <c r="AD672" s="109"/>
      <c r="AE672" s="109"/>
      <c r="AF672" s="109"/>
      <c r="AG672" s="109"/>
      <c r="AH672" s="109"/>
      <c r="AI672" s="109"/>
      <c r="AJ672" s="109"/>
      <c r="AK672" s="109"/>
      <c r="AL672" s="109"/>
    </row>
    <row r="673" spans="2:38" ht="12.75" customHeight="1" x14ac:dyDescent="0.25">
      <c r="B673" s="132"/>
      <c r="C673" s="132"/>
      <c r="D673" s="132"/>
      <c r="E673" s="191"/>
      <c r="F673" s="116"/>
      <c r="G673" s="116"/>
      <c r="H673" s="116"/>
      <c r="I673" s="116"/>
      <c r="J673" s="116"/>
      <c r="K673" s="116"/>
      <c r="L673" s="116"/>
      <c r="M673" s="116"/>
      <c r="N673" s="116"/>
      <c r="O673" s="116"/>
      <c r="P673" s="116"/>
      <c r="Q673" s="116"/>
      <c r="R673" s="116"/>
      <c r="S673" s="132"/>
      <c r="T673" s="142"/>
      <c r="U673" s="115"/>
    </row>
    <row r="674" spans="2:38" ht="12.75" customHeight="1" x14ac:dyDescent="0.25">
      <c r="B674" s="132"/>
      <c r="C674" s="132"/>
      <c r="D674" s="1377" t="str">
        <f>Translations!$B$631</f>
        <v>Component</v>
      </c>
      <c r="E674" s="1378"/>
      <c r="F674" s="633">
        <v>1</v>
      </c>
      <c r="G674" s="633">
        <v>2</v>
      </c>
      <c r="H674" s="633">
        <v>3</v>
      </c>
      <c r="I674" s="633">
        <v>4</v>
      </c>
      <c r="J674" s="633">
        <v>5</v>
      </c>
      <c r="K674" s="633">
        <v>6</v>
      </c>
      <c r="L674" s="633">
        <v>7</v>
      </c>
      <c r="M674" s="116"/>
      <c r="N674" s="116"/>
      <c r="O674" s="116"/>
      <c r="P674" s="116"/>
      <c r="Q674" s="116"/>
      <c r="R674" s="116"/>
      <c r="S674" s="132"/>
      <c r="T674" s="142"/>
      <c r="U674" s="115"/>
      <c r="V674" s="566" t="str">
        <f>Translations!$B$498</f>
        <v>Units:</v>
      </c>
      <c r="W674" s="561" t="str" cm="1">
        <f t="array" ref="W674">IFERROR(INDEX(_xlfn._xlws.FILTER(W678:W687,(W678:W687)&lt;&gt;"",""),1),W675)</f>
        <v/>
      </c>
      <c r="X674" s="561" t="str" cm="1">
        <f t="array" ref="X674">IFERROR(INDEX(_xlfn._xlws.FILTER(X678:X687,(X678:X687)&lt;&gt;"",""),1),X675)</f>
        <v/>
      </c>
      <c r="Y674" s="567"/>
      <c r="Z674" s="561" t="str" cm="1">
        <f t="array" ref="Z674">IFERROR(INDEX(_xlfn._xlws.FILTER(Z678:Z687,(Z678:Z687)&lt;&gt;"",""),1),Z675)</f>
        <v/>
      </c>
      <c r="AA674" s="567"/>
    </row>
    <row r="675" spans="2:38" ht="12.75" customHeight="1" x14ac:dyDescent="0.25">
      <c r="B675" s="132"/>
      <c r="C675" s="132"/>
      <c r="D675" s="1379"/>
      <c r="E675" s="1380"/>
      <c r="F675" s="1383" t="str">
        <f>Translations!$B$377</f>
        <v>RFA</v>
      </c>
      <c r="G675" s="1383" t="str">
        <f>Translations!$B$386</f>
        <v>UCF</v>
      </c>
      <c r="H675" s="1383" t="str">
        <f>Translations!$B$383</f>
        <v>EF</v>
      </c>
      <c r="I675" s="1383" t="str">
        <f>Translations!$B$632</f>
        <v>Zero-rated F</v>
      </c>
      <c r="J675" s="1385" t="str">
        <f>Translations!$B$652</f>
        <v>Energy or other</v>
      </c>
      <c r="K675" s="1385" t="str">
        <f>Translations!$B$522</f>
        <v>Emissions (fossil)</v>
      </c>
      <c r="L675" s="1385" t="str">
        <f>Translations!$B$634</f>
        <v>Emissions (bio)</v>
      </c>
      <c r="M675" s="116"/>
      <c r="N675" s="116"/>
      <c r="O675" s="116"/>
      <c r="P675" s="116"/>
      <c r="Q675" s="116"/>
      <c r="R675" s="116"/>
      <c r="S675" s="132"/>
      <c r="T675" s="142"/>
      <c r="U675" s="115"/>
      <c r="W675" s="561" t="str">
        <f t="array" ref="W675">IFERROR(INDEX(W678:W687,MATCH(TRUE,(W678:W687)&lt;&gt;"",0)),"")</f>
        <v/>
      </c>
      <c r="X675" s="561" t="str">
        <f t="array" ref="X675">IFERROR(INDEX(X678:X687,MATCH(TRUE,(X678:X687)&lt;&gt;"",0)),"")</f>
        <v/>
      </c>
      <c r="Y675" s="567"/>
      <c r="Z675" s="561" t="str">
        <f t="array" ref="Z675">IFERROR(INDEX(Z678:Z687,MATCH(TRUE,(Z678:Z687)&lt;&gt;"",0)),"")</f>
        <v/>
      </c>
      <c r="AA675" s="567"/>
    </row>
    <row r="676" spans="2:38" ht="12.75" customHeight="1" x14ac:dyDescent="0.3">
      <c r="B676" s="132"/>
      <c r="C676" s="132"/>
      <c r="D676" s="1379"/>
      <c r="E676" s="1380"/>
      <c r="F676" s="1384"/>
      <c r="G676" s="1384"/>
      <c r="H676" s="1384"/>
      <c r="I676" s="1384"/>
      <c r="J676" s="1386"/>
      <c r="K676" s="1386"/>
      <c r="L676" s="1386"/>
      <c r="M676" s="116"/>
      <c r="N676" s="634" t="str">
        <f>Translations!$B$635</f>
        <v>Result to be entered in sheet C</v>
      </c>
      <c r="O676" s="116"/>
      <c r="P676" s="116"/>
      <c r="Q676" s="116"/>
      <c r="R676" s="116"/>
      <c r="S676" s="132"/>
      <c r="T676" s="142"/>
      <c r="U676" s="115"/>
      <c r="W676" s="569" t="str">
        <f>Translations!$B$377</f>
        <v>RFA</v>
      </c>
      <c r="X676" s="569" t="str">
        <f>Translations!$B$386</f>
        <v>UCF</v>
      </c>
      <c r="Y676" s="569"/>
      <c r="Z676" s="569" t="str">
        <f>Translations!$B$383</f>
        <v>EF</v>
      </c>
      <c r="AA676" s="569"/>
      <c r="AB676" s="570"/>
      <c r="AC676" s="570"/>
      <c r="AH676" s="570"/>
      <c r="AI676" s="575"/>
      <c r="AJ676" s="575"/>
      <c r="AK676" s="575"/>
      <c r="AL676" s="575"/>
    </row>
    <row r="677" spans="2:38" ht="12.75" customHeight="1" x14ac:dyDescent="0.3">
      <c r="B677" s="132"/>
      <c r="C677" s="132"/>
      <c r="D677" s="1381"/>
      <c r="E677" s="1382"/>
      <c r="F677" s="635" t="str">
        <f>IF(COUNTA($E678:$E692)=0,"",$W674)</f>
        <v/>
      </c>
      <c r="G677" s="635" t="str">
        <f>IF(COUNTA($E678:$E692)=0,"",$X674)</f>
        <v/>
      </c>
      <c r="H677" s="635" t="str">
        <f>IF(COUNTA($E678:$E692)=0,"",$Z674)</f>
        <v/>
      </c>
      <c r="I677" s="636" t="s">
        <v>46</v>
      </c>
      <c r="J677" s="635" t="str">
        <f>IF(AE678=EUconst_NA,EUconst_GJ,AE678)</f>
        <v>GJ</v>
      </c>
      <c r="K677" s="637" t="s">
        <v>188</v>
      </c>
      <c r="L677" s="637" t="s">
        <v>188</v>
      </c>
      <c r="M677" s="116"/>
      <c r="N677" s="1387" t="str">
        <f>Translations!$B$636</f>
        <v>The results of this tool are the relevant (weighted average) values below. Each value has to be entered manually in sheet C for the respective fuel stream. Select fuel stream below for comparison.</v>
      </c>
      <c r="O677" s="1387"/>
      <c r="P677" s="1387"/>
      <c r="Q677" s="1387"/>
      <c r="R677" s="1387"/>
      <c r="S677" s="1387"/>
      <c r="T677" s="142"/>
      <c r="U677" s="115"/>
      <c r="W677" s="569" t="str">
        <f>EUconst_CNTR_ActivityData&amp;EUconst_Unit</f>
        <v>ActivityData_Unit</v>
      </c>
      <c r="X677" s="569" t="str">
        <f>EUconst_CNTR_UCF&amp;EUconst_Unit</f>
        <v>UCF_Unit</v>
      </c>
      <c r="Y677" s="569" t="str">
        <f>EUconst_CNTR_UCF&amp;EUconst_Value</f>
        <v>UCF_Value</v>
      </c>
      <c r="Z677" s="569" t="str">
        <f>EUconst_CNTR_EF&amp;EUconst_Unit</f>
        <v>EF_Unit</v>
      </c>
      <c r="AA677" s="569" t="str">
        <f>EUconst_CNTR_EF&amp;EUconst_Value</f>
        <v>EF_Value</v>
      </c>
      <c r="AB677" s="569" t="s">
        <v>189</v>
      </c>
      <c r="AC677" s="575"/>
      <c r="AD677" s="576" t="s">
        <v>147</v>
      </c>
      <c r="AE677" s="576" t="s">
        <v>151</v>
      </c>
      <c r="AF677" s="576" t="s">
        <v>153</v>
      </c>
      <c r="AG677" s="576" t="s">
        <v>155</v>
      </c>
      <c r="AH677" s="575"/>
      <c r="AI677" s="575"/>
      <c r="AJ677" s="575" t="s">
        <v>190</v>
      </c>
      <c r="AK677" s="575" t="s">
        <v>191</v>
      </c>
      <c r="AL677" s="575" t="s">
        <v>192</v>
      </c>
    </row>
    <row r="678" spans="2:38" ht="12.75" customHeight="1" x14ac:dyDescent="0.25">
      <c r="B678" s="132"/>
      <c r="C678" s="132"/>
      <c r="D678" s="1388" t="str">
        <f>Translations!$B$637</f>
        <v>Default compontents provided by the CA</v>
      </c>
      <c r="E678" s="42"/>
      <c r="F678" s="45"/>
      <c r="G678" s="639" t="str">
        <f>IF($E678="","",Y678)</f>
        <v/>
      </c>
      <c r="H678" s="639" t="str">
        <f>IF($E678="","",AA678)</f>
        <v/>
      </c>
      <c r="I678" s="46"/>
      <c r="J678" s="640" t="str">
        <f t="shared" ref="J678:J692" si="382">IFERROR(IF(E678="","",AL678),EUconst_ERR_Inconsistent)</f>
        <v/>
      </c>
      <c r="K678" s="640" t="str">
        <f t="shared" ref="K678:K692" si="383">IFERROR(IF(E678="","",AJ678),EUconst_ERR_Inconsistent)</f>
        <v/>
      </c>
      <c r="L678" s="640" t="str">
        <f t="shared" ref="L678:L692" si="384">IFERROR(IF(E678="","",AK678),EUconst_ERR_Inconsistent)</f>
        <v/>
      </c>
      <c r="M678" s="1389"/>
      <c r="N678" s="1387"/>
      <c r="O678" s="1387"/>
      <c r="P678" s="1387"/>
      <c r="Q678" s="1387"/>
      <c r="R678" s="1387"/>
      <c r="S678" s="1387"/>
      <c r="T678" s="142"/>
      <c r="U678" s="115"/>
      <c r="W678" s="561" t="str">
        <f t="shared" ref="W678:AA687" si="385">IF($E678="","",INDEX(MSPara_CalcFactorsMatrix,MATCH($E678,MSPara_SourceStreamCategory,0),MATCH(W$20&amp;"_"&amp;2,MSPara_CalcFactors,0)))</f>
        <v/>
      </c>
      <c r="X678" s="561" t="str">
        <f t="shared" si="385"/>
        <v/>
      </c>
      <c r="Y678" s="561" t="str">
        <f t="shared" si="385"/>
        <v/>
      </c>
      <c r="Z678" s="561" t="str">
        <f t="shared" si="385"/>
        <v/>
      </c>
      <c r="AA678" s="561" t="str">
        <f t="shared" si="385"/>
        <v/>
      </c>
      <c r="AB678" s="561" t="str">
        <f>IF(E678="","",OR(W678&lt;&gt;W674,X678&lt;&gt;X674,Z678&lt;&gt;Z674))</f>
        <v/>
      </c>
      <c r="AC678" s="567"/>
      <c r="AD678" s="561" t="str">
        <f>W678</f>
        <v/>
      </c>
      <c r="AE678" s="561" t="str">
        <f>IF(X678="",EUconst_NA,IF(AD678=EUconst_TJ,EUconst_TJ,INDEX(EUwideConstants!$C$135:$G$139,MATCH(AD678,RFAUnits,0),MATCH(X678,UCFUnits,0))))</f>
        <v>n.a.</v>
      </c>
      <c r="AF678" s="561" t="str">
        <f>IF(COUNTIF(RFAUnits,AD678)=0,EUconst_NA,INDEX(EUwideConstants!$C$150:$H$154,MATCH(Z678,EFUnits,0),MATCH(AD678,EUwideConstants!$C$149:$H$149,0)))</f>
        <v>n.a.</v>
      </c>
      <c r="AG678" s="561" t="str">
        <f>IF(AE678=EUconst_NA,EUconst_NA,INDEX(EUwideConstants!$C$150:$H$154,MATCH(Z678,EFUnits,0),MATCH(AE678,EUwideConstants!$C$149:$H$149,0)))</f>
        <v>n.a.</v>
      </c>
      <c r="AH678" s="561" t="b">
        <f t="shared" ref="AH678" si="386">AF678&lt;&gt;EUconst_NA</f>
        <v>0</v>
      </c>
      <c r="AI678" s="561" t="b">
        <f t="shared" ref="AI678" si="387">AG678&lt;&gt;EUconst_NA</f>
        <v>0</v>
      </c>
      <c r="AJ678" s="582" t="str">
        <f>IF(OR(E678="",COUNTIF(AH678:AI678,TRUE)=0),"",F678*IF(AH678,1,G678*AG678)*H678*(1-I678))</f>
        <v/>
      </c>
      <c r="AK678" s="582" t="str">
        <f>IF(OR(E678="",COUNTIF(AH678:AI678,TRUE)=0),"",F678*IF(AH678,1,G678*AG678)*H678*I678)</f>
        <v/>
      </c>
      <c r="AL678" s="582" t="str">
        <f t="shared" ref="AL678:AL692" si="388">IF(E678="","",IF(W678=EUconst_TJ,F678,F678*G678))</f>
        <v/>
      </c>
    </row>
    <row r="679" spans="2:38" ht="12.75" customHeight="1" x14ac:dyDescent="0.25">
      <c r="B679" s="132"/>
      <c r="C679" s="132"/>
      <c r="D679" s="1388"/>
      <c r="E679" s="43"/>
      <c r="F679" s="47"/>
      <c r="G679" s="641" t="str">
        <f t="shared" ref="G679:G687" si="389">IF($E679="","",Y679)</f>
        <v/>
      </c>
      <c r="H679" s="641" t="str">
        <f t="shared" ref="H679:H687" si="390">IF($E679="","",AA679)</f>
        <v/>
      </c>
      <c r="I679" s="48"/>
      <c r="J679" s="642" t="str">
        <f t="shared" si="382"/>
        <v/>
      </c>
      <c r="K679" s="642" t="str">
        <f t="shared" si="383"/>
        <v/>
      </c>
      <c r="L679" s="642" t="str">
        <f t="shared" si="384"/>
        <v/>
      </c>
      <c r="M679" s="1389"/>
      <c r="N679" s="638"/>
      <c r="O679" s="643" t="str">
        <f>Translations!$B$639</f>
        <v>Fuel stream:</v>
      </c>
      <c r="P679" s="1390"/>
      <c r="Q679" s="1391"/>
      <c r="R679" s="1391"/>
      <c r="S679" s="1392"/>
      <c r="T679" s="142"/>
      <c r="U679" s="115"/>
      <c r="W679" s="561" t="str">
        <f t="shared" si="385"/>
        <v/>
      </c>
      <c r="X679" s="561" t="str">
        <f t="shared" si="385"/>
        <v/>
      </c>
      <c r="Y679" s="561" t="str">
        <f t="shared" si="385"/>
        <v/>
      </c>
      <c r="Z679" s="561" t="str">
        <f t="shared" si="385"/>
        <v/>
      </c>
      <c r="AA679" s="561" t="str">
        <f t="shared" si="385"/>
        <v/>
      </c>
      <c r="AB679" s="561" t="str">
        <f>IF(E679="","",OR(W679&lt;&gt;W674,X679&lt;&gt;X674,Z679&lt;&gt;Z674))</f>
        <v/>
      </c>
      <c r="AC679" s="567"/>
      <c r="AD679" s="561" t="str">
        <f>AD678</f>
        <v/>
      </c>
      <c r="AE679" s="561" t="str">
        <f t="shared" ref="AE679:AI679" si="391">AE678</f>
        <v>n.a.</v>
      </c>
      <c r="AF679" s="561" t="str">
        <f t="shared" si="391"/>
        <v>n.a.</v>
      </c>
      <c r="AG679" s="561" t="str">
        <f t="shared" si="391"/>
        <v>n.a.</v>
      </c>
      <c r="AH679" s="561" t="b">
        <f t="shared" si="391"/>
        <v>0</v>
      </c>
      <c r="AI679" s="561" t="b">
        <f t="shared" si="391"/>
        <v>0</v>
      </c>
      <c r="AJ679" s="582" t="str">
        <f t="shared" ref="AJ679:AJ692" si="392">IF(OR(E679="",COUNTIF(AH679:AI679,TRUE)=0),"",F679*IF(AH679,1,G679*AG679)*H679*(1-I679))</f>
        <v/>
      </c>
      <c r="AK679" s="582" t="str">
        <f t="shared" ref="AK679:AK692" si="393">IF(OR(E679="",COUNTIF(AH679:AI679,TRUE)=0),"",F679*IF(AH679,1,G679*AG679)*H679*I679)</f>
        <v/>
      </c>
      <c r="AL679" s="582" t="str">
        <f t="shared" si="388"/>
        <v/>
      </c>
    </row>
    <row r="680" spans="2:38" ht="12.75" customHeight="1" x14ac:dyDescent="0.25">
      <c r="B680" s="132"/>
      <c r="C680" s="132"/>
      <c r="D680" s="1388"/>
      <c r="E680" s="43"/>
      <c r="F680" s="47"/>
      <c r="G680" s="641" t="str">
        <f t="shared" si="389"/>
        <v/>
      </c>
      <c r="H680" s="641" t="str">
        <f t="shared" si="390"/>
        <v/>
      </c>
      <c r="I680" s="48"/>
      <c r="J680" s="642" t="str">
        <f t="shared" si="382"/>
        <v/>
      </c>
      <c r="K680" s="642" t="str">
        <f t="shared" si="383"/>
        <v/>
      </c>
      <c r="L680" s="642" t="str">
        <f t="shared" si="384"/>
        <v/>
      </c>
      <c r="M680" s="1389"/>
      <c r="N680" s="116"/>
      <c r="O680" s="116"/>
      <c r="P680" s="116"/>
      <c r="Q680" s="116"/>
      <c r="R680" s="116"/>
      <c r="S680" s="132"/>
      <c r="T680" s="142"/>
      <c r="U680" s="115"/>
      <c r="W680" s="561" t="str">
        <f t="shared" si="385"/>
        <v/>
      </c>
      <c r="X680" s="561" t="str">
        <f t="shared" si="385"/>
        <v/>
      </c>
      <c r="Y680" s="561" t="str">
        <f t="shared" si="385"/>
        <v/>
      </c>
      <c r="Z680" s="561" t="str">
        <f t="shared" si="385"/>
        <v/>
      </c>
      <c r="AA680" s="561" t="str">
        <f t="shared" si="385"/>
        <v/>
      </c>
      <c r="AB680" s="561" t="str">
        <f>IF(E680="","",OR(W680&lt;&gt;W674,X680&lt;&gt;X674,Z680&lt;&gt;Z674))</f>
        <v/>
      </c>
      <c r="AC680" s="567"/>
      <c r="AD680" s="561" t="str">
        <f t="shared" ref="AD680:AI692" si="394">AD679</f>
        <v/>
      </c>
      <c r="AE680" s="561" t="str">
        <f t="shared" si="394"/>
        <v>n.a.</v>
      </c>
      <c r="AF680" s="561" t="str">
        <f t="shared" si="394"/>
        <v>n.a.</v>
      </c>
      <c r="AG680" s="561" t="str">
        <f t="shared" si="394"/>
        <v>n.a.</v>
      </c>
      <c r="AH680" s="561" t="b">
        <f t="shared" si="394"/>
        <v>0</v>
      </c>
      <c r="AI680" s="561" t="b">
        <f t="shared" si="394"/>
        <v>0</v>
      </c>
      <c r="AJ680" s="582" t="str">
        <f t="shared" si="392"/>
        <v/>
      </c>
      <c r="AK680" s="582" t="str">
        <f t="shared" si="393"/>
        <v/>
      </c>
      <c r="AL680" s="582" t="str">
        <f t="shared" si="388"/>
        <v/>
      </c>
    </row>
    <row r="681" spans="2:38" ht="12.75" customHeight="1" thickBot="1" x14ac:dyDescent="0.35">
      <c r="B681" s="132"/>
      <c r="C681" s="132"/>
      <c r="D681" s="1388"/>
      <c r="E681" s="43"/>
      <c r="F681" s="47"/>
      <c r="G681" s="641" t="str">
        <f t="shared" si="389"/>
        <v/>
      </c>
      <c r="H681" s="641" t="str">
        <f t="shared" si="390"/>
        <v/>
      </c>
      <c r="I681" s="48"/>
      <c r="J681" s="642" t="str">
        <f t="shared" si="382"/>
        <v/>
      </c>
      <c r="K681" s="642" t="str">
        <f t="shared" si="383"/>
        <v/>
      </c>
      <c r="L681" s="642" t="str">
        <f t="shared" si="384"/>
        <v/>
      </c>
      <c r="M681" s="1389"/>
      <c r="N681" s="1255" t="str">
        <f>Translations!$B$394</f>
        <v>Unit</v>
      </c>
      <c r="O681" s="1255"/>
      <c r="P681" s="1255" t="str">
        <f>Translations!$B$395</f>
        <v>Value</v>
      </c>
      <c r="Q681" s="1255"/>
      <c r="R681" s="116"/>
      <c r="S681" s="644" t="str">
        <f>Translations!$B$642</f>
        <v>Sheet C values</v>
      </c>
      <c r="T681" s="142"/>
      <c r="U681" s="115"/>
      <c r="W681" s="561" t="str">
        <f t="shared" si="385"/>
        <v/>
      </c>
      <c r="X681" s="561" t="str">
        <f t="shared" si="385"/>
        <v/>
      </c>
      <c r="Y681" s="561" t="str">
        <f t="shared" si="385"/>
        <v/>
      </c>
      <c r="Z681" s="561" t="str">
        <f t="shared" si="385"/>
        <v/>
      </c>
      <c r="AA681" s="561" t="str">
        <f t="shared" si="385"/>
        <v/>
      </c>
      <c r="AB681" s="561" t="str">
        <f>IF(E681="","",OR(W681&lt;&gt;W674,X681&lt;&gt;X674,Z681&lt;&gt;Z674))</f>
        <v/>
      </c>
      <c r="AC681" s="567"/>
      <c r="AD681" s="561" t="str">
        <f t="shared" si="394"/>
        <v/>
      </c>
      <c r="AE681" s="561" t="str">
        <f t="shared" si="394"/>
        <v>n.a.</v>
      </c>
      <c r="AF681" s="561" t="str">
        <f t="shared" si="394"/>
        <v>n.a.</v>
      </c>
      <c r="AG681" s="561" t="str">
        <f t="shared" si="394"/>
        <v>n.a.</v>
      </c>
      <c r="AH681" s="561" t="b">
        <f t="shared" si="394"/>
        <v>0</v>
      </c>
      <c r="AI681" s="561" t="b">
        <f t="shared" si="394"/>
        <v>0</v>
      </c>
      <c r="AJ681" s="582" t="str">
        <f t="shared" si="392"/>
        <v/>
      </c>
      <c r="AK681" s="582" t="str">
        <f t="shared" si="393"/>
        <v/>
      </c>
      <c r="AL681" s="582" t="str">
        <f t="shared" si="388"/>
        <v/>
      </c>
    </row>
    <row r="682" spans="2:38" ht="12.75" customHeight="1" thickBot="1" x14ac:dyDescent="0.3">
      <c r="B682" s="132"/>
      <c r="C682" s="132"/>
      <c r="D682" s="1388"/>
      <c r="E682" s="43"/>
      <c r="F682" s="47"/>
      <c r="G682" s="641" t="str">
        <f t="shared" si="389"/>
        <v/>
      </c>
      <c r="H682" s="641" t="str">
        <f t="shared" si="390"/>
        <v/>
      </c>
      <c r="I682" s="48"/>
      <c r="J682" s="642" t="str">
        <f t="shared" si="382"/>
        <v/>
      </c>
      <c r="K682" s="642" t="str">
        <f t="shared" si="383"/>
        <v/>
      </c>
      <c r="L682" s="642" t="str">
        <f t="shared" si="384"/>
        <v/>
      </c>
      <c r="M682" s="116"/>
      <c r="N682" s="346" t="str">
        <f>F677</f>
        <v/>
      </c>
      <c r="O682" s="7"/>
      <c r="P682" s="1393" t="str">
        <f>IF(F693="","",F693)</f>
        <v/>
      </c>
      <c r="Q682" s="1394"/>
      <c r="R682" s="116"/>
      <c r="S682" s="645" t="str">
        <f>IF(P679="","",SUMIFS(C_FuelStreams!BK:BK,C_FuelStreams!BI:BI,P679))</f>
        <v/>
      </c>
      <c r="T682" s="142"/>
      <c r="U682" s="115"/>
      <c r="W682" s="561" t="str">
        <f t="shared" si="385"/>
        <v/>
      </c>
      <c r="X682" s="561" t="str">
        <f t="shared" si="385"/>
        <v/>
      </c>
      <c r="Y682" s="561" t="str">
        <f t="shared" si="385"/>
        <v/>
      </c>
      <c r="Z682" s="561" t="str">
        <f t="shared" si="385"/>
        <v/>
      </c>
      <c r="AA682" s="561" t="str">
        <f t="shared" si="385"/>
        <v/>
      </c>
      <c r="AB682" s="561" t="str">
        <f>IF(E682="","",OR(W682&lt;&gt;W674,X682&lt;&gt;X674,Z682&lt;&gt;Z674))</f>
        <v/>
      </c>
      <c r="AC682" s="567"/>
      <c r="AD682" s="561" t="str">
        <f t="shared" si="394"/>
        <v/>
      </c>
      <c r="AE682" s="561" t="str">
        <f t="shared" si="394"/>
        <v>n.a.</v>
      </c>
      <c r="AF682" s="561" t="str">
        <f t="shared" si="394"/>
        <v>n.a.</v>
      </c>
      <c r="AG682" s="561" t="str">
        <f t="shared" si="394"/>
        <v>n.a.</v>
      </c>
      <c r="AH682" s="561" t="b">
        <f t="shared" si="394"/>
        <v>0</v>
      </c>
      <c r="AI682" s="561" t="b">
        <f t="shared" si="394"/>
        <v>0</v>
      </c>
      <c r="AJ682" s="582" t="str">
        <f t="shared" si="392"/>
        <v/>
      </c>
      <c r="AK682" s="582" t="str">
        <f t="shared" si="393"/>
        <v/>
      </c>
      <c r="AL682" s="582" t="str">
        <f t="shared" si="388"/>
        <v/>
      </c>
    </row>
    <row r="683" spans="2:38" ht="12.75" customHeight="1" thickBot="1" x14ac:dyDescent="0.3">
      <c r="B683" s="132"/>
      <c r="C683" s="132"/>
      <c r="D683" s="1388"/>
      <c r="E683" s="43"/>
      <c r="F683" s="47"/>
      <c r="G683" s="641" t="str">
        <f t="shared" si="389"/>
        <v/>
      </c>
      <c r="H683" s="641" t="str">
        <f t="shared" si="390"/>
        <v/>
      </c>
      <c r="I683" s="48"/>
      <c r="J683" s="642" t="str">
        <f t="shared" si="382"/>
        <v/>
      </c>
      <c r="K683" s="642" t="str">
        <f t="shared" si="383"/>
        <v/>
      </c>
      <c r="L683" s="642" t="str">
        <f t="shared" si="384"/>
        <v/>
      </c>
      <c r="M683" s="116"/>
      <c r="N683" s="162"/>
      <c r="O683" s="162"/>
      <c r="P683" s="76"/>
      <c r="Q683" s="76"/>
      <c r="R683" s="116"/>
      <c r="S683" s="996"/>
      <c r="T683" s="142"/>
      <c r="U683" s="115"/>
      <c r="W683" s="561" t="str">
        <f t="shared" si="385"/>
        <v/>
      </c>
      <c r="X683" s="561" t="str">
        <f t="shared" si="385"/>
        <v/>
      </c>
      <c r="Y683" s="561" t="str">
        <f t="shared" si="385"/>
        <v/>
      </c>
      <c r="Z683" s="561" t="str">
        <f t="shared" si="385"/>
        <v/>
      </c>
      <c r="AA683" s="561" t="str">
        <f t="shared" si="385"/>
        <v/>
      </c>
      <c r="AB683" s="561" t="str">
        <f>IF(E683="","",OR(W683&lt;&gt;W674,X683&lt;&gt;X674,Z683&lt;&gt;Z674))</f>
        <v/>
      </c>
      <c r="AC683" s="567"/>
      <c r="AD683" s="561" t="str">
        <f t="shared" si="394"/>
        <v/>
      </c>
      <c r="AE683" s="561" t="str">
        <f t="shared" si="394"/>
        <v>n.a.</v>
      </c>
      <c r="AF683" s="561" t="str">
        <f t="shared" si="394"/>
        <v>n.a.</v>
      </c>
      <c r="AG683" s="561" t="str">
        <f t="shared" si="394"/>
        <v>n.a.</v>
      </c>
      <c r="AH683" s="561" t="b">
        <f t="shared" si="394"/>
        <v>0</v>
      </c>
      <c r="AI683" s="561" t="b">
        <f t="shared" si="394"/>
        <v>0</v>
      </c>
      <c r="AJ683" s="582" t="str">
        <f t="shared" si="392"/>
        <v/>
      </c>
      <c r="AK683" s="582" t="str">
        <f t="shared" si="393"/>
        <v/>
      </c>
      <c r="AL683" s="582" t="str">
        <f t="shared" si="388"/>
        <v/>
      </c>
    </row>
    <row r="684" spans="2:38" ht="12.75" customHeight="1" x14ac:dyDescent="0.25">
      <c r="B684" s="132"/>
      <c r="C684" s="132"/>
      <c r="D684" s="1388"/>
      <c r="E684" s="43"/>
      <c r="F684" s="47"/>
      <c r="G684" s="641" t="str">
        <f t="shared" si="389"/>
        <v/>
      </c>
      <c r="H684" s="641" t="str">
        <f t="shared" si="390"/>
        <v/>
      </c>
      <c r="I684" s="48"/>
      <c r="J684" s="642" t="str">
        <f t="shared" si="382"/>
        <v/>
      </c>
      <c r="K684" s="642" t="str">
        <f t="shared" si="383"/>
        <v/>
      </c>
      <c r="L684" s="642" t="str">
        <f t="shared" si="384"/>
        <v/>
      </c>
      <c r="M684" s="116"/>
      <c r="N684" s="365" t="str">
        <f>G677</f>
        <v/>
      </c>
      <c r="O684" s="11"/>
      <c r="P684" s="366"/>
      <c r="Q684" s="646" t="str">
        <f>IF(G693="","",G693)</f>
        <v/>
      </c>
      <c r="R684" s="116"/>
      <c r="S684" s="647" t="str">
        <f>IF(P679="","",SUMIFS(C_FuelStreams!BU:BU,C_FuelStreams!BI:BI,P679))</f>
        <v/>
      </c>
      <c r="T684" s="142"/>
      <c r="U684" s="115"/>
      <c r="W684" s="561" t="str">
        <f t="shared" si="385"/>
        <v/>
      </c>
      <c r="X684" s="561" t="str">
        <f t="shared" si="385"/>
        <v/>
      </c>
      <c r="Y684" s="561" t="str">
        <f t="shared" si="385"/>
        <v/>
      </c>
      <c r="Z684" s="561" t="str">
        <f t="shared" si="385"/>
        <v/>
      </c>
      <c r="AA684" s="561" t="str">
        <f t="shared" si="385"/>
        <v/>
      </c>
      <c r="AB684" s="561" t="str">
        <f>IF(E684="","",OR(W684&lt;&gt;W674,X684&lt;&gt;X674,Z684&lt;&gt;Z674))</f>
        <v/>
      </c>
      <c r="AC684" s="567"/>
      <c r="AD684" s="561" t="str">
        <f t="shared" si="394"/>
        <v/>
      </c>
      <c r="AE684" s="561" t="str">
        <f t="shared" si="394"/>
        <v>n.a.</v>
      </c>
      <c r="AF684" s="561" t="str">
        <f t="shared" si="394"/>
        <v>n.a.</v>
      </c>
      <c r="AG684" s="561" t="str">
        <f t="shared" si="394"/>
        <v>n.a.</v>
      </c>
      <c r="AH684" s="561" t="b">
        <f t="shared" si="394"/>
        <v>0</v>
      </c>
      <c r="AI684" s="561" t="b">
        <f t="shared" si="394"/>
        <v>0</v>
      </c>
      <c r="AJ684" s="582" t="str">
        <f t="shared" si="392"/>
        <v/>
      </c>
      <c r="AK684" s="582" t="str">
        <f t="shared" si="393"/>
        <v/>
      </c>
      <c r="AL684" s="582" t="str">
        <f t="shared" si="388"/>
        <v/>
      </c>
    </row>
    <row r="685" spans="2:38" ht="12.75" customHeight="1" thickBot="1" x14ac:dyDescent="0.3">
      <c r="B685" s="132"/>
      <c r="C685" s="132"/>
      <c r="D685" s="1388"/>
      <c r="E685" s="43"/>
      <c r="F685" s="47"/>
      <c r="G685" s="641" t="str">
        <f t="shared" si="389"/>
        <v/>
      </c>
      <c r="H685" s="641" t="str">
        <f t="shared" si="390"/>
        <v/>
      </c>
      <c r="I685" s="48"/>
      <c r="J685" s="642" t="str">
        <f t="shared" si="382"/>
        <v/>
      </c>
      <c r="K685" s="642" t="str">
        <f t="shared" si="383"/>
        <v/>
      </c>
      <c r="L685" s="642" t="str">
        <f t="shared" si="384"/>
        <v/>
      </c>
      <c r="M685" s="116"/>
      <c r="N685" s="648" t="str">
        <f>H677</f>
        <v/>
      </c>
      <c r="O685" s="22"/>
      <c r="P685" s="649"/>
      <c r="Q685" s="650" t="str">
        <f>IF(H693="","",H693)</f>
        <v/>
      </c>
      <c r="R685" s="116"/>
      <c r="S685" s="651" t="str">
        <f>IF(P679="","",SUMIFS(C_FuelStreams!BR:BR,C_FuelStreams!BI:BI,P679))</f>
        <v/>
      </c>
      <c r="T685" s="142"/>
      <c r="U685" s="115"/>
      <c r="W685" s="561" t="str">
        <f t="shared" si="385"/>
        <v/>
      </c>
      <c r="X685" s="561" t="str">
        <f t="shared" si="385"/>
        <v/>
      </c>
      <c r="Y685" s="561" t="str">
        <f t="shared" si="385"/>
        <v/>
      </c>
      <c r="Z685" s="561" t="str">
        <f t="shared" si="385"/>
        <v/>
      </c>
      <c r="AA685" s="561" t="str">
        <f t="shared" si="385"/>
        <v/>
      </c>
      <c r="AB685" s="561" t="str">
        <f>IF(E685="","",OR(W685&lt;&gt;W674,X685&lt;&gt;X674,Z685&lt;&gt;Z674))</f>
        <v/>
      </c>
      <c r="AC685" s="567"/>
      <c r="AD685" s="561" t="str">
        <f t="shared" si="394"/>
        <v/>
      </c>
      <c r="AE685" s="561" t="str">
        <f t="shared" si="394"/>
        <v>n.a.</v>
      </c>
      <c r="AF685" s="561" t="str">
        <f t="shared" si="394"/>
        <v>n.a.</v>
      </c>
      <c r="AG685" s="561" t="str">
        <f t="shared" si="394"/>
        <v>n.a.</v>
      </c>
      <c r="AH685" s="561" t="b">
        <f t="shared" si="394"/>
        <v>0</v>
      </c>
      <c r="AI685" s="561" t="b">
        <f t="shared" si="394"/>
        <v>0</v>
      </c>
      <c r="AJ685" s="582" t="str">
        <f t="shared" si="392"/>
        <v/>
      </c>
      <c r="AK685" s="582" t="str">
        <f t="shared" si="393"/>
        <v/>
      </c>
      <c r="AL685" s="582" t="str">
        <f t="shared" si="388"/>
        <v/>
      </c>
    </row>
    <row r="686" spans="2:38" ht="12.75" customHeight="1" x14ac:dyDescent="0.25">
      <c r="B686" s="132"/>
      <c r="C686" s="132"/>
      <c r="D686" s="1388"/>
      <c r="E686" s="43"/>
      <c r="F686" s="47"/>
      <c r="G686" s="641" t="str">
        <f t="shared" si="389"/>
        <v/>
      </c>
      <c r="H686" s="641" t="str">
        <f t="shared" si="390"/>
        <v/>
      </c>
      <c r="I686" s="48"/>
      <c r="J686" s="642" t="str">
        <f t="shared" si="382"/>
        <v/>
      </c>
      <c r="K686" s="642" t="str">
        <f t="shared" si="383"/>
        <v/>
      </c>
      <c r="L686" s="642" t="str">
        <f t="shared" si="384"/>
        <v/>
      </c>
      <c r="M686" s="116"/>
      <c r="N686" s="652" t="s">
        <v>46</v>
      </c>
      <c r="O686" s="411"/>
      <c r="P686" s="653"/>
      <c r="Q686" s="654" t="str">
        <f>IF(I693="","",I693)</f>
        <v/>
      </c>
      <c r="R686" s="116"/>
      <c r="S686" s="655" t="str">
        <f>IF(P679="","",SUMIFS(C_FuelStreams!BX:BX,C_FuelStreams!BI:BI,P679))</f>
        <v/>
      </c>
      <c r="T686" s="142"/>
      <c r="U686" s="115"/>
      <c r="W686" s="561" t="str">
        <f t="shared" si="385"/>
        <v/>
      </c>
      <c r="X686" s="561" t="str">
        <f t="shared" si="385"/>
        <v/>
      </c>
      <c r="Y686" s="561" t="str">
        <f t="shared" si="385"/>
        <v/>
      </c>
      <c r="Z686" s="561" t="str">
        <f t="shared" si="385"/>
        <v/>
      </c>
      <c r="AA686" s="561" t="str">
        <f t="shared" si="385"/>
        <v/>
      </c>
      <c r="AB686" s="561" t="str">
        <f>IF(E686="","",OR(W686&lt;&gt;W674,X686&lt;&gt;X674,Z686&lt;&gt;Z674))</f>
        <v/>
      </c>
      <c r="AC686" s="567"/>
      <c r="AD686" s="561" t="str">
        <f t="shared" si="394"/>
        <v/>
      </c>
      <c r="AE686" s="561" t="str">
        <f t="shared" si="394"/>
        <v>n.a.</v>
      </c>
      <c r="AF686" s="561" t="str">
        <f t="shared" si="394"/>
        <v>n.a.</v>
      </c>
      <c r="AG686" s="561" t="str">
        <f t="shared" si="394"/>
        <v>n.a.</v>
      </c>
      <c r="AH686" s="561" t="b">
        <f t="shared" si="394"/>
        <v>0</v>
      </c>
      <c r="AI686" s="561" t="b">
        <f t="shared" si="394"/>
        <v>0</v>
      </c>
      <c r="AJ686" s="582" t="str">
        <f t="shared" si="392"/>
        <v/>
      </c>
      <c r="AK686" s="582" t="str">
        <f t="shared" si="393"/>
        <v/>
      </c>
      <c r="AL686" s="582" t="str">
        <f t="shared" si="388"/>
        <v/>
      </c>
    </row>
    <row r="687" spans="2:38" ht="12.75" customHeight="1" x14ac:dyDescent="0.25">
      <c r="B687" s="132"/>
      <c r="C687" s="132"/>
      <c r="D687" s="1388"/>
      <c r="E687" s="43"/>
      <c r="F687" s="47"/>
      <c r="G687" s="641" t="str">
        <f t="shared" si="389"/>
        <v/>
      </c>
      <c r="H687" s="641" t="str">
        <f t="shared" si="390"/>
        <v/>
      </c>
      <c r="I687" s="48"/>
      <c r="J687" s="642" t="str">
        <f t="shared" si="382"/>
        <v/>
      </c>
      <c r="K687" s="642" t="str">
        <f t="shared" si="383"/>
        <v/>
      </c>
      <c r="L687" s="642" t="str">
        <f t="shared" si="384"/>
        <v/>
      </c>
      <c r="M687" s="1395"/>
      <c r="N687" s="116"/>
      <c r="O687" s="116"/>
      <c r="P687" s="116"/>
      <c r="Q687" s="116"/>
      <c r="R687" s="116"/>
      <c r="S687" s="132"/>
      <c r="T687" s="142"/>
      <c r="U687" s="115"/>
      <c r="W687" s="561" t="str">
        <f t="shared" si="385"/>
        <v/>
      </c>
      <c r="X687" s="561" t="str">
        <f t="shared" si="385"/>
        <v/>
      </c>
      <c r="Y687" s="561" t="str">
        <f t="shared" si="385"/>
        <v/>
      </c>
      <c r="Z687" s="561" t="str">
        <f t="shared" si="385"/>
        <v/>
      </c>
      <c r="AA687" s="561" t="str">
        <f t="shared" si="385"/>
        <v/>
      </c>
      <c r="AB687" s="561" t="str">
        <f>IF(E687="","",OR(W687&lt;&gt;W674,X687&lt;&gt;X674,Z687&lt;&gt;Z674))</f>
        <v/>
      </c>
      <c r="AC687" s="567"/>
      <c r="AD687" s="561" t="str">
        <f t="shared" si="394"/>
        <v/>
      </c>
      <c r="AE687" s="561" t="str">
        <f t="shared" si="394"/>
        <v>n.a.</v>
      </c>
      <c r="AF687" s="561" t="str">
        <f t="shared" si="394"/>
        <v>n.a.</v>
      </c>
      <c r="AG687" s="561" t="str">
        <f t="shared" si="394"/>
        <v>n.a.</v>
      </c>
      <c r="AH687" s="561" t="b">
        <f t="shared" si="394"/>
        <v>0</v>
      </c>
      <c r="AI687" s="561" t="b">
        <f t="shared" si="394"/>
        <v>0</v>
      </c>
      <c r="AJ687" s="582" t="str">
        <f t="shared" si="392"/>
        <v/>
      </c>
      <c r="AK687" s="582" t="str">
        <f t="shared" si="393"/>
        <v/>
      </c>
      <c r="AL687" s="582" t="str">
        <f t="shared" si="388"/>
        <v/>
      </c>
    </row>
    <row r="688" spans="2:38" ht="12.75" customHeight="1" x14ac:dyDescent="0.25">
      <c r="B688" s="132"/>
      <c r="C688" s="132"/>
      <c r="D688" s="1388" t="str">
        <f>Translations!$B$643</f>
        <v>Customised components</v>
      </c>
      <c r="E688" s="42"/>
      <c r="F688" s="45"/>
      <c r="G688" s="49"/>
      <c r="H688" s="49"/>
      <c r="I688" s="46"/>
      <c r="J688" s="640" t="str">
        <f t="shared" si="382"/>
        <v/>
      </c>
      <c r="K688" s="640" t="str">
        <f t="shared" si="383"/>
        <v/>
      </c>
      <c r="L688" s="640" t="str">
        <f t="shared" si="384"/>
        <v/>
      </c>
      <c r="M688" s="1395"/>
      <c r="N688" s="116"/>
      <c r="O688" s="116"/>
      <c r="P688" s="656" t="str">
        <f>Translations!$B$644</f>
        <v>CO2 fossil (before scope factor):</v>
      </c>
      <c r="Q688" s="997" t="str">
        <f>IF(K693="","",K693)</f>
        <v/>
      </c>
      <c r="R688" s="656"/>
      <c r="S688" s="997" t="str">
        <f>IF(P679="","",IF(W688=0,0,SUMIFS(C_FuelStreams!CE:CE,C_FuelStreams!BI:BI,P679)/W688))</f>
        <v/>
      </c>
      <c r="T688" s="142"/>
      <c r="U688" s="115"/>
      <c r="V688" s="110" t="str">
        <f>Translations!$B$398</f>
        <v>Scope factor:</v>
      </c>
      <c r="W688" s="617" t="str">
        <f>IF(P679="","",SUMIFS(C_FuelStreams!BP:BP,C_FuelStreams!BI:BI,P679))</f>
        <v/>
      </c>
      <c r="AD688" s="561" t="str">
        <f t="shared" si="394"/>
        <v/>
      </c>
      <c r="AE688" s="561" t="str">
        <f t="shared" si="394"/>
        <v>n.a.</v>
      </c>
      <c r="AF688" s="561" t="str">
        <f t="shared" si="394"/>
        <v>n.a.</v>
      </c>
      <c r="AG688" s="561" t="str">
        <f t="shared" si="394"/>
        <v>n.a.</v>
      </c>
      <c r="AH688" s="561" t="b">
        <f t="shared" si="394"/>
        <v>0</v>
      </c>
      <c r="AI688" s="561" t="b">
        <f t="shared" si="394"/>
        <v>0</v>
      </c>
      <c r="AJ688" s="582" t="str">
        <f t="shared" si="392"/>
        <v/>
      </c>
      <c r="AK688" s="582" t="str">
        <f t="shared" si="393"/>
        <v/>
      </c>
      <c r="AL688" s="582" t="str">
        <f t="shared" si="388"/>
        <v/>
      </c>
    </row>
    <row r="689" spans="1:38" ht="12.75" customHeight="1" x14ac:dyDescent="0.25">
      <c r="B689" s="132"/>
      <c r="C689" s="132"/>
      <c r="D689" s="1388"/>
      <c r="E689" s="43"/>
      <c r="F689" s="47"/>
      <c r="G689" s="50"/>
      <c r="H689" s="50"/>
      <c r="I689" s="48"/>
      <c r="J689" s="642" t="str">
        <f t="shared" si="382"/>
        <v/>
      </c>
      <c r="K689" s="642" t="str">
        <f t="shared" si="383"/>
        <v/>
      </c>
      <c r="L689" s="642" t="str">
        <f t="shared" si="384"/>
        <v/>
      </c>
      <c r="M689" s="1395"/>
      <c r="N689" s="116"/>
      <c r="O689" s="116"/>
      <c r="P689" s="116"/>
      <c r="Q689" s="116"/>
      <c r="R689" s="116"/>
      <c r="S689" s="132"/>
      <c r="T689" s="142"/>
      <c r="U689" s="115"/>
      <c r="AD689" s="561" t="str">
        <f t="shared" si="394"/>
        <v/>
      </c>
      <c r="AE689" s="561" t="str">
        <f t="shared" si="394"/>
        <v>n.a.</v>
      </c>
      <c r="AF689" s="561" t="str">
        <f t="shared" si="394"/>
        <v>n.a.</v>
      </c>
      <c r="AG689" s="561" t="str">
        <f t="shared" si="394"/>
        <v>n.a.</v>
      </c>
      <c r="AH689" s="561" t="b">
        <f t="shared" si="394"/>
        <v>0</v>
      </c>
      <c r="AI689" s="561" t="b">
        <f t="shared" si="394"/>
        <v>0</v>
      </c>
      <c r="AJ689" s="582" t="str">
        <f t="shared" si="392"/>
        <v/>
      </c>
      <c r="AK689" s="582" t="str">
        <f t="shared" si="393"/>
        <v/>
      </c>
      <c r="AL689" s="582" t="str">
        <f t="shared" si="388"/>
        <v/>
      </c>
    </row>
    <row r="690" spans="1:38" ht="12.75" customHeight="1" x14ac:dyDescent="0.25">
      <c r="B690" s="132"/>
      <c r="C690" s="132"/>
      <c r="D690" s="1388"/>
      <c r="E690" s="43"/>
      <c r="F690" s="47"/>
      <c r="G690" s="50"/>
      <c r="H690" s="50"/>
      <c r="I690" s="48"/>
      <c r="J690" s="642" t="str">
        <f t="shared" si="382"/>
        <v/>
      </c>
      <c r="K690" s="642" t="str">
        <f t="shared" si="383"/>
        <v/>
      </c>
      <c r="L690" s="642" t="str">
        <f t="shared" si="384"/>
        <v/>
      </c>
      <c r="M690" s="1395"/>
      <c r="N690" s="116"/>
      <c r="O690" s="116"/>
      <c r="P690" s="116"/>
      <c r="Q690" s="116"/>
      <c r="R690" s="116"/>
      <c r="S690" s="132"/>
      <c r="T690" s="142"/>
      <c r="U690" s="115"/>
      <c r="AD690" s="561" t="str">
        <f t="shared" si="394"/>
        <v/>
      </c>
      <c r="AE690" s="561" t="str">
        <f t="shared" si="394"/>
        <v>n.a.</v>
      </c>
      <c r="AF690" s="561" t="str">
        <f t="shared" si="394"/>
        <v>n.a.</v>
      </c>
      <c r="AG690" s="561" t="str">
        <f t="shared" si="394"/>
        <v>n.a.</v>
      </c>
      <c r="AH690" s="561" t="b">
        <f t="shared" si="394"/>
        <v>0</v>
      </c>
      <c r="AI690" s="561" t="b">
        <f t="shared" si="394"/>
        <v>0</v>
      </c>
      <c r="AJ690" s="582" t="str">
        <f t="shared" si="392"/>
        <v/>
      </c>
      <c r="AK690" s="582" t="str">
        <f t="shared" si="393"/>
        <v/>
      </c>
      <c r="AL690" s="582" t="str">
        <f t="shared" si="388"/>
        <v/>
      </c>
    </row>
    <row r="691" spans="1:38" ht="12.75" customHeight="1" x14ac:dyDescent="0.25">
      <c r="B691" s="132"/>
      <c r="C691" s="132"/>
      <c r="D691" s="1388"/>
      <c r="E691" s="43"/>
      <c r="F691" s="47"/>
      <c r="G691" s="50"/>
      <c r="H691" s="50"/>
      <c r="I691" s="48"/>
      <c r="J691" s="642" t="str">
        <f t="shared" si="382"/>
        <v/>
      </c>
      <c r="K691" s="642" t="str">
        <f t="shared" si="383"/>
        <v/>
      </c>
      <c r="L691" s="642" t="str">
        <f t="shared" si="384"/>
        <v/>
      </c>
      <c r="M691" s="1395"/>
      <c r="N691" s="116"/>
      <c r="O691" s="116"/>
      <c r="P691" s="116"/>
      <c r="Q691" s="116"/>
      <c r="R691" s="116"/>
      <c r="S691" s="132"/>
      <c r="T691" s="142"/>
      <c r="U691" s="115"/>
      <c r="AD691" s="561" t="str">
        <f t="shared" si="394"/>
        <v/>
      </c>
      <c r="AE691" s="561" t="str">
        <f t="shared" si="394"/>
        <v>n.a.</v>
      </c>
      <c r="AF691" s="561" t="str">
        <f t="shared" si="394"/>
        <v>n.a.</v>
      </c>
      <c r="AG691" s="561" t="str">
        <f t="shared" si="394"/>
        <v>n.a.</v>
      </c>
      <c r="AH691" s="561" t="b">
        <f t="shared" si="394"/>
        <v>0</v>
      </c>
      <c r="AI691" s="561" t="b">
        <f t="shared" si="394"/>
        <v>0</v>
      </c>
      <c r="AJ691" s="582" t="str">
        <f t="shared" si="392"/>
        <v/>
      </c>
      <c r="AK691" s="582" t="str">
        <f t="shared" si="393"/>
        <v/>
      </c>
      <c r="AL691" s="582" t="str">
        <f t="shared" si="388"/>
        <v/>
      </c>
    </row>
    <row r="692" spans="1:38" ht="12.75" customHeight="1" x14ac:dyDescent="0.25">
      <c r="B692" s="132"/>
      <c r="C692" s="132"/>
      <c r="D692" s="1388"/>
      <c r="E692" s="44"/>
      <c r="F692" s="51"/>
      <c r="G692" s="52"/>
      <c r="H692" s="52"/>
      <c r="I692" s="53"/>
      <c r="J692" s="657" t="str">
        <f t="shared" si="382"/>
        <v/>
      </c>
      <c r="K692" s="657" t="str">
        <f t="shared" si="383"/>
        <v/>
      </c>
      <c r="L692" s="657" t="str">
        <f t="shared" si="384"/>
        <v/>
      </c>
      <c r="M692" s="1395"/>
      <c r="N692" s="116"/>
      <c r="O692" s="116"/>
      <c r="P692" s="116"/>
      <c r="Q692" s="116"/>
      <c r="R692" s="116"/>
      <c r="S692" s="132"/>
      <c r="T692" s="142"/>
      <c r="U692" s="115"/>
      <c r="AD692" s="561" t="str">
        <f t="shared" si="394"/>
        <v/>
      </c>
      <c r="AE692" s="561" t="str">
        <f t="shared" si="394"/>
        <v>n.a.</v>
      </c>
      <c r="AF692" s="561" t="str">
        <f t="shared" si="394"/>
        <v>n.a.</v>
      </c>
      <c r="AG692" s="561" t="str">
        <f t="shared" si="394"/>
        <v>n.a.</v>
      </c>
      <c r="AH692" s="561" t="b">
        <f t="shared" si="394"/>
        <v>0</v>
      </c>
      <c r="AI692" s="561" t="b">
        <f t="shared" si="394"/>
        <v>0</v>
      </c>
      <c r="AJ692" s="582" t="str">
        <f t="shared" si="392"/>
        <v/>
      </c>
      <c r="AK692" s="582" t="str">
        <f t="shared" si="393"/>
        <v/>
      </c>
      <c r="AL692" s="582" t="str">
        <f t="shared" si="388"/>
        <v/>
      </c>
    </row>
    <row r="693" spans="1:38" ht="12.75" customHeight="1" x14ac:dyDescent="0.25">
      <c r="B693" s="132"/>
      <c r="C693" s="132"/>
      <c r="D693" s="132"/>
      <c r="E693" s="658" t="str">
        <f>Translations!$B$645</f>
        <v>TOTALS</v>
      </c>
      <c r="F693" s="659" t="str">
        <f>IF(SUM(F678:F692)=0,"",SUM(F678:F692))</f>
        <v/>
      </c>
      <c r="G693" s="660" t="str">
        <f>IF(SUM(F693)=0,"",J693/F693)</f>
        <v/>
      </c>
      <c r="H693" s="660" t="str">
        <f>IF(SUM(J693)=0,"",SUM(K693:L693)/IF(AF678&lt;&gt;EUconst_NA,F693,J693)/IF(AG678=EUconst_NA,1,AG678))</f>
        <v/>
      </c>
      <c r="I693" s="661" t="str">
        <f>IF(SUM(K693:L693)=0,"",L693/SUM(K693:L693))</f>
        <v/>
      </c>
      <c r="J693" s="659" t="str">
        <f>IF(COUNTA(E678:E692)=0,"",IFERROR(SUM(J678:J692),EUconst_ERR_Inconsistent))</f>
        <v/>
      </c>
      <c r="K693" s="659" t="str">
        <f>IF(COUNTA(E678:E692)=0,"",IFERROR(SUM(K678:K692),EUconst_ERR_Inconsistent))</f>
        <v/>
      </c>
      <c r="L693" s="659" t="str">
        <f>IF(COUNTA(E678:E692)=0,"",IFERROR(SUM(L678:L692),EUconst_ERR_Inconsistent))</f>
        <v/>
      </c>
      <c r="M693" s="1395"/>
      <c r="N693" s="116"/>
      <c r="O693" s="116"/>
      <c r="P693" s="116"/>
      <c r="Q693" s="116"/>
      <c r="R693" s="116"/>
      <c r="S693" s="132"/>
      <c r="T693" s="142"/>
      <c r="U693" s="115"/>
    </row>
    <row r="694" spans="1:38" ht="12.75" customHeight="1" x14ac:dyDescent="0.25">
      <c r="B694" s="132"/>
      <c r="C694" s="132"/>
      <c r="D694" s="132"/>
      <c r="E694" s="191"/>
      <c r="F694" s="116"/>
      <c r="G694" s="116"/>
      <c r="H694" s="116"/>
      <c r="I694" s="116"/>
      <c r="J694" s="116"/>
      <c r="K694" s="116"/>
      <c r="L694" s="116"/>
      <c r="M694" s="116"/>
      <c r="N694" s="116"/>
      <c r="O694" s="116"/>
      <c r="P694" s="116"/>
      <c r="Q694" s="116"/>
      <c r="R694" s="116"/>
      <c r="S694" s="132"/>
      <c r="T694" s="142"/>
      <c r="U694" s="115"/>
    </row>
    <row r="695" spans="1:38" s="69" customFormat="1" ht="18.75" customHeight="1" x14ac:dyDescent="0.25">
      <c r="A695" s="167">
        <f>C695</f>
        <v>30</v>
      </c>
      <c r="B695" s="76"/>
      <c r="C695" s="216">
        <f>C672+1</f>
        <v>30</v>
      </c>
      <c r="D695" s="1195" t="str">
        <f>"Tool " &amp;C695-2</f>
        <v>Tool 28</v>
      </c>
      <c r="E695" s="1195"/>
      <c r="F695" s="1195"/>
      <c r="G695" s="1195"/>
      <c r="H695" s="1195"/>
      <c r="I695" s="1195"/>
      <c r="J695" s="1195"/>
      <c r="K695" s="1195"/>
      <c r="L695" s="1195"/>
      <c r="M695" s="1195"/>
      <c r="N695" s="1195"/>
      <c r="O695" s="1195"/>
      <c r="P695" s="1195"/>
      <c r="Q695" s="1195"/>
      <c r="R695" s="1195"/>
      <c r="S695" s="1195"/>
      <c r="T695" s="142"/>
      <c r="U695" s="115"/>
      <c r="V695" s="464" t="str">
        <f>D695</f>
        <v>Tool 28</v>
      </c>
      <c r="W695" s="110"/>
      <c r="X695" s="110"/>
      <c r="Y695" s="110"/>
      <c r="Z695" s="110"/>
      <c r="AA695" s="109"/>
      <c r="AB695" s="109"/>
      <c r="AC695" s="109"/>
      <c r="AD695" s="109"/>
      <c r="AE695" s="109"/>
      <c r="AF695" s="109"/>
      <c r="AG695" s="109"/>
      <c r="AH695" s="109"/>
      <c r="AI695" s="109"/>
      <c r="AJ695" s="109"/>
      <c r="AK695" s="109"/>
      <c r="AL695" s="109"/>
    </row>
    <row r="696" spans="1:38" ht="12.75" customHeight="1" x14ac:dyDescent="0.25">
      <c r="B696" s="132"/>
      <c r="C696" s="132"/>
      <c r="D696" s="132"/>
      <c r="E696" s="191"/>
      <c r="F696" s="116"/>
      <c r="G696" s="116"/>
      <c r="H696" s="116"/>
      <c r="I696" s="116"/>
      <c r="J696" s="116"/>
      <c r="K696" s="116"/>
      <c r="L696" s="116"/>
      <c r="M696" s="116"/>
      <c r="N696" s="116"/>
      <c r="O696" s="116"/>
      <c r="P696" s="116"/>
      <c r="Q696" s="116"/>
      <c r="R696" s="116"/>
      <c r="S696" s="132"/>
      <c r="T696" s="142"/>
      <c r="U696" s="115"/>
    </row>
    <row r="697" spans="1:38" ht="12.75" customHeight="1" x14ac:dyDescent="0.25">
      <c r="B697" s="132"/>
      <c r="C697" s="132"/>
      <c r="D697" s="1377" t="str">
        <f>Translations!$B$631</f>
        <v>Component</v>
      </c>
      <c r="E697" s="1378"/>
      <c r="F697" s="633">
        <v>1</v>
      </c>
      <c r="G697" s="633">
        <v>2</v>
      </c>
      <c r="H697" s="633">
        <v>3</v>
      </c>
      <c r="I697" s="633">
        <v>4</v>
      </c>
      <c r="J697" s="633">
        <v>5</v>
      </c>
      <c r="K697" s="633">
        <v>6</v>
      </c>
      <c r="L697" s="633">
        <v>7</v>
      </c>
      <c r="M697" s="116"/>
      <c r="N697" s="116"/>
      <c r="O697" s="116"/>
      <c r="P697" s="116"/>
      <c r="Q697" s="116"/>
      <c r="R697" s="116"/>
      <c r="S697" s="132"/>
      <c r="T697" s="142"/>
      <c r="U697" s="115"/>
      <c r="V697" s="566" t="str">
        <f>Translations!$B$498</f>
        <v>Units:</v>
      </c>
      <c r="W697" s="561" t="str" cm="1">
        <f t="array" ref="W697">IFERROR(INDEX(_xlfn._xlws.FILTER(W701:W710,(W701:W710)&lt;&gt;"",""),1),W698)</f>
        <v/>
      </c>
      <c r="X697" s="561" t="str" cm="1">
        <f t="array" ref="X697">IFERROR(INDEX(_xlfn._xlws.FILTER(X701:X710,(X701:X710)&lt;&gt;"",""),1),X698)</f>
        <v/>
      </c>
      <c r="Y697" s="567"/>
      <c r="Z697" s="561" t="str" cm="1">
        <f t="array" ref="Z697">IFERROR(INDEX(_xlfn._xlws.FILTER(Z701:Z710,(Z701:Z710)&lt;&gt;"",""),1),Z698)</f>
        <v/>
      </c>
      <c r="AA697" s="567"/>
    </row>
    <row r="698" spans="1:38" ht="12.75" customHeight="1" x14ac:dyDescent="0.25">
      <c r="B698" s="132"/>
      <c r="C698" s="132"/>
      <c r="D698" s="1379"/>
      <c r="E698" s="1380"/>
      <c r="F698" s="1383" t="str">
        <f>Translations!$B$377</f>
        <v>RFA</v>
      </c>
      <c r="G698" s="1383" t="str">
        <f>Translations!$B$386</f>
        <v>UCF</v>
      </c>
      <c r="H698" s="1383" t="str">
        <f>Translations!$B$383</f>
        <v>EF</v>
      </c>
      <c r="I698" s="1383" t="str">
        <f>Translations!$B$632</f>
        <v>Zero-rated F</v>
      </c>
      <c r="J698" s="1385" t="str">
        <f>Translations!$B$652</f>
        <v>Energy or other</v>
      </c>
      <c r="K698" s="1385" t="str">
        <f>Translations!$B$522</f>
        <v>Emissions (fossil)</v>
      </c>
      <c r="L698" s="1385" t="str">
        <f>Translations!$B$634</f>
        <v>Emissions (bio)</v>
      </c>
      <c r="M698" s="116"/>
      <c r="N698" s="116"/>
      <c r="O698" s="116"/>
      <c r="P698" s="116"/>
      <c r="Q698" s="116"/>
      <c r="R698" s="116"/>
      <c r="S698" s="132"/>
      <c r="T698" s="142"/>
      <c r="U698" s="115"/>
      <c r="W698" s="561" t="str">
        <f t="array" ref="W698">IFERROR(INDEX(W701:W710,MATCH(TRUE,(W701:W710)&lt;&gt;"",0)),"")</f>
        <v/>
      </c>
      <c r="X698" s="561" t="str">
        <f t="array" ref="X698">IFERROR(INDEX(X701:X710,MATCH(TRUE,(X701:X710)&lt;&gt;"",0)),"")</f>
        <v/>
      </c>
      <c r="Y698" s="567"/>
      <c r="Z698" s="561" t="str">
        <f t="array" ref="Z698">IFERROR(INDEX(Z701:Z710,MATCH(TRUE,(Z701:Z710)&lt;&gt;"",0)),"")</f>
        <v/>
      </c>
      <c r="AA698" s="567"/>
    </row>
    <row r="699" spans="1:38" ht="12.75" customHeight="1" x14ac:dyDescent="0.3">
      <c r="B699" s="132"/>
      <c r="C699" s="132"/>
      <c r="D699" s="1379"/>
      <c r="E699" s="1380"/>
      <c r="F699" s="1384"/>
      <c r="G699" s="1384"/>
      <c r="H699" s="1384"/>
      <c r="I699" s="1384"/>
      <c r="J699" s="1386"/>
      <c r="K699" s="1386"/>
      <c r="L699" s="1386"/>
      <c r="M699" s="116"/>
      <c r="N699" s="634" t="str">
        <f>Translations!$B$635</f>
        <v>Result to be entered in sheet C</v>
      </c>
      <c r="O699" s="116"/>
      <c r="P699" s="116"/>
      <c r="Q699" s="116"/>
      <c r="R699" s="116"/>
      <c r="S699" s="132"/>
      <c r="T699" s="142"/>
      <c r="U699" s="115"/>
      <c r="W699" s="569" t="str">
        <f>Translations!$B$377</f>
        <v>RFA</v>
      </c>
      <c r="X699" s="569" t="str">
        <f>Translations!$B$386</f>
        <v>UCF</v>
      </c>
      <c r="Y699" s="569"/>
      <c r="Z699" s="569" t="str">
        <f>Translations!$B$383</f>
        <v>EF</v>
      </c>
      <c r="AA699" s="569"/>
      <c r="AB699" s="570"/>
      <c r="AC699" s="570"/>
      <c r="AH699" s="570"/>
      <c r="AI699" s="570"/>
      <c r="AJ699" s="570"/>
    </row>
    <row r="700" spans="1:38" ht="12.75" customHeight="1" x14ac:dyDescent="0.3">
      <c r="B700" s="132"/>
      <c r="C700" s="132"/>
      <c r="D700" s="1381"/>
      <c r="E700" s="1382"/>
      <c r="F700" s="635" t="str">
        <f>IF(COUNTA($E701:$E715)=0,"",$W697)</f>
        <v/>
      </c>
      <c r="G700" s="635" t="str">
        <f>IF(COUNTA($E701:$E715)=0,"",$X697)</f>
        <v/>
      </c>
      <c r="H700" s="635" t="str">
        <f>IF(COUNTA($E701:$E715)=0,"",$Z697)</f>
        <v/>
      </c>
      <c r="I700" s="636" t="s">
        <v>46</v>
      </c>
      <c r="J700" s="635" t="str">
        <f>IF(AE701=EUconst_NA,EUconst_GJ,AE701)</f>
        <v>GJ</v>
      </c>
      <c r="K700" s="637" t="s">
        <v>188</v>
      </c>
      <c r="L700" s="637" t="s">
        <v>188</v>
      </c>
      <c r="M700" s="116"/>
      <c r="N700" s="1387" t="str">
        <f>Translations!$B$636</f>
        <v>The results of this tool are the relevant (weighted average) values below. Each value has to be entered manually in sheet C for the respective fuel stream. Select fuel stream below for comparison.</v>
      </c>
      <c r="O700" s="1387"/>
      <c r="P700" s="1387"/>
      <c r="Q700" s="1387"/>
      <c r="R700" s="1387"/>
      <c r="S700" s="1387"/>
      <c r="T700" s="142"/>
      <c r="U700" s="115"/>
      <c r="W700" s="569" t="str">
        <f>EUconst_CNTR_ActivityData&amp;EUconst_Unit</f>
        <v>ActivityData_Unit</v>
      </c>
      <c r="X700" s="569" t="str">
        <f>EUconst_CNTR_UCF&amp;EUconst_Unit</f>
        <v>UCF_Unit</v>
      </c>
      <c r="Y700" s="569" t="str">
        <f>EUconst_CNTR_UCF&amp;EUconst_Value</f>
        <v>UCF_Value</v>
      </c>
      <c r="Z700" s="569" t="str">
        <f>EUconst_CNTR_EF&amp;EUconst_Unit</f>
        <v>EF_Unit</v>
      </c>
      <c r="AA700" s="569" t="str">
        <f>EUconst_CNTR_EF&amp;EUconst_Value</f>
        <v>EF_Value</v>
      </c>
      <c r="AB700" s="569" t="s">
        <v>189</v>
      </c>
      <c r="AC700" s="575"/>
      <c r="AD700" s="576" t="s">
        <v>147</v>
      </c>
      <c r="AE700" s="576" t="s">
        <v>151</v>
      </c>
      <c r="AF700" s="576" t="s">
        <v>153</v>
      </c>
      <c r="AG700" s="576" t="s">
        <v>155</v>
      </c>
      <c r="AH700" s="575"/>
      <c r="AI700" s="575"/>
      <c r="AJ700" s="575" t="s">
        <v>190</v>
      </c>
      <c r="AK700" s="575" t="s">
        <v>191</v>
      </c>
      <c r="AL700" s="575" t="s">
        <v>192</v>
      </c>
    </row>
    <row r="701" spans="1:38" ht="12.75" customHeight="1" x14ac:dyDescent="0.25">
      <c r="B701" s="132"/>
      <c r="C701" s="132"/>
      <c r="D701" s="1388" t="str">
        <f>Translations!$B$637</f>
        <v>Default compontents provided by the CA</v>
      </c>
      <c r="E701" s="42"/>
      <c r="F701" s="45"/>
      <c r="G701" s="639" t="str">
        <f>IF($E701="","",Y701)</f>
        <v/>
      </c>
      <c r="H701" s="639" t="str">
        <f>IF($E701="","",AA701)</f>
        <v/>
      </c>
      <c r="I701" s="46"/>
      <c r="J701" s="640" t="str">
        <f t="shared" ref="J701:J715" si="395">IFERROR(IF(E701="","",AL701),EUconst_ERR_Inconsistent)</f>
        <v/>
      </c>
      <c r="K701" s="640" t="str">
        <f t="shared" ref="K701:K715" si="396">IFERROR(IF(E701="","",AJ701),EUconst_ERR_Inconsistent)</f>
        <v/>
      </c>
      <c r="L701" s="640" t="str">
        <f t="shared" ref="L701:L715" si="397">IFERROR(IF(E701="","",AK701),EUconst_ERR_Inconsistent)</f>
        <v/>
      </c>
      <c r="M701" s="1389"/>
      <c r="N701" s="1387"/>
      <c r="O701" s="1387"/>
      <c r="P701" s="1387"/>
      <c r="Q701" s="1387"/>
      <c r="R701" s="1387"/>
      <c r="S701" s="1387"/>
      <c r="T701" s="142"/>
      <c r="U701" s="115"/>
      <c r="W701" s="561" t="str">
        <f t="shared" ref="W701:AA710" si="398">IF($E701="","",INDEX(MSPara_CalcFactorsMatrix,MATCH($E701,MSPara_SourceStreamCategory,0),MATCH(W$20&amp;"_"&amp;2,MSPara_CalcFactors,0)))</f>
        <v/>
      </c>
      <c r="X701" s="561" t="str">
        <f t="shared" si="398"/>
        <v/>
      </c>
      <c r="Y701" s="561" t="str">
        <f t="shared" si="398"/>
        <v/>
      </c>
      <c r="Z701" s="561" t="str">
        <f t="shared" si="398"/>
        <v/>
      </c>
      <c r="AA701" s="561" t="str">
        <f t="shared" si="398"/>
        <v/>
      </c>
      <c r="AB701" s="561" t="str">
        <f>IF(E701="","",OR(W701&lt;&gt;W697,X701&lt;&gt;X697,Z701&lt;&gt;Z697))</f>
        <v/>
      </c>
      <c r="AC701" s="567"/>
      <c r="AD701" s="561" t="str">
        <f>W701</f>
        <v/>
      </c>
      <c r="AE701" s="561" t="str">
        <f>IF(X701="",EUconst_NA,IF(AD701=EUconst_TJ,EUconst_TJ,INDEX(EUwideConstants!$C$135:$G$139,MATCH(AD701,RFAUnits,0),MATCH(X701,UCFUnits,0))))</f>
        <v>n.a.</v>
      </c>
      <c r="AF701" s="561" t="str">
        <f>IF(COUNTIF(RFAUnits,AD701)=0,EUconst_NA,INDEX(EUwideConstants!$C$150:$H$154,MATCH(Z701,EFUnits,0),MATCH(AD701,EUwideConstants!$C$149:$H$149,0)))</f>
        <v>n.a.</v>
      </c>
      <c r="AG701" s="561" t="str">
        <f>IF(AE701=EUconst_NA,EUconst_NA,INDEX(EUwideConstants!$C$150:$H$154,MATCH(Z701,EFUnits,0),MATCH(AE701,EUwideConstants!$C$149:$H$149,0)))</f>
        <v>n.a.</v>
      </c>
      <c r="AH701" s="561" t="b">
        <f t="shared" ref="AH701" si="399">AF701&lt;&gt;EUconst_NA</f>
        <v>0</v>
      </c>
      <c r="AI701" s="561" t="b">
        <f t="shared" ref="AI701" si="400">AG701&lt;&gt;EUconst_NA</f>
        <v>0</v>
      </c>
      <c r="AJ701" s="582" t="str">
        <f>IF(OR(E701="",COUNTIF(AH701:AI701,TRUE)=0),"",F701*IF(AH701,1,G701*AG701)*H701*(1-I701))</f>
        <v/>
      </c>
      <c r="AK701" s="582" t="str">
        <f>IF(OR(E701="",COUNTIF(AH701:AI701,TRUE)=0),"",F701*IF(AH701,1,G701*AG701)*H701*I701)</f>
        <v/>
      </c>
      <c r="AL701" s="582" t="str">
        <f t="shared" ref="AL701:AL715" si="401">IF(E701="","",IF(W701=EUconst_TJ,F701,F701*G701))</f>
        <v/>
      </c>
    </row>
    <row r="702" spans="1:38" ht="12.75" customHeight="1" x14ac:dyDescent="0.25">
      <c r="B702" s="132"/>
      <c r="C702" s="132"/>
      <c r="D702" s="1388"/>
      <c r="E702" s="43"/>
      <c r="F702" s="47"/>
      <c r="G702" s="641" t="str">
        <f t="shared" ref="G702:G710" si="402">IF($E702="","",Y702)</f>
        <v/>
      </c>
      <c r="H702" s="641" t="str">
        <f t="shared" ref="H702:H710" si="403">IF($E702="","",AA702)</f>
        <v/>
      </c>
      <c r="I702" s="48"/>
      <c r="J702" s="642" t="str">
        <f t="shared" si="395"/>
        <v/>
      </c>
      <c r="K702" s="642" t="str">
        <f t="shared" si="396"/>
        <v/>
      </c>
      <c r="L702" s="642" t="str">
        <f t="shared" si="397"/>
        <v/>
      </c>
      <c r="M702" s="1389"/>
      <c r="N702" s="638"/>
      <c r="O702" s="643" t="str">
        <f>Translations!$B$639</f>
        <v>Fuel stream:</v>
      </c>
      <c r="P702" s="1390"/>
      <c r="Q702" s="1391"/>
      <c r="R702" s="1391"/>
      <c r="S702" s="1392"/>
      <c r="T702" s="142"/>
      <c r="U702" s="115"/>
      <c r="W702" s="561" t="str">
        <f t="shared" si="398"/>
        <v/>
      </c>
      <c r="X702" s="561" t="str">
        <f t="shared" si="398"/>
        <v/>
      </c>
      <c r="Y702" s="561" t="str">
        <f t="shared" si="398"/>
        <v/>
      </c>
      <c r="Z702" s="561" t="str">
        <f t="shared" si="398"/>
        <v/>
      </c>
      <c r="AA702" s="561" t="str">
        <f t="shared" si="398"/>
        <v/>
      </c>
      <c r="AB702" s="561" t="str">
        <f>IF(E702="","",OR(W702&lt;&gt;W697,X702&lt;&gt;X697,Z702&lt;&gt;Z697))</f>
        <v/>
      </c>
      <c r="AC702" s="567"/>
      <c r="AD702" s="561" t="str">
        <f>AD701</f>
        <v/>
      </c>
      <c r="AE702" s="561" t="str">
        <f t="shared" ref="AE702:AI702" si="404">AE701</f>
        <v>n.a.</v>
      </c>
      <c r="AF702" s="561" t="str">
        <f t="shared" si="404"/>
        <v>n.a.</v>
      </c>
      <c r="AG702" s="561" t="str">
        <f t="shared" si="404"/>
        <v>n.a.</v>
      </c>
      <c r="AH702" s="561" t="b">
        <f t="shared" si="404"/>
        <v>0</v>
      </c>
      <c r="AI702" s="561" t="b">
        <f t="shared" si="404"/>
        <v>0</v>
      </c>
      <c r="AJ702" s="582" t="str">
        <f t="shared" ref="AJ702:AJ715" si="405">IF(OR(E702="",COUNTIF(AH702:AI702,TRUE)=0),"",F702*IF(AH702,1,G702*AG702)*H702*(1-I702))</f>
        <v/>
      </c>
      <c r="AK702" s="582" t="str">
        <f t="shared" ref="AK702:AK715" si="406">IF(OR(E702="",COUNTIF(AH702:AI702,TRUE)=0),"",F702*IF(AH702,1,G702*AG702)*H702*I702)</f>
        <v/>
      </c>
      <c r="AL702" s="582" t="str">
        <f t="shared" si="401"/>
        <v/>
      </c>
    </row>
    <row r="703" spans="1:38" ht="12.75" customHeight="1" x14ac:dyDescent="0.25">
      <c r="B703" s="132"/>
      <c r="C703" s="132"/>
      <c r="D703" s="1388"/>
      <c r="E703" s="43"/>
      <c r="F703" s="47"/>
      <c r="G703" s="641" t="str">
        <f t="shared" si="402"/>
        <v/>
      </c>
      <c r="H703" s="641" t="str">
        <f t="shared" si="403"/>
        <v/>
      </c>
      <c r="I703" s="48"/>
      <c r="J703" s="642" t="str">
        <f t="shared" si="395"/>
        <v/>
      </c>
      <c r="K703" s="642" t="str">
        <f t="shared" si="396"/>
        <v/>
      </c>
      <c r="L703" s="642" t="str">
        <f t="shared" si="397"/>
        <v/>
      </c>
      <c r="M703" s="1389"/>
      <c r="N703" s="116"/>
      <c r="O703" s="116"/>
      <c r="P703" s="116"/>
      <c r="Q703" s="116"/>
      <c r="R703" s="116"/>
      <c r="S703" s="132"/>
      <c r="T703" s="142"/>
      <c r="U703" s="115"/>
      <c r="W703" s="561" t="str">
        <f t="shared" si="398"/>
        <v/>
      </c>
      <c r="X703" s="561" t="str">
        <f t="shared" si="398"/>
        <v/>
      </c>
      <c r="Y703" s="561" t="str">
        <f t="shared" si="398"/>
        <v/>
      </c>
      <c r="Z703" s="561" t="str">
        <f t="shared" si="398"/>
        <v/>
      </c>
      <c r="AA703" s="561" t="str">
        <f t="shared" si="398"/>
        <v/>
      </c>
      <c r="AB703" s="561" t="str">
        <f>IF(E703="","",OR(W703&lt;&gt;W697,X703&lt;&gt;X697,Z703&lt;&gt;Z697))</f>
        <v/>
      </c>
      <c r="AC703" s="567"/>
      <c r="AD703" s="561" t="str">
        <f t="shared" ref="AD703:AI715" si="407">AD702</f>
        <v/>
      </c>
      <c r="AE703" s="561" t="str">
        <f t="shared" si="407"/>
        <v>n.a.</v>
      </c>
      <c r="AF703" s="561" t="str">
        <f t="shared" si="407"/>
        <v>n.a.</v>
      </c>
      <c r="AG703" s="561" t="str">
        <f t="shared" si="407"/>
        <v>n.a.</v>
      </c>
      <c r="AH703" s="561" t="b">
        <f t="shared" si="407"/>
        <v>0</v>
      </c>
      <c r="AI703" s="561" t="b">
        <f t="shared" si="407"/>
        <v>0</v>
      </c>
      <c r="AJ703" s="582" t="str">
        <f t="shared" si="405"/>
        <v/>
      </c>
      <c r="AK703" s="582" t="str">
        <f t="shared" si="406"/>
        <v/>
      </c>
      <c r="AL703" s="582" t="str">
        <f t="shared" si="401"/>
        <v/>
      </c>
    </row>
    <row r="704" spans="1:38" ht="12.75" customHeight="1" thickBot="1" x14ac:dyDescent="0.35">
      <c r="B704" s="132"/>
      <c r="C704" s="132"/>
      <c r="D704" s="1388"/>
      <c r="E704" s="43"/>
      <c r="F704" s="47"/>
      <c r="G704" s="641" t="str">
        <f t="shared" si="402"/>
        <v/>
      </c>
      <c r="H704" s="641" t="str">
        <f t="shared" si="403"/>
        <v/>
      </c>
      <c r="I704" s="48"/>
      <c r="J704" s="642" t="str">
        <f t="shared" si="395"/>
        <v/>
      </c>
      <c r="K704" s="642" t="str">
        <f t="shared" si="396"/>
        <v/>
      </c>
      <c r="L704" s="642" t="str">
        <f t="shared" si="397"/>
        <v/>
      </c>
      <c r="M704" s="1389"/>
      <c r="N704" s="1255" t="str">
        <f>Translations!$B$394</f>
        <v>Unit</v>
      </c>
      <c r="O704" s="1255"/>
      <c r="P704" s="1255" t="str">
        <f>Translations!$B$395</f>
        <v>Value</v>
      </c>
      <c r="Q704" s="1255"/>
      <c r="R704" s="116"/>
      <c r="S704" s="644" t="str">
        <f>Translations!$B$642</f>
        <v>Sheet C values</v>
      </c>
      <c r="T704" s="142"/>
      <c r="U704" s="115"/>
      <c r="W704" s="561" t="str">
        <f t="shared" si="398"/>
        <v/>
      </c>
      <c r="X704" s="561" t="str">
        <f t="shared" si="398"/>
        <v/>
      </c>
      <c r="Y704" s="561" t="str">
        <f t="shared" si="398"/>
        <v/>
      </c>
      <c r="Z704" s="561" t="str">
        <f t="shared" si="398"/>
        <v/>
      </c>
      <c r="AA704" s="561" t="str">
        <f t="shared" si="398"/>
        <v/>
      </c>
      <c r="AB704" s="561" t="str">
        <f>IF(E704="","",OR(W704&lt;&gt;W697,X704&lt;&gt;X697,Z704&lt;&gt;Z697))</f>
        <v/>
      </c>
      <c r="AC704" s="567"/>
      <c r="AD704" s="561" t="str">
        <f t="shared" si="407"/>
        <v/>
      </c>
      <c r="AE704" s="561" t="str">
        <f t="shared" si="407"/>
        <v>n.a.</v>
      </c>
      <c r="AF704" s="561" t="str">
        <f t="shared" si="407"/>
        <v>n.a.</v>
      </c>
      <c r="AG704" s="561" t="str">
        <f t="shared" si="407"/>
        <v>n.a.</v>
      </c>
      <c r="AH704" s="561" t="b">
        <f t="shared" si="407"/>
        <v>0</v>
      </c>
      <c r="AI704" s="561" t="b">
        <f t="shared" si="407"/>
        <v>0</v>
      </c>
      <c r="AJ704" s="582" t="str">
        <f t="shared" si="405"/>
        <v/>
      </c>
      <c r="AK704" s="582" t="str">
        <f t="shared" si="406"/>
        <v/>
      </c>
      <c r="AL704" s="582" t="str">
        <f t="shared" si="401"/>
        <v/>
      </c>
    </row>
    <row r="705" spans="1:38" ht="12.75" customHeight="1" thickBot="1" x14ac:dyDescent="0.3">
      <c r="B705" s="132"/>
      <c r="C705" s="132"/>
      <c r="D705" s="1388"/>
      <c r="E705" s="43"/>
      <c r="F705" s="47"/>
      <c r="G705" s="641" t="str">
        <f t="shared" si="402"/>
        <v/>
      </c>
      <c r="H705" s="641" t="str">
        <f t="shared" si="403"/>
        <v/>
      </c>
      <c r="I705" s="48"/>
      <c r="J705" s="642" t="str">
        <f t="shared" si="395"/>
        <v/>
      </c>
      <c r="K705" s="642" t="str">
        <f t="shared" si="396"/>
        <v/>
      </c>
      <c r="L705" s="642" t="str">
        <f t="shared" si="397"/>
        <v/>
      </c>
      <c r="M705" s="116"/>
      <c r="N705" s="346" t="str">
        <f>F700</f>
        <v/>
      </c>
      <c r="O705" s="7"/>
      <c r="P705" s="1393" t="str">
        <f>IF(F716="","",F716)</f>
        <v/>
      </c>
      <c r="Q705" s="1394"/>
      <c r="R705" s="116"/>
      <c r="S705" s="645" t="str">
        <f>IF(P702="","",SUMIFS(C_FuelStreams!BK:BK,C_FuelStreams!BI:BI,P702))</f>
        <v/>
      </c>
      <c r="T705" s="142"/>
      <c r="U705" s="115"/>
      <c r="W705" s="561" t="str">
        <f t="shared" si="398"/>
        <v/>
      </c>
      <c r="X705" s="561" t="str">
        <f t="shared" si="398"/>
        <v/>
      </c>
      <c r="Y705" s="561" t="str">
        <f t="shared" si="398"/>
        <v/>
      </c>
      <c r="Z705" s="561" t="str">
        <f t="shared" si="398"/>
        <v/>
      </c>
      <c r="AA705" s="561" t="str">
        <f t="shared" si="398"/>
        <v/>
      </c>
      <c r="AB705" s="561" t="str">
        <f>IF(E705="","",OR(W705&lt;&gt;W697,X705&lt;&gt;X697,Z705&lt;&gt;Z697))</f>
        <v/>
      </c>
      <c r="AC705" s="567"/>
      <c r="AD705" s="561" t="str">
        <f t="shared" si="407"/>
        <v/>
      </c>
      <c r="AE705" s="561" t="str">
        <f t="shared" si="407"/>
        <v>n.a.</v>
      </c>
      <c r="AF705" s="561" t="str">
        <f t="shared" si="407"/>
        <v>n.a.</v>
      </c>
      <c r="AG705" s="561" t="str">
        <f t="shared" si="407"/>
        <v>n.a.</v>
      </c>
      <c r="AH705" s="561" t="b">
        <f t="shared" si="407"/>
        <v>0</v>
      </c>
      <c r="AI705" s="561" t="b">
        <f t="shared" si="407"/>
        <v>0</v>
      </c>
      <c r="AJ705" s="582" t="str">
        <f t="shared" si="405"/>
        <v/>
      </c>
      <c r="AK705" s="582" t="str">
        <f t="shared" si="406"/>
        <v/>
      </c>
      <c r="AL705" s="582" t="str">
        <f t="shared" si="401"/>
        <v/>
      </c>
    </row>
    <row r="706" spans="1:38" ht="12.75" customHeight="1" thickBot="1" x14ac:dyDescent="0.3">
      <c r="B706" s="132"/>
      <c r="C706" s="132"/>
      <c r="D706" s="1388"/>
      <c r="E706" s="43"/>
      <c r="F706" s="47"/>
      <c r="G706" s="641" t="str">
        <f t="shared" si="402"/>
        <v/>
      </c>
      <c r="H706" s="641" t="str">
        <f t="shared" si="403"/>
        <v/>
      </c>
      <c r="I706" s="48"/>
      <c r="J706" s="642" t="str">
        <f t="shared" si="395"/>
        <v/>
      </c>
      <c r="K706" s="642" t="str">
        <f t="shared" si="396"/>
        <v/>
      </c>
      <c r="L706" s="642" t="str">
        <f t="shared" si="397"/>
        <v/>
      </c>
      <c r="M706" s="116"/>
      <c r="N706" s="162"/>
      <c r="O706" s="162"/>
      <c r="P706" s="76"/>
      <c r="Q706" s="76"/>
      <c r="R706" s="116"/>
      <c r="S706" s="996"/>
      <c r="T706" s="142"/>
      <c r="U706" s="115"/>
      <c r="W706" s="561" t="str">
        <f t="shared" si="398"/>
        <v/>
      </c>
      <c r="X706" s="561" t="str">
        <f t="shared" si="398"/>
        <v/>
      </c>
      <c r="Y706" s="561" t="str">
        <f t="shared" si="398"/>
        <v/>
      </c>
      <c r="Z706" s="561" t="str">
        <f t="shared" si="398"/>
        <v/>
      </c>
      <c r="AA706" s="561" t="str">
        <f t="shared" si="398"/>
        <v/>
      </c>
      <c r="AB706" s="561" t="str">
        <f>IF(E706="","",OR(W706&lt;&gt;W697,X706&lt;&gt;X697,Z706&lt;&gt;Z697))</f>
        <v/>
      </c>
      <c r="AC706" s="567"/>
      <c r="AD706" s="561" t="str">
        <f t="shared" si="407"/>
        <v/>
      </c>
      <c r="AE706" s="561" t="str">
        <f t="shared" si="407"/>
        <v>n.a.</v>
      </c>
      <c r="AF706" s="561" t="str">
        <f t="shared" si="407"/>
        <v>n.a.</v>
      </c>
      <c r="AG706" s="561" t="str">
        <f t="shared" si="407"/>
        <v>n.a.</v>
      </c>
      <c r="AH706" s="561" t="b">
        <f t="shared" si="407"/>
        <v>0</v>
      </c>
      <c r="AI706" s="561" t="b">
        <f t="shared" si="407"/>
        <v>0</v>
      </c>
      <c r="AJ706" s="582" t="str">
        <f t="shared" si="405"/>
        <v/>
      </c>
      <c r="AK706" s="582" t="str">
        <f t="shared" si="406"/>
        <v/>
      </c>
      <c r="AL706" s="582" t="str">
        <f t="shared" si="401"/>
        <v/>
      </c>
    </row>
    <row r="707" spans="1:38" ht="12.75" customHeight="1" x14ac:dyDescent="0.25">
      <c r="B707" s="132"/>
      <c r="C707" s="132"/>
      <c r="D707" s="1388"/>
      <c r="E707" s="43"/>
      <c r="F707" s="47"/>
      <c r="G707" s="641" t="str">
        <f t="shared" si="402"/>
        <v/>
      </c>
      <c r="H707" s="641" t="str">
        <f t="shared" si="403"/>
        <v/>
      </c>
      <c r="I707" s="48"/>
      <c r="J707" s="642" t="str">
        <f t="shared" si="395"/>
        <v/>
      </c>
      <c r="K707" s="642" t="str">
        <f t="shared" si="396"/>
        <v/>
      </c>
      <c r="L707" s="642" t="str">
        <f t="shared" si="397"/>
        <v/>
      </c>
      <c r="M707" s="116"/>
      <c r="N707" s="365" t="str">
        <f>G700</f>
        <v/>
      </c>
      <c r="O707" s="11"/>
      <c r="P707" s="366"/>
      <c r="Q707" s="646" t="str">
        <f>IF(G716="","",G716)</f>
        <v/>
      </c>
      <c r="R707" s="116"/>
      <c r="S707" s="647" t="str">
        <f>IF(P702="","",SUMIFS(C_FuelStreams!BU:BU,C_FuelStreams!BI:BI,P702))</f>
        <v/>
      </c>
      <c r="T707" s="142"/>
      <c r="U707" s="115"/>
      <c r="W707" s="561" t="str">
        <f t="shared" si="398"/>
        <v/>
      </c>
      <c r="X707" s="561" t="str">
        <f t="shared" si="398"/>
        <v/>
      </c>
      <c r="Y707" s="561" t="str">
        <f t="shared" si="398"/>
        <v/>
      </c>
      <c r="Z707" s="561" t="str">
        <f t="shared" si="398"/>
        <v/>
      </c>
      <c r="AA707" s="561" t="str">
        <f t="shared" si="398"/>
        <v/>
      </c>
      <c r="AB707" s="561" t="str">
        <f>IF(E707="","",OR(W707&lt;&gt;W697,X707&lt;&gt;X697,Z707&lt;&gt;Z697))</f>
        <v/>
      </c>
      <c r="AC707" s="567"/>
      <c r="AD707" s="561" t="str">
        <f t="shared" si="407"/>
        <v/>
      </c>
      <c r="AE707" s="561" t="str">
        <f t="shared" si="407"/>
        <v>n.a.</v>
      </c>
      <c r="AF707" s="561" t="str">
        <f t="shared" si="407"/>
        <v>n.a.</v>
      </c>
      <c r="AG707" s="561" t="str">
        <f t="shared" si="407"/>
        <v>n.a.</v>
      </c>
      <c r="AH707" s="561" t="b">
        <f t="shared" si="407"/>
        <v>0</v>
      </c>
      <c r="AI707" s="561" t="b">
        <f t="shared" si="407"/>
        <v>0</v>
      </c>
      <c r="AJ707" s="582" t="str">
        <f t="shared" si="405"/>
        <v/>
      </c>
      <c r="AK707" s="582" t="str">
        <f t="shared" si="406"/>
        <v/>
      </c>
      <c r="AL707" s="582" t="str">
        <f t="shared" si="401"/>
        <v/>
      </c>
    </row>
    <row r="708" spans="1:38" ht="12.75" customHeight="1" thickBot="1" x14ac:dyDescent="0.3">
      <c r="B708" s="132"/>
      <c r="C708" s="132"/>
      <c r="D708" s="1388"/>
      <c r="E708" s="43"/>
      <c r="F708" s="47"/>
      <c r="G708" s="641" t="str">
        <f t="shared" si="402"/>
        <v/>
      </c>
      <c r="H708" s="641" t="str">
        <f t="shared" si="403"/>
        <v/>
      </c>
      <c r="I708" s="48"/>
      <c r="J708" s="642" t="str">
        <f t="shared" si="395"/>
        <v/>
      </c>
      <c r="K708" s="642" t="str">
        <f t="shared" si="396"/>
        <v/>
      </c>
      <c r="L708" s="642" t="str">
        <f t="shared" si="397"/>
        <v/>
      </c>
      <c r="M708" s="116"/>
      <c r="N708" s="648" t="str">
        <f>H700</f>
        <v/>
      </c>
      <c r="O708" s="22"/>
      <c r="P708" s="649"/>
      <c r="Q708" s="650" t="str">
        <f>IF(H716="","",H716)</f>
        <v/>
      </c>
      <c r="R708" s="116"/>
      <c r="S708" s="651" t="str">
        <f>IF(P702="","",SUMIFS(C_FuelStreams!BR:BR,C_FuelStreams!BI:BI,P702))</f>
        <v/>
      </c>
      <c r="T708" s="142"/>
      <c r="U708" s="115"/>
      <c r="W708" s="561" t="str">
        <f t="shared" si="398"/>
        <v/>
      </c>
      <c r="X708" s="561" t="str">
        <f t="shared" si="398"/>
        <v/>
      </c>
      <c r="Y708" s="561" t="str">
        <f t="shared" si="398"/>
        <v/>
      </c>
      <c r="Z708" s="561" t="str">
        <f t="shared" si="398"/>
        <v/>
      </c>
      <c r="AA708" s="561" t="str">
        <f t="shared" si="398"/>
        <v/>
      </c>
      <c r="AB708" s="561" t="str">
        <f>IF(E708="","",OR(W708&lt;&gt;W697,X708&lt;&gt;X697,Z708&lt;&gt;Z697))</f>
        <v/>
      </c>
      <c r="AC708" s="567"/>
      <c r="AD708" s="561" t="str">
        <f t="shared" si="407"/>
        <v/>
      </c>
      <c r="AE708" s="561" t="str">
        <f t="shared" si="407"/>
        <v>n.a.</v>
      </c>
      <c r="AF708" s="561" t="str">
        <f t="shared" si="407"/>
        <v>n.a.</v>
      </c>
      <c r="AG708" s="561" t="str">
        <f t="shared" si="407"/>
        <v>n.a.</v>
      </c>
      <c r="AH708" s="561" t="b">
        <f t="shared" si="407"/>
        <v>0</v>
      </c>
      <c r="AI708" s="561" t="b">
        <f t="shared" si="407"/>
        <v>0</v>
      </c>
      <c r="AJ708" s="582" t="str">
        <f t="shared" si="405"/>
        <v/>
      </c>
      <c r="AK708" s="582" t="str">
        <f t="shared" si="406"/>
        <v/>
      </c>
      <c r="AL708" s="582" t="str">
        <f t="shared" si="401"/>
        <v/>
      </c>
    </row>
    <row r="709" spans="1:38" ht="12.75" customHeight="1" x14ac:dyDescent="0.25">
      <c r="B709" s="132"/>
      <c r="C709" s="132"/>
      <c r="D709" s="1388"/>
      <c r="E709" s="43"/>
      <c r="F709" s="47"/>
      <c r="G709" s="641" t="str">
        <f t="shared" si="402"/>
        <v/>
      </c>
      <c r="H709" s="641" t="str">
        <f t="shared" si="403"/>
        <v/>
      </c>
      <c r="I709" s="48"/>
      <c r="J709" s="642" t="str">
        <f t="shared" si="395"/>
        <v/>
      </c>
      <c r="K709" s="642" t="str">
        <f t="shared" si="396"/>
        <v/>
      </c>
      <c r="L709" s="642" t="str">
        <f t="shared" si="397"/>
        <v/>
      </c>
      <c r="M709" s="116"/>
      <c r="N709" s="652" t="s">
        <v>46</v>
      </c>
      <c r="O709" s="411"/>
      <c r="P709" s="653"/>
      <c r="Q709" s="654" t="str">
        <f>IF(I716="","",I716)</f>
        <v/>
      </c>
      <c r="R709" s="116"/>
      <c r="S709" s="655" t="str">
        <f>IF(P702="","",SUMIFS(C_FuelStreams!BX:BX,C_FuelStreams!BI:BI,P702))</f>
        <v/>
      </c>
      <c r="T709" s="142"/>
      <c r="U709" s="115"/>
      <c r="W709" s="561" t="str">
        <f t="shared" si="398"/>
        <v/>
      </c>
      <c r="X709" s="561" t="str">
        <f t="shared" si="398"/>
        <v/>
      </c>
      <c r="Y709" s="561" t="str">
        <f t="shared" si="398"/>
        <v/>
      </c>
      <c r="Z709" s="561" t="str">
        <f t="shared" si="398"/>
        <v/>
      </c>
      <c r="AA709" s="561" t="str">
        <f t="shared" si="398"/>
        <v/>
      </c>
      <c r="AB709" s="561" t="str">
        <f>IF(E709="","",OR(W709&lt;&gt;W697,X709&lt;&gt;X697,Z709&lt;&gt;Z697))</f>
        <v/>
      </c>
      <c r="AC709" s="567"/>
      <c r="AD709" s="561" t="str">
        <f t="shared" si="407"/>
        <v/>
      </c>
      <c r="AE709" s="561" t="str">
        <f t="shared" si="407"/>
        <v>n.a.</v>
      </c>
      <c r="AF709" s="561" t="str">
        <f t="shared" si="407"/>
        <v>n.a.</v>
      </c>
      <c r="AG709" s="561" t="str">
        <f t="shared" si="407"/>
        <v>n.a.</v>
      </c>
      <c r="AH709" s="561" t="b">
        <f t="shared" si="407"/>
        <v>0</v>
      </c>
      <c r="AI709" s="561" t="b">
        <f t="shared" si="407"/>
        <v>0</v>
      </c>
      <c r="AJ709" s="582" t="str">
        <f t="shared" si="405"/>
        <v/>
      </c>
      <c r="AK709" s="582" t="str">
        <f t="shared" si="406"/>
        <v/>
      </c>
      <c r="AL709" s="582" t="str">
        <f t="shared" si="401"/>
        <v/>
      </c>
    </row>
    <row r="710" spans="1:38" ht="12.75" customHeight="1" x14ac:dyDescent="0.25">
      <c r="B710" s="132"/>
      <c r="C710" s="132"/>
      <c r="D710" s="1388"/>
      <c r="E710" s="43"/>
      <c r="F710" s="47"/>
      <c r="G710" s="641" t="str">
        <f t="shared" si="402"/>
        <v/>
      </c>
      <c r="H710" s="641" t="str">
        <f t="shared" si="403"/>
        <v/>
      </c>
      <c r="I710" s="48"/>
      <c r="J710" s="642" t="str">
        <f t="shared" si="395"/>
        <v/>
      </c>
      <c r="K710" s="642" t="str">
        <f t="shared" si="396"/>
        <v/>
      </c>
      <c r="L710" s="642" t="str">
        <f t="shared" si="397"/>
        <v/>
      </c>
      <c r="M710" s="1395"/>
      <c r="N710" s="116"/>
      <c r="O710" s="116"/>
      <c r="P710" s="116"/>
      <c r="Q710" s="116"/>
      <c r="R710" s="116"/>
      <c r="S710" s="132"/>
      <c r="T710" s="142"/>
      <c r="U710" s="115"/>
      <c r="W710" s="561" t="str">
        <f t="shared" si="398"/>
        <v/>
      </c>
      <c r="X710" s="561" t="str">
        <f t="shared" si="398"/>
        <v/>
      </c>
      <c r="Y710" s="561" t="str">
        <f t="shared" si="398"/>
        <v/>
      </c>
      <c r="Z710" s="561" t="str">
        <f t="shared" si="398"/>
        <v/>
      </c>
      <c r="AA710" s="561" t="str">
        <f t="shared" si="398"/>
        <v/>
      </c>
      <c r="AB710" s="561" t="str">
        <f>IF(E710="","",OR(W710&lt;&gt;W697,X710&lt;&gt;X697,Z710&lt;&gt;Z697))</f>
        <v/>
      </c>
      <c r="AC710" s="567"/>
      <c r="AD710" s="561" t="str">
        <f t="shared" si="407"/>
        <v/>
      </c>
      <c r="AE710" s="561" t="str">
        <f t="shared" si="407"/>
        <v>n.a.</v>
      </c>
      <c r="AF710" s="561" t="str">
        <f t="shared" si="407"/>
        <v>n.a.</v>
      </c>
      <c r="AG710" s="561" t="str">
        <f t="shared" si="407"/>
        <v>n.a.</v>
      </c>
      <c r="AH710" s="561" t="b">
        <f t="shared" si="407"/>
        <v>0</v>
      </c>
      <c r="AI710" s="561" t="b">
        <f t="shared" si="407"/>
        <v>0</v>
      </c>
      <c r="AJ710" s="582" t="str">
        <f t="shared" si="405"/>
        <v/>
      </c>
      <c r="AK710" s="582" t="str">
        <f t="shared" si="406"/>
        <v/>
      </c>
      <c r="AL710" s="582" t="str">
        <f t="shared" si="401"/>
        <v/>
      </c>
    </row>
    <row r="711" spans="1:38" ht="12.75" customHeight="1" x14ac:dyDescent="0.25">
      <c r="B711" s="132"/>
      <c r="C711" s="132"/>
      <c r="D711" s="1388" t="str">
        <f>Translations!$B$643</f>
        <v>Customised components</v>
      </c>
      <c r="E711" s="42"/>
      <c r="F711" s="45"/>
      <c r="G711" s="49"/>
      <c r="H711" s="49"/>
      <c r="I711" s="46"/>
      <c r="J711" s="640" t="str">
        <f t="shared" si="395"/>
        <v/>
      </c>
      <c r="K711" s="640" t="str">
        <f t="shared" si="396"/>
        <v/>
      </c>
      <c r="L711" s="640" t="str">
        <f t="shared" si="397"/>
        <v/>
      </c>
      <c r="M711" s="1395"/>
      <c r="N711" s="116"/>
      <c r="O711" s="116"/>
      <c r="P711" s="656" t="str">
        <f>Translations!$B$644</f>
        <v>CO2 fossil (before scope factor):</v>
      </c>
      <c r="Q711" s="997" t="str">
        <f>IF(K716="","",K716)</f>
        <v/>
      </c>
      <c r="R711" s="656"/>
      <c r="S711" s="997" t="str">
        <f>IF(P702="","",IF(W711=0,0,SUMIFS(C_FuelStreams!CE:CE,C_FuelStreams!BI:BI,P702)/W711))</f>
        <v/>
      </c>
      <c r="T711" s="142"/>
      <c r="U711" s="115"/>
      <c r="V711" s="110" t="str">
        <f>Translations!$B$398</f>
        <v>Scope factor:</v>
      </c>
      <c r="W711" s="617" t="str">
        <f>IF(P702="","",SUMIFS(C_FuelStreams!BP:BP,C_FuelStreams!BI:BI,P702))</f>
        <v/>
      </c>
      <c r="AD711" s="561" t="str">
        <f t="shared" si="407"/>
        <v/>
      </c>
      <c r="AE711" s="561" t="str">
        <f t="shared" si="407"/>
        <v>n.a.</v>
      </c>
      <c r="AF711" s="561" t="str">
        <f t="shared" si="407"/>
        <v>n.a.</v>
      </c>
      <c r="AG711" s="561" t="str">
        <f t="shared" si="407"/>
        <v>n.a.</v>
      </c>
      <c r="AH711" s="561" t="b">
        <f t="shared" si="407"/>
        <v>0</v>
      </c>
      <c r="AI711" s="561" t="b">
        <f t="shared" si="407"/>
        <v>0</v>
      </c>
      <c r="AJ711" s="582" t="str">
        <f t="shared" si="405"/>
        <v/>
      </c>
      <c r="AK711" s="582" t="str">
        <f t="shared" si="406"/>
        <v/>
      </c>
      <c r="AL711" s="582" t="str">
        <f t="shared" si="401"/>
        <v/>
      </c>
    </row>
    <row r="712" spans="1:38" ht="12.75" customHeight="1" x14ac:dyDescent="0.25">
      <c r="B712" s="132"/>
      <c r="C712" s="132"/>
      <c r="D712" s="1388"/>
      <c r="E712" s="43"/>
      <c r="F712" s="47"/>
      <c r="G712" s="50"/>
      <c r="H712" s="50"/>
      <c r="I712" s="48"/>
      <c r="J712" s="642" t="str">
        <f t="shared" si="395"/>
        <v/>
      </c>
      <c r="K712" s="642" t="str">
        <f t="shared" si="396"/>
        <v/>
      </c>
      <c r="L712" s="642" t="str">
        <f t="shared" si="397"/>
        <v/>
      </c>
      <c r="M712" s="1395"/>
      <c r="N712" s="116"/>
      <c r="O712" s="116"/>
      <c r="P712" s="116"/>
      <c r="Q712" s="116"/>
      <c r="R712" s="116"/>
      <c r="S712" s="132"/>
      <c r="T712" s="142"/>
      <c r="U712" s="115"/>
      <c r="AD712" s="561" t="str">
        <f t="shared" si="407"/>
        <v/>
      </c>
      <c r="AE712" s="561" t="str">
        <f t="shared" si="407"/>
        <v>n.a.</v>
      </c>
      <c r="AF712" s="561" t="str">
        <f t="shared" si="407"/>
        <v>n.a.</v>
      </c>
      <c r="AG712" s="561" t="str">
        <f t="shared" si="407"/>
        <v>n.a.</v>
      </c>
      <c r="AH712" s="561" t="b">
        <f t="shared" si="407"/>
        <v>0</v>
      </c>
      <c r="AI712" s="561" t="b">
        <f t="shared" si="407"/>
        <v>0</v>
      </c>
      <c r="AJ712" s="582" t="str">
        <f t="shared" si="405"/>
        <v/>
      </c>
      <c r="AK712" s="582" t="str">
        <f t="shared" si="406"/>
        <v/>
      </c>
      <c r="AL712" s="582" t="str">
        <f t="shared" si="401"/>
        <v/>
      </c>
    </row>
    <row r="713" spans="1:38" ht="12.75" customHeight="1" x14ac:dyDescent="0.25">
      <c r="B713" s="132"/>
      <c r="C713" s="132"/>
      <c r="D713" s="1388"/>
      <c r="E713" s="43"/>
      <c r="F713" s="47"/>
      <c r="G713" s="50"/>
      <c r="H713" s="50"/>
      <c r="I713" s="48"/>
      <c r="J713" s="642" t="str">
        <f t="shared" si="395"/>
        <v/>
      </c>
      <c r="K713" s="642" t="str">
        <f t="shared" si="396"/>
        <v/>
      </c>
      <c r="L713" s="642" t="str">
        <f t="shared" si="397"/>
        <v/>
      </c>
      <c r="M713" s="1395"/>
      <c r="N713" s="116"/>
      <c r="O713" s="116"/>
      <c r="P713" s="116"/>
      <c r="Q713" s="116"/>
      <c r="R713" s="116"/>
      <c r="S713" s="132"/>
      <c r="T713" s="142"/>
      <c r="U713" s="115"/>
      <c r="AD713" s="561" t="str">
        <f t="shared" si="407"/>
        <v/>
      </c>
      <c r="AE713" s="561" t="str">
        <f t="shared" si="407"/>
        <v>n.a.</v>
      </c>
      <c r="AF713" s="561" t="str">
        <f t="shared" si="407"/>
        <v>n.a.</v>
      </c>
      <c r="AG713" s="561" t="str">
        <f t="shared" si="407"/>
        <v>n.a.</v>
      </c>
      <c r="AH713" s="561" t="b">
        <f t="shared" si="407"/>
        <v>0</v>
      </c>
      <c r="AI713" s="561" t="b">
        <f t="shared" si="407"/>
        <v>0</v>
      </c>
      <c r="AJ713" s="582" t="str">
        <f t="shared" si="405"/>
        <v/>
      </c>
      <c r="AK713" s="582" t="str">
        <f t="shared" si="406"/>
        <v/>
      </c>
      <c r="AL713" s="582" t="str">
        <f t="shared" si="401"/>
        <v/>
      </c>
    </row>
    <row r="714" spans="1:38" ht="12.75" customHeight="1" x14ac:dyDescent="0.25">
      <c r="B714" s="132"/>
      <c r="C714" s="132"/>
      <c r="D714" s="1388"/>
      <c r="E714" s="43"/>
      <c r="F714" s="47"/>
      <c r="G714" s="50"/>
      <c r="H714" s="50"/>
      <c r="I714" s="48"/>
      <c r="J714" s="642" t="str">
        <f t="shared" si="395"/>
        <v/>
      </c>
      <c r="K714" s="642" t="str">
        <f t="shared" si="396"/>
        <v/>
      </c>
      <c r="L714" s="642" t="str">
        <f t="shared" si="397"/>
        <v/>
      </c>
      <c r="M714" s="1395"/>
      <c r="N714" s="116"/>
      <c r="O714" s="116"/>
      <c r="P714" s="116"/>
      <c r="Q714" s="116"/>
      <c r="R714" s="116"/>
      <c r="S714" s="132"/>
      <c r="T714" s="142"/>
      <c r="U714" s="115"/>
      <c r="AD714" s="561" t="str">
        <f t="shared" si="407"/>
        <v/>
      </c>
      <c r="AE714" s="561" t="str">
        <f t="shared" si="407"/>
        <v>n.a.</v>
      </c>
      <c r="AF714" s="561" t="str">
        <f t="shared" si="407"/>
        <v>n.a.</v>
      </c>
      <c r="AG714" s="561" t="str">
        <f t="shared" si="407"/>
        <v>n.a.</v>
      </c>
      <c r="AH714" s="561" t="b">
        <f t="shared" si="407"/>
        <v>0</v>
      </c>
      <c r="AI714" s="561" t="b">
        <f t="shared" si="407"/>
        <v>0</v>
      </c>
      <c r="AJ714" s="582" t="str">
        <f t="shared" si="405"/>
        <v/>
      </c>
      <c r="AK714" s="582" t="str">
        <f t="shared" si="406"/>
        <v/>
      </c>
      <c r="AL714" s="582" t="str">
        <f t="shared" si="401"/>
        <v/>
      </c>
    </row>
    <row r="715" spans="1:38" ht="12.75" customHeight="1" x14ac:dyDescent="0.25">
      <c r="B715" s="132"/>
      <c r="C715" s="132"/>
      <c r="D715" s="1388"/>
      <c r="E715" s="44"/>
      <c r="F715" s="51"/>
      <c r="G715" s="52"/>
      <c r="H715" s="52"/>
      <c r="I715" s="53"/>
      <c r="J715" s="657" t="str">
        <f t="shared" si="395"/>
        <v/>
      </c>
      <c r="K715" s="657" t="str">
        <f t="shared" si="396"/>
        <v/>
      </c>
      <c r="L715" s="657" t="str">
        <f t="shared" si="397"/>
        <v/>
      </c>
      <c r="M715" s="1395"/>
      <c r="N715" s="116"/>
      <c r="O715" s="116"/>
      <c r="P715" s="116"/>
      <c r="Q715" s="116"/>
      <c r="R715" s="116"/>
      <c r="S715" s="132"/>
      <c r="T715" s="142"/>
      <c r="U715" s="115"/>
      <c r="AD715" s="561" t="str">
        <f t="shared" si="407"/>
        <v/>
      </c>
      <c r="AE715" s="561" t="str">
        <f t="shared" si="407"/>
        <v>n.a.</v>
      </c>
      <c r="AF715" s="561" t="str">
        <f t="shared" si="407"/>
        <v>n.a.</v>
      </c>
      <c r="AG715" s="561" t="str">
        <f t="shared" si="407"/>
        <v>n.a.</v>
      </c>
      <c r="AH715" s="561" t="b">
        <f t="shared" si="407"/>
        <v>0</v>
      </c>
      <c r="AI715" s="561" t="b">
        <f t="shared" si="407"/>
        <v>0</v>
      </c>
      <c r="AJ715" s="582" t="str">
        <f t="shared" si="405"/>
        <v/>
      </c>
      <c r="AK715" s="582" t="str">
        <f t="shared" si="406"/>
        <v/>
      </c>
      <c r="AL715" s="582" t="str">
        <f t="shared" si="401"/>
        <v/>
      </c>
    </row>
    <row r="716" spans="1:38" ht="12.75" customHeight="1" x14ac:dyDescent="0.25">
      <c r="B716" s="132"/>
      <c r="C716" s="132"/>
      <c r="D716" s="132"/>
      <c r="E716" s="658" t="str">
        <f>Translations!$B$645</f>
        <v>TOTALS</v>
      </c>
      <c r="F716" s="659" t="str">
        <f>IF(SUM(F701:F715)=0,"",SUM(F701:F715))</f>
        <v/>
      </c>
      <c r="G716" s="660" t="str">
        <f>IF(SUM(F716)=0,"",J716/F716)</f>
        <v/>
      </c>
      <c r="H716" s="660" t="str">
        <f>IF(SUM(J716)=0,"",SUM(K716:L716)/IF(AF701&lt;&gt;EUconst_NA,F716,J716)/IF(AG701=EUconst_NA,1,AG701))</f>
        <v/>
      </c>
      <c r="I716" s="661" t="str">
        <f>IF(SUM(K716:L716)=0,"",L716/SUM(K716:L716))</f>
        <v/>
      </c>
      <c r="J716" s="659" t="str">
        <f>IF(COUNTA(E701:E715)=0,"",IFERROR(SUM(J701:J715),EUconst_ERR_Inconsistent))</f>
        <v/>
      </c>
      <c r="K716" s="659" t="str">
        <f>IF(COUNTA(E701:E715)=0,"",IFERROR(SUM(K701:K715),EUconst_ERR_Inconsistent))</f>
        <v/>
      </c>
      <c r="L716" s="659" t="str">
        <f>IF(COUNTA(E701:E715)=0,"",IFERROR(SUM(L701:L715),EUconst_ERR_Inconsistent))</f>
        <v/>
      </c>
      <c r="M716" s="1395"/>
      <c r="N716" s="116"/>
      <c r="O716" s="116"/>
      <c r="P716" s="116"/>
      <c r="Q716" s="116"/>
      <c r="R716" s="116"/>
      <c r="S716" s="132"/>
      <c r="T716" s="142"/>
      <c r="U716" s="115"/>
    </row>
    <row r="717" spans="1:38" ht="12.75" customHeight="1" x14ac:dyDescent="0.25">
      <c r="B717" s="132"/>
      <c r="C717" s="132"/>
      <c r="D717" s="132"/>
      <c r="E717" s="191"/>
      <c r="F717" s="116"/>
      <c r="G717" s="116"/>
      <c r="H717" s="116"/>
      <c r="I717" s="116"/>
      <c r="J717" s="116"/>
      <c r="K717" s="116"/>
      <c r="L717" s="116"/>
      <c r="M717" s="116"/>
      <c r="N717" s="116"/>
      <c r="O717" s="116"/>
      <c r="P717" s="116"/>
      <c r="Q717" s="116"/>
      <c r="R717" s="116"/>
      <c r="S717" s="132"/>
      <c r="T717" s="142"/>
      <c r="U717" s="115"/>
    </row>
    <row r="718" spans="1:38" s="69" customFormat="1" ht="18.75" customHeight="1" x14ac:dyDescent="0.25">
      <c r="A718" s="167">
        <f>C718</f>
        <v>31</v>
      </c>
      <c r="B718" s="76"/>
      <c r="C718" s="216">
        <f>C695+1</f>
        <v>31</v>
      </c>
      <c r="D718" s="1195" t="str">
        <f>"Tool " &amp;C718-2</f>
        <v>Tool 29</v>
      </c>
      <c r="E718" s="1195"/>
      <c r="F718" s="1195"/>
      <c r="G718" s="1195"/>
      <c r="H718" s="1195"/>
      <c r="I718" s="1195"/>
      <c r="J718" s="1195"/>
      <c r="K718" s="1195"/>
      <c r="L718" s="1195"/>
      <c r="M718" s="1195"/>
      <c r="N718" s="1195"/>
      <c r="O718" s="1195"/>
      <c r="P718" s="1195"/>
      <c r="Q718" s="1195"/>
      <c r="R718" s="1195"/>
      <c r="S718" s="1195"/>
      <c r="T718" s="142"/>
      <c r="U718" s="115"/>
      <c r="V718" s="464" t="str">
        <f>D718</f>
        <v>Tool 29</v>
      </c>
      <c r="W718" s="110"/>
      <c r="X718" s="110"/>
      <c r="Y718" s="110"/>
      <c r="Z718" s="110"/>
      <c r="AA718" s="109"/>
      <c r="AB718" s="109"/>
      <c r="AC718" s="109"/>
      <c r="AD718" s="109"/>
      <c r="AE718" s="109"/>
      <c r="AF718" s="109"/>
      <c r="AG718" s="109"/>
      <c r="AH718" s="109"/>
      <c r="AI718" s="109"/>
      <c r="AJ718" s="109"/>
      <c r="AK718" s="109"/>
      <c r="AL718" s="109"/>
    </row>
    <row r="719" spans="1:38" ht="12.75" customHeight="1" x14ac:dyDescent="0.25">
      <c r="B719" s="132"/>
      <c r="C719" s="132"/>
      <c r="D719" s="132"/>
      <c r="E719" s="191"/>
      <c r="F719" s="116"/>
      <c r="G719" s="116"/>
      <c r="H719" s="116"/>
      <c r="I719" s="116"/>
      <c r="J719" s="116"/>
      <c r="K719" s="116"/>
      <c r="L719" s="116"/>
      <c r="M719" s="116"/>
      <c r="N719" s="116"/>
      <c r="O719" s="116"/>
      <c r="P719" s="116"/>
      <c r="Q719" s="116"/>
      <c r="R719" s="116"/>
      <c r="S719" s="132"/>
      <c r="T719" s="142"/>
      <c r="U719" s="115"/>
    </row>
    <row r="720" spans="1:38" ht="12.75" customHeight="1" x14ac:dyDescent="0.25">
      <c r="B720" s="132"/>
      <c r="C720" s="132"/>
      <c r="D720" s="1377" t="str">
        <f>Translations!$B$631</f>
        <v>Component</v>
      </c>
      <c r="E720" s="1378"/>
      <c r="F720" s="633">
        <v>1</v>
      </c>
      <c r="G720" s="633">
        <v>2</v>
      </c>
      <c r="H720" s="633">
        <v>3</v>
      </c>
      <c r="I720" s="633">
        <v>4</v>
      </c>
      <c r="J720" s="633">
        <v>5</v>
      </c>
      <c r="K720" s="633">
        <v>6</v>
      </c>
      <c r="L720" s="633">
        <v>7</v>
      </c>
      <c r="M720" s="116"/>
      <c r="N720" s="116"/>
      <c r="O720" s="116"/>
      <c r="P720" s="116"/>
      <c r="Q720" s="116"/>
      <c r="R720" s="116"/>
      <c r="S720" s="132"/>
      <c r="T720" s="142"/>
      <c r="U720" s="115"/>
      <c r="V720" s="566" t="str">
        <f>Translations!$B$498</f>
        <v>Units:</v>
      </c>
      <c r="W720" s="561" t="str" cm="1">
        <f t="array" ref="W720">IFERROR(INDEX(_xlfn._xlws.FILTER(W724:W733,(W724:W733)&lt;&gt;"",""),1),W721)</f>
        <v/>
      </c>
      <c r="X720" s="561" t="str" cm="1">
        <f t="array" ref="X720">IFERROR(INDEX(_xlfn._xlws.FILTER(X724:X733,(X724:X733)&lt;&gt;"",""),1),X721)</f>
        <v/>
      </c>
      <c r="Y720" s="567"/>
      <c r="Z720" s="561" t="str" cm="1">
        <f t="array" ref="Z720">IFERROR(INDEX(_xlfn._xlws.FILTER(Z724:Z733,(Z724:Z733)&lt;&gt;"",""),1),Z721)</f>
        <v/>
      </c>
      <c r="AA720" s="567"/>
    </row>
    <row r="721" spans="2:38" ht="12.75" customHeight="1" x14ac:dyDescent="0.25">
      <c r="B721" s="132"/>
      <c r="C721" s="132"/>
      <c r="D721" s="1379"/>
      <c r="E721" s="1380"/>
      <c r="F721" s="1383" t="str">
        <f>Translations!$B$377</f>
        <v>RFA</v>
      </c>
      <c r="G721" s="1383" t="str">
        <f>Translations!$B$386</f>
        <v>UCF</v>
      </c>
      <c r="H721" s="1383" t="str">
        <f>Translations!$B$383</f>
        <v>EF</v>
      </c>
      <c r="I721" s="1383" t="str">
        <f>Translations!$B$632</f>
        <v>Zero-rated F</v>
      </c>
      <c r="J721" s="1385" t="str">
        <f>Translations!$B$652</f>
        <v>Energy or other</v>
      </c>
      <c r="K721" s="1385" t="str">
        <f>Translations!$B$522</f>
        <v>Emissions (fossil)</v>
      </c>
      <c r="L721" s="1385" t="str">
        <f>Translations!$B$634</f>
        <v>Emissions (bio)</v>
      </c>
      <c r="M721" s="116"/>
      <c r="N721" s="116"/>
      <c r="O721" s="116"/>
      <c r="P721" s="116"/>
      <c r="Q721" s="116"/>
      <c r="R721" s="116"/>
      <c r="S721" s="132"/>
      <c r="T721" s="142"/>
      <c r="U721" s="115"/>
      <c r="W721" s="561" t="str">
        <f t="array" ref="W721">IFERROR(INDEX(W724:W733,MATCH(TRUE,(W724:W733)&lt;&gt;"",0)),"")</f>
        <v/>
      </c>
      <c r="X721" s="561" t="str">
        <f t="array" ref="X721">IFERROR(INDEX(X724:X733,MATCH(TRUE,(X724:X733)&lt;&gt;"",0)),"")</f>
        <v/>
      </c>
      <c r="Y721" s="567"/>
      <c r="Z721" s="561" t="str">
        <f t="array" ref="Z721">IFERROR(INDEX(Z724:Z733,MATCH(TRUE,(Z724:Z733)&lt;&gt;"",0)),"")</f>
        <v/>
      </c>
      <c r="AA721" s="567"/>
    </row>
    <row r="722" spans="2:38" ht="12.75" customHeight="1" x14ac:dyDescent="0.3">
      <c r="B722" s="132"/>
      <c r="C722" s="132"/>
      <c r="D722" s="1379"/>
      <c r="E722" s="1380"/>
      <c r="F722" s="1384"/>
      <c r="G722" s="1384"/>
      <c r="H722" s="1384"/>
      <c r="I722" s="1384"/>
      <c r="J722" s="1386"/>
      <c r="K722" s="1386"/>
      <c r="L722" s="1386"/>
      <c r="M722" s="116"/>
      <c r="N722" s="634" t="str">
        <f>Translations!$B$635</f>
        <v>Result to be entered in sheet C</v>
      </c>
      <c r="O722" s="116"/>
      <c r="P722" s="116"/>
      <c r="Q722" s="116"/>
      <c r="R722" s="116"/>
      <c r="S722" s="132"/>
      <c r="T722" s="142"/>
      <c r="U722" s="115"/>
      <c r="W722" s="569" t="str">
        <f>Translations!$B$377</f>
        <v>RFA</v>
      </c>
      <c r="X722" s="569" t="str">
        <f>Translations!$B$386</f>
        <v>UCF</v>
      </c>
      <c r="Y722" s="569"/>
      <c r="Z722" s="569" t="str">
        <f>Translations!$B$383</f>
        <v>EF</v>
      </c>
      <c r="AA722" s="569"/>
      <c r="AB722" s="570"/>
      <c r="AC722" s="570"/>
      <c r="AH722" s="570"/>
      <c r="AI722" s="570"/>
      <c r="AJ722" s="570"/>
    </row>
    <row r="723" spans="2:38" ht="12.75" customHeight="1" x14ac:dyDescent="0.3">
      <c r="B723" s="132"/>
      <c r="C723" s="132"/>
      <c r="D723" s="1381"/>
      <c r="E723" s="1382"/>
      <c r="F723" s="635" t="str">
        <f>IF(COUNTA($E724:$E738)=0,"",$W720)</f>
        <v/>
      </c>
      <c r="G723" s="635" t="str">
        <f>IF(COUNTA($E724:$E738)=0,"",$X720)</f>
        <v/>
      </c>
      <c r="H723" s="635" t="str">
        <f>IF(COUNTA($E724:$E738)=0,"",$Z720)</f>
        <v/>
      </c>
      <c r="I723" s="636" t="s">
        <v>46</v>
      </c>
      <c r="J723" s="635" t="str">
        <f>IF(AE724=EUconst_NA,EUconst_GJ,AE724)</f>
        <v>GJ</v>
      </c>
      <c r="K723" s="637" t="s">
        <v>188</v>
      </c>
      <c r="L723" s="637" t="s">
        <v>188</v>
      </c>
      <c r="M723" s="116"/>
      <c r="N723" s="1387" t="str">
        <f>Translations!$B$636</f>
        <v>The results of this tool are the relevant (weighted average) values below. Each value has to be entered manually in sheet C for the respective fuel stream. Select fuel stream below for comparison.</v>
      </c>
      <c r="O723" s="1387"/>
      <c r="P723" s="1387"/>
      <c r="Q723" s="1387"/>
      <c r="R723" s="1387"/>
      <c r="S723" s="1387"/>
      <c r="T723" s="142"/>
      <c r="U723" s="115"/>
      <c r="W723" s="569" t="str">
        <f>EUconst_CNTR_ActivityData&amp;EUconst_Unit</f>
        <v>ActivityData_Unit</v>
      </c>
      <c r="X723" s="569" t="str">
        <f>EUconst_CNTR_UCF&amp;EUconst_Unit</f>
        <v>UCF_Unit</v>
      </c>
      <c r="Y723" s="569" t="str">
        <f>EUconst_CNTR_UCF&amp;EUconst_Value</f>
        <v>UCF_Value</v>
      </c>
      <c r="Z723" s="569" t="str">
        <f>EUconst_CNTR_EF&amp;EUconst_Unit</f>
        <v>EF_Unit</v>
      </c>
      <c r="AA723" s="569" t="str">
        <f>EUconst_CNTR_EF&amp;EUconst_Value</f>
        <v>EF_Value</v>
      </c>
      <c r="AB723" s="569" t="s">
        <v>189</v>
      </c>
      <c r="AC723" s="575"/>
      <c r="AD723" s="576" t="s">
        <v>147</v>
      </c>
      <c r="AE723" s="576" t="s">
        <v>151</v>
      </c>
      <c r="AF723" s="576" t="s">
        <v>153</v>
      </c>
      <c r="AG723" s="576" t="s">
        <v>155</v>
      </c>
      <c r="AH723" s="575"/>
      <c r="AI723" s="575"/>
      <c r="AJ723" s="575" t="s">
        <v>190</v>
      </c>
      <c r="AK723" s="575" t="s">
        <v>191</v>
      </c>
      <c r="AL723" s="575" t="s">
        <v>192</v>
      </c>
    </row>
    <row r="724" spans="2:38" ht="12.75" customHeight="1" x14ac:dyDescent="0.25">
      <c r="B724" s="132"/>
      <c r="C724" s="132"/>
      <c r="D724" s="1388" t="str">
        <f>Translations!$B$637</f>
        <v>Default compontents provided by the CA</v>
      </c>
      <c r="E724" s="42"/>
      <c r="F724" s="45"/>
      <c r="G724" s="639" t="str">
        <f>IF($E724="","",Y724)</f>
        <v/>
      </c>
      <c r="H724" s="639" t="str">
        <f>IF($E724="","",AA724)</f>
        <v/>
      </c>
      <c r="I724" s="46"/>
      <c r="J724" s="640" t="str">
        <f t="shared" ref="J724:J738" si="408">IFERROR(IF(E724="","",AL724),EUconst_ERR_Inconsistent)</f>
        <v/>
      </c>
      <c r="K724" s="640" t="str">
        <f t="shared" ref="K724:K738" si="409">IFERROR(IF(E724="","",AJ724),EUconst_ERR_Inconsistent)</f>
        <v/>
      </c>
      <c r="L724" s="640" t="str">
        <f t="shared" ref="L724:L738" si="410">IFERROR(IF(E724="","",AK724),EUconst_ERR_Inconsistent)</f>
        <v/>
      </c>
      <c r="M724" s="1389"/>
      <c r="N724" s="1387"/>
      <c r="O724" s="1387"/>
      <c r="P724" s="1387"/>
      <c r="Q724" s="1387"/>
      <c r="R724" s="1387"/>
      <c r="S724" s="1387"/>
      <c r="T724" s="142"/>
      <c r="U724" s="115"/>
      <c r="W724" s="561" t="str">
        <f t="shared" ref="W724:AA733" si="411">IF($E724="","",INDEX(MSPara_CalcFactorsMatrix,MATCH($E724,MSPara_SourceStreamCategory,0),MATCH(W$20&amp;"_"&amp;2,MSPara_CalcFactors,0)))</f>
        <v/>
      </c>
      <c r="X724" s="561" t="str">
        <f t="shared" si="411"/>
        <v/>
      </c>
      <c r="Y724" s="561" t="str">
        <f t="shared" si="411"/>
        <v/>
      </c>
      <c r="Z724" s="561" t="str">
        <f t="shared" si="411"/>
        <v/>
      </c>
      <c r="AA724" s="561" t="str">
        <f t="shared" si="411"/>
        <v/>
      </c>
      <c r="AB724" s="561" t="str">
        <f>IF(E724="","",OR(W724&lt;&gt;W720,X724&lt;&gt;X720,Z724&lt;&gt;Z720))</f>
        <v/>
      </c>
      <c r="AC724" s="567"/>
      <c r="AD724" s="561" t="str">
        <f>W724</f>
        <v/>
      </c>
      <c r="AE724" s="561" t="str">
        <f>IF(X724="",EUconst_NA,IF(AD724=EUconst_TJ,EUconst_TJ,INDEX(EUwideConstants!$C$135:$G$139,MATCH(AD724,RFAUnits,0),MATCH(X724,UCFUnits,0))))</f>
        <v>n.a.</v>
      </c>
      <c r="AF724" s="561" t="str">
        <f>IF(COUNTIF(RFAUnits,AD724)=0,EUconst_NA,INDEX(EUwideConstants!$C$150:$H$154,MATCH(Z724,EFUnits,0),MATCH(AD724,EUwideConstants!$C$149:$H$149,0)))</f>
        <v>n.a.</v>
      </c>
      <c r="AG724" s="561" t="str">
        <f>IF(AE724=EUconst_NA,EUconst_NA,INDEX(EUwideConstants!$C$150:$H$154,MATCH(Z724,EFUnits,0),MATCH(AE724,EUwideConstants!$C$149:$H$149,0)))</f>
        <v>n.a.</v>
      </c>
      <c r="AH724" s="561" t="b">
        <f t="shared" ref="AH724" si="412">AF724&lt;&gt;EUconst_NA</f>
        <v>0</v>
      </c>
      <c r="AI724" s="561" t="b">
        <f t="shared" ref="AI724" si="413">AG724&lt;&gt;EUconst_NA</f>
        <v>0</v>
      </c>
      <c r="AJ724" s="582" t="str">
        <f>IF(OR(E724="",COUNTIF(AH724:AI724,TRUE)=0),"",F724*IF(AH724,1,G724*AG724)*H724*(1-I724))</f>
        <v/>
      </c>
      <c r="AK724" s="582" t="str">
        <f>IF(OR(E724="",COUNTIF(AH724:AI724,TRUE)=0),"",F724*IF(AH724,1,G724*AG724)*H724*I724)</f>
        <v/>
      </c>
      <c r="AL724" s="582" t="str">
        <f t="shared" ref="AL724:AL738" si="414">IF(E724="","",IF(W724=EUconst_TJ,F724,F724*G724))</f>
        <v/>
      </c>
    </row>
    <row r="725" spans="2:38" ht="12.75" customHeight="1" x14ac:dyDescent="0.25">
      <c r="B725" s="132"/>
      <c r="C725" s="132"/>
      <c r="D725" s="1388"/>
      <c r="E725" s="43"/>
      <c r="F725" s="47"/>
      <c r="G725" s="641" t="str">
        <f t="shared" ref="G725:G733" si="415">IF($E725="","",Y725)</f>
        <v/>
      </c>
      <c r="H725" s="641" t="str">
        <f t="shared" ref="H725:H733" si="416">IF($E725="","",AA725)</f>
        <v/>
      </c>
      <c r="I725" s="48"/>
      <c r="J725" s="642" t="str">
        <f t="shared" si="408"/>
        <v/>
      </c>
      <c r="K725" s="642" t="str">
        <f t="shared" si="409"/>
        <v/>
      </c>
      <c r="L725" s="642" t="str">
        <f t="shared" si="410"/>
        <v/>
      </c>
      <c r="M725" s="1389"/>
      <c r="N725" s="638"/>
      <c r="O725" s="643" t="str">
        <f>Translations!$B$639</f>
        <v>Fuel stream:</v>
      </c>
      <c r="P725" s="1390"/>
      <c r="Q725" s="1391"/>
      <c r="R725" s="1391"/>
      <c r="S725" s="1392"/>
      <c r="T725" s="142"/>
      <c r="U725" s="115"/>
      <c r="W725" s="561" t="str">
        <f t="shared" si="411"/>
        <v/>
      </c>
      <c r="X725" s="561" t="str">
        <f t="shared" si="411"/>
        <v/>
      </c>
      <c r="Y725" s="561" t="str">
        <f t="shared" si="411"/>
        <v/>
      </c>
      <c r="Z725" s="561" t="str">
        <f t="shared" si="411"/>
        <v/>
      </c>
      <c r="AA725" s="561" t="str">
        <f t="shared" si="411"/>
        <v/>
      </c>
      <c r="AB725" s="561" t="str">
        <f>IF(E725="","",OR(W725&lt;&gt;W720,X725&lt;&gt;X720,Z725&lt;&gt;Z720))</f>
        <v/>
      </c>
      <c r="AC725" s="567"/>
      <c r="AD725" s="561" t="str">
        <f>AD724</f>
        <v/>
      </c>
      <c r="AE725" s="561" t="str">
        <f t="shared" ref="AE725:AI725" si="417">AE724</f>
        <v>n.a.</v>
      </c>
      <c r="AF725" s="561" t="str">
        <f t="shared" si="417"/>
        <v>n.a.</v>
      </c>
      <c r="AG725" s="561" t="str">
        <f t="shared" si="417"/>
        <v>n.a.</v>
      </c>
      <c r="AH725" s="561" t="b">
        <f t="shared" si="417"/>
        <v>0</v>
      </c>
      <c r="AI725" s="561" t="b">
        <f t="shared" si="417"/>
        <v>0</v>
      </c>
      <c r="AJ725" s="582" t="str">
        <f t="shared" ref="AJ725:AJ738" si="418">IF(OR(E725="",COUNTIF(AH725:AI725,TRUE)=0),"",F725*IF(AH725,1,G725*AG725)*H725*(1-I725))</f>
        <v/>
      </c>
      <c r="AK725" s="582" t="str">
        <f t="shared" ref="AK725:AK738" si="419">IF(OR(E725="",COUNTIF(AH725:AI725,TRUE)=0),"",F725*IF(AH725,1,G725*AG725)*H725*I725)</f>
        <v/>
      </c>
      <c r="AL725" s="582" t="str">
        <f t="shared" si="414"/>
        <v/>
      </c>
    </row>
    <row r="726" spans="2:38" ht="12.75" customHeight="1" x14ac:dyDescent="0.25">
      <c r="B726" s="132"/>
      <c r="C726" s="132"/>
      <c r="D726" s="1388"/>
      <c r="E726" s="43"/>
      <c r="F726" s="47"/>
      <c r="G726" s="641" t="str">
        <f t="shared" si="415"/>
        <v/>
      </c>
      <c r="H726" s="641" t="str">
        <f t="shared" si="416"/>
        <v/>
      </c>
      <c r="I726" s="48"/>
      <c r="J726" s="642" t="str">
        <f t="shared" si="408"/>
        <v/>
      </c>
      <c r="K726" s="642" t="str">
        <f t="shared" si="409"/>
        <v/>
      </c>
      <c r="L726" s="642" t="str">
        <f t="shared" si="410"/>
        <v/>
      </c>
      <c r="M726" s="1389"/>
      <c r="N726" s="116"/>
      <c r="O726" s="116"/>
      <c r="P726" s="116"/>
      <c r="Q726" s="116"/>
      <c r="R726" s="116"/>
      <c r="S726" s="132"/>
      <c r="T726" s="142"/>
      <c r="U726" s="115"/>
      <c r="W726" s="561" t="str">
        <f t="shared" si="411"/>
        <v/>
      </c>
      <c r="X726" s="561" t="str">
        <f t="shared" si="411"/>
        <v/>
      </c>
      <c r="Y726" s="561" t="str">
        <f t="shared" si="411"/>
        <v/>
      </c>
      <c r="Z726" s="561" t="str">
        <f t="shared" si="411"/>
        <v/>
      </c>
      <c r="AA726" s="561" t="str">
        <f t="shared" si="411"/>
        <v/>
      </c>
      <c r="AB726" s="561" t="str">
        <f>IF(E726="","",OR(W726&lt;&gt;W720,X726&lt;&gt;X720,Z726&lt;&gt;Z720))</f>
        <v/>
      </c>
      <c r="AC726" s="567"/>
      <c r="AD726" s="561" t="str">
        <f t="shared" ref="AD726:AI726" si="420">AD725</f>
        <v/>
      </c>
      <c r="AE726" s="561" t="str">
        <f t="shared" si="420"/>
        <v>n.a.</v>
      </c>
      <c r="AF726" s="561" t="str">
        <f t="shared" si="420"/>
        <v>n.a.</v>
      </c>
      <c r="AG726" s="561" t="str">
        <f t="shared" si="420"/>
        <v>n.a.</v>
      </c>
      <c r="AH726" s="561" t="b">
        <f t="shared" si="420"/>
        <v>0</v>
      </c>
      <c r="AI726" s="561" t="b">
        <f t="shared" si="420"/>
        <v>0</v>
      </c>
      <c r="AJ726" s="582" t="str">
        <f t="shared" si="418"/>
        <v/>
      </c>
      <c r="AK726" s="582" t="str">
        <f t="shared" si="419"/>
        <v/>
      </c>
      <c r="AL726" s="582" t="str">
        <f t="shared" si="414"/>
        <v/>
      </c>
    </row>
    <row r="727" spans="2:38" ht="12.75" customHeight="1" thickBot="1" x14ac:dyDescent="0.35">
      <c r="B727" s="132"/>
      <c r="C727" s="132"/>
      <c r="D727" s="1388"/>
      <c r="E727" s="43"/>
      <c r="F727" s="47"/>
      <c r="G727" s="641" t="str">
        <f t="shared" si="415"/>
        <v/>
      </c>
      <c r="H727" s="641" t="str">
        <f t="shared" si="416"/>
        <v/>
      </c>
      <c r="I727" s="48"/>
      <c r="J727" s="642" t="str">
        <f t="shared" si="408"/>
        <v/>
      </c>
      <c r="K727" s="642" t="str">
        <f t="shared" si="409"/>
        <v/>
      </c>
      <c r="L727" s="642" t="str">
        <f t="shared" si="410"/>
        <v/>
      </c>
      <c r="M727" s="1389"/>
      <c r="N727" s="1255" t="str">
        <f>Translations!$B$394</f>
        <v>Unit</v>
      </c>
      <c r="O727" s="1255"/>
      <c r="P727" s="1255" t="str">
        <f>Translations!$B$395</f>
        <v>Value</v>
      </c>
      <c r="Q727" s="1255"/>
      <c r="R727" s="116"/>
      <c r="S727" s="644" t="str">
        <f>Translations!$B$642</f>
        <v>Sheet C values</v>
      </c>
      <c r="T727" s="142"/>
      <c r="U727" s="115"/>
      <c r="W727" s="561" t="str">
        <f t="shared" si="411"/>
        <v/>
      </c>
      <c r="X727" s="561" t="str">
        <f t="shared" si="411"/>
        <v/>
      </c>
      <c r="Y727" s="561" t="str">
        <f t="shared" si="411"/>
        <v/>
      </c>
      <c r="Z727" s="561" t="str">
        <f t="shared" si="411"/>
        <v/>
      </c>
      <c r="AA727" s="561" t="str">
        <f t="shared" si="411"/>
        <v/>
      </c>
      <c r="AB727" s="561" t="str">
        <f>IF(E727="","",OR(W727&lt;&gt;W720,X727&lt;&gt;X720,Z727&lt;&gt;Z720))</f>
        <v/>
      </c>
      <c r="AC727" s="567"/>
      <c r="AD727" s="561" t="str">
        <f t="shared" ref="AD727:AI727" si="421">AD726</f>
        <v/>
      </c>
      <c r="AE727" s="561" t="str">
        <f t="shared" si="421"/>
        <v>n.a.</v>
      </c>
      <c r="AF727" s="561" t="str">
        <f t="shared" si="421"/>
        <v>n.a.</v>
      </c>
      <c r="AG727" s="561" t="str">
        <f t="shared" si="421"/>
        <v>n.a.</v>
      </c>
      <c r="AH727" s="561" t="b">
        <f t="shared" si="421"/>
        <v>0</v>
      </c>
      <c r="AI727" s="561" t="b">
        <f t="shared" si="421"/>
        <v>0</v>
      </c>
      <c r="AJ727" s="582" t="str">
        <f t="shared" si="418"/>
        <v/>
      </c>
      <c r="AK727" s="582" t="str">
        <f t="shared" si="419"/>
        <v/>
      </c>
      <c r="AL727" s="582" t="str">
        <f t="shared" si="414"/>
        <v/>
      </c>
    </row>
    <row r="728" spans="2:38" ht="12.75" customHeight="1" thickBot="1" x14ac:dyDescent="0.3">
      <c r="B728" s="132"/>
      <c r="C728" s="132"/>
      <c r="D728" s="1388"/>
      <c r="E728" s="43"/>
      <c r="F728" s="47"/>
      <c r="G728" s="641" t="str">
        <f t="shared" si="415"/>
        <v/>
      </c>
      <c r="H728" s="641" t="str">
        <f t="shared" si="416"/>
        <v/>
      </c>
      <c r="I728" s="48"/>
      <c r="J728" s="642" t="str">
        <f t="shared" si="408"/>
        <v/>
      </c>
      <c r="K728" s="642" t="str">
        <f t="shared" si="409"/>
        <v/>
      </c>
      <c r="L728" s="642" t="str">
        <f t="shared" si="410"/>
        <v/>
      </c>
      <c r="M728" s="116"/>
      <c r="N728" s="346" t="str">
        <f>F723</f>
        <v/>
      </c>
      <c r="O728" s="7"/>
      <c r="P728" s="1393" t="str">
        <f>IF(F739="","",F739)</f>
        <v/>
      </c>
      <c r="Q728" s="1394"/>
      <c r="R728" s="116"/>
      <c r="S728" s="645" t="str">
        <f>IF(P725="","",SUMIFS(C_FuelStreams!BK:BK,C_FuelStreams!BI:BI,P725))</f>
        <v/>
      </c>
      <c r="T728" s="142"/>
      <c r="U728" s="115"/>
      <c r="W728" s="561" t="str">
        <f t="shared" si="411"/>
        <v/>
      </c>
      <c r="X728" s="561" t="str">
        <f t="shared" si="411"/>
        <v/>
      </c>
      <c r="Y728" s="561" t="str">
        <f t="shared" si="411"/>
        <v/>
      </c>
      <c r="Z728" s="561" t="str">
        <f t="shared" si="411"/>
        <v/>
      </c>
      <c r="AA728" s="561" t="str">
        <f t="shared" si="411"/>
        <v/>
      </c>
      <c r="AB728" s="561" t="str">
        <f>IF(E728="","",OR(W728&lt;&gt;W720,X728&lt;&gt;X720,Z728&lt;&gt;Z720))</f>
        <v/>
      </c>
      <c r="AC728" s="567"/>
      <c r="AD728" s="561" t="str">
        <f t="shared" ref="AD728:AI728" si="422">AD727</f>
        <v/>
      </c>
      <c r="AE728" s="561" t="str">
        <f t="shared" si="422"/>
        <v>n.a.</v>
      </c>
      <c r="AF728" s="561" t="str">
        <f t="shared" si="422"/>
        <v>n.a.</v>
      </c>
      <c r="AG728" s="561" t="str">
        <f t="shared" si="422"/>
        <v>n.a.</v>
      </c>
      <c r="AH728" s="561" t="b">
        <f t="shared" si="422"/>
        <v>0</v>
      </c>
      <c r="AI728" s="561" t="b">
        <f t="shared" si="422"/>
        <v>0</v>
      </c>
      <c r="AJ728" s="582" t="str">
        <f t="shared" si="418"/>
        <v/>
      </c>
      <c r="AK728" s="582" t="str">
        <f t="shared" si="419"/>
        <v/>
      </c>
      <c r="AL728" s="582" t="str">
        <f t="shared" si="414"/>
        <v/>
      </c>
    </row>
    <row r="729" spans="2:38" ht="12.75" customHeight="1" thickBot="1" x14ac:dyDescent="0.3">
      <c r="B729" s="132"/>
      <c r="C729" s="132"/>
      <c r="D729" s="1388"/>
      <c r="E729" s="43"/>
      <c r="F729" s="47"/>
      <c r="G729" s="641" t="str">
        <f t="shared" si="415"/>
        <v/>
      </c>
      <c r="H729" s="641" t="str">
        <f t="shared" si="416"/>
        <v/>
      </c>
      <c r="I729" s="48"/>
      <c r="J729" s="642" t="str">
        <f t="shared" si="408"/>
        <v/>
      </c>
      <c r="K729" s="642" t="str">
        <f t="shared" si="409"/>
        <v/>
      </c>
      <c r="L729" s="642" t="str">
        <f t="shared" si="410"/>
        <v/>
      </c>
      <c r="M729" s="116"/>
      <c r="N729" s="162"/>
      <c r="O729" s="162"/>
      <c r="P729" s="76"/>
      <c r="Q729" s="76"/>
      <c r="R729" s="116"/>
      <c r="S729" s="996"/>
      <c r="T729" s="142"/>
      <c r="U729" s="115"/>
      <c r="W729" s="561" t="str">
        <f t="shared" si="411"/>
        <v/>
      </c>
      <c r="X729" s="561" t="str">
        <f t="shared" si="411"/>
        <v/>
      </c>
      <c r="Y729" s="561" t="str">
        <f t="shared" si="411"/>
        <v/>
      </c>
      <c r="Z729" s="561" t="str">
        <f t="shared" si="411"/>
        <v/>
      </c>
      <c r="AA729" s="561" t="str">
        <f t="shared" si="411"/>
        <v/>
      </c>
      <c r="AB729" s="561" t="str">
        <f>IF(E729="","",OR(W729&lt;&gt;W720,X729&lt;&gt;X720,Z729&lt;&gt;Z720))</f>
        <v/>
      </c>
      <c r="AC729" s="567"/>
      <c r="AD729" s="561" t="str">
        <f t="shared" ref="AD729:AI729" si="423">AD728</f>
        <v/>
      </c>
      <c r="AE729" s="561" t="str">
        <f t="shared" si="423"/>
        <v>n.a.</v>
      </c>
      <c r="AF729" s="561" t="str">
        <f t="shared" si="423"/>
        <v>n.a.</v>
      </c>
      <c r="AG729" s="561" t="str">
        <f t="shared" si="423"/>
        <v>n.a.</v>
      </c>
      <c r="AH729" s="561" t="b">
        <f t="shared" si="423"/>
        <v>0</v>
      </c>
      <c r="AI729" s="561" t="b">
        <f t="shared" si="423"/>
        <v>0</v>
      </c>
      <c r="AJ729" s="582" t="str">
        <f t="shared" si="418"/>
        <v/>
      </c>
      <c r="AK729" s="582" t="str">
        <f t="shared" si="419"/>
        <v/>
      </c>
      <c r="AL729" s="582" t="str">
        <f t="shared" si="414"/>
        <v/>
      </c>
    </row>
    <row r="730" spans="2:38" ht="12.75" customHeight="1" x14ac:dyDescent="0.25">
      <c r="B730" s="132"/>
      <c r="C730" s="132"/>
      <c r="D730" s="1388"/>
      <c r="E730" s="43"/>
      <c r="F730" s="47"/>
      <c r="G730" s="641" t="str">
        <f t="shared" si="415"/>
        <v/>
      </c>
      <c r="H730" s="641" t="str">
        <f t="shared" si="416"/>
        <v/>
      </c>
      <c r="I730" s="48"/>
      <c r="J730" s="642" t="str">
        <f t="shared" si="408"/>
        <v/>
      </c>
      <c r="K730" s="642" t="str">
        <f t="shared" si="409"/>
        <v/>
      </c>
      <c r="L730" s="642" t="str">
        <f t="shared" si="410"/>
        <v/>
      </c>
      <c r="M730" s="116"/>
      <c r="N730" s="365" t="str">
        <f>G723</f>
        <v/>
      </c>
      <c r="O730" s="11"/>
      <c r="P730" s="366"/>
      <c r="Q730" s="646" t="str">
        <f>IF(G739="","",G739)</f>
        <v/>
      </c>
      <c r="R730" s="116"/>
      <c r="S730" s="647" t="str">
        <f>IF(P725="","",SUMIFS(C_FuelStreams!BU:BU,C_FuelStreams!BI:BI,P725))</f>
        <v/>
      </c>
      <c r="T730" s="142"/>
      <c r="U730" s="115"/>
      <c r="W730" s="561" t="str">
        <f t="shared" si="411"/>
        <v/>
      </c>
      <c r="X730" s="561" t="str">
        <f t="shared" si="411"/>
        <v/>
      </c>
      <c r="Y730" s="561" t="str">
        <f t="shared" si="411"/>
        <v/>
      </c>
      <c r="Z730" s="561" t="str">
        <f t="shared" si="411"/>
        <v/>
      </c>
      <c r="AA730" s="561" t="str">
        <f t="shared" si="411"/>
        <v/>
      </c>
      <c r="AB730" s="561" t="str">
        <f>IF(E730="","",OR(W730&lt;&gt;W720,X730&lt;&gt;X720,Z730&lt;&gt;Z720))</f>
        <v/>
      </c>
      <c r="AC730" s="567"/>
      <c r="AD730" s="561" t="str">
        <f t="shared" ref="AD730:AI730" si="424">AD729</f>
        <v/>
      </c>
      <c r="AE730" s="561" t="str">
        <f t="shared" si="424"/>
        <v>n.a.</v>
      </c>
      <c r="AF730" s="561" t="str">
        <f t="shared" si="424"/>
        <v>n.a.</v>
      </c>
      <c r="AG730" s="561" t="str">
        <f t="shared" si="424"/>
        <v>n.a.</v>
      </c>
      <c r="AH730" s="561" t="b">
        <f t="shared" si="424"/>
        <v>0</v>
      </c>
      <c r="AI730" s="561" t="b">
        <f t="shared" si="424"/>
        <v>0</v>
      </c>
      <c r="AJ730" s="582" t="str">
        <f t="shared" si="418"/>
        <v/>
      </c>
      <c r="AK730" s="582" t="str">
        <f t="shared" si="419"/>
        <v/>
      </c>
      <c r="AL730" s="582" t="str">
        <f t="shared" si="414"/>
        <v/>
      </c>
    </row>
    <row r="731" spans="2:38" ht="12.75" customHeight="1" thickBot="1" x14ac:dyDescent="0.3">
      <c r="B731" s="132"/>
      <c r="C731" s="132"/>
      <c r="D731" s="1388"/>
      <c r="E731" s="43"/>
      <c r="F731" s="47"/>
      <c r="G731" s="641" t="str">
        <f t="shared" si="415"/>
        <v/>
      </c>
      <c r="H731" s="641" t="str">
        <f t="shared" si="416"/>
        <v/>
      </c>
      <c r="I731" s="48"/>
      <c r="J731" s="642" t="str">
        <f t="shared" si="408"/>
        <v/>
      </c>
      <c r="K731" s="642" t="str">
        <f t="shared" si="409"/>
        <v/>
      </c>
      <c r="L731" s="642" t="str">
        <f t="shared" si="410"/>
        <v/>
      </c>
      <c r="M731" s="116"/>
      <c r="N731" s="648" t="str">
        <f>H723</f>
        <v/>
      </c>
      <c r="O731" s="22"/>
      <c r="P731" s="649"/>
      <c r="Q731" s="650" t="str">
        <f>IF(H739="","",H739)</f>
        <v/>
      </c>
      <c r="R731" s="116"/>
      <c r="S731" s="651" t="str">
        <f>IF(P725="","",SUMIFS(C_FuelStreams!BR:BR,C_FuelStreams!BI:BI,P725))</f>
        <v/>
      </c>
      <c r="T731" s="142"/>
      <c r="U731" s="115"/>
      <c r="W731" s="561" t="str">
        <f t="shared" si="411"/>
        <v/>
      </c>
      <c r="X731" s="561" t="str">
        <f t="shared" si="411"/>
        <v/>
      </c>
      <c r="Y731" s="561" t="str">
        <f t="shared" si="411"/>
        <v/>
      </c>
      <c r="Z731" s="561" t="str">
        <f t="shared" si="411"/>
        <v/>
      </c>
      <c r="AA731" s="561" t="str">
        <f t="shared" si="411"/>
        <v/>
      </c>
      <c r="AB731" s="561" t="str">
        <f>IF(E731="","",OR(W731&lt;&gt;W720,X731&lt;&gt;X720,Z731&lt;&gt;Z720))</f>
        <v/>
      </c>
      <c r="AC731" s="567"/>
      <c r="AD731" s="561" t="str">
        <f t="shared" ref="AD731:AI731" si="425">AD730</f>
        <v/>
      </c>
      <c r="AE731" s="561" t="str">
        <f t="shared" si="425"/>
        <v>n.a.</v>
      </c>
      <c r="AF731" s="561" t="str">
        <f t="shared" si="425"/>
        <v>n.a.</v>
      </c>
      <c r="AG731" s="561" t="str">
        <f t="shared" si="425"/>
        <v>n.a.</v>
      </c>
      <c r="AH731" s="561" t="b">
        <f t="shared" si="425"/>
        <v>0</v>
      </c>
      <c r="AI731" s="561" t="b">
        <f t="shared" si="425"/>
        <v>0</v>
      </c>
      <c r="AJ731" s="582" t="str">
        <f t="shared" si="418"/>
        <v/>
      </c>
      <c r="AK731" s="582" t="str">
        <f t="shared" si="419"/>
        <v/>
      </c>
      <c r="AL731" s="582" t="str">
        <f t="shared" si="414"/>
        <v/>
      </c>
    </row>
    <row r="732" spans="2:38" ht="12.75" customHeight="1" x14ac:dyDescent="0.25">
      <c r="B732" s="132"/>
      <c r="C732" s="132"/>
      <c r="D732" s="1388"/>
      <c r="E732" s="43"/>
      <c r="F732" s="47"/>
      <c r="G732" s="641" t="str">
        <f t="shared" si="415"/>
        <v/>
      </c>
      <c r="H732" s="641" t="str">
        <f t="shared" si="416"/>
        <v/>
      </c>
      <c r="I732" s="48"/>
      <c r="J732" s="642" t="str">
        <f t="shared" si="408"/>
        <v/>
      </c>
      <c r="K732" s="642" t="str">
        <f t="shared" si="409"/>
        <v/>
      </c>
      <c r="L732" s="642" t="str">
        <f t="shared" si="410"/>
        <v/>
      </c>
      <c r="M732" s="116"/>
      <c r="N732" s="652" t="s">
        <v>46</v>
      </c>
      <c r="O732" s="411"/>
      <c r="P732" s="653"/>
      <c r="Q732" s="654" t="str">
        <f>IF(I739="","",I739)</f>
        <v/>
      </c>
      <c r="R732" s="116"/>
      <c r="S732" s="655" t="str">
        <f>IF(P725="","",SUMIFS(C_FuelStreams!BX:BX,C_FuelStreams!BI:BI,P725))</f>
        <v/>
      </c>
      <c r="T732" s="142"/>
      <c r="U732" s="115"/>
      <c r="W732" s="561" t="str">
        <f t="shared" si="411"/>
        <v/>
      </c>
      <c r="X732" s="561" t="str">
        <f t="shared" si="411"/>
        <v/>
      </c>
      <c r="Y732" s="561" t="str">
        <f t="shared" si="411"/>
        <v/>
      </c>
      <c r="Z732" s="561" t="str">
        <f t="shared" si="411"/>
        <v/>
      </c>
      <c r="AA732" s="561" t="str">
        <f t="shared" si="411"/>
        <v/>
      </c>
      <c r="AB732" s="561" t="str">
        <f>IF(E732="","",OR(W732&lt;&gt;W720,X732&lt;&gt;X720,Z732&lt;&gt;Z720))</f>
        <v/>
      </c>
      <c r="AC732" s="567"/>
      <c r="AD732" s="561" t="str">
        <f t="shared" ref="AD732:AI732" si="426">AD731</f>
        <v/>
      </c>
      <c r="AE732" s="561" t="str">
        <f t="shared" si="426"/>
        <v>n.a.</v>
      </c>
      <c r="AF732" s="561" t="str">
        <f t="shared" si="426"/>
        <v>n.a.</v>
      </c>
      <c r="AG732" s="561" t="str">
        <f t="shared" si="426"/>
        <v>n.a.</v>
      </c>
      <c r="AH732" s="561" t="b">
        <f t="shared" si="426"/>
        <v>0</v>
      </c>
      <c r="AI732" s="561" t="b">
        <f t="shared" si="426"/>
        <v>0</v>
      </c>
      <c r="AJ732" s="582" t="str">
        <f t="shared" si="418"/>
        <v/>
      </c>
      <c r="AK732" s="582" t="str">
        <f t="shared" si="419"/>
        <v/>
      </c>
      <c r="AL732" s="582" t="str">
        <f t="shared" si="414"/>
        <v/>
      </c>
    </row>
    <row r="733" spans="2:38" ht="12.75" customHeight="1" x14ac:dyDescent="0.25">
      <c r="B733" s="132"/>
      <c r="C733" s="132"/>
      <c r="D733" s="1388"/>
      <c r="E733" s="43"/>
      <c r="F733" s="47"/>
      <c r="G733" s="641" t="str">
        <f t="shared" si="415"/>
        <v/>
      </c>
      <c r="H733" s="641" t="str">
        <f t="shared" si="416"/>
        <v/>
      </c>
      <c r="I733" s="48"/>
      <c r="J733" s="642" t="str">
        <f t="shared" si="408"/>
        <v/>
      </c>
      <c r="K733" s="642" t="str">
        <f t="shared" si="409"/>
        <v/>
      </c>
      <c r="L733" s="642" t="str">
        <f t="shared" si="410"/>
        <v/>
      </c>
      <c r="M733" s="1395"/>
      <c r="N733" s="116"/>
      <c r="O733" s="116"/>
      <c r="P733" s="116"/>
      <c r="Q733" s="116"/>
      <c r="R733" s="116"/>
      <c r="S733" s="132"/>
      <c r="T733" s="142"/>
      <c r="U733" s="115"/>
      <c r="W733" s="561" t="str">
        <f t="shared" si="411"/>
        <v/>
      </c>
      <c r="X733" s="561" t="str">
        <f t="shared" si="411"/>
        <v/>
      </c>
      <c r="Y733" s="561" t="str">
        <f t="shared" si="411"/>
        <v/>
      </c>
      <c r="Z733" s="561" t="str">
        <f t="shared" si="411"/>
        <v/>
      </c>
      <c r="AA733" s="561" t="str">
        <f t="shared" si="411"/>
        <v/>
      </c>
      <c r="AB733" s="561" t="str">
        <f>IF(E733="","",OR(W733&lt;&gt;W720,X733&lt;&gt;X720,Z733&lt;&gt;Z720))</f>
        <v/>
      </c>
      <c r="AC733" s="567"/>
      <c r="AD733" s="561" t="str">
        <f t="shared" ref="AD733:AI733" si="427">AD732</f>
        <v/>
      </c>
      <c r="AE733" s="561" t="str">
        <f t="shared" si="427"/>
        <v>n.a.</v>
      </c>
      <c r="AF733" s="561" t="str">
        <f t="shared" si="427"/>
        <v>n.a.</v>
      </c>
      <c r="AG733" s="561" t="str">
        <f t="shared" si="427"/>
        <v>n.a.</v>
      </c>
      <c r="AH733" s="561" t="b">
        <f t="shared" si="427"/>
        <v>0</v>
      </c>
      <c r="AI733" s="561" t="b">
        <f t="shared" si="427"/>
        <v>0</v>
      </c>
      <c r="AJ733" s="582" t="str">
        <f t="shared" si="418"/>
        <v/>
      </c>
      <c r="AK733" s="582" t="str">
        <f t="shared" si="419"/>
        <v/>
      </c>
      <c r="AL733" s="582" t="str">
        <f t="shared" si="414"/>
        <v/>
      </c>
    </row>
    <row r="734" spans="2:38" ht="12.75" customHeight="1" x14ac:dyDescent="0.25">
      <c r="B734" s="132"/>
      <c r="C734" s="132"/>
      <c r="D734" s="1388" t="str">
        <f>Translations!$B$643</f>
        <v>Customised components</v>
      </c>
      <c r="E734" s="42"/>
      <c r="F734" s="45"/>
      <c r="G734" s="49"/>
      <c r="H734" s="49"/>
      <c r="I734" s="46"/>
      <c r="J734" s="640" t="str">
        <f t="shared" si="408"/>
        <v/>
      </c>
      <c r="K734" s="640" t="str">
        <f t="shared" si="409"/>
        <v/>
      </c>
      <c r="L734" s="640" t="str">
        <f t="shared" si="410"/>
        <v/>
      </c>
      <c r="M734" s="1395"/>
      <c r="N734" s="116"/>
      <c r="O734" s="116"/>
      <c r="P734" s="656" t="str">
        <f>Translations!$B$644</f>
        <v>CO2 fossil (before scope factor):</v>
      </c>
      <c r="Q734" s="997" t="str">
        <f>IF(K739="","",K739)</f>
        <v/>
      </c>
      <c r="R734" s="656"/>
      <c r="S734" s="997" t="str">
        <f>IF(P725="","",IF(W734=0,0,SUMIFS(C_FuelStreams!CE:CE,C_FuelStreams!BI:BI,P725)/W734))</f>
        <v/>
      </c>
      <c r="T734" s="142"/>
      <c r="U734" s="115"/>
      <c r="V734" s="110" t="str">
        <f>Translations!$B$398</f>
        <v>Scope factor:</v>
      </c>
      <c r="W734" s="617" t="str">
        <f>IF(P725="","",SUMIFS(C_FuelStreams!BP:BP,C_FuelStreams!BI:BI,P725))</f>
        <v/>
      </c>
      <c r="AD734" s="561" t="str">
        <f t="shared" ref="AD734:AI734" si="428">AD733</f>
        <v/>
      </c>
      <c r="AE734" s="561" t="str">
        <f t="shared" si="428"/>
        <v>n.a.</v>
      </c>
      <c r="AF734" s="561" t="str">
        <f t="shared" si="428"/>
        <v>n.a.</v>
      </c>
      <c r="AG734" s="561" t="str">
        <f t="shared" si="428"/>
        <v>n.a.</v>
      </c>
      <c r="AH734" s="561" t="b">
        <f t="shared" si="428"/>
        <v>0</v>
      </c>
      <c r="AI734" s="561" t="b">
        <f t="shared" si="428"/>
        <v>0</v>
      </c>
      <c r="AJ734" s="582" t="str">
        <f t="shared" si="418"/>
        <v/>
      </c>
      <c r="AK734" s="582" t="str">
        <f t="shared" si="419"/>
        <v/>
      </c>
      <c r="AL734" s="582" t="str">
        <f t="shared" si="414"/>
        <v/>
      </c>
    </row>
    <row r="735" spans="2:38" ht="12.75" customHeight="1" x14ac:dyDescent="0.25">
      <c r="B735" s="132"/>
      <c r="C735" s="132"/>
      <c r="D735" s="1388"/>
      <c r="E735" s="43"/>
      <c r="F735" s="47"/>
      <c r="G735" s="50"/>
      <c r="H735" s="50"/>
      <c r="I735" s="48"/>
      <c r="J735" s="642" t="str">
        <f t="shared" si="408"/>
        <v/>
      </c>
      <c r="K735" s="642" t="str">
        <f t="shared" si="409"/>
        <v/>
      </c>
      <c r="L735" s="642" t="str">
        <f t="shared" si="410"/>
        <v/>
      </c>
      <c r="M735" s="1395"/>
      <c r="N735" s="116"/>
      <c r="O735" s="116"/>
      <c r="P735" s="116"/>
      <c r="Q735" s="116"/>
      <c r="R735" s="116"/>
      <c r="S735" s="132"/>
      <c r="T735" s="142"/>
      <c r="U735" s="115"/>
      <c r="AD735" s="561" t="str">
        <f t="shared" ref="AD735:AI735" si="429">AD734</f>
        <v/>
      </c>
      <c r="AE735" s="561" t="str">
        <f t="shared" si="429"/>
        <v>n.a.</v>
      </c>
      <c r="AF735" s="561" t="str">
        <f t="shared" si="429"/>
        <v>n.a.</v>
      </c>
      <c r="AG735" s="561" t="str">
        <f t="shared" si="429"/>
        <v>n.a.</v>
      </c>
      <c r="AH735" s="561" t="b">
        <f t="shared" si="429"/>
        <v>0</v>
      </c>
      <c r="AI735" s="561" t="b">
        <f t="shared" si="429"/>
        <v>0</v>
      </c>
      <c r="AJ735" s="582" t="str">
        <f t="shared" si="418"/>
        <v/>
      </c>
      <c r="AK735" s="582" t="str">
        <f t="shared" si="419"/>
        <v/>
      </c>
      <c r="AL735" s="582" t="str">
        <f t="shared" si="414"/>
        <v/>
      </c>
    </row>
    <row r="736" spans="2:38" ht="12.75" customHeight="1" x14ac:dyDescent="0.25">
      <c r="B736" s="132"/>
      <c r="C736" s="132"/>
      <c r="D736" s="1388"/>
      <c r="E736" s="43"/>
      <c r="F736" s="47"/>
      <c r="G736" s="50"/>
      <c r="H736" s="50"/>
      <c r="I736" s="48"/>
      <c r="J736" s="642" t="str">
        <f t="shared" si="408"/>
        <v/>
      </c>
      <c r="K736" s="642" t="str">
        <f t="shared" si="409"/>
        <v/>
      </c>
      <c r="L736" s="642" t="str">
        <f t="shared" si="410"/>
        <v/>
      </c>
      <c r="M736" s="1395"/>
      <c r="N736" s="116"/>
      <c r="O736" s="116"/>
      <c r="P736" s="116"/>
      <c r="Q736" s="116"/>
      <c r="R736" s="116"/>
      <c r="S736" s="132"/>
      <c r="T736" s="142"/>
      <c r="U736" s="115"/>
      <c r="AD736" s="561" t="str">
        <f t="shared" ref="AD736:AI736" si="430">AD735</f>
        <v/>
      </c>
      <c r="AE736" s="561" t="str">
        <f t="shared" si="430"/>
        <v>n.a.</v>
      </c>
      <c r="AF736" s="561" t="str">
        <f t="shared" si="430"/>
        <v>n.a.</v>
      </c>
      <c r="AG736" s="561" t="str">
        <f t="shared" si="430"/>
        <v>n.a.</v>
      </c>
      <c r="AH736" s="561" t="b">
        <f t="shared" si="430"/>
        <v>0</v>
      </c>
      <c r="AI736" s="561" t="b">
        <f t="shared" si="430"/>
        <v>0</v>
      </c>
      <c r="AJ736" s="582" t="str">
        <f t="shared" si="418"/>
        <v/>
      </c>
      <c r="AK736" s="582" t="str">
        <f t="shared" si="419"/>
        <v/>
      </c>
      <c r="AL736" s="582" t="str">
        <f t="shared" si="414"/>
        <v/>
      </c>
    </row>
    <row r="737" spans="1:38" ht="12.75" customHeight="1" x14ac:dyDescent="0.25">
      <c r="B737" s="132"/>
      <c r="C737" s="132"/>
      <c r="D737" s="1388"/>
      <c r="E737" s="43"/>
      <c r="F737" s="47"/>
      <c r="G737" s="50"/>
      <c r="H737" s="50"/>
      <c r="I737" s="48"/>
      <c r="J737" s="642" t="str">
        <f t="shared" si="408"/>
        <v/>
      </c>
      <c r="K737" s="642" t="str">
        <f t="shared" si="409"/>
        <v/>
      </c>
      <c r="L737" s="642" t="str">
        <f t="shared" si="410"/>
        <v/>
      </c>
      <c r="M737" s="1395"/>
      <c r="N737" s="116"/>
      <c r="O737" s="116"/>
      <c r="P737" s="116"/>
      <c r="Q737" s="116"/>
      <c r="R737" s="116"/>
      <c r="S737" s="132"/>
      <c r="T737" s="142"/>
      <c r="U737" s="115"/>
      <c r="AD737" s="561" t="str">
        <f t="shared" ref="AD737:AI737" si="431">AD736</f>
        <v/>
      </c>
      <c r="AE737" s="561" t="str">
        <f t="shared" si="431"/>
        <v>n.a.</v>
      </c>
      <c r="AF737" s="561" t="str">
        <f t="shared" si="431"/>
        <v>n.a.</v>
      </c>
      <c r="AG737" s="561" t="str">
        <f t="shared" si="431"/>
        <v>n.a.</v>
      </c>
      <c r="AH737" s="561" t="b">
        <f t="shared" si="431"/>
        <v>0</v>
      </c>
      <c r="AI737" s="561" t="b">
        <f t="shared" si="431"/>
        <v>0</v>
      </c>
      <c r="AJ737" s="582" t="str">
        <f t="shared" si="418"/>
        <v/>
      </c>
      <c r="AK737" s="582" t="str">
        <f t="shared" si="419"/>
        <v/>
      </c>
      <c r="AL737" s="582" t="str">
        <f t="shared" si="414"/>
        <v/>
      </c>
    </row>
    <row r="738" spans="1:38" ht="12.75" customHeight="1" x14ac:dyDescent="0.25">
      <c r="B738" s="132"/>
      <c r="C738" s="132"/>
      <c r="D738" s="1388"/>
      <c r="E738" s="44"/>
      <c r="F738" s="51"/>
      <c r="G738" s="52"/>
      <c r="H738" s="52"/>
      <c r="I738" s="53"/>
      <c r="J738" s="657" t="str">
        <f t="shared" si="408"/>
        <v/>
      </c>
      <c r="K738" s="657" t="str">
        <f t="shared" si="409"/>
        <v/>
      </c>
      <c r="L738" s="657" t="str">
        <f t="shared" si="410"/>
        <v/>
      </c>
      <c r="M738" s="1395"/>
      <c r="N738" s="116"/>
      <c r="O738" s="116"/>
      <c r="P738" s="116"/>
      <c r="Q738" s="116"/>
      <c r="R738" s="116"/>
      <c r="S738" s="132"/>
      <c r="T738" s="142"/>
      <c r="U738" s="115"/>
      <c r="AD738" s="561" t="str">
        <f t="shared" ref="AD738:AI738" si="432">AD737</f>
        <v/>
      </c>
      <c r="AE738" s="561" t="str">
        <f t="shared" si="432"/>
        <v>n.a.</v>
      </c>
      <c r="AF738" s="561" t="str">
        <f t="shared" si="432"/>
        <v>n.a.</v>
      </c>
      <c r="AG738" s="561" t="str">
        <f t="shared" si="432"/>
        <v>n.a.</v>
      </c>
      <c r="AH738" s="561" t="b">
        <f t="shared" si="432"/>
        <v>0</v>
      </c>
      <c r="AI738" s="561" t="b">
        <f t="shared" si="432"/>
        <v>0</v>
      </c>
      <c r="AJ738" s="582" t="str">
        <f t="shared" si="418"/>
        <v/>
      </c>
      <c r="AK738" s="582" t="str">
        <f t="shared" si="419"/>
        <v/>
      </c>
      <c r="AL738" s="582" t="str">
        <f t="shared" si="414"/>
        <v/>
      </c>
    </row>
    <row r="739" spans="1:38" ht="12.75" customHeight="1" x14ac:dyDescent="0.25">
      <c r="B739" s="132"/>
      <c r="C739" s="132"/>
      <c r="D739" s="132"/>
      <c r="E739" s="658" t="str">
        <f>Translations!$B$645</f>
        <v>TOTALS</v>
      </c>
      <c r="F739" s="659" t="str">
        <f>IF(SUM(F724:F738)=0,"",SUM(F724:F738))</f>
        <v/>
      </c>
      <c r="G739" s="660" t="str">
        <f>IF(SUM(F739)=0,"",J739/F739)</f>
        <v/>
      </c>
      <c r="H739" s="660" t="str">
        <f>IF(SUM(J739)=0,"",SUM(K739:L739)/IF(AF724&lt;&gt;EUconst_NA,F739,J739)/IF(AG724=EUconst_NA,1,AG724))</f>
        <v/>
      </c>
      <c r="I739" s="661" t="str">
        <f>IF(SUM(K739:L739)=0,"",L739/SUM(K739:L739))</f>
        <v/>
      </c>
      <c r="J739" s="659" t="str">
        <f>IF(COUNTA(E724:E738)=0,"",IFERROR(SUM(J724:J738),EUconst_ERR_Inconsistent))</f>
        <v/>
      </c>
      <c r="K739" s="659" t="str">
        <f>IF(COUNTA(E724:E738)=0,"",IFERROR(SUM(K724:K738),EUconst_ERR_Inconsistent))</f>
        <v/>
      </c>
      <c r="L739" s="659" t="str">
        <f>IF(COUNTA(E724:E738)=0,"",IFERROR(SUM(L724:L738),EUconst_ERR_Inconsistent))</f>
        <v/>
      </c>
      <c r="M739" s="1395"/>
      <c r="N739" s="116"/>
      <c r="O739" s="116"/>
      <c r="P739" s="116"/>
      <c r="Q739" s="116"/>
      <c r="R739" s="116"/>
      <c r="S739" s="132"/>
      <c r="T739" s="142"/>
      <c r="U739" s="115"/>
    </row>
    <row r="740" spans="1:38" ht="12.75" customHeight="1" x14ac:dyDescent="0.25">
      <c r="B740" s="132"/>
      <c r="C740" s="132"/>
      <c r="D740" s="132"/>
      <c r="E740" s="191"/>
      <c r="F740" s="116"/>
      <c r="G740" s="116"/>
      <c r="H740" s="116"/>
      <c r="I740" s="116"/>
      <c r="J740" s="116"/>
      <c r="K740" s="116"/>
      <c r="L740" s="116"/>
      <c r="M740" s="116"/>
      <c r="N740" s="116"/>
      <c r="O740" s="116"/>
      <c r="P740" s="116"/>
      <c r="Q740" s="116"/>
      <c r="R740" s="116"/>
      <c r="S740" s="132"/>
      <c r="T740" s="142"/>
      <c r="U740" s="115"/>
    </row>
    <row r="741" spans="1:38" s="69" customFormat="1" ht="18.75" customHeight="1" x14ac:dyDescent="0.25">
      <c r="A741" s="167">
        <f>C741</f>
        <v>32</v>
      </c>
      <c r="B741" s="76"/>
      <c r="C741" s="216">
        <f>C718+1</f>
        <v>32</v>
      </c>
      <c r="D741" s="1195" t="str">
        <f>"Tool " &amp;C741-2</f>
        <v>Tool 30</v>
      </c>
      <c r="E741" s="1195"/>
      <c r="F741" s="1195"/>
      <c r="G741" s="1195"/>
      <c r="H741" s="1195"/>
      <c r="I741" s="1195"/>
      <c r="J741" s="1195"/>
      <c r="K741" s="1195"/>
      <c r="L741" s="1195"/>
      <c r="M741" s="1195"/>
      <c r="N741" s="1195"/>
      <c r="O741" s="1195"/>
      <c r="P741" s="1195"/>
      <c r="Q741" s="1195"/>
      <c r="R741" s="1195"/>
      <c r="S741" s="1195"/>
      <c r="T741" s="142"/>
      <c r="U741" s="115"/>
      <c r="V741" s="464" t="str">
        <f>D741</f>
        <v>Tool 30</v>
      </c>
      <c r="W741" s="110"/>
      <c r="X741" s="110"/>
      <c r="Y741" s="110"/>
      <c r="Z741" s="110"/>
      <c r="AA741" s="109"/>
      <c r="AB741" s="109"/>
      <c r="AC741" s="109"/>
      <c r="AD741" s="109"/>
      <c r="AE741" s="109"/>
      <c r="AF741" s="109"/>
      <c r="AG741" s="109"/>
      <c r="AH741" s="109"/>
      <c r="AI741" s="109"/>
      <c r="AJ741" s="109"/>
      <c r="AK741" s="109"/>
      <c r="AL741" s="109"/>
    </row>
    <row r="742" spans="1:38" ht="12.75" customHeight="1" x14ac:dyDescent="0.25">
      <c r="B742" s="132"/>
      <c r="C742" s="132"/>
      <c r="D742" s="132"/>
      <c r="E742" s="191"/>
      <c r="F742" s="116"/>
      <c r="G742" s="116"/>
      <c r="H742" s="116"/>
      <c r="I742" s="116"/>
      <c r="J742" s="116"/>
      <c r="K742" s="116"/>
      <c r="L742" s="116"/>
      <c r="M742" s="116"/>
      <c r="N742" s="116"/>
      <c r="O742" s="116"/>
      <c r="P742" s="116"/>
      <c r="Q742" s="116"/>
      <c r="R742" s="116"/>
      <c r="S742" s="132"/>
      <c r="T742" s="142"/>
      <c r="U742" s="115"/>
    </row>
    <row r="743" spans="1:38" ht="12.75" customHeight="1" x14ac:dyDescent="0.25">
      <c r="B743" s="132"/>
      <c r="C743" s="132"/>
      <c r="D743" s="1377" t="str">
        <f>Translations!$B$631</f>
        <v>Component</v>
      </c>
      <c r="E743" s="1378"/>
      <c r="F743" s="633">
        <v>1</v>
      </c>
      <c r="G743" s="633">
        <v>2</v>
      </c>
      <c r="H743" s="633">
        <v>3</v>
      </c>
      <c r="I743" s="633">
        <v>4</v>
      </c>
      <c r="J743" s="633">
        <v>5</v>
      </c>
      <c r="K743" s="633">
        <v>6</v>
      </c>
      <c r="L743" s="633">
        <v>7</v>
      </c>
      <c r="M743" s="116"/>
      <c r="N743" s="116"/>
      <c r="O743" s="116"/>
      <c r="P743" s="116"/>
      <c r="Q743" s="116"/>
      <c r="R743" s="116"/>
      <c r="S743" s="132"/>
      <c r="T743" s="142"/>
      <c r="U743" s="115"/>
      <c r="V743" s="566" t="str">
        <f>Translations!$B$498</f>
        <v>Units:</v>
      </c>
      <c r="W743" s="561" t="str" cm="1">
        <f t="array" ref="W743">IFERROR(INDEX(_xlfn._xlws.FILTER(W747:W756,(W747:W756)&lt;&gt;"",""),1),W744)</f>
        <v/>
      </c>
      <c r="X743" s="561" t="str" cm="1">
        <f t="array" ref="X743">IFERROR(INDEX(_xlfn._xlws.FILTER(X747:X756,(X747:X756)&lt;&gt;"",""),1),X744)</f>
        <v/>
      </c>
      <c r="Y743" s="567"/>
      <c r="Z743" s="561" t="str" cm="1">
        <f t="array" ref="Z743">IFERROR(INDEX(_xlfn._xlws.FILTER(Z747:Z756,(Z747:Z756)&lt;&gt;"",""),1),Z744)</f>
        <v/>
      </c>
      <c r="AA743" s="567"/>
    </row>
    <row r="744" spans="1:38" ht="12.75" customHeight="1" x14ac:dyDescent="0.25">
      <c r="B744" s="132"/>
      <c r="C744" s="132"/>
      <c r="D744" s="1379"/>
      <c r="E744" s="1380"/>
      <c r="F744" s="1383" t="str">
        <f>Translations!$B$377</f>
        <v>RFA</v>
      </c>
      <c r="G744" s="1383" t="str">
        <f>Translations!$B$386</f>
        <v>UCF</v>
      </c>
      <c r="H744" s="1383" t="str">
        <f>Translations!$B$383</f>
        <v>EF</v>
      </c>
      <c r="I744" s="1383" t="str">
        <f>Translations!$B$632</f>
        <v>Zero-rated F</v>
      </c>
      <c r="J744" s="1385" t="str">
        <f>Translations!$B$652</f>
        <v>Energy or other</v>
      </c>
      <c r="K744" s="1385" t="str">
        <f>Translations!$B$522</f>
        <v>Emissions (fossil)</v>
      </c>
      <c r="L744" s="1385" t="str">
        <f>Translations!$B$634</f>
        <v>Emissions (bio)</v>
      </c>
      <c r="M744" s="116"/>
      <c r="N744" s="116"/>
      <c r="O744" s="116"/>
      <c r="P744" s="116"/>
      <c r="Q744" s="116"/>
      <c r="R744" s="116"/>
      <c r="S744" s="132"/>
      <c r="T744" s="142"/>
      <c r="U744" s="115"/>
      <c r="W744" s="561" t="str">
        <f t="array" ref="W744">IFERROR(INDEX(W747:W756,MATCH(TRUE,(W747:W756)&lt;&gt;"",0)),"")</f>
        <v/>
      </c>
      <c r="X744" s="561" t="str">
        <f t="array" ref="X744">IFERROR(INDEX(X747:X756,MATCH(TRUE,(X747:X756)&lt;&gt;"",0)),"")</f>
        <v/>
      </c>
      <c r="Y744" s="567"/>
      <c r="Z744" s="561" t="str">
        <f t="array" ref="Z744">IFERROR(INDEX(Z747:Z756,MATCH(TRUE,(Z747:Z756)&lt;&gt;"",0)),"")</f>
        <v/>
      </c>
      <c r="AA744" s="567"/>
    </row>
    <row r="745" spans="1:38" ht="12.75" customHeight="1" x14ac:dyDescent="0.3">
      <c r="B745" s="132"/>
      <c r="C745" s="132"/>
      <c r="D745" s="1379"/>
      <c r="E745" s="1380"/>
      <c r="F745" s="1384"/>
      <c r="G745" s="1384"/>
      <c r="H745" s="1384"/>
      <c r="I745" s="1384"/>
      <c r="J745" s="1386"/>
      <c r="K745" s="1386"/>
      <c r="L745" s="1386"/>
      <c r="M745" s="116"/>
      <c r="N745" s="634" t="str">
        <f>Translations!$B$635</f>
        <v>Result to be entered in sheet C</v>
      </c>
      <c r="O745" s="116"/>
      <c r="P745" s="116"/>
      <c r="Q745" s="116"/>
      <c r="R745" s="116"/>
      <c r="S745" s="132"/>
      <c r="T745" s="142"/>
      <c r="U745" s="115"/>
      <c r="W745" s="569" t="str">
        <f>Translations!$B$377</f>
        <v>RFA</v>
      </c>
      <c r="X745" s="569" t="str">
        <f>Translations!$B$386</f>
        <v>UCF</v>
      </c>
      <c r="Y745" s="569"/>
      <c r="Z745" s="569" t="str">
        <f>Translations!$B$383</f>
        <v>EF</v>
      </c>
      <c r="AA745" s="569"/>
      <c r="AB745" s="570"/>
      <c r="AC745" s="570"/>
      <c r="AH745" s="570"/>
      <c r="AI745" s="570"/>
      <c r="AJ745" s="570"/>
    </row>
    <row r="746" spans="1:38" ht="12.75" customHeight="1" x14ac:dyDescent="0.3">
      <c r="B746" s="132"/>
      <c r="C746" s="132"/>
      <c r="D746" s="1381"/>
      <c r="E746" s="1382"/>
      <c r="F746" s="635" t="str">
        <f>IF(COUNTA($E747:$E761)=0,"",$W743)</f>
        <v/>
      </c>
      <c r="G746" s="635" t="str">
        <f>IF(COUNTA($E747:$E761)=0,"",$X743)</f>
        <v/>
      </c>
      <c r="H746" s="635" t="str">
        <f>IF(COUNTA($E747:$E761)=0,"",$Z743)</f>
        <v/>
      </c>
      <c r="I746" s="636" t="s">
        <v>46</v>
      </c>
      <c r="J746" s="635" t="str">
        <f>IF(AE747=EUconst_NA,EUconst_GJ,AE747)</f>
        <v>GJ</v>
      </c>
      <c r="K746" s="637" t="s">
        <v>188</v>
      </c>
      <c r="L746" s="637" t="s">
        <v>188</v>
      </c>
      <c r="M746" s="116"/>
      <c r="N746" s="1387" t="str">
        <f>Translations!$B$636</f>
        <v>The results of this tool are the relevant (weighted average) values below. Each value has to be entered manually in sheet C for the respective fuel stream. Select fuel stream below for comparison.</v>
      </c>
      <c r="O746" s="1387"/>
      <c r="P746" s="1387"/>
      <c r="Q746" s="1387"/>
      <c r="R746" s="1387"/>
      <c r="S746" s="1387"/>
      <c r="T746" s="142"/>
      <c r="U746" s="115"/>
      <c r="W746" s="569" t="str">
        <f>EUconst_CNTR_ActivityData&amp;EUconst_Unit</f>
        <v>ActivityData_Unit</v>
      </c>
      <c r="X746" s="569" t="str">
        <f>EUconst_CNTR_UCF&amp;EUconst_Unit</f>
        <v>UCF_Unit</v>
      </c>
      <c r="Y746" s="569" t="str">
        <f>EUconst_CNTR_UCF&amp;EUconst_Value</f>
        <v>UCF_Value</v>
      </c>
      <c r="Z746" s="569" t="str">
        <f>EUconst_CNTR_EF&amp;EUconst_Unit</f>
        <v>EF_Unit</v>
      </c>
      <c r="AA746" s="569" t="str">
        <f>EUconst_CNTR_EF&amp;EUconst_Value</f>
        <v>EF_Value</v>
      </c>
      <c r="AB746" s="569" t="s">
        <v>189</v>
      </c>
      <c r="AC746" s="575"/>
      <c r="AD746" s="576" t="s">
        <v>147</v>
      </c>
      <c r="AE746" s="576" t="s">
        <v>151</v>
      </c>
      <c r="AF746" s="576" t="s">
        <v>153</v>
      </c>
      <c r="AG746" s="576" t="s">
        <v>155</v>
      </c>
      <c r="AH746" s="575"/>
      <c r="AI746" s="575"/>
      <c r="AJ746" s="575" t="s">
        <v>190</v>
      </c>
      <c r="AK746" s="575" t="s">
        <v>191</v>
      </c>
      <c r="AL746" s="575" t="s">
        <v>192</v>
      </c>
    </row>
    <row r="747" spans="1:38" ht="12.75" customHeight="1" x14ac:dyDescent="0.25">
      <c r="B747" s="132"/>
      <c r="C747" s="132"/>
      <c r="D747" s="1388" t="str">
        <f>Translations!$B$637</f>
        <v>Default compontents provided by the CA</v>
      </c>
      <c r="E747" s="42"/>
      <c r="F747" s="45"/>
      <c r="G747" s="639" t="str">
        <f>IF($E747="","",Y747)</f>
        <v/>
      </c>
      <c r="H747" s="639" t="str">
        <f>IF($E747="","",AA747)</f>
        <v/>
      </c>
      <c r="I747" s="46"/>
      <c r="J747" s="640" t="str">
        <f t="shared" ref="J747:J761" si="433">IFERROR(IF(E747="","",AL747),EUconst_ERR_Inconsistent)</f>
        <v/>
      </c>
      <c r="K747" s="640" t="str">
        <f t="shared" ref="K747:K761" si="434">IFERROR(IF(E747="","",AJ747),EUconst_ERR_Inconsistent)</f>
        <v/>
      </c>
      <c r="L747" s="640" t="str">
        <f t="shared" ref="L747:L761" si="435">IFERROR(IF(E747="","",AK747),EUconst_ERR_Inconsistent)</f>
        <v/>
      </c>
      <c r="M747" s="1389"/>
      <c r="N747" s="1387"/>
      <c r="O747" s="1387"/>
      <c r="P747" s="1387"/>
      <c r="Q747" s="1387"/>
      <c r="R747" s="1387"/>
      <c r="S747" s="1387"/>
      <c r="T747" s="142"/>
      <c r="U747" s="115"/>
      <c r="W747" s="561" t="str">
        <f t="shared" ref="W747:AA756" si="436">IF($E747="","",INDEX(MSPara_CalcFactorsMatrix,MATCH($E747,MSPara_SourceStreamCategory,0),MATCH(W$20&amp;"_"&amp;2,MSPara_CalcFactors,0)))</f>
        <v/>
      </c>
      <c r="X747" s="561" t="str">
        <f t="shared" si="436"/>
        <v/>
      </c>
      <c r="Y747" s="561" t="str">
        <f t="shared" si="436"/>
        <v/>
      </c>
      <c r="Z747" s="561" t="str">
        <f t="shared" si="436"/>
        <v/>
      </c>
      <c r="AA747" s="561" t="str">
        <f t="shared" si="436"/>
        <v/>
      </c>
      <c r="AB747" s="561" t="str">
        <f>IF(E747="","",OR(W747&lt;&gt;W743,X747&lt;&gt;X743,Z747&lt;&gt;Z743))</f>
        <v/>
      </c>
      <c r="AC747" s="567"/>
      <c r="AD747" s="561" t="str">
        <f>W747</f>
        <v/>
      </c>
      <c r="AE747" s="561" t="str">
        <f>IF(X747="",EUconst_NA,IF(AD747=EUconst_TJ,EUconst_TJ,INDEX(EUwideConstants!$C$135:$G$139,MATCH(AD747,RFAUnits,0),MATCH(X747,UCFUnits,0))))</f>
        <v>n.a.</v>
      </c>
      <c r="AF747" s="561" t="str">
        <f>IF(COUNTIF(RFAUnits,AD747)=0,EUconst_NA,INDEX(EUwideConstants!$C$150:$H$154,MATCH(Z747,EFUnits,0),MATCH(AD747,EUwideConstants!$C$149:$H$149,0)))</f>
        <v>n.a.</v>
      </c>
      <c r="AG747" s="561" t="str">
        <f>IF(AE747=EUconst_NA,EUconst_NA,INDEX(EUwideConstants!$C$150:$H$154,MATCH(Z747,EFUnits,0),MATCH(AE747,EUwideConstants!$C$149:$H$149,0)))</f>
        <v>n.a.</v>
      </c>
      <c r="AH747" s="561" t="b">
        <f t="shared" ref="AH747" si="437">AF747&lt;&gt;EUconst_NA</f>
        <v>0</v>
      </c>
      <c r="AI747" s="561" t="b">
        <f t="shared" ref="AI747" si="438">AG747&lt;&gt;EUconst_NA</f>
        <v>0</v>
      </c>
      <c r="AJ747" s="582" t="str">
        <f>IF(OR(E747="",COUNTIF(AH747:AI747,TRUE)=0),"",F747*IF(AH747,1,G747*AG747)*H747*(1-I747))</f>
        <v/>
      </c>
      <c r="AK747" s="582" t="str">
        <f>IF(OR(E747="",COUNTIF(AH747:AI747,TRUE)=0),"",F747*IF(AH747,1,G747*AG747)*H747*I747)</f>
        <v/>
      </c>
      <c r="AL747" s="582" t="str">
        <f t="shared" ref="AL747:AL761" si="439">IF(E747="","",IF(W747=EUconst_TJ,F747,F747*G747))</f>
        <v/>
      </c>
    </row>
    <row r="748" spans="1:38" ht="12.75" customHeight="1" x14ac:dyDescent="0.25">
      <c r="B748" s="132"/>
      <c r="C748" s="132"/>
      <c r="D748" s="1388"/>
      <c r="E748" s="43"/>
      <c r="F748" s="47"/>
      <c r="G748" s="641" t="str">
        <f t="shared" ref="G748:G756" si="440">IF($E748="","",Y748)</f>
        <v/>
      </c>
      <c r="H748" s="641" t="str">
        <f t="shared" ref="H748:H756" si="441">IF($E748="","",AA748)</f>
        <v/>
      </c>
      <c r="I748" s="48"/>
      <c r="J748" s="642" t="str">
        <f t="shared" si="433"/>
        <v/>
      </c>
      <c r="K748" s="642" t="str">
        <f t="shared" si="434"/>
        <v/>
      </c>
      <c r="L748" s="642" t="str">
        <f t="shared" si="435"/>
        <v/>
      </c>
      <c r="M748" s="1389"/>
      <c r="N748" s="638"/>
      <c r="O748" s="643" t="str">
        <f>Translations!$B$639</f>
        <v>Fuel stream:</v>
      </c>
      <c r="P748" s="1390"/>
      <c r="Q748" s="1391"/>
      <c r="R748" s="1391"/>
      <c r="S748" s="1392"/>
      <c r="T748" s="142"/>
      <c r="U748" s="115"/>
      <c r="W748" s="561" t="str">
        <f t="shared" si="436"/>
        <v/>
      </c>
      <c r="X748" s="561" t="str">
        <f t="shared" si="436"/>
        <v/>
      </c>
      <c r="Y748" s="561" t="str">
        <f t="shared" si="436"/>
        <v/>
      </c>
      <c r="Z748" s="561" t="str">
        <f t="shared" si="436"/>
        <v/>
      </c>
      <c r="AA748" s="561" t="str">
        <f t="shared" si="436"/>
        <v/>
      </c>
      <c r="AB748" s="561" t="str">
        <f>IF(E748="","",OR(W748&lt;&gt;W743,X748&lt;&gt;X743,Z748&lt;&gt;Z743))</f>
        <v/>
      </c>
      <c r="AC748" s="567"/>
      <c r="AD748" s="561" t="str">
        <f>AD747</f>
        <v/>
      </c>
      <c r="AE748" s="561" t="str">
        <f t="shared" ref="AE748:AI748" si="442">AE747</f>
        <v>n.a.</v>
      </c>
      <c r="AF748" s="561" t="str">
        <f t="shared" si="442"/>
        <v>n.a.</v>
      </c>
      <c r="AG748" s="561" t="str">
        <f t="shared" si="442"/>
        <v>n.a.</v>
      </c>
      <c r="AH748" s="561" t="b">
        <f t="shared" si="442"/>
        <v>0</v>
      </c>
      <c r="AI748" s="561" t="b">
        <f t="shared" si="442"/>
        <v>0</v>
      </c>
      <c r="AJ748" s="582" t="str">
        <f t="shared" ref="AJ748:AJ761" si="443">IF(OR(E748="",COUNTIF(AH748:AI748,TRUE)=0),"",F748*IF(AH748,1,G748*AG748)*H748*(1-I748))</f>
        <v/>
      </c>
      <c r="AK748" s="582" t="str">
        <f t="shared" ref="AK748:AK761" si="444">IF(OR(E748="",COUNTIF(AH748:AI748,TRUE)=0),"",F748*IF(AH748,1,G748*AG748)*H748*I748)</f>
        <v/>
      </c>
      <c r="AL748" s="582" t="str">
        <f t="shared" si="439"/>
        <v/>
      </c>
    </row>
    <row r="749" spans="1:38" ht="12.75" customHeight="1" x14ac:dyDescent="0.25">
      <c r="B749" s="132"/>
      <c r="C749" s="132"/>
      <c r="D749" s="1388"/>
      <c r="E749" s="43"/>
      <c r="F749" s="47"/>
      <c r="G749" s="641" t="str">
        <f t="shared" si="440"/>
        <v/>
      </c>
      <c r="H749" s="641" t="str">
        <f t="shared" si="441"/>
        <v/>
      </c>
      <c r="I749" s="48"/>
      <c r="J749" s="642" t="str">
        <f t="shared" si="433"/>
        <v/>
      </c>
      <c r="K749" s="642" t="str">
        <f t="shared" si="434"/>
        <v/>
      </c>
      <c r="L749" s="642" t="str">
        <f t="shared" si="435"/>
        <v/>
      </c>
      <c r="M749" s="1389"/>
      <c r="N749" s="116"/>
      <c r="O749" s="116"/>
      <c r="P749" s="116"/>
      <c r="Q749" s="116"/>
      <c r="R749" s="116"/>
      <c r="S749" s="132"/>
      <c r="T749" s="142"/>
      <c r="U749" s="115"/>
      <c r="W749" s="561" t="str">
        <f t="shared" si="436"/>
        <v/>
      </c>
      <c r="X749" s="561" t="str">
        <f t="shared" si="436"/>
        <v/>
      </c>
      <c r="Y749" s="561" t="str">
        <f t="shared" si="436"/>
        <v/>
      </c>
      <c r="Z749" s="561" t="str">
        <f t="shared" si="436"/>
        <v/>
      </c>
      <c r="AA749" s="561" t="str">
        <f t="shared" si="436"/>
        <v/>
      </c>
      <c r="AB749" s="561" t="str">
        <f>IF(E749="","",OR(W749&lt;&gt;W743,X749&lt;&gt;X743,Z749&lt;&gt;Z743))</f>
        <v/>
      </c>
      <c r="AC749" s="567"/>
      <c r="AD749" s="561" t="str">
        <f t="shared" ref="AD749:AI749" si="445">AD748</f>
        <v/>
      </c>
      <c r="AE749" s="561" t="str">
        <f t="shared" si="445"/>
        <v>n.a.</v>
      </c>
      <c r="AF749" s="561" t="str">
        <f t="shared" si="445"/>
        <v>n.a.</v>
      </c>
      <c r="AG749" s="561" t="str">
        <f t="shared" si="445"/>
        <v>n.a.</v>
      </c>
      <c r="AH749" s="561" t="b">
        <f t="shared" si="445"/>
        <v>0</v>
      </c>
      <c r="AI749" s="561" t="b">
        <f t="shared" si="445"/>
        <v>0</v>
      </c>
      <c r="AJ749" s="582" t="str">
        <f t="shared" si="443"/>
        <v/>
      </c>
      <c r="AK749" s="582" t="str">
        <f t="shared" si="444"/>
        <v/>
      </c>
      <c r="AL749" s="582" t="str">
        <f t="shared" si="439"/>
        <v/>
      </c>
    </row>
    <row r="750" spans="1:38" ht="12.75" customHeight="1" thickBot="1" x14ac:dyDescent="0.35">
      <c r="B750" s="132"/>
      <c r="C750" s="132"/>
      <c r="D750" s="1388"/>
      <c r="E750" s="43"/>
      <c r="F750" s="47"/>
      <c r="G750" s="641" t="str">
        <f t="shared" si="440"/>
        <v/>
      </c>
      <c r="H750" s="641" t="str">
        <f t="shared" si="441"/>
        <v/>
      </c>
      <c r="I750" s="48"/>
      <c r="J750" s="642" t="str">
        <f t="shared" si="433"/>
        <v/>
      </c>
      <c r="K750" s="642" t="str">
        <f t="shared" si="434"/>
        <v/>
      </c>
      <c r="L750" s="642" t="str">
        <f t="shared" si="435"/>
        <v/>
      </c>
      <c r="M750" s="1389"/>
      <c r="N750" s="1255" t="str">
        <f>Translations!$B$394</f>
        <v>Unit</v>
      </c>
      <c r="O750" s="1255"/>
      <c r="P750" s="1255" t="str">
        <f>Translations!$B$395</f>
        <v>Value</v>
      </c>
      <c r="Q750" s="1255"/>
      <c r="R750" s="116"/>
      <c r="S750" s="644" t="str">
        <f>Translations!$B$642</f>
        <v>Sheet C values</v>
      </c>
      <c r="T750" s="142"/>
      <c r="U750" s="115"/>
      <c r="W750" s="561" t="str">
        <f t="shared" si="436"/>
        <v/>
      </c>
      <c r="X750" s="561" t="str">
        <f t="shared" si="436"/>
        <v/>
      </c>
      <c r="Y750" s="561" t="str">
        <f t="shared" si="436"/>
        <v/>
      </c>
      <c r="Z750" s="561" t="str">
        <f t="shared" si="436"/>
        <v/>
      </c>
      <c r="AA750" s="561" t="str">
        <f t="shared" si="436"/>
        <v/>
      </c>
      <c r="AB750" s="561" t="str">
        <f>IF(E750="","",OR(W750&lt;&gt;W743,X750&lt;&gt;X743,Z750&lt;&gt;Z743))</f>
        <v/>
      </c>
      <c r="AC750" s="567"/>
      <c r="AD750" s="561" t="str">
        <f t="shared" ref="AD750:AI750" si="446">AD749</f>
        <v/>
      </c>
      <c r="AE750" s="561" t="str">
        <f t="shared" si="446"/>
        <v>n.a.</v>
      </c>
      <c r="AF750" s="561" t="str">
        <f t="shared" si="446"/>
        <v>n.a.</v>
      </c>
      <c r="AG750" s="561" t="str">
        <f t="shared" si="446"/>
        <v>n.a.</v>
      </c>
      <c r="AH750" s="561" t="b">
        <f t="shared" si="446"/>
        <v>0</v>
      </c>
      <c r="AI750" s="561" t="b">
        <f t="shared" si="446"/>
        <v>0</v>
      </c>
      <c r="AJ750" s="582" t="str">
        <f t="shared" si="443"/>
        <v/>
      </c>
      <c r="AK750" s="582" t="str">
        <f t="shared" si="444"/>
        <v/>
      </c>
      <c r="AL750" s="582" t="str">
        <f t="shared" si="439"/>
        <v/>
      </c>
    </row>
    <row r="751" spans="1:38" ht="12.75" customHeight="1" thickBot="1" x14ac:dyDescent="0.3">
      <c r="B751" s="132"/>
      <c r="C751" s="132"/>
      <c r="D751" s="1388"/>
      <c r="E751" s="43"/>
      <c r="F751" s="47"/>
      <c r="G751" s="641" t="str">
        <f t="shared" si="440"/>
        <v/>
      </c>
      <c r="H751" s="641" t="str">
        <f t="shared" si="441"/>
        <v/>
      </c>
      <c r="I751" s="48"/>
      <c r="J751" s="642" t="str">
        <f t="shared" si="433"/>
        <v/>
      </c>
      <c r="K751" s="642" t="str">
        <f t="shared" si="434"/>
        <v/>
      </c>
      <c r="L751" s="642" t="str">
        <f t="shared" si="435"/>
        <v/>
      </c>
      <c r="M751" s="116"/>
      <c r="N751" s="346" t="str">
        <f>F746</f>
        <v/>
      </c>
      <c r="O751" s="7"/>
      <c r="P751" s="1393" t="str">
        <f>IF(F762="","",F762)</f>
        <v/>
      </c>
      <c r="Q751" s="1394"/>
      <c r="R751" s="116"/>
      <c r="S751" s="645" t="str">
        <f>IF(P748="","",SUMIFS(C_FuelStreams!BK:BK,C_FuelStreams!BI:BI,P748))</f>
        <v/>
      </c>
      <c r="T751" s="142"/>
      <c r="U751" s="115"/>
      <c r="W751" s="561" t="str">
        <f t="shared" si="436"/>
        <v/>
      </c>
      <c r="X751" s="561" t="str">
        <f t="shared" si="436"/>
        <v/>
      </c>
      <c r="Y751" s="561" t="str">
        <f t="shared" si="436"/>
        <v/>
      </c>
      <c r="Z751" s="561" t="str">
        <f t="shared" si="436"/>
        <v/>
      </c>
      <c r="AA751" s="561" t="str">
        <f t="shared" si="436"/>
        <v/>
      </c>
      <c r="AB751" s="561" t="str">
        <f>IF(E751="","",OR(W751&lt;&gt;W743,X751&lt;&gt;X743,Z751&lt;&gt;Z743))</f>
        <v/>
      </c>
      <c r="AC751" s="567"/>
      <c r="AD751" s="561" t="str">
        <f t="shared" ref="AD751:AI751" si="447">AD750</f>
        <v/>
      </c>
      <c r="AE751" s="561" t="str">
        <f t="shared" si="447"/>
        <v>n.a.</v>
      </c>
      <c r="AF751" s="561" t="str">
        <f t="shared" si="447"/>
        <v>n.a.</v>
      </c>
      <c r="AG751" s="561" t="str">
        <f t="shared" si="447"/>
        <v>n.a.</v>
      </c>
      <c r="AH751" s="561" t="b">
        <f t="shared" si="447"/>
        <v>0</v>
      </c>
      <c r="AI751" s="561" t="b">
        <f t="shared" si="447"/>
        <v>0</v>
      </c>
      <c r="AJ751" s="582" t="str">
        <f t="shared" si="443"/>
        <v/>
      </c>
      <c r="AK751" s="582" t="str">
        <f t="shared" si="444"/>
        <v/>
      </c>
      <c r="AL751" s="582" t="str">
        <f t="shared" si="439"/>
        <v/>
      </c>
    </row>
    <row r="752" spans="1:38" ht="12.75" customHeight="1" thickBot="1" x14ac:dyDescent="0.3">
      <c r="B752" s="132"/>
      <c r="C752" s="132"/>
      <c r="D752" s="1388"/>
      <c r="E752" s="43"/>
      <c r="F752" s="47"/>
      <c r="G752" s="641" t="str">
        <f t="shared" si="440"/>
        <v/>
      </c>
      <c r="H752" s="641" t="str">
        <f t="shared" si="441"/>
        <v/>
      </c>
      <c r="I752" s="48"/>
      <c r="J752" s="642" t="str">
        <f t="shared" si="433"/>
        <v/>
      </c>
      <c r="K752" s="642" t="str">
        <f t="shared" si="434"/>
        <v/>
      </c>
      <c r="L752" s="642" t="str">
        <f t="shared" si="435"/>
        <v/>
      </c>
      <c r="M752" s="116"/>
      <c r="N752" s="162"/>
      <c r="O752" s="162"/>
      <c r="P752" s="76"/>
      <c r="Q752" s="76"/>
      <c r="R752" s="116"/>
      <c r="S752" s="996"/>
      <c r="T752" s="142"/>
      <c r="U752" s="115"/>
      <c r="W752" s="561" t="str">
        <f t="shared" si="436"/>
        <v/>
      </c>
      <c r="X752" s="561" t="str">
        <f t="shared" si="436"/>
        <v/>
      </c>
      <c r="Y752" s="561" t="str">
        <f t="shared" si="436"/>
        <v/>
      </c>
      <c r="Z752" s="561" t="str">
        <f t="shared" si="436"/>
        <v/>
      </c>
      <c r="AA752" s="561" t="str">
        <f t="shared" si="436"/>
        <v/>
      </c>
      <c r="AB752" s="561" t="str">
        <f>IF(E752="","",OR(W752&lt;&gt;W743,X752&lt;&gt;X743,Z752&lt;&gt;Z743))</f>
        <v/>
      </c>
      <c r="AC752" s="567"/>
      <c r="AD752" s="561" t="str">
        <f t="shared" ref="AD752:AI752" si="448">AD751</f>
        <v/>
      </c>
      <c r="AE752" s="561" t="str">
        <f t="shared" si="448"/>
        <v>n.a.</v>
      </c>
      <c r="AF752" s="561" t="str">
        <f t="shared" si="448"/>
        <v>n.a.</v>
      </c>
      <c r="AG752" s="561" t="str">
        <f t="shared" si="448"/>
        <v>n.a.</v>
      </c>
      <c r="AH752" s="561" t="b">
        <f t="shared" si="448"/>
        <v>0</v>
      </c>
      <c r="AI752" s="561" t="b">
        <f t="shared" si="448"/>
        <v>0</v>
      </c>
      <c r="AJ752" s="582" t="str">
        <f t="shared" si="443"/>
        <v/>
      </c>
      <c r="AK752" s="582" t="str">
        <f t="shared" si="444"/>
        <v/>
      </c>
      <c r="AL752" s="582" t="str">
        <f t="shared" si="439"/>
        <v/>
      </c>
    </row>
    <row r="753" spans="1:38" ht="12.75" customHeight="1" x14ac:dyDescent="0.25">
      <c r="B753" s="132"/>
      <c r="C753" s="132"/>
      <c r="D753" s="1388"/>
      <c r="E753" s="43"/>
      <c r="F753" s="47"/>
      <c r="G753" s="641" t="str">
        <f t="shared" si="440"/>
        <v/>
      </c>
      <c r="H753" s="641" t="str">
        <f t="shared" si="441"/>
        <v/>
      </c>
      <c r="I753" s="48"/>
      <c r="J753" s="642" t="str">
        <f t="shared" si="433"/>
        <v/>
      </c>
      <c r="K753" s="642" t="str">
        <f t="shared" si="434"/>
        <v/>
      </c>
      <c r="L753" s="642" t="str">
        <f t="shared" si="435"/>
        <v/>
      </c>
      <c r="M753" s="116"/>
      <c r="N753" s="365" t="str">
        <f>G746</f>
        <v/>
      </c>
      <c r="O753" s="11"/>
      <c r="P753" s="366"/>
      <c r="Q753" s="646" t="str">
        <f>IF(G762="","",G762)</f>
        <v/>
      </c>
      <c r="R753" s="116"/>
      <c r="S753" s="647" t="str">
        <f>IF(P748="","",SUMIFS(C_FuelStreams!BU:BU,C_FuelStreams!BI:BI,P748))</f>
        <v/>
      </c>
      <c r="T753" s="142"/>
      <c r="U753" s="115"/>
      <c r="W753" s="561" t="str">
        <f t="shared" si="436"/>
        <v/>
      </c>
      <c r="X753" s="561" t="str">
        <f t="shared" si="436"/>
        <v/>
      </c>
      <c r="Y753" s="561" t="str">
        <f t="shared" si="436"/>
        <v/>
      </c>
      <c r="Z753" s="561" t="str">
        <f t="shared" si="436"/>
        <v/>
      </c>
      <c r="AA753" s="561" t="str">
        <f t="shared" si="436"/>
        <v/>
      </c>
      <c r="AB753" s="561" t="str">
        <f>IF(E753="","",OR(W753&lt;&gt;W743,X753&lt;&gt;X743,Z753&lt;&gt;Z743))</f>
        <v/>
      </c>
      <c r="AC753" s="567"/>
      <c r="AD753" s="561" t="str">
        <f t="shared" ref="AD753:AI753" si="449">AD752</f>
        <v/>
      </c>
      <c r="AE753" s="561" t="str">
        <f t="shared" si="449"/>
        <v>n.a.</v>
      </c>
      <c r="AF753" s="561" t="str">
        <f t="shared" si="449"/>
        <v>n.a.</v>
      </c>
      <c r="AG753" s="561" t="str">
        <f t="shared" si="449"/>
        <v>n.a.</v>
      </c>
      <c r="AH753" s="561" t="b">
        <f t="shared" si="449"/>
        <v>0</v>
      </c>
      <c r="AI753" s="561" t="b">
        <f t="shared" si="449"/>
        <v>0</v>
      </c>
      <c r="AJ753" s="582" t="str">
        <f t="shared" si="443"/>
        <v/>
      </c>
      <c r="AK753" s="582" t="str">
        <f t="shared" si="444"/>
        <v/>
      </c>
      <c r="AL753" s="582" t="str">
        <f t="shared" si="439"/>
        <v/>
      </c>
    </row>
    <row r="754" spans="1:38" ht="12.75" customHeight="1" thickBot="1" x14ac:dyDescent="0.3">
      <c r="B754" s="132"/>
      <c r="C754" s="132"/>
      <c r="D754" s="1388"/>
      <c r="E754" s="43"/>
      <c r="F754" s="47"/>
      <c r="G754" s="641" t="str">
        <f t="shared" si="440"/>
        <v/>
      </c>
      <c r="H754" s="641" t="str">
        <f t="shared" si="441"/>
        <v/>
      </c>
      <c r="I754" s="48"/>
      <c r="J754" s="642" t="str">
        <f t="shared" si="433"/>
        <v/>
      </c>
      <c r="K754" s="642" t="str">
        <f t="shared" si="434"/>
        <v/>
      </c>
      <c r="L754" s="642" t="str">
        <f t="shared" si="435"/>
        <v/>
      </c>
      <c r="M754" s="116"/>
      <c r="N754" s="648" t="str">
        <f>H746</f>
        <v/>
      </c>
      <c r="O754" s="22"/>
      <c r="P754" s="649"/>
      <c r="Q754" s="650" t="str">
        <f>IF(H762="","",H762)</f>
        <v/>
      </c>
      <c r="R754" s="116"/>
      <c r="S754" s="651" t="str">
        <f>IF(P748="","",SUMIFS(C_FuelStreams!BR:BR,C_FuelStreams!BI:BI,P748))</f>
        <v/>
      </c>
      <c r="T754" s="142"/>
      <c r="U754" s="115"/>
      <c r="W754" s="561" t="str">
        <f t="shared" si="436"/>
        <v/>
      </c>
      <c r="X754" s="561" t="str">
        <f t="shared" si="436"/>
        <v/>
      </c>
      <c r="Y754" s="561" t="str">
        <f t="shared" si="436"/>
        <v/>
      </c>
      <c r="Z754" s="561" t="str">
        <f t="shared" si="436"/>
        <v/>
      </c>
      <c r="AA754" s="561" t="str">
        <f t="shared" si="436"/>
        <v/>
      </c>
      <c r="AB754" s="561" t="str">
        <f>IF(E754="","",OR(W754&lt;&gt;W743,X754&lt;&gt;X743,Z754&lt;&gt;Z743))</f>
        <v/>
      </c>
      <c r="AC754" s="567"/>
      <c r="AD754" s="561" t="str">
        <f t="shared" ref="AD754:AI754" si="450">AD753</f>
        <v/>
      </c>
      <c r="AE754" s="561" t="str">
        <f t="shared" si="450"/>
        <v>n.a.</v>
      </c>
      <c r="AF754" s="561" t="str">
        <f t="shared" si="450"/>
        <v>n.a.</v>
      </c>
      <c r="AG754" s="561" t="str">
        <f t="shared" si="450"/>
        <v>n.a.</v>
      </c>
      <c r="AH754" s="561" t="b">
        <f t="shared" si="450"/>
        <v>0</v>
      </c>
      <c r="AI754" s="561" t="b">
        <f t="shared" si="450"/>
        <v>0</v>
      </c>
      <c r="AJ754" s="582" t="str">
        <f t="shared" si="443"/>
        <v/>
      </c>
      <c r="AK754" s="582" t="str">
        <f t="shared" si="444"/>
        <v/>
      </c>
      <c r="AL754" s="582" t="str">
        <f t="shared" si="439"/>
        <v/>
      </c>
    </row>
    <row r="755" spans="1:38" ht="12.75" customHeight="1" x14ac:dyDescent="0.25">
      <c r="B755" s="132"/>
      <c r="C755" s="132"/>
      <c r="D755" s="1388"/>
      <c r="E755" s="43"/>
      <c r="F755" s="47"/>
      <c r="G755" s="641" t="str">
        <f t="shared" si="440"/>
        <v/>
      </c>
      <c r="H755" s="641" t="str">
        <f t="shared" si="441"/>
        <v/>
      </c>
      <c r="I755" s="48"/>
      <c r="J755" s="642" t="str">
        <f t="shared" si="433"/>
        <v/>
      </c>
      <c r="K755" s="642" t="str">
        <f t="shared" si="434"/>
        <v/>
      </c>
      <c r="L755" s="642" t="str">
        <f t="shared" si="435"/>
        <v/>
      </c>
      <c r="M755" s="116"/>
      <c r="N755" s="652" t="s">
        <v>46</v>
      </c>
      <c r="O755" s="411"/>
      <c r="P755" s="653"/>
      <c r="Q755" s="654" t="str">
        <f>IF(I762="","",I762)</f>
        <v/>
      </c>
      <c r="R755" s="116"/>
      <c r="S755" s="655" t="str">
        <f>IF(P748="","",SUMIFS(C_FuelStreams!BX:BX,C_FuelStreams!BI:BI,P748))</f>
        <v/>
      </c>
      <c r="T755" s="142"/>
      <c r="U755" s="115"/>
      <c r="W755" s="561" t="str">
        <f t="shared" si="436"/>
        <v/>
      </c>
      <c r="X755" s="561" t="str">
        <f t="shared" si="436"/>
        <v/>
      </c>
      <c r="Y755" s="561" t="str">
        <f t="shared" si="436"/>
        <v/>
      </c>
      <c r="Z755" s="561" t="str">
        <f t="shared" si="436"/>
        <v/>
      </c>
      <c r="AA755" s="561" t="str">
        <f t="shared" si="436"/>
        <v/>
      </c>
      <c r="AB755" s="561" t="str">
        <f>IF(E755="","",OR(W755&lt;&gt;W743,X755&lt;&gt;X743,Z755&lt;&gt;Z743))</f>
        <v/>
      </c>
      <c r="AC755" s="567"/>
      <c r="AD755" s="561" t="str">
        <f t="shared" ref="AD755:AI755" si="451">AD754</f>
        <v/>
      </c>
      <c r="AE755" s="561" t="str">
        <f t="shared" si="451"/>
        <v>n.a.</v>
      </c>
      <c r="AF755" s="561" t="str">
        <f t="shared" si="451"/>
        <v>n.a.</v>
      </c>
      <c r="AG755" s="561" t="str">
        <f t="shared" si="451"/>
        <v>n.a.</v>
      </c>
      <c r="AH755" s="561" t="b">
        <f t="shared" si="451"/>
        <v>0</v>
      </c>
      <c r="AI755" s="561" t="b">
        <f t="shared" si="451"/>
        <v>0</v>
      </c>
      <c r="AJ755" s="582" t="str">
        <f t="shared" si="443"/>
        <v/>
      </c>
      <c r="AK755" s="582" t="str">
        <f t="shared" si="444"/>
        <v/>
      </c>
      <c r="AL755" s="582" t="str">
        <f t="shared" si="439"/>
        <v/>
      </c>
    </row>
    <row r="756" spans="1:38" ht="12.75" customHeight="1" x14ac:dyDescent="0.25">
      <c r="B756" s="132"/>
      <c r="C756" s="132"/>
      <c r="D756" s="1388"/>
      <c r="E756" s="43"/>
      <c r="F756" s="47"/>
      <c r="G756" s="641" t="str">
        <f t="shared" si="440"/>
        <v/>
      </c>
      <c r="H756" s="641" t="str">
        <f t="shared" si="441"/>
        <v/>
      </c>
      <c r="I756" s="48"/>
      <c r="J756" s="642" t="str">
        <f t="shared" si="433"/>
        <v/>
      </c>
      <c r="K756" s="642" t="str">
        <f t="shared" si="434"/>
        <v/>
      </c>
      <c r="L756" s="642" t="str">
        <f t="shared" si="435"/>
        <v/>
      </c>
      <c r="M756" s="1395"/>
      <c r="N756" s="116"/>
      <c r="O756" s="116"/>
      <c r="P756" s="116"/>
      <c r="Q756" s="116"/>
      <c r="R756" s="116"/>
      <c r="S756" s="132"/>
      <c r="T756" s="142"/>
      <c r="U756" s="115"/>
      <c r="W756" s="561" t="str">
        <f t="shared" si="436"/>
        <v/>
      </c>
      <c r="X756" s="561" t="str">
        <f t="shared" si="436"/>
        <v/>
      </c>
      <c r="Y756" s="561" t="str">
        <f t="shared" si="436"/>
        <v/>
      </c>
      <c r="Z756" s="561" t="str">
        <f t="shared" si="436"/>
        <v/>
      </c>
      <c r="AA756" s="561" t="str">
        <f t="shared" si="436"/>
        <v/>
      </c>
      <c r="AB756" s="561" t="str">
        <f>IF(E756="","",OR(W756&lt;&gt;W743,X756&lt;&gt;X743,Z756&lt;&gt;Z743))</f>
        <v/>
      </c>
      <c r="AC756" s="567"/>
      <c r="AD756" s="561" t="str">
        <f t="shared" ref="AD756:AI756" si="452">AD755</f>
        <v/>
      </c>
      <c r="AE756" s="561" t="str">
        <f t="shared" si="452"/>
        <v>n.a.</v>
      </c>
      <c r="AF756" s="561" t="str">
        <f t="shared" si="452"/>
        <v>n.a.</v>
      </c>
      <c r="AG756" s="561" t="str">
        <f t="shared" si="452"/>
        <v>n.a.</v>
      </c>
      <c r="AH756" s="561" t="b">
        <f t="shared" si="452"/>
        <v>0</v>
      </c>
      <c r="AI756" s="561" t="b">
        <f t="shared" si="452"/>
        <v>0</v>
      </c>
      <c r="AJ756" s="582" t="str">
        <f t="shared" si="443"/>
        <v/>
      </c>
      <c r="AK756" s="582" t="str">
        <f t="shared" si="444"/>
        <v/>
      </c>
      <c r="AL756" s="582" t="str">
        <f t="shared" si="439"/>
        <v/>
      </c>
    </row>
    <row r="757" spans="1:38" ht="12.75" customHeight="1" x14ac:dyDescent="0.25">
      <c r="B757" s="132"/>
      <c r="C757" s="132"/>
      <c r="D757" s="1388" t="str">
        <f>Translations!$B$643</f>
        <v>Customised components</v>
      </c>
      <c r="E757" s="42"/>
      <c r="F757" s="45"/>
      <c r="G757" s="49"/>
      <c r="H757" s="49"/>
      <c r="I757" s="46"/>
      <c r="J757" s="640" t="str">
        <f t="shared" si="433"/>
        <v/>
      </c>
      <c r="K757" s="640" t="str">
        <f t="shared" si="434"/>
        <v/>
      </c>
      <c r="L757" s="640" t="str">
        <f t="shared" si="435"/>
        <v/>
      </c>
      <c r="M757" s="1395"/>
      <c r="N757" s="116"/>
      <c r="O757" s="116"/>
      <c r="P757" s="656" t="str">
        <f>Translations!$B$644</f>
        <v>CO2 fossil (before scope factor):</v>
      </c>
      <c r="Q757" s="997" t="str">
        <f>IF(K762="","",K762)</f>
        <v/>
      </c>
      <c r="R757" s="656"/>
      <c r="S757" s="997" t="str">
        <f>IF(P748="","",IF(W757=0,0,SUMIFS(C_FuelStreams!CE:CE,C_FuelStreams!BI:BI,P748)/W757))</f>
        <v/>
      </c>
      <c r="T757" s="142"/>
      <c r="U757" s="115"/>
      <c r="V757" s="110" t="str">
        <f>Translations!$B$398</f>
        <v>Scope factor:</v>
      </c>
      <c r="W757" s="617" t="str">
        <f>IF(P748="","",SUMIFS(C_FuelStreams!BP:BP,C_FuelStreams!BI:BI,P748))</f>
        <v/>
      </c>
      <c r="AD757" s="561" t="str">
        <f t="shared" ref="AD757:AI757" si="453">AD756</f>
        <v/>
      </c>
      <c r="AE757" s="561" t="str">
        <f t="shared" si="453"/>
        <v>n.a.</v>
      </c>
      <c r="AF757" s="561" t="str">
        <f t="shared" si="453"/>
        <v>n.a.</v>
      </c>
      <c r="AG757" s="561" t="str">
        <f t="shared" si="453"/>
        <v>n.a.</v>
      </c>
      <c r="AH757" s="561" t="b">
        <f t="shared" si="453"/>
        <v>0</v>
      </c>
      <c r="AI757" s="561" t="b">
        <f t="shared" si="453"/>
        <v>0</v>
      </c>
      <c r="AJ757" s="582" t="str">
        <f t="shared" si="443"/>
        <v/>
      </c>
      <c r="AK757" s="582" t="str">
        <f t="shared" si="444"/>
        <v/>
      </c>
      <c r="AL757" s="582" t="str">
        <f t="shared" si="439"/>
        <v/>
      </c>
    </row>
    <row r="758" spans="1:38" ht="12.75" customHeight="1" x14ac:dyDescent="0.25">
      <c r="B758" s="132"/>
      <c r="C758" s="132"/>
      <c r="D758" s="1388"/>
      <c r="E758" s="43"/>
      <c r="F758" s="47"/>
      <c r="G758" s="50"/>
      <c r="H758" s="50"/>
      <c r="I758" s="48"/>
      <c r="J758" s="642" t="str">
        <f t="shared" si="433"/>
        <v/>
      </c>
      <c r="K758" s="642" t="str">
        <f t="shared" si="434"/>
        <v/>
      </c>
      <c r="L758" s="642" t="str">
        <f t="shared" si="435"/>
        <v/>
      </c>
      <c r="M758" s="1395"/>
      <c r="N758" s="116"/>
      <c r="O758" s="116"/>
      <c r="P758" s="116"/>
      <c r="Q758" s="116"/>
      <c r="R758" s="116"/>
      <c r="S758" s="132"/>
      <c r="T758" s="142"/>
      <c r="U758" s="115"/>
      <c r="AD758" s="561" t="str">
        <f t="shared" ref="AD758:AI758" si="454">AD757</f>
        <v/>
      </c>
      <c r="AE758" s="561" t="str">
        <f t="shared" si="454"/>
        <v>n.a.</v>
      </c>
      <c r="AF758" s="561" t="str">
        <f t="shared" si="454"/>
        <v>n.a.</v>
      </c>
      <c r="AG758" s="561" t="str">
        <f t="shared" si="454"/>
        <v>n.a.</v>
      </c>
      <c r="AH758" s="561" t="b">
        <f t="shared" si="454"/>
        <v>0</v>
      </c>
      <c r="AI758" s="561" t="b">
        <f t="shared" si="454"/>
        <v>0</v>
      </c>
      <c r="AJ758" s="582" t="str">
        <f t="shared" si="443"/>
        <v/>
      </c>
      <c r="AK758" s="582" t="str">
        <f t="shared" si="444"/>
        <v/>
      </c>
      <c r="AL758" s="582" t="str">
        <f t="shared" si="439"/>
        <v/>
      </c>
    </row>
    <row r="759" spans="1:38" ht="12.75" customHeight="1" x14ac:dyDescent="0.25">
      <c r="B759" s="132"/>
      <c r="C759" s="132"/>
      <c r="D759" s="1388"/>
      <c r="E759" s="43"/>
      <c r="F759" s="47"/>
      <c r="G759" s="50"/>
      <c r="H759" s="50"/>
      <c r="I759" s="48"/>
      <c r="J759" s="642" t="str">
        <f t="shared" si="433"/>
        <v/>
      </c>
      <c r="K759" s="642" t="str">
        <f t="shared" si="434"/>
        <v/>
      </c>
      <c r="L759" s="642" t="str">
        <f t="shared" si="435"/>
        <v/>
      </c>
      <c r="M759" s="1395"/>
      <c r="N759" s="116"/>
      <c r="O759" s="116"/>
      <c r="P759" s="116"/>
      <c r="Q759" s="116"/>
      <c r="R759" s="116"/>
      <c r="S759" s="132"/>
      <c r="T759" s="142"/>
      <c r="U759" s="115"/>
      <c r="AD759" s="561" t="str">
        <f t="shared" ref="AD759:AI759" si="455">AD758</f>
        <v/>
      </c>
      <c r="AE759" s="561" t="str">
        <f t="shared" si="455"/>
        <v>n.a.</v>
      </c>
      <c r="AF759" s="561" t="str">
        <f t="shared" si="455"/>
        <v>n.a.</v>
      </c>
      <c r="AG759" s="561" t="str">
        <f t="shared" si="455"/>
        <v>n.a.</v>
      </c>
      <c r="AH759" s="561" t="b">
        <f t="shared" si="455"/>
        <v>0</v>
      </c>
      <c r="AI759" s="561" t="b">
        <f t="shared" si="455"/>
        <v>0</v>
      </c>
      <c r="AJ759" s="582" t="str">
        <f t="shared" si="443"/>
        <v/>
      </c>
      <c r="AK759" s="582" t="str">
        <f t="shared" si="444"/>
        <v/>
      </c>
      <c r="AL759" s="582" t="str">
        <f t="shared" si="439"/>
        <v/>
      </c>
    </row>
    <row r="760" spans="1:38" ht="12.75" customHeight="1" x14ac:dyDescent="0.25">
      <c r="B760" s="132"/>
      <c r="C760" s="132"/>
      <c r="D760" s="1388"/>
      <c r="E760" s="43"/>
      <c r="F760" s="47"/>
      <c r="G760" s="50"/>
      <c r="H760" s="50"/>
      <c r="I760" s="48"/>
      <c r="J760" s="642" t="str">
        <f t="shared" si="433"/>
        <v/>
      </c>
      <c r="K760" s="642" t="str">
        <f t="shared" si="434"/>
        <v/>
      </c>
      <c r="L760" s="642" t="str">
        <f t="shared" si="435"/>
        <v/>
      </c>
      <c r="M760" s="1395"/>
      <c r="N760" s="116"/>
      <c r="O760" s="116"/>
      <c r="P760" s="116"/>
      <c r="Q760" s="116"/>
      <c r="R760" s="116"/>
      <c r="S760" s="132"/>
      <c r="T760" s="142"/>
      <c r="U760" s="115"/>
      <c r="AD760" s="561" t="str">
        <f t="shared" ref="AD760:AI760" si="456">AD759</f>
        <v/>
      </c>
      <c r="AE760" s="561" t="str">
        <f t="shared" si="456"/>
        <v>n.a.</v>
      </c>
      <c r="AF760" s="561" t="str">
        <f t="shared" si="456"/>
        <v>n.a.</v>
      </c>
      <c r="AG760" s="561" t="str">
        <f t="shared" si="456"/>
        <v>n.a.</v>
      </c>
      <c r="AH760" s="561" t="b">
        <f t="shared" si="456"/>
        <v>0</v>
      </c>
      <c r="AI760" s="561" t="b">
        <f t="shared" si="456"/>
        <v>0</v>
      </c>
      <c r="AJ760" s="582" t="str">
        <f t="shared" si="443"/>
        <v/>
      </c>
      <c r="AK760" s="582" t="str">
        <f t="shared" si="444"/>
        <v/>
      </c>
      <c r="AL760" s="582" t="str">
        <f t="shared" si="439"/>
        <v/>
      </c>
    </row>
    <row r="761" spans="1:38" ht="12.75" customHeight="1" x14ac:dyDescent="0.25">
      <c r="B761" s="132"/>
      <c r="C761" s="132"/>
      <c r="D761" s="1388"/>
      <c r="E761" s="44"/>
      <c r="F761" s="51"/>
      <c r="G761" s="52"/>
      <c r="H761" s="52"/>
      <c r="I761" s="53"/>
      <c r="J761" s="657" t="str">
        <f t="shared" si="433"/>
        <v/>
      </c>
      <c r="K761" s="657" t="str">
        <f t="shared" si="434"/>
        <v/>
      </c>
      <c r="L761" s="657" t="str">
        <f t="shared" si="435"/>
        <v/>
      </c>
      <c r="M761" s="1395"/>
      <c r="N761" s="116"/>
      <c r="O761" s="116"/>
      <c r="P761" s="116"/>
      <c r="Q761" s="116"/>
      <c r="R761" s="116"/>
      <c r="S761" s="132"/>
      <c r="T761" s="142"/>
      <c r="U761" s="115"/>
      <c r="AD761" s="561" t="str">
        <f t="shared" ref="AD761:AI761" si="457">AD760</f>
        <v/>
      </c>
      <c r="AE761" s="561" t="str">
        <f t="shared" si="457"/>
        <v>n.a.</v>
      </c>
      <c r="AF761" s="561" t="str">
        <f t="shared" si="457"/>
        <v>n.a.</v>
      </c>
      <c r="AG761" s="561" t="str">
        <f t="shared" si="457"/>
        <v>n.a.</v>
      </c>
      <c r="AH761" s="561" t="b">
        <f t="shared" si="457"/>
        <v>0</v>
      </c>
      <c r="AI761" s="561" t="b">
        <f t="shared" si="457"/>
        <v>0</v>
      </c>
      <c r="AJ761" s="582" t="str">
        <f t="shared" si="443"/>
        <v/>
      </c>
      <c r="AK761" s="582" t="str">
        <f t="shared" si="444"/>
        <v/>
      </c>
      <c r="AL761" s="582" t="str">
        <f t="shared" si="439"/>
        <v/>
      </c>
    </row>
    <row r="762" spans="1:38" ht="12.75" customHeight="1" x14ac:dyDescent="0.25">
      <c r="B762" s="132"/>
      <c r="C762" s="132"/>
      <c r="D762" s="132"/>
      <c r="E762" s="658" t="str">
        <f>Translations!$B$645</f>
        <v>TOTALS</v>
      </c>
      <c r="F762" s="659" t="str">
        <f>IF(SUM(F747:F761)=0,"",SUM(F747:F761))</f>
        <v/>
      </c>
      <c r="G762" s="660" t="str">
        <f>IF(SUM(F762)=0,"",J762/F762)</f>
        <v/>
      </c>
      <c r="H762" s="660" t="str">
        <f>IF(SUM(J762)=0,"",SUM(K762:L762)/IF(AF747&lt;&gt;EUconst_NA,F762,J762)/IF(AG747=EUconst_NA,1,AG747))</f>
        <v/>
      </c>
      <c r="I762" s="661" t="str">
        <f>IF(SUM(K762:L762)=0,"",L762/SUM(K762:L762))</f>
        <v/>
      </c>
      <c r="J762" s="659" t="str">
        <f>IF(COUNTA(E747:E761)=0,"",IFERROR(SUM(J747:J761),EUconst_ERR_Inconsistent))</f>
        <v/>
      </c>
      <c r="K762" s="659" t="str">
        <f>IF(COUNTA(E747:E761)=0,"",IFERROR(SUM(K747:K761),EUconst_ERR_Inconsistent))</f>
        <v/>
      </c>
      <c r="L762" s="659" t="str">
        <f>IF(COUNTA(E747:E761)=0,"",IFERROR(SUM(L747:L761),EUconst_ERR_Inconsistent))</f>
        <v/>
      </c>
      <c r="M762" s="1395"/>
      <c r="N762" s="116"/>
      <c r="O762" s="116"/>
      <c r="P762" s="116"/>
      <c r="Q762" s="116"/>
      <c r="R762" s="116"/>
      <c r="S762" s="132"/>
      <c r="T762" s="142"/>
      <c r="U762" s="115"/>
    </row>
    <row r="763" spans="1:38" ht="12.75" customHeight="1" x14ac:dyDescent="0.25">
      <c r="B763" s="132"/>
      <c r="C763" s="132"/>
      <c r="D763" s="132"/>
      <c r="E763" s="191"/>
      <c r="F763" s="116"/>
      <c r="G763" s="116"/>
      <c r="H763" s="116"/>
      <c r="I763" s="116"/>
      <c r="J763" s="116"/>
      <c r="K763" s="116"/>
      <c r="L763" s="116"/>
      <c r="M763" s="116"/>
      <c r="N763" s="116"/>
      <c r="O763" s="116"/>
      <c r="P763" s="116"/>
      <c r="Q763" s="116"/>
      <c r="R763" s="116"/>
      <c r="S763" s="132"/>
      <c r="T763" s="142"/>
      <c r="U763" s="115"/>
    </row>
    <row r="765" spans="1:38" hidden="1" x14ac:dyDescent="0.25">
      <c r="A765" s="110" t="s">
        <v>0</v>
      </c>
      <c r="B765" s="110" t="s">
        <v>183</v>
      </c>
      <c r="C765" s="110" t="s">
        <v>183</v>
      </c>
      <c r="D765" s="110" t="s">
        <v>183</v>
      </c>
      <c r="E765" s="110" t="s">
        <v>183</v>
      </c>
      <c r="F765" s="110" t="s">
        <v>183</v>
      </c>
      <c r="G765" s="110" t="s">
        <v>183</v>
      </c>
      <c r="H765" s="110" t="s">
        <v>183</v>
      </c>
      <c r="I765" s="110" t="s">
        <v>183</v>
      </c>
      <c r="J765" s="110" t="s">
        <v>183</v>
      </c>
      <c r="K765" s="110" t="s">
        <v>183</v>
      </c>
      <c r="L765" s="110" t="s">
        <v>183</v>
      </c>
      <c r="M765" s="110" t="s">
        <v>183</v>
      </c>
      <c r="N765" s="110" t="s">
        <v>183</v>
      </c>
      <c r="O765" s="110" t="s">
        <v>183</v>
      </c>
      <c r="P765" s="110" t="s">
        <v>183</v>
      </c>
      <c r="Q765" s="110" t="s">
        <v>183</v>
      </c>
      <c r="R765" s="110" t="s">
        <v>183</v>
      </c>
      <c r="S765" s="110" t="s">
        <v>183</v>
      </c>
      <c r="T765" s="472" t="s">
        <v>183</v>
      </c>
      <c r="U765" s="110" t="s">
        <v>183</v>
      </c>
      <c r="V765" s="110" t="s">
        <v>183</v>
      </c>
      <c r="W765" s="110" t="s">
        <v>183</v>
      </c>
      <c r="X765" s="110" t="s">
        <v>183</v>
      </c>
      <c r="Y765" s="110" t="s">
        <v>183</v>
      </c>
      <c r="Z765" s="110" t="s">
        <v>183</v>
      </c>
      <c r="AA765" s="110" t="s">
        <v>183</v>
      </c>
      <c r="AB765" s="110" t="s">
        <v>183</v>
      </c>
      <c r="AC765" s="110" t="s">
        <v>183</v>
      </c>
      <c r="AD765" s="110" t="s">
        <v>183</v>
      </c>
      <c r="AE765" s="110" t="s">
        <v>183</v>
      </c>
      <c r="AF765" s="110" t="s">
        <v>183</v>
      </c>
      <c r="AG765" s="110" t="s">
        <v>183</v>
      </c>
      <c r="AH765" s="110" t="s">
        <v>183</v>
      </c>
      <c r="AI765" s="110" t="s">
        <v>183</v>
      </c>
      <c r="AJ765" s="110" t="s">
        <v>183</v>
      </c>
      <c r="AK765" s="110" t="s">
        <v>183</v>
      </c>
    </row>
    <row r="766" spans="1:38" hidden="1" x14ac:dyDescent="0.25">
      <c r="A766" s="110" t="s">
        <v>0</v>
      </c>
      <c r="B766" s="113"/>
      <c r="C766" s="113"/>
      <c r="D766" s="113"/>
      <c r="E766" s="516"/>
      <c r="F766" s="113"/>
      <c r="G766" s="113"/>
      <c r="H766" s="113"/>
      <c r="I766" s="113"/>
      <c r="J766" s="113"/>
      <c r="K766" s="113"/>
      <c r="L766" s="113"/>
      <c r="M766" s="113"/>
      <c r="N766" s="113"/>
      <c r="O766" s="113"/>
      <c r="P766" s="113"/>
      <c r="Q766" s="113"/>
      <c r="R766" s="113"/>
      <c r="S766" s="113"/>
      <c r="T766" s="112"/>
      <c r="U766" s="111" t="s">
        <v>3</v>
      </c>
    </row>
    <row r="767" spans="1:38" ht="13" hidden="1" thickBot="1" x14ac:dyDescent="0.3">
      <c r="A767" s="110" t="s">
        <v>0</v>
      </c>
      <c r="T767" s="117"/>
      <c r="U767" s="116"/>
    </row>
    <row r="768" spans="1:38" ht="13.5" hidden="1" thickBot="1" x14ac:dyDescent="0.3">
      <c r="A768" s="110" t="s">
        <v>0</v>
      </c>
      <c r="F768" s="474"/>
      <c r="G768" s="475"/>
      <c r="H768" s="475"/>
      <c r="I768" s="475" t="str">
        <f>Translations!$B$235</f>
        <v>Fuel Stream</v>
      </c>
      <c r="J768" s="475"/>
      <c r="K768" s="475"/>
      <c r="L768" s="475"/>
      <c r="M768" s="476" t="str">
        <f>Translations!$B$402</f>
        <v>Range</v>
      </c>
      <c r="N768" s="295"/>
      <c r="O768" s="295"/>
      <c r="P768" s="295"/>
      <c r="Q768" s="295"/>
      <c r="R768" s="295"/>
      <c r="T768" s="117"/>
      <c r="U768" s="116"/>
    </row>
    <row r="769" spans="1:38" hidden="1" x14ac:dyDescent="0.25">
      <c r="A769" s="110" t="s">
        <v>0</v>
      </c>
      <c r="F769" s="477">
        <v>1</v>
      </c>
      <c r="G769" s="271"/>
      <c r="H769" s="271"/>
      <c r="I769" s="272" t="str">
        <f>IF(COUNTIF($H$769:$H$793,F769)=0,"",INDEX($G$769:$G$793,MATCH(F769,$H$769:$H$793,0)))</f>
        <v/>
      </c>
      <c r="J769" s="271"/>
      <c r="K769" s="271"/>
      <c r="L769" s="271"/>
      <c r="M769" s="478" t="str">
        <f ca="1">C_FuelStreams!M1465</f>
        <v>C_FuelStreams!$I$1465:$I$1464</v>
      </c>
      <c r="N769" s="662"/>
      <c r="O769" s="662"/>
      <c r="P769" s="662"/>
      <c r="Q769" s="662"/>
      <c r="R769" s="662"/>
      <c r="T769" s="117"/>
      <c r="U769" s="116"/>
    </row>
    <row r="770" spans="1:38" hidden="1" x14ac:dyDescent="0.25">
      <c r="A770" s="110" t="s">
        <v>0</v>
      </c>
      <c r="F770" s="479">
        <v>2</v>
      </c>
      <c r="G770" s="275"/>
      <c r="H770" s="275"/>
      <c r="I770" s="276" t="str">
        <f t="shared" ref="I770:I788" si="458">IF(COUNTIF($H$769:$H$793,F770)=0,"",INDEX($G$769:$G$793,MATCH(F770,$H$769:$H$793,0)))</f>
        <v/>
      </c>
      <c r="J770" s="275"/>
      <c r="K770" s="275"/>
      <c r="L770" s="275"/>
      <c r="M770" s="277"/>
      <c r="N770" s="116"/>
      <c r="O770" s="116"/>
      <c r="P770" s="116"/>
      <c r="Q770" s="116"/>
      <c r="R770" s="116"/>
      <c r="T770" s="117"/>
      <c r="U770" s="116"/>
    </row>
    <row r="771" spans="1:38" hidden="1" x14ac:dyDescent="0.25">
      <c r="A771" s="110" t="s">
        <v>0</v>
      </c>
      <c r="F771" s="479">
        <v>3</v>
      </c>
      <c r="G771" s="275"/>
      <c r="H771" s="275"/>
      <c r="I771" s="276" t="str">
        <f t="shared" si="458"/>
        <v/>
      </c>
      <c r="J771" s="275"/>
      <c r="K771" s="275"/>
      <c r="L771" s="275"/>
      <c r="M771" s="277"/>
      <c r="N771" s="116"/>
      <c r="O771" s="116"/>
      <c r="P771" s="116"/>
      <c r="Q771" s="116"/>
      <c r="R771" s="116"/>
      <c r="T771" s="117"/>
      <c r="U771" s="116"/>
    </row>
    <row r="772" spans="1:38" hidden="1" x14ac:dyDescent="0.25">
      <c r="A772" s="110" t="s">
        <v>0</v>
      </c>
      <c r="F772" s="479">
        <v>4</v>
      </c>
      <c r="G772" s="275"/>
      <c r="H772" s="275"/>
      <c r="I772" s="276" t="str">
        <f t="shared" si="458"/>
        <v/>
      </c>
      <c r="J772" s="275"/>
      <c r="K772" s="275"/>
      <c r="L772" s="275"/>
      <c r="M772" s="277"/>
      <c r="N772" s="116"/>
      <c r="O772" s="116"/>
      <c r="P772" s="116"/>
      <c r="Q772" s="116"/>
      <c r="R772" s="116"/>
      <c r="T772" s="117"/>
      <c r="U772" s="116"/>
    </row>
    <row r="773" spans="1:38" hidden="1" x14ac:dyDescent="0.25">
      <c r="A773" s="110" t="s">
        <v>0</v>
      </c>
      <c r="F773" s="479">
        <v>5</v>
      </c>
      <c r="G773" s="275"/>
      <c r="H773" s="275"/>
      <c r="I773" s="276" t="str">
        <f t="shared" si="458"/>
        <v/>
      </c>
      <c r="J773" s="275"/>
      <c r="K773" s="275"/>
      <c r="L773" s="275"/>
      <c r="M773" s="277"/>
      <c r="N773" s="116"/>
      <c r="O773" s="116"/>
      <c r="P773" s="116"/>
      <c r="Q773" s="116"/>
      <c r="R773" s="116"/>
      <c r="T773" s="117"/>
      <c r="U773" s="116"/>
    </row>
    <row r="774" spans="1:38" s="115" customFormat="1" hidden="1" x14ac:dyDescent="0.25">
      <c r="A774" s="110" t="s">
        <v>0</v>
      </c>
      <c r="E774" s="170"/>
      <c r="F774" s="479">
        <v>6</v>
      </c>
      <c r="G774" s="275"/>
      <c r="H774" s="275"/>
      <c r="I774" s="276" t="str">
        <f t="shared" si="458"/>
        <v/>
      </c>
      <c r="J774" s="275"/>
      <c r="K774" s="275"/>
      <c r="L774" s="275"/>
      <c r="M774" s="277"/>
      <c r="N774" s="116"/>
      <c r="O774" s="116"/>
      <c r="P774" s="116"/>
      <c r="Q774" s="116"/>
      <c r="R774" s="116"/>
      <c r="T774" s="117"/>
      <c r="U774" s="116"/>
      <c r="V774" s="110"/>
      <c r="W774" s="110"/>
      <c r="X774" s="110"/>
      <c r="Y774" s="110"/>
      <c r="Z774" s="110"/>
      <c r="AA774" s="110"/>
      <c r="AB774" s="110"/>
      <c r="AC774" s="110"/>
      <c r="AD774" s="110"/>
      <c r="AE774" s="110"/>
      <c r="AF774" s="110"/>
      <c r="AG774" s="110"/>
      <c r="AH774" s="110"/>
      <c r="AI774" s="110"/>
      <c r="AJ774" s="110"/>
      <c r="AK774" s="110"/>
      <c r="AL774" s="110"/>
    </row>
    <row r="775" spans="1:38" s="115" customFormat="1" hidden="1" x14ac:dyDescent="0.25">
      <c r="A775" s="110" t="s">
        <v>0</v>
      </c>
      <c r="E775" s="170"/>
      <c r="F775" s="479">
        <v>7</v>
      </c>
      <c r="G775" s="275"/>
      <c r="H775" s="275"/>
      <c r="I775" s="276" t="str">
        <f t="shared" si="458"/>
        <v/>
      </c>
      <c r="J775" s="275"/>
      <c r="K775" s="275"/>
      <c r="L775" s="275"/>
      <c r="M775" s="277"/>
      <c r="N775" s="116"/>
      <c r="O775" s="116"/>
      <c r="P775" s="116"/>
      <c r="Q775" s="116"/>
      <c r="R775" s="116"/>
      <c r="T775" s="117"/>
      <c r="U775" s="116"/>
      <c r="V775" s="110"/>
      <c r="W775" s="110"/>
      <c r="X775" s="110"/>
      <c r="Y775" s="110"/>
      <c r="Z775" s="110"/>
      <c r="AA775" s="110"/>
      <c r="AB775" s="110"/>
      <c r="AC775" s="110"/>
      <c r="AD775" s="110"/>
      <c r="AE775" s="110"/>
      <c r="AF775" s="110"/>
      <c r="AG775" s="110"/>
      <c r="AH775" s="110"/>
      <c r="AI775" s="110"/>
      <c r="AJ775" s="110"/>
      <c r="AK775" s="110"/>
      <c r="AL775" s="110"/>
    </row>
    <row r="776" spans="1:38" s="115" customFormat="1" hidden="1" x14ac:dyDescent="0.25">
      <c r="A776" s="110" t="s">
        <v>0</v>
      </c>
      <c r="E776" s="170"/>
      <c r="F776" s="479">
        <v>8</v>
      </c>
      <c r="G776" s="275"/>
      <c r="H776" s="275"/>
      <c r="I776" s="276" t="str">
        <f t="shared" si="458"/>
        <v/>
      </c>
      <c r="J776" s="275"/>
      <c r="K776" s="275"/>
      <c r="L776" s="275"/>
      <c r="M776" s="277"/>
      <c r="N776" s="116"/>
      <c r="O776" s="116"/>
      <c r="P776" s="116"/>
      <c r="Q776" s="116"/>
      <c r="R776" s="116"/>
      <c r="T776" s="117"/>
      <c r="U776" s="116"/>
      <c r="V776" s="110"/>
      <c r="W776" s="110"/>
      <c r="X776" s="110"/>
      <c r="Y776" s="110"/>
      <c r="Z776" s="110"/>
      <c r="AA776" s="110"/>
      <c r="AB776" s="110"/>
      <c r="AC776" s="110"/>
      <c r="AD776" s="110"/>
      <c r="AE776" s="110"/>
      <c r="AF776" s="110"/>
      <c r="AG776" s="110"/>
      <c r="AH776" s="110"/>
      <c r="AI776" s="110"/>
      <c r="AJ776" s="110"/>
      <c r="AK776" s="110"/>
      <c r="AL776" s="110"/>
    </row>
    <row r="777" spans="1:38" s="115" customFormat="1" hidden="1" x14ac:dyDescent="0.25">
      <c r="A777" s="110" t="s">
        <v>0</v>
      </c>
      <c r="E777" s="170"/>
      <c r="F777" s="479">
        <v>9</v>
      </c>
      <c r="G777" s="275"/>
      <c r="H777" s="275"/>
      <c r="I777" s="276" t="str">
        <f t="shared" si="458"/>
        <v/>
      </c>
      <c r="J777" s="275"/>
      <c r="K777" s="275"/>
      <c r="L777" s="275"/>
      <c r="M777" s="277"/>
      <c r="N777" s="116"/>
      <c r="O777" s="116"/>
      <c r="P777" s="116"/>
      <c r="Q777" s="116"/>
      <c r="R777" s="116"/>
      <c r="T777" s="117"/>
      <c r="U777" s="116"/>
      <c r="V777" s="110"/>
      <c r="W777" s="110"/>
      <c r="X777" s="110"/>
      <c r="Y777" s="110"/>
      <c r="Z777" s="110"/>
      <c r="AA777" s="110"/>
      <c r="AB777" s="110"/>
      <c r="AC777" s="110"/>
      <c r="AD777" s="110"/>
      <c r="AE777" s="110"/>
      <c r="AF777" s="110"/>
      <c r="AG777" s="110"/>
      <c r="AH777" s="110"/>
      <c r="AI777" s="110"/>
      <c r="AJ777" s="110"/>
      <c r="AK777" s="110"/>
      <c r="AL777" s="110"/>
    </row>
    <row r="778" spans="1:38" s="115" customFormat="1" hidden="1" x14ac:dyDescent="0.25">
      <c r="A778" s="110" t="s">
        <v>0</v>
      </c>
      <c r="E778" s="170"/>
      <c r="F778" s="479">
        <v>10</v>
      </c>
      <c r="G778" s="275"/>
      <c r="H778" s="275"/>
      <c r="I778" s="276" t="str">
        <f t="shared" si="458"/>
        <v/>
      </c>
      <c r="J778" s="275"/>
      <c r="K778" s="275"/>
      <c r="L778" s="275"/>
      <c r="M778" s="277"/>
      <c r="N778" s="116"/>
      <c r="O778" s="116"/>
      <c r="P778" s="116"/>
      <c r="Q778" s="116"/>
      <c r="R778" s="116"/>
      <c r="T778" s="117"/>
      <c r="U778" s="116"/>
      <c r="V778" s="110"/>
      <c r="W778" s="110"/>
      <c r="X778" s="110"/>
      <c r="Y778" s="110"/>
      <c r="Z778" s="110"/>
      <c r="AA778" s="110"/>
      <c r="AB778" s="110"/>
      <c r="AC778" s="110"/>
      <c r="AD778" s="110"/>
      <c r="AE778" s="110"/>
      <c r="AF778" s="110"/>
      <c r="AG778" s="110"/>
      <c r="AH778" s="110"/>
      <c r="AI778" s="110"/>
      <c r="AJ778" s="110"/>
      <c r="AK778" s="110"/>
      <c r="AL778" s="110"/>
    </row>
    <row r="779" spans="1:38" s="115" customFormat="1" hidden="1" x14ac:dyDescent="0.25">
      <c r="A779" s="110" t="s">
        <v>0</v>
      </c>
      <c r="E779" s="170"/>
      <c r="F779" s="479">
        <v>11</v>
      </c>
      <c r="G779" s="275"/>
      <c r="H779" s="275"/>
      <c r="I779" s="276" t="str">
        <f t="shared" si="458"/>
        <v/>
      </c>
      <c r="J779" s="275"/>
      <c r="K779" s="275"/>
      <c r="L779" s="275"/>
      <c r="M779" s="277"/>
      <c r="N779" s="116"/>
      <c r="O779" s="116"/>
      <c r="P779" s="116"/>
      <c r="Q779" s="116"/>
      <c r="R779" s="116"/>
      <c r="T779" s="117"/>
      <c r="U779" s="116"/>
      <c r="V779" s="110"/>
      <c r="W779" s="110"/>
      <c r="X779" s="110"/>
      <c r="Y779" s="110"/>
      <c r="Z779" s="110"/>
      <c r="AA779" s="110"/>
      <c r="AB779" s="110"/>
      <c r="AC779" s="110"/>
      <c r="AD779" s="110"/>
      <c r="AE779" s="110"/>
      <c r="AF779" s="110"/>
      <c r="AG779" s="110"/>
      <c r="AH779" s="110"/>
      <c r="AI779" s="110"/>
      <c r="AJ779" s="110"/>
      <c r="AK779" s="110"/>
      <c r="AL779" s="110"/>
    </row>
    <row r="780" spans="1:38" s="115" customFormat="1" hidden="1" x14ac:dyDescent="0.25">
      <c r="A780" s="110" t="s">
        <v>0</v>
      </c>
      <c r="E780" s="170"/>
      <c r="F780" s="479">
        <v>12</v>
      </c>
      <c r="G780" s="275"/>
      <c r="H780" s="275"/>
      <c r="I780" s="276" t="str">
        <f t="shared" si="458"/>
        <v/>
      </c>
      <c r="J780" s="275"/>
      <c r="K780" s="275"/>
      <c r="L780" s="275"/>
      <c r="M780" s="277"/>
      <c r="N780" s="116"/>
      <c r="O780" s="116"/>
      <c r="P780" s="116"/>
      <c r="Q780" s="116"/>
      <c r="R780" s="116"/>
      <c r="T780" s="117"/>
      <c r="U780" s="116"/>
      <c r="V780" s="110"/>
      <c r="W780" s="110"/>
      <c r="X780" s="110"/>
      <c r="Y780" s="110"/>
      <c r="Z780" s="110"/>
      <c r="AA780" s="110"/>
      <c r="AB780" s="110"/>
      <c r="AC780" s="110"/>
      <c r="AD780" s="110"/>
      <c r="AE780" s="110"/>
      <c r="AF780" s="110"/>
      <c r="AG780" s="110"/>
      <c r="AH780" s="110"/>
      <c r="AI780" s="110"/>
      <c r="AJ780" s="110"/>
      <c r="AK780" s="110"/>
      <c r="AL780" s="110"/>
    </row>
    <row r="781" spans="1:38" s="115" customFormat="1" hidden="1" x14ac:dyDescent="0.25">
      <c r="A781" s="110" t="s">
        <v>0</v>
      </c>
      <c r="E781" s="170"/>
      <c r="F781" s="479">
        <v>13</v>
      </c>
      <c r="G781" s="275"/>
      <c r="H781" s="275"/>
      <c r="I781" s="276" t="str">
        <f t="shared" si="458"/>
        <v/>
      </c>
      <c r="J781" s="275"/>
      <c r="K781" s="275"/>
      <c r="L781" s="275"/>
      <c r="M781" s="277"/>
      <c r="N781" s="116"/>
      <c r="O781" s="116"/>
      <c r="P781" s="116"/>
      <c r="Q781" s="116"/>
      <c r="R781" s="116"/>
      <c r="T781" s="117"/>
      <c r="U781" s="116"/>
      <c r="V781" s="110"/>
      <c r="W781" s="110"/>
      <c r="X781" s="110"/>
      <c r="Y781" s="110"/>
      <c r="Z781" s="110"/>
      <c r="AA781" s="110"/>
      <c r="AB781" s="110"/>
      <c r="AC781" s="110"/>
      <c r="AD781" s="110"/>
      <c r="AE781" s="110"/>
      <c r="AF781" s="110"/>
      <c r="AG781" s="110"/>
      <c r="AH781" s="110"/>
      <c r="AI781" s="110"/>
      <c r="AJ781" s="110"/>
      <c r="AK781" s="110"/>
      <c r="AL781" s="110"/>
    </row>
    <row r="782" spans="1:38" s="115" customFormat="1" hidden="1" x14ac:dyDescent="0.25">
      <c r="A782" s="110" t="s">
        <v>0</v>
      </c>
      <c r="E782" s="170"/>
      <c r="F782" s="479">
        <v>14</v>
      </c>
      <c r="G782" s="275"/>
      <c r="H782" s="275"/>
      <c r="I782" s="276" t="str">
        <f t="shared" si="458"/>
        <v/>
      </c>
      <c r="J782" s="275"/>
      <c r="K782" s="275"/>
      <c r="L782" s="275"/>
      <c r="M782" s="277"/>
      <c r="N782" s="116"/>
      <c r="O782" s="116"/>
      <c r="P782" s="116"/>
      <c r="Q782" s="116"/>
      <c r="R782" s="116"/>
      <c r="T782" s="117"/>
      <c r="U782" s="116"/>
      <c r="V782" s="110"/>
      <c r="W782" s="110"/>
      <c r="X782" s="110"/>
      <c r="Y782" s="110"/>
      <c r="Z782" s="110"/>
      <c r="AA782" s="110"/>
      <c r="AB782" s="110"/>
      <c r="AC782" s="110"/>
      <c r="AD782" s="110"/>
      <c r="AE782" s="110"/>
      <c r="AF782" s="110"/>
      <c r="AG782" s="110"/>
      <c r="AH782" s="110"/>
      <c r="AI782" s="110"/>
      <c r="AJ782" s="110"/>
      <c r="AK782" s="110"/>
      <c r="AL782" s="110"/>
    </row>
    <row r="783" spans="1:38" s="115" customFormat="1" hidden="1" x14ac:dyDescent="0.25">
      <c r="A783" s="110" t="s">
        <v>0</v>
      </c>
      <c r="E783" s="170"/>
      <c r="F783" s="479">
        <v>15</v>
      </c>
      <c r="G783" s="275"/>
      <c r="H783" s="275"/>
      <c r="I783" s="276" t="str">
        <f t="shared" si="458"/>
        <v/>
      </c>
      <c r="J783" s="275"/>
      <c r="K783" s="275"/>
      <c r="L783" s="275"/>
      <c r="M783" s="277"/>
      <c r="N783" s="116"/>
      <c r="O783" s="116"/>
      <c r="P783" s="116"/>
      <c r="Q783" s="116"/>
      <c r="R783" s="116"/>
      <c r="T783" s="117"/>
      <c r="U783" s="116"/>
      <c r="V783" s="110"/>
      <c r="W783" s="110"/>
      <c r="X783" s="110"/>
      <c r="Y783" s="110"/>
      <c r="Z783" s="110"/>
      <c r="AA783" s="110"/>
      <c r="AB783" s="110"/>
      <c r="AC783" s="110"/>
      <c r="AD783" s="110"/>
      <c r="AE783" s="110"/>
      <c r="AF783" s="110"/>
      <c r="AG783" s="110"/>
      <c r="AH783" s="110"/>
      <c r="AI783" s="110"/>
      <c r="AJ783" s="110"/>
      <c r="AK783" s="110"/>
      <c r="AL783" s="110"/>
    </row>
    <row r="784" spans="1:38" s="115" customFormat="1" hidden="1" x14ac:dyDescent="0.25">
      <c r="A784" s="110" t="s">
        <v>0</v>
      </c>
      <c r="E784" s="170"/>
      <c r="F784" s="479">
        <v>16</v>
      </c>
      <c r="G784" s="275"/>
      <c r="H784" s="275"/>
      <c r="I784" s="276" t="str">
        <f t="shared" si="458"/>
        <v/>
      </c>
      <c r="J784" s="275"/>
      <c r="K784" s="275"/>
      <c r="L784" s="275"/>
      <c r="M784" s="277"/>
      <c r="N784" s="116"/>
      <c r="O784" s="116"/>
      <c r="P784" s="116"/>
      <c r="Q784" s="116"/>
      <c r="R784" s="116"/>
      <c r="T784" s="117"/>
      <c r="U784" s="116"/>
      <c r="V784" s="110"/>
      <c r="W784" s="110"/>
      <c r="X784" s="110"/>
      <c r="Y784" s="110"/>
      <c r="Z784" s="110"/>
      <c r="AA784" s="110"/>
      <c r="AB784" s="110"/>
      <c r="AC784" s="110"/>
      <c r="AD784" s="110"/>
      <c r="AE784" s="110"/>
      <c r="AF784" s="110"/>
      <c r="AG784" s="110"/>
      <c r="AH784" s="110"/>
      <c r="AI784" s="110"/>
      <c r="AJ784" s="110"/>
      <c r="AK784" s="110"/>
      <c r="AL784" s="110"/>
    </row>
    <row r="785" spans="1:38" s="115" customFormat="1" hidden="1" x14ac:dyDescent="0.25">
      <c r="A785" s="110" t="s">
        <v>0</v>
      </c>
      <c r="E785" s="170"/>
      <c r="F785" s="479">
        <v>17</v>
      </c>
      <c r="G785" s="275"/>
      <c r="H785" s="275"/>
      <c r="I785" s="276" t="str">
        <f t="shared" si="458"/>
        <v/>
      </c>
      <c r="J785" s="275"/>
      <c r="K785" s="275"/>
      <c r="L785" s="275"/>
      <c r="M785" s="277"/>
      <c r="N785" s="116"/>
      <c r="O785" s="116"/>
      <c r="P785" s="116"/>
      <c r="Q785" s="116"/>
      <c r="R785" s="116"/>
      <c r="T785" s="117"/>
      <c r="U785" s="116"/>
      <c r="V785" s="110"/>
      <c r="W785" s="110"/>
      <c r="X785" s="110"/>
      <c r="Y785" s="110"/>
      <c r="Z785" s="110"/>
      <c r="AA785" s="110"/>
      <c r="AB785" s="110"/>
      <c r="AC785" s="110"/>
      <c r="AD785" s="110"/>
      <c r="AE785" s="110"/>
      <c r="AF785" s="110"/>
      <c r="AG785" s="110"/>
      <c r="AH785" s="110"/>
      <c r="AI785" s="110"/>
      <c r="AJ785" s="110"/>
      <c r="AK785" s="110"/>
      <c r="AL785" s="110"/>
    </row>
    <row r="786" spans="1:38" s="115" customFormat="1" hidden="1" x14ac:dyDescent="0.25">
      <c r="A786" s="110" t="s">
        <v>0</v>
      </c>
      <c r="E786" s="170"/>
      <c r="F786" s="479">
        <v>18</v>
      </c>
      <c r="G786" s="275"/>
      <c r="H786" s="275"/>
      <c r="I786" s="276" t="str">
        <f t="shared" si="458"/>
        <v/>
      </c>
      <c r="J786" s="275"/>
      <c r="K786" s="275"/>
      <c r="L786" s="275"/>
      <c r="M786" s="277"/>
      <c r="N786" s="116"/>
      <c r="O786" s="116"/>
      <c r="P786" s="116"/>
      <c r="Q786" s="116"/>
      <c r="R786" s="116"/>
      <c r="T786" s="117"/>
      <c r="U786" s="116"/>
      <c r="V786" s="110"/>
      <c r="W786" s="110"/>
      <c r="X786" s="110"/>
      <c r="Y786" s="110"/>
      <c r="Z786" s="110"/>
      <c r="AA786" s="110"/>
      <c r="AB786" s="110"/>
      <c r="AC786" s="110"/>
      <c r="AD786" s="110"/>
      <c r="AE786" s="110"/>
      <c r="AF786" s="110"/>
      <c r="AG786" s="110"/>
      <c r="AH786" s="110"/>
      <c r="AI786" s="110"/>
      <c r="AJ786" s="110"/>
      <c r="AK786" s="110"/>
      <c r="AL786" s="110"/>
    </row>
    <row r="787" spans="1:38" s="115" customFormat="1" hidden="1" x14ac:dyDescent="0.25">
      <c r="A787" s="110" t="s">
        <v>0</v>
      </c>
      <c r="E787" s="170"/>
      <c r="F787" s="479">
        <v>19</v>
      </c>
      <c r="G787" s="275"/>
      <c r="H787" s="275"/>
      <c r="I787" s="276" t="str">
        <f t="shared" si="458"/>
        <v/>
      </c>
      <c r="J787" s="275"/>
      <c r="K787" s="275"/>
      <c r="L787" s="275"/>
      <c r="M787" s="277"/>
      <c r="N787" s="116"/>
      <c r="O787" s="116"/>
      <c r="P787" s="116"/>
      <c r="Q787" s="116"/>
      <c r="R787" s="116"/>
      <c r="T787" s="117"/>
      <c r="U787" s="116"/>
      <c r="V787" s="110"/>
      <c r="W787" s="110"/>
      <c r="X787" s="110"/>
      <c r="Y787" s="110"/>
      <c r="Z787" s="110"/>
      <c r="AA787" s="110"/>
      <c r="AB787" s="110"/>
      <c r="AC787" s="110"/>
      <c r="AD787" s="110"/>
      <c r="AE787" s="110"/>
      <c r="AF787" s="110"/>
      <c r="AG787" s="110"/>
      <c r="AH787" s="110"/>
      <c r="AI787" s="110"/>
      <c r="AJ787" s="110"/>
      <c r="AK787" s="110"/>
      <c r="AL787" s="110"/>
    </row>
    <row r="788" spans="1:38" s="115" customFormat="1" hidden="1" x14ac:dyDescent="0.25">
      <c r="A788" s="110" t="s">
        <v>0</v>
      </c>
      <c r="E788" s="170"/>
      <c r="F788" s="479">
        <v>20</v>
      </c>
      <c r="G788" s="275"/>
      <c r="H788" s="275"/>
      <c r="I788" s="276" t="str">
        <f t="shared" si="458"/>
        <v/>
      </c>
      <c r="J788" s="275"/>
      <c r="K788" s="275"/>
      <c r="L788" s="275"/>
      <c r="M788" s="277"/>
      <c r="N788" s="116"/>
      <c r="O788" s="116"/>
      <c r="P788" s="116"/>
      <c r="Q788" s="116"/>
      <c r="R788" s="116"/>
      <c r="T788" s="117"/>
      <c r="U788" s="116"/>
      <c r="V788" s="110"/>
      <c r="W788" s="110"/>
      <c r="X788" s="110"/>
      <c r="Y788" s="110"/>
      <c r="Z788" s="110"/>
      <c r="AA788" s="110"/>
      <c r="AB788" s="110"/>
      <c r="AC788" s="110"/>
      <c r="AD788" s="110"/>
      <c r="AE788" s="110"/>
      <c r="AF788" s="110"/>
      <c r="AG788" s="110"/>
      <c r="AH788" s="110"/>
      <c r="AI788" s="110"/>
      <c r="AJ788" s="110"/>
      <c r="AK788" s="110"/>
      <c r="AL788" s="110"/>
    </row>
    <row r="789" spans="1:38" s="115" customFormat="1" hidden="1" x14ac:dyDescent="0.25">
      <c r="A789" s="110" t="s">
        <v>0</v>
      </c>
      <c r="E789" s="170"/>
      <c r="F789" s="479"/>
      <c r="G789" s="275"/>
      <c r="H789" s="275"/>
      <c r="I789" s="276"/>
      <c r="J789" s="275"/>
      <c r="K789" s="275"/>
      <c r="L789" s="275"/>
      <c r="M789" s="277"/>
      <c r="N789" s="116"/>
      <c r="O789" s="116"/>
      <c r="P789" s="116"/>
      <c r="Q789" s="116"/>
      <c r="R789" s="116"/>
      <c r="T789" s="117"/>
      <c r="U789" s="116"/>
      <c r="V789" s="110"/>
      <c r="W789" s="110"/>
      <c r="X789" s="110"/>
      <c r="Y789" s="110"/>
      <c r="Z789" s="110"/>
      <c r="AA789" s="110"/>
      <c r="AB789" s="110"/>
      <c r="AC789" s="110"/>
      <c r="AD789" s="110"/>
      <c r="AE789" s="110"/>
      <c r="AF789" s="110"/>
      <c r="AG789" s="110"/>
      <c r="AH789" s="110"/>
      <c r="AI789" s="110"/>
      <c r="AJ789" s="110"/>
      <c r="AK789" s="110"/>
      <c r="AL789" s="110"/>
    </row>
    <row r="790" spans="1:38" s="115" customFormat="1" hidden="1" x14ac:dyDescent="0.25">
      <c r="A790" s="110" t="s">
        <v>0</v>
      </c>
      <c r="E790" s="170"/>
      <c r="F790" s="479"/>
      <c r="G790" s="275"/>
      <c r="H790" s="275"/>
      <c r="I790" s="276"/>
      <c r="J790" s="275"/>
      <c r="K790" s="275"/>
      <c r="L790" s="275"/>
      <c r="M790" s="277"/>
      <c r="N790" s="116"/>
      <c r="O790" s="116"/>
      <c r="P790" s="116"/>
      <c r="Q790" s="116"/>
      <c r="R790" s="116"/>
      <c r="T790" s="117"/>
      <c r="U790" s="116"/>
      <c r="V790" s="110"/>
      <c r="W790" s="110"/>
      <c r="X790" s="110"/>
      <c r="Y790" s="110"/>
      <c r="Z790" s="110"/>
      <c r="AA790" s="110"/>
      <c r="AB790" s="110"/>
      <c r="AC790" s="110"/>
      <c r="AD790" s="110"/>
      <c r="AE790" s="110"/>
      <c r="AF790" s="110"/>
      <c r="AG790" s="110"/>
      <c r="AH790" s="110"/>
      <c r="AI790" s="110"/>
      <c r="AJ790" s="110"/>
      <c r="AK790" s="110"/>
      <c r="AL790" s="110"/>
    </row>
    <row r="791" spans="1:38" s="115" customFormat="1" hidden="1" x14ac:dyDescent="0.25">
      <c r="A791" s="110" t="s">
        <v>0</v>
      </c>
      <c r="E791" s="170"/>
      <c r="F791" s="479"/>
      <c r="G791" s="275"/>
      <c r="H791" s="275"/>
      <c r="I791" s="276"/>
      <c r="J791" s="275"/>
      <c r="K791" s="275"/>
      <c r="L791" s="275"/>
      <c r="M791" s="277"/>
      <c r="N791" s="116"/>
      <c r="O791" s="116"/>
      <c r="P791" s="116"/>
      <c r="Q791" s="116"/>
      <c r="R791" s="116"/>
      <c r="T791" s="117"/>
      <c r="U791" s="116"/>
      <c r="V791" s="110"/>
      <c r="W791" s="110"/>
      <c r="X791" s="110"/>
      <c r="Y791" s="110"/>
      <c r="Z791" s="110"/>
      <c r="AA791" s="110"/>
      <c r="AB791" s="110"/>
      <c r="AC791" s="110"/>
      <c r="AD791" s="110"/>
      <c r="AE791" s="110"/>
      <c r="AF791" s="110"/>
      <c r="AG791" s="110"/>
      <c r="AH791" s="110"/>
      <c r="AI791" s="110"/>
      <c r="AJ791" s="110"/>
      <c r="AK791" s="110"/>
      <c r="AL791" s="110"/>
    </row>
    <row r="792" spans="1:38" s="115" customFormat="1" hidden="1" x14ac:dyDescent="0.25">
      <c r="A792" s="110" t="s">
        <v>0</v>
      </c>
      <c r="E792" s="170"/>
      <c r="F792" s="479"/>
      <c r="G792" s="275"/>
      <c r="H792" s="275"/>
      <c r="I792" s="276"/>
      <c r="J792" s="275"/>
      <c r="K792" s="275"/>
      <c r="L792" s="275"/>
      <c r="M792" s="277"/>
      <c r="N792" s="116"/>
      <c r="O792" s="116"/>
      <c r="P792" s="116"/>
      <c r="Q792" s="116"/>
      <c r="R792" s="116"/>
      <c r="T792" s="117"/>
      <c r="U792" s="116"/>
      <c r="V792" s="110"/>
      <c r="W792" s="110"/>
      <c r="X792" s="110"/>
      <c r="Y792" s="110"/>
      <c r="Z792" s="110"/>
      <c r="AA792" s="110"/>
      <c r="AB792" s="110"/>
      <c r="AC792" s="110"/>
      <c r="AD792" s="110"/>
      <c r="AE792" s="110"/>
      <c r="AF792" s="110"/>
      <c r="AG792" s="110"/>
      <c r="AH792" s="110"/>
      <c r="AI792" s="110"/>
      <c r="AJ792" s="110"/>
      <c r="AK792" s="110"/>
      <c r="AL792" s="110"/>
    </row>
    <row r="793" spans="1:38" s="115" customFormat="1" ht="13" hidden="1" thickBot="1" x14ac:dyDescent="0.3">
      <c r="A793" s="110" t="s">
        <v>0</v>
      </c>
      <c r="E793" s="170"/>
      <c r="F793" s="480"/>
      <c r="G793" s="283"/>
      <c r="H793" s="283"/>
      <c r="I793" s="284"/>
      <c r="J793" s="283"/>
      <c r="K793" s="283"/>
      <c r="L793" s="283"/>
      <c r="M793" s="285"/>
      <c r="N793" s="116"/>
      <c r="O793" s="116"/>
      <c r="P793" s="116"/>
      <c r="Q793" s="116"/>
      <c r="R793" s="116"/>
      <c r="T793" s="117"/>
      <c r="U793" s="116"/>
      <c r="V793" s="110"/>
      <c r="W793" s="110"/>
      <c r="X793" s="110"/>
      <c r="Y793" s="110"/>
      <c r="Z793" s="110"/>
      <c r="AA793" s="110"/>
      <c r="AB793" s="110"/>
      <c r="AC793" s="110"/>
      <c r="AD793" s="110"/>
      <c r="AE793" s="110"/>
      <c r="AF793" s="110"/>
      <c r="AG793" s="110"/>
      <c r="AH793" s="110"/>
      <c r="AI793" s="110"/>
      <c r="AJ793" s="110"/>
      <c r="AK793" s="110"/>
      <c r="AL793" s="110"/>
    </row>
    <row r="794" spans="1:38" s="115" customFormat="1" hidden="1" x14ac:dyDescent="0.25">
      <c r="A794" s="110" t="s">
        <v>0</v>
      </c>
      <c r="E794" s="170"/>
      <c r="T794" s="117"/>
      <c r="U794" s="116"/>
      <c r="V794" s="110"/>
      <c r="W794" s="110"/>
      <c r="X794" s="110"/>
      <c r="Y794" s="110"/>
      <c r="Z794" s="110"/>
      <c r="AA794" s="110"/>
      <c r="AB794" s="110"/>
      <c r="AC794" s="110"/>
      <c r="AD794" s="110"/>
      <c r="AE794" s="110"/>
      <c r="AF794" s="110"/>
      <c r="AG794" s="110"/>
      <c r="AH794" s="110"/>
      <c r="AI794" s="110"/>
      <c r="AJ794" s="110"/>
      <c r="AK794" s="110"/>
      <c r="AL794" s="110"/>
    </row>
  </sheetData>
  <sheetProtection sheet="1" objects="1" scenarios="1" formatCells="0" formatColumns="0" formatRows="0"/>
  <mergeCells count="627">
    <mergeCell ref="M2:S2"/>
    <mergeCell ref="P22:S22"/>
    <mergeCell ref="M30:M36"/>
    <mergeCell ref="B2:D4"/>
    <mergeCell ref="E2:F2"/>
    <mergeCell ref="G2:H2"/>
    <mergeCell ref="I2:J2"/>
    <mergeCell ref="K2:L2"/>
    <mergeCell ref="E10:S10"/>
    <mergeCell ref="E4:F4"/>
    <mergeCell ref="G4:H4"/>
    <mergeCell ref="I4:J4"/>
    <mergeCell ref="K4:L4"/>
    <mergeCell ref="E3:F3"/>
    <mergeCell ref="G3:H3"/>
    <mergeCell ref="I3:J3"/>
    <mergeCell ref="K3:L3"/>
    <mergeCell ref="F18:F19"/>
    <mergeCell ref="H18:H19"/>
    <mergeCell ref="G18:G19"/>
    <mergeCell ref="I18:I19"/>
    <mergeCell ref="J18:J19"/>
    <mergeCell ref="K18:K19"/>
    <mergeCell ref="L18:L19"/>
    <mergeCell ref="C6:S6"/>
    <mergeCell ref="D8:S8"/>
    <mergeCell ref="E12:S12"/>
    <mergeCell ref="E11:S11"/>
    <mergeCell ref="E13:S13"/>
    <mergeCell ref="E15:S15"/>
    <mergeCell ref="D31:D35"/>
    <mergeCell ref="D21:D30"/>
    <mergeCell ref="N24:O24"/>
    <mergeCell ref="P24:Q24"/>
    <mergeCell ref="P25:Q25"/>
    <mergeCell ref="M21:M24"/>
    <mergeCell ref="D17:E20"/>
    <mergeCell ref="N20:S21"/>
    <mergeCell ref="P83:Q83"/>
    <mergeCell ref="P84:Q84"/>
    <mergeCell ref="M89:M95"/>
    <mergeCell ref="D90:D94"/>
    <mergeCell ref="E16:S16"/>
    <mergeCell ref="E14:S14"/>
    <mergeCell ref="D74:S74"/>
    <mergeCell ref="D76:E79"/>
    <mergeCell ref="F77:F78"/>
    <mergeCell ref="G77:G78"/>
    <mergeCell ref="H77:H78"/>
    <mergeCell ref="I77:I78"/>
    <mergeCell ref="J77:J78"/>
    <mergeCell ref="K77:K78"/>
    <mergeCell ref="L77:L78"/>
    <mergeCell ref="N79:S80"/>
    <mergeCell ref="D80:D89"/>
    <mergeCell ref="M80:M83"/>
    <mergeCell ref="P81:S81"/>
    <mergeCell ref="N83:O83"/>
    <mergeCell ref="G41:G42"/>
    <mergeCell ref="H41:H42"/>
    <mergeCell ref="I41:I42"/>
    <mergeCell ref="J41:J42"/>
    <mergeCell ref="D97:S97"/>
    <mergeCell ref="D99:E102"/>
    <mergeCell ref="F100:F101"/>
    <mergeCell ref="G100:G101"/>
    <mergeCell ref="H100:H101"/>
    <mergeCell ref="I100:I101"/>
    <mergeCell ref="J100:J101"/>
    <mergeCell ref="K100:K101"/>
    <mergeCell ref="L100:L101"/>
    <mergeCell ref="N102:S103"/>
    <mergeCell ref="D103:D112"/>
    <mergeCell ref="M103:M106"/>
    <mergeCell ref="P104:S104"/>
    <mergeCell ref="N106:O106"/>
    <mergeCell ref="P106:Q106"/>
    <mergeCell ref="P107:Q107"/>
    <mergeCell ref="P129:Q129"/>
    <mergeCell ref="P130:Q130"/>
    <mergeCell ref="M135:M141"/>
    <mergeCell ref="D136:D140"/>
    <mergeCell ref="D143:S143"/>
    <mergeCell ref="M112:M118"/>
    <mergeCell ref="D113:D117"/>
    <mergeCell ref="D120:S120"/>
    <mergeCell ref="D122:E125"/>
    <mergeCell ref="F123:F124"/>
    <mergeCell ref="G123:G124"/>
    <mergeCell ref="H123:H124"/>
    <mergeCell ref="I123:I124"/>
    <mergeCell ref="J123:J124"/>
    <mergeCell ref="K123:K124"/>
    <mergeCell ref="L123:L124"/>
    <mergeCell ref="N125:S126"/>
    <mergeCell ref="D126:D135"/>
    <mergeCell ref="M126:M129"/>
    <mergeCell ref="P127:S127"/>
    <mergeCell ref="N129:O129"/>
    <mergeCell ref="J146:J147"/>
    <mergeCell ref="K146:K147"/>
    <mergeCell ref="L146:L147"/>
    <mergeCell ref="N148:S149"/>
    <mergeCell ref="D149:D158"/>
    <mergeCell ref="M149:M152"/>
    <mergeCell ref="P150:S150"/>
    <mergeCell ref="N152:O152"/>
    <mergeCell ref="P152:Q152"/>
    <mergeCell ref="P153:Q153"/>
    <mergeCell ref="M158:M164"/>
    <mergeCell ref="D159:D163"/>
    <mergeCell ref="D145:E148"/>
    <mergeCell ref="F146:F147"/>
    <mergeCell ref="G146:G147"/>
    <mergeCell ref="H146:H147"/>
    <mergeCell ref="I146:I147"/>
    <mergeCell ref="D166:S166"/>
    <mergeCell ref="D168:E171"/>
    <mergeCell ref="F169:F170"/>
    <mergeCell ref="G169:G170"/>
    <mergeCell ref="H169:H170"/>
    <mergeCell ref="I169:I170"/>
    <mergeCell ref="J169:J170"/>
    <mergeCell ref="K169:K170"/>
    <mergeCell ref="L169:L170"/>
    <mergeCell ref="N171:S172"/>
    <mergeCell ref="D172:D181"/>
    <mergeCell ref="M172:M175"/>
    <mergeCell ref="P173:S173"/>
    <mergeCell ref="N175:O175"/>
    <mergeCell ref="P175:Q175"/>
    <mergeCell ref="P176:Q176"/>
    <mergeCell ref="P198:Q198"/>
    <mergeCell ref="P199:Q199"/>
    <mergeCell ref="M204:M210"/>
    <mergeCell ref="D205:D209"/>
    <mergeCell ref="D212:S212"/>
    <mergeCell ref="M181:M187"/>
    <mergeCell ref="D182:D186"/>
    <mergeCell ref="D189:S189"/>
    <mergeCell ref="D191:E194"/>
    <mergeCell ref="F192:F193"/>
    <mergeCell ref="G192:G193"/>
    <mergeCell ref="H192:H193"/>
    <mergeCell ref="I192:I193"/>
    <mergeCell ref="J192:J193"/>
    <mergeCell ref="K192:K193"/>
    <mergeCell ref="L192:L193"/>
    <mergeCell ref="N194:S195"/>
    <mergeCell ref="D195:D204"/>
    <mergeCell ref="M195:M198"/>
    <mergeCell ref="P196:S196"/>
    <mergeCell ref="N198:O198"/>
    <mergeCell ref="L215:L216"/>
    <mergeCell ref="N217:S218"/>
    <mergeCell ref="D218:D227"/>
    <mergeCell ref="M218:M221"/>
    <mergeCell ref="P219:S219"/>
    <mergeCell ref="N221:O221"/>
    <mergeCell ref="P221:Q221"/>
    <mergeCell ref="P222:Q222"/>
    <mergeCell ref="M227:M233"/>
    <mergeCell ref="D228:D232"/>
    <mergeCell ref="D214:E217"/>
    <mergeCell ref="F215:F216"/>
    <mergeCell ref="G215:G216"/>
    <mergeCell ref="H215:H216"/>
    <mergeCell ref="I215:I216"/>
    <mergeCell ref="D274:D278"/>
    <mergeCell ref="D281:S281"/>
    <mergeCell ref="M250:M256"/>
    <mergeCell ref="D251:D255"/>
    <mergeCell ref="D258:S258"/>
    <mergeCell ref="D260:E263"/>
    <mergeCell ref="F261:F262"/>
    <mergeCell ref="G261:G262"/>
    <mergeCell ref="H261:H262"/>
    <mergeCell ref="I261:I262"/>
    <mergeCell ref="J261:J262"/>
    <mergeCell ref="K261:K262"/>
    <mergeCell ref="L261:L262"/>
    <mergeCell ref="N263:S264"/>
    <mergeCell ref="D264:D273"/>
    <mergeCell ref="M264:M267"/>
    <mergeCell ref="P265:S265"/>
    <mergeCell ref="N267:O267"/>
    <mergeCell ref="D241:D250"/>
    <mergeCell ref="M241:M244"/>
    <mergeCell ref="P242:S242"/>
    <mergeCell ref="N244:O244"/>
    <mergeCell ref="P244:Q244"/>
    <mergeCell ref="P245:Q245"/>
    <mergeCell ref="N286:S287"/>
    <mergeCell ref="D287:D296"/>
    <mergeCell ref="M287:M290"/>
    <mergeCell ref="P288:S288"/>
    <mergeCell ref="N290:O290"/>
    <mergeCell ref="P290:Q290"/>
    <mergeCell ref="P291:Q291"/>
    <mergeCell ref="M296:M302"/>
    <mergeCell ref="D297:D301"/>
    <mergeCell ref="D283:E286"/>
    <mergeCell ref="F284:F285"/>
    <mergeCell ref="G284:G285"/>
    <mergeCell ref="H284:H285"/>
    <mergeCell ref="I284:I285"/>
    <mergeCell ref="M3:N3"/>
    <mergeCell ref="O3:P3"/>
    <mergeCell ref="Q3:R3"/>
    <mergeCell ref="M4:N4"/>
    <mergeCell ref="O4:P4"/>
    <mergeCell ref="Q4:R4"/>
    <mergeCell ref="J284:J285"/>
    <mergeCell ref="K284:K285"/>
    <mergeCell ref="L284:L285"/>
    <mergeCell ref="P267:Q267"/>
    <mergeCell ref="P268:Q268"/>
    <mergeCell ref="M273:M279"/>
    <mergeCell ref="D235:S235"/>
    <mergeCell ref="D237:E240"/>
    <mergeCell ref="F238:F239"/>
    <mergeCell ref="G238:G239"/>
    <mergeCell ref="H238:H239"/>
    <mergeCell ref="I238:I239"/>
    <mergeCell ref="J238:J239"/>
    <mergeCell ref="K238:K239"/>
    <mergeCell ref="L238:L239"/>
    <mergeCell ref="N240:S241"/>
    <mergeCell ref="J215:J216"/>
    <mergeCell ref="K215:K216"/>
    <mergeCell ref="D304:S304"/>
    <mergeCell ref="D306:E309"/>
    <mergeCell ref="F307:F308"/>
    <mergeCell ref="G307:G308"/>
    <mergeCell ref="H307:H308"/>
    <mergeCell ref="I307:I308"/>
    <mergeCell ref="J307:J308"/>
    <mergeCell ref="K307:K308"/>
    <mergeCell ref="L307:L308"/>
    <mergeCell ref="N309:S310"/>
    <mergeCell ref="D310:D319"/>
    <mergeCell ref="M310:M313"/>
    <mergeCell ref="P311:S311"/>
    <mergeCell ref="N313:O313"/>
    <mergeCell ref="P313:Q313"/>
    <mergeCell ref="P314:Q314"/>
    <mergeCell ref="M319:M325"/>
    <mergeCell ref="D320:D324"/>
    <mergeCell ref="D327:S327"/>
    <mergeCell ref="D329:E332"/>
    <mergeCell ref="F330:F331"/>
    <mergeCell ref="G330:G331"/>
    <mergeCell ref="H330:H331"/>
    <mergeCell ref="I330:I331"/>
    <mergeCell ref="J330:J331"/>
    <mergeCell ref="K330:K331"/>
    <mergeCell ref="L330:L331"/>
    <mergeCell ref="N332:S333"/>
    <mergeCell ref="D333:D342"/>
    <mergeCell ref="M333:M336"/>
    <mergeCell ref="P334:S334"/>
    <mergeCell ref="N336:O336"/>
    <mergeCell ref="P336:Q336"/>
    <mergeCell ref="P337:Q337"/>
    <mergeCell ref="M342:M348"/>
    <mergeCell ref="D343:D347"/>
    <mergeCell ref="D350:S350"/>
    <mergeCell ref="D352:E355"/>
    <mergeCell ref="F353:F354"/>
    <mergeCell ref="G353:G354"/>
    <mergeCell ref="H353:H354"/>
    <mergeCell ref="I353:I354"/>
    <mergeCell ref="J353:J354"/>
    <mergeCell ref="K353:K354"/>
    <mergeCell ref="L353:L354"/>
    <mergeCell ref="N355:S356"/>
    <mergeCell ref="D356:D365"/>
    <mergeCell ref="M356:M359"/>
    <mergeCell ref="P357:S357"/>
    <mergeCell ref="N359:O359"/>
    <mergeCell ref="P359:Q359"/>
    <mergeCell ref="P360:Q360"/>
    <mergeCell ref="M365:M371"/>
    <mergeCell ref="D366:D370"/>
    <mergeCell ref="D373:S373"/>
    <mergeCell ref="D375:E378"/>
    <mergeCell ref="F376:F377"/>
    <mergeCell ref="G376:G377"/>
    <mergeCell ref="H376:H377"/>
    <mergeCell ref="I376:I377"/>
    <mergeCell ref="J376:J377"/>
    <mergeCell ref="K376:K377"/>
    <mergeCell ref="L376:L377"/>
    <mergeCell ref="N378:S379"/>
    <mergeCell ref="D379:D388"/>
    <mergeCell ref="M379:M382"/>
    <mergeCell ref="P380:S380"/>
    <mergeCell ref="N382:O382"/>
    <mergeCell ref="P382:Q382"/>
    <mergeCell ref="P383:Q383"/>
    <mergeCell ref="M388:M394"/>
    <mergeCell ref="D389:D393"/>
    <mergeCell ref="D396:S396"/>
    <mergeCell ref="D398:E401"/>
    <mergeCell ref="F399:F400"/>
    <mergeCell ref="G399:G400"/>
    <mergeCell ref="H399:H400"/>
    <mergeCell ref="I399:I400"/>
    <mergeCell ref="J399:J400"/>
    <mergeCell ref="K399:K400"/>
    <mergeCell ref="L399:L400"/>
    <mergeCell ref="N401:S402"/>
    <mergeCell ref="D402:D411"/>
    <mergeCell ref="M402:M405"/>
    <mergeCell ref="P403:S403"/>
    <mergeCell ref="N405:O405"/>
    <mergeCell ref="P405:Q405"/>
    <mergeCell ref="P406:Q406"/>
    <mergeCell ref="M411:M417"/>
    <mergeCell ref="D412:D416"/>
    <mergeCell ref="D419:S419"/>
    <mergeCell ref="D421:E424"/>
    <mergeCell ref="F422:F423"/>
    <mergeCell ref="G422:G423"/>
    <mergeCell ref="H422:H423"/>
    <mergeCell ref="I422:I423"/>
    <mergeCell ref="J422:J423"/>
    <mergeCell ref="K422:K423"/>
    <mergeCell ref="L422:L423"/>
    <mergeCell ref="N424:S425"/>
    <mergeCell ref="D425:D434"/>
    <mergeCell ref="M425:M428"/>
    <mergeCell ref="P426:S426"/>
    <mergeCell ref="N428:O428"/>
    <mergeCell ref="P428:Q428"/>
    <mergeCell ref="P429:Q429"/>
    <mergeCell ref="M434:M440"/>
    <mergeCell ref="D435:D439"/>
    <mergeCell ref="D442:S442"/>
    <mergeCell ref="D444:E447"/>
    <mergeCell ref="F445:F446"/>
    <mergeCell ref="G445:G446"/>
    <mergeCell ref="H445:H446"/>
    <mergeCell ref="I445:I446"/>
    <mergeCell ref="J445:J446"/>
    <mergeCell ref="K445:K446"/>
    <mergeCell ref="L445:L446"/>
    <mergeCell ref="N447:S448"/>
    <mergeCell ref="D448:D457"/>
    <mergeCell ref="M448:M451"/>
    <mergeCell ref="P449:S449"/>
    <mergeCell ref="N451:O451"/>
    <mergeCell ref="P451:Q451"/>
    <mergeCell ref="P452:Q452"/>
    <mergeCell ref="M457:M463"/>
    <mergeCell ref="D458:D462"/>
    <mergeCell ref="D465:S465"/>
    <mergeCell ref="D467:E470"/>
    <mergeCell ref="F468:F469"/>
    <mergeCell ref="G468:G469"/>
    <mergeCell ref="H468:H469"/>
    <mergeCell ref="I468:I469"/>
    <mergeCell ref="J468:J469"/>
    <mergeCell ref="K468:K469"/>
    <mergeCell ref="L468:L469"/>
    <mergeCell ref="N470:S471"/>
    <mergeCell ref="D471:D480"/>
    <mergeCell ref="M471:M474"/>
    <mergeCell ref="P472:S472"/>
    <mergeCell ref="N474:O474"/>
    <mergeCell ref="P474:Q474"/>
    <mergeCell ref="P475:Q475"/>
    <mergeCell ref="M480:M486"/>
    <mergeCell ref="D481:D485"/>
    <mergeCell ref="D488:S488"/>
    <mergeCell ref="D490:E493"/>
    <mergeCell ref="F491:F492"/>
    <mergeCell ref="G491:G492"/>
    <mergeCell ref="H491:H492"/>
    <mergeCell ref="I491:I492"/>
    <mergeCell ref="J491:J492"/>
    <mergeCell ref="K491:K492"/>
    <mergeCell ref="L491:L492"/>
    <mergeCell ref="N493:S494"/>
    <mergeCell ref="D494:D503"/>
    <mergeCell ref="M494:M497"/>
    <mergeCell ref="P495:S495"/>
    <mergeCell ref="N497:O497"/>
    <mergeCell ref="P497:Q497"/>
    <mergeCell ref="P498:Q498"/>
    <mergeCell ref="M503:M509"/>
    <mergeCell ref="D504:D508"/>
    <mergeCell ref="D511:S511"/>
    <mergeCell ref="D513:E516"/>
    <mergeCell ref="F514:F515"/>
    <mergeCell ref="G514:G515"/>
    <mergeCell ref="H514:H515"/>
    <mergeCell ref="I514:I515"/>
    <mergeCell ref="J514:J515"/>
    <mergeCell ref="K514:K515"/>
    <mergeCell ref="L514:L515"/>
    <mergeCell ref="N516:S517"/>
    <mergeCell ref="D517:D526"/>
    <mergeCell ref="M517:M520"/>
    <mergeCell ref="P518:S518"/>
    <mergeCell ref="N520:O520"/>
    <mergeCell ref="P520:Q520"/>
    <mergeCell ref="P521:Q521"/>
    <mergeCell ref="M526:M532"/>
    <mergeCell ref="D527:D531"/>
    <mergeCell ref="D534:S534"/>
    <mergeCell ref="D536:E539"/>
    <mergeCell ref="F537:F538"/>
    <mergeCell ref="G537:G538"/>
    <mergeCell ref="H537:H538"/>
    <mergeCell ref="I537:I538"/>
    <mergeCell ref="J537:J538"/>
    <mergeCell ref="K537:K538"/>
    <mergeCell ref="L537:L538"/>
    <mergeCell ref="N539:S540"/>
    <mergeCell ref="D540:D549"/>
    <mergeCell ref="M540:M543"/>
    <mergeCell ref="P541:S541"/>
    <mergeCell ref="N543:O543"/>
    <mergeCell ref="P543:Q543"/>
    <mergeCell ref="P544:Q544"/>
    <mergeCell ref="M549:M555"/>
    <mergeCell ref="D550:D554"/>
    <mergeCell ref="D557:S557"/>
    <mergeCell ref="D559:E562"/>
    <mergeCell ref="F560:F561"/>
    <mergeCell ref="G560:G561"/>
    <mergeCell ref="H560:H561"/>
    <mergeCell ref="I560:I561"/>
    <mergeCell ref="J560:J561"/>
    <mergeCell ref="K560:K561"/>
    <mergeCell ref="L560:L561"/>
    <mergeCell ref="N562:S563"/>
    <mergeCell ref="D563:D572"/>
    <mergeCell ref="M563:M566"/>
    <mergeCell ref="P564:S564"/>
    <mergeCell ref="N566:O566"/>
    <mergeCell ref="P566:Q566"/>
    <mergeCell ref="P567:Q567"/>
    <mergeCell ref="M572:M578"/>
    <mergeCell ref="D573:D577"/>
    <mergeCell ref="D580:S580"/>
    <mergeCell ref="D582:E585"/>
    <mergeCell ref="F583:F584"/>
    <mergeCell ref="G583:G584"/>
    <mergeCell ref="H583:H584"/>
    <mergeCell ref="I583:I584"/>
    <mergeCell ref="J583:J584"/>
    <mergeCell ref="K583:K584"/>
    <mergeCell ref="L583:L584"/>
    <mergeCell ref="N585:S586"/>
    <mergeCell ref="D586:D595"/>
    <mergeCell ref="M586:M589"/>
    <mergeCell ref="P587:S587"/>
    <mergeCell ref="N589:O589"/>
    <mergeCell ref="P589:Q589"/>
    <mergeCell ref="P590:Q590"/>
    <mergeCell ref="M595:M601"/>
    <mergeCell ref="D596:D600"/>
    <mergeCell ref="D603:S603"/>
    <mergeCell ref="D605:E608"/>
    <mergeCell ref="F606:F607"/>
    <mergeCell ref="G606:G607"/>
    <mergeCell ref="H606:H607"/>
    <mergeCell ref="I606:I607"/>
    <mergeCell ref="J606:J607"/>
    <mergeCell ref="K606:K607"/>
    <mergeCell ref="L606:L607"/>
    <mergeCell ref="N608:S609"/>
    <mergeCell ref="D609:D618"/>
    <mergeCell ref="M609:M612"/>
    <mergeCell ref="P610:S610"/>
    <mergeCell ref="N612:O612"/>
    <mergeCell ref="P612:Q612"/>
    <mergeCell ref="P613:Q613"/>
    <mergeCell ref="M618:M624"/>
    <mergeCell ref="D619:D623"/>
    <mergeCell ref="D626:S626"/>
    <mergeCell ref="D628:E631"/>
    <mergeCell ref="F629:F630"/>
    <mergeCell ref="G629:G630"/>
    <mergeCell ref="H629:H630"/>
    <mergeCell ref="I629:I630"/>
    <mergeCell ref="J629:J630"/>
    <mergeCell ref="K629:K630"/>
    <mergeCell ref="L629:L630"/>
    <mergeCell ref="N631:S632"/>
    <mergeCell ref="D632:D641"/>
    <mergeCell ref="M632:M635"/>
    <mergeCell ref="P633:S633"/>
    <mergeCell ref="N635:O635"/>
    <mergeCell ref="P635:Q635"/>
    <mergeCell ref="P636:Q636"/>
    <mergeCell ref="M641:M647"/>
    <mergeCell ref="D642:D646"/>
    <mergeCell ref="D649:S649"/>
    <mergeCell ref="D651:E654"/>
    <mergeCell ref="F652:F653"/>
    <mergeCell ref="G652:G653"/>
    <mergeCell ref="H652:H653"/>
    <mergeCell ref="I652:I653"/>
    <mergeCell ref="J652:J653"/>
    <mergeCell ref="K652:K653"/>
    <mergeCell ref="L652:L653"/>
    <mergeCell ref="N654:S655"/>
    <mergeCell ref="D655:D664"/>
    <mergeCell ref="M655:M658"/>
    <mergeCell ref="P656:S656"/>
    <mergeCell ref="N658:O658"/>
    <mergeCell ref="P658:Q658"/>
    <mergeCell ref="P659:Q659"/>
    <mergeCell ref="M664:M670"/>
    <mergeCell ref="D665:D669"/>
    <mergeCell ref="D672:S672"/>
    <mergeCell ref="D674:E677"/>
    <mergeCell ref="F675:F676"/>
    <mergeCell ref="G675:G676"/>
    <mergeCell ref="H675:H676"/>
    <mergeCell ref="I675:I676"/>
    <mergeCell ref="J675:J676"/>
    <mergeCell ref="K675:K676"/>
    <mergeCell ref="L675:L676"/>
    <mergeCell ref="N677:S678"/>
    <mergeCell ref="D678:D687"/>
    <mergeCell ref="M678:M681"/>
    <mergeCell ref="P679:S679"/>
    <mergeCell ref="N681:O681"/>
    <mergeCell ref="P681:Q681"/>
    <mergeCell ref="P682:Q682"/>
    <mergeCell ref="M687:M693"/>
    <mergeCell ref="D688:D692"/>
    <mergeCell ref="D695:S695"/>
    <mergeCell ref="D697:E700"/>
    <mergeCell ref="F698:F699"/>
    <mergeCell ref="G698:G699"/>
    <mergeCell ref="H698:H699"/>
    <mergeCell ref="I698:I699"/>
    <mergeCell ref="J698:J699"/>
    <mergeCell ref="K698:K699"/>
    <mergeCell ref="L698:L699"/>
    <mergeCell ref="N700:S701"/>
    <mergeCell ref="D701:D710"/>
    <mergeCell ref="M701:M704"/>
    <mergeCell ref="P702:S702"/>
    <mergeCell ref="N704:O704"/>
    <mergeCell ref="P704:Q704"/>
    <mergeCell ref="P705:Q705"/>
    <mergeCell ref="M710:M716"/>
    <mergeCell ref="D711:D715"/>
    <mergeCell ref="F721:F722"/>
    <mergeCell ref="G721:G722"/>
    <mergeCell ref="H721:H722"/>
    <mergeCell ref="I721:I722"/>
    <mergeCell ref="J721:J722"/>
    <mergeCell ref="K721:K722"/>
    <mergeCell ref="L721:L722"/>
    <mergeCell ref="N723:S724"/>
    <mergeCell ref="D724:D733"/>
    <mergeCell ref="M724:M727"/>
    <mergeCell ref="P725:S725"/>
    <mergeCell ref="N727:O727"/>
    <mergeCell ref="P727:Q727"/>
    <mergeCell ref="P728:Q728"/>
    <mergeCell ref="M733:M739"/>
    <mergeCell ref="D734:D738"/>
    <mergeCell ref="E41:E42"/>
    <mergeCell ref="D39:S39"/>
    <mergeCell ref="M43:P43"/>
    <mergeCell ref="M44:P44"/>
    <mergeCell ref="D741:S741"/>
    <mergeCell ref="D743:E746"/>
    <mergeCell ref="F744:F745"/>
    <mergeCell ref="G744:G745"/>
    <mergeCell ref="H744:H745"/>
    <mergeCell ref="I744:I745"/>
    <mergeCell ref="J744:J745"/>
    <mergeCell ref="K744:K745"/>
    <mergeCell ref="L744:L745"/>
    <mergeCell ref="N746:S747"/>
    <mergeCell ref="D747:D756"/>
    <mergeCell ref="M747:M750"/>
    <mergeCell ref="P748:S748"/>
    <mergeCell ref="N750:O750"/>
    <mergeCell ref="P750:Q750"/>
    <mergeCell ref="P751:Q751"/>
    <mergeCell ref="M756:M762"/>
    <mergeCell ref="D757:D761"/>
    <mergeCell ref="D718:S718"/>
    <mergeCell ref="D720:E723"/>
    <mergeCell ref="M48:P48"/>
    <mergeCell ref="M49:P49"/>
    <mergeCell ref="M50:P50"/>
    <mergeCell ref="M51:P51"/>
    <mergeCell ref="M52:P52"/>
    <mergeCell ref="M53:P53"/>
    <mergeCell ref="K41:K42"/>
    <mergeCell ref="L41:L42"/>
    <mergeCell ref="F41:F42"/>
    <mergeCell ref="M72:P72"/>
    <mergeCell ref="M41:P42"/>
    <mergeCell ref="Q41:S51"/>
    <mergeCell ref="M63:P63"/>
    <mergeCell ref="M64:P64"/>
    <mergeCell ref="M65:P65"/>
    <mergeCell ref="M66:P66"/>
    <mergeCell ref="M67:P67"/>
    <mergeCell ref="M68:P68"/>
    <mergeCell ref="M69:P69"/>
    <mergeCell ref="M70:P70"/>
    <mergeCell ref="M71:P71"/>
    <mergeCell ref="M54:P54"/>
    <mergeCell ref="M55:P55"/>
    <mergeCell ref="M56:P56"/>
    <mergeCell ref="M57:P57"/>
    <mergeCell ref="M58:P58"/>
    <mergeCell ref="M59:P59"/>
    <mergeCell ref="M60:P60"/>
    <mergeCell ref="M61:P61"/>
    <mergeCell ref="M62:P62"/>
    <mergeCell ref="M45:P45"/>
    <mergeCell ref="M46:P46"/>
    <mergeCell ref="M47:P47"/>
  </mergeCells>
  <conditionalFormatting sqref="E80:E94 P81:S81">
    <cfRule type="expression" dxfId="528" priority="645">
      <formula>MSPara_ToolBlendingMandatory</formula>
    </cfRule>
  </conditionalFormatting>
  <conditionalFormatting sqref="E103:E117 P104:S104">
    <cfRule type="expression" dxfId="527" priority="449">
      <formula>MSPara_ToolBlendingMandatory</formula>
    </cfRule>
  </conditionalFormatting>
  <conditionalFormatting sqref="E126:E140 P127:S127">
    <cfRule type="expression" dxfId="526" priority="436">
      <formula>MSPara_ToolBlendingMandatory</formula>
    </cfRule>
  </conditionalFormatting>
  <conditionalFormatting sqref="E149:E163 P150:S150">
    <cfRule type="expression" dxfId="525" priority="423">
      <formula>MSPara_ToolBlendingMandatory</formula>
    </cfRule>
  </conditionalFormatting>
  <conditionalFormatting sqref="E172:E186 P173:S173">
    <cfRule type="expression" dxfId="524" priority="410">
      <formula>MSPara_ToolBlendingMandatory</formula>
    </cfRule>
  </conditionalFormatting>
  <conditionalFormatting sqref="E195:E209 P196:S196">
    <cfRule type="expression" dxfId="523" priority="397">
      <formula>MSPara_ToolBlendingMandatory</formula>
    </cfRule>
  </conditionalFormatting>
  <conditionalFormatting sqref="E218:E232 P219:S219">
    <cfRule type="expression" dxfId="522" priority="384">
      <formula>MSPara_ToolBlendingMandatory</formula>
    </cfRule>
  </conditionalFormatting>
  <conditionalFormatting sqref="E241:E255 P242:S242">
    <cfRule type="expression" dxfId="521" priority="371">
      <formula>MSPara_ToolBlendingMandatory</formula>
    </cfRule>
  </conditionalFormatting>
  <conditionalFormatting sqref="E264:E278 P265:S265">
    <cfRule type="expression" dxfId="520" priority="358">
      <formula>MSPara_ToolBlendingMandatory</formula>
    </cfRule>
  </conditionalFormatting>
  <conditionalFormatting sqref="E310:E324 P311:S311">
    <cfRule type="expression" dxfId="519" priority="290">
      <formula>MSPara_ToolBlendingMandatory</formula>
    </cfRule>
  </conditionalFormatting>
  <conditionalFormatting sqref="E333:E347 P334:S334">
    <cfRule type="expression" dxfId="518" priority="278">
      <formula>MSPara_ToolBlendingMandatory</formula>
    </cfRule>
  </conditionalFormatting>
  <conditionalFormatting sqref="E356:E370 P357:S357">
    <cfRule type="expression" dxfId="517" priority="266">
      <formula>MSPara_ToolBlendingMandatory</formula>
    </cfRule>
  </conditionalFormatting>
  <conditionalFormatting sqref="E379:E393 P380:S380">
    <cfRule type="expression" dxfId="516" priority="254">
      <formula>MSPara_ToolBlendingMandatory</formula>
    </cfRule>
  </conditionalFormatting>
  <conditionalFormatting sqref="E402:E416 P403:S403">
    <cfRule type="expression" dxfId="515" priority="242">
      <formula>MSPara_ToolBlendingMandatory</formula>
    </cfRule>
  </conditionalFormatting>
  <conditionalFormatting sqref="E425:E439 P426:S426">
    <cfRule type="expression" dxfId="514" priority="230">
      <formula>MSPara_ToolBlendingMandatory</formula>
    </cfRule>
  </conditionalFormatting>
  <conditionalFormatting sqref="E448:E462 P449:S449">
    <cfRule type="expression" dxfId="513" priority="218">
      <formula>MSPara_ToolBlendingMandatory</formula>
    </cfRule>
  </conditionalFormatting>
  <conditionalFormatting sqref="E471:E485 P472:S472">
    <cfRule type="expression" dxfId="512" priority="206">
      <formula>MSPara_ToolBlendingMandatory</formula>
    </cfRule>
  </conditionalFormatting>
  <conditionalFormatting sqref="E517:E531 P518:S518">
    <cfRule type="expression" dxfId="511" priority="154">
      <formula>MSPara_ToolBlendingMandatory</formula>
    </cfRule>
  </conditionalFormatting>
  <conditionalFormatting sqref="E540:E554 P541:S541">
    <cfRule type="expression" dxfId="510" priority="142">
      <formula>MSPara_ToolBlendingMandatory</formula>
    </cfRule>
  </conditionalFormatting>
  <conditionalFormatting sqref="E563:E577 P564:S564">
    <cfRule type="expression" dxfId="509" priority="130">
      <formula>MSPara_ToolBlendingMandatory</formula>
    </cfRule>
  </conditionalFormatting>
  <conditionalFormatting sqref="E586:E600 P587:S587">
    <cfRule type="expression" dxfId="508" priority="118">
      <formula>MSPara_ToolBlendingMandatory</formula>
    </cfRule>
  </conditionalFormatting>
  <conditionalFormatting sqref="E609:E623 P610:S610">
    <cfRule type="expression" dxfId="507" priority="106">
      <formula>MSPara_ToolBlendingMandatory</formula>
    </cfRule>
  </conditionalFormatting>
  <conditionalFormatting sqref="E632:E646 P633:S633">
    <cfRule type="expression" dxfId="506" priority="94">
      <formula>MSPara_ToolBlendingMandatory</formula>
    </cfRule>
  </conditionalFormatting>
  <conditionalFormatting sqref="E655:E669 P656:S656">
    <cfRule type="expression" dxfId="505" priority="82">
      <formula>MSPara_ToolBlendingMandatory</formula>
    </cfRule>
  </conditionalFormatting>
  <conditionalFormatting sqref="E678:E692 P679:S679">
    <cfRule type="expression" dxfId="504" priority="70">
      <formula>MSPara_ToolBlendingMandatory</formula>
    </cfRule>
  </conditionalFormatting>
  <conditionalFormatting sqref="E724:E738 P725:S725">
    <cfRule type="expression" dxfId="503" priority="18">
      <formula>MSPara_ToolBlendingMandatory</formula>
    </cfRule>
  </conditionalFormatting>
  <conditionalFormatting sqref="E287:F296 P288:S288 E297:H301">
    <cfRule type="expression" dxfId="502" priority="345">
      <formula>MSPara_ToolBlendingMandatory</formula>
    </cfRule>
  </conditionalFormatting>
  <conditionalFormatting sqref="E494:F503 P495:S495 E504:H508">
    <cfRule type="expression" dxfId="501" priority="194">
      <formula>MSPara_ToolBlendingMandatory</formula>
    </cfRule>
  </conditionalFormatting>
  <conditionalFormatting sqref="E701:F710 P702:S702 E711:H715">
    <cfRule type="expression" dxfId="500" priority="58">
      <formula>MSPara_ToolBlendingMandatory</formula>
    </cfRule>
  </conditionalFormatting>
  <conditionalFormatting sqref="E747:F756 P748:S748 E757:H761">
    <cfRule type="expression" dxfId="499" priority="6">
      <formula>MSPara_ToolBlendingMandatory</formula>
    </cfRule>
  </conditionalFormatting>
  <conditionalFormatting sqref="E80:L89">
    <cfRule type="expression" dxfId="498" priority="322">
      <formula>$AB80=TRUE</formula>
    </cfRule>
  </conditionalFormatting>
  <conditionalFormatting sqref="E103:L112">
    <cfRule type="expression" dxfId="497" priority="320">
      <formula>$AB103=TRUE</formula>
    </cfRule>
  </conditionalFormatting>
  <conditionalFormatting sqref="E126:L135">
    <cfRule type="expression" dxfId="496" priority="318">
      <formula>$AB126=TRUE</formula>
    </cfRule>
  </conditionalFormatting>
  <conditionalFormatting sqref="E149:L158">
    <cfRule type="expression" dxfId="495" priority="316">
      <formula>$AB149=TRUE</formula>
    </cfRule>
  </conditionalFormatting>
  <conditionalFormatting sqref="E172:L181">
    <cfRule type="expression" dxfId="494" priority="314">
      <formula>$AB172=TRUE</formula>
    </cfRule>
  </conditionalFormatting>
  <conditionalFormatting sqref="E195:L204">
    <cfRule type="expression" dxfId="493" priority="312">
      <formula>$AB195=TRUE</formula>
    </cfRule>
  </conditionalFormatting>
  <conditionalFormatting sqref="E218:L227">
    <cfRule type="expression" dxfId="492" priority="310">
      <formula>$AB218=TRUE</formula>
    </cfRule>
  </conditionalFormatting>
  <conditionalFormatting sqref="E241:L250">
    <cfRule type="expression" dxfId="491" priority="308">
      <formula>$AB241=TRUE</formula>
    </cfRule>
  </conditionalFormatting>
  <conditionalFormatting sqref="E264:L273">
    <cfRule type="expression" dxfId="490" priority="306">
      <formula>$AB264=TRUE</formula>
    </cfRule>
  </conditionalFormatting>
  <conditionalFormatting sqref="E287:L296">
    <cfRule type="expression" dxfId="489" priority="304">
      <formula>$AB287=TRUE</formula>
    </cfRule>
  </conditionalFormatting>
  <conditionalFormatting sqref="E310:L319">
    <cfRule type="expression" dxfId="488" priority="184">
      <formula>$AB310=TRUE</formula>
    </cfRule>
  </conditionalFormatting>
  <conditionalFormatting sqref="E333:L342">
    <cfRule type="expression" dxfId="487" priority="182">
      <formula>$AB333=TRUE</formula>
    </cfRule>
  </conditionalFormatting>
  <conditionalFormatting sqref="E356:L365">
    <cfRule type="expression" dxfId="486" priority="180">
      <formula>$AB356=TRUE</formula>
    </cfRule>
  </conditionalFormatting>
  <conditionalFormatting sqref="E379:L388">
    <cfRule type="expression" dxfId="485" priority="178">
      <formula>$AB379=TRUE</formula>
    </cfRule>
  </conditionalFormatting>
  <conditionalFormatting sqref="E402:L411">
    <cfRule type="expression" dxfId="484" priority="176">
      <formula>$AB402=TRUE</formula>
    </cfRule>
  </conditionalFormatting>
  <conditionalFormatting sqref="E425:L434">
    <cfRule type="expression" dxfId="483" priority="174">
      <formula>$AB425=TRUE</formula>
    </cfRule>
  </conditionalFormatting>
  <conditionalFormatting sqref="E448:L457">
    <cfRule type="expression" dxfId="482" priority="172">
      <formula>$AB448=TRUE</formula>
    </cfRule>
  </conditionalFormatting>
  <conditionalFormatting sqref="E471:L480">
    <cfRule type="expression" dxfId="481" priority="170">
      <formula>$AB471=TRUE</formula>
    </cfRule>
  </conditionalFormatting>
  <conditionalFormatting sqref="E494:L503">
    <cfRule type="expression" dxfId="480" priority="168">
      <formula>$AB494=TRUE</formula>
    </cfRule>
  </conditionalFormatting>
  <conditionalFormatting sqref="E517:L526">
    <cfRule type="expression" dxfId="479" priority="48">
      <formula>$AB517=TRUE</formula>
    </cfRule>
  </conditionalFormatting>
  <conditionalFormatting sqref="E540:L549">
    <cfRule type="expression" dxfId="478" priority="46">
      <formula>$AB540=TRUE</formula>
    </cfRule>
  </conditionalFormatting>
  <conditionalFormatting sqref="E563:L572">
    <cfRule type="expression" dxfId="477" priority="44">
      <formula>$AB563=TRUE</formula>
    </cfRule>
  </conditionalFormatting>
  <conditionalFormatting sqref="E586:L595">
    <cfRule type="expression" dxfId="476" priority="42">
      <formula>$AB586=TRUE</formula>
    </cfRule>
  </conditionalFormatting>
  <conditionalFormatting sqref="E609:L618">
    <cfRule type="expression" dxfId="475" priority="40">
      <formula>$AB609=TRUE</formula>
    </cfRule>
  </conditionalFormatting>
  <conditionalFormatting sqref="E632:L641">
    <cfRule type="expression" dxfId="474" priority="38">
      <formula>$AB632=TRUE</formula>
    </cfRule>
  </conditionalFormatting>
  <conditionalFormatting sqref="E655:L664">
    <cfRule type="expression" dxfId="473" priority="36">
      <formula>$AB655=TRUE</formula>
    </cfRule>
  </conditionalFormatting>
  <conditionalFormatting sqref="E678:L687">
    <cfRule type="expression" dxfId="472" priority="34">
      <formula>$AB678=TRUE</formula>
    </cfRule>
  </conditionalFormatting>
  <conditionalFormatting sqref="E701:L710">
    <cfRule type="expression" dxfId="471" priority="32">
      <formula>$AB701=TRUE</formula>
    </cfRule>
  </conditionalFormatting>
  <conditionalFormatting sqref="E724:L733">
    <cfRule type="expression" dxfId="470" priority="3">
      <formula>$AB724=TRUE</formula>
    </cfRule>
  </conditionalFormatting>
  <conditionalFormatting sqref="E747:L756">
    <cfRule type="expression" dxfId="469" priority="1">
      <formula>$AB747=TRUE</formula>
    </cfRule>
  </conditionalFormatting>
  <conditionalFormatting sqref="F80:F89 F90:H94">
    <cfRule type="expression" dxfId="468" priority="327">
      <formula>MSPara_ToolBlendingMandatory</formula>
    </cfRule>
  </conditionalFormatting>
  <conditionalFormatting sqref="F103:F112 F113:H117">
    <cfRule type="expression" dxfId="467" priority="329">
      <formula>MSPara_ToolBlendingMandatory</formula>
    </cfRule>
  </conditionalFormatting>
  <conditionalFormatting sqref="F126:F135 F136:H140">
    <cfRule type="expression" dxfId="466" priority="331">
      <formula>MSPara_ToolBlendingMandatory</formula>
    </cfRule>
  </conditionalFormatting>
  <conditionalFormatting sqref="F149:F158 F159:H163">
    <cfRule type="expression" dxfId="465" priority="333">
      <formula>MSPara_ToolBlendingMandatory</formula>
    </cfRule>
  </conditionalFormatting>
  <conditionalFormatting sqref="F172:F181 F182:H186">
    <cfRule type="expression" dxfId="464" priority="335">
      <formula>MSPara_ToolBlendingMandatory</formula>
    </cfRule>
  </conditionalFormatting>
  <conditionalFormatting sqref="F195:F204 F205:H209">
    <cfRule type="expression" dxfId="463" priority="337">
      <formula>MSPara_ToolBlendingMandatory</formula>
    </cfRule>
  </conditionalFormatting>
  <conditionalFormatting sqref="F218:F227 F228:H232">
    <cfRule type="expression" dxfId="462" priority="339">
      <formula>MSPara_ToolBlendingMandatory</formula>
    </cfRule>
  </conditionalFormatting>
  <conditionalFormatting sqref="F241:F250 F251:H255">
    <cfRule type="expression" dxfId="461" priority="341">
      <formula>MSPara_ToolBlendingMandatory</formula>
    </cfRule>
  </conditionalFormatting>
  <conditionalFormatting sqref="F264:F273 F274:H278">
    <cfRule type="expression" dxfId="460" priority="343">
      <formula>MSPara_ToolBlendingMandatory</formula>
    </cfRule>
  </conditionalFormatting>
  <conditionalFormatting sqref="F310:F319 F320:H324">
    <cfRule type="expression" dxfId="459" priority="186">
      <formula>MSPara_ToolBlendingMandatory</formula>
    </cfRule>
  </conditionalFormatting>
  <conditionalFormatting sqref="F333:F342 F343:H347">
    <cfRule type="expression" dxfId="458" priority="187">
      <formula>MSPara_ToolBlendingMandatory</formula>
    </cfRule>
  </conditionalFormatting>
  <conditionalFormatting sqref="F356:F365 F366:H370">
    <cfRule type="expression" dxfId="457" priority="188">
      <formula>MSPara_ToolBlendingMandatory</formula>
    </cfRule>
  </conditionalFormatting>
  <conditionalFormatting sqref="F379:F388 F389:H393">
    <cfRule type="expression" dxfId="456" priority="189">
      <formula>MSPara_ToolBlendingMandatory</formula>
    </cfRule>
  </conditionalFormatting>
  <conditionalFormatting sqref="F402:F411 F412:H416">
    <cfRule type="expression" dxfId="455" priority="190">
      <formula>MSPara_ToolBlendingMandatory</formula>
    </cfRule>
  </conditionalFormatting>
  <conditionalFormatting sqref="F425:F434 F435:H439">
    <cfRule type="expression" dxfId="454" priority="191">
      <formula>MSPara_ToolBlendingMandatory</formula>
    </cfRule>
  </conditionalFormatting>
  <conditionalFormatting sqref="F448:F457 F458:H462">
    <cfRule type="expression" dxfId="453" priority="192">
      <formula>MSPara_ToolBlendingMandatory</formula>
    </cfRule>
  </conditionalFormatting>
  <conditionalFormatting sqref="F471:F480 F481:H485">
    <cfRule type="expression" dxfId="452" priority="193">
      <formula>MSPara_ToolBlendingMandatory</formula>
    </cfRule>
  </conditionalFormatting>
  <conditionalFormatting sqref="F517:F526 F527:H531">
    <cfRule type="expression" dxfId="451" priority="50">
      <formula>MSPara_ToolBlendingMandatory</formula>
    </cfRule>
  </conditionalFormatting>
  <conditionalFormatting sqref="F540:F549 F550:H554">
    <cfRule type="expression" dxfId="450" priority="51">
      <formula>MSPara_ToolBlendingMandatory</formula>
    </cfRule>
  </conditionalFormatting>
  <conditionalFormatting sqref="F563:F572 F573:H577">
    <cfRule type="expression" dxfId="449" priority="52">
      <formula>MSPara_ToolBlendingMandatory</formula>
    </cfRule>
  </conditionalFormatting>
  <conditionalFormatting sqref="F586:F595 F596:H600">
    <cfRule type="expression" dxfId="448" priority="53">
      <formula>MSPara_ToolBlendingMandatory</formula>
    </cfRule>
  </conditionalFormatting>
  <conditionalFormatting sqref="F609:F618 F619:H623">
    <cfRule type="expression" dxfId="447" priority="54">
      <formula>MSPara_ToolBlendingMandatory</formula>
    </cfRule>
  </conditionalFormatting>
  <conditionalFormatting sqref="F632:F641 F642:H646">
    <cfRule type="expression" dxfId="446" priority="55">
      <formula>MSPara_ToolBlendingMandatory</formula>
    </cfRule>
  </conditionalFormatting>
  <conditionalFormatting sqref="F655:F664 F665:H669">
    <cfRule type="expression" dxfId="445" priority="56">
      <formula>MSPara_ToolBlendingMandatory</formula>
    </cfRule>
  </conditionalFormatting>
  <conditionalFormatting sqref="F678:F687 F688:H692">
    <cfRule type="expression" dxfId="444" priority="57">
      <formula>MSPara_ToolBlendingMandatory</formula>
    </cfRule>
  </conditionalFormatting>
  <conditionalFormatting sqref="F724:F733 F734:H738">
    <cfRule type="expression" dxfId="443" priority="5">
      <formula>MSPara_ToolBlendingMandatory</formula>
    </cfRule>
  </conditionalFormatting>
  <conditionalFormatting sqref="I80:I94">
    <cfRule type="expression" dxfId="442" priority="323">
      <formula>MSPara_ToolBlendingMandatory</formula>
    </cfRule>
  </conditionalFormatting>
  <conditionalFormatting sqref="I103:I117">
    <cfRule type="expression" dxfId="441" priority="321">
      <formula>MSPara_ToolBlendingMandatory</formula>
    </cfRule>
  </conditionalFormatting>
  <conditionalFormatting sqref="I126:I140">
    <cfRule type="expression" dxfId="440" priority="319">
      <formula>MSPara_ToolBlendingMandatory</formula>
    </cfRule>
  </conditionalFormatting>
  <conditionalFormatting sqref="I149:I163">
    <cfRule type="expression" dxfId="439" priority="317">
      <formula>MSPara_ToolBlendingMandatory</formula>
    </cfRule>
  </conditionalFormatting>
  <conditionalFormatting sqref="I172:I186">
    <cfRule type="expression" dxfId="438" priority="315">
      <formula>MSPara_ToolBlendingMandatory</formula>
    </cfRule>
  </conditionalFormatting>
  <conditionalFormatting sqref="I195:I209">
    <cfRule type="expression" dxfId="437" priority="313">
      <formula>MSPara_ToolBlendingMandatory</formula>
    </cfRule>
  </conditionalFormatting>
  <conditionalFormatting sqref="I218:I232">
    <cfRule type="expression" dxfId="436" priority="311">
      <formula>MSPara_ToolBlendingMandatory</formula>
    </cfRule>
  </conditionalFormatting>
  <conditionalFormatting sqref="I241:I255">
    <cfRule type="expression" dxfId="435" priority="309">
      <formula>MSPara_ToolBlendingMandatory</formula>
    </cfRule>
  </conditionalFormatting>
  <conditionalFormatting sqref="I264:I278">
    <cfRule type="expression" dxfId="434" priority="307">
      <formula>MSPara_ToolBlendingMandatory</formula>
    </cfRule>
  </conditionalFormatting>
  <conditionalFormatting sqref="I287:I301">
    <cfRule type="expression" dxfId="433" priority="305">
      <formula>MSPara_ToolBlendingMandatory</formula>
    </cfRule>
  </conditionalFormatting>
  <conditionalFormatting sqref="I310:I324">
    <cfRule type="expression" dxfId="432" priority="185">
      <formula>MSPara_ToolBlendingMandatory</formula>
    </cfRule>
  </conditionalFormatting>
  <conditionalFormatting sqref="I333:I347">
    <cfRule type="expression" dxfId="431" priority="183">
      <formula>MSPara_ToolBlendingMandatory</formula>
    </cfRule>
  </conditionalFormatting>
  <conditionalFormatting sqref="I356:I370">
    <cfRule type="expression" dxfId="430" priority="181">
      <formula>MSPara_ToolBlendingMandatory</formula>
    </cfRule>
  </conditionalFormatting>
  <conditionalFormatting sqref="I379:I393">
    <cfRule type="expression" dxfId="429" priority="179">
      <formula>MSPara_ToolBlendingMandatory</formula>
    </cfRule>
  </conditionalFormatting>
  <conditionalFormatting sqref="I402:I416">
    <cfRule type="expression" dxfId="428" priority="177">
      <formula>MSPara_ToolBlendingMandatory</formula>
    </cfRule>
  </conditionalFormatting>
  <conditionalFormatting sqref="I425:I439">
    <cfRule type="expression" dxfId="427" priority="175">
      <formula>MSPara_ToolBlendingMandatory</formula>
    </cfRule>
  </conditionalFormatting>
  <conditionalFormatting sqref="I448:I462">
    <cfRule type="expression" dxfId="426" priority="173">
      <formula>MSPara_ToolBlendingMandatory</formula>
    </cfRule>
  </conditionalFormatting>
  <conditionalFormatting sqref="I471:I485">
    <cfRule type="expression" dxfId="425" priority="171">
      <formula>MSPara_ToolBlendingMandatory</formula>
    </cfRule>
  </conditionalFormatting>
  <conditionalFormatting sqref="I494:I508">
    <cfRule type="expression" dxfId="424" priority="169">
      <formula>MSPara_ToolBlendingMandatory</formula>
    </cfRule>
  </conditionalFormatting>
  <conditionalFormatting sqref="I517:I531">
    <cfRule type="expression" dxfId="423" priority="49">
      <formula>MSPara_ToolBlendingMandatory</formula>
    </cfRule>
  </conditionalFormatting>
  <conditionalFormatting sqref="I540:I554">
    <cfRule type="expression" dxfId="422" priority="47">
      <formula>MSPara_ToolBlendingMandatory</formula>
    </cfRule>
  </conditionalFormatting>
  <conditionalFormatting sqref="I563:I577">
    <cfRule type="expression" dxfId="421" priority="45">
      <formula>MSPara_ToolBlendingMandatory</formula>
    </cfRule>
  </conditionalFormatting>
  <conditionalFormatting sqref="I586:I600">
    <cfRule type="expression" dxfId="420" priority="43">
      <formula>MSPara_ToolBlendingMandatory</formula>
    </cfRule>
  </conditionalFormatting>
  <conditionalFormatting sqref="I609:I623">
    <cfRule type="expression" dxfId="419" priority="41">
      <formula>MSPara_ToolBlendingMandatory</formula>
    </cfRule>
  </conditionalFormatting>
  <conditionalFormatting sqref="I632:I646">
    <cfRule type="expression" dxfId="418" priority="39">
      <formula>MSPara_ToolBlendingMandatory</formula>
    </cfRule>
  </conditionalFormatting>
  <conditionalFormatting sqref="I655:I669">
    <cfRule type="expression" dxfId="417" priority="37">
      <formula>MSPara_ToolBlendingMandatory</formula>
    </cfRule>
  </conditionalFormatting>
  <conditionalFormatting sqref="I678:I692">
    <cfRule type="expression" dxfId="416" priority="35">
      <formula>MSPara_ToolBlendingMandatory</formula>
    </cfRule>
  </conditionalFormatting>
  <conditionalFormatting sqref="I701:I715">
    <cfRule type="expression" dxfId="415" priority="33">
      <formula>MSPara_ToolBlendingMandatory</formula>
    </cfRule>
  </conditionalFormatting>
  <conditionalFormatting sqref="I724:I738">
    <cfRule type="expression" dxfId="414" priority="4">
      <formula>MSPara_ToolBlendingMandatory</formula>
    </cfRule>
  </conditionalFormatting>
  <conditionalFormatting sqref="I747:I761">
    <cfRule type="expression" dxfId="413" priority="2">
      <formula>MSPara_ToolBlendingMandatory</formula>
    </cfRule>
  </conditionalFormatting>
  <conditionalFormatting sqref="N25 N27:N28 N86:N87 N109:N110 N132:N133 N155:N156 N178:N179 N201:N202 N224:N225 N247:N248 N270:N271 N293:N294">
    <cfRule type="expression" dxfId="412" priority="670" stopIfTrue="1">
      <formula>$AT25=TRUE</formula>
    </cfRule>
  </conditionalFormatting>
  <conditionalFormatting sqref="N84">
    <cfRule type="expression" dxfId="411" priority="656" stopIfTrue="1">
      <formula>$AT84=TRUE</formula>
    </cfRule>
  </conditionalFormatting>
  <conditionalFormatting sqref="N107">
    <cfRule type="expression" dxfId="410" priority="460" stopIfTrue="1">
      <formula>$AT107=TRUE</formula>
    </cfRule>
  </conditionalFormatting>
  <conditionalFormatting sqref="N130">
    <cfRule type="expression" dxfId="409" priority="447" stopIfTrue="1">
      <formula>$AT130=TRUE</formula>
    </cfRule>
  </conditionalFormatting>
  <conditionalFormatting sqref="N153">
    <cfRule type="expression" dxfId="408" priority="434" stopIfTrue="1">
      <formula>$AT153=TRUE</formula>
    </cfRule>
  </conditionalFormatting>
  <conditionalFormatting sqref="N176">
    <cfRule type="expression" dxfId="407" priority="421" stopIfTrue="1">
      <formula>$AT176=TRUE</formula>
    </cfRule>
  </conditionalFormatting>
  <conditionalFormatting sqref="N199">
    <cfRule type="expression" dxfId="406" priority="408" stopIfTrue="1">
      <formula>$AT199=TRUE</formula>
    </cfRule>
  </conditionalFormatting>
  <conditionalFormatting sqref="N222">
    <cfRule type="expression" dxfId="405" priority="395" stopIfTrue="1">
      <formula>$AT222=TRUE</formula>
    </cfRule>
  </conditionalFormatting>
  <conditionalFormatting sqref="N245">
    <cfRule type="expression" dxfId="404" priority="382" stopIfTrue="1">
      <formula>$AT245=TRUE</formula>
    </cfRule>
  </conditionalFormatting>
  <conditionalFormatting sqref="N268">
    <cfRule type="expression" dxfId="403" priority="369" stopIfTrue="1">
      <formula>$AT268=TRUE</formula>
    </cfRule>
  </conditionalFormatting>
  <conditionalFormatting sqref="N291">
    <cfRule type="expression" dxfId="402" priority="356" stopIfTrue="1">
      <formula>$AT291=TRUE</formula>
    </cfRule>
  </conditionalFormatting>
  <conditionalFormatting sqref="N314">
    <cfRule type="expression" dxfId="401" priority="301" stopIfTrue="1">
      <formula>$AT314=TRUE</formula>
    </cfRule>
  </conditionalFormatting>
  <conditionalFormatting sqref="N316:N317 N339:N340 N362:N363 N385:N386 N408:N409 N431:N432 N454:N455 N477:N478 N500:N501">
    <cfRule type="expression" dxfId="400" priority="303" stopIfTrue="1">
      <formula>$AT316=TRUE</formula>
    </cfRule>
  </conditionalFormatting>
  <conditionalFormatting sqref="N316:N318 N339:N341 N362:N364 N385:N387 N408:N410 N431:N433 N454:N456 N477:N479 N500:N502">
    <cfRule type="expression" dxfId="399" priority="302" stopIfTrue="1">
      <formula>$CP316=TRUE</formula>
    </cfRule>
  </conditionalFormatting>
  <conditionalFormatting sqref="N337">
    <cfRule type="expression" dxfId="398" priority="289" stopIfTrue="1">
      <formula>$AT337=TRUE</formula>
    </cfRule>
  </conditionalFormatting>
  <conditionalFormatting sqref="N360">
    <cfRule type="expression" dxfId="397" priority="277" stopIfTrue="1">
      <formula>$AT360=TRUE</formula>
    </cfRule>
  </conditionalFormatting>
  <conditionalFormatting sqref="N383">
    <cfRule type="expression" dxfId="396" priority="265" stopIfTrue="1">
      <formula>$AT383=TRUE</formula>
    </cfRule>
  </conditionalFormatting>
  <conditionalFormatting sqref="N406">
    <cfRule type="expression" dxfId="395" priority="253" stopIfTrue="1">
      <formula>$AT406=TRUE</formula>
    </cfRule>
  </conditionalFormatting>
  <conditionalFormatting sqref="N429">
    <cfRule type="expression" dxfId="394" priority="241" stopIfTrue="1">
      <formula>$AT429=TRUE</formula>
    </cfRule>
  </conditionalFormatting>
  <conditionalFormatting sqref="N452">
    <cfRule type="expression" dxfId="393" priority="229" stopIfTrue="1">
      <formula>$AT452=TRUE</formula>
    </cfRule>
  </conditionalFormatting>
  <conditionalFormatting sqref="N475">
    <cfRule type="expression" dxfId="392" priority="217" stopIfTrue="1">
      <formula>$AT475=TRUE</formula>
    </cfRule>
  </conditionalFormatting>
  <conditionalFormatting sqref="N498">
    <cfRule type="expression" dxfId="391" priority="205" stopIfTrue="1">
      <formula>$AT498=TRUE</formula>
    </cfRule>
  </conditionalFormatting>
  <conditionalFormatting sqref="N521">
    <cfRule type="expression" dxfId="390" priority="165" stopIfTrue="1">
      <formula>$AT521=TRUE</formula>
    </cfRule>
  </conditionalFormatting>
  <conditionalFormatting sqref="N523:N524 N546:N547 N569:N570 N592:N593 N615:N616 N638:N639 N661:N662 N684:N685 N707:N708">
    <cfRule type="expression" dxfId="389" priority="167" stopIfTrue="1">
      <formula>$AT523=TRUE</formula>
    </cfRule>
  </conditionalFormatting>
  <conditionalFormatting sqref="N523:N525 N546:N548 N569:N571 N592:N594 N615:N617 N638:N640 N661:N663 N684:N686 N707:N709">
    <cfRule type="expression" dxfId="388" priority="166" stopIfTrue="1">
      <formula>$CP523=TRUE</formula>
    </cfRule>
  </conditionalFormatting>
  <conditionalFormatting sqref="N544">
    <cfRule type="expression" dxfId="387" priority="153" stopIfTrue="1">
      <formula>$AT544=TRUE</formula>
    </cfRule>
  </conditionalFormatting>
  <conditionalFormatting sqref="N567">
    <cfRule type="expression" dxfId="386" priority="141" stopIfTrue="1">
      <formula>$AT567=TRUE</formula>
    </cfRule>
  </conditionalFormatting>
  <conditionalFormatting sqref="N590">
    <cfRule type="expression" dxfId="385" priority="129" stopIfTrue="1">
      <formula>$AT590=TRUE</formula>
    </cfRule>
  </conditionalFormatting>
  <conditionalFormatting sqref="N613">
    <cfRule type="expression" dxfId="384" priority="117" stopIfTrue="1">
      <formula>$AT613=TRUE</formula>
    </cfRule>
  </conditionalFormatting>
  <conditionalFormatting sqref="N636">
    <cfRule type="expression" dxfId="383" priority="105" stopIfTrue="1">
      <formula>$AT636=TRUE</formula>
    </cfRule>
  </conditionalFormatting>
  <conditionalFormatting sqref="N659">
    <cfRule type="expression" dxfId="382" priority="93" stopIfTrue="1">
      <formula>$AT659=TRUE</formula>
    </cfRule>
  </conditionalFormatting>
  <conditionalFormatting sqref="N682">
    <cfRule type="expression" dxfId="381" priority="81" stopIfTrue="1">
      <formula>$AT682=TRUE</formula>
    </cfRule>
  </conditionalFormatting>
  <conditionalFormatting sqref="N705">
    <cfRule type="expression" dxfId="380" priority="69" stopIfTrue="1">
      <formula>$AT705=TRUE</formula>
    </cfRule>
  </conditionalFormatting>
  <conditionalFormatting sqref="N728">
    <cfRule type="expression" dxfId="379" priority="29" stopIfTrue="1">
      <formula>$AT728=TRUE</formula>
    </cfRule>
  </conditionalFormatting>
  <conditionalFormatting sqref="N730:N731 N753:N754">
    <cfRule type="expression" dxfId="378" priority="31" stopIfTrue="1">
      <formula>$AT730=TRUE</formula>
    </cfRule>
  </conditionalFormatting>
  <conditionalFormatting sqref="N730:N732 N753:N755">
    <cfRule type="expression" dxfId="377" priority="30" stopIfTrue="1">
      <formula>$CP730=TRUE</formula>
    </cfRule>
  </conditionalFormatting>
  <conditionalFormatting sqref="N751">
    <cfRule type="expression" dxfId="376" priority="17" stopIfTrue="1">
      <formula>$AT751=TRUE</formula>
    </cfRule>
  </conditionalFormatting>
  <conditionalFormatting sqref="N25:P25 N27:N29 N86:N88 N109:N111 N132:N134 N155:N157 N178:N180 N201:N203 N224:N226 N247:N249 N270:N272 N293:N295">
    <cfRule type="expression" dxfId="375" priority="662" stopIfTrue="1">
      <formula>$CP25=TRUE</formula>
    </cfRule>
  </conditionalFormatting>
  <conditionalFormatting sqref="N84:P84">
    <cfRule type="expression" dxfId="374" priority="651" stopIfTrue="1">
      <formula>$CP84=TRUE</formula>
    </cfRule>
  </conditionalFormatting>
  <conditionalFormatting sqref="N107:P107">
    <cfRule type="expression" dxfId="373" priority="455" stopIfTrue="1">
      <formula>$CP107=TRUE</formula>
    </cfRule>
  </conditionalFormatting>
  <conditionalFormatting sqref="N130:P130">
    <cfRule type="expression" dxfId="372" priority="442" stopIfTrue="1">
      <formula>$CP130=TRUE</formula>
    </cfRule>
  </conditionalFormatting>
  <conditionalFormatting sqref="N153:P153">
    <cfRule type="expression" dxfId="371" priority="429" stopIfTrue="1">
      <formula>$CP153=TRUE</formula>
    </cfRule>
  </conditionalFormatting>
  <conditionalFormatting sqref="N176:P176">
    <cfRule type="expression" dxfId="370" priority="416" stopIfTrue="1">
      <formula>$CP176=TRUE</formula>
    </cfRule>
  </conditionalFormatting>
  <conditionalFormatting sqref="N199:P199">
    <cfRule type="expression" dxfId="369" priority="403" stopIfTrue="1">
      <formula>$CP199=TRUE</formula>
    </cfRule>
  </conditionalFormatting>
  <conditionalFormatting sqref="N222:P222">
    <cfRule type="expression" dxfId="368" priority="390" stopIfTrue="1">
      <formula>$CP222=TRUE</formula>
    </cfRule>
  </conditionalFormatting>
  <conditionalFormatting sqref="N245:P245">
    <cfRule type="expression" dxfId="367" priority="377" stopIfTrue="1">
      <formula>$CP245=TRUE</formula>
    </cfRule>
  </conditionalFormatting>
  <conditionalFormatting sqref="N268:P268">
    <cfRule type="expression" dxfId="366" priority="364" stopIfTrue="1">
      <formula>$CP268=TRUE</formula>
    </cfRule>
  </conditionalFormatting>
  <conditionalFormatting sqref="N291:P291">
    <cfRule type="expression" dxfId="365" priority="351" stopIfTrue="1">
      <formula>$CP291=TRUE</formula>
    </cfRule>
  </conditionalFormatting>
  <conditionalFormatting sqref="N314:P314">
    <cfRule type="expression" dxfId="364" priority="296" stopIfTrue="1">
      <formula>$CP314=TRUE</formula>
    </cfRule>
  </conditionalFormatting>
  <conditionalFormatting sqref="N337:P337">
    <cfRule type="expression" dxfId="363" priority="284" stopIfTrue="1">
      <formula>$CP337=TRUE</formula>
    </cfRule>
  </conditionalFormatting>
  <conditionalFormatting sqref="N360:P360">
    <cfRule type="expression" dxfId="362" priority="272" stopIfTrue="1">
      <formula>$CP360=TRUE</formula>
    </cfRule>
  </conditionalFormatting>
  <conditionalFormatting sqref="N383:P383">
    <cfRule type="expression" dxfId="361" priority="260" stopIfTrue="1">
      <formula>$CP383=TRUE</formula>
    </cfRule>
  </conditionalFormatting>
  <conditionalFormatting sqref="N406:P406">
    <cfRule type="expression" dxfId="360" priority="248" stopIfTrue="1">
      <formula>$CP406=TRUE</formula>
    </cfRule>
  </conditionalFormatting>
  <conditionalFormatting sqref="N429:P429">
    <cfRule type="expression" dxfId="359" priority="236" stopIfTrue="1">
      <formula>$CP429=TRUE</formula>
    </cfRule>
  </conditionalFormatting>
  <conditionalFormatting sqref="N452:P452">
    <cfRule type="expression" dxfId="358" priority="224" stopIfTrue="1">
      <formula>$CP452=TRUE</formula>
    </cfRule>
  </conditionalFormatting>
  <conditionalFormatting sqref="N475:P475">
    <cfRule type="expression" dxfId="357" priority="212" stopIfTrue="1">
      <formula>$CP475=TRUE</formula>
    </cfRule>
  </conditionalFormatting>
  <conditionalFormatting sqref="N498:P498">
    <cfRule type="expression" dxfId="356" priority="200" stopIfTrue="1">
      <formula>$CP498=TRUE</formula>
    </cfRule>
  </conditionalFormatting>
  <conditionalFormatting sqref="N521:P521">
    <cfRule type="expression" dxfId="355" priority="160" stopIfTrue="1">
      <formula>$CP521=TRUE</formula>
    </cfRule>
  </conditionalFormatting>
  <conditionalFormatting sqref="N544:P544">
    <cfRule type="expression" dxfId="354" priority="148" stopIfTrue="1">
      <formula>$CP544=TRUE</formula>
    </cfRule>
  </conditionalFormatting>
  <conditionalFormatting sqref="N567:P567">
    <cfRule type="expression" dxfId="353" priority="136" stopIfTrue="1">
      <formula>$CP567=TRUE</formula>
    </cfRule>
  </conditionalFormatting>
  <conditionalFormatting sqref="N590:P590">
    <cfRule type="expression" dxfId="352" priority="124" stopIfTrue="1">
      <formula>$CP590=TRUE</formula>
    </cfRule>
  </conditionalFormatting>
  <conditionalFormatting sqref="N613:P613">
    <cfRule type="expression" dxfId="351" priority="112" stopIfTrue="1">
      <formula>$CP613=TRUE</formula>
    </cfRule>
  </conditionalFormatting>
  <conditionalFormatting sqref="N636:P636">
    <cfRule type="expression" dxfId="350" priority="100" stopIfTrue="1">
      <formula>$CP636=TRUE</formula>
    </cfRule>
  </conditionalFormatting>
  <conditionalFormatting sqref="N659:P659">
    <cfRule type="expression" dxfId="349" priority="88" stopIfTrue="1">
      <formula>$CP659=TRUE</formula>
    </cfRule>
  </conditionalFormatting>
  <conditionalFormatting sqref="N682:P682">
    <cfRule type="expression" dxfId="348" priority="76" stopIfTrue="1">
      <formula>$CP682=TRUE</formula>
    </cfRule>
  </conditionalFormatting>
  <conditionalFormatting sqref="N705:P705">
    <cfRule type="expression" dxfId="347" priority="64" stopIfTrue="1">
      <formula>$CP705=TRUE</formula>
    </cfRule>
  </conditionalFormatting>
  <conditionalFormatting sqref="N728:P728">
    <cfRule type="expression" dxfId="346" priority="24" stopIfTrue="1">
      <formula>$CP728=TRUE</formula>
    </cfRule>
  </conditionalFormatting>
  <conditionalFormatting sqref="N751:P751">
    <cfRule type="expression" dxfId="345" priority="12" stopIfTrue="1">
      <formula>$CP751=TRUE</formula>
    </cfRule>
  </conditionalFormatting>
  <conditionalFormatting sqref="O27:O28">
    <cfRule type="expression" dxfId="344" priority="661" stopIfTrue="1">
      <formula>$CP27=TRUE</formula>
    </cfRule>
  </conditionalFormatting>
  <conditionalFormatting sqref="O86:O87">
    <cfRule type="expression" dxfId="343" priority="650" stopIfTrue="1">
      <formula>$CP86=TRUE</formula>
    </cfRule>
  </conditionalFormatting>
  <conditionalFormatting sqref="O109:O110">
    <cfRule type="expression" dxfId="342" priority="454" stopIfTrue="1">
      <formula>$CP109=TRUE</formula>
    </cfRule>
  </conditionalFormatting>
  <conditionalFormatting sqref="O132:O133">
    <cfRule type="expression" dxfId="341" priority="441" stopIfTrue="1">
      <formula>$CP132=TRUE</formula>
    </cfRule>
  </conditionalFormatting>
  <conditionalFormatting sqref="O155:O156">
    <cfRule type="expression" dxfId="340" priority="428" stopIfTrue="1">
      <formula>$CP155=TRUE</formula>
    </cfRule>
  </conditionalFormatting>
  <conditionalFormatting sqref="O178:O179">
    <cfRule type="expression" dxfId="339" priority="415" stopIfTrue="1">
      <formula>$CP178=TRUE</formula>
    </cfRule>
  </conditionalFormatting>
  <conditionalFormatting sqref="O201:O202">
    <cfRule type="expression" dxfId="338" priority="402" stopIfTrue="1">
      <formula>$CP201=TRUE</formula>
    </cfRule>
  </conditionalFormatting>
  <conditionalFormatting sqref="O224:O225">
    <cfRule type="expression" dxfId="337" priority="389" stopIfTrue="1">
      <formula>$CP224=TRUE</formula>
    </cfRule>
  </conditionalFormatting>
  <conditionalFormatting sqref="O247:O248">
    <cfRule type="expression" dxfId="336" priority="376" stopIfTrue="1">
      <formula>$CP247=TRUE</formula>
    </cfRule>
  </conditionalFormatting>
  <conditionalFormatting sqref="O270:O271">
    <cfRule type="expression" dxfId="335" priority="363" stopIfTrue="1">
      <formula>$CP270=TRUE</formula>
    </cfRule>
  </conditionalFormatting>
  <conditionalFormatting sqref="O293:O294">
    <cfRule type="expression" dxfId="334" priority="350" stopIfTrue="1">
      <formula>$CP293=TRUE</formula>
    </cfRule>
  </conditionalFormatting>
  <conditionalFormatting sqref="O316:O317">
    <cfRule type="expression" dxfId="333" priority="295" stopIfTrue="1">
      <formula>$CP316=TRUE</formula>
    </cfRule>
  </conditionalFormatting>
  <conditionalFormatting sqref="O339:O340">
    <cfRule type="expression" dxfId="332" priority="283" stopIfTrue="1">
      <formula>$CP339=TRUE</formula>
    </cfRule>
  </conditionalFormatting>
  <conditionalFormatting sqref="O362:O363">
    <cfRule type="expression" dxfId="331" priority="271" stopIfTrue="1">
      <formula>$CP362=TRUE</formula>
    </cfRule>
  </conditionalFormatting>
  <conditionalFormatting sqref="O385:O386">
    <cfRule type="expression" dxfId="330" priority="259" stopIfTrue="1">
      <formula>$CP385=TRUE</formula>
    </cfRule>
  </conditionalFormatting>
  <conditionalFormatting sqref="O408:O409">
    <cfRule type="expression" dxfId="329" priority="247" stopIfTrue="1">
      <formula>$CP408=TRUE</formula>
    </cfRule>
  </conditionalFormatting>
  <conditionalFormatting sqref="O431:O432">
    <cfRule type="expression" dxfId="328" priority="235" stopIfTrue="1">
      <formula>$CP431=TRUE</formula>
    </cfRule>
  </conditionalFormatting>
  <conditionalFormatting sqref="O454:O455">
    <cfRule type="expression" dxfId="327" priority="223" stopIfTrue="1">
      <formula>$CP454=TRUE</formula>
    </cfRule>
  </conditionalFormatting>
  <conditionalFormatting sqref="O477:O478">
    <cfRule type="expression" dxfId="326" priority="211" stopIfTrue="1">
      <formula>$CP477=TRUE</formula>
    </cfRule>
  </conditionalFormatting>
  <conditionalFormatting sqref="O500:O501">
    <cfRule type="expression" dxfId="325" priority="199" stopIfTrue="1">
      <formula>$CP500=TRUE</formula>
    </cfRule>
  </conditionalFormatting>
  <conditionalFormatting sqref="O523:O524">
    <cfRule type="expression" dxfId="324" priority="159" stopIfTrue="1">
      <formula>$CP523=TRUE</formula>
    </cfRule>
  </conditionalFormatting>
  <conditionalFormatting sqref="O546:O547">
    <cfRule type="expression" dxfId="323" priority="147" stopIfTrue="1">
      <formula>$CP546=TRUE</formula>
    </cfRule>
  </conditionalFormatting>
  <conditionalFormatting sqref="O569:O570">
    <cfRule type="expression" dxfId="322" priority="135" stopIfTrue="1">
      <formula>$CP569=TRUE</formula>
    </cfRule>
  </conditionalFormatting>
  <conditionalFormatting sqref="O592:O593">
    <cfRule type="expression" dxfId="321" priority="123" stopIfTrue="1">
      <formula>$CP592=TRUE</formula>
    </cfRule>
  </conditionalFormatting>
  <conditionalFormatting sqref="O615:O616">
    <cfRule type="expression" dxfId="320" priority="111" stopIfTrue="1">
      <formula>$CP615=TRUE</formula>
    </cfRule>
  </conditionalFormatting>
  <conditionalFormatting sqref="O638:O639">
    <cfRule type="expression" dxfId="319" priority="99" stopIfTrue="1">
      <formula>$CP638=TRUE</formula>
    </cfRule>
  </conditionalFormatting>
  <conditionalFormatting sqref="O661:O662">
    <cfRule type="expression" dxfId="318" priority="87" stopIfTrue="1">
      <formula>$CP661=TRUE</formula>
    </cfRule>
  </conditionalFormatting>
  <conditionalFormatting sqref="O684:O685">
    <cfRule type="expression" dxfId="317" priority="75" stopIfTrue="1">
      <formula>$CP684=TRUE</formula>
    </cfRule>
  </conditionalFormatting>
  <conditionalFormatting sqref="O707:O708">
    <cfRule type="expression" dxfId="316" priority="63" stopIfTrue="1">
      <formula>$CP707=TRUE</formula>
    </cfRule>
  </conditionalFormatting>
  <conditionalFormatting sqref="O730:O731">
    <cfRule type="expression" dxfId="315" priority="23" stopIfTrue="1">
      <formula>$CP730=TRUE</formula>
    </cfRule>
  </conditionalFormatting>
  <conditionalFormatting sqref="O753:O754">
    <cfRule type="expression" dxfId="314" priority="11" stopIfTrue="1">
      <formula>$CP753=TRUE</formula>
    </cfRule>
  </conditionalFormatting>
  <conditionalFormatting sqref="P25">
    <cfRule type="expression" dxfId="313" priority="668" stopIfTrue="1">
      <formula>$BG25=TRUE</formula>
    </cfRule>
  </conditionalFormatting>
  <conditionalFormatting sqref="P27:P29">
    <cfRule type="expression" dxfId="312" priority="664" stopIfTrue="1">
      <formula>$BF27=TRUE</formula>
    </cfRule>
  </conditionalFormatting>
  <conditionalFormatting sqref="P84">
    <cfRule type="expression" dxfId="311" priority="655" stopIfTrue="1">
      <formula>$BG84=TRUE</formula>
    </cfRule>
  </conditionalFormatting>
  <conditionalFormatting sqref="P86:P88">
    <cfRule type="expression" dxfId="310" priority="653" stopIfTrue="1">
      <formula>$BF86=TRUE</formula>
    </cfRule>
  </conditionalFormatting>
  <conditionalFormatting sqref="P107">
    <cfRule type="expression" dxfId="309" priority="459" stopIfTrue="1">
      <formula>$BG107=TRUE</formula>
    </cfRule>
  </conditionalFormatting>
  <conditionalFormatting sqref="P109:P111">
    <cfRule type="expression" dxfId="308" priority="457" stopIfTrue="1">
      <formula>$BF109=TRUE</formula>
    </cfRule>
  </conditionalFormatting>
  <conditionalFormatting sqref="P130">
    <cfRule type="expression" dxfId="307" priority="446" stopIfTrue="1">
      <formula>$BG130=TRUE</formula>
    </cfRule>
  </conditionalFormatting>
  <conditionalFormatting sqref="P132:P134">
    <cfRule type="expression" dxfId="306" priority="444" stopIfTrue="1">
      <formula>$BF132=TRUE</formula>
    </cfRule>
  </conditionalFormatting>
  <conditionalFormatting sqref="P153">
    <cfRule type="expression" dxfId="305" priority="433" stopIfTrue="1">
      <formula>$BG153=TRUE</formula>
    </cfRule>
  </conditionalFormatting>
  <conditionalFormatting sqref="P155:P157">
    <cfRule type="expression" dxfId="304" priority="431" stopIfTrue="1">
      <formula>$BF155=TRUE</formula>
    </cfRule>
  </conditionalFormatting>
  <conditionalFormatting sqref="P176">
    <cfRule type="expression" dxfId="303" priority="420" stopIfTrue="1">
      <formula>$BG176=TRUE</formula>
    </cfRule>
  </conditionalFormatting>
  <conditionalFormatting sqref="P178:P180">
    <cfRule type="expression" dxfId="302" priority="418" stopIfTrue="1">
      <formula>$BF178=TRUE</formula>
    </cfRule>
  </conditionalFormatting>
  <conditionalFormatting sqref="P199">
    <cfRule type="expression" dxfId="301" priority="407" stopIfTrue="1">
      <formula>$BG199=TRUE</formula>
    </cfRule>
  </conditionalFormatting>
  <conditionalFormatting sqref="P201:P203">
    <cfRule type="expression" dxfId="300" priority="405" stopIfTrue="1">
      <formula>$BF201=TRUE</formula>
    </cfRule>
  </conditionalFormatting>
  <conditionalFormatting sqref="P222">
    <cfRule type="expression" dxfId="299" priority="394" stopIfTrue="1">
      <formula>$BG222=TRUE</formula>
    </cfRule>
  </conditionalFormatting>
  <conditionalFormatting sqref="P224:P226">
    <cfRule type="expression" dxfId="298" priority="392" stopIfTrue="1">
      <formula>$BF224=TRUE</formula>
    </cfRule>
  </conditionalFormatting>
  <conditionalFormatting sqref="P245">
    <cfRule type="expression" dxfId="297" priority="381" stopIfTrue="1">
      <formula>$BG245=TRUE</formula>
    </cfRule>
  </conditionalFormatting>
  <conditionalFormatting sqref="P247:P249">
    <cfRule type="expression" dxfId="296" priority="379" stopIfTrue="1">
      <formula>$BF247=TRUE</formula>
    </cfRule>
  </conditionalFormatting>
  <conditionalFormatting sqref="P268">
    <cfRule type="expression" dxfId="295" priority="368" stopIfTrue="1">
      <formula>$BG268=TRUE</formula>
    </cfRule>
  </conditionalFormatting>
  <conditionalFormatting sqref="P270:P272">
    <cfRule type="expression" dxfId="294" priority="366" stopIfTrue="1">
      <formula>$BF270=TRUE</formula>
    </cfRule>
  </conditionalFormatting>
  <conditionalFormatting sqref="P291">
    <cfRule type="expression" dxfId="293" priority="355" stopIfTrue="1">
      <formula>$BG291=TRUE</formula>
    </cfRule>
  </conditionalFormatting>
  <conditionalFormatting sqref="P293:P295">
    <cfRule type="expression" dxfId="292" priority="353" stopIfTrue="1">
      <formula>$BF293=TRUE</formula>
    </cfRule>
  </conditionalFormatting>
  <conditionalFormatting sqref="P314">
    <cfRule type="expression" dxfId="291" priority="300" stopIfTrue="1">
      <formula>$BG314=TRUE</formula>
    </cfRule>
  </conditionalFormatting>
  <conditionalFormatting sqref="P316:P318">
    <cfRule type="expression" dxfId="290" priority="298" stopIfTrue="1">
      <formula>$BF316=TRUE</formula>
    </cfRule>
  </conditionalFormatting>
  <conditionalFormatting sqref="P337">
    <cfRule type="expression" dxfId="289" priority="288" stopIfTrue="1">
      <formula>$BG337=TRUE</formula>
    </cfRule>
  </conditionalFormatting>
  <conditionalFormatting sqref="P339:P341">
    <cfRule type="expression" dxfId="288" priority="286" stopIfTrue="1">
      <formula>$BF339=TRUE</formula>
    </cfRule>
  </conditionalFormatting>
  <conditionalFormatting sqref="P360">
    <cfRule type="expression" dxfId="287" priority="276" stopIfTrue="1">
      <formula>$BG360=TRUE</formula>
    </cfRule>
  </conditionalFormatting>
  <conditionalFormatting sqref="P362:P364">
    <cfRule type="expression" dxfId="286" priority="274" stopIfTrue="1">
      <formula>$BF362=TRUE</formula>
    </cfRule>
  </conditionalFormatting>
  <conditionalFormatting sqref="P383">
    <cfRule type="expression" dxfId="285" priority="264" stopIfTrue="1">
      <formula>$BG383=TRUE</formula>
    </cfRule>
  </conditionalFormatting>
  <conditionalFormatting sqref="P385:P387">
    <cfRule type="expression" dxfId="284" priority="262" stopIfTrue="1">
      <formula>$BF385=TRUE</formula>
    </cfRule>
  </conditionalFormatting>
  <conditionalFormatting sqref="P406">
    <cfRule type="expression" dxfId="283" priority="252" stopIfTrue="1">
      <formula>$BG406=TRUE</formula>
    </cfRule>
  </conditionalFormatting>
  <conditionalFormatting sqref="P408:P410">
    <cfRule type="expression" dxfId="282" priority="250" stopIfTrue="1">
      <formula>$BF408=TRUE</formula>
    </cfRule>
  </conditionalFormatting>
  <conditionalFormatting sqref="P429">
    <cfRule type="expression" dxfId="281" priority="240" stopIfTrue="1">
      <formula>$BG429=TRUE</formula>
    </cfRule>
  </conditionalFormatting>
  <conditionalFormatting sqref="P431:P433">
    <cfRule type="expression" dxfId="280" priority="238" stopIfTrue="1">
      <formula>$BF431=TRUE</formula>
    </cfRule>
  </conditionalFormatting>
  <conditionalFormatting sqref="P452">
    <cfRule type="expression" dxfId="279" priority="228" stopIfTrue="1">
      <formula>$BG452=TRUE</formula>
    </cfRule>
  </conditionalFormatting>
  <conditionalFormatting sqref="P454:P456">
    <cfRule type="expression" dxfId="278" priority="226" stopIfTrue="1">
      <formula>$BF454=TRUE</formula>
    </cfRule>
  </conditionalFormatting>
  <conditionalFormatting sqref="P475">
    <cfRule type="expression" dxfId="277" priority="216" stopIfTrue="1">
      <formula>$BG475=TRUE</formula>
    </cfRule>
  </conditionalFormatting>
  <conditionalFormatting sqref="P477:P479">
    <cfRule type="expression" dxfId="276" priority="214" stopIfTrue="1">
      <formula>$BF477=TRUE</formula>
    </cfRule>
  </conditionalFormatting>
  <conditionalFormatting sqref="P498">
    <cfRule type="expression" dxfId="275" priority="204" stopIfTrue="1">
      <formula>$BG498=TRUE</formula>
    </cfRule>
  </conditionalFormatting>
  <conditionalFormatting sqref="P500:P502">
    <cfRule type="expression" dxfId="274" priority="202" stopIfTrue="1">
      <formula>$BF500=TRUE</formula>
    </cfRule>
  </conditionalFormatting>
  <conditionalFormatting sqref="P521">
    <cfRule type="expression" dxfId="273" priority="164" stopIfTrue="1">
      <formula>$BG521=TRUE</formula>
    </cfRule>
  </conditionalFormatting>
  <conditionalFormatting sqref="P523:P525">
    <cfRule type="expression" dxfId="272" priority="162" stopIfTrue="1">
      <formula>$BF523=TRUE</formula>
    </cfRule>
  </conditionalFormatting>
  <conditionalFormatting sqref="P544">
    <cfRule type="expression" dxfId="271" priority="152" stopIfTrue="1">
      <formula>$BG544=TRUE</formula>
    </cfRule>
  </conditionalFormatting>
  <conditionalFormatting sqref="P546:P548">
    <cfRule type="expression" dxfId="270" priority="150" stopIfTrue="1">
      <formula>$BF546=TRUE</formula>
    </cfRule>
  </conditionalFormatting>
  <conditionalFormatting sqref="P567">
    <cfRule type="expression" dxfId="269" priority="140" stopIfTrue="1">
      <formula>$BG567=TRUE</formula>
    </cfRule>
  </conditionalFormatting>
  <conditionalFormatting sqref="P569:P571">
    <cfRule type="expression" dxfId="268" priority="138" stopIfTrue="1">
      <formula>$BF569=TRUE</formula>
    </cfRule>
  </conditionalFormatting>
  <conditionalFormatting sqref="P590">
    <cfRule type="expression" dxfId="267" priority="128" stopIfTrue="1">
      <formula>$BG590=TRUE</formula>
    </cfRule>
  </conditionalFormatting>
  <conditionalFormatting sqref="P592:P594">
    <cfRule type="expression" dxfId="266" priority="126" stopIfTrue="1">
      <formula>$BF592=TRUE</formula>
    </cfRule>
  </conditionalFormatting>
  <conditionalFormatting sqref="P613">
    <cfRule type="expression" dxfId="265" priority="116" stopIfTrue="1">
      <formula>$BG613=TRUE</formula>
    </cfRule>
  </conditionalFormatting>
  <conditionalFormatting sqref="P615:P617">
    <cfRule type="expression" dxfId="264" priority="114" stopIfTrue="1">
      <formula>$BF615=TRUE</formula>
    </cfRule>
  </conditionalFormatting>
  <conditionalFormatting sqref="P636">
    <cfRule type="expression" dxfId="263" priority="104" stopIfTrue="1">
      <formula>$BG636=TRUE</formula>
    </cfRule>
  </conditionalFormatting>
  <conditionalFormatting sqref="P638:P640">
    <cfRule type="expression" dxfId="262" priority="102" stopIfTrue="1">
      <formula>$BF638=TRUE</formula>
    </cfRule>
  </conditionalFormatting>
  <conditionalFormatting sqref="P659">
    <cfRule type="expression" dxfId="261" priority="92" stopIfTrue="1">
      <formula>$BG659=TRUE</formula>
    </cfRule>
  </conditionalFormatting>
  <conditionalFormatting sqref="P661:P663">
    <cfRule type="expression" dxfId="260" priority="90" stopIfTrue="1">
      <formula>$BF661=TRUE</formula>
    </cfRule>
  </conditionalFormatting>
  <conditionalFormatting sqref="P682">
    <cfRule type="expression" dxfId="259" priority="80" stopIfTrue="1">
      <formula>$BG682=TRUE</formula>
    </cfRule>
  </conditionalFormatting>
  <conditionalFormatting sqref="P684:P686">
    <cfRule type="expression" dxfId="258" priority="78" stopIfTrue="1">
      <formula>$BF684=TRUE</formula>
    </cfRule>
  </conditionalFormatting>
  <conditionalFormatting sqref="P705">
    <cfRule type="expression" dxfId="257" priority="68" stopIfTrue="1">
      <formula>$BG705=TRUE</formula>
    </cfRule>
  </conditionalFormatting>
  <conditionalFormatting sqref="P707:P709">
    <cfRule type="expression" dxfId="256" priority="66" stopIfTrue="1">
      <formula>$BF707=TRUE</formula>
    </cfRule>
  </conditionalFormatting>
  <conditionalFormatting sqref="P728">
    <cfRule type="expression" dxfId="255" priority="28" stopIfTrue="1">
      <formula>$BG728=TRUE</formula>
    </cfRule>
  </conditionalFormatting>
  <conditionalFormatting sqref="P730:P732">
    <cfRule type="expression" dxfId="254" priority="26" stopIfTrue="1">
      <formula>$BF730=TRUE</formula>
    </cfRule>
  </conditionalFormatting>
  <conditionalFormatting sqref="P751">
    <cfRule type="expression" dxfId="253" priority="16" stopIfTrue="1">
      <formula>$BG751=TRUE</formula>
    </cfRule>
  </conditionalFormatting>
  <conditionalFormatting sqref="P753:P755">
    <cfRule type="expression" dxfId="252" priority="14" stopIfTrue="1">
      <formula>$BF753=TRUE</formula>
    </cfRule>
  </conditionalFormatting>
  <conditionalFormatting sqref="P27:Q29">
    <cfRule type="expression" dxfId="251" priority="663" stopIfTrue="1">
      <formula>$CP27=TRUE</formula>
    </cfRule>
  </conditionalFormatting>
  <conditionalFormatting sqref="P86:Q88">
    <cfRule type="expression" dxfId="250" priority="652" stopIfTrue="1">
      <formula>$CP86=TRUE</formula>
    </cfRule>
  </conditionalFormatting>
  <conditionalFormatting sqref="P109:Q111">
    <cfRule type="expression" dxfId="249" priority="456" stopIfTrue="1">
      <formula>$CP109=TRUE</formula>
    </cfRule>
  </conditionalFormatting>
  <conditionalFormatting sqref="P132:Q134">
    <cfRule type="expression" dxfId="248" priority="443" stopIfTrue="1">
      <formula>$CP132=TRUE</formula>
    </cfRule>
  </conditionalFormatting>
  <conditionalFormatting sqref="P155:Q157">
    <cfRule type="expression" dxfId="247" priority="430" stopIfTrue="1">
      <formula>$CP155=TRUE</formula>
    </cfRule>
  </conditionalFormatting>
  <conditionalFormatting sqref="P178:Q180">
    <cfRule type="expression" dxfId="246" priority="417" stopIfTrue="1">
      <formula>$CP178=TRUE</formula>
    </cfRule>
  </conditionalFormatting>
  <conditionalFormatting sqref="P201:Q203">
    <cfRule type="expression" dxfId="245" priority="404" stopIfTrue="1">
      <formula>$CP201=TRUE</formula>
    </cfRule>
  </conditionalFormatting>
  <conditionalFormatting sqref="P224:Q226">
    <cfRule type="expression" dxfId="244" priority="391" stopIfTrue="1">
      <formula>$CP224=TRUE</formula>
    </cfRule>
  </conditionalFormatting>
  <conditionalFormatting sqref="P247:Q249">
    <cfRule type="expression" dxfId="243" priority="378" stopIfTrue="1">
      <formula>$CP247=TRUE</formula>
    </cfRule>
  </conditionalFormatting>
  <conditionalFormatting sqref="P270:Q272">
    <cfRule type="expression" dxfId="242" priority="365" stopIfTrue="1">
      <formula>$CP270=TRUE</formula>
    </cfRule>
  </conditionalFormatting>
  <conditionalFormatting sqref="P293:Q295">
    <cfRule type="expression" dxfId="241" priority="352" stopIfTrue="1">
      <formula>$CP293=TRUE</formula>
    </cfRule>
  </conditionalFormatting>
  <conditionalFormatting sqref="P316:Q318">
    <cfRule type="expression" dxfId="240" priority="297" stopIfTrue="1">
      <formula>$CP316=TRUE</formula>
    </cfRule>
  </conditionalFormatting>
  <conditionalFormatting sqref="P339:Q341">
    <cfRule type="expression" dxfId="239" priority="285" stopIfTrue="1">
      <formula>$CP339=TRUE</formula>
    </cfRule>
  </conditionalFormatting>
  <conditionalFormatting sqref="P362:Q364">
    <cfRule type="expression" dxfId="238" priority="273" stopIfTrue="1">
      <formula>$CP362=TRUE</formula>
    </cfRule>
  </conditionalFormatting>
  <conditionalFormatting sqref="P385:Q387">
    <cfRule type="expression" dxfId="237" priority="261" stopIfTrue="1">
      <formula>$CP385=TRUE</formula>
    </cfRule>
  </conditionalFormatting>
  <conditionalFormatting sqref="P408:Q410">
    <cfRule type="expression" dxfId="236" priority="249" stopIfTrue="1">
      <formula>$CP408=TRUE</formula>
    </cfRule>
  </conditionalFormatting>
  <conditionalFormatting sqref="P431:Q433">
    <cfRule type="expression" dxfId="235" priority="237" stopIfTrue="1">
      <formula>$CP431=TRUE</formula>
    </cfRule>
  </conditionalFormatting>
  <conditionalFormatting sqref="P454:Q456">
    <cfRule type="expression" dxfId="234" priority="225" stopIfTrue="1">
      <formula>$CP454=TRUE</formula>
    </cfRule>
  </conditionalFormatting>
  <conditionalFormatting sqref="P477:Q479">
    <cfRule type="expression" dxfId="233" priority="213" stopIfTrue="1">
      <formula>$CP477=TRUE</formula>
    </cfRule>
  </conditionalFormatting>
  <conditionalFormatting sqref="P500:Q502">
    <cfRule type="expression" dxfId="232" priority="201" stopIfTrue="1">
      <formula>$CP500=TRUE</formula>
    </cfRule>
  </conditionalFormatting>
  <conditionalFormatting sqref="P523:Q525">
    <cfRule type="expression" dxfId="231" priority="161" stopIfTrue="1">
      <formula>$CP523=TRUE</formula>
    </cfRule>
  </conditionalFormatting>
  <conditionalFormatting sqref="P546:Q548">
    <cfRule type="expression" dxfId="230" priority="149" stopIfTrue="1">
      <formula>$CP546=TRUE</formula>
    </cfRule>
  </conditionalFormatting>
  <conditionalFormatting sqref="P569:Q571">
    <cfRule type="expression" dxfId="229" priority="137" stopIfTrue="1">
      <formula>$CP569=TRUE</formula>
    </cfRule>
  </conditionalFormatting>
  <conditionalFormatting sqref="P592:Q594">
    <cfRule type="expression" dxfId="228" priority="125" stopIfTrue="1">
      <formula>$CP592=TRUE</formula>
    </cfRule>
  </conditionalFormatting>
  <conditionalFormatting sqref="P615:Q617">
    <cfRule type="expression" dxfId="227" priority="113" stopIfTrue="1">
      <formula>$CP615=TRUE</formula>
    </cfRule>
  </conditionalFormatting>
  <conditionalFormatting sqref="P638:Q640">
    <cfRule type="expression" dxfId="226" priority="101" stopIfTrue="1">
      <formula>$CP638=TRUE</formula>
    </cfRule>
  </conditionalFormatting>
  <conditionalFormatting sqref="P661:Q663">
    <cfRule type="expression" dxfId="225" priority="89" stopIfTrue="1">
      <formula>$CP661=TRUE</formula>
    </cfRule>
  </conditionalFormatting>
  <conditionalFormatting sqref="P684:Q686">
    <cfRule type="expression" dxfId="224" priority="77" stopIfTrue="1">
      <formula>$CP684=TRUE</formula>
    </cfRule>
  </conditionalFormatting>
  <conditionalFormatting sqref="P707:Q709">
    <cfRule type="expression" dxfId="223" priority="65" stopIfTrue="1">
      <formula>$CP707=TRUE</formula>
    </cfRule>
  </conditionalFormatting>
  <conditionalFormatting sqref="P730:Q732">
    <cfRule type="expression" dxfId="222" priority="25" stopIfTrue="1">
      <formula>$CP730=TRUE</formula>
    </cfRule>
  </conditionalFormatting>
  <conditionalFormatting sqref="P753:Q755">
    <cfRule type="expression" dxfId="221" priority="13" stopIfTrue="1">
      <formula>$CP753=TRUE</formula>
    </cfRule>
  </conditionalFormatting>
  <conditionalFormatting sqref="Q27:Q29">
    <cfRule type="expression" dxfId="220" priority="666" stopIfTrue="1">
      <formula>$BG27=TRUE</formula>
    </cfRule>
  </conditionalFormatting>
  <conditionalFormatting sqref="Q86:Q88">
    <cfRule type="expression" dxfId="219" priority="654" stopIfTrue="1">
      <formula>$BG86=TRUE</formula>
    </cfRule>
  </conditionalFormatting>
  <conditionalFormatting sqref="Q109:Q111">
    <cfRule type="expression" dxfId="218" priority="458" stopIfTrue="1">
      <formula>$BG109=TRUE</formula>
    </cfRule>
  </conditionalFormatting>
  <conditionalFormatting sqref="Q132:Q134">
    <cfRule type="expression" dxfId="217" priority="445" stopIfTrue="1">
      <formula>$BG132=TRUE</formula>
    </cfRule>
  </conditionalFormatting>
  <conditionalFormatting sqref="Q155:Q157">
    <cfRule type="expression" dxfId="216" priority="432" stopIfTrue="1">
      <formula>$BG155=TRUE</formula>
    </cfRule>
  </conditionalFormatting>
  <conditionalFormatting sqref="Q178:Q180">
    <cfRule type="expression" dxfId="215" priority="419" stopIfTrue="1">
      <formula>$BG178=TRUE</formula>
    </cfRule>
  </conditionalFormatting>
  <conditionalFormatting sqref="Q201:Q203">
    <cfRule type="expression" dxfId="214" priority="406" stopIfTrue="1">
      <formula>$BG201=TRUE</formula>
    </cfRule>
  </conditionalFormatting>
  <conditionalFormatting sqref="Q224:Q226">
    <cfRule type="expression" dxfId="213" priority="393" stopIfTrue="1">
      <formula>$BG224=TRUE</formula>
    </cfRule>
  </conditionalFormatting>
  <conditionalFormatting sqref="Q247:Q249">
    <cfRule type="expression" dxfId="212" priority="380" stopIfTrue="1">
      <formula>$BG247=TRUE</formula>
    </cfRule>
  </conditionalFormatting>
  <conditionalFormatting sqref="Q270:Q272">
    <cfRule type="expression" dxfId="211" priority="367" stopIfTrue="1">
      <formula>$BG270=TRUE</formula>
    </cfRule>
  </conditionalFormatting>
  <conditionalFormatting sqref="Q293:Q295">
    <cfRule type="expression" dxfId="210" priority="354" stopIfTrue="1">
      <formula>$BG293=TRUE</formula>
    </cfRule>
  </conditionalFormatting>
  <conditionalFormatting sqref="Q316:Q318">
    <cfRule type="expression" dxfId="209" priority="299" stopIfTrue="1">
      <formula>$BG316=TRUE</formula>
    </cfRule>
  </conditionalFormatting>
  <conditionalFormatting sqref="Q339:Q341">
    <cfRule type="expression" dxfId="208" priority="287" stopIfTrue="1">
      <formula>$BG339=TRUE</formula>
    </cfRule>
  </conditionalFormatting>
  <conditionalFormatting sqref="Q362:Q364">
    <cfRule type="expression" dxfId="207" priority="275" stopIfTrue="1">
      <formula>$BG362=TRUE</formula>
    </cfRule>
  </conditionalFormatting>
  <conditionalFormatting sqref="Q385:Q387">
    <cfRule type="expression" dxfId="206" priority="263" stopIfTrue="1">
      <formula>$BG385=TRUE</formula>
    </cfRule>
  </conditionalFormatting>
  <conditionalFormatting sqref="Q408:Q410">
    <cfRule type="expression" dxfId="205" priority="251" stopIfTrue="1">
      <formula>$BG408=TRUE</formula>
    </cfRule>
  </conditionalFormatting>
  <conditionalFormatting sqref="Q431:Q433">
    <cfRule type="expression" dxfId="204" priority="239" stopIfTrue="1">
      <formula>$BG431=TRUE</formula>
    </cfRule>
  </conditionalFormatting>
  <conditionalFormatting sqref="Q454:Q456">
    <cfRule type="expression" dxfId="203" priority="227" stopIfTrue="1">
      <formula>$BG454=TRUE</formula>
    </cfRule>
  </conditionalFormatting>
  <conditionalFormatting sqref="Q477:Q479">
    <cfRule type="expression" dxfId="202" priority="215" stopIfTrue="1">
      <formula>$BG477=TRUE</formula>
    </cfRule>
  </conditionalFormatting>
  <conditionalFormatting sqref="Q500:Q502">
    <cfRule type="expression" dxfId="201" priority="203" stopIfTrue="1">
      <formula>$BG500=TRUE</formula>
    </cfRule>
  </conditionalFormatting>
  <conditionalFormatting sqref="Q523:Q525">
    <cfRule type="expression" dxfId="200" priority="163" stopIfTrue="1">
      <formula>$BG523=TRUE</formula>
    </cfRule>
  </conditionalFormatting>
  <conditionalFormatting sqref="Q546:Q548">
    <cfRule type="expression" dxfId="199" priority="151" stopIfTrue="1">
      <formula>$BG546=TRUE</formula>
    </cfRule>
  </conditionalFormatting>
  <conditionalFormatting sqref="Q569:Q571">
    <cfRule type="expression" dxfId="198" priority="139" stopIfTrue="1">
      <formula>$BG569=TRUE</formula>
    </cfRule>
  </conditionalFormatting>
  <conditionalFormatting sqref="Q592:Q594">
    <cfRule type="expression" dxfId="197" priority="127" stopIfTrue="1">
      <formula>$BG592=TRUE</formula>
    </cfRule>
  </conditionalFormatting>
  <conditionalFormatting sqref="Q615:Q617">
    <cfRule type="expression" dxfId="196" priority="115" stopIfTrue="1">
      <formula>$BG615=TRUE</formula>
    </cfRule>
  </conditionalFormatting>
  <conditionalFormatting sqref="Q638:Q640">
    <cfRule type="expression" dxfId="195" priority="103" stopIfTrue="1">
      <formula>$BG638=TRUE</formula>
    </cfRule>
  </conditionalFormatting>
  <conditionalFormatting sqref="Q661:Q663">
    <cfRule type="expression" dxfId="194" priority="91" stopIfTrue="1">
      <formula>$BG661=TRUE</formula>
    </cfRule>
  </conditionalFormatting>
  <conditionalFormatting sqref="Q684:Q686">
    <cfRule type="expression" dxfId="193" priority="79" stopIfTrue="1">
      <formula>$BG684=TRUE</formula>
    </cfRule>
  </conditionalFormatting>
  <conditionalFormatting sqref="Q707:Q709">
    <cfRule type="expression" dxfId="192" priority="67" stopIfTrue="1">
      <formula>$BG707=TRUE</formula>
    </cfRule>
  </conditionalFormatting>
  <conditionalFormatting sqref="Q730:Q732">
    <cfRule type="expression" dxfId="191" priority="27" stopIfTrue="1">
      <formula>$BG730=TRUE</formula>
    </cfRule>
  </conditionalFormatting>
  <conditionalFormatting sqref="Q753:Q755">
    <cfRule type="expression" dxfId="190" priority="15" stopIfTrue="1">
      <formula>$BG753=TRUE</formula>
    </cfRule>
  </conditionalFormatting>
  <conditionalFormatting sqref="S25">
    <cfRule type="expression" dxfId="189" priority="658" stopIfTrue="1">
      <formula>$BF25=TRUE</formula>
    </cfRule>
    <cfRule type="expression" dxfId="188" priority="657" stopIfTrue="1">
      <formula>$CP25=TRUE</formula>
    </cfRule>
  </conditionalFormatting>
  <conditionalFormatting sqref="S27:S29">
    <cfRule type="expression" dxfId="187" priority="660" stopIfTrue="1">
      <formula>$BF27=TRUE</formula>
    </cfRule>
    <cfRule type="expression" dxfId="186" priority="659" stopIfTrue="1">
      <formula>$CP27=TRUE</formula>
    </cfRule>
  </conditionalFormatting>
  <conditionalFormatting sqref="S84">
    <cfRule type="expression" dxfId="185" priority="646" stopIfTrue="1">
      <formula>$CP84=TRUE</formula>
    </cfRule>
    <cfRule type="expression" dxfId="184" priority="647" stopIfTrue="1">
      <formula>$BF84=TRUE</formula>
    </cfRule>
  </conditionalFormatting>
  <conditionalFormatting sqref="S86:S88">
    <cfRule type="expression" dxfId="183" priority="649" stopIfTrue="1">
      <formula>$BF86=TRUE</formula>
    </cfRule>
    <cfRule type="expression" dxfId="182" priority="648" stopIfTrue="1">
      <formula>$CP86=TRUE</formula>
    </cfRule>
  </conditionalFormatting>
  <conditionalFormatting sqref="S107">
    <cfRule type="expression" dxfId="181" priority="451" stopIfTrue="1">
      <formula>$BF107=TRUE</formula>
    </cfRule>
    <cfRule type="expression" dxfId="180" priority="450" stopIfTrue="1">
      <formula>$CP107=TRUE</formula>
    </cfRule>
  </conditionalFormatting>
  <conditionalFormatting sqref="S109:S111">
    <cfRule type="expression" dxfId="179" priority="452" stopIfTrue="1">
      <formula>$CP109=TRUE</formula>
    </cfRule>
    <cfRule type="expression" dxfId="178" priority="453" stopIfTrue="1">
      <formula>$BF109=TRUE</formula>
    </cfRule>
  </conditionalFormatting>
  <conditionalFormatting sqref="S130">
    <cfRule type="expression" dxfId="177" priority="437" stopIfTrue="1">
      <formula>$CP130=TRUE</formula>
    </cfRule>
    <cfRule type="expression" dxfId="176" priority="438" stopIfTrue="1">
      <formula>$BF130=TRUE</formula>
    </cfRule>
  </conditionalFormatting>
  <conditionalFormatting sqref="S132:S134">
    <cfRule type="expression" dxfId="175" priority="440" stopIfTrue="1">
      <formula>$BF132=TRUE</formula>
    </cfRule>
    <cfRule type="expression" dxfId="174" priority="439" stopIfTrue="1">
      <formula>$CP132=TRUE</formula>
    </cfRule>
  </conditionalFormatting>
  <conditionalFormatting sqref="S153">
    <cfRule type="expression" dxfId="173" priority="424" stopIfTrue="1">
      <formula>$CP153=TRUE</formula>
    </cfRule>
    <cfRule type="expression" dxfId="172" priority="425" stopIfTrue="1">
      <formula>$BF153=TRUE</formula>
    </cfRule>
  </conditionalFormatting>
  <conditionalFormatting sqref="S155:S157">
    <cfRule type="expression" dxfId="171" priority="426" stopIfTrue="1">
      <formula>$CP155=TRUE</formula>
    </cfRule>
    <cfRule type="expression" dxfId="170" priority="427" stopIfTrue="1">
      <formula>$BF155=TRUE</formula>
    </cfRule>
  </conditionalFormatting>
  <conditionalFormatting sqref="S176">
    <cfRule type="expression" dxfId="169" priority="411" stopIfTrue="1">
      <formula>$CP176=TRUE</formula>
    </cfRule>
    <cfRule type="expression" dxfId="168" priority="412" stopIfTrue="1">
      <formula>$BF176=TRUE</formula>
    </cfRule>
  </conditionalFormatting>
  <conditionalFormatting sqref="S178:S180">
    <cfRule type="expression" dxfId="167" priority="414" stopIfTrue="1">
      <formula>$BF178=TRUE</formula>
    </cfRule>
    <cfRule type="expression" dxfId="166" priority="413" stopIfTrue="1">
      <formula>$CP178=TRUE</formula>
    </cfRule>
  </conditionalFormatting>
  <conditionalFormatting sqref="S199">
    <cfRule type="expression" dxfId="165" priority="399" stopIfTrue="1">
      <formula>$BF199=TRUE</formula>
    </cfRule>
    <cfRule type="expression" dxfId="164" priority="398" stopIfTrue="1">
      <formula>$CP199=TRUE</formula>
    </cfRule>
  </conditionalFormatting>
  <conditionalFormatting sqref="S201:S203">
    <cfRule type="expression" dxfId="163" priority="400" stopIfTrue="1">
      <formula>$CP201=TRUE</formula>
    </cfRule>
    <cfRule type="expression" dxfId="162" priority="401" stopIfTrue="1">
      <formula>$BF201=TRUE</formula>
    </cfRule>
  </conditionalFormatting>
  <conditionalFormatting sqref="S222">
    <cfRule type="expression" dxfId="161" priority="386" stopIfTrue="1">
      <formula>$BF222=TRUE</formula>
    </cfRule>
    <cfRule type="expression" dxfId="160" priority="385" stopIfTrue="1">
      <formula>$CP222=TRUE</formula>
    </cfRule>
  </conditionalFormatting>
  <conditionalFormatting sqref="S224:S226">
    <cfRule type="expression" dxfId="159" priority="387" stopIfTrue="1">
      <formula>$CP224=TRUE</formula>
    </cfRule>
    <cfRule type="expression" dxfId="158" priority="388" stopIfTrue="1">
      <formula>$BF224=TRUE</formula>
    </cfRule>
  </conditionalFormatting>
  <conditionalFormatting sqref="S245">
    <cfRule type="expression" dxfId="157" priority="373" stopIfTrue="1">
      <formula>$BF245=TRUE</formula>
    </cfRule>
    <cfRule type="expression" dxfId="156" priority="372" stopIfTrue="1">
      <formula>$CP245=TRUE</formula>
    </cfRule>
  </conditionalFormatting>
  <conditionalFormatting sqref="S247:S249">
    <cfRule type="expression" dxfId="155" priority="374" stopIfTrue="1">
      <formula>$CP247=TRUE</formula>
    </cfRule>
    <cfRule type="expression" dxfId="154" priority="375" stopIfTrue="1">
      <formula>$BF247=TRUE</formula>
    </cfRule>
  </conditionalFormatting>
  <conditionalFormatting sqref="S268">
    <cfRule type="expression" dxfId="153" priority="360" stopIfTrue="1">
      <formula>$BF268=TRUE</formula>
    </cfRule>
    <cfRule type="expression" dxfId="152" priority="359" stopIfTrue="1">
      <formula>$CP268=TRUE</formula>
    </cfRule>
  </conditionalFormatting>
  <conditionalFormatting sqref="S270:S272">
    <cfRule type="expression" dxfId="151" priority="362" stopIfTrue="1">
      <formula>$BF270=TRUE</formula>
    </cfRule>
    <cfRule type="expression" dxfId="150" priority="361" stopIfTrue="1">
      <formula>$CP270=TRUE</formula>
    </cfRule>
  </conditionalFormatting>
  <conditionalFormatting sqref="S291">
    <cfRule type="expression" dxfId="149" priority="346" stopIfTrue="1">
      <formula>$CP291=TRUE</formula>
    </cfRule>
    <cfRule type="expression" dxfId="148" priority="347" stopIfTrue="1">
      <formula>$BF291=TRUE</formula>
    </cfRule>
  </conditionalFormatting>
  <conditionalFormatting sqref="S293:S295">
    <cfRule type="expression" dxfId="147" priority="348" stopIfTrue="1">
      <formula>$CP293=TRUE</formula>
    </cfRule>
    <cfRule type="expression" dxfId="146" priority="349" stopIfTrue="1">
      <formula>$BF293=TRUE</formula>
    </cfRule>
  </conditionalFormatting>
  <conditionalFormatting sqref="S314">
    <cfRule type="expression" dxfId="145" priority="292" stopIfTrue="1">
      <formula>$BF314=TRUE</formula>
    </cfRule>
    <cfRule type="expression" dxfId="144" priority="291" stopIfTrue="1">
      <formula>$CP314=TRUE</formula>
    </cfRule>
  </conditionalFormatting>
  <conditionalFormatting sqref="S316:S318">
    <cfRule type="expression" dxfId="143" priority="293" stopIfTrue="1">
      <formula>$CP316=TRUE</formula>
    </cfRule>
    <cfRule type="expression" dxfId="142" priority="294" stopIfTrue="1">
      <formula>$BF316=TRUE</formula>
    </cfRule>
  </conditionalFormatting>
  <conditionalFormatting sqref="S337">
    <cfRule type="expression" dxfId="141" priority="280" stopIfTrue="1">
      <formula>$BF337=TRUE</formula>
    </cfRule>
    <cfRule type="expression" dxfId="140" priority="279" stopIfTrue="1">
      <formula>$CP337=TRUE</formula>
    </cfRule>
  </conditionalFormatting>
  <conditionalFormatting sqref="S339:S341">
    <cfRule type="expression" dxfId="139" priority="282" stopIfTrue="1">
      <formula>$BF339=TRUE</formula>
    </cfRule>
    <cfRule type="expression" dxfId="138" priority="281" stopIfTrue="1">
      <formula>$CP339=TRUE</formula>
    </cfRule>
  </conditionalFormatting>
  <conditionalFormatting sqref="S360">
    <cfRule type="expression" dxfId="137" priority="268" stopIfTrue="1">
      <formula>$BF360=TRUE</formula>
    </cfRule>
    <cfRule type="expression" dxfId="136" priority="267" stopIfTrue="1">
      <formula>$CP360=TRUE</formula>
    </cfRule>
  </conditionalFormatting>
  <conditionalFormatting sqref="S362:S364">
    <cfRule type="expression" dxfId="135" priority="269" stopIfTrue="1">
      <formula>$CP362=TRUE</formula>
    </cfRule>
    <cfRule type="expression" dxfId="134" priority="270" stopIfTrue="1">
      <formula>$BF362=TRUE</formula>
    </cfRule>
  </conditionalFormatting>
  <conditionalFormatting sqref="S383">
    <cfRule type="expression" dxfId="133" priority="255" stopIfTrue="1">
      <formula>$CP383=TRUE</formula>
    </cfRule>
    <cfRule type="expression" dxfId="132" priority="256" stopIfTrue="1">
      <formula>$BF383=TRUE</formula>
    </cfRule>
  </conditionalFormatting>
  <conditionalFormatting sqref="S385:S387">
    <cfRule type="expression" dxfId="131" priority="257" stopIfTrue="1">
      <formula>$CP385=TRUE</formula>
    </cfRule>
    <cfRule type="expression" dxfId="130" priority="258" stopIfTrue="1">
      <formula>$BF385=TRUE</formula>
    </cfRule>
  </conditionalFormatting>
  <conditionalFormatting sqref="S406">
    <cfRule type="expression" dxfId="129" priority="243" stopIfTrue="1">
      <formula>$CP406=TRUE</formula>
    </cfRule>
    <cfRule type="expression" dxfId="128" priority="244" stopIfTrue="1">
      <formula>$BF406=TRUE</formula>
    </cfRule>
  </conditionalFormatting>
  <conditionalFormatting sqref="S408:S410">
    <cfRule type="expression" dxfId="127" priority="245" stopIfTrue="1">
      <formula>$CP408=TRUE</formula>
    </cfRule>
    <cfRule type="expression" dxfId="126" priority="246" stopIfTrue="1">
      <formula>$BF408=TRUE</formula>
    </cfRule>
  </conditionalFormatting>
  <conditionalFormatting sqref="S429">
    <cfRule type="expression" dxfId="125" priority="232" stopIfTrue="1">
      <formula>$BF429=TRUE</formula>
    </cfRule>
    <cfRule type="expression" dxfId="124" priority="231" stopIfTrue="1">
      <formula>$CP429=TRUE</formula>
    </cfRule>
  </conditionalFormatting>
  <conditionalFormatting sqref="S431:S433">
    <cfRule type="expression" dxfId="123" priority="234" stopIfTrue="1">
      <formula>$BF431=TRUE</formula>
    </cfRule>
    <cfRule type="expression" dxfId="122" priority="233" stopIfTrue="1">
      <formula>$CP431=TRUE</formula>
    </cfRule>
  </conditionalFormatting>
  <conditionalFormatting sqref="S452">
    <cfRule type="expression" dxfId="121" priority="220" stopIfTrue="1">
      <formula>$BF452=TRUE</formula>
    </cfRule>
    <cfRule type="expression" dxfId="120" priority="219" stopIfTrue="1">
      <formula>$CP452=TRUE</formula>
    </cfRule>
  </conditionalFormatting>
  <conditionalFormatting sqref="S454:S456">
    <cfRule type="expression" dxfId="119" priority="222" stopIfTrue="1">
      <formula>$BF454=TRUE</formula>
    </cfRule>
    <cfRule type="expression" dxfId="118" priority="221" stopIfTrue="1">
      <formula>$CP454=TRUE</formula>
    </cfRule>
  </conditionalFormatting>
  <conditionalFormatting sqref="S475">
    <cfRule type="expression" dxfId="117" priority="207" stopIfTrue="1">
      <formula>$CP475=TRUE</formula>
    </cfRule>
    <cfRule type="expression" dxfId="116" priority="208" stopIfTrue="1">
      <formula>$BF475=TRUE</formula>
    </cfRule>
  </conditionalFormatting>
  <conditionalFormatting sqref="S477:S479">
    <cfRule type="expression" dxfId="115" priority="209" stopIfTrue="1">
      <formula>$CP477=TRUE</formula>
    </cfRule>
    <cfRule type="expression" dxfId="114" priority="210" stopIfTrue="1">
      <formula>$BF477=TRUE</formula>
    </cfRule>
  </conditionalFormatting>
  <conditionalFormatting sqref="S498">
    <cfRule type="expression" dxfId="113" priority="196" stopIfTrue="1">
      <formula>$BF498=TRUE</formula>
    </cfRule>
    <cfRule type="expression" dxfId="112" priority="195" stopIfTrue="1">
      <formula>$CP498=TRUE</formula>
    </cfRule>
  </conditionalFormatting>
  <conditionalFormatting sqref="S500:S502">
    <cfRule type="expression" dxfId="111" priority="197" stopIfTrue="1">
      <formula>$CP500=TRUE</formula>
    </cfRule>
    <cfRule type="expression" dxfId="110" priority="198" stopIfTrue="1">
      <formula>$BF500=TRUE</formula>
    </cfRule>
  </conditionalFormatting>
  <conditionalFormatting sqref="S521">
    <cfRule type="expression" dxfId="109" priority="156" stopIfTrue="1">
      <formula>$BF521=TRUE</formula>
    </cfRule>
    <cfRule type="expression" dxfId="108" priority="155" stopIfTrue="1">
      <formula>$CP521=TRUE</formula>
    </cfRule>
  </conditionalFormatting>
  <conditionalFormatting sqref="S523:S525">
    <cfRule type="expression" dxfId="107" priority="158" stopIfTrue="1">
      <formula>$BF523=TRUE</formula>
    </cfRule>
    <cfRule type="expression" dxfId="106" priority="157" stopIfTrue="1">
      <formula>$CP523=TRUE</formula>
    </cfRule>
  </conditionalFormatting>
  <conditionalFormatting sqref="S544">
    <cfRule type="expression" dxfId="105" priority="144" stopIfTrue="1">
      <formula>$BF544=TRUE</formula>
    </cfRule>
    <cfRule type="expression" dxfId="104" priority="143" stopIfTrue="1">
      <formula>$CP544=TRUE</formula>
    </cfRule>
  </conditionalFormatting>
  <conditionalFormatting sqref="S546:S548">
    <cfRule type="expression" dxfId="103" priority="146" stopIfTrue="1">
      <formula>$BF546=TRUE</formula>
    </cfRule>
    <cfRule type="expression" dxfId="102" priority="145" stopIfTrue="1">
      <formula>$CP546=TRUE</formula>
    </cfRule>
  </conditionalFormatting>
  <conditionalFormatting sqref="S567">
    <cfRule type="expression" dxfId="101" priority="132" stopIfTrue="1">
      <formula>$BF567=TRUE</formula>
    </cfRule>
    <cfRule type="expression" dxfId="100" priority="131" stopIfTrue="1">
      <formula>$CP567=TRUE</formula>
    </cfRule>
  </conditionalFormatting>
  <conditionalFormatting sqref="S569:S571">
    <cfRule type="expression" dxfId="99" priority="134" stopIfTrue="1">
      <formula>$BF569=TRUE</formula>
    </cfRule>
    <cfRule type="expression" dxfId="98" priority="133" stopIfTrue="1">
      <formula>$CP569=TRUE</formula>
    </cfRule>
  </conditionalFormatting>
  <conditionalFormatting sqref="S590">
    <cfRule type="expression" dxfId="97" priority="119" stopIfTrue="1">
      <formula>$CP590=TRUE</formula>
    </cfRule>
    <cfRule type="expression" dxfId="96" priority="120" stopIfTrue="1">
      <formula>$BF590=TRUE</formula>
    </cfRule>
  </conditionalFormatting>
  <conditionalFormatting sqref="S592:S594">
    <cfRule type="expression" dxfId="95" priority="122" stopIfTrue="1">
      <formula>$BF592=TRUE</formula>
    </cfRule>
    <cfRule type="expression" dxfId="94" priority="121" stopIfTrue="1">
      <formula>$CP592=TRUE</formula>
    </cfRule>
  </conditionalFormatting>
  <conditionalFormatting sqref="S613">
    <cfRule type="expression" dxfId="93" priority="108" stopIfTrue="1">
      <formula>$BF613=TRUE</formula>
    </cfRule>
    <cfRule type="expression" dxfId="92" priority="107" stopIfTrue="1">
      <formula>$CP613=TRUE</formula>
    </cfRule>
  </conditionalFormatting>
  <conditionalFormatting sqref="S615:S617">
    <cfRule type="expression" dxfId="91" priority="109" stopIfTrue="1">
      <formula>$CP615=TRUE</formula>
    </cfRule>
    <cfRule type="expression" dxfId="90" priority="110" stopIfTrue="1">
      <formula>$BF615=TRUE</formula>
    </cfRule>
  </conditionalFormatting>
  <conditionalFormatting sqref="S636">
    <cfRule type="expression" dxfId="89" priority="96" stopIfTrue="1">
      <formula>$BF636=TRUE</formula>
    </cfRule>
    <cfRule type="expression" dxfId="88" priority="95" stopIfTrue="1">
      <formula>$CP636=TRUE</formula>
    </cfRule>
  </conditionalFormatting>
  <conditionalFormatting sqref="S638:S640">
    <cfRule type="expression" dxfId="87" priority="98" stopIfTrue="1">
      <formula>$BF638=TRUE</formula>
    </cfRule>
    <cfRule type="expression" dxfId="86" priority="97" stopIfTrue="1">
      <formula>$CP638=TRUE</formula>
    </cfRule>
  </conditionalFormatting>
  <conditionalFormatting sqref="S659">
    <cfRule type="expression" dxfId="85" priority="84" stopIfTrue="1">
      <formula>$BF659=TRUE</formula>
    </cfRule>
    <cfRule type="expression" dxfId="84" priority="83" stopIfTrue="1">
      <formula>$CP659=TRUE</formula>
    </cfRule>
  </conditionalFormatting>
  <conditionalFormatting sqref="S661:S663">
    <cfRule type="expression" dxfId="83" priority="86" stopIfTrue="1">
      <formula>$BF661=TRUE</formula>
    </cfRule>
    <cfRule type="expression" dxfId="82" priority="85" stopIfTrue="1">
      <formula>$CP661=TRUE</formula>
    </cfRule>
  </conditionalFormatting>
  <conditionalFormatting sqref="S682">
    <cfRule type="expression" dxfId="81" priority="72" stopIfTrue="1">
      <formula>$BF682=TRUE</formula>
    </cfRule>
    <cfRule type="expression" dxfId="80" priority="71" stopIfTrue="1">
      <formula>$CP682=TRUE</formula>
    </cfRule>
  </conditionalFormatting>
  <conditionalFormatting sqref="S684:S686">
    <cfRule type="expression" dxfId="79" priority="74" stopIfTrue="1">
      <formula>$BF684=TRUE</formula>
    </cfRule>
    <cfRule type="expression" dxfId="78" priority="73" stopIfTrue="1">
      <formula>$CP684=TRUE</formula>
    </cfRule>
  </conditionalFormatting>
  <conditionalFormatting sqref="S705">
    <cfRule type="expression" dxfId="77" priority="60" stopIfTrue="1">
      <formula>$BF705=TRUE</formula>
    </cfRule>
    <cfRule type="expression" dxfId="76" priority="59" stopIfTrue="1">
      <formula>$CP705=TRUE</formula>
    </cfRule>
  </conditionalFormatting>
  <conditionalFormatting sqref="S707:S709">
    <cfRule type="expression" dxfId="75" priority="62" stopIfTrue="1">
      <formula>$BF707=TRUE</formula>
    </cfRule>
    <cfRule type="expression" dxfId="74" priority="61" stopIfTrue="1">
      <formula>$CP707=TRUE</formula>
    </cfRule>
  </conditionalFormatting>
  <conditionalFormatting sqref="S728">
    <cfRule type="expression" dxfId="73" priority="20" stopIfTrue="1">
      <formula>$BF728=TRUE</formula>
    </cfRule>
    <cfRule type="expression" dxfId="72" priority="19" stopIfTrue="1">
      <formula>$CP728=TRUE</formula>
    </cfRule>
  </conditionalFormatting>
  <conditionalFormatting sqref="S730:S732">
    <cfRule type="expression" dxfId="71" priority="21" stopIfTrue="1">
      <formula>$CP730=TRUE</formula>
    </cfRule>
    <cfRule type="expression" dxfId="70" priority="22" stopIfTrue="1">
      <formula>$BF730=TRUE</formula>
    </cfRule>
  </conditionalFormatting>
  <conditionalFormatting sqref="S751">
    <cfRule type="expression" dxfId="69" priority="7" stopIfTrue="1">
      <formula>$CP751=TRUE</formula>
    </cfRule>
    <cfRule type="expression" dxfId="68" priority="8" stopIfTrue="1">
      <formula>$BF751=TRUE</formula>
    </cfRule>
  </conditionalFormatting>
  <conditionalFormatting sqref="S753:S755">
    <cfRule type="expression" dxfId="67" priority="10" stopIfTrue="1">
      <formula>$BF753=TRUE</formula>
    </cfRule>
    <cfRule type="expression" dxfId="66" priority="9" stopIfTrue="1">
      <formula>$CP753=TRUE</formula>
    </cfRule>
  </conditionalFormatting>
  <dataValidations count="3">
    <dataValidation type="list" allowBlank="1" showInputMessage="1" showErrorMessage="1" sqref="P22:S22 P725:S725 P748:S748 P449:S449 P403:S403 P334:S334 P380:S380 P472:S472 P311:S311 P357:S357 P426:S426 P495:S495 P242:S242 P196:S196 P127:S127 P173:S173 P81:S81 P265:S265 P104:S104 P150:S150 P219:S219 P288:S288 P656:S656 P610:S610 P541:S541 P587:S587 P679:S679 P518:S518 P564:S564 P633:S633 P702:S702" xr:uid="{00000000-0002-0000-0800-000001000000}">
      <formula1>INDIRECT($M$769)</formula1>
    </dataValidation>
    <dataValidation type="list" allowBlank="1" showInputMessage="1" showErrorMessage="1" sqref="E21:E30 E80:E89 E264:E273 E172:E181 E103:E112 E126:E135 E149:E158 E195:E204 E218:E227 E241:E250 E287:E296 E471:E480 E379:E388 E310:E319 E333:E342 E356:E365 E402:E411 E425:E434 E448:E457 E494:E503 E678:E687 E586:E595 E517:E526 E540:E549 E563:E572 E609:E618 E632:E641 E655:E664 E701:E710 E724:E733 E747:E756" xr:uid="{814B3558-5772-4D6C-854B-E1AEFD6F61D9}">
      <formula1>MSPara_ListBlendingComponents</formula1>
    </dataValidation>
    <dataValidation type="decimal" allowBlank="1" showInputMessage="1" showErrorMessage="1" sqref="I103:I117 I80:I94 I126:I140 I149:I163 I172:I186 I195:I209 I218:I232 I241:I255 I264:I278 I287:I301 I310:I324 I333:I347 I356:I370 I379:I393 I402:I416 I425:I439 I448:I462 I471:I485 I494:I508 I517:I531 I540:I554 I563:I577 I586:I600 I609:I623 I632:I646 I655:I669 I678:I692 I701:I715 I724:I738 I747:I761" xr:uid="{A16BDD40-06EA-4B57-8448-3CFAA7210220}">
      <formula1>0</formula1>
      <formula2>1</formula2>
    </dataValidation>
  </dataValidations>
  <hyperlinks>
    <hyperlink ref="G2:H2" location="JUMP_a_Content" display="Table of contents" xr:uid="{00000000-0004-0000-0800-000005000000}"/>
  </hyperlinks>
  <pageMargins left="0.78740157480314965" right="0.78740157480314965" top="0.78740157480314965" bottom="0.78740157480314965" header="0.39370078740157483" footer="0.39370078740157483"/>
  <pageSetup paperSize="9" scale="59" fitToHeight="10" orientation="portrait" copies="2" r:id="rId1"/>
  <headerFooter alignWithMargins="0">
    <oddHeader>&amp;L&amp;F, &amp;A&amp;R&amp;D, &amp;T</oddHeader>
    <oddFooter>&amp;C&amp;P / &amp;N</oddFooter>
  </headerFooter>
  <colBreaks count="1" manualBreakCount="1">
    <brk id="18"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EFB1FB3D385D4FA9288722044CE0FD" ma:contentTypeVersion="3" ma:contentTypeDescription="Create a new document." ma:contentTypeScope="" ma:versionID="cdd5611fa48d20b858da66e10239c9bf">
  <xsd:schema xmlns:xsd="http://www.w3.org/2001/XMLSchema" xmlns:xs="http://www.w3.org/2001/XMLSchema" xmlns:p="http://schemas.microsoft.com/office/2006/metadata/properties" xmlns:ns2="918612a6-6905-4123-a799-8cd8d9efcd52" targetNamespace="http://schemas.microsoft.com/office/2006/metadata/properties" ma:root="true" ma:fieldsID="d61c87edd31ecae6aa4311a1b3676d35" ns2:_="">
    <xsd:import namespace="918612a6-6905-4123-a799-8cd8d9efcd5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8612a6-6905-4123-a799-8cd8d9efcd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EB2245E-1FD0-45F6-BF6E-889A3F5B75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8612a6-6905-4123-a799-8cd8d9efcd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948BEAC-DD03-4E87-96AF-5A8994DA55E0}">
  <ds:schemaRefs>
    <ds:schemaRef ds:uri="http://schemas.microsoft.com/sharepoint/v3/contenttype/forms"/>
  </ds:schemaRefs>
</ds:datastoreItem>
</file>

<file path=customXml/itemProps3.xml><?xml version="1.0" encoding="utf-8"?>
<ds:datastoreItem xmlns:ds="http://schemas.openxmlformats.org/officeDocument/2006/customXml" ds:itemID="{C7FB14FE-E303-4969-A6E9-2794760295D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120</vt:i4>
      </vt:variant>
    </vt:vector>
  </HeadingPairs>
  <TitlesOfParts>
    <vt:vector size="136" baseType="lpstr">
      <vt:lpstr>a_Contents</vt:lpstr>
      <vt:lpstr>b_Guidelines and conditions</vt:lpstr>
      <vt:lpstr>A_EntityID</vt:lpstr>
      <vt:lpstr>B_IdentifyFuelStreams</vt:lpstr>
      <vt:lpstr>C_FuelStreams</vt:lpstr>
      <vt:lpstr>D_ETS1Amounts</vt:lpstr>
      <vt:lpstr>E_DataGaps</vt:lpstr>
      <vt:lpstr>F_Timing</vt:lpstr>
      <vt:lpstr>F.a.Tool_Blending</vt:lpstr>
      <vt:lpstr>G_AdditionalInformation</vt:lpstr>
      <vt:lpstr>H_Summary</vt:lpstr>
      <vt:lpstr>I_Accounting</vt:lpstr>
      <vt:lpstr>EUwideConstants</vt:lpstr>
      <vt:lpstr>MSParameters</vt:lpstr>
      <vt:lpstr>Translations</vt:lpstr>
      <vt:lpstr>VersionDocumentation</vt:lpstr>
      <vt:lpstr>ActivityDataTiers</vt:lpstr>
      <vt:lpstr>BiomassTiers</vt:lpstr>
      <vt:lpstr>CNTR_CalcRelevant</vt:lpstr>
      <vt:lpstr>CNTR_EmissionPointsListEPx</vt:lpstr>
      <vt:lpstr>CNTR_ReportingYear</vt:lpstr>
      <vt:lpstr>CNTR_SourceStreamListSx</vt:lpstr>
      <vt:lpstr>CNTR_SourceStreamNames</vt:lpstr>
      <vt:lpstr>CNTR_TierList</vt:lpstr>
      <vt:lpstr>CNTR_TierListColumn</vt:lpstr>
      <vt:lpstr>EFTiers</vt:lpstr>
      <vt:lpstr>EFUnits</vt:lpstr>
      <vt:lpstr>EUconst_ActivityDeterminationMethod</vt:lpstr>
      <vt:lpstr>EUconst_CNTR_ActivityData</vt:lpstr>
      <vt:lpstr>EUconst_CNTR_BiomassContent</vt:lpstr>
      <vt:lpstr>EUconst_CNTR_EF</vt:lpstr>
      <vt:lpstr>EUconst_CNTR_NoSmallEmitter</vt:lpstr>
      <vt:lpstr>EUconst_CNTR_RFNBOetcContent</vt:lpstr>
      <vt:lpstr>EUconst_CNTR_ScopeFactor</vt:lpstr>
      <vt:lpstr>EUconst_CNTR_SmallEmitter</vt:lpstr>
      <vt:lpstr>EUconst_CNTR_SourceCategory</vt:lpstr>
      <vt:lpstr>EUconst_CNTR_SourceStreamClass</vt:lpstr>
      <vt:lpstr>EUconst_CNTR_SourceStreamName</vt:lpstr>
      <vt:lpstr>EUconst_CNTR_UCF</vt:lpstr>
      <vt:lpstr>EUconst_DefaultValues</vt:lpstr>
      <vt:lpstr>EUconst_DefaultValuesBio</vt:lpstr>
      <vt:lpstr>EUconst_ERR_CheckEstimatedEmissions</vt:lpstr>
      <vt:lpstr>EUconst_ERR_Incomplete</vt:lpstr>
      <vt:lpstr>EUconst_ERR_Inconsistent</vt:lpstr>
      <vt:lpstr>EUconst_ERR_ThreshholdDeminimis</vt:lpstr>
      <vt:lpstr>EUconst_Fuel</vt:lpstr>
      <vt:lpstr>EUconst_FuelStream</vt:lpstr>
      <vt:lpstr>EUconst_FurtherGuidancePoint1</vt:lpstr>
      <vt:lpstr>EUconst_GJ</vt:lpstr>
      <vt:lpstr>EUconst_GWhgross</vt:lpstr>
      <vt:lpstr>EUconst_IRMonth</vt:lpstr>
      <vt:lpstr>EUconst_klitres</vt:lpstr>
      <vt:lpstr>EUconst_kNm3</vt:lpstr>
      <vt:lpstr>EUconst_ListCRF</vt:lpstr>
      <vt:lpstr>Euconst_MPReferenceDateTypes</vt:lpstr>
      <vt:lpstr>EUconst_MsgDeMinimis</vt:lpstr>
      <vt:lpstr>EUconst_MsgEnterThisSection</vt:lpstr>
      <vt:lpstr>EUconst_MsgGoOn</vt:lpstr>
      <vt:lpstr>EUconst_MsgNextSheet</vt:lpstr>
      <vt:lpstr>EUconst_MsgSmallEmitters</vt:lpstr>
      <vt:lpstr>EUconst_MsgTierActivityLevel</vt:lpstr>
      <vt:lpstr>EUconst_MSlist</vt:lpstr>
      <vt:lpstr>EUconst_MSlistISOcodes</vt:lpstr>
      <vt:lpstr>EUconst_NA</vt:lpstr>
      <vt:lpstr>EUconst_NextSheet</vt:lpstr>
      <vt:lpstr>EUconst_NotApplicable</vt:lpstr>
      <vt:lpstr>EUconst_NoTier</vt:lpstr>
      <vt:lpstr>EUconst_NotRelevant</vt:lpstr>
      <vt:lpstr>EUconst_OwnerInstrument</vt:lpstr>
      <vt:lpstr>EUconst_PreviousSheet</vt:lpstr>
      <vt:lpstr>EUconst_Relevant</vt:lpstr>
      <vt:lpstr>EUconst_ReportingYear</vt:lpstr>
      <vt:lpstr>EUconst_SumBioCO2</vt:lpstr>
      <vt:lpstr>EUconst_SumBioEnergyIN</vt:lpstr>
      <vt:lpstr>EUconst_SumCO2</vt:lpstr>
      <vt:lpstr>EUconst_SumEnergyIN</vt:lpstr>
      <vt:lpstr>EUconst_SumNonSustBioCO2</vt:lpstr>
      <vt:lpstr>EUconst_t</vt:lpstr>
      <vt:lpstr>EUconst_tCO2</vt:lpstr>
      <vt:lpstr>EUConst_TierActivityListNames</vt:lpstr>
      <vt:lpstr>EUconst_TJ</vt:lpstr>
      <vt:lpstr>EUconst_ToolActualAmounts</vt:lpstr>
      <vt:lpstr>EUconst_ToolBestEstimate</vt:lpstr>
      <vt:lpstr>EUconst_TrueFalse</vt:lpstr>
      <vt:lpstr>EUconst_Unit</vt:lpstr>
      <vt:lpstr>EUconst_Value</vt:lpstr>
      <vt:lpstr>Euconst_VersionTracking</vt:lpstr>
      <vt:lpstr>JUMP_a_Content</vt:lpstr>
      <vt:lpstr>JUMP_Accounting</vt:lpstr>
      <vt:lpstr>JUMP_B_2</vt:lpstr>
      <vt:lpstr>JUMP_B_3</vt:lpstr>
      <vt:lpstr>JUMP_B_4</vt:lpstr>
      <vt:lpstr>JUMP_b_Guidelines_Top</vt:lpstr>
      <vt:lpstr>JUMP_B_Top</vt:lpstr>
      <vt:lpstr>JUMP_C_Top</vt:lpstr>
      <vt:lpstr>E_DataGaps!JUMP_DG</vt:lpstr>
      <vt:lpstr>JUMP_E_Top</vt:lpstr>
      <vt:lpstr>JUMP_I_Summary</vt:lpstr>
      <vt:lpstr>F.a.Tool_Blending!JUMP_K_Top</vt:lpstr>
      <vt:lpstr>F_Timing!JUMP_K_Top</vt:lpstr>
      <vt:lpstr>JUMP_K_Top</vt:lpstr>
      <vt:lpstr>JUMP_L_Top</vt:lpstr>
      <vt:lpstr>JUMP_Summary</vt:lpstr>
      <vt:lpstr>MeansIntermediaries</vt:lpstr>
      <vt:lpstr>MeansReleased</vt:lpstr>
      <vt:lpstr>MSPara_CalcFactors</vt:lpstr>
      <vt:lpstr>MSPara_CalcFactorsMatrix</vt:lpstr>
      <vt:lpstr>MSPara_CategoryAddress</vt:lpstr>
      <vt:lpstr>MSPara_CategoryMatrix</vt:lpstr>
      <vt:lpstr>MSPara_IsFossil</vt:lpstr>
      <vt:lpstr>MSPara_ListBlendingComponents</vt:lpstr>
      <vt:lpstr>MSPara_NameOptional</vt:lpstr>
      <vt:lpstr>MSPara_SourceStreamCategory</vt:lpstr>
      <vt:lpstr>MSPara_ToolBlendingMandatory</vt:lpstr>
      <vt:lpstr>NCVTiers</vt:lpstr>
      <vt:lpstr>PctUnits</vt:lpstr>
      <vt:lpstr>a_Contents!Print_Area</vt:lpstr>
      <vt:lpstr>A_EntityID!Print_Area</vt:lpstr>
      <vt:lpstr>'b_Guidelines and conditions'!Print_Area</vt:lpstr>
      <vt:lpstr>B_IdentifyFuelStreams!Print_Area</vt:lpstr>
      <vt:lpstr>C_FuelStreams!Print_Area</vt:lpstr>
      <vt:lpstr>D_ETS1Amounts!Print_Area</vt:lpstr>
      <vt:lpstr>E_DataGaps!Print_Area</vt:lpstr>
      <vt:lpstr>F.a.Tool_Blending!Print_Area</vt:lpstr>
      <vt:lpstr>F_Timing!Print_Area</vt:lpstr>
      <vt:lpstr>G_AdditionalInformation!Print_Area</vt:lpstr>
      <vt:lpstr>H_Summary!Print_Area</vt:lpstr>
      <vt:lpstr>VersionDocumentation!Print_Area</vt:lpstr>
      <vt:lpstr>RFAUnits</vt:lpstr>
      <vt:lpstr>RFNBOTiers</vt:lpstr>
      <vt:lpstr>ScopeAddress</vt:lpstr>
      <vt:lpstr>ScopeMethods</vt:lpstr>
      <vt:lpstr>ScopeMethodsDetails</vt:lpstr>
      <vt:lpstr>ScopeTiers</vt:lpstr>
      <vt:lpstr>UCFUnits</vt:lpstr>
      <vt:lpstr>ZeroRatingTiers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Monitoring Plan for EU ETS Installations</dc:title>
  <dc:subject>in accordance with the Regulation pursuant to Article 14 of the EU ETS Directive</dc:subject>
  <dc:creator>Christian.Heller@umweltbundesamt.at</dc:creator>
  <cp:keywords/>
  <dc:description>The template for Monitoring plans was developed by Umweltbundesamt on behalf of DG CLIMA. _x000d_
Authors: Christian Heller / Hubert Fallmann</dc:description>
  <cp:lastModifiedBy>DOUDNIKOFF Marjorie (CLIMA)</cp:lastModifiedBy>
  <cp:revision/>
  <dcterms:created xsi:type="dcterms:W3CDTF">2008-05-26T08:52:55Z</dcterms:created>
  <dcterms:modified xsi:type="dcterms:W3CDTF">2025-11-19T19:22:37Z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Version">
    <vt:lpwstr>2.0</vt:lpwstr>
  </property>
  <property fmtid="{D5CDD505-2E9C-101B-9397-08002B2CF9AE}" pid="4" name="ContentTypeId">
    <vt:lpwstr>0x010100B0EFB1FB3D385D4FA9288722044CE0FD</vt:lpwstr>
  </property>
  <property fmtid="{D5CDD505-2E9C-101B-9397-08002B2CF9AE}" pid="5" name="MSIP_Label_6bd9ddd1-4d20-43f6-abfa-fc3c07406f94_Enabled">
    <vt:lpwstr>true</vt:lpwstr>
  </property>
  <property fmtid="{D5CDD505-2E9C-101B-9397-08002B2CF9AE}" pid="6" name="MSIP_Label_6bd9ddd1-4d20-43f6-abfa-fc3c07406f94_SetDate">
    <vt:lpwstr>2025-11-19T19:22:01Z</vt:lpwstr>
  </property>
  <property fmtid="{D5CDD505-2E9C-101B-9397-08002B2CF9AE}" pid="7" name="MSIP_Label_6bd9ddd1-4d20-43f6-abfa-fc3c07406f94_Method">
    <vt:lpwstr>Standard</vt:lpwstr>
  </property>
  <property fmtid="{D5CDD505-2E9C-101B-9397-08002B2CF9AE}" pid="8" name="MSIP_Label_6bd9ddd1-4d20-43f6-abfa-fc3c07406f94_Name">
    <vt:lpwstr>Commission Use</vt:lpwstr>
  </property>
  <property fmtid="{D5CDD505-2E9C-101B-9397-08002B2CF9AE}" pid="9" name="MSIP_Label_6bd9ddd1-4d20-43f6-abfa-fc3c07406f94_SiteId">
    <vt:lpwstr>b24c8b06-522c-46fe-9080-70926f8dddb1</vt:lpwstr>
  </property>
  <property fmtid="{D5CDD505-2E9C-101B-9397-08002B2CF9AE}" pid="10" name="MSIP_Label_6bd9ddd1-4d20-43f6-abfa-fc3c07406f94_ActionId">
    <vt:lpwstr>1da343f4-b60a-454c-a7f6-54ef53dc7739</vt:lpwstr>
  </property>
  <property fmtid="{D5CDD505-2E9C-101B-9397-08002B2CF9AE}" pid="11" name="MSIP_Label_6bd9ddd1-4d20-43f6-abfa-fc3c07406f94_ContentBits">
    <vt:lpwstr>0</vt:lpwstr>
  </property>
  <property fmtid="{D5CDD505-2E9C-101B-9397-08002B2CF9AE}" pid="12" name="MSIP_Label_6bd9ddd1-4d20-43f6-abfa-fc3c07406f94_Tag">
    <vt:lpwstr>10, 3, 0, 1</vt:lpwstr>
  </property>
</Properties>
</file>